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Methodology" sheetId="2" state="visible" r:id="rId4"/>
    <sheet name="Inputs" sheetId="3" state="visible" r:id="rId5"/>
    <sheet name="Aeration" sheetId="4" state="visible" r:id="rId6"/>
    <sheet name="Structures" sheetId="5" state="visible" r:id="rId7"/>
    <sheet name="Fronts" sheetId="6" state="visible" r:id="rId8"/>
    <sheet name="Piece check" sheetId="7" state="visible" r:id="rId9"/>
    <sheet name="Packages" sheetId="8" state="visible" r:id="rId10"/>
    <sheet name="Activities" sheetId="9" state="visible" r:id="rId11"/>
    <sheet name="Relationships" sheetId="10" state="visible" r:id="rId12"/>
    <sheet name="Programme" sheetId="11" state="visible" r:id="rId13"/>
    <sheet name="Sensitivity" sheetId="12" state="visible" r:id="rId14"/>
  </sheets>
  <definedNames>
    <definedName function="false" hidden="true" localSheetId="8" name="_xlnm._FilterDatabase" vbProcedure="false">Activities!$A$5:$S$2216</definedName>
    <definedName function="false" hidden="true" localSheetId="7" name="_xlnm._FilterDatabase" vbProcedure="false">Packages!$A$5:$AS$206</definedName>
    <definedName function="false" hidden="true" localSheetId="6" name="_xlnm._FilterDatabase" vbProcedure="false">'Piece check'!$A$5:$AC$1643</definedName>
    <definedName function="false" hidden="false" name="AER_ACT" vbProcedure="false">Aeration!$G$18</definedName>
    <definedName function="false" hidden="false" name="AER_DATA" vbProcedure="false">Aeration!$G$16</definedName>
    <definedName function="false" hidden="false" name="AER_OVR" vbProcedure="false">Aeration!$G$19</definedName>
    <definedName function="false" hidden="false" name="AER_RATE" vbProcedure="false">Aeration!$G$20</definedName>
    <definedName function="false" hidden="false" name="AER_RIGS" vbProcedure="false">Aeration!$G$17</definedName>
    <definedName function="false" hidden="false" name="DD_BELOW" vbProcedure="false">Inputs!$C$15</definedName>
    <definedName function="false" hidden="false" name="DW_DRAW" vbProcedure="false">Inputs!$C$40</definedName>
    <definedName function="false" hidden="false" name="D_DLU" vbProcedure="false">Inputs!$C$29</definedName>
    <definedName function="false" hidden="false" name="D_PILEDES" vbProcedure="false">Inputs!$C$30</definedName>
    <definedName function="false" hidden="false" name="D_XING" vbProcedure="false">Inputs!$C$31</definedName>
    <definedName function="false" hidden="false" name="FFLAG" vbProcedure="false">Inputs!$C$34</definedName>
    <definedName function="false" hidden="false" name="FIT_D" vbProcedure="false">Inputs!$C$50</definedName>
    <definedName function="false" hidden="false" name="FL" vbProcedure="false">Inputs!$C$7</definedName>
    <definedName function="false" hidden="false" name="FOS_FLOT" vbProcedure="false">Inputs!$C$20</definedName>
    <definedName function="false" hidden="false" name="GAM_D" vbProcedure="false">Inputs!$C$17</definedName>
    <definedName function="false" hidden="false" name="GAM_S" vbProcedure="false">Inputs!$C$18</definedName>
    <definedName function="false" hidden="false" name="GAM_W" vbProcedure="false">Inputs!$C$19</definedName>
    <definedName function="false" hidden="false" name="GWL" vbProcedure="false">Inputs!$C$8</definedName>
    <definedName function="false" hidden="false" name="LADDER" vbProcedure="false">Inputs!$C$33</definedName>
    <definedName function="false" hidden="false" name="MAXOC" vbProcedure="false">Inputs!$C$14</definedName>
    <definedName function="false" hidden="false" name="NG" vbProcedure="false">Inputs!$C$6</definedName>
    <definedName function="false" hidden="false" name="PILE_N_LARGE" vbProcedure="false">Inputs!$C$25</definedName>
    <definedName function="false" hidden="false" name="PILE_N_SMALL" vbProcedure="false">Inputs!$C$24</definedName>
    <definedName function="false" hidden="false" name="PILE_SP" vbProcedure="false">Inputs!$C$22</definedName>
    <definedName function="false" hidden="false" name="PILE_THR" vbProcedure="false">Inputs!$C$23</definedName>
    <definedName function="false" hidden="false" name="PIPE_T1" vbProcedure="false">Inputs!$C$48</definedName>
    <definedName function="false" hidden="false" name="PIPE_T2" vbProcedure="false">Inputs!$C$49</definedName>
    <definedName function="false" hidden="false" name="R_BF" vbProcedure="false">Inputs!$C$54</definedName>
    <definedName function="false" hidden="false" name="R_DW" vbProcedure="false">Inputs!$C$39</definedName>
    <definedName function="false" hidden="false" name="R_EXO" vbProcedure="false">Inputs!$C$42</definedName>
    <definedName function="false" hidden="false" name="R_EXS" vbProcedure="false">Inputs!$C$41</definedName>
    <definedName function="false" hidden="false" name="R_EXT" vbProcedure="false">Inputs!$C$55</definedName>
    <definedName function="false" hidden="false" name="R_PILE" vbProcedure="false">Inputs!$C$37</definedName>
    <definedName function="false" hidden="false" name="R_PIPE_L" vbProcedure="false">Inputs!$C$45</definedName>
    <definedName function="false" hidden="false" name="R_PIPE_M" vbProcedure="false">Inputs!$C$46</definedName>
    <definedName function="false" hidden="false" name="R_PIPE_S" vbProcedure="false">Inputs!$C$47</definedName>
    <definedName function="false" hidden="false" name="R_PLAT" vbProcedure="false">Inputs!$C$36</definedName>
    <definedName function="false" hidden="false" name="R_SHEET" vbProcedure="false">Inputs!$C$38</definedName>
    <definedName function="false" hidden="false" name="R_SLAB" vbProcedure="false">Inputs!$C$43</definedName>
    <definedName function="false" hidden="false" name="R_TEST" vbProcedure="false">Inputs!$C$53</definedName>
    <definedName function="false" hidden="false" name="SHEET_RATIO" vbProcedure="false">Inputs!$C$26</definedName>
    <definedName function="false" hidden="false" name="SLAB" vbProcedure="false">Inputs!$C$9</definedName>
    <definedName function="false" hidden="false" name="SLABOVH" vbProcedure="false">Inputs!$C$10</definedName>
    <definedName function="false" hidden="false" name="SLAB_CURE" vbProcedure="false">Inputs!$C$44</definedName>
    <definedName function="false" hidden="false" name="SLOPE_A" vbProcedure="false">Inputs!$C$12</definedName>
    <definedName function="false" hidden="false" name="SLOPE_B" vbProcedure="false">Inputs!$C$13</definedName>
    <definedName function="false" hidden="false" name="START" vbProcedure="false">Inputs!$C$28</definedName>
    <definedName function="false" hidden="false" name="TEST_D" vbProcedure="false">Inputs!$C$52</definedName>
    <definedName function="false" hidden="false" name="TIE_D" vbProcedure="false">Inputs!$C$51</definedName>
    <definedName function="false" hidden="false" name="WD" vbProcedure="false">Inputs!$C$32</definedName>
    <definedName function="false" hidden="false" name="WP_LIMIT" vbProcedure="false">Inputs!$C$16</definedName>
    <definedName function="false" hidden="false" name="WS" vbProcedure="false">Inputs!$C$11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<sst xmlns="http://schemas.openxmlformats.org/spreadsheetml/2006/main" count="50918" uniqueCount="6093">
  <si>
    <t xml:space="preserve">Alex West - underground pipe construction sequence and methodology</t>
  </si>
  <si>
    <t xml:space="preserve">Prepared 22 Oct 2026 by Claude for Mohamed. Planning workbook: not a design, temporary-works or construction approval.</t>
  </si>
  <si>
    <t xml:space="preserve">What it is</t>
  </si>
  <si>
    <t xml:space="preserve">A sequence, methodology and logic-linked activity programme for the 201 pipe packages (45 lines) of the v3 package workbook, re-checked for groundwater at -1.50 and with every pipe carried on piles and a piled slab.</t>
  </si>
  <si>
    <t xml:space="preserve">Inputs used</t>
  </si>
  <si>
    <t xml:space="preserve">1. Alex-West-Pipe-Execution-Packages-All-Lines.xlsx (v3, 21 Oct 2026): packages, pieces, levels, nearest structures and piles, holds, sequence notes.</t>
  </si>
  <si>
    <t xml:space="preserve">2. Alex-West-Combined-Coordination.blend (19 Oct 2026): aeration pile status for 3,672 piles (data date 17 Oct 2026), agreed aeration piling zone order, recorded weekly piling production, structure register (stage and open gaps). Check: pile counts near UG-02-S03 reproduce the package workbook (31 within 15 m, 18 pending).</t>
  </si>
  <si>
    <t xml:space="preserve">3. Decisions (Mohamed, 22 Oct 2026): groundwater level -1.50; all pipes need piles and foundations; shoring where needed.</t>
  </si>
  <si>
    <t xml:space="preserve">4. The web viewer link could not be opened from this environment (host blocked); the .blend file was used instead.</t>
  </si>
  <si>
    <t xml:space="preserve">Sheets</t>
  </si>
  <si>
    <t xml:space="preserve">Methodology - step-by-step method, plant, hold points and the sequencing rules.</t>
  </si>
  <si>
    <t xml:space="preserve">Inputs - levels, groundwater, slopes, pile layout, gates and productivity (yellow = edit).</t>
  </si>
  <si>
    <t xml:space="preserve">Aeration - pile status by zone from the model, actual production rate, forecast zone completion that gates nearby pipe packages.</t>
  </si>
  <si>
    <t xml:space="preserve">Structures - enter the date each structure is ready for tie-in (no progress data for these in the model).</t>
  </si>
  <si>
    <t xml:space="preserve">Fronts - eight work fronts, crew numbers (yellow; 2 crews by default on fronts over 1.3 km) and front start / finish.</t>
  </si>
  <si>
    <t xml:space="preserve">Packages - method (open cut / sheet piles), excavation, slab, backfill, piles, sheet piles, dewatering, flotation check and dates per package.</t>
  </si>
  <si>
    <t xml:space="preserve">Activities - 2,211 activities (11 per package) with formula-driven durations and dates; Relationships - the same logic as a P6 / MS Project import list.</t>
  </si>
  <si>
    <t xml:space="preserve">Programme - front and line summary with a monthly bar chart and monthly counts of activities and piles. Sensitivity - sheet-piled length under other ground rules.</t>
  </si>
  <si>
    <t xml:space="preserve">Piece check - the piece-level method, volume and flotation calculations behind Packages.</t>
  </si>
  <si>
    <t xml:space="preserve">How the logic works</t>
  </si>
  <si>
    <t xml:space="preserve">Within a package: ladder (start-to-start at LADDER share of the predecessor, finish-to-finish FFLAG). Across packages: crew continuity per front, deeper line first, shared-trench excavation together, tie-in closure after the adjacent run, gates (DLU approval, pile design, crossing identification, structure readiness, aeration zones).</t>
  </si>
  <si>
    <t xml:space="preserve">Dates are calendar dates; a finish date is the start of the next free day. Working days convert to calendar days by x 7 / WD.</t>
  </si>
  <si>
    <t xml:space="preserve">Six shared-trench backfill holds could not be linked without creating a logic loop; they are marked COORDINATE ON SITE in the Packages "Interactions" column.</t>
  </si>
  <si>
    <t xml:space="preserve">What drives the dates now</t>
  </si>
  <si>
    <t xml:space="preserve">START is an example (1 Dec 2026). DLU approval, pile design and crossing-identification dates are set equal to START, so they do not constrain yet. Structure readiness is blank. Enter these and the programme recalculates. Productivity values are assumptions except pipe piling, which is calibrated to the site aeration piling.</t>
  </si>
  <si>
    <t xml:space="preserve">Holds that apply to every package</t>
  </si>
  <si>
    <t xml:space="preserve">All holds of the package workbook remain (vertical datum not verified, envelope levels, interpolated levels, slab basis, missing pile layouts, structures not in the master). New: groundwater design value, slopes below GWL and the depth limit for open cut are assumptions for geotechnical confirmation; pipe pile layout is a placeholder.</t>
  </si>
  <si>
    <t xml:space="preserve">Colour key</t>
  </si>
  <si>
    <t xml:space="preserve">Blue text = input or source data; black = formula; green = formula pulling from another sheet; yellow fill = edit.</t>
  </si>
  <si>
    <t xml:space="preserve">Construction methodology - buried GRP / HDPE pipes on piled slabs, groundwater at -1.50</t>
  </si>
  <si>
    <t xml:space="preserve">Planning methodology for sequencing and resourcing. Not a temporary-works design or a method statement for approval.</t>
  </si>
  <si>
    <t xml:space="preserve">Step</t>
  </si>
  <si>
    <t xml:space="preserve">Activity (code)</t>
  </si>
  <si>
    <t xml:space="preserve">Method</t>
  </si>
  <si>
    <t xml:space="preserve">Plant / crew</t>
  </si>
  <si>
    <t xml:space="preserve">Hold points and checks</t>
  </si>
  <si>
    <t xml:space="preserve">Quantity / duration basis</t>
  </si>
  <si>
    <t xml:space="preserve">1</t>
  </si>
  <si>
    <t xml:space="preserve">Release (A010)</t>
  </si>
  <si>
    <t xml:space="preserve">Package released only when: DLU-002 approved (Rev 03 is Issued for Approval); pile and slab design approved; the connected structure is ready for tie-in packages; aeration piling in the adjacent zone is complete where open aeration piles are within 15 m; unassigned crossing pipes identified (UG-01-S02, UG-02-S04, UG-03-S03).</t>
  </si>
  <si>
    <t xml:space="preserve">Planning / engineering</t>
  </si>
  <si>
    <t xml:space="preserve">IFC drawing; pile design; permit to dig; structure handover certificate; aeration zone piling complete.</t>
  </si>
  <si>
    <t xml:space="preserve">Gates on Inputs, Structures and Aeration sheets.</t>
  </si>
  <si>
    <t xml:space="preserve">2</t>
  </si>
  <si>
    <t xml:space="preserve">Set-out and working platform (A020)</t>
  </si>
  <si>
    <t xml:space="preserve">Survey pipe axis, slab edges, pile positions and sheet lines. Trial pits / scanning at every crossing listed on Packages. Granular working platform at NG for piling rigs and cranes on very soft clay; platform designed for rig track pressure.</t>
  </si>
  <si>
    <t xml:space="preserve">Survey team, dozer, roller</t>
  </si>
  <si>
    <t xml:space="preserve">Platform bearing check (plate test) before rig access.</t>
  </si>
  <si>
    <t xml:space="preserve">Plan length / R_PLAT.</t>
  </si>
  <si>
    <t xml:space="preserve">3</t>
  </si>
  <si>
    <t xml:space="preserve">Pipe-support piling (A030)</t>
  </si>
  <si>
    <t xml:space="preserve">All pipes are carried on piles and a piled slab. Install piles from the platform at NG BEFORE excavation (CFA or bored, 600 mm assumed), concreting to above cut-off and leaving the empty-bore length to the slab soffit. Rigs follow the front order; near structures and aeration piles keep the agreed clearances.</t>
  </si>
  <si>
    <t xml:space="preserve">1-2 rigs per front (Fronts sheet); site actual 5.4 piles / rig / day, 5.0 used</t>
  </si>
  <si>
    <t xml:space="preserve">Pile records, integrity tests on every pile, preliminary load test before production.</t>
  </si>
  <si>
    <t xml:space="preserve">Piles = (length / PILE_SP + 1) x piles per row - placeholder until pile design.</t>
  </si>
  <si>
    <t xml:space="preserve">4</t>
  </si>
  <si>
    <t xml:space="preserve">Sheet piles (A040)</t>
  </si>
  <si>
    <t xml:space="preserve">Where the Piece check says sheet piles (open cut does not fit beside a structure / pile, or excavation is deeper than MAXOC below GWL): install interlocking steel sheets both sides after piling, with a toe in the soft clay for cut-off and base stability. Press-in (silent) method within 10 m of structures and fresh piles to limit vibration.</t>
  </si>
  <si>
    <t xml:space="preserve">Sheet pile gang with vibro / press-in rig and crane</t>
  </si>
  <si>
    <t xml:space="preserve">Temporary works design: embedment, struts, base heave, hydraulic cut-off.</t>
  </si>
  <si>
    <t xml:space="preserve">Wall = 2 x shored length; sheet length = depth x SHEET_RATIO.</t>
  </si>
  <si>
    <t xml:space="preserve">5</t>
  </si>
  <si>
    <t xml:space="preserve">Dewatering (A050)</t>
  </si>
  <si>
    <t xml:space="preserve">Groundwater at -1.50 and excavation bottoms down to -7.6 (199 of 201 packages below GWL, up to 6.1 m) mean almost every package is dewatered. Wellpoints along the trench to 0.5 m below formation; deep wells or two-stage wellpoints where drawdown exceeds 4.5 m. Draw down for at least DW_DRAW days before excavation. Monitor levels next to existing structures and fresh piles (settlement / negative skin friction).</t>
  </si>
  <si>
    <t xml:space="preserve">Dewatering subcontractor, standby pumps and power</t>
  </si>
  <si>
    <t xml:space="preserve">Piezometers; settlement markers on structures within 15 m; discharge permit and silt treatment.</t>
  </si>
  <si>
    <t xml:space="preserve">Drawdown = GWL - (R - DD_BELOW); method on Packages.</t>
  </si>
  <si>
    <t xml:space="preserve">6</t>
  </si>
  <si>
    <t xml:space="preserve">Excavation and strutting (A060)</t>
  </si>
  <si>
    <t xml:space="preserve">Excavate in layers, installing walings and struts as each level is reached. Keep the excavator off the edge in soft clay; stockpile away from the trench. Excavate evenly around the installed piles so they are not pushed sideways. Deeper lines are excavated, laid and backfilled before a shallower line in the same corridor; lines in a shared trench are opened together.</t>
  </si>
  <si>
    <t xml:space="preserve">Long-reach excavator / clamshell, trucks</t>
  </si>
  <si>
    <t xml:space="preserve">Formation inspection; pile head exposure survey; strut loads.</t>
  </si>
  <si>
    <t xml:space="preserve">Shored m3 / R_EXS + open-cut m3 / R_EXO.</t>
  </si>
  <si>
    <t xml:space="preserve">7</t>
  </si>
  <si>
    <t xml:space="preserve">Piled slab (A070)</t>
  </si>
  <si>
    <t xml:space="preserve">Break down pile heads to cut-off, blinding, reinforcement with pile starter bars, cast the 0.50 m piled slab (pipe cradle or anchor straps cast in where the flotation check needs them). Cure before pipe load.</t>
  </si>
  <si>
    <t xml:space="preserve">Concrete gang, pump</t>
  </si>
  <si>
    <t xml:space="preserve">Pile head inspection; rebar inspection before pour; cube results.</t>
  </si>
  <si>
    <t xml:space="preserve">Length / R_SLAB + SLAB_CURE.</t>
  </si>
  <si>
    <t xml:space="preserve">8</t>
  </si>
  <si>
    <t xml:space="preserve">Pipe laying and jointing (A080)</t>
  </si>
  <si>
    <t xml:space="preserve">Lay from the downstream end upwards (gravity lines). GRP: bell and spigot joints with a crane and lifting beam; HDPE: butt fusion off-line, lowered in strings. Fittings and thrust restraint as drawn. Tie-in packages are laid last as the closure to the structure, once the structure is ready.</t>
  </si>
  <si>
    <t xml:space="preserve">Pipe crew + crane per front; fusion machine for HDPE</t>
  </si>
  <si>
    <t xml:space="preserve">Joint test per joint (GRP); fusion records (HDPE); alignment and level survey.</t>
  </si>
  <si>
    <t xml:space="preserve">Length / pipe rate by OD + fittings x FIT_D + TIE_D at tie-ins.</t>
  </si>
  <si>
    <t xml:space="preserve">9</t>
  </si>
  <si>
    <t xml:space="preserve">Surround and testing (A090)</t>
  </si>
  <si>
    <t xml:space="preserve">Granular haunch and surround placed and compacted evenly both sides (flexible pipes). Line test by section.</t>
  </si>
  <si>
    <t xml:space="preserve">Pipe crew</t>
  </si>
  <si>
    <t xml:space="preserve">Deflection check (GRP); hydrostatic / air test.</t>
  </si>
  <si>
    <t xml:space="preserve">TEST_D + length / R_TEST.</t>
  </si>
  <si>
    <t xml:space="preserve">10</t>
  </si>
  <si>
    <t xml:space="preserve">Backfill (A100)</t>
  </si>
  <si>
    <t xml:space="preserve">Backfill in layers to NG, removing struts progressively as the fill reaches each level. Shared-trench pipes are all laid before backfill starts. Keep dewatering running until the flotation check is met (Packages column "Flotation action"): empty pipes below -1.50 can float.</t>
  </si>
  <si>
    <t xml:space="preserve">Excavator, compactors</t>
  </si>
  <si>
    <t xml:space="preserve">Compaction tests; flotation check before switching off pumps.</t>
  </si>
  <si>
    <t xml:space="preserve">Backfill m3 / R_BF.</t>
  </si>
  <si>
    <t xml:space="preserve">11</t>
  </si>
  <si>
    <t xml:space="preserve">Dewatering off, extract sheets (A110)</t>
  </si>
  <si>
    <t xml:space="preserve">Switch off and remove dewatering only after the fill is heavy enough (or the pipe is strapped to the slab). Extract sheet piles slowly, grouting voids near pipes and structures. Reinstate the platform / surface.</t>
  </si>
  <si>
    <t xml:space="preserve">Crane with vibro extractor</t>
  </si>
  <si>
    <t xml:space="preserve">Survey pipe level after pumps off; settlement monitoring.</t>
  </si>
  <si>
    <t xml:space="preserve">Wall m / R_EXT.</t>
  </si>
  <si>
    <t xml:space="preserve">Sequencing rules (whole network)</t>
  </si>
  <si>
    <t xml:space="preserve">1) Eight fronts by system (Fronts sheet). A shared-trench corridor that crosses systems is built by one front (the one holding most of its length; 30 packages moved). 2) Within a front: deeper lines first, downstream first; shared-trench packages back to back along the corridor. 3) Deeper-first links between packages within 8 m with excavation bottoms more than 1 m apart. 4) Shared trench (bottoms within 1 m): excavate together, backfill only after all its pipes are laid (6 such holds are site coordination items - see Packages). 5) Set-out runs one package ahead of piling; dewatering is timed so drawdown completes when the excavation crew is free. 6) Tie-ins follow the adjacent run, wait for the structure and close the line. 7) Packages within 15 m of open aeration piles wait for that zone, in the agreed zone order. 8) Pipe piling waits for pile design approval; nothing starts before DLU-002 approval.</t>
  </si>
  <si>
    <t xml:space="preserve">Pending decisions: GWL design value confirmation; slope and depth-limit rules; pile layout; structure readiness dates.</t>
  </si>
  <si>
    <t xml:space="preserve">Rig planning note</t>
  </si>
  <si>
    <t xml:space="preserve">8 rigs are on aeration piling at about 5.4 piles / rig / working day (measured from the model). 1,587 open aeration piles remain; at that rate they finish around end November 2026 (Aeration sheet). Pipe-support piling (about 5,800 piles on the placeholder layout) peaks at about 13 equivalent rigs in the first months (Programme sheet, row Rigs), so releasing the aeration rigs to the pipe fronts is the natural hand-over.</t>
  </si>
  <si>
    <t xml:space="preserve">Inputs - levels, ground, groundwater, piles, programme gates and productivity</t>
  </si>
  <si>
    <t xml:space="preserve">Yellow = edit. Every quantity, method flag, duration and date in this workbook recalculates from these cells.</t>
  </si>
  <si>
    <t xml:space="preserve">Name</t>
  </si>
  <si>
    <t xml:space="preserve">Description</t>
  </si>
  <si>
    <t xml:space="preserve">Value</t>
  </si>
  <si>
    <t xml:space="preserve">Unit</t>
  </si>
  <si>
    <t xml:space="preserve">Source / status</t>
  </si>
  <si>
    <t xml:space="preserve">Levels and ground</t>
  </si>
  <si>
    <t xml:space="preserve">NG</t>
  </si>
  <si>
    <t xml:space="preserve">Adopted natural ground level</t>
  </si>
  <si>
    <t xml:space="preserve">m</t>
  </si>
  <si>
    <t xml:space="preserve">Package workbook Inputs (D-004, Mohamed 20 Oct 2026). Single site value.</t>
  </si>
  <si>
    <t xml:space="preserve">FL</t>
  </si>
  <si>
    <t xml:space="preserve">Finished ground level</t>
  </si>
  <si>
    <t xml:space="preserve">Package workbook Inputs (D-004; DLU sections FGL +1.00).</t>
  </si>
  <si>
    <t xml:space="preserve">GWL</t>
  </si>
  <si>
    <t xml:space="preserve">Groundwater level for design of temporary works</t>
  </si>
  <si>
    <t xml:space="preserve">Mohamed, 22 Oct 2026.</t>
  </si>
  <si>
    <t xml:space="preserve">SLAB</t>
  </si>
  <si>
    <t xml:space="preserve">Piled slab + blinding below external pipe bottom (excavation bottom R = pipe bottom - SLAB)</t>
  </si>
  <si>
    <t xml:space="preserve">D-001, user-stated basis. All pipes on piles and a piled slab (Mohamed, 22 Oct 2026). No pile/slab design yet.</t>
  </si>
  <si>
    <t xml:space="preserve">SLABOVH</t>
  </si>
  <si>
    <t xml:space="preserve">Piled slab overhang beyond pipe outside, each side</t>
  </si>
  <si>
    <t xml:space="preserve">ASSUMPTION for concrete quantity only.</t>
  </si>
  <si>
    <t xml:space="preserve">WS</t>
  </si>
  <si>
    <t xml:space="preserve">Working space, pipe outside to trench toe / sheet line</t>
  </si>
  <si>
    <t xml:space="preserve">AGREED by Mohamed, 21 Oct 2026.</t>
  </si>
  <si>
    <t xml:space="preserve">SLOPE_A</t>
  </si>
  <si>
    <t xml:space="preserve">Open-cut side slope above GWL (H per 1 V)</t>
  </si>
  <si>
    <t xml:space="preserve">H:V</t>
  </si>
  <si>
    <t xml:space="preserve">ASSUMPTION (very soft silty clay). Package workbook value.</t>
  </si>
  <si>
    <t xml:space="preserve">SLOPE_B</t>
  </si>
  <si>
    <t xml:space="preserve">Open-cut side slope below GWL, dewatered (H per 1 V)</t>
  </si>
  <si>
    <t xml:space="preserve">ASSUMPTION: flatter below water in soft clay. Geotechnical confirmation needed.</t>
  </si>
  <si>
    <t xml:space="preserve">MAXOC</t>
  </si>
  <si>
    <t xml:space="preserve">Maximum excavation depth below GWL allowed in open cut (deeper = sheet piles regardless of space)</t>
  </si>
  <si>
    <t xml:space="preserve">ASSUMPTION: base heave / slope stability limit in soft clay below water. See Sensitivity sheet.</t>
  </si>
  <si>
    <t xml:space="preserve">DD_BELOW</t>
  </si>
  <si>
    <t xml:space="preserve">Drawdown target below excavation formation</t>
  </si>
  <si>
    <t xml:space="preserve">Planning rule of thumb.</t>
  </si>
  <si>
    <t xml:space="preserve">WP_LIMIT</t>
  </si>
  <si>
    <t xml:space="preserve">Maximum drawdown for single-stage wellpoints</t>
  </si>
  <si>
    <t xml:space="preserve">Planning rule of thumb; deeper needs deep wells / two stages.</t>
  </si>
  <si>
    <t xml:space="preserve">GAM_D</t>
  </si>
  <si>
    <t xml:space="preserve">Unit weight of backfill above GWL</t>
  </si>
  <si>
    <t xml:space="preserve">kN/m3</t>
  </si>
  <si>
    <t xml:space="preserve">ASSUMPTION.</t>
  </si>
  <si>
    <t xml:space="preserve">GAM_S</t>
  </si>
  <si>
    <t xml:space="preserve">Saturated unit weight of backfill below GWL</t>
  </si>
  <si>
    <t xml:space="preserve">GAM_W</t>
  </si>
  <si>
    <t xml:space="preserve">Unit weight of water</t>
  </si>
  <si>
    <t xml:space="preserve">Physical constant.</t>
  </si>
  <si>
    <t xml:space="preserve">FOS_FLOT</t>
  </si>
  <si>
    <t xml:space="preserve">Required factor of safety against pipe flotation (empty pipe, pipe weight ignored)</t>
  </si>
  <si>
    <t xml:space="preserve">-</t>
  </si>
  <si>
    <t xml:space="preserve">Planning check value.</t>
  </si>
  <si>
    <t xml:space="preserve">Pipe-support piles and sheet piles (no pile design available - layout is a planning placeholder)</t>
  </si>
  <si>
    <t xml:space="preserve">PILE_SP</t>
  </si>
  <si>
    <t xml:space="preserve">Longitudinal spacing of pile rows under the pipe slab</t>
  </si>
  <si>
    <t xml:space="preserve">ASSUMPTION - replace with pile design.</t>
  </si>
  <si>
    <t xml:space="preserve">PILE_THR</t>
  </si>
  <si>
    <t xml:space="preserve">Outside diameter at or above which two piles per row are used</t>
  </si>
  <si>
    <t xml:space="preserve">PILE_N_SMALL</t>
  </si>
  <si>
    <t xml:space="preserve">Piles per row below the threshold</t>
  </si>
  <si>
    <t xml:space="preserve">no.</t>
  </si>
  <si>
    <t xml:space="preserve">PILE_N_LARGE</t>
  </si>
  <si>
    <t xml:space="preserve">Piles per row at or above the threshold</t>
  </si>
  <si>
    <t xml:space="preserve">SHEET_RATIO</t>
  </si>
  <si>
    <t xml:space="preserve">Sheet pile length / excavation depth from NG (embedment in soft clay)</t>
  </si>
  <si>
    <t xml:space="preserve">ASSUMPTION - temporary works design to confirm.</t>
  </si>
  <si>
    <t xml:space="preserve">Programme gates and calendar</t>
  </si>
  <si>
    <t xml:space="preserve">START</t>
  </si>
  <si>
    <t xml:space="preserve">Pipe works mobilisation (earliest start of any package)</t>
  </si>
  <si>
    <t xml:space="preserve">date</t>
  </si>
  <si>
    <t xml:space="preserve">EXAMPLE - replace with the planned mobilisation date.</t>
  </si>
  <si>
    <t xml:space="preserve">D_DLU</t>
  </si>
  <si>
    <t xml:space="preserve">DLU-002 approved / IFC (Rev 03 is Issued for Approval)</t>
  </si>
  <si>
    <t xml:space="preserve">Not yet known - currently equal to START (not constraining). Enter the forecast approval date.</t>
  </si>
  <si>
    <t xml:space="preserve">D_PILEDES</t>
  </si>
  <si>
    <t xml:space="preserve">Pipe pile and slab design approved</t>
  </si>
  <si>
    <t xml:space="preserve">Not yet known - currently equal to START (not constraining). Gates all pipe piling.</t>
  </si>
  <si>
    <t xml:space="preserve">D_XING</t>
  </si>
  <si>
    <t xml:space="preserve">Unassigned crossing pipes P0114 / P0117 / P0279 identified</t>
  </si>
  <si>
    <t xml:space="preserve">Not yet known - gates excavation of UG-01-S02, UG-02-S04, UG-03-S03.</t>
  </si>
  <si>
    <t xml:space="preserve">WD</t>
  </si>
  <si>
    <t xml:space="preserve">Working days per week</t>
  </si>
  <si>
    <t xml:space="preserve">days</t>
  </si>
  <si>
    <t xml:space="preserve">Site calendar Sat-Thu (calendar days = working days x 7 / WD).</t>
  </si>
  <si>
    <t xml:space="preserve">LADDER</t>
  </si>
  <si>
    <t xml:space="preserve">Overlap within a package: successor starts after this share of its predecessor</t>
  </si>
  <si>
    <t xml:space="preserve">Planning rule (start-to-start ladder). 1.0 = finish-to-start.</t>
  </si>
  <si>
    <t xml:space="preserve">FFLAG</t>
  </si>
  <si>
    <t xml:space="preserve">Finish-to-finish lag between consecutive activities in a package</t>
  </si>
  <si>
    <t xml:space="preserve">cal. days</t>
  </si>
  <si>
    <t xml:space="preserve">Planning rule.</t>
  </si>
  <si>
    <t xml:space="preserve">Productivity per crew / rig (per working day)</t>
  </si>
  <si>
    <t xml:space="preserve">R_PLAT</t>
  </si>
  <si>
    <t xml:space="preserve">Set-out, crossing survey and working platform</t>
  </si>
  <si>
    <t xml:space="preserve">m/day</t>
  </si>
  <si>
    <t xml:space="preserve">R_PILE</t>
  </si>
  <si>
    <t xml:space="preserve">Pipe-support piles per rig (600 mm assumed)</t>
  </si>
  <si>
    <t xml:space="preserve">piles/day</t>
  </si>
  <si>
    <t xml:space="preserve">Site actual on aeration 600 mm piling = 5.4 (last 4 full weeks, Aeration sheet). 5.0 used for the longer empty bore from NG.</t>
  </si>
  <si>
    <t xml:space="preserve">R_SHEET</t>
  </si>
  <si>
    <t xml:space="preserve">Sheet pile installation (vibro / press-in near structures)</t>
  </si>
  <si>
    <t xml:space="preserve">m wall/day</t>
  </si>
  <si>
    <t xml:space="preserve">R_DW</t>
  </si>
  <si>
    <t xml:space="preserve">Dewatering installation along the trench</t>
  </si>
  <si>
    <t xml:space="preserve">DW_DRAW</t>
  </si>
  <si>
    <t xml:space="preserve">Drawdown period before excavation</t>
  </si>
  <si>
    <t xml:space="preserve">ASSUMPTION - soft silty clay is slow to drain.</t>
  </si>
  <si>
    <t xml:space="preserve">R_EXS</t>
  </si>
  <si>
    <t xml:space="preserve">Excavation in a strutted sheet-piled trench</t>
  </si>
  <si>
    <t xml:space="preserve">m3/day</t>
  </si>
  <si>
    <t xml:space="preserve">R_EXO</t>
  </si>
  <si>
    <t xml:space="preserve">Excavation in dewatered open cut</t>
  </si>
  <si>
    <t xml:space="preserve">R_SLAB</t>
  </si>
  <si>
    <t xml:space="preserve">Pile trimming, blinding and piled slab (rebar, form, pour)</t>
  </si>
  <si>
    <t xml:space="preserve">SLAB_CURE</t>
  </si>
  <si>
    <t xml:space="preserve">Slab cure before pipe loading</t>
  </si>
  <si>
    <t xml:space="preserve">R_PIPE_L</t>
  </si>
  <si>
    <t xml:space="preserve">Pipe laying, outside diameter &gt;= PIPE_T1</t>
  </si>
  <si>
    <t xml:space="preserve">R_PIPE_M</t>
  </si>
  <si>
    <t xml:space="preserve">Pipe laying, PIPE_T2 &lt;= outside diameter &lt; PIPE_T1</t>
  </si>
  <si>
    <t xml:space="preserve">R_PIPE_S</t>
  </si>
  <si>
    <t xml:space="preserve">Pipe laying, outside diameter &lt; PIPE_T2</t>
  </si>
  <si>
    <t xml:space="preserve">PIPE_T1</t>
  </si>
  <si>
    <t xml:space="preserve">Large-diameter threshold</t>
  </si>
  <si>
    <t xml:space="preserve">PIPE_T2</t>
  </si>
  <si>
    <t xml:space="preserve">Medium-diameter threshold</t>
  </si>
  <si>
    <t xml:space="preserve">FIT_D</t>
  </si>
  <si>
    <t xml:space="preserve">Extra time per fitting (elbow, tee, reducer)</t>
  </si>
  <si>
    <t xml:space="preserve">TIE_D</t>
  </si>
  <si>
    <t xml:space="preserve">Structure connection (puddle flange / grouting) per tie-in package</t>
  </si>
  <si>
    <t xml:space="preserve">TEST_D</t>
  </si>
  <si>
    <t xml:space="preserve">Joint and line test, fixed time per package</t>
  </si>
  <si>
    <t xml:space="preserve">R_TEST</t>
  </si>
  <si>
    <t xml:space="preserve">Surround and testing progress</t>
  </si>
  <si>
    <t xml:space="preserve">R_BF</t>
  </si>
  <si>
    <t xml:space="preserve">Backfill and compaction in layers</t>
  </si>
  <si>
    <t xml:space="preserve">R_EXT</t>
  </si>
  <si>
    <t xml:space="preserve">Sheet pile extraction</t>
  </si>
  <si>
    <t xml:space="preserve">Aeration piling status and zone forecast (from the 3D model)</t>
  </si>
  <si>
    <t xml:space="preserve">Source: Alex-West-Combined-Coordination.blend, scene "AW-AER Piles Actual - 2026-10-18"; tracking data date 17 Oct 2026. Done = recorded execution, not acceptance. Agreed piling order (18 Oct 2026): Zones 1, 2, 3, then 5 and 4 together, then 6, then 7, then 8.</t>
  </si>
  <si>
    <t xml:space="preserve">Zone</t>
  </si>
  <si>
    <t xml:space="preserve">Group order</t>
  </si>
  <si>
    <t xml:space="preserve">Done</t>
  </si>
  <si>
    <t xml:space="preserve">Pending</t>
  </si>
  <si>
    <t xml:space="preserve">Defect</t>
  </si>
  <si>
    <t xml:space="preserve">Unknown</t>
  </si>
  <si>
    <t xml:space="preserve">Open piles to complete (pending + defect)</t>
  </si>
  <si>
    <t xml:space="preserve">Cumulative open piles in agreed order</t>
  </si>
  <si>
    <t xml:space="preserve">Forecast zone piling complete</t>
  </si>
  <si>
    <t xml:space="preserve">Pipe packages gated</t>
  </si>
  <si>
    <t xml:space="preserve">Total</t>
  </si>
  <si>
    <t xml:space="preserve">Production basis</t>
  </si>
  <si>
    <t xml:space="preserve">AER_DATA</t>
  </si>
  <si>
    <t xml:space="preserve">Tracking data date</t>
  </si>
  <si>
    <t xml:space="preserve">From model properties (Tracking_Data_Date).</t>
  </si>
  <si>
    <t xml:space="preserve">AER_RIGS</t>
  </si>
  <si>
    <t xml:space="preserve">Rigs assumed to stay on aeration piling</t>
  </si>
  <si>
    <t xml:space="preserve">Model: 8 rigs active in the last two recorded weeks. Edit if rigs move to pipe piling earlier.</t>
  </si>
  <si>
    <t xml:space="preserve">AER_ACT</t>
  </si>
  <si>
    <t xml:space="preserve">Actual rate, last 4 full weeks (piles per rig per working day)</t>
  </si>
  <si>
    <t xml:space="preserve">Formula from the weekly table below.</t>
  </si>
  <si>
    <t xml:space="preserve">AER_OVR</t>
  </si>
  <si>
    <t xml:space="preserve">Override rate (blank = use actual)</t>
  </si>
  <si>
    <t xml:space="preserve">Optional.</t>
  </si>
  <si>
    <t xml:space="preserve">AER_RATE</t>
  </si>
  <si>
    <t xml:space="preserve">Rate used for the forecast</t>
  </si>
  <si>
    <t xml:space="preserve">Recorded production by week (from execution dates on the pile objects)</t>
  </si>
  <si>
    <t xml:space="preserve">Week from</t>
  </si>
  <si>
    <t xml:space="preserve">Piles executed</t>
  </si>
  <si>
    <t xml:space="preserve">Rigs active</t>
  </si>
  <si>
    <t xml:space="preserve">Piles / rig / working day</t>
  </si>
  <si>
    <t xml:space="preserve">Week to data date (17 Oct) - may be partial; excluded from the rate.</t>
  </si>
  <si>
    <t xml:space="preserve">Structure readiness for pipe tie-ins</t>
  </si>
  <si>
    <t xml:space="preserve">Yellow = enter the date each structure is ready for a pipe tie-in (wall and penetration built, its excavation backfilled to pipe zone). Blank = not constraining. The 3D model holds no construction progress for these structures (only aeration piles), so these dates must come from the master programme.</t>
  </si>
  <si>
    <t xml:space="preserve">Code</t>
  </si>
  <si>
    <t xml:space="preserve">Structure</t>
  </si>
  <si>
    <t xml:space="preserve">In 3D model</t>
  </si>
  <si>
    <t xml:space="preserve">Model stage (manifest 19 Oct 2026)</t>
  </si>
  <si>
    <t xml:space="preserve">Open gaps (manifest)</t>
  </si>
  <si>
    <t xml:space="preserve">Ready for tie-in (date)</t>
  </si>
  <si>
    <t xml:space="preserve">Tie-in packages</t>
  </si>
  <si>
    <t xml:space="preserve">Date used</t>
  </si>
  <si>
    <t xml:space="preserve">AER</t>
  </si>
  <si>
    <t xml:space="preserve">aeration tank</t>
  </si>
  <si>
    <t xml:space="preserve">Yes</t>
  </si>
  <si>
    <t xml:space="preserve">Structural reconstruction</t>
  </si>
  <si>
    <t xml:space="preserve">Reconcile new CGD/calculation and held features</t>
  </si>
  <si>
    <t xml:space="preserve">CCT</t>
  </si>
  <si>
    <t xml:space="preserve">chlorine contact tank</t>
  </si>
  <si>
    <t xml:space="preserve">Civil Guide Rev01 coordination reconstruction</t>
  </si>
  <si>
    <t xml:space="preserve">Guide structure; OP01/floor discrepancy; consultant comments and common datum / interfaces unverified</t>
  </si>
  <si>
    <t xml:space="preserve">FSTA</t>
  </si>
  <si>
    <t xml:space="preserve">FST A</t>
  </si>
  <si>
    <t xml:space="preserve">Typical structural instance</t>
  </si>
  <si>
    <t xml:space="preserve">Tank-specific attachments, structural applicability and penetration ports</t>
  </si>
  <si>
    <t xml:space="preserve">FSTB</t>
  </si>
  <si>
    <t xml:space="preserve">FST B</t>
  </si>
  <si>
    <t xml:space="preserve">FSTC</t>
  </si>
  <si>
    <t xml:space="preserve">FST C</t>
  </si>
  <si>
    <t xml:space="preserve">FSTD</t>
  </si>
  <si>
    <t xml:space="preserve">FST D</t>
  </si>
  <si>
    <t xml:space="preserve">FSTE</t>
  </si>
  <si>
    <t xml:space="preserve">FST E</t>
  </si>
  <si>
    <t xml:space="preserve">FSTF</t>
  </si>
  <si>
    <t xml:space="preserve">FST F</t>
  </si>
  <si>
    <t xml:space="preserve">FSTG</t>
  </si>
  <si>
    <t xml:space="preserve">FST G</t>
  </si>
  <si>
    <t xml:space="preserve">FSTH</t>
  </si>
  <si>
    <t xml:space="preserve">FST H</t>
  </si>
  <si>
    <t xml:space="preserve">FSTI</t>
  </si>
  <si>
    <t xml:space="preserve">FST I</t>
  </si>
  <si>
    <t xml:space="preserve">FSTJ</t>
  </si>
  <si>
    <t xml:space="preserve">FST J</t>
  </si>
  <si>
    <t xml:space="preserve">FSTK</t>
  </si>
  <si>
    <t xml:space="preserve">FST K</t>
  </si>
  <si>
    <t xml:space="preserve">FSTL</t>
  </si>
  <si>
    <t xml:space="preserve">FST L</t>
  </si>
  <si>
    <t xml:space="preserve">GRT</t>
  </si>
  <si>
    <t xml:space="preserve">grit removal / fine screens</t>
  </si>
  <si>
    <t xml:space="preserve">Guide structural/vendor details, comment closure and common datum; grit footprint discrepancy 0.894m</t>
  </si>
  <si>
    <t xml:space="preserve">IPS</t>
  </si>
  <si>
    <t xml:space="preserve">CGD Rev01 civil envelope</t>
  </si>
  <si>
    <t xml:space="preserve">Common vertical datum, final structural/vendor interfaces; shared hall grouped AW-IPS-SHARED</t>
  </si>
  <si>
    <t xml:space="preserve">PST</t>
  </si>
  <si>
    <t xml:space="preserve">Eight new basins CGD Rev01</t>
  </si>
  <si>
    <t xml:space="preserve">Current approval, guide structural details, outlet throat/baffle dimensions, layout outline differences, common datum and pipe interfaces</t>
  </si>
  <si>
    <t xml:space="preserve">PST08</t>
  </si>
  <si>
    <t xml:space="preserve">PST basin 08</t>
  </si>
  <si>
    <t xml:space="preserve">RASPS</t>
  </si>
  <si>
    <t xml:space="preserve">RAS/WAS pumping station</t>
  </si>
  <si>
    <t xml:space="preserve">SDCA</t>
  </si>
  <si>
    <t xml:space="preserve">secondary distribution chamber A</t>
  </si>
  <si>
    <t xml:space="preserve">CGD Rev02 envelope</t>
  </si>
  <si>
    <t xml:space="preserve">CGD A centre/orientation discrepancy; baffle and hydraulic levels; common vertical datum and pipe interfaces; B stair difference</t>
  </si>
  <si>
    <t xml:space="preserve">SDCB</t>
  </si>
  <si>
    <t xml:space="preserve">secondary distribution chamber B</t>
  </si>
  <si>
    <t xml:space="preserve">SDCC</t>
  </si>
  <si>
    <t xml:space="preserve">secondary distribution chamber C</t>
  </si>
  <si>
    <t xml:space="preserve">WFT</t>
  </si>
  <si>
    <t xml:space="preserve">fire &amp; service water structure (AW-FIRE)</t>
  </si>
  <si>
    <t xml:space="preserve">Civil Guide Rev00 coordination reconstruction</t>
  </si>
  <si>
    <t xml:space="preserve">Revise and Resubmit; hydraulic/penstock/vendor/structural review comments remain open</t>
  </si>
  <si>
    <t xml:space="preserve">WPD</t>
  </si>
  <si>
    <t xml:space="preserve">WAS pre-dewatering building</t>
  </si>
  <si>
    <t xml:space="preserve">BYPCH</t>
  </si>
  <si>
    <t xml:space="preserve">overflow bypass chamber (not modelled)</t>
  </si>
  <si>
    <t xml:space="preserve">No</t>
  </si>
  <si>
    <t xml:space="preserve">Not in master - tie-in position not checked</t>
  </si>
  <si>
    <t xml:space="preserve">CHUG25</t>
  </si>
  <si>
    <t xml:space="preserve">chamber connecting UG-25 (not modelled)</t>
  </si>
  <si>
    <t xml:space="preserve">EXPST</t>
  </si>
  <si>
    <t xml:space="preserve">existing PST (not modelled)</t>
  </si>
  <si>
    <t xml:space="preserve">OUTF</t>
  </si>
  <si>
    <t xml:space="preserve">outfall chamber (not modelled)</t>
  </si>
  <si>
    <t xml:space="preserve">TEPS</t>
  </si>
  <si>
    <t xml:space="preserve">treated effluent pump station (not modelled)</t>
  </si>
  <si>
    <t xml:space="preserve">Work fronts and crews</t>
  </si>
  <si>
    <t xml:space="preserve">Each front runs its run packages in the order on the Activities sheet (deeper lines first, downstream first). Crew numbers (yellow) divide the durations. Tie-in packages are outside the chains and assume a separate tie-in team when the structure is ready. Moving a line to another front needs a rebuild.</t>
  </si>
  <si>
    <t xml:space="preserve">Front</t>
  </si>
  <si>
    <t xml:space="preserve">Lines</t>
  </si>
  <si>
    <t xml:space="preserve">Packages</t>
  </si>
  <si>
    <t xml:space="preserve">Length (m)</t>
  </si>
  <si>
    <t xml:space="preserve">Piles (no.)</t>
  </si>
  <si>
    <t xml:space="preserve">Shored length (m)</t>
  </si>
  <si>
    <t xml:space="preserve">Piling rigs</t>
  </si>
  <si>
    <t xml:space="preserve">Sheet pile gangs</t>
  </si>
  <si>
    <t xml:space="preserve">Excavation gangs</t>
  </si>
  <si>
    <t xml:space="preserve">Slab gangs</t>
  </si>
  <si>
    <t xml:space="preserve">Pipe crews</t>
  </si>
  <si>
    <t xml:space="preserve">Backfill gangs</t>
  </si>
  <si>
    <t xml:space="preserve">Start</t>
  </si>
  <si>
    <t xml:space="preserve">Finish</t>
  </si>
  <si>
    <t xml:space="preserve">Duration (months)</t>
  </si>
  <si>
    <t xml:space="preserve">F1</t>
  </si>
  <si>
    <t xml:space="preserve">Headworks &amp; primary (GRT-PST-IPS)</t>
  </si>
  <si>
    <t xml:space="preserve">UG-01, UG-02, UG-03, UG-04</t>
  </si>
  <si>
    <t xml:space="preserve">F2</t>
  </si>
  <si>
    <t xml:space="preserve">Bypass corridor: IPS bypass and outfall twin</t>
  </si>
  <si>
    <t xml:space="preserve">UG-05, UG-06, UG-24, UG-25, UG-26</t>
  </si>
  <si>
    <t xml:space="preserve">F3</t>
  </si>
  <si>
    <t xml:space="preserve">Distribution &amp; FCT risers</t>
  </si>
  <si>
    <t xml:space="preserve">UG-08, UG-09, UG-10, UG-11B, UG-13A, UG-13B, UG-14E, UG-14F, UG-16B, UG-27J, UG-27K, UG-27L</t>
  </si>
  <si>
    <t xml:space="preserve">F4</t>
  </si>
  <si>
    <t xml:space="preserve">FCT effluent A-H to CCT</t>
  </si>
  <si>
    <t xml:space="preserve">UG-07, UG-07A, UG-15, UG-15A</t>
  </si>
  <si>
    <t xml:space="preserve">F5</t>
  </si>
  <si>
    <t xml:space="preserve">FCT effluent I-L to CCT</t>
  </si>
  <si>
    <t xml:space="preserve">UG-07, UG-11, UG-11B, UG-12, UG-12A</t>
  </si>
  <si>
    <t xml:space="preserve">F6</t>
  </si>
  <si>
    <t xml:space="preserve">Sludge A-D,G,H to RAS/WAS + UG-23</t>
  </si>
  <si>
    <t xml:space="preserve">UG-11, UG-11A, UG-11B, UG-14G, UG-14H, UG-16A, UG-16C, UG-16D, UG-23</t>
  </si>
  <si>
    <t xml:space="preserve">F7</t>
  </si>
  <si>
    <t xml:space="preserve">Sludge I-L,E,F to RAS/WAS</t>
  </si>
  <si>
    <t xml:space="preserve">UG-07A, UG-12, UG-13, UG-13A, UG-13B, UG-23, UG-27I</t>
  </si>
  <si>
    <t xml:space="preserve">F8</t>
  </si>
  <si>
    <t xml:space="preserve">Effluent, outfall &amp; CCT links</t>
  </si>
  <si>
    <t xml:space="preserve">UG-11B, UG-15, UG-15A, UG-17, UG-18, UG-19, UG-20, UG-21, UG-22, UG-28, UG-28A</t>
  </si>
  <si>
    <t xml:space="preserve">All</t>
  </si>
  <si>
    <t xml:space="preserve">All fronts</t>
  </si>
  <si>
    <t xml:space="preserve">Tie-in packages (separate team)</t>
  </si>
  <si>
    <t xml:space="preserve">Piece-level method check with groundwater at GWL</t>
  </si>
  <si>
    <t xml:space="preserve">One row per piece from the package workbook (10 m cuts). Open cut only where the dewatered open-cut reach fits short of the nearest other structure or pile AND the excavation is no deeper than MAXOC below GWL; otherwise sheet piles. Black = formula, blue = source data.</t>
  </si>
  <si>
    <t xml:space="preserve">Line</t>
  </si>
  <si>
    <t xml:space="preserve">Package</t>
  </si>
  <si>
    <t xml:space="preserve">Sub-piece</t>
  </si>
  <si>
    <t xml:space="preserve">Plan length (m)</t>
  </si>
  <si>
    <t xml:space="preserve">Planning OD (m)</t>
  </si>
  <si>
    <t xml:space="preserve">Start R (m)</t>
  </si>
  <si>
    <t xml:space="preserve">End R (m)</t>
  </si>
  <si>
    <t xml:space="preserve">Start crown (m)</t>
  </si>
  <si>
    <t xml:space="preserve">End crown (m)</t>
  </si>
  <si>
    <t xml:space="preserve">Nearest other structure / pile (m)</t>
  </si>
  <si>
    <t xml:space="preserve">R deepest (m)</t>
  </si>
  <si>
    <t xml:space="preserve">R average (m)</t>
  </si>
  <si>
    <t xml:space="preserve">Excavation depth from NG, avg (m)</t>
  </si>
  <si>
    <t xml:space="preserve">Depth below GWL, deepest (m)</t>
  </si>
  <si>
    <t xml:space="preserve">Depth NG to GWL used, deepest (m)</t>
  </si>
  <si>
    <t xml:space="preserve">Open-cut reach from axis (m)</t>
  </si>
  <si>
    <t xml:space="preserve">Depth below GWL, avg (m)</t>
  </si>
  <si>
    <t xml:space="preserve">Depth NG to GWL, avg (m)</t>
  </si>
  <si>
    <t xml:space="preserve">Trench bottom width (m)</t>
  </si>
  <si>
    <t xml:space="preserve">Excavation shored (m3)</t>
  </si>
  <si>
    <t xml:space="preserve">Excavation open cut (m3)</t>
  </si>
  <si>
    <t xml:space="preserve">Piled slab concrete (m3)</t>
  </si>
  <si>
    <t xml:space="preserve">Pipe displacement below NG (m3)</t>
  </si>
  <si>
    <t xml:space="preserve">Flotation FoS start, backfill to NG</t>
  </si>
  <si>
    <t xml:space="preserve">Flotation FoS end, backfill to NG</t>
  </si>
  <si>
    <t xml:space="preserve">Flotation FoS start, final to FL</t>
  </si>
  <si>
    <t xml:space="preserve">Flotation FoS end, final to FL</t>
  </si>
  <si>
    <t xml:space="preserve">UG-01</t>
  </si>
  <si>
    <t xml:space="preserve">UG-01-S01</t>
  </si>
  <si>
    <t xml:space="preserve">P0022-01</t>
  </si>
  <si>
    <t xml:space="preserve">P0022-02</t>
  </si>
  <si>
    <t xml:space="preserve">P0428</t>
  </si>
  <si>
    <t xml:space="preserve">P0429</t>
  </si>
  <si>
    <t xml:space="preserve">UG-01-S02</t>
  </si>
  <si>
    <t xml:space="preserve">P0284-01</t>
  </si>
  <si>
    <t xml:space="preserve">P0284-02</t>
  </si>
  <si>
    <t xml:space="preserve">P0284-03</t>
  </si>
  <si>
    <t xml:space="preserve">P0284-04</t>
  </si>
  <si>
    <t xml:space="preserve">P0284-05</t>
  </si>
  <si>
    <t xml:space="preserve">P0284-06</t>
  </si>
  <si>
    <t xml:space="preserve">P0284-07</t>
  </si>
  <si>
    <t xml:space="preserve">P0284-08</t>
  </si>
  <si>
    <t xml:space="preserve">P0284-09</t>
  </si>
  <si>
    <t xml:space="preserve">P0284-10</t>
  </si>
  <si>
    <t xml:space="preserve">P0284-11</t>
  </si>
  <si>
    <t xml:space="preserve">P0284-12</t>
  </si>
  <si>
    <t xml:space="preserve">P0427</t>
  </si>
  <si>
    <t xml:space="preserve">P0426</t>
  </si>
  <si>
    <t xml:space="preserve">P0023-01</t>
  </si>
  <si>
    <t xml:space="preserve">P0023-02</t>
  </si>
  <si>
    <t xml:space="preserve">P0004</t>
  </si>
  <si>
    <t xml:space="preserve">P0005</t>
  </si>
  <si>
    <t xml:space="preserve">P0001-01</t>
  </si>
  <si>
    <t xml:space="preserve">P0001-02</t>
  </si>
  <si>
    <t xml:space="preserve">P0001-03</t>
  </si>
  <si>
    <t xml:space="preserve">P0001-04</t>
  </si>
  <si>
    <t xml:space="preserve">P0006-01</t>
  </si>
  <si>
    <t xml:space="preserve">P0006-02</t>
  </si>
  <si>
    <t xml:space="preserve">P0007</t>
  </si>
  <si>
    <t xml:space="preserve">P0002-01</t>
  </si>
  <si>
    <t xml:space="preserve">P0002-02</t>
  </si>
  <si>
    <t xml:space="preserve">P0008</t>
  </si>
  <si>
    <t xml:space="preserve">P0009</t>
  </si>
  <si>
    <t xml:space="preserve">P0003-01</t>
  </si>
  <si>
    <t xml:space="preserve">P0003-02</t>
  </si>
  <si>
    <t xml:space="preserve">P0003-03</t>
  </si>
  <si>
    <t xml:space="preserve">P0003-04</t>
  </si>
  <si>
    <t xml:space="preserve">P0003-05</t>
  </si>
  <si>
    <t xml:space="preserve">P0003-06</t>
  </si>
  <si>
    <t xml:space="preserve">P0407</t>
  </si>
  <si>
    <t xml:space="preserve">P0408</t>
  </si>
  <si>
    <t xml:space="preserve">P0285-01</t>
  </si>
  <si>
    <t xml:space="preserve">P0285-02</t>
  </si>
  <si>
    <t xml:space="preserve">P0285-03</t>
  </si>
  <si>
    <t xml:space="preserve">P0285-04</t>
  </si>
  <si>
    <t xml:space="preserve">P0285-05</t>
  </si>
  <si>
    <t xml:space="preserve">P0285-06</t>
  </si>
  <si>
    <t xml:space="preserve">P0728-01</t>
  </si>
  <si>
    <t xml:space="preserve">P0728-02</t>
  </si>
  <si>
    <t xml:space="preserve">P0727</t>
  </si>
  <si>
    <t xml:space="preserve">P0726</t>
  </si>
  <si>
    <t xml:space="preserve">UG-01-S03</t>
  </si>
  <si>
    <t xml:space="preserve">P0175-01</t>
  </si>
  <si>
    <t xml:space="preserve">P0175-02</t>
  </si>
  <si>
    <t xml:space="preserve">P0175-03</t>
  </si>
  <si>
    <t xml:space="preserve">P0175-04</t>
  </si>
  <si>
    <t xml:space="preserve">UG-02</t>
  </si>
  <si>
    <t xml:space="preserve">UG-02-S01</t>
  </si>
  <si>
    <t xml:space="preserve">P0132</t>
  </si>
  <si>
    <t xml:space="preserve">P0131</t>
  </si>
  <si>
    <t xml:space="preserve">P0130</t>
  </si>
  <si>
    <t xml:space="preserve">P0486-01</t>
  </si>
  <si>
    <t xml:space="preserve">P0486-02</t>
  </si>
  <si>
    <t xml:space="preserve">P0487</t>
  </si>
  <si>
    <t xml:space="preserve">UG-02-S02</t>
  </si>
  <si>
    <t xml:space="preserve">P0282-01</t>
  </si>
  <si>
    <t xml:space="preserve">P0282-02</t>
  </si>
  <si>
    <t xml:space="preserve">P0282-03</t>
  </si>
  <si>
    <t xml:space="preserve">P0282-04</t>
  </si>
  <si>
    <t xml:space="preserve">P0282-05</t>
  </si>
  <si>
    <t xml:space="preserve">P0282-06</t>
  </si>
  <si>
    <t xml:space="preserve">P0282-07</t>
  </si>
  <si>
    <t xml:space="preserve">P0282-08</t>
  </si>
  <si>
    <t xml:space="preserve">P0282-09</t>
  </si>
  <si>
    <t xml:space="preserve">UG-02-S03</t>
  </si>
  <si>
    <t xml:space="preserve">P0282-10</t>
  </si>
  <si>
    <t xml:space="preserve">P0282-11</t>
  </si>
  <si>
    <t xml:space="preserve">P0282-12</t>
  </si>
  <si>
    <t xml:space="preserve">P0282-13</t>
  </si>
  <si>
    <t xml:space="preserve">P0282-14</t>
  </si>
  <si>
    <t xml:space="preserve">P0282-15</t>
  </si>
  <si>
    <t xml:space="preserve">P0282-16</t>
  </si>
  <si>
    <t xml:space="preserve">UG-02-S04</t>
  </si>
  <si>
    <t xml:space="preserve">P0282-17</t>
  </si>
  <si>
    <t xml:space="preserve">P0282-18</t>
  </si>
  <si>
    <t xml:space="preserve">P0282-19</t>
  </si>
  <si>
    <t xml:space="preserve">P0282-20</t>
  </si>
  <si>
    <t xml:space="preserve">P0282-21</t>
  </si>
  <si>
    <t xml:space="preserve">P0282-22</t>
  </si>
  <si>
    <t xml:space="preserve">P0282-23</t>
  </si>
  <si>
    <t xml:space="preserve">P0282-24</t>
  </si>
  <si>
    <t xml:space="preserve">P0282-25</t>
  </si>
  <si>
    <t xml:space="preserve">P0282-26</t>
  </si>
  <si>
    <t xml:space="preserve">P0282-27</t>
  </si>
  <si>
    <t xml:space="preserve">P0481</t>
  </si>
  <si>
    <t xml:space="preserve">P0480-01</t>
  </si>
  <si>
    <t xml:space="preserve">P0480-02</t>
  </si>
  <si>
    <t xml:space="preserve">UG-02-S05</t>
  </si>
  <si>
    <t xml:space="preserve">P0188</t>
  </si>
  <si>
    <t xml:space="preserve">UG-03</t>
  </si>
  <si>
    <t xml:space="preserve">UG-03-S01</t>
  </si>
  <si>
    <t xml:space="preserve">P0134</t>
  </si>
  <si>
    <t xml:space="preserve">P0133</t>
  </si>
  <si>
    <t xml:space="preserve">P0484</t>
  </si>
  <si>
    <t xml:space="preserve">P0485</t>
  </si>
  <si>
    <t xml:space="preserve">P0278-01</t>
  </si>
  <si>
    <t xml:space="preserve">P0278-02</t>
  </si>
  <si>
    <t xml:space="preserve">P0278-03</t>
  </si>
  <si>
    <t xml:space="preserve">P0278-04</t>
  </si>
  <si>
    <t xml:space="preserve">P0278-05</t>
  </si>
  <si>
    <t xml:space="preserve">P0278-06</t>
  </si>
  <si>
    <t xml:space="preserve">P0278-07</t>
  </si>
  <si>
    <t xml:space="preserve">UG-03-S02</t>
  </si>
  <si>
    <t xml:space="preserve">P0278-08</t>
  </si>
  <si>
    <t xml:space="preserve">P0278-09</t>
  </si>
  <si>
    <t xml:space="preserve">P0278-10</t>
  </si>
  <si>
    <t xml:space="preserve">UG-03-S03</t>
  </si>
  <si>
    <t xml:space="preserve">P0278-11</t>
  </si>
  <si>
    <t xml:space="preserve">P0278-12</t>
  </si>
  <si>
    <t xml:space="preserve">P0278-13</t>
  </si>
  <si>
    <t xml:space="preserve">P0278-14</t>
  </si>
  <si>
    <t xml:space="preserve">P0278-15</t>
  </si>
  <si>
    <t xml:space="preserve">P0278-16</t>
  </si>
  <si>
    <t xml:space="preserve">P0278-17</t>
  </si>
  <si>
    <t xml:space="preserve">P0278-18</t>
  </si>
  <si>
    <t xml:space="preserve">P0278-19</t>
  </si>
  <si>
    <t xml:space="preserve">UG-03-S04</t>
  </si>
  <si>
    <t xml:space="preserve">P0278-20</t>
  </si>
  <si>
    <t xml:space="preserve">P0483-01</t>
  </si>
  <si>
    <t xml:space="preserve">P0483-02</t>
  </si>
  <si>
    <t xml:space="preserve">P0482</t>
  </si>
  <si>
    <t xml:space="preserve">UG-03-S05</t>
  </si>
  <si>
    <t xml:space="preserve">P0189-01</t>
  </si>
  <si>
    <t xml:space="preserve">P0189-02</t>
  </si>
  <si>
    <t xml:space="preserve">UG-04</t>
  </si>
  <si>
    <t xml:space="preserve">UG-04-S01</t>
  </si>
  <si>
    <t xml:space="preserve">P0269</t>
  </si>
  <si>
    <t xml:space="preserve">P0123</t>
  </si>
  <si>
    <t xml:space="preserve">P0704</t>
  </si>
  <si>
    <t xml:space="preserve">P0705</t>
  </si>
  <si>
    <t xml:space="preserve">P0125</t>
  </si>
  <si>
    <t xml:space="preserve">P0711</t>
  </si>
  <si>
    <t xml:space="preserve">P0710-01</t>
  </si>
  <si>
    <t xml:space="preserve">P0710-02</t>
  </si>
  <si>
    <t xml:space="preserve">UG-04-S02</t>
  </si>
  <si>
    <t xml:space="preserve">P0124</t>
  </si>
  <si>
    <t xml:space="preserve">P0187-01</t>
  </si>
  <si>
    <t xml:space="preserve">P0187-02</t>
  </si>
  <si>
    <t xml:space="preserve">UG-05</t>
  </si>
  <si>
    <t xml:space="preserve">UG-05-S01</t>
  </si>
  <si>
    <t xml:space="preserve">P0042-01</t>
  </si>
  <si>
    <t xml:space="preserve">UG-05-S02</t>
  </si>
  <si>
    <t xml:space="preserve">P0042-02</t>
  </si>
  <si>
    <t xml:space="preserve">P0042-03</t>
  </si>
  <si>
    <t xml:space="preserve">P0042-04</t>
  </si>
  <si>
    <t xml:space="preserve">P0042-05</t>
  </si>
  <si>
    <t xml:space="preserve">P0528-01</t>
  </si>
  <si>
    <t xml:space="preserve">P0528-02</t>
  </si>
  <si>
    <t xml:space="preserve">P0529</t>
  </si>
  <si>
    <t xml:space="preserve">P0334-01</t>
  </si>
  <si>
    <t xml:space="preserve">P0334-02</t>
  </si>
  <si>
    <t xml:space="preserve">UG-05-S03</t>
  </si>
  <si>
    <t xml:space="preserve">P0334-03</t>
  </si>
  <si>
    <t xml:space="preserve">P0334-04</t>
  </si>
  <si>
    <t xml:space="preserve">P0334-05</t>
  </si>
  <si>
    <t xml:space="preserve">P0334-06</t>
  </si>
  <si>
    <t xml:space="preserve">P0334-07</t>
  </si>
  <si>
    <t xml:space="preserve">P0334-08</t>
  </si>
  <si>
    <t xml:space="preserve">P0334-09</t>
  </si>
  <si>
    <t xml:space="preserve">P0609</t>
  </si>
  <si>
    <t xml:space="preserve">P0608</t>
  </si>
  <si>
    <t xml:space="preserve">P0331-01</t>
  </si>
  <si>
    <t xml:space="preserve">P0331-02</t>
  </si>
  <si>
    <t xml:space="preserve">P0331-03</t>
  </si>
  <si>
    <t xml:space="preserve">P0611</t>
  </si>
  <si>
    <t xml:space="preserve">P0610</t>
  </si>
  <si>
    <t xml:space="preserve">P0330-01</t>
  </si>
  <si>
    <t xml:space="preserve">P0330-02</t>
  </si>
  <si>
    <t xml:space="preserve">P0330-03</t>
  </si>
  <si>
    <t xml:space="preserve">UG-05-S04</t>
  </si>
  <si>
    <t xml:space="preserve">P0330-04</t>
  </si>
  <si>
    <t xml:space="preserve">P0330-05</t>
  </si>
  <si>
    <t xml:space="preserve">P0330-06</t>
  </si>
  <si>
    <t xml:space="preserve">P0330-07</t>
  </si>
  <si>
    <t xml:space="preserve">P0330-08</t>
  </si>
  <si>
    <t xml:space="preserve">P0330-09</t>
  </si>
  <si>
    <t xml:space="preserve">P0330-10</t>
  </si>
  <si>
    <t xml:space="preserve">P0330-11</t>
  </si>
  <si>
    <t xml:space="preserve">P0330-12</t>
  </si>
  <si>
    <t xml:space="preserve">P0330-13</t>
  </si>
  <si>
    <t xml:space="preserve">P0330-14</t>
  </si>
  <si>
    <t xml:space="preserve">P0330-15</t>
  </si>
  <si>
    <t xml:space="preserve">P0330-16</t>
  </si>
  <si>
    <t xml:space="preserve">P0330-17</t>
  </si>
  <si>
    <t xml:space="preserve">UG-05-S05</t>
  </si>
  <si>
    <t xml:space="preserve">P0330-18</t>
  </si>
  <si>
    <t xml:space="preserve">P0330-19</t>
  </si>
  <si>
    <t xml:space="preserve">P0330-20</t>
  </si>
  <si>
    <t xml:space="preserve">UG-06</t>
  </si>
  <si>
    <t xml:space="preserve">UG-06-S01</t>
  </si>
  <si>
    <t xml:space="preserve">P0360</t>
  </si>
  <si>
    <t xml:space="preserve">P0601-01</t>
  </si>
  <si>
    <t xml:space="preserve">P0601-02</t>
  </si>
  <si>
    <t xml:space="preserve">P0602</t>
  </si>
  <si>
    <t xml:space="preserve">P0603</t>
  </si>
  <si>
    <t xml:space="preserve">P0757-01</t>
  </si>
  <si>
    <t xml:space="preserve">P0757-02</t>
  </si>
  <si>
    <t xml:space="preserve">UG-06-S02</t>
  </si>
  <si>
    <t xml:space="preserve">P0359-01</t>
  </si>
  <si>
    <t xml:space="preserve">P0359-02</t>
  </si>
  <si>
    <t xml:space="preserve">P0359-03</t>
  </si>
  <si>
    <t xml:space="preserve">UG-06-S03</t>
  </si>
  <si>
    <t xml:space="preserve">P0359-04</t>
  </si>
  <si>
    <t xml:space="preserve">P0359-05</t>
  </si>
  <si>
    <t xml:space="preserve">P0605</t>
  </si>
  <si>
    <t xml:space="preserve">P0604</t>
  </si>
  <si>
    <t xml:space="preserve">P0328-01</t>
  </si>
  <si>
    <t xml:space="preserve">P0328-02</t>
  </si>
  <si>
    <t xml:space="preserve">P0328-03</t>
  </si>
  <si>
    <t xml:space="preserve">P0328-04</t>
  </si>
  <si>
    <t xml:space="preserve">P0328-05</t>
  </si>
  <si>
    <t xml:space="preserve">P0328-06</t>
  </si>
  <si>
    <t xml:space="preserve">P0053-01</t>
  </si>
  <si>
    <t xml:space="preserve">P0053-02</t>
  </si>
  <si>
    <t xml:space="preserve">P0052</t>
  </si>
  <si>
    <t xml:space="preserve">P0164-01</t>
  </si>
  <si>
    <t xml:space="preserve">P0164-02</t>
  </si>
  <si>
    <t xml:space="preserve">P0606-01</t>
  </si>
  <si>
    <t xml:space="preserve">P0606-02</t>
  </si>
  <si>
    <t xml:space="preserve">P0607</t>
  </si>
  <si>
    <t xml:space="preserve">P0329-01</t>
  </si>
  <si>
    <t xml:space="preserve">P0329-02</t>
  </si>
  <si>
    <t xml:space="preserve">UG-06-S04</t>
  </si>
  <si>
    <t xml:space="preserve">P0329-03</t>
  </si>
  <si>
    <t xml:space="preserve">P0329-04</t>
  </si>
  <si>
    <t xml:space="preserve">P0329-05</t>
  </si>
  <si>
    <t xml:space="preserve">P0329-06</t>
  </si>
  <si>
    <t xml:space="preserve">P0329-07</t>
  </si>
  <si>
    <t xml:space="preserve">P0329-08</t>
  </si>
  <si>
    <t xml:space="preserve">P0329-09</t>
  </si>
  <si>
    <t xml:space="preserve">P0329-10</t>
  </si>
  <si>
    <t xml:space="preserve">P0329-11</t>
  </si>
  <si>
    <t xml:space="preserve">P0329-12</t>
  </si>
  <si>
    <t xml:space="preserve">P0329-13</t>
  </si>
  <si>
    <t xml:space="preserve">P0329-14</t>
  </si>
  <si>
    <t xml:space="preserve">P0329-15</t>
  </si>
  <si>
    <t xml:space="preserve">P0329-16</t>
  </si>
  <si>
    <t xml:space="preserve">UG-06-S05</t>
  </si>
  <si>
    <t xml:space="preserve">P0329-17</t>
  </si>
  <si>
    <t xml:space="preserve">P0329-18</t>
  </si>
  <si>
    <t xml:space="preserve">P0329-19</t>
  </si>
  <si>
    <t xml:space="preserve">UG-07</t>
  </si>
  <si>
    <t xml:space="preserve">UG-07-S01</t>
  </si>
  <si>
    <t xml:space="preserve">P0090</t>
  </si>
  <si>
    <t xml:space="preserve">P0626</t>
  </si>
  <si>
    <t xml:space="preserve">P0627</t>
  </si>
  <si>
    <t xml:space="preserve">P0230-01</t>
  </si>
  <si>
    <t xml:space="preserve">P0230-02</t>
  </si>
  <si>
    <t xml:space="preserve">P0786</t>
  </si>
  <si>
    <t xml:space="preserve">P0625-01</t>
  </si>
  <si>
    <t xml:space="preserve">P0625-02</t>
  </si>
  <si>
    <t xml:space="preserve">UG-07-S02</t>
  </si>
  <si>
    <t xml:space="preserve">P0624</t>
  </si>
  <si>
    <t xml:space="preserve">P0208</t>
  </si>
  <si>
    <t xml:space="preserve">P0785-01</t>
  </si>
  <si>
    <t xml:space="preserve">P0785-02</t>
  </si>
  <si>
    <t xml:space="preserve">P0785-03</t>
  </si>
  <si>
    <t xml:space="preserve">P0785-04</t>
  </si>
  <si>
    <t xml:space="preserve">UG-07-S03</t>
  </si>
  <si>
    <t xml:space="preserve">P0785-05</t>
  </si>
  <si>
    <t xml:space="preserve">P0785-06</t>
  </si>
  <si>
    <t xml:space="preserve">P0785-07</t>
  </si>
  <si>
    <t xml:space="preserve">P0785-08</t>
  </si>
  <si>
    <t xml:space="preserve">UG-07-S04</t>
  </si>
  <si>
    <t xml:space="preserve">P0785-09</t>
  </si>
  <si>
    <t xml:space="preserve">UG-07A</t>
  </si>
  <si>
    <t xml:space="preserve">UG-07A-S01</t>
  </si>
  <si>
    <t xml:space="preserve">P0035-01</t>
  </si>
  <si>
    <t xml:space="preserve">P0035-02</t>
  </si>
  <si>
    <t xml:space="preserve">P0054</t>
  </si>
  <si>
    <t xml:space="preserve">P0055</t>
  </si>
  <si>
    <t xml:space="preserve">UG-07A-S02</t>
  </si>
  <si>
    <t xml:space="preserve">P0096-01</t>
  </si>
  <si>
    <t xml:space="preserve">P0096-02</t>
  </si>
  <si>
    <t xml:space="preserve">P0096-03</t>
  </si>
  <si>
    <t xml:space="preserve">P0096-04</t>
  </si>
  <si>
    <t xml:space="preserve">P0033</t>
  </si>
  <si>
    <t xml:space="preserve">P0034</t>
  </si>
  <si>
    <t xml:space="preserve">P0095-01</t>
  </si>
  <si>
    <t xml:space="preserve">P0095-02</t>
  </si>
  <si>
    <t xml:space="preserve">P0095-03</t>
  </si>
  <si>
    <t xml:space="preserve">P0095-04</t>
  </si>
  <si>
    <t xml:space="preserve">P0470</t>
  </si>
  <si>
    <t xml:space="preserve">P0471</t>
  </si>
  <si>
    <t xml:space="preserve">P0238-01</t>
  </si>
  <si>
    <t xml:space="preserve">P0238-02</t>
  </si>
  <si>
    <t xml:space="preserve">P0238-03</t>
  </si>
  <si>
    <t xml:space="preserve">P0238-04</t>
  </si>
  <si>
    <t xml:space="preserve">P0473</t>
  </si>
  <si>
    <t xml:space="preserve">P0472</t>
  </si>
  <si>
    <t xml:space="preserve">P0237-01</t>
  </si>
  <si>
    <t xml:space="preserve">P0237-02</t>
  </si>
  <si>
    <t xml:space="preserve">P0237-03</t>
  </si>
  <si>
    <t xml:space="preserve">P0237-04</t>
  </si>
  <si>
    <t xml:space="preserve">P0237-05</t>
  </si>
  <si>
    <t xml:space="preserve">P0094</t>
  </si>
  <si>
    <t xml:space="preserve">P0093</t>
  </si>
  <si>
    <t xml:space="preserve">P0207-01</t>
  </si>
  <si>
    <t xml:space="preserve">P0207-02</t>
  </si>
  <si>
    <t xml:space="preserve">UG-07A-S03</t>
  </si>
  <si>
    <t xml:space="preserve">P0784-01</t>
  </si>
  <si>
    <t xml:space="preserve">UG-07A-S04</t>
  </si>
  <si>
    <t xml:space="preserve">P0784-02</t>
  </si>
  <si>
    <t xml:space="preserve">P0784-03</t>
  </si>
  <si>
    <t xml:space="preserve">P0784-04</t>
  </si>
  <si>
    <t xml:space="preserve">P0784-05</t>
  </si>
  <si>
    <t xml:space="preserve">P0784-06</t>
  </si>
  <si>
    <t xml:space="preserve">P0092-01</t>
  </si>
  <si>
    <t xml:space="preserve">P0092-02</t>
  </si>
  <si>
    <t xml:space="preserve">P0092-03</t>
  </si>
  <si>
    <t xml:space="preserve">P0540-01</t>
  </si>
  <si>
    <t xml:space="preserve">P0540-02</t>
  </si>
  <si>
    <t xml:space="preserve">P0541-01</t>
  </si>
  <si>
    <t xml:space="preserve">UG-07A-S05</t>
  </si>
  <si>
    <t xml:space="preserve">P0541-02</t>
  </si>
  <si>
    <t xml:space="preserve">P0236-01</t>
  </si>
  <si>
    <t xml:space="preserve">P0236-02</t>
  </si>
  <si>
    <t xml:space="preserve">P0236-03</t>
  </si>
  <si>
    <t xml:space="preserve">P0398</t>
  </si>
  <si>
    <t xml:space="preserve">P0235</t>
  </si>
  <si>
    <t xml:space="preserve">UG-07A-S06</t>
  </si>
  <si>
    <t xml:space="preserve">P0041</t>
  </si>
  <si>
    <t xml:space="preserve">P0523</t>
  </si>
  <si>
    <t xml:space="preserve">P0524</t>
  </si>
  <si>
    <t xml:space="preserve">UG-07A-S07</t>
  </si>
  <si>
    <t xml:space="preserve">P0204-01</t>
  </si>
  <si>
    <t xml:space="preserve">P0204-02</t>
  </si>
  <si>
    <t xml:space="preserve">P0203-01</t>
  </si>
  <si>
    <t xml:space="preserve">P0203-02</t>
  </si>
  <si>
    <t xml:space="preserve">P0384</t>
  </si>
  <si>
    <t xml:space="preserve">P0250</t>
  </si>
  <si>
    <t xml:space="preserve">P0251</t>
  </si>
  <si>
    <t xml:space="preserve">P0091</t>
  </si>
  <si>
    <t xml:space="preserve">UG-07A-S08</t>
  </si>
  <si>
    <t xml:space="preserve">P0046</t>
  </si>
  <si>
    <t xml:space="preserve">P0629</t>
  </si>
  <si>
    <t xml:space="preserve">UG-07A-S09</t>
  </si>
  <si>
    <t xml:space="preserve">P0231</t>
  </si>
  <si>
    <t xml:space="preserve">P0393</t>
  </si>
  <si>
    <t xml:space="preserve">P0297-01</t>
  </si>
  <si>
    <t xml:space="preserve">P0297-02</t>
  </si>
  <si>
    <t xml:space="preserve">P0628</t>
  </si>
  <si>
    <t xml:space="preserve">UG-07A-S10</t>
  </si>
  <si>
    <t xml:space="preserve">P0357</t>
  </si>
  <si>
    <t xml:space="preserve">P0740</t>
  </si>
  <si>
    <t xml:space="preserve">UG-07A-S11</t>
  </si>
  <si>
    <t xml:space="preserve">P0298-01</t>
  </si>
  <si>
    <t xml:space="preserve">P0298-02</t>
  </si>
  <si>
    <t xml:space="preserve">P0738</t>
  </si>
  <si>
    <t xml:space="preserve">P0739</t>
  </si>
  <si>
    <t xml:space="preserve">P0299-01</t>
  </si>
  <si>
    <t xml:space="preserve">P0299-02</t>
  </si>
  <si>
    <t xml:space="preserve">P0299-03</t>
  </si>
  <si>
    <t xml:space="preserve">P0299-04</t>
  </si>
  <si>
    <t xml:space="preserve">P0299-05</t>
  </si>
  <si>
    <t xml:space="preserve">UG-07A-S12</t>
  </si>
  <si>
    <t xml:space="preserve">P0299-06</t>
  </si>
  <si>
    <t xml:space="preserve">P0299-07</t>
  </si>
  <si>
    <t xml:space="preserve">P0632</t>
  </si>
  <si>
    <t xml:space="preserve">P0631</t>
  </si>
  <si>
    <t xml:space="preserve">P0057-01</t>
  </si>
  <si>
    <t xml:space="preserve">P0057-02</t>
  </si>
  <si>
    <t xml:space="preserve">P0394</t>
  </si>
  <si>
    <t xml:space="preserve">P0239-01</t>
  </si>
  <si>
    <t xml:space="preserve">P0239-02</t>
  </si>
  <si>
    <t xml:space="preserve">UG-12</t>
  </si>
  <si>
    <t xml:space="preserve">UG-12-S01</t>
  </si>
  <si>
    <t xml:space="preserve">P0089</t>
  </si>
  <si>
    <t xml:space="preserve">P0788-01</t>
  </si>
  <si>
    <t xml:space="preserve">P0788-02</t>
  </si>
  <si>
    <t xml:space="preserve">P0787-01</t>
  </si>
  <si>
    <t xml:space="preserve">P0787-02</t>
  </si>
  <si>
    <t xml:space="preserve">P0787-03</t>
  </si>
  <si>
    <t xml:space="preserve">UG-12-S02</t>
  </si>
  <si>
    <t xml:space="preserve">P0787-04</t>
  </si>
  <si>
    <t xml:space="preserve">P0255-01</t>
  </si>
  <si>
    <t xml:space="preserve">P0255-02</t>
  </si>
  <si>
    <t xml:space="preserve">UG-12-S03</t>
  </si>
  <si>
    <t xml:space="preserve">P0255-03</t>
  </si>
  <si>
    <t xml:space="preserve">P0255-04</t>
  </si>
  <si>
    <t xml:space="preserve">P0696</t>
  </si>
  <si>
    <t xml:space="preserve">P0695</t>
  </si>
  <si>
    <t xml:space="preserve">P0254-01</t>
  </si>
  <si>
    <t xml:space="preserve">P0254-02</t>
  </si>
  <si>
    <t xml:space="preserve">P0694</t>
  </si>
  <si>
    <t xml:space="preserve">P0693</t>
  </si>
  <si>
    <t xml:space="preserve">P0253-01</t>
  </si>
  <si>
    <t xml:space="preserve">P0253-02</t>
  </si>
  <si>
    <t xml:space="preserve">P0253-03</t>
  </si>
  <si>
    <t xml:space="preserve">P0253-04</t>
  </si>
  <si>
    <t xml:space="preserve">P0253-05</t>
  </si>
  <si>
    <t xml:space="preserve">UG-12-S04</t>
  </si>
  <si>
    <t xml:space="preserve">P0253-06</t>
  </si>
  <si>
    <t xml:space="preserve">P0253-07</t>
  </si>
  <si>
    <t xml:space="preserve">P0253-08</t>
  </si>
  <si>
    <t xml:space="preserve">P0253-09</t>
  </si>
  <si>
    <t xml:space="preserve">P0253-10</t>
  </si>
  <si>
    <t xml:space="preserve">UG-12-S05</t>
  </si>
  <si>
    <t xml:space="preserve">P0253-11</t>
  </si>
  <si>
    <t xml:space="preserve">P0253-12</t>
  </si>
  <si>
    <t xml:space="preserve">P0692-01</t>
  </si>
  <si>
    <t xml:space="preserve">P0692-02</t>
  </si>
  <si>
    <t xml:space="preserve">P0691</t>
  </si>
  <si>
    <t xml:space="preserve">P0252-01</t>
  </si>
  <si>
    <t xml:space="preserve">UG-12-S06</t>
  </si>
  <si>
    <t xml:space="preserve">P0252-02</t>
  </si>
  <si>
    <t xml:space="preserve">P0690</t>
  </si>
  <si>
    <t xml:space="preserve">P0689</t>
  </si>
  <si>
    <t xml:space="preserve">P0209-01</t>
  </si>
  <si>
    <t xml:space="preserve">P0209-02</t>
  </si>
  <si>
    <t xml:space="preserve">P0209-03</t>
  </si>
  <si>
    <t xml:space="preserve">P0209-04</t>
  </si>
  <si>
    <t xml:space="preserve">UG-12-S07</t>
  </si>
  <si>
    <t xml:space="preserve">P0209-05</t>
  </si>
  <si>
    <t xml:space="preserve">P0209-06</t>
  </si>
  <si>
    <t xml:space="preserve">P0209-07</t>
  </si>
  <si>
    <t xml:space="preserve">UG-12-S08</t>
  </si>
  <si>
    <t xml:space="preserve">P0209-08</t>
  </si>
  <si>
    <t xml:space="preserve">P0209-09</t>
  </si>
  <si>
    <t xml:space="preserve">UG-12A</t>
  </si>
  <si>
    <t xml:space="preserve">UG-12A-S01</t>
  </si>
  <si>
    <t xml:space="preserve">P0358-01</t>
  </si>
  <si>
    <t xml:space="preserve">P0358-02</t>
  </si>
  <si>
    <t xml:space="preserve">P0742</t>
  </si>
  <si>
    <t xml:space="preserve">P0741</t>
  </si>
  <si>
    <t xml:space="preserve">UG-12A-S02</t>
  </si>
  <si>
    <t xml:space="preserve">P0300-01</t>
  </si>
  <si>
    <t xml:space="preserve">P0300-02</t>
  </si>
  <si>
    <t xml:space="preserve">P0300-03</t>
  </si>
  <si>
    <t xml:space="preserve">P0300-04</t>
  </si>
  <si>
    <t xml:space="preserve">P0300-05</t>
  </si>
  <si>
    <t xml:space="preserve">P0300-06</t>
  </si>
  <si>
    <t xml:space="preserve">P0300-07</t>
  </si>
  <si>
    <t xml:space="preserve">P0634</t>
  </si>
  <si>
    <t xml:space="preserve">P0633</t>
  </si>
  <si>
    <t xml:space="preserve">P0064-01</t>
  </si>
  <si>
    <t xml:space="preserve">P0064-02</t>
  </si>
  <si>
    <t xml:space="preserve">UG-12A-S03</t>
  </si>
  <si>
    <t xml:space="preserve">P0064-03</t>
  </si>
  <si>
    <t xml:space="preserve">P0064-04</t>
  </si>
  <si>
    <t xml:space="preserve">P0062</t>
  </si>
  <si>
    <t xml:space="preserve">P0063</t>
  </si>
  <si>
    <t xml:space="preserve">P0087-01</t>
  </si>
  <si>
    <t xml:space="preserve">P0087-02</t>
  </si>
  <si>
    <t xml:space="preserve">P0087-03</t>
  </si>
  <si>
    <t xml:space="preserve">P0087-04</t>
  </si>
  <si>
    <t xml:space="preserve">P0087-05</t>
  </si>
  <si>
    <t xml:space="preserve">P0087-06</t>
  </si>
  <si>
    <t xml:space="preserve">P0160</t>
  </si>
  <si>
    <t xml:space="preserve">P0159</t>
  </si>
  <si>
    <t xml:space="preserve">P0158</t>
  </si>
  <si>
    <t xml:space="preserve">P0794</t>
  </si>
  <si>
    <t xml:space="preserve">UG-12A-S04</t>
  </si>
  <si>
    <t xml:space="preserve">P0315-01</t>
  </si>
  <si>
    <t xml:space="preserve">P0315-02</t>
  </si>
  <si>
    <t xml:space="preserve">P0315-03</t>
  </si>
  <si>
    <t xml:space="preserve">P0315-04</t>
  </si>
  <si>
    <t xml:space="preserve">P0315-05</t>
  </si>
  <si>
    <t xml:space="preserve">P0315-06</t>
  </si>
  <si>
    <t xml:space="preserve">P0315-07</t>
  </si>
  <si>
    <t xml:space="preserve">P0061</t>
  </si>
  <si>
    <t xml:space="preserve">P0060</t>
  </si>
  <si>
    <t xml:space="preserve">P0161-01</t>
  </si>
  <si>
    <t xml:space="preserve">P0161-02</t>
  </si>
  <si>
    <t xml:space="preserve">P0161-03</t>
  </si>
  <si>
    <t xml:space="preserve">UG-12A-S05</t>
  </si>
  <si>
    <t xml:space="preserve">P0161-04</t>
  </si>
  <si>
    <t xml:space="preserve">P0161-05</t>
  </si>
  <si>
    <t xml:space="preserve">P0058-01</t>
  </si>
  <si>
    <t xml:space="preserve">P0058-02</t>
  </si>
  <si>
    <t xml:space="preserve">P0059</t>
  </si>
  <si>
    <t xml:space="preserve">P0162-01</t>
  </si>
  <si>
    <t xml:space="preserve">UG-12A-S06</t>
  </si>
  <si>
    <t xml:space="preserve">P0162-02</t>
  </si>
  <si>
    <t xml:space="preserve">P0162-03</t>
  </si>
  <si>
    <t xml:space="preserve">P0162-04</t>
  </si>
  <si>
    <t xml:space="preserve">P0162-05</t>
  </si>
  <si>
    <t xml:space="preserve">P0397</t>
  </si>
  <si>
    <t xml:space="preserve">P0317-01</t>
  </si>
  <si>
    <t xml:space="preserve">P0317-02</t>
  </si>
  <si>
    <t xml:space="preserve">UG-12A-S07</t>
  </si>
  <si>
    <t xml:space="preserve">P0083-01</t>
  </si>
  <si>
    <t xml:space="preserve">P0083-02</t>
  </si>
  <si>
    <t xml:space="preserve">P0754</t>
  </si>
  <si>
    <t xml:space="preserve">P0755</t>
  </si>
  <si>
    <t xml:space="preserve">UG-12A-S08</t>
  </si>
  <si>
    <t xml:space="preserve">P0316</t>
  </si>
  <si>
    <t xml:space="preserve">UG-12A-S09</t>
  </si>
  <si>
    <t xml:space="preserve">P0088-01</t>
  </si>
  <si>
    <t xml:space="preserve">UG-12A-S10</t>
  </si>
  <si>
    <t xml:space="preserve">P0088-02</t>
  </si>
  <si>
    <t xml:space="preserve">P0088-03</t>
  </si>
  <si>
    <t xml:space="preserve">P0088-04</t>
  </si>
  <si>
    <t xml:space="preserve">P0395</t>
  </si>
  <si>
    <t xml:space="preserve">P0296-01</t>
  </si>
  <si>
    <t xml:space="preserve">P0296-02</t>
  </si>
  <si>
    <t xml:space="preserve">UG-12A-S11</t>
  </si>
  <si>
    <t xml:space="preserve">P0355-01</t>
  </si>
  <si>
    <t xml:space="preserve">UG-12A-S12</t>
  </si>
  <si>
    <t xml:space="preserve">P0355-02</t>
  </si>
  <si>
    <t xml:space="preserve">P0396</t>
  </si>
  <si>
    <t xml:space="preserve">P0295</t>
  </si>
  <si>
    <t xml:space="preserve">UG-15</t>
  </si>
  <si>
    <t xml:space="preserve">UG-15-S01</t>
  </si>
  <si>
    <t xml:space="preserve">P0527</t>
  </si>
  <si>
    <t xml:space="preserve">P0792</t>
  </si>
  <si>
    <t xml:space="preserve">P0309-01</t>
  </si>
  <si>
    <t xml:space="preserve">P0309-02</t>
  </si>
  <si>
    <t xml:space="preserve">P0746</t>
  </si>
  <si>
    <t xml:space="preserve">P0745</t>
  </si>
  <si>
    <t xml:space="preserve">P0308-01</t>
  </si>
  <si>
    <t xml:space="preserve">P0308-02</t>
  </si>
  <si>
    <t xml:space="preserve">P0308-03</t>
  </si>
  <si>
    <t xml:space="preserve">P0308-04</t>
  </si>
  <si>
    <t xml:space="preserve">UG-15-S02</t>
  </si>
  <si>
    <t xml:space="preserve">P0308-05</t>
  </si>
  <si>
    <t xml:space="preserve">P0308-06</t>
  </si>
  <si>
    <t xml:space="preserve">P0308-07</t>
  </si>
  <si>
    <t xml:space="preserve">UG-15-S03</t>
  </si>
  <si>
    <t xml:space="preserve">P0308-08</t>
  </si>
  <si>
    <t xml:space="preserve">P0308-09</t>
  </si>
  <si>
    <t xml:space="preserve">P0308-10</t>
  </si>
  <si>
    <t xml:space="preserve">P0308-11</t>
  </si>
  <si>
    <t xml:space="preserve">P0308-12</t>
  </si>
  <si>
    <t xml:space="preserve">P0308-13</t>
  </si>
  <si>
    <t xml:space="preserve">P0308-14</t>
  </si>
  <si>
    <t xml:space="preserve">UG-15-S04</t>
  </si>
  <si>
    <t xml:space="preserve">P0308-15</t>
  </si>
  <si>
    <t xml:space="preserve">P0308-16</t>
  </si>
  <si>
    <t xml:space="preserve">P0791-01</t>
  </si>
  <si>
    <t xml:space="preserve">UG-15-S05</t>
  </si>
  <si>
    <t xml:space="preserve">P0791-02</t>
  </si>
  <si>
    <t xml:space="preserve">P0791-03</t>
  </si>
  <si>
    <t xml:space="preserve">P0535-01</t>
  </si>
  <si>
    <t xml:space="preserve">P0535-02</t>
  </si>
  <si>
    <t xml:space="preserve">P0534</t>
  </si>
  <si>
    <t xml:space="preserve">UG-15-S06</t>
  </si>
  <si>
    <t xml:space="preserve">P0076-01</t>
  </si>
  <si>
    <t xml:space="preserve">P0076-02</t>
  </si>
  <si>
    <t xml:space="preserve">UG-15A</t>
  </si>
  <si>
    <t xml:space="preserve">UG-15A-S01</t>
  </si>
  <si>
    <t xml:space="preserve">P0026</t>
  </si>
  <si>
    <t xml:space="preserve">P0554</t>
  </si>
  <si>
    <t xml:space="preserve">UG-15A-S02</t>
  </si>
  <si>
    <t xml:space="preserve">P0212</t>
  </si>
  <si>
    <t xml:space="preserve">P0555</t>
  </si>
  <si>
    <t xml:space="preserve">P0024-01</t>
  </si>
  <si>
    <t xml:space="preserve">P0024-02</t>
  </si>
  <si>
    <t xml:space="preserve">P0025</t>
  </si>
  <si>
    <t xml:space="preserve">P0075</t>
  </si>
  <si>
    <t xml:space="preserve">P0386</t>
  </si>
  <si>
    <t xml:space="preserve">P0310</t>
  </si>
  <si>
    <t xml:space="preserve">UG-15A-S03</t>
  </si>
  <si>
    <t xml:space="preserve">P0140</t>
  </si>
  <si>
    <t xml:space="preserve">P0180-01</t>
  </si>
  <si>
    <t xml:space="preserve">P0180-02</t>
  </si>
  <si>
    <t xml:space="preserve">P0228</t>
  </si>
  <si>
    <t xml:space="preserve">P0594</t>
  </si>
  <si>
    <t xml:space="preserve">P0595</t>
  </si>
  <si>
    <t xml:space="preserve">UG-15A-S04</t>
  </si>
  <si>
    <t xml:space="preserve">P0291</t>
  </si>
  <si>
    <t xml:space="preserve">P0598</t>
  </si>
  <si>
    <t xml:space="preserve">P0597</t>
  </si>
  <si>
    <t xml:space="preserve">P0289-01</t>
  </si>
  <si>
    <t xml:space="preserve">P0289-02</t>
  </si>
  <si>
    <t xml:space="preserve">P0596</t>
  </si>
  <si>
    <t xml:space="preserve">P0290-01</t>
  </si>
  <si>
    <t xml:space="preserve">UG-15A-S05</t>
  </si>
  <si>
    <t xml:space="preserve">P0290-02</t>
  </si>
  <si>
    <t xml:space="preserve">P0290-03</t>
  </si>
  <si>
    <t xml:space="preserve">P0290-04</t>
  </si>
  <si>
    <t xml:space="preserve">P0290-05</t>
  </si>
  <si>
    <t xml:space="preserve">P0290-06</t>
  </si>
  <si>
    <t xml:space="preserve">P0290-07</t>
  </si>
  <si>
    <t xml:space="preserve">P0431</t>
  </si>
  <si>
    <t xml:space="preserve">P0430</t>
  </si>
  <si>
    <t xml:space="preserve">P0021-01</t>
  </si>
  <si>
    <t xml:space="preserve">P0021-02</t>
  </si>
  <si>
    <t xml:space="preserve">P0021-03</t>
  </si>
  <si>
    <t xml:space="preserve">P0028</t>
  </si>
  <si>
    <t xml:space="preserve">P0027-01</t>
  </si>
  <si>
    <t xml:space="preserve">P0027-02</t>
  </si>
  <si>
    <t xml:space="preserve">P0107-01</t>
  </si>
  <si>
    <t xml:space="preserve">P0107-02</t>
  </si>
  <si>
    <t xml:space="preserve">P0107-03</t>
  </si>
  <si>
    <t xml:space="preserve">P0107-04</t>
  </si>
  <si>
    <t xml:space="preserve">P0107-05</t>
  </si>
  <si>
    <t xml:space="preserve">P0106</t>
  </si>
  <si>
    <t xml:space="preserve">P0105</t>
  </si>
  <si>
    <t xml:space="preserve">P0782</t>
  </si>
  <si>
    <t xml:space="preserve">UG-15A-S06</t>
  </si>
  <si>
    <t xml:space="preserve">P0176-01</t>
  </si>
  <si>
    <t xml:space="preserve">P0176-02</t>
  </si>
  <si>
    <t xml:space="preserve">P0176-03</t>
  </si>
  <si>
    <t xml:space="preserve">P0176-04</t>
  </si>
  <si>
    <t xml:space="preserve">P0176-05</t>
  </si>
  <si>
    <t xml:space="preserve">P0176-06</t>
  </si>
  <si>
    <t xml:space="preserve">P0139</t>
  </si>
  <si>
    <t xml:space="preserve">P0138-01</t>
  </si>
  <si>
    <t xml:space="preserve">P0138-02</t>
  </si>
  <si>
    <t xml:space="preserve">P0137</t>
  </si>
  <si>
    <t xml:space="preserve">P0136</t>
  </si>
  <si>
    <t xml:space="preserve">P0399</t>
  </si>
  <si>
    <t xml:space="preserve">P0286-01</t>
  </si>
  <si>
    <t xml:space="preserve">P0286-02</t>
  </si>
  <si>
    <t xml:space="preserve">UG-15A-S07</t>
  </si>
  <si>
    <t xml:space="preserve">P0019</t>
  </si>
  <si>
    <t xml:space="preserve">P0142-01</t>
  </si>
  <si>
    <t xml:space="preserve">P0142-02</t>
  </si>
  <si>
    <t xml:space="preserve">P0736</t>
  </si>
  <si>
    <t xml:space="preserve">UG-15A-S08</t>
  </si>
  <si>
    <t xml:space="preserve">P0283-01</t>
  </si>
  <si>
    <t xml:space="preserve">P0283-02</t>
  </si>
  <si>
    <t xml:space="preserve">UG-15A-S09</t>
  </si>
  <si>
    <t xml:space="preserve">P0141</t>
  </si>
  <si>
    <t xml:space="preserve">P0737</t>
  </si>
  <si>
    <t xml:space="preserve">UG-15A-S10</t>
  </si>
  <si>
    <t xml:space="preserve">P0292</t>
  </si>
  <si>
    <t xml:space="preserve">P0293</t>
  </si>
  <si>
    <t xml:space="preserve">P0400</t>
  </si>
  <si>
    <t xml:space="preserve">P0294</t>
  </si>
  <si>
    <t xml:space="preserve">UG-08</t>
  </si>
  <si>
    <t xml:space="preserve">UG-08-S01</t>
  </si>
  <si>
    <t xml:space="preserve">P0032-01</t>
  </si>
  <si>
    <t xml:space="preserve">P0032-02</t>
  </si>
  <si>
    <t xml:space="preserve">P0466</t>
  </si>
  <si>
    <t xml:space="preserve">P0467-01</t>
  </si>
  <si>
    <t xml:space="preserve">P0467-02</t>
  </si>
  <si>
    <t xml:space="preserve">UG-08-S02</t>
  </si>
  <si>
    <t xml:space="preserve">P0099-01</t>
  </si>
  <si>
    <t xml:space="preserve">P0099-02</t>
  </si>
  <si>
    <t xml:space="preserve">UG-08-S03</t>
  </si>
  <si>
    <t xml:space="preserve">P0099-03</t>
  </si>
  <si>
    <t xml:space="preserve">P0099-04</t>
  </si>
  <si>
    <t xml:space="preserve">P0099-05</t>
  </si>
  <si>
    <t xml:space="preserve">P0457</t>
  </si>
  <si>
    <t xml:space="preserve">P0456-01</t>
  </si>
  <si>
    <t xml:space="preserve">UG-08-S04</t>
  </si>
  <si>
    <t xml:space="preserve">P0456-02</t>
  </si>
  <si>
    <t xml:space="preserve">P0045-01</t>
  </si>
  <si>
    <t xml:space="preserve">P0045-02</t>
  </si>
  <si>
    <t xml:space="preserve">P0539</t>
  </si>
  <si>
    <t xml:space="preserve">P0538</t>
  </si>
  <si>
    <t xml:space="preserve">P0031-01</t>
  </si>
  <si>
    <t xml:space="preserve">P0031-02</t>
  </si>
  <si>
    <t xml:space="preserve">P0031-03</t>
  </si>
  <si>
    <t xml:space="preserve">P0031-04</t>
  </si>
  <si>
    <t xml:space="preserve">UG-08-S05</t>
  </si>
  <si>
    <t xml:space="preserve">P0031-05</t>
  </si>
  <si>
    <t xml:space="preserve">P0031-06</t>
  </si>
  <si>
    <t xml:space="preserve">P0031-07</t>
  </si>
  <si>
    <t xml:space="preserve">P0031-08</t>
  </si>
  <si>
    <t xml:space="preserve">P0031-09</t>
  </si>
  <si>
    <t xml:space="preserve">P0031-10</t>
  </si>
  <si>
    <t xml:space="preserve">P0458</t>
  </si>
  <si>
    <t xml:space="preserve">P0459</t>
  </si>
  <si>
    <t xml:space="preserve">P0460</t>
  </si>
  <si>
    <t xml:space="preserve">P0461</t>
  </si>
  <si>
    <t xml:space="preserve">P0463-01</t>
  </si>
  <si>
    <t xml:space="preserve">P0463-02</t>
  </si>
  <si>
    <t xml:space="preserve">P0462</t>
  </si>
  <si>
    <t xml:space="preserve">P0246-01</t>
  </si>
  <si>
    <t xml:space="preserve">P0246-02</t>
  </si>
  <si>
    <t xml:space="preserve">P0246-03</t>
  </si>
  <si>
    <t xml:space="preserve">P0246-04</t>
  </si>
  <si>
    <t xml:space="preserve">P0246-05</t>
  </si>
  <si>
    <t xml:space="preserve">P0246-06</t>
  </si>
  <si>
    <t xml:space="preserve">P0465-01</t>
  </si>
  <si>
    <t xml:space="preserve">P0465-02</t>
  </si>
  <si>
    <t xml:space="preserve">P0464</t>
  </si>
  <si>
    <t xml:space="preserve">P0109-01</t>
  </si>
  <si>
    <t xml:space="preserve">UG-08-S06</t>
  </si>
  <si>
    <t xml:space="preserve">P0109-02</t>
  </si>
  <si>
    <t xml:space="preserve">P0109-03</t>
  </si>
  <si>
    <t xml:space="preserve">P0109-04</t>
  </si>
  <si>
    <t xml:space="preserve">P0109-05</t>
  </si>
  <si>
    <t xml:space="preserve">P0109-06</t>
  </si>
  <si>
    <t xml:space="preserve">P0109-07</t>
  </si>
  <si>
    <t xml:space="preserve">UG-08-S07</t>
  </si>
  <si>
    <t xml:space="preserve">P0109-08</t>
  </si>
  <si>
    <t xml:space="preserve">P0109-09</t>
  </si>
  <si>
    <t xml:space="preserve">P0143</t>
  </si>
  <si>
    <t xml:space="preserve">UG-09</t>
  </si>
  <si>
    <t xml:space="preserve">UG-09-S01</t>
  </si>
  <si>
    <t xml:space="preserve">P0029-01</t>
  </si>
  <si>
    <t xml:space="preserve">P0029-02</t>
  </si>
  <si>
    <t xml:space="preserve">P0446-01</t>
  </si>
  <si>
    <t xml:space="preserve">P0446-02</t>
  </si>
  <si>
    <t xml:space="preserve">P0447</t>
  </si>
  <si>
    <t xml:space="preserve">UG-09-S02</t>
  </si>
  <si>
    <t xml:space="preserve">P0100-01</t>
  </si>
  <si>
    <t xml:space="preserve">P0100-02</t>
  </si>
  <si>
    <t xml:space="preserve">P0100-03</t>
  </si>
  <si>
    <t xml:space="preserve">UG-09-S03</t>
  </si>
  <si>
    <t xml:space="preserve">P0100-04</t>
  </si>
  <si>
    <t xml:space="preserve">P0100-05</t>
  </si>
  <si>
    <t xml:space="preserve">P0100-06</t>
  </si>
  <si>
    <t xml:space="preserve">P0449-01</t>
  </si>
  <si>
    <t xml:space="preserve">UG-09-S04</t>
  </si>
  <si>
    <t xml:space="preserve">P0449-02</t>
  </si>
  <si>
    <t xml:space="preserve">P0448-01</t>
  </si>
  <si>
    <t xml:space="preserve">P0448-02</t>
  </si>
  <si>
    <t xml:space="preserve">P0044</t>
  </si>
  <si>
    <t xml:space="preserve">P0537-01</t>
  </si>
  <si>
    <t xml:space="preserve">P0537-02</t>
  </si>
  <si>
    <t xml:space="preserve">P0536</t>
  </si>
  <si>
    <t xml:space="preserve">P0030-01</t>
  </si>
  <si>
    <t xml:space="preserve">P0030-02</t>
  </si>
  <si>
    <t xml:space="preserve">P0030-03</t>
  </si>
  <si>
    <t xml:space="preserve">P0030-04</t>
  </si>
  <si>
    <t xml:space="preserve">P0030-05</t>
  </si>
  <si>
    <t xml:space="preserve">P0030-06</t>
  </si>
  <si>
    <t xml:space="preserve">P0030-07</t>
  </si>
  <si>
    <t xml:space="preserve">P0030-08</t>
  </si>
  <si>
    <t xml:space="preserve">UG-09-S05</t>
  </si>
  <si>
    <t xml:space="preserve">P0030-09</t>
  </si>
  <si>
    <t xml:space="preserve">P0450</t>
  </si>
  <si>
    <t xml:space="preserve">P0451</t>
  </si>
  <si>
    <t xml:space="preserve">P0452</t>
  </si>
  <si>
    <t xml:space="preserve">P0453-01</t>
  </si>
  <si>
    <t xml:space="preserve">P0453-02</t>
  </si>
  <si>
    <t xml:space="preserve">P0455</t>
  </si>
  <si>
    <t xml:space="preserve">P0454</t>
  </si>
  <si>
    <t xml:space="preserve">P0245-01</t>
  </si>
  <si>
    <t xml:space="preserve">UG-09-S06</t>
  </si>
  <si>
    <t xml:space="preserve">P0245-02</t>
  </si>
  <si>
    <t xml:space="preserve">P0245-03</t>
  </si>
  <si>
    <t xml:space="preserve">P0245-04</t>
  </si>
  <si>
    <t xml:space="preserve">P0245-05</t>
  </si>
  <si>
    <t xml:space="preserve">P0245-06</t>
  </si>
  <si>
    <t xml:space="preserve">P0245-07</t>
  </si>
  <si>
    <t xml:space="preserve">P0245-08</t>
  </si>
  <si>
    <t xml:space="preserve">P0469</t>
  </si>
  <si>
    <t xml:space="preserve">P0468-01</t>
  </si>
  <si>
    <t xml:space="preserve">P0468-02</t>
  </si>
  <si>
    <t xml:space="preserve">UG-09-S07</t>
  </si>
  <si>
    <t xml:space="preserve">P0144-01</t>
  </si>
  <si>
    <t xml:space="preserve">P0144-02</t>
  </si>
  <si>
    <t xml:space="preserve">P0144-03</t>
  </si>
  <si>
    <t xml:space="preserve">P0144-04</t>
  </si>
  <si>
    <t xml:space="preserve">P0144-05</t>
  </si>
  <si>
    <t xml:space="preserve">P0144-06</t>
  </si>
  <si>
    <t xml:space="preserve">UG-09-S08</t>
  </si>
  <si>
    <t xml:space="preserve">P0144-07</t>
  </si>
  <si>
    <t xml:space="preserve">UG-10</t>
  </si>
  <si>
    <t xml:space="preserve">UG-10-S01</t>
  </si>
  <si>
    <t xml:space="preserve">P0043</t>
  </si>
  <si>
    <t xml:space="preserve">P0530</t>
  </si>
  <si>
    <t xml:space="preserve">P0531</t>
  </si>
  <si>
    <t xml:space="preserve">UG-10-S02</t>
  </si>
  <si>
    <t xml:space="preserve">P0098-01</t>
  </si>
  <si>
    <t xml:space="preserve">P0098-02</t>
  </si>
  <si>
    <t xml:space="preserve">P0098-03</t>
  </si>
  <si>
    <t xml:space="preserve">P0098-04</t>
  </si>
  <si>
    <t xml:space="preserve">P0098-05</t>
  </si>
  <si>
    <t xml:space="preserve">P0098-06</t>
  </si>
  <si>
    <t xml:space="preserve">P0098-07</t>
  </si>
  <si>
    <t xml:space="preserve">P0098-08</t>
  </si>
  <si>
    <t xml:space="preserve">P0532</t>
  </si>
  <si>
    <t xml:space="preserve">P0533</t>
  </si>
  <si>
    <t xml:space="preserve">P0101-01</t>
  </si>
  <si>
    <t xml:space="preserve">P0101-02</t>
  </si>
  <si>
    <t xml:space="preserve">P0101-03</t>
  </si>
  <si>
    <t xml:space="preserve">P0101-04</t>
  </si>
  <si>
    <t xml:space="preserve">P0101-05</t>
  </si>
  <si>
    <t xml:space="preserve">UG-10-S03</t>
  </si>
  <si>
    <t xml:space="preserve">P0101-06</t>
  </si>
  <si>
    <t xml:space="preserve">P0101-07</t>
  </si>
  <si>
    <t xml:space="preserve">P0101-08</t>
  </si>
  <si>
    <t xml:space="preserve">P0686-01</t>
  </si>
  <si>
    <t xml:space="preserve">P0686-02</t>
  </si>
  <si>
    <t xml:space="preserve">P0687</t>
  </si>
  <si>
    <t xml:space="preserve">P0244-01</t>
  </si>
  <si>
    <t xml:space="preserve">UG-10-S04</t>
  </si>
  <si>
    <t xml:space="preserve">P0244-02</t>
  </si>
  <si>
    <t xml:space="preserve">P0244-03</t>
  </si>
  <si>
    <t xml:space="preserve">P0685</t>
  </si>
  <si>
    <t xml:space="preserve">P0684</t>
  </si>
  <si>
    <t xml:space="preserve">P0108-01</t>
  </si>
  <si>
    <t xml:space="preserve">P0108-02</t>
  </si>
  <si>
    <t xml:space="preserve">P0108-03</t>
  </si>
  <si>
    <t xml:space="preserve">P0108-04</t>
  </si>
  <si>
    <t xml:space="preserve">P0108-05</t>
  </si>
  <si>
    <t xml:space="preserve">UG-10-S05</t>
  </si>
  <si>
    <t xml:space="preserve">P0108-06</t>
  </si>
  <si>
    <t xml:space="preserve">P0108-07</t>
  </si>
  <si>
    <t xml:space="preserve">UG-11</t>
  </si>
  <si>
    <t xml:space="preserve">UG-11-S01</t>
  </si>
  <si>
    <t xml:space="preserve">P0259</t>
  </si>
  <si>
    <t xml:space="preserve">P0697</t>
  </si>
  <si>
    <t xml:space="preserve">P0698</t>
  </si>
  <si>
    <t xml:space="preserve">P0258-01</t>
  </si>
  <si>
    <t xml:space="preserve">P0258-02</t>
  </si>
  <si>
    <t xml:space="preserve">P0258-03</t>
  </si>
  <si>
    <t xml:space="preserve">P0258-04</t>
  </si>
  <si>
    <t xml:space="preserve">P0547</t>
  </si>
  <si>
    <t xml:space="preserve">P0546-01</t>
  </si>
  <si>
    <t xml:space="preserve">UG-11-S02</t>
  </si>
  <si>
    <t xml:space="preserve">P0546-02</t>
  </si>
  <si>
    <t xml:space="preserve">P0234-01</t>
  </si>
  <si>
    <t xml:space="preserve">P0234-02</t>
  </si>
  <si>
    <t xml:space="preserve">P0549</t>
  </si>
  <si>
    <t xml:space="preserve">P0548</t>
  </si>
  <si>
    <t xml:space="preserve">P0210-01</t>
  </si>
  <si>
    <t xml:space="preserve">P0210-02</t>
  </si>
  <si>
    <t xml:space="preserve">P0409</t>
  </si>
  <si>
    <t xml:space="preserve">P0179-01</t>
  </si>
  <si>
    <t xml:space="preserve">P0179-02</t>
  </si>
  <si>
    <t xml:space="preserve">UG-11-S03</t>
  </si>
  <si>
    <t xml:space="preserve">P0771</t>
  </si>
  <si>
    <t xml:space="preserve">P0781</t>
  </si>
  <si>
    <t xml:space="preserve">P0780</t>
  </si>
  <si>
    <t xml:space="preserve">P0779</t>
  </si>
  <si>
    <t xml:space="preserve">P0778-01</t>
  </si>
  <si>
    <t xml:space="preserve">P0778-02</t>
  </si>
  <si>
    <t xml:space="preserve">P0777-01</t>
  </si>
  <si>
    <t xml:space="preserve">P0777-02</t>
  </si>
  <si>
    <t xml:space="preserve">UG-11-S04</t>
  </si>
  <si>
    <t xml:space="preserve">P0777-03</t>
  </si>
  <si>
    <t xml:space="preserve">P0777-04</t>
  </si>
  <si>
    <t xml:space="preserve">P0777-05</t>
  </si>
  <si>
    <t xml:space="preserve">UG-11-S05</t>
  </si>
  <si>
    <t xml:space="preserve">P0777-06</t>
  </si>
  <si>
    <t xml:space="preserve">P0777-07</t>
  </si>
  <si>
    <t xml:space="preserve">P0553</t>
  </si>
  <si>
    <t xml:space="preserve">P0552</t>
  </si>
  <si>
    <t xml:space="preserve">P0551</t>
  </si>
  <si>
    <t xml:space="preserve">P0550</t>
  </si>
  <si>
    <t xml:space="preserve">P0260-01</t>
  </si>
  <si>
    <t xml:space="preserve">P0260-02</t>
  </si>
  <si>
    <t xml:space="preserve">P0260-03</t>
  </si>
  <si>
    <t xml:space="preserve">P0260-04</t>
  </si>
  <si>
    <t xml:space="preserve">UG-11-S06</t>
  </si>
  <si>
    <t xml:space="preserve">P0260-05</t>
  </si>
  <si>
    <t xml:space="preserve">P0260-06</t>
  </si>
  <si>
    <t xml:space="preserve">P0260-07</t>
  </si>
  <si>
    <t xml:space="preserve">P0260-08</t>
  </si>
  <si>
    <t xml:space="preserve">P0260-09</t>
  </si>
  <si>
    <t xml:space="preserve">P0699</t>
  </si>
  <si>
    <t xml:space="preserve">UG-11A</t>
  </si>
  <si>
    <t xml:space="preserve">UG-11A-S01</t>
  </si>
  <si>
    <t xml:space="preserve">P0348-01</t>
  </si>
  <si>
    <t xml:space="preserve">UG-11A-S02</t>
  </si>
  <si>
    <t xml:space="preserve">P0348-02</t>
  </si>
  <si>
    <t xml:space="preserve">P0348-03</t>
  </si>
  <si>
    <t xml:space="preserve">P0348-04</t>
  </si>
  <si>
    <t xml:space="preserve">P0348-05</t>
  </si>
  <si>
    <t xml:space="preserve">P0020</t>
  </si>
  <si>
    <t xml:space="preserve">P0226-01</t>
  </si>
  <si>
    <t xml:space="preserve">P0226-02</t>
  </si>
  <si>
    <t xml:space="preserve">P0226-03</t>
  </si>
  <si>
    <t xml:space="preserve">UG-11A-S03</t>
  </si>
  <si>
    <t xml:space="preserve">P0226-04</t>
  </si>
  <si>
    <t xml:space="preserve">P0226-05</t>
  </si>
  <si>
    <t xml:space="preserve">P0226-06</t>
  </si>
  <si>
    <t xml:space="preserve">P0592</t>
  </si>
  <si>
    <t xml:space="preserve">P0593</t>
  </si>
  <si>
    <t xml:space="preserve">P0248-01</t>
  </si>
  <si>
    <t xml:space="preserve">P0248-02</t>
  </si>
  <si>
    <t xml:space="preserve">P0421</t>
  </si>
  <si>
    <t xml:space="preserve">UG-11A-S04</t>
  </si>
  <si>
    <t xml:space="preserve">P0420</t>
  </si>
  <si>
    <t xml:space="preserve">P0249-01</t>
  </si>
  <si>
    <t xml:space="preserve">P0249-02</t>
  </si>
  <si>
    <t xml:space="preserve">P0249-03</t>
  </si>
  <si>
    <t xml:space="preserve">P0249-04</t>
  </si>
  <si>
    <t xml:space="preserve">P0249-05</t>
  </si>
  <si>
    <t xml:space="preserve">UG-11A-S05</t>
  </si>
  <si>
    <t xml:space="preserve">P0249-06</t>
  </si>
  <si>
    <t xml:space="preserve">P0249-07</t>
  </si>
  <si>
    <t xml:space="preserve">P0249-08</t>
  </si>
  <si>
    <t xml:space="preserve">P0249-09</t>
  </si>
  <si>
    <t xml:space="preserve">P0249-10</t>
  </si>
  <si>
    <t xml:space="preserve">P0361</t>
  </si>
  <si>
    <t xml:space="preserve">UG-11A-S06</t>
  </si>
  <si>
    <t xml:space="preserve">P0347-01</t>
  </si>
  <si>
    <t xml:space="preserve">UG-11A-S07</t>
  </si>
  <si>
    <t xml:space="preserve">P0347-02</t>
  </si>
  <si>
    <t xml:space="preserve">P0347-03</t>
  </si>
  <si>
    <t xml:space="preserve">P0347-04</t>
  </si>
  <si>
    <t xml:space="preserve">P0229-01</t>
  </si>
  <si>
    <t xml:space="preserve">P0229-02</t>
  </si>
  <si>
    <t xml:space="preserve">P0526</t>
  </si>
  <si>
    <t xml:space="preserve">P0247-01</t>
  </si>
  <si>
    <t xml:space="preserve">P0247-02</t>
  </si>
  <si>
    <t xml:space="preserve">P0419</t>
  </si>
  <si>
    <t xml:space="preserve">P0688</t>
  </si>
  <si>
    <t xml:space="preserve">UG-11B</t>
  </si>
  <si>
    <t xml:space="preserve">UG-11B-S01</t>
  </si>
  <si>
    <t xml:space="preserve">P0346-01</t>
  </si>
  <si>
    <t xml:space="preserve">UG-11B-S02</t>
  </si>
  <si>
    <t xml:space="preserve">P0346-02</t>
  </si>
  <si>
    <t xml:space="preserve">P0346-03</t>
  </si>
  <si>
    <t xml:space="preserve">P0346-04</t>
  </si>
  <si>
    <t xml:space="preserve">P0346-05</t>
  </si>
  <si>
    <t xml:space="preserve">P0346-06</t>
  </si>
  <si>
    <t xml:space="preserve">P0390</t>
  </si>
  <si>
    <t xml:space="preserve">P0257-01</t>
  </si>
  <si>
    <t xml:space="preserve">P0257-02</t>
  </si>
  <si>
    <t xml:space="preserve">UG-11B-S03</t>
  </si>
  <si>
    <t xml:space="preserve">P0783</t>
  </si>
  <si>
    <t xml:space="preserve">P0320-01</t>
  </si>
  <si>
    <t xml:space="preserve">P0320-02</t>
  </si>
  <si>
    <t xml:space="preserve">P0320-03</t>
  </si>
  <si>
    <t xml:space="preserve">P0320-04</t>
  </si>
  <si>
    <t xml:space="preserve">P0320-05</t>
  </si>
  <si>
    <t xml:space="preserve">P0320-06</t>
  </si>
  <si>
    <t xml:space="preserve">P0320-07</t>
  </si>
  <si>
    <t xml:space="preserve">P0320-08</t>
  </si>
  <si>
    <t xml:space="preserve">UG-11B-S04</t>
  </si>
  <si>
    <t xml:space="preserve">P0795-01</t>
  </si>
  <si>
    <t xml:space="preserve">P0795-02</t>
  </si>
  <si>
    <t xml:space="preserve">P0410</t>
  </si>
  <si>
    <t xml:space="preserve">P0318</t>
  </si>
  <si>
    <t xml:space="preserve">P0389</t>
  </si>
  <si>
    <t xml:space="preserve">P0319-01</t>
  </si>
  <si>
    <t xml:space="preserve">P0319-02</t>
  </si>
  <si>
    <t xml:space="preserve">P0319-03</t>
  </si>
  <si>
    <t xml:space="preserve">P0545</t>
  </si>
  <si>
    <t xml:space="preserve">P0544</t>
  </si>
  <si>
    <t xml:space="preserve">P0049-01</t>
  </si>
  <si>
    <t xml:space="preserve">P0049-02</t>
  </si>
  <si>
    <t xml:space="preserve">UG-11B-S05</t>
  </si>
  <si>
    <t xml:space="preserve">P0049-03</t>
  </si>
  <si>
    <t xml:space="preserve">P0542</t>
  </si>
  <si>
    <t xml:space="preserve">P0543</t>
  </si>
  <si>
    <t xml:space="preserve">P0227-01</t>
  </si>
  <si>
    <t xml:space="preserve">P0227-02</t>
  </si>
  <si>
    <t xml:space="preserve">P0227-03</t>
  </si>
  <si>
    <t xml:space="preserve">P0227-04</t>
  </si>
  <si>
    <t xml:space="preserve">P0227-05</t>
  </si>
  <si>
    <t xml:space="preserve">P0227-06</t>
  </si>
  <si>
    <t xml:space="preserve">P0227-07</t>
  </si>
  <si>
    <t xml:space="preserve">P0227-08</t>
  </si>
  <si>
    <t xml:space="preserve">P0102</t>
  </si>
  <si>
    <t xml:space="preserve">P0103</t>
  </si>
  <si>
    <t xml:space="preserve">P0104-01</t>
  </si>
  <si>
    <t xml:space="preserve">P0104-02</t>
  </si>
  <si>
    <t xml:space="preserve">P0256-01</t>
  </si>
  <si>
    <t xml:space="preserve">UG-11B-S06</t>
  </si>
  <si>
    <t xml:space="preserve">P0256-02</t>
  </si>
  <si>
    <t xml:space="preserve">P0048-01</t>
  </si>
  <si>
    <t xml:space="preserve">P0048-02</t>
  </si>
  <si>
    <t xml:space="preserve">P0047</t>
  </si>
  <si>
    <t xml:space="preserve">P0263</t>
  </si>
  <si>
    <t xml:space="preserve">UG-11B-S07</t>
  </si>
  <si>
    <t xml:space="preserve">P0789-01</t>
  </si>
  <si>
    <t xml:space="preserve">P0789-02</t>
  </si>
  <si>
    <t xml:space="preserve">P0789-03</t>
  </si>
  <si>
    <t xml:space="preserve">P0712</t>
  </si>
  <si>
    <t xml:space="preserve">P0273-01</t>
  </si>
  <si>
    <t xml:space="preserve">P0273-02</t>
  </si>
  <si>
    <t xml:space="preserve">P0273-03</t>
  </si>
  <si>
    <t xml:space="preserve">P0701</t>
  </si>
  <si>
    <t xml:space="preserve">P0700</t>
  </si>
  <si>
    <t xml:space="preserve">P0112-01</t>
  </si>
  <si>
    <t xml:space="preserve">P0112-02</t>
  </si>
  <si>
    <t xml:space="preserve">P0262-01</t>
  </si>
  <si>
    <t xml:space="preserve">P0262-02</t>
  </si>
  <si>
    <t xml:space="preserve">P0262-03</t>
  </si>
  <si>
    <t xml:space="preserve">P0126</t>
  </si>
  <si>
    <t xml:space="preserve">P0713</t>
  </si>
  <si>
    <t xml:space="preserve">P0714</t>
  </si>
  <si>
    <t xml:space="preserve">P0127</t>
  </si>
  <si>
    <t xml:space="preserve">P0122</t>
  </si>
  <si>
    <t xml:space="preserve">P0706-01</t>
  </si>
  <si>
    <t xml:space="preserve">P0706-02</t>
  </si>
  <si>
    <t xml:space="preserve">P0707</t>
  </si>
  <si>
    <t xml:space="preserve">P0274</t>
  </si>
  <si>
    <t xml:space="preserve">P0703</t>
  </si>
  <si>
    <t xml:space="preserve">P0702</t>
  </si>
  <si>
    <t xml:space="preserve">UG-11B-S08</t>
  </si>
  <si>
    <t xml:space="preserve">P0113-01</t>
  </si>
  <si>
    <t xml:space="preserve">P0113-02</t>
  </si>
  <si>
    <t xml:space="preserve">P0113-03</t>
  </si>
  <si>
    <t xml:space="preserve">P0113-04</t>
  </si>
  <si>
    <t xml:space="preserve">UG-11B-S09</t>
  </si>
  <si>
    <t xml:space="preserve">P0345-01</t>
  </si>
  <si>
    <t xml:space="preserve">UG-11B-S10</t>
  </si>
  <si>
    <t xml:space="preserve">P0345-02</t>
  </si>
  <si>
    <t xml:space="preserve">P0345-03</t>
  </si>
  <si>
    <t xml:space="preserve">P0345-04</t>
  </si>
  <si>
    <t xml:space="preserve">P0345-05</t>
  </si>
  <si>
    <t xml:space="preserve">P0345-06</t>
  </si>
  <si>
    <t xml:space="preserve">P0321</t>
  </si>
  <si>
    <t xml:space="preserve">P0402</t>
  </si>
  <si>
    <t xml:space="preserve">P0322-01</t>
  </si>
  <si>
    <t xml:space="preserve">P0322-02</t>
  </si>
  <si>
    <t xml:space="preserve">UG-11B-S11</t>
  </si>
  <si>
    <t xml:space="preserve">P0773-01</t>
  </si>
  <si>
    <t xml:space="preserve">UG-11B-S12</t>
  </si>
  <si>
    <t xml:space="preserve">P0773-02</t>
  </si>
  <si>
    <t xml:space="preserve">P0773-03</t>
  </si>
  <si>
    <t xml:space="preserve">P0773-04</t>
  </si>
  <si>
    <t xml:space="preserve">P0773-05</t>
  </si>
  <si>
    <t xml:space="preserve">P0268</t>
  </si>
  <si>
    <t xml:space="preserve">UG-11B-S13</t>
  </si>
  <si>
    <t xml:space="preserve">P0206-01</t>
  </si>
  <si>
    <t xml:space="preserve">P0206-02</t>
  </si>
  <si>
    <t xml:space="preserve">UG-11B-S14</t>
  </si>
  <si>
    <t xml:space="preserve">P0206-03</t>
  </si>
  <si>
    <t xml:space="preserve">P0206-04</t>
  </si>
  <si>
    <t xml:space="preserve">P0708</t>
  </si>
  <si>
    <t xml:space="preserve">P0709</t>
  </si>
  <si>
    <t xml:space="preserve">P0267-01</t>
  </si>
  <si>
    <t xml:space="preserve">P0267-02</t>
  </si>
  <si>
    <t xml:space="preserve">UG-13</t>
  </si>
  <si>
    <t xml:space="preserve">UG-13-S01</t>
  </si>
  <si>
    <t xml:space="preserve">P0311</t>
  </si>
  <si>
    <t xml:space="preserve">P0747</t>
  </si>
  <si>
    <t xml:space="preserve">P0314-01</t>
  </si>
  <si>
    <t xml:space="preserve">P0314-02</t>
  </si>
  <si>
    <t xml:space="preserve">P0793</t>
  </si>
  <si>
    <t xml:space="preserve">P0156</t>
  </si>
  <si>
    <t xml:space="preserve">P0155</t>
  </si>
  <si>
    <t xml:space="preserve">UG-13-S02</t>
  </si>
  <si>
    <t xml:space="preserve">P0154-01</t>
  </si>
  <si>
    <t xml:space="preserve">P0154-02</t>
  </si>
  <si>
    <t xml:space="preserve">P0790</t>
  </si>
  <si>
    <t xml:space="preserve">P0301-01</t>
  </si>
  <si>
    <t xml:space="preserve">P0301-02</t>
  </si>
  <si>
    <t xml:space="preserve">P0301-03</t>
  </si>
  <si>
    <t xml:space="preserve">P0146</t>
  </si>
  <si>
    <t xml:space="preserve">P0145</t>
  </si>
  <si>
    <t xml:space="preserve">P0326-01</t>
  </si>
  <si>
    <t xml:space="preserve">P0326-02</t>
  </si>
  <si>
    <t xml:space="preserve">UG-13-S03</t>
  </si>
  <si>
    <t xml:space="preserve">P0326-03</t>
  </si>
  <si>
    <t xml:space="preserve">P0326-04</t>
  </si>
  <si>
    <t xml:space="preserve">P0326-05</t>
  </si>
  <si>
    <t xml:space="preserve">P0326-06</t>
  </si>
  <si>
    <t xml:space="preserve">P0037</t>
  </si>
  <si>
    <t xml:space="preserve">P0205</t>
  </si>
  <si>
    <t xml:space="preserve">P0385</t>
  </si>
  <si>
    <t xml:space="preserve">UG-13-S04</t>
  </si>
  <si>
    <t xml:space="preserve">P0327-01</t>
  </si>
  <si>
    <t xml:space="preserve">P0327-02</t>
  </si>
  <si>
    <t xml:space="preserve">P0327-03</t>
  </si>
  <si>
    <t xml:space="preserve">P0327-04</t>
  </si>
  <si>
    <t xml:space="preserve">UG-13-S05</t>
  </si>
  <si>
    <t xml:space="preserve">P0327-05</t>
  </si>
  <si>
    <t xml:space="preserve">P0327-06</t>
  </si>
  <si>
    <t xml:space="preserve">P0327-07</t>
  </si>
  <si>
    <t xml:space="preserve">P0327-08</t>
  </si>
  <si>
    <t xml:space="preserve">P0327-09</t>
  </si>
  <si>
    <t xml:space="preserve">P0599</t>
  </si>
  <si>
    <t xml:space="preserve">P0600-01</t>
  </si>
  <si>
    <t xml:space="preserve">P0600-02</t>
  </si>
  <si>
    <t xml:space="preserve">UG-13A</t>
  </si>
  <si>
    <t xml:space="preserve">UG-13A-S01</t>
  </si>
  <si>
    <t xml:space="preserve">P0350-01</t>
  </si>
  <si>
    <t xml:space="preserve">UG-13A-S02</t>
  </si>
  <si>
    <t xml:space="preserve">P0350-02</t>
  </si>
  <si>
    <t xml:space="preserve">P0350-03</t>
  </si>
  <si>
    <t xml:space="preserve">P0350-04</t>
  </si>
  <si>
    <t xml:space="preserve">P0350-05</t>
  </si>
  <si>
    <t xml:space="preserve">P0743</t>
  </si>
  <si>
    <t xml:space="preserve">P0303</t>
  </si>
  <si>
    <t xml:space="preserve">P0744</t>
  </si>
  <si>
    <t xml:space="preserve">P0147</t>
  </si>
  <si>
    <t xml:space="preserve">P0401</t>
  </si>
  <si>
    <t xml:space="preserve">P0302</t>
  </si>
  <si>
    <t xml:space="preserve">UG-13A-S03</t>
  </si>
  <si>
    <t xml:space="preserve">P0351-01</t>
  </si>
  <si>
    <t xml:space="preserve">UG-13A-S04</t>
  </si>
  <si>
    <t xml:space="preserve">P0351-02</t>
  </si>
  <si>
    <t xml:space="preserve">P0351-03</t>
  </si>
  <si>
    <t xml:space="preserve">P0351-04</t>
  </si>
  <si>
    <t xml:space="preserve">P0351-05</t>
  </si>
  <si>
    <t xml:space="preserve">P0716</t>
  </si>
  <si>
    <t xml:space="preserve">P0715</t>
  </si>
  <si>
    <t xml:space="preserve">P0129</t>
  </si>
  <si>
    <t xml:space="preserve">P0717</t>
  </si>
  <si>
    <t xml:space="preserve">P0718</t>
  </si>
  <si>
    <t xml:space="preserve">P0277-01</t>
  </si>
  <si>
    <t xml:space="preserve">P0277-02</t>
  </si>
  <si>
    <t xml:space="preserve">P0719</t>
  </si>
  <si>
    <t xml:space="preserve">P0720</t>
  </si>
  <si>
    <t xml:space="preserve">P0519</t>
  </si>
  <si>
    <t xml:space="preserve">P0288</t>
  </si>
  <si>
    <t xml:space="preserve">P0516</t>
  </si>
  <si>
    <t xml:space="preserve">UG-13A-S05</t>
  </si>
  <si>
    <t xml:space="preserve">P0517</t>
  </si>
  <si>
    <t xml:space="preserve">P0172</t>
  </si>
  <si>
    <t xml:space="preserve">P0335-01</t>
  </si>
  <si>
    <t xml:space="preserve">UG-13A-S06</t>
  </si>
  <si>
    <t xml:space="preserve">P0335-02</t>
  </si>
  <si>
    <t xml:space="preserve">P0335-03</t>
  </si>
  <si>
    <t xml:space="preserve">UG-13A-S07</t>
  </si>
  <si>
    <t xml:space="preserve">P0335-04</t>
  </si>
  <si>
    <t xml:space="preserve">P0335-05</t>
  </si>
  <si>
    <t xml:space="preserve">P0723</t>
  </si>
  <si>
    <t xml:space="preserve">P0724</t>
  </si>
  <si>
    <t xml:space="preserve">P0725</t>
  </si>
  <si>
    <t xml:space="preserve">UG-13A-S08</t>
  </si>
  <si>
    <t xml:space="preserve">P0312-01</t>
  </si>
  <si>
    <t xml:space="preserve">P0312-02</t>
  </si>
  <si>
    <t xml:space="preserve">UG-13A-S09</t>
  </si>
  <si>
    <t xml:space="preserve">P0521</t>
  </si>
  <si>
    <t xml:space="preserve">UG-13A-S10</t>
  </si>
  <si>
    <t xml:space="preserve">P0323-01</t>
  </si>
  <si>
    <t xml:space="preserve">P0323-02</t>
  </si>
  <si>
    <t xml:space="preserve">P0520</t>
  </si>
  <si>
    <t xml:space="preserve">P0336</t>
  </si>
  <si>
    <t xml:space="preserve">P0518</t>
  </si>
  <si>
    <t xml:space="preserve">UG-13A-S11</t>
  </si>
  <si>
    <t xml:space="preserve">P0339-01</t>
  </si>
  <si>
    <t xml:space="preserve">UG-13A-S12</t>
  </si>
  <si>
    <t xml:space="preserve">P0339-02</t>
  </si>
  <si>
    <t xml:space="preserve">P0339-03</t>
  </si>
  <si>
    <t xml:space="preserve">UG-13A-S13</t>
  </si>
  <si>
    <t xml:space="preserve">P0356-01</t>
  </si>
  <si>
    <t xml:space="preserve">P0356-02</t>
  </si>
  <si>
    <t xml:space="preserve">P0356-03</t>
  </si>
  <si>
    <t xml:space="preserve">P0722</t>
  </si>
  <si>
    <t xml:space="preserve">P0721</t>
  </si>
  <si>
    <t xml:space="preserve">UG-13A-S14</t>
  </si>
  <si>
    <t xml:space="preserve">P0325</t>
  </si>
  <si>
    <t xml:space="preserve">P0173</t>
  </si>
  <si>
    <t xml:space="preserve">P0767</t>
  </si>
  <si>
    <t xml:space="preserve">P0768</t>
  </si>
  <si>
    <t xml:space="preserve">P0337-01</t>
  </si>
  <si>
    <t xml:space="preserve">P0337-02</t>
  </si>
  <si>
    <t xml:space="preserve">P0730</t>
  </si>
  <si>
    <t xml:space="preserve">P0729</t>
  </si>
  <si>
    <t xml:space="preserve">P0324-01</t>
  </si>
  <si>
    <t xml:space="preserve">P0324-02</t>
  </si>
  <si>
    <t xml:space="preserve">P0324-03</t>
  </si>
  <si>
    <t xml:space="preserve">P0522</t>
  </si>
  <si>
    <t xml:space="preserve">UG-13A-S15</t>
  </si>
  <si>
    <t xml:space="preserve">P0352-01</t>
  </si>
  <si>
    <t xml:space="preserve">P0352-02</t>
  </si>
  <si>
    <t xml:space="preserve">P0352-03</t>
  </si>
  <si>
    <t xml:space="preserve">P0770</t>
  </si>
  <si>
    <t xml:space="preserve">P0769</t>
  </si>
  <si>
    <t xml:space="preserve">UG-13A-S16</t>
  </si>
  <si>
    <t xml:space="preserve">P0338-01</t>
  </si>
  <si>
    <t xml:space="preserve">P0338-02</t>
  </si>
  <si>
    <t xml:space="preserve">P0406</t>
  </si>
  <si>
    <t xml:space="preserve">P0341</t>
  </si>
  <si>
    <t xml:space="preserve">UG-13B</t>
  </si>
  <si>
    <t xml:space="preserve">UG-13B-S01</t>
  </si>
  <si>
    <t xml:space="preserve">P0354-01</t>
  </si>
  <si>
    <t xml:space="preserve">P0354-02</t>
  </si>
  <si>
    <t xml:space="preserve">P0354-03</t>
  </si>
  <si>
    <t xml:space="preserve">P0353</t>
  </si>
  <si>
    <t xml:space="preserve">P0749</t>
  </si>
  <si>
    <t xml:space="preserve">P0748</t>
  </si>
  <si>
    <t xml:space="preserve">UG-13B-S02</t>
  </si>
  <si>
    <t xml:space="preserve">P0157</t>
  </si>
  <si>
    <t xml:space="preserve">P0750</t>
  </si>
  <si>
    <t xml:space="preserve">P0751</t>
  </si>
  <si>
    <t xml:space="preserve">P0313-01</t>
  </si>
  <si>
    <t xml:space="preserve">P0313-02</t>
  </si>
  <si>
    <t xml:space="preserve">P0753</t>
  </si>
  <si>
    <t xml:space="preserve">P0752</t>
  </si>
  <si>
    <t xml:space="preserve">P0281-01</t>
  </si>
  <si>
    <t xml:space="preserve">P0281-02</t>
  </si>
  <si>
    <t xml:space="preserve">UG-13B-S03</t>
  </si>
  <si>
    <t xml:space="preserve">P0281-03</t>
  </si>
  <si>
    <t xml:space="preserve">P0281-04</t>
  </si>
  <si>
    <t xml:space="preserve">P0281-05</t>
  </si>
  <si>
    <t xml:space="preserve">UG-13B-S04</t>
  </si>
  <si>
    <t xml:space="preserve">P0281-06</t>
  </si>
  <si>
    <t xml:space="preserve">P0732</t>
  </si>
  <si>
    <t xml:space="preserve">P0731</t>
  </si>
  <si>
    <t xml:space="preserve">P0135</t>
  </si>
  <si>
    <t xml:space="preserve">P0733</t>
  </si>
  <si>
    <t xml:space="preserve">P0734</t>
  </si>
  <si>
    <t xml:space="preserve">P0735</t>
  </si>
  <si>
    <t xml:space="preserve">P0287-01</t>
  </si>
  <si>
    <t xml:space="preserve">P0287-02</t>
  </si>
  <si>
    <t xml:space="preserve">P0287-03</t>
  </si>
  <si>
    <t xml:space="preserve">UG-13B-S05</t>
  </si>
  <si>
    <t xml:space="preserve">P0287-04</t>
  </si>
  <si>
    <t xml:space="preserve">P0475</t>
  </si>
  <si>
    <t xml:space="preserve">P0474</t>
  </si>
  <si>
    <t xml:space="preserve">P0233-01</t>
  </si>
  <si>
    <t xml:space="preserve">P0233-02</t>
  </si>
  <si>
    <t xml:space="preserve">P0233-03</t>
  </si>
  <si>
    <t xml:space="preserve">P0233-04</t>
  </si>
  <si>
    <t xml:space="preserve">P0233-05</t>
  </si>
  <si>
    <t xml:space="preserve">P0233-06</t>
  </si>
  <si>
    <t xml:space="preserve">P0233-07</t>
  </si>
  <si>
    <t xml:space="preserve">P0477</t>
  </si>
  <si>
    <t xml:space="preserve">P0476</t>
  </si>
  <si>
    <t xml:space="preserve">P0038-01</t>
  </si>
  <si>
    <t xml:space="preserve">P0038-02</t>
  </si>
  <si>
    <t xml:space="preserve">UG-13B-S06</t>
  </si>
  <si>
    <t xml:space="preserve">P0038-03</t>
  </si>
  <si>
    <t xml:space="preserve">P0478</t>
  </si>
  <si>
    <t xml:space="preserve">P0479</t>
  </si>
  <si>
    <t xml:space="preserve">P0211-01</t>
  </si>
  <si>
    <t xml:space="preserve">P0211-02</t>
  </si>
  <si>
    <t xml:space="preserve">P0211-03</t>
  </si>
  <si>
    <t xml:space="preserve">P0211-04</t>
  </si>
  <si>
    <t xml:space="preserve">UG-13B-S07</t>
  </si>
  <si>
    <t xml:space="preserve">P0211-05</t>
  </si>
  <si>
    <t xml:space="preserve">P0211-06</t>
  </si>
  <si>
    <t xml:space="preserve">P0211-07</t>
  </si>
  <si>
    <t xml:space="preserve">P0036</t>
  </si>
  <si>
    <t xml:space="preserve">P0039-01</t>
  </si>
  <si>
    <t xml:space="preserve">P0039-02</t>
  </si>
  <si>
    <t xml:space="preserve">P0510</t>
  </si>
  <si>
    <t xml:space="preserve">P0512</t>
  </si>
  <si>
    <t xml:space="preserve">UG-13B-S08</t>
  </si>
  <si>
    <t xml:space="preserve">P0040</t>
  </si>
  <si>
    <t xml:space="preserve">P0513</t>
  </si>
  <si>
    <t xml:space="preserve">P0514</t>
  </si>
  <si>
    <t xml:space="preserve">P0349-01</t>
  </si>
  <si>
    <t xml:space="preserve">P0349-02</t>
  </si>
  <si>
    <t xml:space="preserve">UG-13B-S09</t>
  </si>
  <si>
    <t xml:space="preserve">P0349-03</t>
  </si>
  <si>
    <t xml:space="preserve">P0349-04</t>
  </si>
  <si>
    <t xml:space="preserve">P0349-05</t>
  </si>
  <si>
    <t xml:space="preserve">P0349-06</t>
  </si>
  <si>
    <t xml:space="preserve">UG-13B-S10</t>
  </si>
  <si>
    <t xml:space="preserve">P0349-07</t>
  </si>
  <si>
    <t xml:space="preserve">P0349-08</t>
  </si>
  <si>
    <t xml:space="preserve">UG-13B-S11</t>
  </si>
  <si>
    <t xml:space="preserve">P0511</t>
  </si>
  <si>
    <t xml:space="preserve">P0174</t>
  </si>
  <si>
    <t xml:space="preserve">P0340-01</t>
  </si>
  <si>
    <t xml:space="preserve">P0340-02</t>
  </si>
  <si>
    <t xml:space="preserve">P0515</t>
  </si>
  <si>
    <t xml:space="preserve">P0202</t>
  </si>
  <si>
    <t xml:space="preserve">UG-13B-S12</t>
  </si>
  <si>
    <t xml:space="preserve">P0343</t>
  </si>
  <si>
    <t xml:space="preserve">P0342</t>
  </si>
  <si>
    <t xml:space="preserve">UG-14E</t>
  </si>
  <si>
    <t xml:space="preserve">UG-14E-S01</t>
  </si>
  <si>
    <t xml:space="preserve">P0370</t>
  </si>
  <si>
    <t xml:space="preserve">P0371</t>
  </si>
  <si>
    <t xml:space="preserve">P0190</t>
  </si>
  <si>
    <t xml:space="preserve">P0580</t>
  </si>
  <si>
    <t xml:space="preserve">P0581</t>
  </si>
  <si>
    <t xml:space="preserve">P0579</t>
  </si>
  <si>
    <t xml:space="preserve">P0221</t>
  </si>
  <si>
    <t xml:space="preserve">P0488</t>
  </si>
  <si>
    <t xml:space="preserve">P0490</t>
  </si>
  <si>
    <t xml:space="preserve">P0489-01</t>
  </si>
  <si>
    <t xml:space="preserve">P0489-02</t>
  </si>
  <si>
    <t xml:space="preserve">P0128-01</t>
  </si>
  <si>
    <t xml:space="preserve">P0128-02</t>
  </si>
  <si>
    <t xml:space="preserve">P0128-03</t>
  </si>
  <si>
    <t xml:space="preserve">UG-14F</t>
  </si>
  <si>
    <t xml:space="preserve">UG-14F-S01</t>
  </si>
  <si>
    <t xml:space="preserve">P0374</t>
  </si>
  <si>
    <t xml:space="preserve">P0375</t>
  </si>
  <si>
    <t xml:space="preserve">P0193</t>
  </si>
  <si>
    <t xml:space="preserve">P0571</t>
  </si>
  <si>
    <t xml:space="preserve">P0572</t>
  </si>
  <si>
    <t xml:space="preserve">P0570</t>
  </si>
  <si>
    <t xml:space="preserve">P0218</t>
  </si>
  <si>
    <t xml:space="preserve">P0494</t>
  </si>
  <si>
    <t xml:space="preserve">P0496</t>
  </si>
  <si>
    <t xml:space="preserve">P0495-01</t>
  </si>
  <si>
    <t xml:space="preserve">P0495-02</t>
  </si>
  <si>
    <t xml:space="preserve">P0200-01</t>
  </si>
  <si>
    <t xml:space="preserve">P0200-02</t>
  </si>
  <si>
    <t xml:space="preserve">P0200-03</t>
  </si>
  <si>
    <t xml:space="preserve">UG-14G</t>
  </si>
  <si>
    <t xml:space="preserve">UG-14G-S01</t>
  </si>
  <si>
    <t xml:space="preserve">P0376</t>
  </si>
  <si>
    <t xml:space="preserve">P0377</t>
  </si>
  <si>
    <t xml:space="preserve">P0194</t>
  </si>
  <si>
    <t xml:space="preserve">P0577</t>
  </si>
  <si>
    <t xml:space="preserve">P0578</t>
  </si>
  <si>
    <t xml:space="preserve">P0576</t>
  </si>
  <si>
    <t xml:space="preserve">P0220</t>
  </si>
  <si>
    <t xml:space="preserve">P0497</t>
  </si>
  <si>
    <t xml:space="preserve">P0499</t>
  </si>
  <si>
    <t xml:space="preserve">P0498-01</t>
  </si>
  <si>
    <t xml:space="preserve">P0498-02</t>
  </si>
  <si>
    <t xml:space="preserve">P0201-01</t>
  </si>
  <si>
    <t xml:space="preserve">P0201-02</t>
  </si>
  <si>
    <t xml:space="preserve">P0201-03</t>
  </si>
  <si>
    <t xml:space="preserve">UG-14H</t>
  </si>
  <si>
    <t xml:space="preserve">UG-14H-S01</t>
  </si>
  <si>
    <t xml:space="preserve">P0372</t>
  </si>
  <si>
    <t xml:space="preserve">P0373</t>
  </si>
  <si>
    <t xml:space="preserve">P0192</t>
  </si>
  <si>
    <t xml:space="preserve">P0574</t>
  </si>
  <si>
    <t xml:space="preserve">P0575</t>
  </si>
  <si>
    <t xml:space="preserve">P0573</t>
  </si>
  <si>
    <t xml:space="preserve">P0219</t>
  </si>
  <si>
    <t xml:space="preserve">P0491</t>
  </si>
  <si>
    <t xml:space="preserve">P0493</t>
  </si>
  <si>
    <t xml:space="preserve">P0492-01</t>
  </si>
  <si>
    <t xml:space="preserve">P0492-02</t>
  </si>
  <si>
    <t xml:space="preserve">P0191-01</t>
  </si>
  <si>
    <t xml:space="preserve">P0191-02</t>
  </si>
  <si>
    <t xml:space="preserve">P0191-03</t>
  </si>
  <si>
    <t xml:space="preserve">UG-16A</t>
  </si>
  <si>
    <t xml:space="preserve">UG-16A-S01</t>
  </si>
  <si>
    <t xml:space="preserve">P0362</t>
  </si>
  <si>
    <t xml:space="preserve">P0363</t>
  </si>
  <si>
    <t xml:space="preserve">P0181</t>
  </si>
  <si>
    <t xml:space="preserve">P0583</t>
  </si>
  <si>
    <t xml:space="preserve">P0584</t>
  </si>
  <si>
    <t xml:space="preserve">P0582</t>
  </si>
  <si>
    <t xml:space="preserve">P0222</t>
  </si>
  <si>
    <t xml:space="preserve">P0432</t>
  </si>
  <si>
    <t xml:space="preserve">P0434</t>
  </si>
  <si>
    <t xml:space="preserve">P0433-01</t>
  </si>
  <si>
    <t xml:space="preserve">P0433-02</t>
  </si>
  <si>
    <t xml:space="preserve">P0186-01</t>
  </si>
  <si>
    <t xml:space="preserve">P0186-02</t>
  </si>
  <si>
    <t xml:space="preserve">P0186-03</t>
  </si>
  <si>
    <t xml:space="preserve">UG-16B</t>
  </si>
  <si>
    <t xml:space="preserve">UG-16B-S01</t>
  </si>
  <si>
    <t xml:space="preserve">P0366</t>
  </si>
  <si>
    <t xml:space="preserve">P0367</t>
  </si>
  <si>
    <t xml:space="preserve">P0183</t>
  </si>
  <si>
    <t xml:space="preserve">P0589</t>
  </si>
  <si>
    <t xml:space="preserve">P0590</t>
  </si>
  <si>
    <t xml:space="preserve">P0588</t>
  </si>
  <si>
    <t xml:space="preserve">P0224</t>
  </si>
  <si>
    <t xml:space="preserve">P0437</t>
  </si>
  <si>
    <t xml:space="preserve">P0439</t>
  </si>
  <si>
    <t xml:space="preserve">P0438-01</t>
  </si>
  <si>
    <t xml:space="preserve">P0438-02</t>
  </si>
  <si>
    <t xml:space="preserve">P0280-01</t>
  </si>
  <si>
    <t xml:space="preserve">P0280-02</t>
  </si>
  <si>
    <t xml:space="preserve">P0280-03</t>
  </si>
  <si>
    <t xml:space="preserve">UG-16C</t>
  </si>
  <si>
    <t xml:space="preserve">UG-16C-S01</t>
  </si>
  <si>
    <t xml:space="preserve">P0368</t>
  </si>
  <si>
    <t xml:space="preserve">P0369</t>
  </si>
  <si>
    <t xml:space="preserve">P0184</t>
  </si>
  <si>
    <t xml:space="preserve">P0591</t>
  </si>
  <si>
    <t xml:space="preserve">P0225</t>
  </si>
  <si>
    <t xml:space="preserve">P0440</t>
  </si>
  <si>
    <t xml:space="preserve">P0441-01</t>
  </si>
  <si>
    <t xml:space="preserve">P0441-02</t>
  </si>
  <si>
    <t xml:space="preserve">P0185-01</t>
  </si>
  <si>
    <t xml:space="preserve">P0185-02</t>
  </si>
  <si>
    <t xml:space="preserve">P0185-03</t>
  </si>
  <si>
    <t xml:space="preserve">UG-16D</t>
  </si>
  <si>
    <t xml:space="preserve">UG-16D-S01</t>
  </si>
  <si>
    <t xml:space="preserve">P0364</t>
  </si>
  <si>
    <t xml:space="preserve">P0365</t>
  </si>
  <si>
    <t xml:space="preserve">P0182</t>
  </si>
  <si>
    <t xml:space="preserve">P0586</t>
  </si>
  <si>
    <t xml:space="preserve">P0587</t>
  </si>
  <si>
    <t xml:space="preserve">P0585</t>
  </si>
  <si>
    <t xml:space="preserve">P0223</t>
  </si>
  <si>
    <t xml:space="preserve">P0435</t>
  </si>
  <si>
    <t xml:space="preserve">P0436-01</t>
  </si>
  <si>
    <t xml:space="preserve">P0436-02</t>
  </si>
  <si>
    <t xml:space="preserve">P0261-01</t>
  </si>
  <si>
    <t xml:space="preserve">P0261-02</t>
  </si>
  <si>
    <t xml:space="preserve">P0261-03</t>
  </si>
  <si>
    <t xml:space="preserve">UG-27I</t>
  </si>
  <si>
    <t xml:space="preserve">UG-27I-S01</t>
  </si>
  <si>
    <t xml:space="preserve">P0391</t>
  </si>
  <si>
    <t xml:space="preserve">P0392</t>
  </si>
  <si>
    <t xml:space="preserve">P0213</t>
  </si>
  <si>
    <t xml:space="preserve">P0565</t>
  </si>
  <si>
    <t xml:space="preserve">P0566</t>
  </si>
  <si>
    <t xml:space="preserve">P0564</t>
  </si>
  <si>
    <t xml:space="preserve">P0216</t>
  </si>
  <si>
    <t xml:space="preserve">P0556</t>
  </si>
  <si>
    <t xml:space="preserve">P0558</t>
  </si>
  <si>
    <t xml:space="preserve">P0557</t>
  </si>
  <si>
    <t xml:space="preserve">P0275-01</t>
  </si>
  <si>
    <t xml:space="preserve">P0275-02</t>
  </si>
  <si>
    <t xml:space="preserve">P0275-03</t>
  </si>
  <si>
    <t xml:space="preserve">P0275-04</t>
  </si>
  <si>
    <t xml:space="preserve">UG-27J</t>
  </si>
  <si>
    <t xml:space="preserve">UG-27J-S01</t>
  </si>
  <si>
    <t xml:space="preserve">P0380</t>
  </si>
  <si>
    <t xml:space="preserve">P0381</t>
  </si>
  <si>
    <t xml:space="preserve">P0196</t>
  </si>
  <si>
    <t xml:space="preserve">P0563</t>
  </si>
  <si>
    <t xml:space="preserve">P0562</t>
  </si>
  <si>
    <t xml:space="preserve">P0215</t>
  </si>
  <si>
    <t xml:space="preserve">P0504</t>
  </si>
  <si>
    <t xml:space="preserve">P0503</t>
  </si>
  <si>
    <t xml:space="preserve">P0505-01</t>
  </si>
  <si>
    <t xml:space="preserve">P0505-02</t>
  </si>
  <si>
    <t xml:space="preserve">P0199-01</t>
  </si>
  <si>
    <t xml:space="preserve">UG-27J-S02</t>
  </si>
  <si>
    <t xml:space="preserve">P0199-02</t>
  </si>
  <si>
    <t xml:space="preserve">P0199-03</t>
  </si>
  <si>
    <t xml:space="preserve">P0199-04</t>
  </si>
  <si>
    <t xml:space="preserve">UG-27K</t>
  </si>
  <si>
    <t xml:space="preserve">UG-27K-S01</t>
  </si>
  <si>
    <t xml:space="preserve">P0382</t>
  </si>
  <si>
    <t xml:space="preserve">P0383</t>
  </si>
  <si>
    <t xml:space="preserve">P0197</t>
  </si>
  <si>
    <t xml:space="preserve">P0568</t>
  </si>
  <si>
    <t xml:space="preserve">P0569</t>
  </si>
  <si>
    <t xml:space="preserve">P0567</t>
  </si>
  <si>
    <t xml:space="preserve">P0217</t>
  </si>
  <si>
    <t xml:space="preserve">P0507</t>
  </si>
  <si>
    <t xml:space="preserve">P0509</t>
  </si>
  <si>
    <t xml:space="preserve">P0508-01</t>
  </si>
  <si>
    <t xml:space="preserve">P0508-02</t>
  </si>
  <si>
    <t xml:space="preserve">P0276-01</t>
  </si>
  <si>
    <t xml:space="preserve">P0276-02</t>
  </si>
  <si>
    <t xml:space="preserve">P0276-03</t>
  </si>
  <si>
    <t xml:space="preserve">UG-27L</t>
  </si>
  <si>
    <t xml:space="preserve">UG-27L-S01</t>
  </si>
  <si>
    <t xml:space="preserve">P0378</t>
  </si>
  <si>
    <t xml:space="preserve">P0379</t>
  </si>
  <si>
    <t xml:space="preserve">P0195</t>
  </si>
  <si>
    <t xml:space="preserve">P0560</t>
  </si>
  <si>
    <t xml:space="preserve">P0561</t>
  </si>
  <si>
    <t xml:space="preserve">P0559</t>
  </si>
  <si>
    <t xml:space="preserve">P0214</t>
  </si>
  <si>
    <t xml:space="preserve">P0500</t>
  </si>
  <si>
    <t xml:space="preserve">P0502</t>
  </si>
  <si>
    <t xml:space="preserve">P0501-01</t>
  </si>
  <si>
    <t xml:space="preserve">P0501-02</t>
  </si>
  <si>
    <t xml:space="preserve">P0198-01</t>
  </si>
  <si>
    <t xml:space="preserve">P0198-02</t>
  </si>
  <si>
    <t xml:space="preserve">P0198-03</t>
  </si>
  <si>
    <t xml:space="preserve">UG-17</t>
  </si>
  <si>
    <t xml:space="preserve">UG-17-S01</t>
  </si>
  <si>
    <t xml:space="preserve">P0073</t>
  </si>
  <si>
    <t xml:space="preserve">P0651</t>
  </si>
  <si>
    <t xml:space="preserve">P0652-01</t>
  </si>
  <si>
    <t xml:space="preserve">P0652-02</t>
  </si>
  <si>
    <t xml:space="preserve">P0650</t>
  </si>
  <si>
    <t xml:space="preserve">P0649</t>
  </si>
  <si>
    <t xml:space="preserve">P0648</t>
  </si>
  <si>
    <t xml:space="preserve">P0647</t>
  </si>
  <si>
    <t xml:space="preserve">UG-17-S02</t>
  </si>
  <si>
    <t xml:space="preserve">P0240-01</t>
  </si>
  <si>
    <t xml:space="preserve">P0240-02</t>
  </si>
  <si>
    <t xml:space="preserve">P0240-03</t>
  </si>
  <si>
    <t xml:space="preserve">P0240-04</t>
  </si>
  <si>
    <t xml:space="preserve">P0638</t>
  </si>
  <si>
    <t xml:space="preserve">P0637</t>
  </si>
  <si>
    <t xml:space="preserve">P0082-01</t>
  </si>
  <si>
    <t xml:space="preserve">P0082-02</t>
  </si>
  <si>
    <t xml:space="preserve">UG-17-S03</t>
  </si>
  <si>
    <t xml:space="preserve">P0082-03</t>
  </si>
  <si>
    <t xml:space="preserve">P0081</t>
  </si>
  <si>
    <t xml:space="preserve">P0080-01</t>
  </si>
  <si>
    <t xml:space="preserve">P0080-02</t>
  </si>
  <si>
    <t xml:space="preserve">P0111-01</t>
  </si>
  <si>
    <t xml:space="preserve">P0111-02</t>
  </si>
  <si>
    <t xml:space="preserve">P0111-03</t>
  </si>
  <si>
    <t xml:space="preserve">P0111-04</t>
  </si>
  <si>
    <t xml:space="preserve">P0111-05</t>
  </si>
  <si>
    <t xml:space="preserve">P0111-06</t>
  </si>
  <si>
    <t xml:space="preserve">P0111-07</t>
  </si>
  <si>
    <t xml:space="preserve">P0111-08</t>
  </si>
  <si>
    <t xml:space="preserve">P0111-09</t>
  </si>
  <si>
    <t xml:space="preserve">P0111-10</t>
  </si>
  <si>
    <t xml:space="preserve">P0111-11</t>
  </si>
  <si>
    <t xml:space="preserve">P0069</t>
  </si>
  <si>
    <t xml:space="preserve">P0068-01</t>
  </si>
  <si>
    <t xml:space="preserve">P0068-02</t>
  </si>
  <si>
    <t xml:space="preserve">P0085-01</t>
  </si>
  <si>
    <t xml:space="preserve">P0085-02</t>
  </si>
  <si>
    <t xml:space="preserve">P0085-03</t>
  </si>
  <si>
    <t xml:space="preserve">P0658</t>
  </si>
  <si>
    <t xml:space="preserve">P0659-01</t>
  </si>
  <si>
    <t xml:space="preserve">P0659-02</t>
  </si>
  <si>
    <t xml:space="preserve">P0271-01</t>
  </si>
  <si>
    <t xml:space="preserve">P0271-02</t>
  </si>
  <si>
    <t xml:space="preserve">P0271-03</t>
  </si>
  <si>
    <t xml:space="preserve">P0271-04</t>
  </si>
  <si>
    <t xml:space="preserve">P0271-05</t>
  </si>
  <si>
    <t xml:space="preserve">P0271-06</t>
  </si>
  <si>
    <t xml:space="preserve">UG-17-S04</t>
  </si>
  <si>
    <t xml:space="preserve">P0271-07</t>
  </si>
  <si>
    <t xml:space="preserve">P0271-08</t>
  </si>
  <si>
    <t xml:space="preserve">P0271-09</t>
  </si>
  <si>
    <t xml:space="preserve">P0271-10</t>
  </si>
  <si>
    <t xml:space="preserve">P0271-11</t>
  </si>
  <si>
    <t xml:space="preserve">P0271-12</t>
  </si>
  <si>
    <t xml:space="preserve">P0271-13</t>
  </si>
  <si>
    <t xml:space="preserve">P0271-14</t>
  </si>
  <si>
    <t xml:space="preserve">P0271-15</t>
  </si>
  <si>
    <t xml:space="preserve">UG-17-S05</t>
  </si>
  <si>
    <t xml:space="preserve">P0271-16</t>
  </si>
  <si>
    <t xml:space="preserve">P0271-17</t>
  </si>
  <si>
    <t xml:space="preserve">P0271-18</t>
  </si>
  <si>
    <t xml:space="preserve">UG-18</t>
  </si>
  <si>
    <t xml:space="preserve">UG-18-S01</t>
  </si>
  <si>
    <t xml:space="preserve">P0072</t>
  </si>
  <si>
    <t xml:space="preserve">P0645</t>
  </si>
  <si>
    <t xml:space="preserve">P0646</t>
  </si>
  <si>
    <t xml:space="preserve">P0644</t>
  </si>
  <si>
    <t xml:space="preserve">P0643</t>
  </si>
  <si>
    <t xml:space="preserve">P0642</t>
  </si>
  <si>
    <t xml:space="preserve">P0641-01</t>
  </si>
  <si>
    <t xml:space="preserve">P0641-02</t>
  </si>
  <si>
    <t xml:space="preserve">UG-18-S02</t>
  </si>
  <si>
    <t xml:space="preserve">P0241-01</t>
  </si>
  <si>
    <t xml:space="preserve">P0241-02</t>
  </si>
  <si>
    <t xml:space="preserve">P0241-03</t>
  </si>
  <si>
    <t xml:space="preserve">P0640</t>
  </si>
  <si>
    <t xml:space="preserve">P0639-01</t>
  </si>
  <si>
    <t xml:space="preserve">P0639-02</t>
  </si>
  <si>
    <t xml:space="preserve">P0079-01</t>
  </si>
  <si>
    <t xml:space="preserve">P0079-02</t>
  </si>
  <si>
    <t xml:space="preserve">P0079-03</t>
  </si>
  <si>
    <t xml:space="preserve">P0077</t>
  </si>
  <si>
    <t xml:space="preserve">P0078</t>
  </si>
  <si>
    <t xml:space="preserve">P0084-01</t>
  </si>
  <si>
    <t xml:space="preserve">P0084-02</t>
  </si>
  <si>
    <t xml:space="preserve">P0084-03</t>
  </si>
  <si>
    <t xml:space="preserve">P0084-04</t>
  </si>
  <si>
    <t xml:space="preserve">P0084-05</t>
  </si>
  <si>
    <t xml:space="preserve">P0084-06</t>
  </si>
  <si>
    <t xml:space="preserve">P0084-07</t>
  </si>
  <si>
    <t xml:space="preserve">P0084-08</t>
  </si>
  <si>
    <t xml:space="preserve">P0084-09</t>
  </si>
  <si>
    <t xml:space="preserve">P0084-10</t>
  </si>
  <si>
    <t xml:space="preserve">P0084-11</t>
  </si>
  <si>
    <t xml:space="preserve">P0084-12</t>
  </si>
  <si>
    <t xml:space="preserve">P0071</t>
  </si>
  <si>
    <t xml:space="preserve">P0070-01</t>
  </si>
  <si>
    <t xml:space="preserve">P0070-02</t>
  </si>
  <si>
    <t xml:space="preserve">P0086-01</t>
  </si>
  <si>
    <t xml:space="preserve">P0086-02</t>
  </si>
  <si>
    <t xml:space="preserve">P0086-03</t>
  </si>
  <si>
    <t xml:space="preserve">P0660-01</t>
  </si>
  <si>
    <t xml:space="preserve">P0660-02</t>
  </si>
  <si>
    <t xml:space="preserve">P0661</t>
  </si>
  <si>
    <t xml:space="preserve">P0270-01</t>
  </si>
  <si>
    <t xml:space="preserve">P0270-02</t>
  </si>
  <si>
    <t xml:space="preserve">P0270-03</t>
  </si>
  <si>
    <t xml:space="preserve">P0270-04</t>
  </si>
  <si>
    <t xml:space="preserve">P0270-05</t>
  </si>
  <si>
    <t xml:space="preserve">P0270-06</t>
  </si>
  <si>
    <t xml:space="preserve">P0270-07</t>
  </si>
  <si>
    <t xml:space="preserve">P0270-08</t>
  </si>
  <si>
    <t xml:space="preserve">P0270-09</t>
  </si>
  <si>
    <t xml:space="preserve">P0270-10</t>
  </si>
  <si>
    <t xml:space="preserve">P0270-11</t>
  </si>
  <si>
    <t xml:space="preserve">P0270-12</t>
  </si>
  <si>
    <t xml:space="preserve">P0270-13</t>
  </si>
  <si>
    <t xml:space="preserve">P0270-14</t>
  </si>
  <si>
    <t xml:space="preserve">P0270-15</t>
  </si>
  <si>
    <t xml:space="preserve">P0270-16</t>
  </si>
  <si>
    <t xml:space="preserve">P0270-17</t>
  </si>
  <si>
    <t xml:space="preserve">UG-19</t>
  </si>
  <si>
    <t xml:space="preserve">UG-19-S01</t>
  </si>
  <si>
    <t xml:space="preserve">P0014</t>
  </si>
  <si>
    <t xml:space="preserve">P0668</t>
  </si>
  <si>
    <t xml:space="preserve">P0669</t>
  </si>
  <si>
    <t xml:space="preserve">UG-19-S02</t>
  </si>
  <si>
    <t xml:space="preserve">P0242-01</t>
  </si>
  <si>
    <t xml:space="preserve">P0242-02</t>
  </si>
  <si>
    <t xml:space="preserve">P0242-03</t>
  </si>
  <si>
    <t xml:space="preserve">P0242-04</t>
  </si>
  <si>
    <t xml:space="preserve">P0670</t>
  </si>
  <si>
    <t xml:space="preserve">P0672</t>
  </si>
  <si>
    <t xml:space="preserve">P0673</t>
  </si>
  <si>
    <t xml:space="preserve">P0674</t>
  </si>
  <si>
    <t xml:space="preserve">UG-19-S03</t>
  </si>
  <si>
    <t xml:space="preserve">P0676</t>
  </si>
  <si>
    <t xml:space="preserve">P0677</t>
  </si>
  <si>
    <t xml:space="preserve">P0774-01</t>
  </si>
  <si>
    <t xml:space="preserve">P0774-02</t>
  </si>
  <si>
    <t xml:space="preserve">P0774-03</t>
  </si>
  <si>
    <t xml:space="preserve">P0774-04</t>
  </si>
  <si>
    <t xml:space="preserve">P0774-05</t>
  </si>
  <si>
    <t xml:space="preserve">P0774-06</t>
  </si>
  <si>
    <t xml:space="preserve">P0774-07</t>
  </si>
  <si>
    <t xml:space="preserve">P0774-08</t>
  </si>
  <si>
    <t xml:space="preserve">P0414</t>
  </si>
  <si>
    <t xml:space="preserve">P0413</t>
  </si>
  <si>
    <t xml:space="preserve">P0412</t>
  </si>
  <si>
    <t xml:space="preserve">P0411</t>
  </si>
  <si>
    <t xml:space="preserve">P0010-01</t>
  </si>
  <si>
    <t xml:space="preserve">P0010-02</t>
  </si>
  <si>
    <t xml:space="preserve">P0011</t>
  </si>
  <si>
    <t xml:space="preserve">P0675</t>
  </si>
  <si>
    <t xml:space="preserve">P0671</t>
  </si>
  <si>
    <t xml:space="preserve">UG-20</t>
  </si>
  <si>
    <t xml:space="preserve">UG-20-S01</t>
  </si>
  <si>
    <t xml:space="preserve">P0015</t>
  </si>
  <si>
    <t xml:space="preserve">P0678</t>
  </si>
  <si>
    <t xml:space="preserve">P0679</t>
  </si>
  <si>
    <t xml:space="preserve">UG-20-S02</t>
  </si>
  <si>
    <t xml:space="preserve">P0243-01</t>
  </si>
  <si>
    <t xml:space="preserve">P0243-02</t>
  </si>
  <si>
    <t xml:space="preserve">P0243-03</t>
  </si>
  <si>
    <t xml:space="preserve">P0243-04</t>
  </si>
  <si>
    <t xml:space="preserve">P0680</t>
  </si>
  <si>
    <t xml:space="preserve">P0681</t>
  </si>
  <si>
    <t xml:space="preserve">P0682</t>
  </si>
  <si>
    <t xml:space="preserve">P0683</t>
  </si>
  <si>
    <t xml:space="preserve">P0775-01</t>
  </si>
  <si>
    <t xml:space="preserve">P0775-02</t>
  </si>
  <si>
    <t xml:space="preserve">P0775-03</t>
  </si>
  <si>
    <t xml:space="preserve">P0775-04</t>
  </si>
  <si>
    <t xml:space="preserve">P0775-05</t>
  </si>
  <si>
    <t xml:space="preserve">P0775-06</t>
  </si>
  <si>
    <t xml:space="preserve">P0775-07</t>
  </si>
  <si>
    <t xml:space="preserve">P0418</t>
  </si>
  <si>
    <t xml:space="preserve">P0417-01</t>
  </si>
  <si>
    <t xml:space="preserve">P0417-02</t>
  </si>
  <si>
    <t xml:space="preserve">P0416</t>
  </si>
  <si>
    <t xml:space="preserve">P0415</t>
  </si>
  <si>
    <t xml:space="preserve">P0012</t>
  </si>
  <si>
    <t xml:space="preserve">P0013</t>
  </si>
  <si>
    <t xml:space="preserve">UG-21</t>
  </si>
  <si>
    <t xml:space="preserve">UG-21-S01</t>
  </si>
  <si>
    <t xml:space="preserve">P0178-01</t>
  </si>
  <si>
    <t xml:space="preserve">P0178-02</t>
  </si>
  <si>
    <t xml:space="preserve">UG-22</t>
  </si>
  <si>
    <t xml:space="preserve">UG-22-S01</t>
  </si>
  <si>
    <t xml:space="preserve">P0177-01</t>
  </si>
  <si>
    <t xml:space="preserve">P0177-02</t>
  </si>
  <si>
    <t xml:space="preserve">UG-23</t>
  </si>
  <si>
    <t xml:space="preserve">UG-23-S01</t>
  </si>
  <si>
    <t xml:space="preserve">P0051</t>
  </si>
  <si>
    <t xml:space="preserve">P0148-01</t>
  </si>
  <si>
    <t xml:space="preserve">P0148-02</t>
  </si>
  <si>
    <t xml:space="preserve">P0149</t>
  </si>
  <si>
    <t xml:space="preserve">UG-23-S02</t>
  </si>
  <si>
    <t xml:space="preserve">P0097-01</t>
  </si>
  <si>
    <t xml:space="preserve">UG-23-S03</t>
  </si>
  <si>
    <t xml:space="preserve">P0097-02</t>
  </si>
  <si>
    <t xml:space="preserve">P0150</t>
  </si>
  <si>
    <t xml:space="preserve">P0151</t>
  </si>
  <si>
    <t xml:space="preserve">P0307-01</t>
  </si>
  <si>
    <t xml:space="preserve">P0307-02</t>
  </si>
  <si>
    <t xml:space="preserve">P0307-03</t>
  </si>
  <si>
    <t xml:space="preserve">UG-23-S04</t>
  </si>
  <si>
    <t xml:space="preserve">P0307-04</t>
  </si>
  <si>
    <t xml:space="preserve">P0307-05</t>
  </si>
  <si>
    <t xml:space="preserve">P0307-06</t>
  </si>
  <si>
    <t xml:space="preserve">UG-23-S05</t>
  </si>
  <si>
    <t xml:space="preserve">P0307-07</t>
  </si>
  <si>
    <t xml:space="preserve">P0307-08</t>
  </si>
  <si>
    <t xml:space="preserve">P0307-09</t>
  </si>
  <si>
    <t xml:space="preserve">P0307-10</t>
  </si>
  <si>
    <t xml:space="preserve">P0664</t>
  </si>
  <si>
    <t xml:space="preserve">P0667</t>
  </si>
  <si>
    <t xml:space="preserve">P0662</t>
  </si>
  <si>
    <t xml:space="preserve">P0665</t>
  </si>
  <si>
    <t xml:space="preserve">P0306</t>
  </si>
  <si>
    <t xml:space="preserve">UG-23-S06</t>
  </si>
  <si>
    <t xml:space="preserve">P0422-01</t>
  </si>
  <si>
    <t xml:space="preserve">P0422-02</t>
  </si>
  <si>
    <t xml:space="preserve">P0423</t>
  </si>
  <si>
    <t xml:space="preserve">P0304</t>
  </si>
  <si>
    <t xml:space="preserve">P0425</t>
  </si>
  <si>
    <t xml:space="preserve">P0424</t>
  </si>
  <si>
    <t xml:space="preserve">P0152-01</t>
  </si>
  <si>
    <t xml:space="preserve">P0152-02</t>
  </si>
  <si>
    <t xml:space="preserve">P0442</t>
  </si>
  <si>
    <t xml:space="preserve">P0443</t>
  </si>
  <si>
    <t xml:space="preserve">P0163-01</t>
  </si>
  <si>
    <t xml:space="preserve">P0163-02</t>
  </si>
  <si>
    <t xml:space="preserve">P0445</t>
  </si>
  <si>
    <t xml:space="preserve">P0444</t>
  </si>
  <si>
    <t xml:space="preserve">P0153-01</t>
  </si>
  <si>
    <t xml:space="preserve">P0153-02</t>
  </si>
  <si>
    <t xml:space="preserve">P0153-03</t>
  </si>
  <si>
    <t xml:space="preserve">UG-23-S07</t>
  </si>
  <si>
    <t xml:space="preserve">P0153-04</t>
  </si>
  <si>
    <t xml:space="preserve">P0153-05</t>
  </si>
  <si>
    <t xml:space="preserve">P0153-06</t>
  </si>
  <si>
    <t xml:space="preserve">UG-23-S08</t>
  </si>
  <si>
    <t xml:space="preserve">P0153-07</t>
  </si>
  <si>
    <t xml:space="preserve">P0153-08</t>
  </si>
  <si>
    <t xml:space="preserve">P0153-09</t>
  </si>
  <si>
    <t xml:space="preserve">P0153-10</t>
  </si>
  <si>
    <t xml:space="preserve">P0153-11</t>
  </si>
  <si>
    <t xml:space="preserve">UG-23-S09</t>
  </si>
  <si>
    <t xml:space="preserve">P0153-12</t>
  </si>
  <si>
    <t xml:space="preserve">P0153-13</t>
  </si>
  <si>
    <t xml:space="preserve">P0153-14</t>
  </si>
  <si>
    <t xml:space="preserve">P0153-15</t>
  </si>
  <si>
    <t xml:space="preserve">P0018</t>
  </si>
  <si>
    <t xml:space="preserve">P0017</t>
  </si>
  <si>
    <t xml:space="preserve">P0016-01</t>
  </si>
  <si>
    <t xml:space="preserve">P0016-02</t>
  </si>
  <si>
    <t xml:space="preserve">P0016-03</t>
  </si>
  <si>
    <t xml:space="preserve">P0016-04</t>
  </si>
  <si>
    <t xml:space="preserve">P0016-05</t>
  </si>
  <si>
    <t xml:space="preserve">P0016-06</t>
  </si>
  <si>
    <t xml:space="preserve">P0016-07</t>
  </si>
  <si>
    <t xml:space="preserve">UG-23-S10</t>
  </si>
  <si>
    <t xml:space="preserve">P0016-08</t>
  </si>
  <si>
    <t xml:space="preserve">P0016-09</t>
  </si>
  <si>
    <t xml:space="preserve">P0663</t>
  </si>
  <si>
    <t xml:space="preserve">P0305</t>
  </si>
  <si>
    <t xml:space="preserve">UG-24</t>
  </si>
  <si>
    <t xml:space="preserve">UG-24-S01</t>
  </si>
  <si>
    <t xml:space="preserve">P0121</t>
  </si>
  <si>
    <t xml:space="preserve">P0120</t>
  </si>
  <si>
    <t xml:space="preserve">P0119</t>
  </si>
  <si>
    <t xml:space="preserve">P0118</t>
  </si>
  <si>
    <t xml:space="preserve">P0388</t>
  </si>
  <si>
    <t xml:space="preserve">P0264-01</t>
  </si>
  <si>
    <t xml:space="preserve">P0264-02</t>
  </si>
  <si>
    <t xml:space="preserve">P0067</t>
  </si>
  <si>
    <t xml:space="preserve">P0635</t>
  </si>
  <si>
    <t xml:space="preserve">P0636</t>
  </si>
  <si>
    <t xml:space="preserve">P0265-01</t>
  </si>
  <si>
    <t xml:space="preserve">P0265-02</t>
  </si>
  <si>
    <t xml:space="preserve">P0265-03</t>
  </si>
  <si>
    <t xml:space="preserve">P0265-04</t>
  </si>
  <si>
    <t xml:space="preserve">P0265-05</t>
  </si>
  <si>
    <t xml:space="preserve">P0265-06</t>
  </si>
  <si>
    <t xml:space="preserve">P0265-07</t>
  </si>
  <si>
    <t xml:space="preserve">P0265-08</t>
  </si>
  <si>
    <t xml:space="preserve">P0265-09</t>
  </si>
  <si>
    <t xml:space="preserve">P0265-10</t>
  </si>
  <si>
    <t xml:space="preserve">P0265-11</t>
  </si>
  <si>
    <t xml:space="preserve">P0066-01</t>
  </si>
  <si>
    <t xml:space="preserve">P0066-02</t>
  </si>
  <si>
    <t xml:space="preserve">P0065</t>
  </si>
  <si>
    <t xml:space="preserve">UG-24-S02</t>
  </si>
  <si>
    <t xml:space="preserve">P0050</t>
  </si>
  <si>
    <t xml:space="preserve">UG-25</t>
  </si>
  <si>
    <t xml:space="preserve">UG-25-S01</t>
  </si>
  <si>
    <t xml:space="preserve">P0344-01</t>
  </si>
  <si>
    <t xml:space="preserve">P0344-02</t>
  </si>
  <si>
    <t xml:space="preserve">P0344-03</t>
  </si>
  <si>
    <t xml:space="preserve">P0344-04</t>
  </si>
  <si>
    <t xml:space="preserve">P0344-05</t>
  </si>
  <si>
    <t xml:space="preserve">P0344-06</t>
  </si>
  <si>
    <t xml:space="preserve">P0344-07</t>
  </si>
  <si>
    <t xml:space="preserve">P0344-08</t>
  </si>
  <si>
    <t xml:space="preserve">P0344-09</t>
  </si>
  <si>
    <t xml:space="preserve">P0344-10</t>
  </si>
  <si>
    <t xml:space="preserve">P0344-11</t>
  </si>
  <si>
    <t xml:space="preserve">P0344-12</t>
  </si>
  <si>
    <t xml:space="preserve">P0344-13</t>
  </si>
  <si>
    <t xml:space="preserve">P0344-14</t>
  </si>
  <si>
    <t xml:space="preserve">P0344-15</t>
  </si>
  <si>
    <t xml:space="preserve">P0344-16</t>
  </si>
  <si>
    <t xml:space="preserve">P0344-17</t>
  </si>
  <si>
    <t xml:space="preserve">P0344-18</t>
  </si>
  <si>
    <t xml:space="preserve">P0616</t>
  </si>
  <si>
    <t xml:space="preserve">P0617</t>
  </si>
  <si>
    <t xml:space="preserve">P0618</t>
  </si>
  <si>
    <t xml:space="preserve">P0619</t>
  </si>
  <si>
    <t xml:space="preserve">P0772-01</t>
  </si>
  <si>
    <t xml:space="preserve">P0772-02</t>
  </si>
  <si>
    <t xml:space="preserve">P0772-03</t>
  </si>
  <si>
    <t xml:space="preserve">P0772-04</t>
  </si>
  <si>
    <t xml:space="preserve">P0772-05</t>
  </si>
  <si>
    <t xml:space="preserve">P0772-06</t>
  </si>
  <si>
    <t xml:space="preserve">P0772-07</t>
  </si>
  <si>
    <t xml:space="preserve">P0772-08</t>
  </si>
  <si>
    <t xml:space="preserve">P0772-09</t>
  </si>
  <si>
    <t xml:space="preserve">P0772-10</t>
  </si>
  <si>
    <t xml:space="preserve">P0623</t>
  </si>
  <si>
    <t xml:space="preserve">P0622</t>
  </si>
  <si>
    <t xml:space="preserve">P0621</t>
  </si>
  <si>
    <t xml:space="preserve">P0620</t>
  </si>
  <si>
    <t xml:space="preserve">P0110-01</t>
  </si>
  <si>
    <t xml:space="preserve">P0110-02</t>
  </si>
  <si>
    <t xml:space="preserve">P0110-03</t>
  </si>
  <si>
    <t xml:space="preserve">P0110-04</t>
  </si>
  <si>
    <t xml:space="preserve">P0110-05</t>
  </si>
  <si>
    <t xml:space="preserve">P0110-06</t>
  </si>
  <si>
    <t xml:space="preserve">P0110-07</t>
  </si>
  <si>
    <t xml:space="preserve">P0110-08</t>
  </si>
  <si>
    <t xml:space="preserve">P0653</t>
  </si>
  <si>
    <t xml:space="preserve">P0654</t>
  </si>
  <si>
    <t xml:space="preserve">P0655</t>
  </si>
  <si>
    <t xml:space="preserve">P0776-01</t>
  </si>
  <si>
    <t xml:space="preserve">P0776-02</t>
  </si>
  <si>
    <t xml:space="preserve">P0776-03</t>
  </si>
  <si>
    <t xml:space="preserve">P0776-04</t>
  </si>
  <si>
    <t xml:space="preserve">P0776-05</t>
  </si>
  <si>
    <t xml:space="preserve">P0776-06</t>
  </si>
  <si>
    <t xml:space="preserve">P0776-07</t>
  </si>
  <si>
    <t xml:space="preserve">P0776-08</t>
  </si>
  <si>
    <t xml:space="preserve">P0776-09</t>
  </si>
  <si>
    <t xml:space="preserve">P0776-10</t>
  </si>
  <si>
    <t xml:space="preserve">P0776-11</t>
  </si>
  <si>
    <t xml:space="preserve">P0776-12</t>
  </si>
  <si>
    <t xml:space="preserve">P0776-13</t>
  </si>
  <si>
    <t xml:space="preserve">P0776-14</t>
  </si>
  <si>
    <t xml:space="preserve">P0776-15</t>
  </si>
  <si>
    <t xml:space="preserve">P0776-16</t>
  </si>
  <si>
    <t xml:space="preserve">P0776-17</t>
  </si>
  <si>
    <t xml:space="preserve">UG-26</t>
  </si>
  <si>
    <t xml:space="preserve">UG-26-S01</t>
  </si>
  <si>
    <t xml:space="preserve">P0056-01</t>
  </si>
  <si>
    <t xml:space="preserve">P0056-02</t>
  </si>
  <si>
    <t xml:space="preserve">P0056-03</t>
  </si>
  <si>
    <t xml:space="preserve">P0056-04</t>
  </si>
  <si>
    <t xml:space="preserve">P0056-05</t>
  </si>
  <si>
    <t xml:space="preserve">P0056-06</t>
  </si>
  <si>
    <t xml:space="preserve">P0056-07</t>
  </si>
  <si>
    <t xml:space="preserve">P0056-08</t>
  </si>
  <si>
    <t xml:space="preserve">P0056-09</t>
  </si>
  <si>
    <t xml:space="preserve">P0056-10</t>
  </si>
  <si>
    <t xml:space="preserve">P0056-11</t>
  </si>
  <si>
    <t xml:space="preserve">P0056-12</t>
  </si>
  <si>
    <t xml:space="preserve">P0056-13</t>
  </si>
  <si>
    <t xml:space="preserve">P0056-14</t>
  </si>
  <si>
    <t xml:space="preserve">P0056-15</t>
  </si>
  <si>
    <t xml:space="preserve">P0056-16</t>
  </si>
  <si>
    <t xml:space="preserve">P0056-17</t>
  </si>
  <si>
    <t xml:space="preserve">P0056-18</t>
  </si>
  <si>
    <t xml:space="preserve">P0612</t>
  </si>
  <si>
    <t xml:space="preserve">P0613-01</t>
  </si>
  <si>
    <t xml:space="preserve">P0613-02</t>
  </si>
  <si>
    <t xml:space="preserve">P0232-01</t>
  </si>
  <si>
    <t xml:space="preserve">P0232-02</t>
  </si>
  <si>
    <t xml:space="preserve">P0232-03</t>
  </si>
  <si>
    <t xml:space="preserve">P0232-04</t>
  </si>
  <si>
    <t xml:space="preserve">P0232-05</t>
  </si>
  <si>
    <t xml:space="preserve">P0232-06</t>
  </si>
  <si>
    <t xml:space="preserve">P0232-07</t>
  </si>
  <si>
    <t xml:space="preserve">P0232-08</t>
  </si>
  <si>
    <t xml:space="preserve">P0232-09</t>
  </si>
  <si>
    <t xml:space="preserve">P0615-01</t>
  </si>
  <si>
    <t xml:space="preserve">P0615-02</t>
  </si>
  <si>
    <t xml:space="preserve">P0614</t>
  </si>
  <si>
    <t xml:space="preserve">P0074-01</t>
  </si>
  <si>
    <t xml:space="preserve">P0074-02</t>
  </si>
  <si>
    <t xml:space="preserve">P0074-03</t>
  </si>
  <si>
    <t xml:space="preserve">P0074-04</t>
  </si>
  <si>
    <t xml:space="preserve">P0074-05</t>
  </si>
  <si>
    <t xml:space="preserve">P0074-06</t>
  </si>
  <si>
    <t xml:space="preserve">P0074-07</t>
  </si>
  <si>
    <t xml:space="preserve">P0656</t>
  </si>
  <si>
    <t xml:space="preserve">P0657-01</t>
  </si>
  <si>
    <t xml:space="preserve">P0657-02</t>
  </si>
  <si>
    <t xml:space="preserve">P0272-01</t>
  </si>
  <si>
    <t xml:space="preserve">P0272-02</t>
  </si>
  <si>
    <t xml:space="preserve">P0272-03</t>
  </si>
  <si>
    <t xml:space="preserve">P0272-04</t>
  </si>
  <si>
    <t xml:space="preserve">P0272-05</t>
  </si>
  <si>
    <t xml:space="preserve">P0272-06</t>
  </si>
  <si>
    <t xml:space="preserve">P0272-07</t>
  </si>
  <si>
    <t xml:space="preserve">P0272-08</t>
  </si>
  <si>
    <t xml:space="preserve">P0272-09</t>
  </si>
  <si>
    <t xml:space="preserve">P0272-10</t>
  </si>
  <si>
    <t xml:space="preserve">P0272-11</t>
  </si>
  <si>
    <t xml:space="preserve">P0272-12</t>
  </si>
  <si>
    <t xml:space="preserve">P0272-13</t>
  </si>
  <si>
    <t xml:space="preserve">P0272-14</t>
  </si>
  <si>
    <t xml:space="preserve">P0272-15</t>
  </si>
  <si>
    <t xml:space="preserve">P0272-16</t>
  </si>
  <si>
    <t xml:space="preserve">UG-28</t>
  </si>
  <si>
    <t xml:space="preserve">UG-28-S01</t>
  </si>
  <si>
    <t xml:space="preserve">P0171</t>
  </si>
  <si>
    <t xml:space="preserve">P0761</t>
  </si>
  <si>
    <t xml:space="preserve">UG-28-S02</t>
  </si>
  <si>
    <t xml:space="preserve">P0333</t>
  </si>
  <si>
    <t xml:space="preserve">P0766</t>
  </si>
  <si>
    <t xml:space="preserve">P0765</t>
  </si>
  <si>
    <t xml:space="preserve">P0169</t>
  </si>
  <si>
    <t xml:space="preserve">P0764</t>
  </si>
  <si>
    <t xml:space="preserve">P0763</t>
  </si>
  <si>
    <t xml:space="preserve">P0168</t>
  </si>
  <si>
    <t xml:space="preserve">P0167-01</t>
  </si>
  <si>
    <t xml:space="preserve">P0167-02</t>
  </si>
  <si>
    <t xml:space="preserve">P0405</t>
  </si>
  <si>
    <t xml:space="preserve">UG-28A</t>
  </si>
  <si>
    <t xml:space="preserve">UG-28A-S01</t>
  </si>
  <si>
    <t xml:space="preserve">P0404</t>
  </si>
  <si>
    <t xml:space="preserve">P0166</t>
  </si>
  <si>
    <t xml:space="preserve">P0760</t>
  </si>
  <si>
    <t xml:space="preserve">P0762</t>
  </si>
  <si>
    <t xml:space="preserve">P0170</t>
  </si>
  <si>
    <t xml:space="preserve">P0332-01</t>
  </si>
  <si>
    <t xml:space="preserve">P0332-02</t>
  </si>
  <si>
    <t xml:space="preserve">P0759</t>
  </si>
  <si>
    <t xml:space="preserve">P0758</t>
  </si>
  <si>
    <t xml:space="preserve">P0165</t>
  </si>
  <si>
    <t xml:space="preserve">P0403</t>
  </si>
  <si>
    <t xml:space="preserve">Packages - method, quantities, dewatering, flotation and dates</t>
  </si>
  <si>
    <t xml:space="preserve">One row per work package from the package workbook (201). Method and quantities recalculate from Inputs and Piece check. Start / Finish come from the Activities sheet. Pile and sheet quantities are planning placeholders until designs exist.</t>
  </si>
  <si>
    <t xml:space="preserve">Planning name</t>
  </si>
  <si>
    <t xml:space="preserve">Pipe type</t>
  </si>
  <si>
    <t xml:space="preserve">Printed size</t>
  </si>
  <si>
    <t xml:space="preserve">Package type</t>
  </si>
  <si>
    <t xml:space="preserve">Tie-in structure(s)</t>
  </si>
  <si>
    <t xml:space="preserve">Structure ready (date)</t>
  </si>
  <si>
    <t xml:space="preserve">Aeration zones with open piles within 15 m</t>
  </si>
  <si>
    <t xml:space="preserve">Aeration gate (date)</t>
  </si>
  <si>
    <t xml:space="preserve">Crossing ID hold</t>
  </si>
  <si>
    <t xml:space="preserve">Fittings (no.)</t>
  </si>
  <si>
    <t xml:space="preserve">R start (m)</t>
  </si>
  <si>
    <t xml:space="preserve">R end (m)</t>
  </si>
  <si>
    <t xml:space="preserve">Max depth below GWL (m)</t>
  </si>
  <si>
    <t xml:space="preserve">Max excavation depth from NG (m)</t>
  </si>
  <si>
    <t xml:space="preserve">Open-cut length (m)</t>
  </si>
  <si>
    <t xml:space="preserve">Excavation method</t>
  </si>
  <si>
    <t xml:space="preserve">Pipe displacement (m3)</t>
  </si>
  <si>
    <t xml:space="preserve">Backfill (m3)</t>
  </si>
  <si>
    <t xml:space="preserve">Pipe-support piles (no.)</t>
  </si>
  <si>
    <t xml:space="preserve">Sheet pile wall (m)</t>
  </si>
  <si>
    <t xml:space="preserve">Sheet pile length (m)</t>
  </si>
  <si>
    <t xml:space="preserve">Sheet pile area (m2)</t>
  </si>
  <si>
    <t xml:space="preserve">Drawdown required below GWL (m)</t>
  </si>
  <si>
    <t xml:space="preserve">Dewatering method</t>
  </si>
  <si>
    <t xml:space="preserve">Min flotation FoS, backfill to NG</t>
  </si>
  <si>
    <t xml:space="preserve">Min flotation FoS, final to FL</t>
  </si>
  <si>
    <t xml:space="preserve">Flotation action</t>
  </si>
  <si>
    <t xml:space="preserve">Sequence rank</t>
  </si>
  <si>
    <t xml:space="preserve">Holds before release (package workbook)</t>
  </si>
  <si>
    <t xml:space="preserve">Sequence notes (package workbook)</t>
  </si>
  <si>
    <t xml:space="preserve">Interactions used in the logic</t>
  </si>
  <si>
    <t xml:space="preserve">Trench open after laying (days)</t>
  </si>
  <si>
    <t xml:space="preserve">Dewatering running (days)</t>
  </si>
  <si>
    <t xml:space="preserve">GRP-UG01-S02-EL019-EL295-(-5.44/-6.52)-276m</t>
  </si>
  <si>
    <t xml:space="preserve">GRP</t>
  </si>
  <si>
    <t xml:space="preserve">Run</t>
  </si>
  <si>
    <t xml:space="preserve">Common holds only (see Read Me).</t>
  </si>
  <si>
    <t xml:space="preserve">Identify P0279 (no level) before excavating. Where shoring is flagged, it is on the side facing the nearest structure or pile (Pieces, Nearest item).</t>
  </si>
  <si>
    <t xml:space="preserve">None</t>
  </si>
  <si>
    <t xml:space="preserve">GRP-UG01-S03-EL295-PST-(-6.52/-6.52)-29m</t>
  </si>
  <si>
    <t xml:space="preserve">Tie-in</t>
  </si>
  <si>
    <t xml:space="preserve">PST wall and penetration built; its excavation backfilled to pipe zone. Lay as the closure to the structure. Where shoring is flagged, it is on the side facing the nearest structure or pile (Pieces, Nearest item).</t>
  </si>
  <si>
    <t xml:space="preserve">closure: lay after UG-01-S02 laid</t>
  </si>
  <si>
    <t xml:space="preserve">GRP-UG01-S01-GRT-EL019-(-5.39/-5.44)-19m</t>
  </si>
  <si>
    <t xml:space="preserve">grit removal / fine screens wall and penetration built; its excavation backfilled to pipe zone. Lay as the closure to the structure. Where shoring is flagged, it is on the side facing the nearest structure or pile (Pieces, Nearest item).</t>
  </si>
  <si>
    <t xml:space="preserve">GRP-UG02-S03-CH091-CH156-(-5.81/-6.17)-65m</t>
  </si>
  <si>
    <t xml:space="preserve">3, 5 (18 piles)</t>
  </si>
  <si>
    <t xml:space="preserve">No drawing level anchor inside the package: levels interpolated between anchors elsewhere (no longitudinal profile).</t>
  </si>
  <si>
    <t xml:space="preserve">One shared excavation and dewatering front with UG-03: lay all pipes before backfill. Decide the sequence against the 18 pending piles within 15 m. Where shoring is flagged, it is on the side facing the nearest structure or pile (Pieces, Nearest item).</t>
  </si>
  <si>
    <t xml:space="preserve">shared trench with UG-03-S01: backfill after both laid; shared trench with UG-03-S02: backfill after both laid</t>
  </si>
  <si>
    <t xml:space="preserve">GRP-UG02-S02-EL013-CH091-(-5.38/-5.81)-78m</t>
  </si>
  <si>
    <t xml:space="preserve">5 (4 piles)</t>
  </si>
  <si>
    <t xml:space="preserve">Decide the sequence against the 4 pending piles within 15 m. Where shoring is flagged, it is on the side facing the nearest structure or pile (Pieces, Nearest item).</t>
  </si>
  <si>
    <t xml:space="preserve">shared trench with UG-03-S01: backfill after both laid</t>
  </si>
  <si>
    <t xml:space="preserve">GRP-UG02-S05-EL261-IPS-(-6.72/-6.73)-6m</t>
  </si>
  <si>
    <t xml:space="preserve">8 (3 piles)</t>
  </si>
  <si>
    <t xml:space="preserve">IPS wall and penetration built; its excavation backfilled to pipe zone. Lay as the closure to the structure. One shared excavation and dewatering front with UG-03: lay all pipes before backfill. Deepest first: lay and backfill this line to the bed level of UG-24 before that line. Decide the sequence against the 3 pending piles within 15 m. Where shoring is flagged, it is on the side facing the nearest structure or pile (Pieces, Nearest item).</t>
  </si>
  <si>
    <t xml:space="preserve">deeper than UG-24-S01: complete first; shared trench with UG-03-S04: start excavation with it; shared trench with UG-03-S05: start excavation with it; closure: lay after UG-02-S04 laid</t>
  </si>
  <si>
    <t xml:space="preserve">GRP-UG02-S04-CH156-EL261-(-6.17/-6.72)-105m</t>
  </si>
  <si>
    <t xml:space="preserve">3, 8 (32 piles)</t>
  </si>
  <si>
    <t xml:space="preserve">One shared excavation and dewatering front with UG-03: lay all pipes before backfill. Deepest first: lay and backfill this line to the bed level of UG-24 before that line. Identify P0114 (no level) before excavating. Decide the sequence against the 32 pending piles within 15 m. Where shoring is flagged, it is on the side facing the nearest structure or pile (Pieces, Nearest item).</t>
  </si>
  <si>
    <t xml:space="preserve">deeper than UG-24-S01: complete first; shared trench with UG-03-S01: backfill after both laid; shared trench with UG-03-S02: backfill after both laid; shared trench with UG-03-S03: backfill after both laid; shared trench with UG-03-S04: backfill after both laid; shared trench with UG-03-S05: start excavation with it</t>
  </si>
  <si>
    <t xml:space="preserve">GRP-UG03-S01-EXPST-CH066-(-5.10/-5.86)-66m</t>
  </si>
  <si>
    <t xml:space="preserve">existing PST (not modelled): structure not in the master model, tie-in position not checked.</t>
  </si>
  <si>
    <t xml:space="preserve">One shared excavation and dewatering front with UG-02: lay all pipes before backfill. Where shoring is flagged, it is on the side facing the nearest structure or pile (Pieces, Nearest item).</t>
  </si>
  <si>
    <t xml:space="preserve">deeper than UG-24-S01: complete first; shared trench with UG-02-S02: start excavation with it; shared trench with UG-02-S03: start excavation with it; shared trench with UG-02-S04: start excavation with it</t>
  </si>
  <si>
    <t xml:space="preserve">GRP-UG03-S02-CH066-CH082-(-5.86/-5.99)-16m</t>
  </si>
  <si>
    <t xml:space="preserve">One shared excavation and dewatering front with UG-02: lay all pipes before backfill. Deepest first: lay and backfill this line to the bed level of UG-24 before that line. Where shoring is flagged, it is on the side facing the nearest structure or pile (Pieces, Nearest item).</t>
  </si>
  <si>
    <t xml:space="preserve">deeper than UG-24-S01: complete first; shared trench with UG-02-S03: start excavation with it; shared trench with UG-02-S04: start excavation with it</t>
  </si>
  <si>
    <t xml:space="preserve">GRP-UG03-S04-CH168-EL175-(-6.70/-6.73)-7m</t>
  </si>
  <si>
    <t xml:space="preserve">One shared excavation and dewatering front with UG-02, UG-04: lay all pipes before backfill. Deepest first: lay and backfill this line to the bed level of UG-24 before that line. Where shoring is flagged, it is on the side facing the nearest structure or pile (Pieces, Nearest item).</t>
  </si>
  <si>
    <t xml:space="preserve">deeper than UG-24-S01: complete first; shared trench with UG-02-S04: start excavation with it; shared trench with UG-02-S05: backfill after both laid; shared trench with UG-04-S01: backfill after both laid; shared trench with UG-04-S02: backfill after both laid</t>
  </si>
  <si>
    <t xml:space="preserve">GRP-UG03-S05-EL175-IPS-(-6.73/-6.73)-11m</t>
  </si>
  <si>
    <t xml:space="preserve">IPS wall and penetration built; its excavation backfilled to pipe zone. Lay as the closure to the structure. One shared excavation and dewatering front with UG-02, UG-04: lay all pipes before backfill. Deepest first: lay and backfill this line to the bed level of UG-24 before that line. Where shoring is flagged, it is on the side facing the nearest structure or pile (Pieces, Nearest item).</t>
  </si>
  <si>
    <t xml:space="preserve">deeper than UG-24-S01: complete first; shared trench with UG-02-S04: backfill after both laid; shared trench with UG-02-S05: backfill after both laid; shared trench with UG-04-S01: backfill after both laid; shared trench with UG-04-S02: backfill after both laid; closure: lay after UG-03-S04 laid</t>
  </si>
  <si>
    <t xml:space="preserve">GRP-UG04-S01-EXPST-EL010-(-5.09/-5.86)-10m</t>
  </si>
  <si>
    <t xml:space="preserve">One shared excavation and dewatering front with UG-03: lay all pipes before backfill. Deepest first: lay and backfill this line to the bed level of UG-24 before that line. Where shoring is flagged, it is on the side facing the nearest structure or pile (Pieces, Nearest item).</t>
  </si>
  <si>
    <t xml:space="preserve">deeper than UG-24-S01: complete first; shared trench with UG-03-S04: start excavation with it; shared trench with UG-03-S05: start excavation with it</t>
  </si>
  <si>
    <t xml:space="preserve">GRP-UG04-S02-EL010-IPS-(-5.86/-6.73)-12m</t>
  </si>
  <si>
    <t xml:space="preserve">IPS wall and penetration built; its excavation backfilled to pipe zone. Lay as the closure to the structure. One shared excavation and dewatering front with UG-03: lay all pipes before backfill. Deepest first: lay and backfill this line to the bed level of UG-24 before that line. Where shoring is flagged, it is on the side facing the nearest structure or pile (Pieces, Nearest item).</t>
  </si>
  <si>
    <t xml:space="preserve">deeper than UG-24-S01: complete first; deeper than UG-24-S02: complete first; shared trench with UG-03-S04: start excavation with it; shared trench with UG-03-S05: start excavation with it; closure: lay after UG-04-S01 laid</t>
  </si>
  <si>
    <t xml:space="preserve">GRP-UG03-S03-CH082-CH168-(-5.99/-6.70)-86m</t>
  </si>
  <si>
    <t xml:space="preserve">One shared excavation and dewatering front with UG-02: lay all pipes before backfill. Identify P0117 (no level) before excavating. Where shoring is flagged, it is on the side facing the nearest structure or pile (Pieces, Nearest item).</t>
  </si>
  <si>
    <t xml:space="preserve">deeper than UG-24-S01: complete first; shared trench with UG-02-S04: start excavation with it</t>
  </si>
  <si>
    <t xml:space="preserve">GRP-UG02-S01-PST08-EL013-(-5.10/-5.38)-13m</t>
  </si>
  <si>
    <t xml:space="preserve">PST basin 08 wall and penetration built; its excavation backfilled to pipe zone. Lay as the closure to the structure. Where shoring is flagged, it is on the side facing the nearest structure or pile (Pieces, Nearest item).</t>
  </si>
  <si>
    <t xml:space="preserve">closure: lay after UG-02-S02 laid</t>
  </si>
  <si>
    <t xml:space="preserve">GRP-UG06-S02-EL021-CH049-(-4.05/-4.05)-28m</t>
  </si>
  <si>
    <t xml:space="preserve">No drawing level anchor inside the package: levels interpolated between anchors elsewhere (no longitudinal profile). R007: Embedded prior source review identifies plan/section level differences at shown locations. R011: Component material HDPE differs from scheduled whole-line material GRP.</t>
  </si>
  <si>
    <t xml:space="preserve">Where shoring is flagged, it is on the side facing the nearest structure or pile (Pieces, Nearest item).</t>
  </si>
  <si>
    <t xml:space="preserve">GRP-UG25-S01-BYPCH-OUTF-(-4.55/-4.70)-495m</t>
  </si>
  <si>
    <t xml:space="preserve">R046: Component material HDPE differs from scheduled whole-line material GRP. Flow direction: levels: higher end taken as upstream (gravity assumption). overflow bypass chamber (not modelled): structure not in the master model, tie-in position not checked. outfall chamber (not modelled): structure not in the master model, tie-in position not checked.</t>
  </si>
  <si>
    <t xml:space="preserve">One shared excavation and dewatering front with UG-26: lay all pipes before backfill. Where shoring is flagged, it is on the side facing the nearest structure or pile (Pieces, Nearest item).</t>
  </si>
  <si>
    <t xml:space="preserve">shared trench with UG-05-S05: backfill after both laid; shared trench with UG-06-S05: backfill after both laid; shared trench with UG-26-S01: backfill after both laid</t>
  </si>
  <si>
    <t xml:space="preserve">GRP-UG26-S01-BYPCH-OUTF-(-4.19/-4.56)-496m</t>
  </si>
  <si>
    <t xml:space="preserve">Flow direction: levels: higher end taken as upstream (gravity assumption). overflow bypass chamber (not modelled): structure not in the master model, tie-in position not checked. outfall chamber (not modelled): structure not in the master model, tie-in position not checked.</t>
  </si>
  <si>
    <t xml:space="preserve">One shared excavation and dewatering front with UG-25: lay all pipes before backfill. Where shoring is flagged, it is on the side facing the nearest structure or pile (Pieces, Nearest item).</t>
  </si>
  <si>
    <t xml:space="preserve">shared trench with UG-05-S05: backfill after both laid; shared trench with UG-06-S05: backfill after both laid; shared trench with UG-25-S01: start excavation with it</t>
  </si>
  <si>
    <t xml:space="preserve">GRP-UG06-S05-CH278-CHUG25-(-4.13/-4.12)-22m</t>
  </si>
  <si>
    <t xml:space="preserve">R007: Embedded prior source review identifies plan/section level differences at shown locations. chamber connecting UG-25 (not modelled): structure not in the master model, tie-in position not checked.</t>
  </si>
  <si>
    <t xml:space="preserve">One shared excavation and dewatering front with UG-05: lay all pipes before backfill. Where shoring is flagged, it is on the side facing the nearest structure or pile (Pieces, Nearest item).</t>
  </si>
  <si>
    <t xml:space="preserve">deeper than UG-12A-S03: complete first; shared trench with UG-05-S04: backfill after both laid; shared trench with UG-05-S05: backfill after both laid; shared trench with UG-25-S01: start excavation with it; shared trench with UG-26-S01: start excavation with it</t>
  </si>
  <si>
    <t xml:space="preserve">GRP-UG06-S04-CH147-CH278-(-4.13/-4.13)-130m</t>
  </si>
  <si>
    <t xml:space="preserve">No drawing level anchor inside the package: levels interpolated between anchors elsewhere (no longitudinal profile). R007: Embedded prior source review identifies plan/section level differences at shown locations.</t>
  </si>
  <si>
    <t xml:space="preserve">One shared excavation and dewatering front with UG-05, UG-12A: lay all pipes before backfill. Where shoring is flagged, it is on the side facing the nearest structure or pile (Pieces, Nearest item).</t>
  </si>
  <si>
    <t xml:space="preserve">deeper than UG-12A-S03: complete first; deeper than UG-12A-S04: complete first; deeper than UG-12A-S07: complete first; deeper than UG-12A-S08: complete first; shared trench with UG-05-S03: backfill after both laid; shared trench with UG-05-S04: backfill after both laid; shared trench with UG-05-S05: backfill after both laid</t>
  </si>
  <si>
    <t xml:space="preserve">GRP-UG05-S05-CH282-CHUG25-(-4.12/-4.12)-25m</t>
  </si>
  <si>
    <t xml:space="preserve">One shared excavation and dewatering front with UG-06: lay all pipes before backfill. Where shoring is flagged, it is on the side facing the nearest structure or pile (Pieces, Nearest item).</t>
  </si>
  <si>
    <t xml:space="preserve">shared trench with UG-06-S04: start excavation with it; shared trench with UG-06-S05: start excavation with it; shared trench with UG-25-S01: start excavation with it; shared trench with UG-26-S01: start excavation with it</t>
  </si>
  <si>
    <t xml:space="preserve">GRP-UG06-S03-CH049-CH147-(-4.05/-4.13)-98m</t>
  </si>
  <si>
    <t xml:space="preserve">R007: Embedded prior source review identifies plan/section level differences at shown locations. R011: Component material HDPE differs from scheduled whole-line material GRP.</t>
  </si>
  <si>
    <t xml:space="preserve">deeper than UG-12A-S05: complete first; shared trench with UG-05-S02: backfill after both laid; shared trench with UG-05-S03: backfill after both laid; shared trench with UG-05-S04: backfill after both laid</t>
  </si>
  <si>
    <t xml:space="preserve">GRP-UG05-S04-CH158-CH282-(-4.12/-4.12)-123m</t>
  </si>
  <si>
    <t xml:space="preserve">One shared excavation and dewatering front with UG-06, UG-12A: lay all pipes before backfill. Where shoring is flagged, it is on the side facing the nearest structure or pile (Pieces, Nearest item).</t>
  </si>
  <si>
    <t xml:space="preserve">deeper than UG-12A-S03: complete first; deeper than UG-12A-S04: complete first; deeper than UG-12A-S08: complete first; shared trench with UG-06-S03: start excavation with it; shared trench with UG-06-S04: start excavation with it; shared trench with UG-06-S05: start excavation with it</t>
  </si>
  <si>
    <t xml:space="preserve">GRP-UG05-S03-CH054-CH158-(-3.82/-4.12)-104m</t>
  </si>
  <si>
    <t xml:space="preserve">R007: Embedded prior source review identifies plan/section level differences at shown locations.</t>
  </si>
  <si>
    <t xml:space="preserve">shared trench with UG-06-S03: start excavation with it; shared trench with UG-06-S04: start excavation with it</t>
  </si>
  <si>
    <t xml:space="preserve">GRP-UG05-S02-CH006-CH054-(-3.66/-3.82)-48m</t>
  </si>
  <si>
    <t xml:space="preserve">shared trench with UG-06-S03: start excavation with it; shared trench with UG-24-S01: backfill after both laid; shared trench with UG-24-S02: backfill after both laid</t>
  </si>
  <si>
    <t xml:space="preserve">GRP-UG06-S01-IPS-EL021-(-4.07/-4.05)-21m</t>
  </si>
  <si>
    <t xml:space="preserve">No drawing level anchor inside the package: levels interpolated between anchors elsewhere (no longitudinal profile). R007: Embedded prior source review identifies plan/section level differences at shown locations. R012: Component material HDPE differs from scheduled whole-line material GRP.</t>
  </si>
  <si>
    <t xml:space="preserve">IPS wall and penetration built; its excavation backfilled to pipe zone. Lay as the closure to the structure. Where shoring is flagged, it is on the side facing the nearest structure or pile (Pieces, Nearest item).</t>
  </si>
  <si>
    <t xml:space="preserve">shared trench with UG-05-S01: backfill after both laid; closure: lay after UG-06-S02 laid</t>
  </si>
  <si>
    <t xml:space="preserve">GRP-UG05-S01-IPS-CH006-(-3.64/-3.66)-6m</t>
  </si>
  <si>
    <t xml:space="preserve">shared trench with UG-06-S01: start excavation with it; shared trench with UG-24-S01: backfill after both laid; shared trench with UG-24-S02: backfill after both laid; closure: lay after UG-05-S02 laid</t>
  </si>
  <si>
    <t xml:space="preserve">GRP-UG24-S01-EXPST-EL124-(-2.60/-3.02)-124m</t>
  </si>
  <si>
    <t xml:space="preserve">3, 8 (31 piles)</t>
  </si>
  <si>
    <t xml:space="preserve">R041: Component material HDPE differs from scheduled whole-line material GRP. R042: Component material HDPE differs from scheduled whole-line material GRP. R043: Component material HDPE differs from scheduled whole-line material GRP. R044: Component material HDPE differs from scheduled whole-line material GRP. R045: Component material HDPE differs from scheduled whole-line material GRP. existing PST (not modelled): structure not in the master model, tie-in position not checked.</t>
  </si>
  <si>
    <t xml:space="preserve">UG-02, UG-03, UG-04 is deeper here: lay and backfill it first. Decide the sequence against the 31 pending piles within 15 m. Where shoring is flagged, it is on the side facing the nearest structure or pile (Pieces, Nearest item).</t>
  </si>
  <si>
    <t xml:space="preserve">excavate after UG-02-S04 backfilled (deeper); excavate after UG-02-S05 backfilled (deeper); excavate after UG-03-S01 backfilled (deeper); excavate after UG-03-S02 backfilled (deeper); excavate after UG-03-S03 backfilled (deeper); excavate after UG-03-S04 backfilled (deeper); excavate after UG-03-S05 backfilled (deeper); excavate after UG-04-S01 backfilled (deeper); excavate after UG-04-S02 backfilled (deeper); shared trench with UG-05-S01: start excavation with it; shared trench with UG-05-S02: start excavation with it; built by F2 (shared corridor; line system front F1)</t>
  </si>
  <si>
    <t xml:space="preserve">GRP-UG24-S02-EL124-IPS-(-3.03/-3.03)-3m</t>
  </si>
  <si>
    <t xml:space="preserve">IPS wall and penetration built; its excavation backfilled to pipe zone. Lay as the closure to the structure. UG-02 is deeper here: lay and backfill it first. Where shoring is flagged, it is on the side facing the nearest structure or pile (Pieces, Nearest item).</t>
  </si>
  <si>
    <t xml:space="preserve">excavate after UG-04-S02 backfilled (deeper); shared trench with UG-05-S01: start excavation with it; shared trench with UG-05-S02: start excavation with it; closure: lay after UG-24-S01 laid; built by F2 (shared corridor; line system front F1)</t>
  </si>
  <si>
    <t xml:space="preserve">GRP-UG10-S04-CH146-CH200-(-3.76/-5.01)-53m</t>
  </si>
  <si>
    <t xml:space="preserve">excavate after UG-15-S02 backfilled (deeper)</t>
  </si>
  <si>
    <t xml:space="preserve">GRP-UG10-S05-CH200-SDCA-(-5.01/-5.01)-6m</t>
  </si>
  <si>
    <t xml:space="preserve">secondary distribution chamber A wall and penetration built; its excavation backfilled to pipe zone. Lay as the closure to the structure. Where shoring is flagged, it is on the side facing the nearest structure or pile (Pieces, Nearest item).</t>
  </si>
  <si>
    <t xml:space="preserve">deeper than UG-16A-S01: complete first; deeper than UG-16B-S01: complete first; closure: lay after UG-10-S04 laid</t>
  </si>
  <si>
    <t xml:space="preserve">GRP-UG10-S03-CH114-CH146-(-3.36/-3.76)-32m</t>
  </si>
  <si>
    <t xml:space="preserve">UG-15, UG-22 is deeper here: lay and backfill it first. Where shoring is flagged, it is on the side facing the nearest structure or pile (Pieces, Nearest item).</t>
  </si>
  <si>
    <t xml:space="preserve">excavate after UG-15-S02 backfilled (deeper); excavate after UG-15-S03 backfilled (deeper); excavate after UG-21-S01 backfilled (deeper); excavate after UG-22-S01 backfilled (deeper); deeper than UG-28-S01: complete first; excavate after UG-28-S02 backfilled (deeper); deeper than UG-28A-S01: complete first</t>
  </si>
  <si>
    <t xml:space="preserve">GRP-UG10-S02-EL007-CH114-(-3.19/-3.36)-107m</t>
  </si>
  <si>
    <t xml:space="preserve">4, 7 (80 piles)</t>
  </si>
  <si>
    <t xml:space="preserve">UG-21, UG-28 is deeper here: lay and backfill it first. Decide the sequence against the 79 pending piles within 15 m. Where shoring is flagged, it is on the side facing the nearest structure or pile (Pieces, Nearest item).</t>
  </si>
  <si>
    <t xml:space="preserve">excavate after UG-21-S01 backfilled (deeper); excavate after UG-22-S01 backfilled (deeper); deeper than UG-28-S01: complete first; excavate after UG-28-S02 backfilled (deeper); deeper than UG-28A-S01: complete first</t>
  </si>
  <si>
    <t xml:space="preserve">GRP-UG10-S01-AER-EL007-(-3.20/-3.19)-7m</t>
  </si>
  <si>
    <t xml:space="preserve">7 (1 piles)</t>
  </si>
  <si>
    <t xml:space="preserve">aeration tank wall and penetration built; its excavation backfilled to pipe zone. Lay as the closure to the structure. Decide the sequence against the 1 pending piles within 15 m. Where shoring is flagged, it is on the side facing the nearest structure or pile (Pieces, Nearest item).</t>
  </si>
  <si>
    <t xml:space="preserve">closure: lay after UG-10-S02 laid</t>
  </si>
  <si>
    <t xml:space="preserve">GRP-UG08-S06-CH224-CH277-(-4.99/-4.99)-53m</t>
  </si>
  <si>
    <t xml:space="preserve">shared trench with UG-09-S06: backfill after both laid</t>
  </si>
  <si>
    <t xml:space="preserve">GRP-UG09-S07-CH231-CH282-(-4.98/-4.98)-51m</t>
  </si>
  <si>
    <t xml:space="preserve">shared trench with UG-08-S05: backfill after both laid</t>
  </si>
  <si>
    <t xml:space="preserve">GRP-UG08-S05-CH108-CH224-(-3.18/-4.99)-116m</t>
  </si>
  <si>
    <t xml:space="preserve">One shared excavation and dewatering front with UG-09: lay all pipes before backfill. UG-12, UG-13B is deeper here: lay and backfill it first. Where shoring is flagged, it is on the side facing the nearest structure or pile (Pieces, Nearest item).</t>
  </si>
  <si>
    <t xml:space="preserve">excavate after UG-12-S03 backfilled (deeper); excavate after UG-13-S03 backfilled (deeper); excavate after UG-13B-S11 backfilled (deeper); shared trench with UG-09-S04: backfill after both laid; shared trench with UG-09-S05: backfill after both laid; shared trench with UG-09-S06: backfill after both laid; shared trench with UG-09-S07: start excavation with it</t>
  </si>
  <si>
    <t xml:space="preserve">GRP-UG09-S06-CH168-CH231-(-3.30/-4.98)-62m</t>
  </si>
  <si>
    <t xml:space="preserve">One shared excavation and dewatering front with UG-08: lay all pipes before backfill. Where shoring is flagged, it is on the side facing the nearest structure or pile (Pieces, Nearest item).</t>
  </si>
  <si>
    <t xml:space="preserve">excavate after UG-13B-S08 backfilled (deeper); shared trench with UG-08-S05: start excavation with it; shared trench with UG-08-S06: start excavation with it</t>
  </si>
  <si>
    <t xml:space="preserve">GRP-UG09-S05-CH150-CH168-(-3.17/-3.30)-18m</t>
  </si>
  <si>
    <t xml:space="preserve">One shared excavation and dewatering front with UG-08: lay all pipes before backfill. UG-13B is deeper here: lay and backfill it first. Where shoring is flagged, it is on the side facing the nearest structure or pile (Pieces, Nearest item).</t>
  </si>
  <si>
    <t xml:space="preserve">excavate after UG-12-S03 backfilled (deeper); excavate after UG-13B-S07 backfilled (deeper); excavate after UG-13B-S08 backfilled (deeper); excavate after UG-13B-S09 backfilled (deeper); excavate after UG-13B-S11 backfilled (deeper); shared trench with UG-08-S05: start excavation with it</t>
  </si>
  <si>
    <t xml:space="preserve">GRP-UG08-S04-CH060-CH108-(-3.17/-3.18)-48m</t>
  </si>
  <si>
    <t xml:space="preserve">One shared excavation and dewatering front with UG-09: lay all pipes before backfill. UG-13, UG-23 is deeper here: lay and backfill it first. Where shoring is flagged, it is on the side facing the nearest structure or pile (Pieces, Nearest item).</t>
  </si>
  <si>
    <t xml:space="preserve">excavate after UG-11-S03 backfilled (deeper); excavate after UG-11-S04 backfilled (deeper); excavate after UG-13-S05 backfilled (deeper); excavate after UG-23-S02 backfilled (deeper); excavate after UG-23-S03 backfilled (deeper); excavate after UG-23-S04 backfilled (deeper); shared trench with UG-09-S03: backfill after both laid; shared trench with UG-09-S04: backfill after both laid</t>
  </si>
  <si>
    <t xml:space="preserve">GRP-UG09-S04-CH067-CH150-(-3.16/-3.17)-83m</t>
  </si>
  <si>
    <t xml:space="preserve">One shared excavation and dewatering front with UG-08: lay all pipes before backfill. UG-12, UG-13B, UG-23 is deeper here: lay and backfill it first. Where shoring is flagged, it is on the side facing the nearest structure or pile (Pieces, Nearest item).</t>
  </si>
  <si>
    <t xml:space="preserve">excavate after UG-12-S03 backfilled (deeper); excavate after UG-13B-S07 backfilled (deeper); excavate after UG-13B-S08 backfilled (deeper); excavate after UG-13B-S11 backfilled (deeper); excavate after UG-23-S03 backfilled (deeper); excavate after UG-23-S04 backfilled (deeper); shared trench with UG-08-S03: backfill after both laid; shared trench with UG-08-S04: start excavation with it; shared trench with UG-08-S05: start excavation with it</t>
  </si>
  <si>
    <t xml:space="preserve">GRP-UG08-S03-CH038-CH060-(-3.16/-3.17)-22m</t>
  </si>
  <si>
    <t xml:space="preserve">One shared excavation and dewatering front with UG-09: lay all pipes before backfill. UG-11, UG-23 is deeper here: lay and backfill it first. Where shoring is flagged, it is on the side facing the nearest structure or pile (Pieces, Nearest item).</t>
  </si>
  <si>
    <t xml:space="preserve">excavate after UG-11-S03 backfilled (deeper); excavate after UG-11-S04 backfilled (deeper); excavate after UG-23-S03 backfilled (deeper); excavate after UG-23-S04 backfilled (deeper); excavate after UG-23-S05 backfilled (deeper); shared trench with UG-09-S02: backfill after both laid; shared trench with UG-09-S03: backfill after both laid; shared trench with UG-09-S04: start excavation with it</t>
  </si>
  <si>
    <t xml:space="preserve">GRP-UG08-S02-EL021-CH038-(-3.16/-3.16)-17m</t>
  </si>
  <si>
    <t xml:space="preserve">One shared excavation and dewatering front with UG-09: lay all pipes before backfill. UG-23 is deeper here: lay and backfill it first. Where shoring is flagged, it is on the side facing the nearest structure or pile (Pieces, Nearest item).</t>
  </si>
  <si>
    <t xml:space="preserve">excavate after UG-11-S04 backfilled (deeper); excavate after UG-23-S04 backfilled (deeper); excavate after UG-23-S05 backfilled (deeper); shared trench with UG-09-S01: backfill after both laid; shared trench with UG-09-S02: backfill after both laid; shared trench with UG-09-S03: backfill after both laid</t>
  </si>
  <si>
    <t xml:space="preserve">GRP-UG09-S03-CH044-CH067-(-3.16/-3.16)-23m</t>
  </si>
  <si>
    <t xml:space="preserve">One shared excavation and dewatering front with UG-08: lay all pipes before backfill. UG-11, UG-23 is deeper here: lay and backfill it first. Where shoring is flagged, it is on the side facing the nearest structure or pile (Pieces, Nearest item).</t>
  </si>
  <si>
    <t xml:space="preserve">excavate after UG-11-S04 backfilled (deeper); excavate after UG-11-S05 backfilled (deeper); excavate after UG-23-S03 backfilled (deeper); excavate after UG-23-S04 backfilled (deeper); excavate after UG-23-S05 backfilled (deeper); shared trench with UG-08-S02: start excavation with it; shared trench with UG-08-S03: start excavation with it; shared trench with UG-08-S04: start excavation with it</t>
  </si>
  <si>
    <t xml:space="preserve">GRP-UG08-S01-AER-EL021-(-3.17/-3.16)-21m</t>
  </si>
  <si>
    <t xml:space="preserve">aeration tank wall and penetration built; its excavation backfilled to pipe zone. Lay as the closure to the structure. One shared excavation and dewatering front with UG-09: lay all pipes before backfill. Where shoring is flagged, it is on the side facing the nearest structure or pile (Pieces, Nearest item).</t>
  </si>
  <si>
    <t xml:space="preserve">excavate after UG-23-S05 backfilled (deeper); shared trench with UG-09-S01: start excavation with it; shared trench with UG-09-S02: backfill after both laid; closure: lay after UG-08-S02 laid</t>
  </si>
  <si>
    <t xml:space="preserve">GRP-UG09-S02-EL024-CH044-(-3.16/-3.16)-20m</t>
  </si>
  <si>
    <t xml:space="preserve">One shared excavation and dewatering front with UG-08: lay all pipes before backfill. UG-23 is deeper here: lay and backfill it first. Where shoring is flagged, it is on the side facing the nearest structure or pile (Pieces, Nearest item).</t>
  </si>
  <si>
    <t xml:space="preserve">excavate after UG-23-S04 backfilled (deeper); excavate after UG-23-S05 backfilled (deeper); shared trench with UG-08-S01: start excavation with it; shared trench with UG-08-S02: start excavation with it; shared trench with UG-08-S03: start excavation with it</t>
  </si>
  <si>
    <t xml:space="preserve">GRP-UG09-S01-AER-EL024-(-3.18/-3.16)-24m</t>
  </si>
  <si>
    <t xml:space="preserve">aeration tank wall and penetration built; its excavation backfilled to pipe zone. Lay as the closure to the structure. One shared excavation and dewatering front with UG-08: lay all pipes before backfill. Where shoring is flagged, it is on the side facing the nearest structure or pile (Pieces, Nearest item).</t>
  </si>
  <si>
    <t xml:space="preserve">excavate after UG-23-S05 backfilled (deeper); shared trench with UG-08-S01: backfill after both laid; shared trench with UG-08-S02: start excavation with it; closure: lay after UG-09-S02 laid</t>
  </si>
  <si>
    <t xml:space="preserve">GRP-UG08-S07-CH277-SDCC-(-4.99/-4.99)-6m</t>
  </si>
  <si>
    <t xml:space="preserve">secondary distribution chamber C wall and penetration built; its excavation backfilled to pipe zone. Lay as the closure to the structure. Where shoring is flagged, it is on the side facing the nearest structure or pile (Pieces, Nearest item).</t>
  </si>
  <si>
    <t xml:space="preserve">deeper than UG-27K-S01: complete first; deeper than UG-27L-S01: complete first; closure: lay after UG-08-S06 laid</t>
  </si>
  <si>
    <t xml:space="preserve">HDPE-UG13A-S13-FSTK-EL030-(-4.10/-4.10)-30m</t>
  </si>
  <si>
    <t xml:space="preserve">HDPE</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</si>
  <si>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t>
  </si>
  <si>
    <t xml:space="preserve">FST K wall and penetration built; its excavation backfilled to pipe zone. Lay as the closure to the structure. Where shoring is flagged, it is on the side facing the nearest structure or pile (Pieces, Nearest item).</t>
  </si>
  <si>
    <t xml:space="preserve">shared trench with UG-27K-S01: backfill after both laid; closure: lay after UG-13A-S14 laid; built by F3 (shared corridor; line system front F7)</t>
  </si>
  <si>
    <t xml:space="preserve">HDPE-UG27K-S01-SDCC-FSTK-(0.79/-4.00)-38m</t>
  </si>
  <si>
    <t xml:space="preserve">Short connection</t>
  </si>
  <si>
    <t xml:space="preserve">SDCC, FSTK</t>
  </si>
  <si>
    <t xml:space="preserve">R009: 36 recorded tank interfaces: 13 nominal agreements and 23 model/guide vertical differences. Most pipe values are interpolated at openings. R057: 11 native short-fitting objects have all 24 mesh vertices coincident. Their embedded source centreline still has 0.584683786 m of represented 3D length.</t>
  </si>
  <si>
    <t xml:space="preserve">Both connected structures (secondary distribution chamber C, FST K) built with their wall penetrations; lay between them. Where shoring is flagged, it is on the side facing the nearest structure or pile (Pieces, Nearest item).</t>
  </si>
  <si>
    <t xml:space="preserve">excavate after UG-08-S07 backfilled (deeper); shared trench with UG-13A-S13: start excavation with it</t>
  </si>
  <si>
    <t xml:space="preserve">GRP-UG09-S08-CH282-SDCB-(-4.98/-4.98)-6m</t>
  </si>
  <si>
    <t xml:space="preserve">secondary distribution chamber B wall and penetration built; its excavation backfilled to pipe zone. Lay as the closure to the structure. Where shoring is flagged, it is on the side facing the nearest structure or pile (Pieces, Nearest item).</t>
  </si>
  <si>
    <t xml:space="preserve">deeper than UG-14E-S01: complete first; deeper than UG-14F-S01: complete first; closure: lay after UG-09-S07 laid</t>
  </si>
  <si>
    <t xml:space="preserve">HDPE-UG13B-S01-FSTE-EL031-(-4.10/-4.10)-31m</t>
  </si>
  <si>
    <t xml:space="preserve">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t>
  </si>
  <si>
    <t xml:space="preserve">FST E wall and penetration built; its excavation backfilled to pipe zone. Lay as the closure to the structure. Where shoring is flagged, it is on the side facing the nearest structure or pile (Pieces, Nearest item).</t>
  </si>
  <si>
    <t xml:space="preserve">shared trench with UG-14E-S01: backfill after both laid; closure: lay after UG-13B-S02 laid; built by F3 (shared corridor; line system front F7)</t>
  </si>
  <si>
    <t xml:space="preserve">HDPE-UG14E-S01-SDCB-FSTE-(0.80/-4.00)-38m</t>
  </si>
  <si>
    <t xml:space="preserve">SDCB, FSTE</t>
  </si>
  <si>
    <t xml:space="preserve">No drawing level anchor inside the package: levels interpolated between anchors elsewhere (no longitudinal profile). R008: 22 segments use civil-guide nominal inlet CL -2.70 and upstream nominal CL +2.10; intermediate 4.80 m fall arrangement is not detailed. R009: 36 recorded tank interfaces: 13 nominal agreements and 23 model/guide vertical differences. Most pipe values are interpolated at openings.</t>
  </si>
  <si>
    <t xml:space="preserve">Both connected structures (secondary distribution chamber B, FST E) built with their wall penetrations; lay between them. Where shoring is flagged, it is on the side facing the nearest structure or pile (Pieces, Nearest item).</t>
  </si>
  <si>
    <t xml:space="preserve">excavate after UG-09-S08 backfilled (deeper); shared trench with UG-13B-S01: start excavation with it</t>
  </si>
  <si>
    <t xml:space="preserve">HDPE-UG11B-S08-EL339-FSTB-(-4.10/-4.10)-29m</t>
  </si>
  <si>
    <t xml:space="preserve">FST B wall and penetration built; its excavation backfilled to pipe zone. Lay as the closure to the structure. Where shoring is flagged, it is on the side facing the nearest structure or pile (Pieces, Nearest item).</t>
  </si>
  <si>
    <t xml:space="preserve">shared trench with UG-16B-S01: backfill after both laid; closure: lay after UG-11B-S07 laid; built by F3 (shared corridor; line system front F6)</t>
  </si>
  <si>
    <t xml:space="preserve">HDPE-UG16B-S01-SDCA-FSTB-(0.79/-4.00)-38m</t>
  </si>
  <si>
    <t xml:space="preserve">SDCA, FSTB</t>
  </si>
  <si>
    <t xml:space="preserve">Both connected structures (secondary distribution chamber A, FST B) built with their wall penetrations; lay between them. Where shoring is flagged, it is on the side facing the nearest structure or pile (Pieces, Nearest item).</t>
  </si>
  <si>
    <t xml:space="preserve">excavate after UG-10-S05 backfilled (deeper); shared trench with UG-11B-S08: start excavation with it</t>
  </si>
  <si>
    <t xml:space="preserve">HDPE-UG14F-S01-SDCB-FSTF-(0.80/-4.00)-38m</t>
  </si>
  <si>
    <t xml:space="preserve">SDCB, FSTF</t>
  </si>
  <si>
    <t xml:space="preserve">Both connected structures (secondary distribution chamber B, FST F) built with their wall penetrations; lay between them. Where shoring is flagged, it is on the side facing the nearest structure or pile (Pieces, Nearest item).</t>
  </si>
  <si>
    <t xml:space="preserve">excavate after UG-09-S08 backfilled (deeper); excavate after UG-13B-S09 backfilled (deeper); excavate after UG-13B-S10 backfilled (deeper)</t>
  </si>
  <si>
    <t xml:space="preserve">HDPE-UG27J-S02-CH016-FSTJ-(-4.00/-4.00)-22m</t>
  </si>
  <si>
    <t xml:space="preserve">No drawing level anchor inside the package: levels interpolated between anchors elsewhere (no longitudinal profile). R009: 36 recorded tank interfaces: 13 nominal agreements and 23 model/guide vertical differences. Most pipe values are interpolated at openings.</t>
  </si>
  <si>
    <t xml:space="preserve">Both connected structures (secondary distribution chamber C, FST J) built with their wall penetrations; lay between them. Where shoring is flagged, it is on the side facing the nearest structure or pile (Pieces, Nearest item).</t>
  </si>
  <si>
    <t xml:space="preserve">excavate after UG-13A-S15 backfilled (deeper)</t>
  </si>
  <si>
    <t xml:space="preserve">HDPE-UG27J-S01-SDCC-CH016-(0.79/-4.00)-16m</t>
  </si>
  <si>
    <t xml:space="preserve">R009: 36 recorded tank interfaces: 13 nominal agreements and 23 model/guide vertical differences. Most pipe values are interpolated at openings.</t>
  </si>
  <si>
    <t xml:space="preserve">Both connected structures (secondary distribution chamber C, FST J) built with their wall penetrations; lay between them. UG-13A is deeper here: lay and backfill it first. Where shoring is flagged, it is on the side facing the nearest structure or pile (Pieces, Nearest item).</t>
  </si>
  <si>
    <t xml:space="preserve">excavate after UG-13A-S06 backfilled (deeper); excavate after UG-13A-S07 backfilled (deeper)</t>
  </si>
  <si>
    <t xml:space="preserve">HDPE-UG27L-S01-SDCC-FSTL-(0.79/-4.00)-38m</t>
  </si>
  <si>
    <t xml:space="preserve">SDCC, FSTL</t>
  </si>
  <si>
    <t xml:space="preserve">Both connected structures (secondary distribution chamber C, FST L) built with their wall penetrations; lay between them. Where shoring is flagged, it is on the side facing the nearest structure or pile (Pieces, Nearest item).</t>
  </si>
  <si>
    <t xml:space="preserve">excavate after UG-08-S07 backfilled (deeper); excavate after UG-13A-S01 backfilled (deeper); excavate after UG-13A-S02 backfilled (deeper)</t>
  </si>
  <si>
    <t xml:space="preserve">GRP-UG15-S05-CH139-EL155-(-5.32/-5.33)-16m</t>
  </si>
  <si>
    <t xml:space="preserve">R010: Local FCT outlet branches have approximately 1.20 m CAD envelopes and sludge branches approximately 1.00 m, versus larger scheduled trunk sizes. UG-12A is printed DN1600, not OD1600.</t>
  </si>
  <si>
    <t xml:space="preserve">shared trench with UG-15A-S02: backfill after both laid</t>
  </si>
  <si>
    <t xml:space="preserve">GRP-UG15-S04-CH123-CH139-(-5.32/-5.32)-16m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</si>
  <si>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t>
  </si>
  <si>
    <t xml:space="preserve">One shared excavation and dewatering front with UG-15A: lay all pipes before backfill. UG-15A is deeper here: lay and backfill it first. Where shoring is flagged, it is on the side facing the nearest structure or pile (Pieces, Nearest item).</t>
  </si>
  <si>
    <t xml:space="preserve">HDPE-UG15A-S02-EL006-CCT-(-4.90/-4.91)-12m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</si>
  <si>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R024: Component material GRP differs from scheduled whole-line material HDPE. chlorine contact tank: structure not in the master model, tie-in position not checked.</t>
  </si>
  <si>
    <t xml:space="preserve">UG-15 is deeper here: lay and backfill it first. Where shoring is flagged, it is on the side facing the nearest structure or pile (Pieces, Nearest item).</t>
  </si>
  <si>
    <t xml:space="preserve">shared trench with UG-15-S04: start excavation with it; shared trench with UG-15-S05: start excavation with it</t>
  </si>
  <si>
    <t xml:space="preserve">GRP-UG15-S06-EL155-CCT-(-5.33/-5.33)-13m</t>
  </si>
  <si>
    <t xml:space="preserve">chlorine contact tank wall and penetration built; its excavation backfilled to pipe zone. Lay as the closure to the structure. Where shoring is flagged, it is on the side facing the nearest structure or pile (Pieces, Nearest item).</t>
  </si>
  <si>
    <t xml:space="preserve">closure: lay after UG-15-S05 laid</t>
  </si>
  <si>
    <t xml:space="preserve">GRP-UG15-S03-CH065-CH123-(-5.33/-5.32)-57m</t>
  </si>
  <si>
    <t xml:space="preserve">deeper than UG-10-S03: complete first</t>
  </si>
  <si>
    <t xml:space="preserve">GRP-UG15-S02-CH049-CH065-(-5.33/-5.33)-16m</t>
  </si>
  <si>
    <t xml:space="preserve">Deepest first: lay and backfill this line to the bed level of UG-10 before that line. Where shoring is flagged, it is on the side facing the nearest structure or pile (Pieces, Nearest item).</t>
  </si>
  <si>
    <t xml:space="preserve">deeper than UG-10-S03: complete first; deeper than UG-10-S04: complete first</t>
  </si>
  <si>
    <t xml:space="preserve">GRP-UG07-S02-CH020-CH056-(-3.62/-4.58)-35m</t>
  </si>
  <si>
    <t xml:space="preserve">UG-12, UG-07A is deeper here: lay and backfill it first. Where shoring is flagged, it is on the side facing the nearest structure or pile (Pieces, Nearest item).</t>
  </si>
  <si>
    <t xml:space="preserve">excavate after UG-12-S05 backfilled (deeper); excavate after UG-12-S06 backfilled (deeper); shared trench with UG-07A-S09: backfill after both laid; shared trench with UG-07A-S12: backfill after both laid</t>
  </si>
  <si>
    <t xml:space="preserve">HDPE-UG07A-S12-CH050-CCT-(-4.74/-3.62)-32m</t>
  </si>
  <si>
    <t xml:space="preserve">R010: Local FCT outlet branches have approximately 1.20 m CAD envelopes and sludge branches approximately 1.00 m, versus larger scheduled trunk sizes. UG-12A is printed DN1600, not OD1600. R014: Component material GRP differs from scheduled whole-line material HDPE. chlorine contact tank: structure not in the master model, tie-in position not checked.</t>
  </si>
  <si>
    <t xml:space="preserve">One shared excavation and dewatering front with UG-12: lay all pipes before backfill. UG-07 is deeper here: lay and backfill it first. Where shoring is flagged, it is on the side facing the nearest structure or pile (Pieces, Nearest item).</t>
  </si>
  <si>
    <t xml:space="preserve">excavate after UG-12-S04 backfilled (deeper); excavate after UG-12-S05 backfilled (deeper); excavate after UG-12-S06 backfilled (deeper); shared trench with UG-07-S01: backfill after both laid; shared trench with UG-07-S02: start excavation with it</t>
  </si>
  <si>
    <t xml:space="preserve">GRP-UG07-S01-FSTE-CH020-(-3.22/-3.62)-20m</t>
  </si>
  <si>
    <t xml:space="preserve">R010: Local FCT outlet branches have approximately 1.20 m CAD envelopes and sludge branches approximately 1.00 m, versus larger scheduled trunk sizes. UG-12A is printed DN1600, not OD1600. FST E: structure not in the master model, tie-in position not checked.</t>
  </si>
  <si>
    <t xml:space="preserve">One shared excavation and dewatering front with UG-07A: lay all pipes before backfill. UG-07A is deeper here: lay and backfill it first. Where shoring is flagged, it is on the side facing the nearest structure or pile (Pieces, Nearest item).</t>
  </si>
  <si>
    <t xml:space="preserve">excavate after UG-12-S06 backfilled (deeper); shared trench with UG-07A-S05: backfill after both laid; shared trench with UG-07A-S09: backfill after both laid; shared trench with UG-07A-S12: start excavation with it</t>
  </si>
  <si>
    <t xml:space="preserve">HDPE-UG07A-S09-EL003-CCT-(-2.97/-2.98)-12m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</si>
  <si>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R015: Component material GRP differs from scheduled whole-line material HDPE. chlorine contact tank: structure not in the master model, tie-in position not checked.</t>
  </si>
  <si>
    <t xml:space="preserve">One shared excavation and dewatering front with UG-07: lay all pipes before backfill. UG-07 is deeper here: lay and backfill it first. Where shoring is flagged, it is on the side facing the nearest structure or pile (Pieces, Nearest item).</t>
  </si>
  <si>
    <t xml:space="preserve">shared trench with UG-07-S01: start excavation with it; shared trench with UG-07-S02: start excavation with it</t>
  </si>
  <si>
    <t xml:space="preserve">HDPE-UG07A-S05-CH222-CCT-(-2.73/-3.03)-23m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</si>
  <si>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R013: Component material GRP differs from scheduled whole-line material HDPE. R016: Component material GRP differs from scheduled whole-line material HDPE. chlorine contact tank: structure not in the master model, tie-in position not checked.</t>
  </si>
  <si>
    <t xml:space="preserve">UG-07 is deeper here: lay and backfill it first. Where shoring is flagged, it is on the side facing the nearest structure or pile (Pieces, Nearest item).</t>
  </si>
  <si>
    <t xml:space="preserve">shared trench with UG-07-S01: start excavation with it</t>
  </si>
  <si>
    <t xml:space="preserve">HDPE-UG15A-S01-FSTA-EL006-(-4.90/-4.88)-6m</t>
  </si>
  <si>
    <t xml:space="preserve">FST A wall and penetration built; its excavation backfilled to pipe zone. Lay as the closure to the structure. Where shoring is flagged, it is on the side facing the nearest structure or pile (Pieces, Nearest item).</t>
  </si>
  <si>
    <t xml:space="preserve">closure: lay after UG-15A-S02 laid</t>
  </si>
  <si>
    <t xml:space="preserve">HDPE-UG15A-S03-FSTC-EL017-(-2.72/-2.72)-17m</t>
  </si>
  <si>
    <t xml:space="preserve">FST C wall and penetration built; its excavation backfilled to pipe zone. Lay as the closure to the structure. One shared excavation and dewatering front with UG-11B, UG-17: lay all pipes before backfill. UG-11B is deeper here: lay and backfill it first. Where shoring is flagged, it is on the side facing the nearest structure or pile (Pieces, Nearest item).</t>
  </si>
  <si>
    <t xml:space="preserve">excavate after UG-11B-S05 backfilled (deeper); excavate after UG-11B-S06 backfilled (deeper); excavate after UG-17-S03 backfilled (deeper); excavate after UG-17-S04 backfilled (deeper); closure: lay after UG-15A-S04 laid</t>
  </si>
  <si>
    <t xml:space="preserve">HDPE-UG15A-S07-FSTD-EL011-(-4.70/-4.70)-11m</t>
  </si>
  <si>
    <t xml:space="preserve">FST D wall and penetration built; its excavation backfilled to pipe zone. Lay as the closure to the structure. Where shoring is flagged, it is on the side facing the nearest structure or pile (Pieces, Nearest item).</t>
  </si>
  <si>
    <t xml:space="preserve">closure: lay after UG-15A-S08 laid</t>
  </si>
  <si>
    <t xml:space="preserve">HDPE-UG07A-S03-TEE151-CH157-(-2.70/-2.70)-6m</t>
  </si>
  <si>
    <t xml:space="preserve">HDPE-UG07A-S02-EL019-TEE151-(-2.50/-2.70)-132m</t>
  </si>
  <si>
    <t xml:space="preserve">HDPE-UG07A-S01-FSTE-EL019-(-2.50/-2.50)-19m</t>
  </si>
  <si>
    <t xml:space="preserve">closure: lay after UG-07A-S02 laid</t>
  </si>
  <si>
    <t xml:space="preserve">HDPE-UG07A-S07-EL005-TEE-(-2.50/-2.50)-23m</t>
  </si>
  <si>
    <t xml:space="preserve">HDPE-UG07A-S08-FSTH-EL003-(-2.97/-2.97)-3m</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</si>
  <si>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R050: Positive-length overlap of near-collinear source centrelines at 1 mm geometric diagnostic tolerance.</t>
  </si>
  <si>
    <t xml:space="preserve">FST H wall and penetration built; its excavation backfilled to pipe zone. Lay as the closure to the structure. One shared excavation and dewatering front with UG-07: lay all pipes before backfill. Where shoring is flagged, it is on the side facing the nearest structure or pile (Pieces, Nearest item).</t>
  </si>
  <si>
    <t xml:space="preserve">closure: lay after UG-07A-S09 laid</t>
  </si>
  <si>
    <t xml:space="preserve">HDPE-UG07A-S10-FSTF-EL009-(-2.70/-2.89)-9m</t>
  </si>
  <si>
    <t xml:space="preserve">FST F wall and penetration built; its excavation backfilled to pipe zone. Lay as the closure to the structure. One shared excavation and dewatering front with UG-13B: lay all pipes before backfill. UG-12 is deeper here: lay and backfill it first. Where shoring is flagged, it is on the side facing the nearest structure or pile (Pieces, Nearest item).</t>
  </si>
  <si>
    <t xml:space="preserve">excavate after UG-12-S04 backfilled (deeper); excavate after UG-13B-S06 backfilled (deeper); excavate after UG-13B-S07 backfilled (deeper); closure: lay after UG-07A-S11 laid</t>
  </si>
  <si>
    <t xml:space="preserve">HDPE-UG07A-S06-FSTG-EL005-(-2.50/-2.50)-5m</t>
  </si>
  <si>
    <t xml:space="preserve">FST G wall and penetration built; its excavation backfilled to pipe zone. Lay as the closure to the structure. Where shoring is flagged, it is on the side facing the nearest structure or pile (Pieces, Nearest item).</t>
  </si>
  <si>
    <t xml:space="preserve">excavate after UG-11A-S02 backfilled (deeper); closure: lay after UG-07A-S07 laid</t>
  </si>
  <si>
    <t xml:space="preserve">HDPE-UG07A-S04-CH157-CH222-(-2.70/-2.73)-65m</t>
  </si>
  <si>
    <t xml:space="preserve">UG-11A is deeper here: lay and backfill it first. Where shoring is flagged, it is on the side facing the nearest structure or pile (Pieces, Nearest item).</t>
  </si>
  <si>
    <t xml:space="preserve">excavate after UG-11A-S03 backfilled (deeper); excavate after UG-11A-S04 backfilled (deeper); excavate after UG-11A-S05 backfilled (deeper); excavate after UG-11A-S07 backfilled (deeper)</t>
  </si>
  <si>
    <t xml:space="preserve">GRP-UG12-S07-CH210-CH227-(-5.47/-5.22)-17m</t>
  </si>
  <si>
    <t xml:space="preserve">One shared excavation and dewatering front with UG-07, UG-11: lay all pipes before backfill. Deepest first: lay and backfill this line to the bed level of UG-23 before that line. UG-11 is deeper here: lay and backfill it first. Where shoring is flagged, it is on the side facing the nearest structure or pile (Pieces, Nearest item).</t>
  </si>
  <si>
    <t xml:space="preserve">excavate after UG-11-S06 backfilled (deeper); deeper than UG-23-S06: complete first; deeper than UG-23-S07: complete first; shared trench with UG-07-S03: backfill after both laid; shared trench with UG-07-S04: backfill after both laid; shared trench with UG-11-S01: backfill after both laid</t>
  </si>
  <si>
    <t xml:space="preserve">GRP-UG12-S08-CH227-CCT-(-5.22/-5.13)-6m</t>
  </si>
  <si>
    <t xml:space="preserve">chlorine contact tank wall and penetration built; its excavation backfilled to pipe zone. Lay as the closure to the structure. One shared excavation and dewatering front with UG-07, UG-11: lay all pipes before backfill. Deepest first: lay and backfill this line to the bed level of UG-23 before that line. Where shoring is flagged, it is on the side facing the nearest structure or pile (Pieces, Nearest item).</t>
  </si>
  <si>
    <t xml:space="preserve">excavate after UG-11-S06 backfilled (deeper); shared trench with UG-07-S03: backfill after both laid; shared trench with UG-07-S04: backfill after both laid; shared trench with UG-11-S01: backfill after both laid; closure: lay after UG-12-S07 laid</t>
  </si>
  <si>
    <t xml:space="preserve">HDPE-UG11B-S14-CH018-TEE-(-4.63/-4.63)-20m</t>
  </si>
  <si>
    <t xml:space="preserve">R010: Local FCT outlet branches have approximately 1.20 m CAD envelopes and sludge branches approximately 1.00 m, versus larger scheduled trunk sizes. UG-12A is printed DN1600, not OD1600. R026: Component material GRP differs from scheduled whole-line material HDPE. R029: Component material GRP differs from scheduled whole-line material HDPE. R036: Component material GRP differs from scheduled whole-line material HDPE. R037: Component material GRP differs from scheduled whole-line material HDPE. Flow direction: not established: model order kept.</t>
  </si>
  <si>
    <t xml:space="preserve">One shared excavation and dewatering front with UG-11: lay all pipes before backfill. Deepest first: lay and backfill this line to the bed level of UG-11 before that line. Where shoring is flagged, it is on the side facing the nearest structure or pile (Pieces, Nearest item).</t>
  </si>
  <si>
    <t xml:space="preserve">deeper than UG-23-S08: complete first; shared trench with UG-11-S01: backfill after both laid; built by F5 (shared corridor; line system front F6)</t>
  </si>
  <si>
    <t xml:space="preserve">GRP-UG12-S06-CH168-CH210-(-6.07/-5.47)-42m</t>
  </si>
  <si>
    <t xml:space="preserve">Deepest first: lay and backfill this line to the bed level of UG-07 before that line. Where shoring is flagged, it is on the side facing the nearest structure or pile (Pieces, Nearest item).</t>
  </si>
  <si>
    <t xml:space="preserve">deeper than UG-07-S01: complete first; deeper than UG-07-S02: complete first; deeper than UG-07A-S12: complete first; shared trench with UG-07-S03: backfill after both laid</t>
  </si>
  <si>
    <t xml:space="preserve">GRP-UG07-S03-CH056-CH081-(-4.58/-5.03)-25m</t>
  </si>
  <si>
    <t xml:space="preserve">One shared excavation and dewatering front with UG-11, UG-12: lay all pipes before backfill. Deepest first: lay and backfill this line to the bed level of UG-23 before that line. UG-11 is deeper here: lay and backfill it first. Where shoring is flagged, it is on the side facing the nearest structure or pile (Pieces, Nearest item).</t>
  </si>
  <si>
    <t xml:space="preserve">excavate after UG-11-S06 backfilled (deeper); deeper than UG-23-S06: complete first; deeper than UG-23-S07: complete first; shared trench with UG-11-S01: backfill after both laid; shared trench with UG-12-S06: start excavation with it; shared trench with UG-12-S07: start excavation with it; shared trench with UG-12-S08: start excavation with it; built by F5 (shared corridor; line system front F4)</t>
  </si>
  <si>
    <t xml:space="preserve">GRP-UG07-S04-CH081-CCT-(-5.03/-5.13)-6m</t>
  </si>
  <si>
    <t xml:space="preserve">chlorine contact tank wall and penetration built; its excavation backfilled to pipe zone. Lay as the closure to the structure. One shared excavation and dewatering front with UG-11, UG-12: lay all pipes before backfill. Deepest first: lay and backfill this line to the bed level of UG-23 before that line. Where shoring is flagged, it is on the side facing the nearest structure or pile (Pieces, Nearest item).</t>
  </si>
  <si>
    <t xml:space="preserve">excavate after UG-11-S06 backfilled (deeper); shared trench with UG-11-S01: backfill after both laid; shared trench with UG-12-S07: start excavation with it; shared trench with UG-12-S08: start excavation with it; closure: lay after UG-07-S03 laid; built by F5 (shared corridor; line system front F4)</t>
  </si>
  <si>
    <t xml:space="preserve">GRP-UG11-S01-FSTA-CH037-(-4.62/-4.62)-37m</t>
  </si>
  <si>
    <t xml:space="preserve">R010: Local FCT outlet branches have approximately 1.20 m CAD envelopes and sludge branches approximately 1.00 m, versus larger scheduled trunk sizes. UG-12A is printed DN1600, not OD1600. Flow direction: not established: model order kept. FST A: structure not in the master model, tie-in position not checked.</t>
  </si>
  <si>
    <t xml:space="preserve">One shared excavation and dewatering front with UG-11B: lay all pipes before backfill. Deepest first: lay and backfill this line to the bed level of UG-23 before that line. UG-11B is deeper here: lay and backfill it first. Where shoring is flagged, it is on the side facing the nearest structure or pile (Pieces, Nearest item).</t>
  </si>
  <si>
    <t xml:space="preserve">deeper than UG-23-S07: complete first; deeper than UG-23-S08: complete first; shared trench with UG-07-S03: start excavation with it; shared trench with UG-07-S04: start excavation with it; shared trench with UG-11B-S14: start excavation with it; shared trench with UG-12-S07: start excavation with it; shared trench with UG-12-S08: start excavation with it; built by F5 (shared corridor; line system front F6)</t>
  </si>
  <si>
    <t xml:space="preserve">GRP-UG12-S05-CH143-CH168-(-6.18/-6.07)-24m</t>
  </si>
  <si>
    <t xml:space="preserve">One shared excavation and dewatering front with UG-07A: lay all pipes before backfill. Where shoring is flagged, it is on the side facing the nearest structure or pile (Pieces, Nearest item).</t>
  </si>
  <si>
    <t xml:space="preserve">deeper than UG-07-S02: complete first; deeper than UG-07A-S11: complete first; deeper than UG-07A-S12: complete first</t>
  </si>
  <si>
    <t xml:space="preserve">GRP-UG12-S02-CH030-CH046-(-3.08/-3.08)-16m</t>
  </si>
  <si>
    <t xml:space="preserve">One shared excavation and dewatering front with UG-12A: lay all pipes before backfill. UG-13, UG-12A is deeper here: lay and backfill it first. Where shoring is flagged, it is on the side facing the nearest structure or pile (Pieces, Nearest item).</t>
  </si>
  <si>
    <t xml:space="preserve">excavate after UG-13-S02 backfilled (deeper); excavate after UG-13-S03 backfilled (deeper); shared trench with UG-12A-S12: backfill after both laid</t>
  </si>
  <si>
    <t xml:space="preserve">GRP-UG12-S01-FSTI-CH030-(-3.05/-3.08)-30m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</si>
  <si>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FST I: structure not in the master model, tie-in position not checked.</t>
  </si>
  <si>
    <t xml:space="preserve">One shared excavation and dewatering front with UG-12A: lay all pipes before backfill. UG-12A is deeper here: lay and backfill it first. Where shoring is flagged, it is on the side facing the nearest structure or pile (Pieces, Nearest item).</t>
  </si>
  <si>
    <t xml:space="preserve">excavate after UG-13-S02 backfilled (deeper); excavate after UG-13-S03 backfilled (deeper); shared trench with UG-12A-S06: backfill after both laid; shared trench with UG-12A-S10: backfill after both laid; shared trench with UG-12A-S12: backfill after both laid</t>
  </si>
  <si>
    <t xml:space="preserve">HDPE-UG12A-S12-CH006-CCT-(-2.64/-2.66)-8m</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</si>
  <si>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R017: Component material GRP differs from scheduled whole-line material HDPE. chlorine contact tank: structure not in the master model, tie-in position not checked.</t>
  </si>
  <si>
    <t xml:space="preserve">One shared excavation and dewatering front with UG-12: lay all pipes before backfill. UG-13, UG-12 is deeper here: lay and backfill it first. Where shoring is flagged, it is on the side facing the nearest structure or pile (Pieces, Nearest item).</t>
  </si>
  <si>
    <t xml:space="preserve">excavate after UG-13-S03 backfilled (deeper); shared trench with UG-12-S01: start excavation with it; shared trench with UG-12-S02: start excavation with it</t>
  </si>
  <si>
    <t xml:space="preserve">HDPE-UG12A-S10-CH006-CCT-(-2.63/-2.65)-29m</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</si>
  <si>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R018: Component material GRP differs from scheduled whole-line material HDPE. R020: Component material GRP differs from scheduled whole-line material HDPE. chlorine contact tank: structure not in the master model, tie-in position not checked.</t>
  </si>
  <si>
    <t xml:space="preserve">UG-12 is deeper here: lay and backfill it first. Where shoring is flagged, it is on the side facing the nearest structure or pile (Pieces, Nearest item).</t>
  </si>
  <si>
    <t xml:space="preserve">shared trench with UG-12-S01: start excavation with it</t>
  </si>
  <si>
    <t xml:space="preserve">HDPE-UG12A-S06-CH242-CCT-(-2.83/-2.85)-39m</t>
  </si>
  <si>
    <t xml:space="preserve">R010: Local FCT outlet branches have approximately 1.20 m CAD envelopes and sludge branches approximately 1.00 m, versus larger scheduled trunk sizes. UG-12A is printed DN1600, not OD1600. R019: Component material GRP differs from scheduled whole-line material HDPE. R021: Component material GRP differs from scheduled whole-line material HDPE. chlorine contact tank: structure not in the master model, tie-in position not checked.</t>
  </si>
  <si>
    <t xml:space="preserve">HDPE-UG12A-S05-CH226-CH242-(-2.83/-2.83)-15m</t>
  </si>
  <si>
    <t xml:space="preserve">excavate after UG-06-S03 backfilled (deeper)</t>
  </si>
  <si>
    <t xml:space="preserve">HDPE-UG12A-S04-TEE150-CH226-(-2.89/-2.83)-77m</t>
  </si>
  <si>
    <t xml:space="preserve">One shared excavation and dewatering front with UG-05, UG-06: lay all pipes before backfill. Where shoring is flagged, it is on the side facing the nearest structure or pile (Pieces, Nearest item).</t>
  </si>
  <si>
    <t xml:space="preserve">excavate after UG-05-S04 backfilled (deeper); excavate after UG-06-S04 backfilled (deeper)</t>
  </si>
  <si>
    <t xml:space="preserve">HDPE-UG12A-S03-CH085-TEE150-(-2.63/-2.89)-65m</t>
  </si>
  <si>
    <t xml:space="preserve">excavate after UG-05-S04 backfilled (deeper); excavate after UG-06-S04 backfilled (deeper); excavate after UG-06-S05 backfilled (deeper)</t>
  </si>
  <si>
    <t xml:space="preserve">HDPE-UG12A-S02-EL015-CH085-(-2.70/-2.63)-70m</t>
  </si>
  <si>
    <t xml:space="preserve">HDPE-UG12A-S01-FSTK-EL015-(-2.70/-2.70)-15m</t>
  </si>
  <si>
    <t xml:space="preserve">closure: lay after UG-12A-S02 laid</t>
  </si>
  <si>
    <t xml:space="preserve">HDPE-UG12A-S08-EL011-TEE-(-2.70/-2.69)-5m</t>
  </si>
  <si>
    <t xml:space="preserve">HDPE-UG12A-S07-FSTI-EL011-(-2.70/-2.70)-11m</t>
  </si>
  <si>
    <t xml:space="preserve">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R057: 11 native short-fitting objects have all 24 mesh vertices coincident. Their embedded source centreline still has 0.584683786 m of represented 3D length.</t>
  </si>
  <si>
    <t xml:space="preserve">FST I wall and penetration built; its excavation backfilled to pipe zone. Lay as the closure to the structure. Where shoring is flagged, it is on the side facing the nearest structure or pile (Pieces, Nearest item).</t>
  </si>
  <si>
    <t xml:space="preserve">excavate after UG-06-S04 backfilled (deeper); closure: lay after UG-12A-S08 laid</t>
  </si>
  <si>
    <t xml:space="preserve">HDPE-UG12A-S09-FSTJ-CH006-(-2.63/-2.63)-6m</t>
  </si>
  <si>
    <t xml:space="preserve">FST J wall and penetration built; its excavation backfilled to pipe zone. Lay as the closure to the structure. Where shoring is flagged, it is on the side facing the nearest structure or pile (Pieces, Nearest item).</t>
  </si>
  <si>
    <t xml:space="preserve">excavate after UG-13A-S15 backfilled (deeper); closure: lay after UG-12A-S10 laid</t>
  </si>
  <si>
    <t xml:space="preserve">HDPE-UG12A-S11-FSTL-CH006-(-2.64/-2.64)-6m</t>
  </si>
  <si>
    <t xml:space="preserve">FST L wall and penetration built; its excavation backfilled to pipe zone. Lay as the closure to the structure. One shared excavation and dewatering front with UG-12: lay all pipes before backfill. UG-13 is deeper here: lay and backfill it first. Where shoring is flagged, it is on the side facing the nearest structure or pile (Pieces, Nearest item).</t>
  </si>
  <si>
    <t xml:space="preserve">excavate after UG-13-S03 backfilled (deeper); closure: lay after UG-12A-S12 laid</t>
  </si>
  <si>
    <t xml:space="preserve">GRP-UG11-S02-CH037-RASPS-(-4.62/-4.30)-26m</t>
  </si>
  <si>
    <t xml:space="preserve">R010: Local FCT outlet branches have approximately 1.20 m CAD envelopes and sludge branches approximately 1.00 m, versus larger scheduled trunk sizes. UG-12A is printed DN1600, not OD1600. Flow direction: not established: model order kept. RAS/WAS pumping station: structure not in the master model, tie-in position not checked.</t>
  </si>
  <si>
    <t xml:space="preserve">Deepest first: lay and backfill this line to the bed level of UG-23 before that line. UG-11A is deeper here: lay and backfill it first. Where shoring is flagged, it is on the side facing the nearest structure or pile (Pieces, Nearest item).</t>
  </si>
  <si>
    <t xml:space="preserve">deeper than UG-23-S08: complete first; shared trench with UG-11A-S05: backfill after both laid</t>
  </si>
  <si>
    <t xml:space="preserve">HDPE-UG11A-S05-CH124-RASPS-(-4.29/-4.30)-40m</t>
  </si>
  <si>
    <t xml:space="preserve">R010: Local FCT outlet branches have approximately 1.20 m CAD envelopes and sludge branches approximately 1.00 m, versus larger scheduled trunk sizes. UG-12A is printed DN1600, not OD1600. RAS/WAS pumping station: structure not in the master model, tie-in position not checked.</t>
  </si>
  <si>
    <t xml:space="preserve">UG-11 is deeper here: lay and backfill it first. Where shoring is flagged, it is on the side facing the nearest structure or pile (Pieces, Nearest item).</t>
  </si>
  <si>
    <t xml:space="preserve">deeper than UG-07A-S04: complete first; shared trench with UG-11-S02: start excavation with it</t>
  </si>
  <si>
    <t xml:space="preserve">GRP-UG11-S06-CH082-RASPS-(-7.59/-7.07)-43m</t>
  </si>
  <si>
    <t xml:space="preserve">Deepest first: lay and backfill this line to the bed level of UG-23, UG-07, UG-12 before that line. Where shoring is flagged, it is on the side facing the nearest structure or pile (Pieces, Nearest item).</t>
  </si>
  <si>
    <t xml:space="preserve">deeper than UG-07-S03: complete first; deeper than UG-07-S04: complete first; deeper than UG-12-S07: complete first; deeper than UG-12-S08: complete first; deeper than UG-23-S06: complete first; deeper than UG-23-S07: complete first</t>
  </si>
  <si>
    <t xml:space="preserve">GRP-UG11-S05-CH041-CH082-(-7.58/-7.59)-41m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</si>
  <si>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Flow direction: not established: model order kept.</t>
  </si>
  <si>
    <t xml:space="preserve">deeper than UG-09-S03: complete first; deeper than UG-23-S04: complete first; deeper than UG-23-S06: complete first</t>
  </si>
  <si>
    <t xml:space="preserve">GRP-UG11-S04-CH023-CH041-(-7.58/-7.58)-18m</t>
  </si>
  <si>
    <t xml:space="preserve">Deepest first: lay and backfill this line to the bed level of UG-08, UG-09, UG-23 before that line. Where shoring is flagged, it is on the side facing the nearest structure or pile (Pieces, Nearest item).</t>
  </si>
  <si>
    <t xml:space="preserve">deeper than UG-08-S02: complete first; deeper than UG-08-S03: complete first; deeper than UG-08-S04: complete first; deeper than UG-09-S03: complete first; deeper than UG-23-S04: complete first</t>
  </si>
  <si>
    <t xml:space="preserve">GRP-UG11-S03-FSTA-CH023-(-7.57/-7.58)-23m</t>
  </si>
  <si>
    <t xml:space="preserve">deeper than UG-08-S03: complete first; deeper than UG-08-S04: complete first</t>
  </si>
  <si>
    <t xml:space="preserve">HDPE-UG23-S09-CH197-CH287-(-1.96/-1.97)-90m</t>
  </si>
  <si>
    <t xml:space="preserve">HDPE-UG23-S10-CH287-WPD-(-1.97/-1.97)-6m</t>
  </si>
  <si>
    <t xml:space="preserve">WAS pre-dewatering building wall and penetration built; its excavation backfilled to pipe zone. Lay as the closure to the structure. Where shoring is flagged, it is on the side facing the nearest structure or pile (Pieces, Nearest item).</t>
  </si>
  <si>
    <t xml:space="preserve">closure: lay after UG-23-S09 laid</t>
  </si>
  <si>
    <t xml:space="preserve">HDPE-UG23-S08-CH151-CH197-(-1.96/-1.96)-46m</t>
  </si>
  <si>
    <t xml:space="preserve">excavate after UG-11-S01 backfilled (deeper); excavate after UG-11-S02 backfilled (deeper); excavate after UG-11B-S14 backfilled (deeper)</t>
  </si>
  <si>
    <t xml:space="preserve">HDPE-UG23-S07-CH135-CH151-(-1.96/-1.96)-16m</t>
  </si>
  <si>
    <t xml:space="preserve">UG-07, UG-11, UG-12 is deeper here: lay and backfill it first. Where shoring is flagged, it is on the side facing the nearest structure or pile (Pieces, Nearest item).</t>
  </si>
  <si>
    <t xml:space="preserve">excavate after UG-07-S03 backfilled (deeper); excavate after UG-11-S01 backfilled (deeper); excavate after UG-11-S06 backfilled (deeper); excavate after UG-12-S07 backfilled (deeper)</t>
  </si>
  <si>
    <t xml:space="preserve">HDPE-UG23-S06-TEE090-CH135-(-2.96/-1.96)-45m</t>
  </si>
  <si>
    <t xml:space="preserve">excavate after UG-07-S03 backfilled (deeper); excavate after UG-11-S05 backfilled (deeper); excavate after UG-11-S06 backfilled (deeper); excavate after UG-12-S07 backfilled (deeper)</t>
  </si>
  <si>
    <t xml:space="preserve">HDPE-UG23-S05-CH058-TEE090-(-5.07/-2.96)-33m</t>
  </si>
  <si>
    <t xml:space="preserve">R047: Same endpoints, component and nodes, but different CAD envelope diameters [0.6300043436700478, 0.6178954427808209].</t>
  </si>
  <si>
    <t xml:space="preserve">Deepest first: lay and backfill this line to the bed level of UG-08, UG-09 before that line. Where shoring is flagged, it is on the side facing the nearest structure or pile (Pieces, Nearest item).</t>
  </si>
  <si>
    <t xml:space="preserve">deeper than UG-08-S01: complete first; deeper than UG-08-S02: complete first; deeper than UG-08-S03: complete first; deeper than UG-09-S01: complete first; deeper than UG-09-S02: complete first; deeper than UG-09-S03: complete first</t>
  </si>
  <si>
    <t xml:space="preserve">HDPE-UG23-S04-CH035-CH058-(-5.07/-5.07)-23m</t>
  </si>
  <si>
    <t xml:space="preserve">Deepest first: lay and backfill this line to the bed level of UG-08, UG-09 before that line. UG-11 is deeper here: lay and backfill it first. Where shoring is flagged, it is on the side facing the nearest structure or pile (Pieces, Nearest item).</t>
  </si>
  <si>
    <t xml:space="preserve">deeper than UG-08-S02: complete first; deeper than UG-08-S03: complete first; deeper than UG-08-S04: complete first; deeper than UG-09-S02: complete first; deeper than UG-09-S03: complete first; deeper than UG-09-S04: complete first; excavate after UG-11-S04 backfilled (deeper); excavate after UG-11-S05 backfilled (deeper)</t>
  </si>
  <si>
    <t xml:space="preserve">HDPE-UG11B-S07-TEE259-EL339-(-4.30/-4.10)-80m</t>
  </si>
  <si>
    <t xml:space="preserve">Deepest first: lay and backfill this line to the bed level of UG-16D before that line. Where shoring is flagged, it is on the side facing the nearest structure or pile (Pieces, Nearest item).</t>
  </si>
  <si>
    <t xml:space="preserve">deeper than UG-16D-S01: complete first</t>
  </si>
  <si>
    <t xml:space="preserve">HDPE-UG11B-S04-TEE126-CH166-(-4.63/-4.30)-40m</t>
  </si>
  <si>
    <t xml:space="preserve">R010: Local FCT outlet branches have approximately 1.20 m CAD envelopes and sludge branches approximately 1.00 m, versus larger scheduled trunk sizes. UG-12A is printed DN1600, not OD1600. R030: Component material GRP differs from scheduled whole-line material HDPE. R032: Component material GRP differs from scheduled whole-line material HDPE. R034: Component material GRP differs from scheduled whole-line material HDPE. R035: Component material GRP differs from scheduled whole-line material HDPE.</t>
  </si>
  <si>
    <t xml:space="preserve">HDPE-UG11B-S03-TEE056-TEE126-(-4.63/-4.63)-70m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</si>
  <si>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R027: Component material GRP differs from scheduled whole-line material HDPE. R031: Component material GRP differs from scheduled whole-line material HDPE.</t>
  </si>
  <si>
    <t xml:space="preserve">HDPE-UG11B-S02-CH006-TEE056-(-4.10/-4.11)-50m</t>
  </si>
  <si>
    <t xml:space="preserve">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R028: Component material GRP differs from scheduled whole-line material HDPE.</t>
  </si>
  <si>
    <t xml:space="preserve">shared trench with UG-16A-S01: backfill after both laid</t>
  </si>
  <si>
    <t xml:space="preserve">HDPE-UG11B-S01-FSTA-CH006-(-4.10/-4.10)-6m</t>
  </si>
  <si>
    <t xml:space="preserve">shared trench with UG-16A-S01: backfill after both laid; closure: lay after UG-11B-S02 laid</t>
  </si>
  <si>
    <t xml:space="preserve">HDPE-UG16A-S01-SDCA-FSTA-(0.79/-4.00)-38m</t>
  </si>
  <si>
    <t xml:space="preserve">SDCA, FSTA</t>
  </si>
  <si>
    <t xml:space="preserve">Both connected structures (secondary distribution chamber A, FST A) built with their wall penetrations; lay between them. Where shoring is flagged, it is on the side facing the nearest structure or pile (Pieces, Nearest item).</t>
  </si>
  <si>
    <t xml:space="preserve">excavate after UG-10-S05 backfilled (deeper); shared trench with UG-11B-S01: start excavation with it; shared trench with UG-11B-S02: start excavation with it; built by F6 (shared corridor; line system front F3)</t>
  </si>
  <si>
    <t xml:space="preserve">HDPE-UG11B-S10-CH006-TEE-(-4.10/-4.11)-49m</t>
  </si>
  <si>
    <t xml:space="preserve">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R033: Component material GRP differs from scheduled whole-line material HDPE.</t>
  </si>
  <si>
    <t xml:space="preserve">shared trench with UG-16C-S01: backfill after both laid</t>
  </si>
  <si>
    <t xml:space="preserve">HDPE-UG11B-S09-FSTC-CH006-(-4.10/-4.10)-6m</t>
  </si>
  <si>
    <t xml:space="preserve">FST C wall and penetration built; its excavation backfilled to pipe zone. Lay as the closure to the structure. Where shoring is flagged, it is on the side facing the nearest structure or pile (Pieces, Nearest item).</t>
  </si>
  <si>
    <t xml:space="preserve">shared trench with UG-16C-S01: backfill after both laid; closure: lay after UG-11B-S10 laid</t>
  </si>
  <si>
    <t xml:space="preserve">HDPE-UG16C-S01-SDCA-FSTC-(0.80/-4.00)-38m</t>
  </si>
  <si>
    <t xml:space="preserve">SDCA, FSTC</t>
  </si>
  <si>
    <t xml:space="preserve">Both connected structures (secondary distribution chamber A, FST C) built with their wall penetrations; lay between them. Where shoring is flagged, it is on the side facing the nearest structure or pile (Pieces, Nearest item).</t>
  </si>
  <si>
    <t xml:space="preserve">shared trench with UG-11B-S09: start excavation with it; shared trench with UG-11B-S10: start excavation with it; built by F6 (shared corridor; line system front F3)</t>
  </si>
  <si>
    <t xml:space="preserve">HDPE-UG11B-S12-CH006-TEE-(-4.10/-4.10)-33m</t>
  </si>
  <si>
    <t xml:space="preserve">shared trench with UG-16D-S01: backfill after both laid</t>
  </si>
  <si>
    <t xml:space="preserve">HDPE-UG11B-S11-FSTD-CH006-(-4.10/-4.10)-6m</t>
  </si>
  <si>
    <t xml:space="preserve">shared trench with UG-16D-S01: backfill after both laid; closure: lay after UG-11B-S12 laid</t>
  </si>
  <si>
    <t xml:space="preserve">HDPE-UG16D-S01-SDCA-FSTD-(0.79/-4.00)-36m</t>
  </si>
  <si>
    <t xml:space="preserve">SDCA, FSTD</t>
  </si>
  <si>
    <t xml:space="preserve">Both connected structures (secondary distribution chamber A, FST D) built with their wall penetrations; lay between them. UG-11B is deeper here: lay and backfill it first. Where shoring is flagged, it is on the side facing the nearest structure or pile (Pieces, Nearest item).</t>
  </si>
  <si>
    <t xml:space="preserve">excavate after UG-11B-S07 backfilled (deeper); shared trench with UG-11B-S11: start excavation with it; shared trench with UG-11B-S12: start excavation with it; built by F6 (shared corridor; line system front F3)</t>
  </si>
  <si>
    <t xml:space="preserve">HDPE-UG11B-S13-TEE-CH018-(-4.63/-4.63)-18m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</si>
  <si>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R026: Component material GRP differs from scheduled whole-line material HDPE. Flow direction: not established: model order kept.</t>
  </si>
  <si>
    <t xml:space="preserve">HDPE-UG11A-S04-TEE084-CH124-(-4.29/-4.29)-40m</t>
  </si>
  <si>
    <t xml:space="preserve">Deepest first: lay and backfill this line to the bed level of UG-07A before that line. Where shoring is flagged, it is on the side facing the nearest structure or pile (Pieces, Nearest item).</t>
  </si>
  <si>
    <t xml:space="preserve">deeper than UG-07A-S04: complete first</t>
  </si>
  <si>
    <t xml:space="preserve">HDPE-UG11A-S03-CH054-TEE084-(-4.29/-4.29)-30m</t>
  </si>
  <si>
    <t xml:space="preserve">HDPE-UG11A-S02-CH006-CH054-(-4.09/-4.29)-48m</t>
  </si>
  <si>
    <t xml:space="preserve">deeper than UG-07A-S06: complete first; shared trench with UG-14G-S01: backfill after both laid</t>
  </si>
  <si>
    <t xml:space="preserve">HDPE-UG11A-S01-FSTG-CH006-(-4.09/-4.09)-6m</t>
  </si>
  <si>
    <t xml:space="preserve">shared trench with UG-14G-S01: backfill after both laid; closure: lay after UG-11A-S02 laid</t>
  </si>
  <si>
    <t xml:space="preserve">HDPE-UG14G-S01-SDCB-FSTG-(0.81/-3.98)-38m</t>
  </si>
  <si>
    <t xml:space="preserve">SDCB, FSTG</t>
  </si>
  <si>
    <t xml:space="preserve">Both connected structures (secondary distribution chamber B, FST G) built with their wall penetrations; lay between them. UG-13B is deeper here: lay and backfill it first. Where shoring is flagged, it is on the side facing the nearest structure or pile (Pieces, Nearest item).</t>
  </si>
  <si>
    <t xml:space="preserve">excavate after UG-13B-S02 backfilled (deeper); excavate after UG-13B-S03 backfilled (deeper); shared trench with UG-11A-S01: start excavation with it; shared trench with UG-11A-S02: start excavation with it; built by F6 (shared corridor; line system front F3)</t>
  </si>
  <si>
    <t xml:space="preserve">HDPE-UG11A-S07-CH006-TEE-(-4.09/-4.19)-36m</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</si>
  <si>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R053: Positive-length overlap of near-collinear source centrelines at 1 mm geometric diagnostic tolerance.</t>
  </si>
  <si>
    <t xml:space="preserve">deeper than UG-07A-S04: complete first; shared trench with UG-14H-S01: backfill after both laid</t>
  </si>
  <si>
    <t xml:space="preserve">HDPE-UG11A-S06-FSTH-CH006-(-4.09/-4.09)-6m</t>
  </si>
  <si>
    <t xml:space="preserve">FST H wall and penetration built; its excavation backfilled to pipe zone. Lay as the closure to the structure. Where shoring is flagged, it is on the side facing the nearest structure or pile (Pieces, Nearest item).</t>
  </si>
  <si>
    <t xml:space="preserve">shared trench with UG-14H-S01: backfill after both laid; closure: lay after UG-11A-S07 laid</t>
  </si>
  <si>
    <t xml:space="preserve">HDPE-UG14H-S01-SDCB-FSTH-(0.81/-3.98)-38m</t>
  </si>
  <si>
    <t xml:space="preserve">SDCB, FSTH</t>
  </si>
  <si>
    <t xml:space="preserve">Both connected structures (secondary distribution chamber B, FST H) built with their wall penetrations; lay between them. UG-13B is deeper here: lay and backfill it first. Where shoring is flagged, it is on the side facing the nearest structure or pile (Pieces, Nearest item).</t>
  </si>
  <si>
    <t xml:space="preserve">excavate after UG-13B-S04 backfilled (deeper); shared trench with UG-11A-S06: start excavation with it; shared trench with UG-11A-S07: start excavation with it; built by F6 (shared corridor; line system front F3)</t>
  </si>
  <si>
    <t xml:space="preserve">GRP-UG12-S04-CH101-CH143-(-6.34/-6.18)-42m</t>
  </si>
  <si>
    <t xml:space="preserve">One shared excavation and dewatering front with UG-13B: lay all pipes before backfill. Deepest first: lay and backfill this line to the bed level of UG-07A before that line. Where shoring is flagged, it is on the side facing the nearest structure or pile (Pieces, Nearest item).</t>
  </si>
  <si>
    <t xml:space="preserve">deeper than UG-07A-S10: complete first; deeper than UG-07A-S11: complete first; deeper than UG-07A-S12: complete first; shared trench with UG-13B-S05: backfill after both laid; shared trench with UG-13B-S06: backfill after both laid; shared trench with UG-13B-S07: backfill after both laid; built by F7 (shared corridor; line system front F5); COORDINATE ON SITE: do not backfill beside UG-13B-S07 until it is laid (link left out to keep the logic loop-free); COORDINATE ON SITE: do not backfill beside UG-13B-S06 until it is laid (link left out to keep the logic loop-free)</t>
  </si>
  <si>
    <t xml:space="preserve">HDPE-UG13B-S05-CH096-CH160-(-4.11/-5.40)-64m</t>
  </si>
  <si>
    <t xml:space="preserve">shared trench with UG-07A-S11: backfill after both laid; shared trench with UG-12-S04: start excavation with it; COORDINATE ON SITE: do not backfill beside UG-07A-S11 until it is laid (link left out to keep the logic loop-free)</t>
  </si>
  <si>
    <t xml:space="preserve">GRP-UG13-S03-CH052-RASPS-(-5.92/-5.61)-32m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</si>
  <si>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RAS/WAS pumping station: structure not in the master model, tie-in position not checked.</t>
  </si>
  <si>
    <t xml:space="preserve">Deepest first: lay and backfill this line to the bed level of UG-12, UG-12A before that line. UG-13B is deeper here: lay and backfill it first. Where shoring is flagged, it is on the side facing the nearest structure or pile (Pieces, Nearest item).</t>
  </si>
  <si>
    <t xml:space="preserve">deeper than UG-08-S05: complete first; deeper than UG-12-S01: complete first; deeper than UG-12-S02: complete first; deeper than UG-12-S03: complete first; deeper than UG-12A-S11: complete first; deeper than UG-12A-S12: complete first; shared trench with UG-13B-S11: backfill after both laid; COORDINATE ON SITE: do not backfill beside UG-13B-S11 until it is laid (link left out to keep the logic loop-free)</t>
  </si>
  <si>
    <t xml:space="preserve">GRP-UG13-S04-FSTI-CH037-(-5.92/-5.92)-37m</t>
  </si>
  <si>
    <t xml:space="preserve">Deepest first: lay and backfill this line to the bed level of UG-12 before that line. Where shoring is flagged, it is on the side facing the nearest structure or pile (Pieces, Nearest item).</t>
  </si>
  <si>
    <t xml:space="preserve">deeper than UG-12-S03: complete first; shared trench with UG-13B-S11: backfill after both laid; COORDINATE ON SITE: do not backfill beside UG-13B-S11 until it is laid (link left out to keep the logic loop-free)</t>
  </si>
  <si>
    <t xml:space="preserve">GRP-UG12-S03-CH046-CH101-(-3.08/-6.34)-55m</t>
  </si>
  <si>
    <t xml:space="preserve">One shared excavation and dewatering front with UG-13B: lay all pipes before backfill. Deepest first: lay and backfill this line to the bed level of UG-08, UG-09 before that line. UG-13 is deeper here: lay and backfill it first. Where shoring is flagged, it is on the side facing the nearest structure or pile (Pieces, Nearest item).</t>
  </si>
  <si>
    <t xml:space="preserve">deeper than UG-08-S05: complete first; deeper than UG-09-S04: complete first; deeper than UG-09-S05: complete first; excavate after UG-13-S03 backfilled (deeper); excavate after UG-13-S04 backfilled (deeper); deeper than UG-13B-S08: complete first; shared trench with UG-13B-S06: backfill after both laid; shared trench with UG-13B-S07: backfill after both laid; shared trench with UG-13B-S11: backfill after both laid; built by F7 (shared corridor; line system front F5)</t>
  </si>
  <si>
    <t xml:space="preserve">HDPE-UG13B-S11-TEE-TEE-(-5.60/-5.60)-15m</t>
  </si>
  <si>
    <t xml:space="preserve">One shared excavation and dewatering front with UG-12, UG-13: lay all pipes before backfill. Deepest first: lay and backfill this line to the bed level of UG-08, UG-09 before that line. UG-13 is deeper here: lay and backfill it first. Where shoring is flagged, it is on the side facing the nearest structure or pile (Pieces, Nearest item).</t>
  </si>
  <si>
    <t xml:space="preserve">deeper than UG-08-S05: complete first; deeper than UG-09-S04: complete first; deeper than UG-09-S05: complete first; shared trench with UG-12-S03: start excavation with it; shared trench with UG-13-S03: start excavation with it; shared trench with UG-13-S04: start excavation with it</t>
  </si>
  <si>
    <t xml:space="preserve">HDPE-UG13B-S07-CH197-TEE223-(-5.40/-5.40)-26m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</si>
  <si>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R052: Positive-length overlap of near-collinear source centrelines at 1 mm geometric diagnostic tolerance. R054: Positive-length overlap of near-collinear source centrelines at 1 mm geometric diagnostic tolerance.</t>
  </si>
  <si>
    <t xml:space="preserve">One shared excavation and dewatering front with UG-12: lay all pipes before backfill. Where shoring is flagged, it is on the side facing the nearest structure or pile (Pieces, Nearest item).</t>
  </si>
  <si>
    <t xml:space="preserve">deeper than UG-07A-S10: complete first; deeper than UG-07A-S11: complete first; deeper than UG-09-S04: complete first; deeper than UG-09-S05: complete first; shared trench with UG-12-S03: start excavation with it; shared trench with UG-12-S04: start excavation with it</t>
  </si>
  <si>
    <t xml:space="preserve">HDPE-UG13B-S06-CH160-CH197-(-5.40/-5.40)-37m</t>
  </si>
  <si>
    <t xml:space="preserve">One shared excavation and dewatering front with UG-07A, UG-12: lay all pipes before backfill. Deepest first: lay and backfill this line to the bed level of UG-07A before that line. Where shoring is flagged, it is on the side facing the nearest structure or pile (Pieces, Nearest item).</t>
  </si>
  <si>
    <t xml:space="preserve">deeper than UG-07A-S10: complete first; shared trench with UG-07A-S11: backfill after both laid; shared trench with UG-12-S03: start excavation with it; shared trench with UG-12-S04: start excavation with it</t>
  </si>
  <si>
    <t xml:space="preserve">HDPE-UG07A-S11-EL009-CH050-(-2.89/-4.74)-41m</t>
  </si>
  <si>
    <t xml:space="preserve">One shared excavation and dewatering front with UG-13B: lay all pipes before backfill. UG-12, UG-13B is deeper here: lay and backfill it first. Where shoring is flagged, it is on the side facing the nearest structure or pile (Pieces, Nearest item).</t>
  </si>
  <si>
    <t xml:space="preserve">excavate after UG-12-S04 backfilled (deeper); excavate after UG-12-S05 backfilled (deeper); excavate after UG-13B-S07 backfilled (deeper); shared trench with UG-13B-S05: start excavation with it; shared trench with UG-13B-S06: start excavation with it; built by F7 (shared corridor; line system front F4)</t>
  </si>
  <si>
    <t xml:space="preserve">HDPE-UG13B-S12-RASPS-RASPS-(-5.93/-5.93)-5m</t>
  </si>
  <si>
    <t xml:space="preserve">RASPS, RASPS</t>
  </si>
  <si>
    <t xml:space="preserve">Both connected structures (RAS/WAS pumping station, RAS/WAS pumping station) built with their wall penetrations; lay between them. One shared excavation and dewatering front with UG-13, UG-23: lay all pipes before backfill. UG-13 is deeper here: lay and backfill it first. Where shoring is flagged, it is on the side facing the nearest structure or pile (Pieces, Nearest item).</t>
  </si>
  <si>
    <t xml:space="preserve">shared trench with UG-13-S05: backfill after both laid; shared trench with UG-23-S01: backfill after both laid; shared trench with UG-23-S02: backfill after both laid; shared trench with UG-23-S03: backfill after both laid</t>
  </si>
  <si>
    <t xml:space="preserve">GRP-UG13-S05-CH037-RASPS-(-5.92/-5.93)-44m</t>
  </si>
  <si>
    <t xml:space="preserve">Deepest first: lay and backfill this line to the bed level of UG-08 before that line. UG-13B is deeper here: lay and backfill it first. Where shoring is flagged, it is on the side facing the nearest structure or pile (Pieces, Nearest item).</t>
  </si>
  <si>
    <t xml:space="preserve">deeper than UG-08-S04: complete first; shared trench with UG-13B-S12: start excavation with it; shared trench with UG-23-S01: backfill after both laid; shared trench with UG-23-S02: backfill after both laid; shared trench with UG-23-S03: backfill after both laid</t>
  </si>
  <si>
    <t xml:space="preserve">HDPE-UG23-S03-CH015-CH035-(-5.07/-5.07)-20m</t>
  </si>
  <si>
    <t xml:space="preserve">deeper than UG-08-S03: complete first; deeper than UG-08-S04: complete first; deeper than UG-09-S03: complete first; deeper than UG-09-S04: complete first; shared trench with UG-13-S05: start excavation with it; shared trench with UG-13B-S12: start excavation with it; built by F7 (shared corridor; line system front F6)</t>
  </si>
  <si>
    <t xml:space="preserve">HDPE-UG23-S02-EL011-CH015-(-5.07/-5.07)-4m</t>
  </si>
  <si>
    <t xml:space="preserve">One shared excavation and dewatering front with UG-13, UG-13B: lay all pipes before backfill. Where shoring is flagged, it is on the side facing the nearest structure or pile (Pieces, Nearest item).</t>
  </si>
  <si>
    <t xml:space="preserve">deeper than UG-08-S04: complete first; shared trench with UG-13-S05: start excavation with it; shared trench with UG-13B-S12: start excavation with it; built by F7 (shared corridor; line system front F6)</t>
  </si>
  <si>
    <t xml:space="preserve">HDPE-UG23-S01-RASPS-EL011-(-5.07/-5.08)-11m</t>
  </si>
  <si>
    <t xml:space="preserve">RAS/WAS pumping station wall and penetration built; its excavation backfilled to pipe zone. Lay as the closure to the structure. One shared excavation and dewatering front with UG-13, UG-13B: lay all pipes before backfill. Where shoring is flagged, it is on the side facing the nearest structure or pile (Pieces, Nearest item).</t>
  </si>
  <si>
    <t xml:space="preserve">shared trench with UG-13-S05: start excavation with it; shared trench with UG-13B-S12: start excavation with it; closure: lay after UG-23-S02 laid; built by F7 (shared corridor; line system front F6)</t>
  </si>
  <si>
    <t xml:space="preserve">HDPE-UG13B-S09-CH238-CH268-(-5.40/-5.40)-30m</t>
  </si>
  <si>
    <t xml:space="preserve">deeper than UG-09-S05: complete first; deeper than UG-14F-S01: complete first</t>
  </si>
  <si>
    <t xml:space="preserve">HDPE-UG13B-S10-CH268-FSTF-(-5.40/-5.40)-6m</t>
  </si>
  <si>
    <t xml:space="preserve">FST F wall and penetration built; its excavation backfilled to pipe zone. Lay as the closure to the structure. Where shoring is flagged, it is on the side facing the nearest structure or pile (Pieces, Nearest item).</t>
  </si>
  <si>
    <t xml:space="preserve">deeper than UG-14F-S01: complete first; closure: lay after UG-13B-S09 laid</t>
  </si>
  <si>
    <t xml:space="preserve">HDPE-UG13B-S08-TEE223-CH238-(-5.40/-5.40)-16m</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</si>
  <si>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R052: Positive-length overlap of near-collinear source centrelines at 1 mm geometric diagnostic tolerance. R054: Positive-length overlap of near-collinear source centrelines at 1 mm geometric diagnostic tolerance.</t>
  </si>
  <si>
    <t xml:space="preserve">Deepest first: lay and backfill this line to the bed level of UG-09 before that line. Where shoring is flagged, it is on the side facing the nearest structure or pile (Pieces, Nearest item).</t>
  </si>
  <si>
    <t xml:space="preserve">deeper than UG-09-S04: complete first; deeper than UG-09-S05: complete first; deeper than UG-09-S06: complete first; excavate after UG-12-S03 backfilled (deeper)</t>
  </si>
  <si>
    <t xml:space="preserve">HDPE-UG13B-S04-CH072-CH096-(-4.10/-4.11)-24m</t>
  </si>
  <si>
    <t xml:space="preserve">R010: Local FCT outlet branches have approximately 1.20 m CAD envelopes and sludge branches approximately 1.00 m, versus larger scheduled trunk sizes. UG-12A is printed DN1600, not OD1600. R057: 11 native short-fitting objects have all 24 mesh vertices coincident. Their embedded source centreline still has 0.584683786 m of represented 3D length.</t>
  </si>
  <si>
    <t xml:space="preserve">Deepest first: lay and backfill this line to the bed level of UG-14H before that line. Where shoring is flagged, it is on the side facing the nearest structure or pile (Pieces, Nearest item).</t>
  </si>
  <si>
    <t xml:space="preserve">deeper than UG-14H-S01: complete first</t>
  </si>
  <si>
    <t xml:space="preserve">HDPE-UG13B-S03-CH057-CH072-(-4.10/-4.10)-15m</t>
  </si>
  <si>
    <t xml:space="preserve">One shared excavation and dewatering front with UG-14G: lay all pipes before backfill. Deepest first: lay and backfill this line to the bed level of UG-14G before that line. Where shoring is flagged, it is on the side facing the nearest structure or pile (Pieces, Nearest item).</t>
  </si>
  <si>
    <t xml:space="preserve">deeper than UG-14G-S01: complete first</t>
  </si>
  <si>
    <t xml:space="preserve">HDPE-UG13B-S02-EL031-CH057-(-4.10/-4.10)-26m</t>
  </si>
  <si>
    <t xml:space="preserve">HDPE-UG13A-S07-CH070-TEE080-(-5.56/-5.60)-11m</t>
  </si>
  <si>
    <t xml:space="preserve">deeper than UG-27J-S01: complete first</t>
  </si>
  <si>
    <t xml:space="preserve">GRP-UG13-S02-EL020-CH052-(-5.93/-5.92)-33m</t>
  </si>
  <si>
    <t xml:space="preserve">One shared excavation and dewatering front with UG-13A: lay all pipes before backfill. UG-13A is deeper here: lay and backfill it first. Where shoring is flagged, it is on the side facing the nearest structure or pile (Pieces, Nearest item).</t>
  </si>
  <si>
    <t xml:space="preserve">deeper than UG-12-S01: complete first; deeper than UG-12-S02: complete first; shared trench with UG-13A-S02: backfill after both laid; shared trench with UG-13A-S16: backfill after both laid</t>
  </si>
  <si>
    <t xml:space="preserve">HDPE-UG13A-S02-CH006-RASPS-(-5.40/-5.41)-32m</t>
  </si>
  <si>
    <t xml:space="preserve">No drawing level anchor inside the package: levels interpolated between anchors elsewhere (no longitudinal profile). R009: 36 recorded tank interfaces: 13 nominal agreements and 23 model/guide vertical differences. Most pipe values are interpolated at openings. R010: Local FCT outlet branches have approximately 1.20 m CAD envelopes and sludge branches approximately 1.00 m, versus larger scheduled trunk sizes. UG-12A is printed DN1600, not OD1600. R038: Component material GRP differs from scheduled whole-line material HDPE. R040: Component material GRP differs from scheduled whole-line material HDPE. RAS/WAS pumping station: structure not in the master model, tie-in position not checked.</t>
  </si>
  <si>
    <t xml:space="preserve">UG-13 is deeper here: lay and backfill it first. Where shoring is flagged, it is on the side facing the nearest structure or pile (Pieces, Nearest item).</t>
  </si>
  <si>
    <t xml:space="preserve">deeper than UG-27L-S01: complete first; shared trench with UG-13-S02: start excavation with it</t>
  </si>
  <si>
    <t xml:space="preserve">GRP-UG13-S01-FSTJ-EL020-(-5.61/-5.92)-20m</t>
  </si>
  <si>
    <t xml:space="preserve">FST J wall and penetration built; its excavation backfilled to pipe zone. Lay as the closure to the structure. One shared excavation and dewatering front with UG-13A: lay all pipes before backfill. UG-13A is deeper here: lay and backfill it first. Where shoring is flagged, it is on the side facing the nearest structure or pile (Pieces, Nearest item).</t>
  </si>
  <si>
    <t xml:space="preserve">shared trench with UG-13A-S08: backfill after both laid; shared trench with UG-13A-S11: backfill after both laid; shared trench with UG-13A-S12: backfill after both laid; shared trench with UG-13A-S16: backfill after both laid; closure: lay after UG-13-S02 laid</t>
  </si>
  <si>
    <t xml:space="preserve">HDPE-UG13A-S16-EL029-RASPS-(-5.40/-5.41)-9m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</si>
  <si>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R039: Component material GRP differs from scheduled whole-line material HDPE. RAS/WAS pumping station: structure not in the master model, tie-in position not checked.</t>
  </si>
  <si>
    <t xml:space="preserve">shared trench with UG-13-S01: start excavation with it; shared trench with UG-13-S02: start excavation with it</t>
  </si>
  <si>
    <t xml:space="preserve">HDPE-UG13A-S08-TEE080-FSTJ-(-5.60/-5.60)-12m</t>
  </si>
  <si>
    <t xml:space="preserve">FST J wall and penetration built; its excavation backfilled to pipe zone. Lay as the closure to the structure. UG-13 is deeper here: lay and backfill it first. Where shoring is flagged, it is on the side facing the nearest structure or pile (Pieces, Nearest item).</t>
  </si>
  <si>
    <t xml:space="preserve">shared trench with UG-13-S01: start excavation with it; closure: lay after UG-13A-S07 laid</t>
  </si>
  <si>
    <t xml:space="preserve">HDPE-UG13A-S12-CH006-TEE-(-5.60/-5.60)-5m</t>
  </si>
  <si>
    <t xml:space="preserve">One shared excavation and dewatering front with UG-13: lay all pipes before backfill. Where shoring is flagged, it is on the side facing the nearest structure or pile (Pieces, Nearest item).</t>
  </si>
  <si>
    <t xml:space="preserve">shared trench with UG-13-S01: start excavation with it</t>
  </si>
  <si>
    <t xml:space="preserve">HDPE-UG13A-S11-FSTJ-CH006-(-5.60/-5.60)-6m</t>
  </si>
  <si>
    <t xml:space="preserve">FST J wall and penetration built; its excavation backfilled to pipe zone. Lay as the closure to the structure. One shared excavation and dewatering front with UG-13: lay all pipes before backfill. Where shoring is flagged, it is on the side facing the nearest structure or pile (Pieces, Nearest item).</t>
  </si>
  <si>
    <t xml:space="preserve">shared trench with UG-13-S01: start excavation with it; closure: lay after UG-13A-S12 laid</t>
  </si>
  <si>
    <t xml:space="preserve">HDPE-UG13A-S01-FSTL-CH006-(-5.40/-5.40)-6m</t>
  </si>
  <si>
    <t xml:space="preserve">FST L wall and penetration built; its excavation backfilled to pipe zone. Lay as the closure to the structure. Where shoring is flagged, it is on the side facing the nearest structure or pile (Pieces, Nearest item).</t>
  </si>
  <si>
    <t xml:space="preserve">deeper than UG-27L-S01: complete first; closure: lay after UG-13A-S02 laid</t>
  </si>
  <si>
    <t xml:space="preserve">HDPE-UG13A-S06-CH053-CH070-(-5.50/-5.56)-16m</t>
  </si>
  <si>
    <t xml:space="preserve">Deepest first: lay and backfill this line to the bed level of UG-27J before that line. Where shoring is flagged, it is on the side facing the nearest structure or pile (Pieces, Nearest item).</t>
  </si>
  <si>
    <t xml:space="preserve">HDPE-UG13A-S05-TEE048-CH053-(-5.48/-5.50)-5m</t>
  </si>
  <si>
    <t xml:space="preserve">HDPE-UG13A-S10-EL001-TEE-(-5.40/-5.48)-16m</t>
  </si>
  <si>
    <t xml:space="preserve">deeper than UG-27I-S01: complete first</t>
  </si>
  <si>
    <t xml:space="preserve">HDPE-UG13A-S09-SDCC-EL001-(-5.39/-5.39)-1m</t>
  </si>
  <si>
    <t xml:space="preserve">deeper than UG-27I-S01: complete first; closure: lay after UG-13A-S10 laid</t>
  </si>
  <si>
    <t xml:space="preserve">HDPE-UG13A-S14-EL030-SDCC-(-4.10/-4.09)-31m</t>
  </si>
  <si>
    <t xml:space="preserve">HDPE-UG13A-S04-CH006-TEE048-(-4.15/-5.48)-42m</t>
  </si>
  <si>
    <t xml:space="preserve">shared trench with UG-27I-S01: backfill after both laid</t>
  </si>
  <si>
    <t xml:space="preserve">HDPE-UG13A-S03-FSTI-CH006-(-4.15/-4.15)-6m</t>
  </si>
  <si>
    <t xml:space="preserve">shared trench with UG-27I-S01: backfill after both laid; closure: lay after UG-13A-S04 laid</t>
  </si>
  <si>
    <t xml:space="preserve">HDPE-UG27I-S01-SDCC-FSTI-(0.79/-4.00)-38m</t>
  </si>
  <si>
    <t xml:space="preserve">SDCC, FSTI</t>
  </si>
  <si>
    <t xml:space="preserve">Both connected structures (secondary distribution chamber C, FST I) built with their wall penetrations; lay between them. Where shoring is flagged, it is on the side facing the nearest structure or pile (Pieces, Nearest item).</t>
  </si>
  <si>
    <t xml:space="preserve">excavate after UG-13A-S09 backfilled (deeper); excavate after UG-13A-S10 backfilled (deeper); excavate after UG-13A-S14 backfilled (deeper); shared trench with UG-13A-S03: start excavation with it; shared trench with UG-13A-S04: start excavation with it; built by F7 (shared corridor; line system front F3)</t>
  </si>
  <si>
    <t xml:space="preserve">HDPE-UG13A-S15-FSTJ-EL029-(-5.40/-5.40)-29m</t>
  </si>
  <si>
    <t xml:space="preserve">deeper than UG-12A-S09: complete first; deeper than UG-27J-S02: complete first; closure: lay after UG-13A-S16 laid</t>
  </si>
  <si>
    <t xml:space="preserve">GRP-UG21-S01-CCT-WFT-(-6.24/-6.24)-12m</t>
  </si>
  <si>
    <t xml:space="preserve">CCT, WFT</t>
  </si>
  <si>
    <t xml:space="preserve">R006: Embedded prior source review records section CL -4.66 versus plan labels around -4.60.</t>
  </si>
  <si>
    <t xml:space="preserve">Both connected structures (chlorine contact tank, fire &amp; service water structure (AW-FIRE)) built with their wall penetrations; lay between them. One shared excavation and dewatering front with UG-22, UG-28: lay all pipes before backfill. Deepest first: lay and backfill this line to the bed level of UG-10, UG-28A before that line. Where shoring is flagged, it is on the side facing the nearest structure or pile (Pieces, Nearest item).</t>
  </si>
  <si>
    <t xml:space="preserve">deeper than UG-10-S02: complete first; deeper than UG-10-S03: complete first; deeper than UG-28-S01: complete first; deeper than UG-28A-S01: complete first; shared trench with UG-22-S01: backfill after both laid; shared trench with UG-28-S02: backfill after both laid</t>
  </si>
  <si>
    <t xml:space="preserve">GRP-UG22-S01-CCT-WFT-(-6.24/-6.24)-12m</t>
  </si>
  <si>
    <t xml:space="preserve">Both connected structures (chlorine contact tank, fire &amp; service water structure (AW-FIRE)) built with their wall penetrations; lay between them. One shared excavation and dewatering front with UG-21, UG-28: lay all pipes before backfill. Deepest first: lay and backfill this line to the bed level of UG-10, UG-28A before that line. Where shoring is flagged, it is on the side facing the nearest structure or pile (Pieces, Nearest item).</t>
  </si>
  <si>
    <t xml:space="preserve">deeper than UG-10-S02: complete first; deeper than UG-10-S03: complete first; deeper than UG-17-S01: complete first; deeper than UG-28-S01: complete first; deeper than UG-28A-S01: complete first; shared trench with UG-21-S01: start excavation with it; shared trench with UG-28-S02: backfill after both laid</t>
  </si>
  <si>
    <t xml:space="preserve">HDPE-UG28-S02-CCT-WFT-(-5.60/-5.60)-12m</t>
  </si>
  <si>
    <t xml:space="preserve">Both connected structures (chlorine contact tank, fire &amp; service water structure (AW-FIRE)) built with their wall penetrations; lay between them. One shared excavation and dewatering front with UG-21: lay all pipes before backfill. Deepest first: lay and backfill this line to the bed level of UG-10, UG-28A before that line. Where shoring is flagged, it is on the side facing the nearest structure or pile (Pieces, Nearest item).</t>
  </si>
  <si>
    <t xml:space="preserve">deeper than UG-10-S02: complete first; deeper than UG-10-S03: complete first; deeper than UG-28A-S01: complete first; shared trench with UG-21-S01: start excavation with it; shared trench with UG-22-S01: start excavation with it</t>
  </si>
  <si>
    <t xml:space="preserve">GRP-UG15-S01-FSTA-CH049-(-5.03/-5.33)-49m</t>
  </si>
  <si>
    <t xml:space="preserve">R010: Local FCT outlet branches have approximately 1.20 m CAD envelopes and sludge branches approximately 1.00 m, versus larger scheduled trunk sizes. UG-12A is printed DN1600, not OD1600. FST A: structure not in the master model, tie-in position not checked.</t>
  </si>
  <si>
    <t xml:space="preserve">Deepest first: lay and backfill this line to the bed level of UG-17 before that line. UG-15A is deeper here: lay and backfill it first. Where shoring is flagged, it is on the side facing the nearest structure or pile (Pieces, Nearest item).</t>
  </si>
  <si>
    <t xml:space="preserve">deeper than UG-17-S01: complete first; deeper than UG-17-S02: complete first; shared trench with UG-15A-S06: backfill after both laid; shared trench with UG-15A-S09: backfill after both laid; shared trench with UG-15A-S10: backfill after both laid; shared trench with UG-17-S03: backfill after both laid; built by F8 (shared corridor; line system front F4); COORDINATE ON SITE: do not backfill beside UG-17-S03 until it is laid (link left out to keep the logic loop-free)</t>
  </si>
  <si>
    <t xml:space="preserve">HDPE-UG15A-S10-EL001-CCT-(-4.82/-4.84)-6m</t>
  </si>
  <si>
    <t xml:space="preserve">No drawing level anchor inside the package: levels interpolated between anchors elsewhere (no longitudinal profile). R010: Local FCT outlet branches have approximately 1.20 m CAD envelopes and sludge branches approximately 1.00 m, versus larger scheduled trunk sizes. UG-12A is printed DN1600, not OD1600. R023: Component material GRP differs from scheduled whole-line material HDPE. chlorine contact tank: structure not in the master model, tie-in position not checked.</t>
  </si>
  <si>
    <t xml:space="preserve">One shared excavation and dewatering front with UG-15: lay all pipes before backfill. UG-15 is deeper here: lay and backfill it first. Where shoring is flagged, it is on the side facing the nearest structure or pile (Pieces, Nearest item).</t>
  </si>
  <si>
    <t xml:space="preserve">shared trench with UG-15-S01: start excavation with it; shared trench with UG-17-S02: backfill after both laid; built by F8 (shared corridor; line system front F4)</t>
  </si>
  <si>
    <t xml:space="preserve">HDPE-UG15A-S09-FSTB-EL001-(-4.82/-4.82)-1m</t>
  </si>
  <si>
    <t xml:space="preserve">FST B wall and penetration built; its excavation backfilled to pipe zone. Lay as the closure to the structure. One shared excavation and dewatering front with UG-15: lay all pipes before backfill. Where shoring is flagged, it is on the side facing the nearest structure or pile (Pieces, Nearest item).</t>
  </si>
  <si>
    <t xml:space="preserve">shared trench with UG-15-S01: start excavation with it; closure: lay after UG-15A-S10 laid; built by F8 (shared corridor; line system front F4)</t>
  </si>
  <si>
    <t xml:space="preserve">HDPE-UG15A-S06-TEE149-CCT-(-4.90/-5.03)-63m</t>
  </si>
  <si>
    <t xml:space="preserve">R010: Local FCT outlet branches have approximately 1.20 m CAD envelopes and sludge branches approximately 1.00 m, versus larger scheduled trunk sizes. UG-12A is printed DN1600, not OD1600. R022: Component material GRP differs from scheduled whole-line material HDPE. R025: Component material GRP differs from scheduled whole-line material HDPE. chlorine contact tank: structure not in the master model, tie-in position not checked.</t>
  </si>
  <si>
    <t xml:space="preserve">One shared excavation and dewatering front with UG-17: lay all pipes before backfill. UG-15 is deeper here: lay and backfill it first. Where shoring is flagged, it is on the side facing the nearest structure or pile (Pieces, Nearest item).</t>
  </si>
  <si>
    <t xml:space="preserve">shared trench with UG-15-S01: start excavation with it; shared trench with UG-17-S02: backfill after both laid; shared trench with UG-17-S03: backfill after both laid; built by F8 (shared corridor; line system front F4)</t>
  </si>
  <si>
    <t xml:space="preserve">GRP-UG17-S02-EL015-CH060-(-3.93/-4.32)-45m</t>
  </si>
  <si>
    <t xml:space="preserve">Flow direction: levels: higher end taken as upstream (gravity assumption).</t>
  </si>
  <si>
    <t xml:space="preserve">One shared excavation and dewatering front with UG-18: lay all pipes before backfill. UG-15 is deeper here: lay and backfill it first. Where shoring is flagged, it is on the side facing the nearest structure or pile (Pieces, Nearest item).</t>
  </si>
  <si>
    <t xml:space="preserve">excavate after UG-15-S01 backfilled (deeper); shared trench with UG-15A-S06: start excavation with it; shared trench with UG-15A-S10: start excavation with it; shared trench with UG-18-S01: backfill after both laid; shared trench with UG-18-S02: backfill after both laid</t>
  </si>
  <si>
    <t xml:space="preserve">GRP-UG19-S03-TEE033-TEPS-(-4.28/-4.68)-82m</t>
  </si>
  <si>
    <t xml:space="preserve">R049: Same endpoints, component and nodes, but different CAD envelope diameters [1.826378651619077, 1.8410003320057806]. Flow direction: levels: higher end taken as upstream (gravity assumption). treated effluent pump station (not modelled): structure not in the master model, tie-in position not checked.</t>
  </si>
  <si>
    <t xml:space="preserve">One shared excavation and dewatering front with UG-20: lay all pipes before backfill. Where shoring is flagged, it is on the side facing the nearest structure or pile (Pieces, Nearest item).</t>
  </si>
  <si>
    <t xml:space="preserve">shared trench with UG-20-S02: backfill after both laid</t>
  </si>
  <si>
    <t xml:space="preserve">GRP-UG20-S02-EL003-TEPS-(-4.31/-4.58)-107m</t>
  </si>
  <si>
    <t xml:space="preserve">Flow direction: levels: higher end taken as upstream (gravity assumption). treated effluent pump station (not modelled): structure not in the master model, tie-in position not checked.</t>
  </si>
  <si>
    <t xml:space="preserve">One shared excavation and dewatering front with UG-19: lay all pipes before backfill. Where shoring is flagged, it is on the side facing the nearest structure or pile (Pieces, Nearest item).</t>
  </si>
  <si>
    <t xml:space="preserve">shared trench with UG-18-S02: backfill after both laid; shared trench with UG-19-S01: backfill after both laid; shared trench with UG-19-S02: backfill after both laid; shared trench with UG-19-S03: start excavation with it</t>
  </si>
  <si>
    <t xml:space="preserve">GRP-UG20-S01-WFT-EL003-(-4.31/-4.31)-3m</t>
  </si>
  <si>
    <t xml:space="preserve">No drawing level anchor inside the package: levels interpolated between anchors elsewhere (no longitudinal profile). Flow direction: levels: higher end taken as upstream (gravity assumption).</t>
  </si>
  <si>
    <t xml:space="preserve">fire &amp; service water structure (AW-FIRE) wall and penetration built; its excavation backfilled to pipe zone. Lay as the closure to the structure. One shared excavation and dewatering front with UG-19: lay all pipes before backfill. Where shoring is flagged, it is on the side facing the nearest structure or pile (Pieces, Nearest item).</t>
  </si>
  <si>
    <t xml:space="preserve">shared trench with UG-19-S01: backfill after both laid; shared trench with UG-19-S02: backfill after both laid; closure: lay after UG-20-S02 laid</t>
  </si>
  <si>
    <t xml:space="preserve">GRP-UG19-S02-EL003-TEE033-(-4.03/-4.27)-31m</t>
  </si>
  <si>
    <t xml:space="preserve">R048: Same endpoints, component and nodes, but different CAD envelope diameters [1.8409980399798413, 1.826374015686294]. Flow direction: levels: higher end taken as upstream (gravity assumption).</t>
  </si>
  <si>
    <t xml:space="preserve">shared trench with UG-20-S01: start excavation with it; shared trench with UG-20-S02: start excavation with it</t>
  </si>
  <si>
    <t xml:space="preserve">GRP-UG19-S01-WFT-EL003-(-4.03/-4.03)-3m</t>
  </si>
  <si>
    <t xml:space="preserve">fire &amp; service water structure (AW-FIRE) wall and penetration built; its excavation backfilled to pipe zone. Lay as the closure to the structure. One shared excavation and dewatering front with UG-20: lay all pipes before backfill. Where shoring is flagged, it is on the side facing the nearest structure or pile (Pieces, Nearest item).</t>
  </si>
  <si>
    <t xml:space="preserve">shared trench with UG-20-S01: start excavation with it; shared trench with UG-20-S02: start excavation with it; closure: lay after UG-19-S02 laid</t>
  </si>
  <si>
    <t xml:space="preserve">HDPE-UG15A-S08-EL011-TEE-(-4.70/-4.70)-11m</t>
  </si>
  <si>
    <t xml:space="preserve">shared trench with UG-17-S03: backfill after both laid; built by F8 (shared corridor; line system front F4)</t>
  </si>
  <si>
    <t xml:space="preserve">HDPE-UG15A-S05-CH027-TEE149-(-4.66/-4.90)-122m</t>
  </si>
  <si>
    <t xml:space="preserve">One shared excavation and dewatering front with UG-17: lay all pipes before backfill. Where shoring is flagged, it is on the side facing the nearest structure or pile (Pieces, Nearest item).</t>
  </si>
  <si>
    <t xml:space="preserve">shared trench with UG-11B-S06: backfill after both laid; shared trench with UG-17-S03: backfill after both laid; shared trench with UG-18-S02: backfill after both laid; built by F8 (shared corridor; line system front F4)</t>
  </si>
  <si>
    <t xml:space="preserve">GRP-UG17-S04-CH267-CH343-(-4.30/-4.30)-76m</t>
  </si>
  <si>
    <t xml:space="preserve">One shared excavation and dewatering front with UG-11B, UG-18: lay all pipes before backfill. Where shoring is flagged, it is on the side facing the nearest structure or pile (Pieces, Nearest item).</t>
  </si>
  <si>
    <t xml:space="preserve">deeper than UG-15A-S03: complete first; deeper than UG-15A-S04: complete first; shared trench with UG-11B-S05: backfill after both laid; shared trench with UG-11B-S06: backfill after both laid; shared trench with UG-18-S02: backfill after both laid</t>
  </si>
  <si>
    <t xml:space="preserve">GRP-UG17-S05-CH343-OUTF-(-4.30/-4.30)-25m</t>
  </si>
  <si>
    <t xml:space="preserve">No drawing level anchor inside the package: levels interpolated between anchors elsewhere (no longitudinal profile). Flow direction: levels: higher end taken as upstream (gravity assumption). outfall chamber (not modelled): structure not in the master model, tie-in position not checked.</t>
  </si>
  <si>
    <t xml:space="preserve">One shared excavation and dewatering front with UG-18: lay all pipes before backfill. Where shoring is flagged, it is on the side facing the nearest structure or pile (Pieces, Nearest item).</t>
  </si>
  <si>
    <t xml:space="preserve">shared trench with UG-11B-S05: backfill after both laid; shared trench with UG-18-S02: backfill after both laid</t>
  </si>
  <si>
    <t xml:space="preserve">HDPE-UG11B-S05-CH166-CH241-(-4.30/-4.30)-75m</t>
  </si>
  <si>
    <t xml:space="preserve">deeper than UG-15A-S03: complete first; deeper than UG-15A-S04: complete first; shared trench with UG-17-S03: backfill after both laid; shared trench with UG-17-S04: start excavation with it; shared trench with UG-17-S05: start excavation with it; built by F8 (shared corridor; line system front F6)</t>
  </si>
  <si>
    <t xml:space="preserve">GRP-UG17-S03-CH060-CH267-(-4.32/-4.30)-207m</t>
  </si>
  <si>
    <t xml:space="preserve">One shared excavation and dewatering front with UG-15A, UG-18: lay all pipes before backfill. Where shoring is flagged, it is on the side facing the nearest structure or pile (Pieces, Nearest item).</t>
  </si>
  <si>
    <t xml:space="preserve">deeper than UG-15A-S03: complete first; shared trench with UG-11B-S05: start excavation with it; shared trench with UG-11B-S06: backfill after both laid; shared trench with UG-15-S01: start excavation with it; shared trench with UG-15A-S04: backfill after both laid; shared trench with UG-15A-S05: start excavation with it; shared trench with UG-15A-S06: start excavation with it; shared trench with UG-15A-S08: start excavation with it; shared trench with UG-18-S02: backfill after both laid</t>
  </si>
  <si>
    <t xml:space="preserve">GRP-UG18-S02-EL011-OUTF-(-3.93/-4.30)-365m</t>
  </si>
  <si>
    <t xml:space="preserve">Flow direction: levels: higher end taken as upstream (gravity assumption). outfall chamber (not modelled): structure not in the master model, tie-in position not checked.</t>
  </si>
  <si>
    <t xml:space="preserve">shared trench with UG-15A-S05: start excavation with it; shared trench with UG-17-S01: backfill after both laid; shared trench with UG-17-S02: start excavation with it; shared trench with UG-17-S03: start excavation with it; shared trench with UG-17-S04: start excavation with it; shared trench with UG-17-S05: start excavation with it; shared trench with UG-20-S02: start excavation with it</t>
  </si>
  <si>
    <t xml:space="preserve">HDPE-UG11B-S06-CH241-TEE259-(-4.30/-4.30)-18m</t>
  </si>
  <si>
    <t xml:space="preserve">Deepest first: lay and backfill this line to the bed level of UG-15A before that line. Where shoring is flagged, it is on the side facing the nearest structure or pile (Pieces, Nearest item).</t>
  </si>
  <si>
    <t xml:space="preserve">deeper than UG-15A-S03: complete first; shared trench with UG-15A-S04: backfill after both laid; shared trench with UG-15A-S05: start excavation with it; shared trench with UG-17-S03: start excavation with it; shared trench with UG-17-S04: start excavation with it; built by F8 (shared corridor; line system front F6)</t>
  </si>
  <si>
    <t xml:space="preserve">HDPE-UG15A-S04-EL017-CH027-(-2.72/-4.66)-10m</t>
  </si>
  <si>
    <t xml:space="preserve">One shared excavation and dewatering front with UG-11B, UG-17: lay all pipes before backfill. Where shoring is flagged, it is on the side facing the nearest structure or pile (Pieces, Nearest item).</t>
  </si>
  <si>
    <t xml:space="preserve">excavate after UG-11B-S05 backfilled (deeper); excavate after UG-17-S04 backfilled (deeper); shared trench with UG-11B-S06: start excavation with it; shared trench with UG-17-S03: start excavation with it; built by F8 (shared corridor; line system front F4)</t>
  </si>
  <si>
    <t xml:space="preserve">GRP-UG17-S01-WFT-EL015-(-3.93/-3.91)-15m</t>
  </si>
  <si>
    <t xml:space="preserve">fire &amp; service water structure (AW-FIRE) wall and penetration built; its excavation backfilled to pipe zone. Lay as the closure to the structure. One shared excavation and dewatering front with UG-18: lay all pipes before backfill. UG-15 is deeper here: lay and backfill it first. Where shoring is flagged, it is on the side facing the nearest structure or pile (Pieces, Nearest item).</t>
  </si>
  <si>
    <t xml:space="preserve">excavate after UG-15-S01 backfilled (deeper); excavate after UG-22-S01 backfilled (deeper); shared trench with UG-18-S01: backfill after both laid; shared trench with UG-18-S02: start excavation with it; closure: lay after UG-17-S02 laid</t>
  </si>
  <si>
    <t xml:space="preserve">GRP-UG18-S01-WFT-EL011-(-3.93/-3.91)-11m</t>
  </si>
  <si>
    <t xml:space="preserve">fire &amp; service water structure (AW-FIRE) wall and penetration built; its excavation backfilled to pipe zone. Lay as the closure to the structure. One shared excavation and dewatering front with UG-17: lay all pipes before backfill. Where shoring is flagged, it is on the side facing the nearest structure or pile (Pieces, Nearest item).</t>
  </si>
  <si>
    <t xml:space="preserve">shared trench with UG-17-S01: start excavation with it; shared trench with UG-17-S02: start excavation with it; closure: lay after UG-18-S02 laid</t>
  </si>
  <si>
    <t xml:space="preserve">HDPE-UG28-S01-CCT-CCT-(-0.64/-0.64)-1m</t>
  </si>
  <si>
    <t xml:space="preserve">CCT, CCT</t>
  </si>
  <si>
    <t xml:space="preserve">No drawing level anchor inside the package: levels interpolated between anchors elsewhere (no longitudinal profile). R051: Positive-length overlap of near-collinear source centrelines at 1 mm geometric diagnostic tolerance. R055: Positive-length overlap of near-collinear source centrelines at 1 mm geometric diagnostic tolerance.</t>
  </si>
  <si>
    <t xml:space="preserve">Both connected structures (chlorine contact tank, chlorine contact tank) built with their wall penetrations; lay between them. One shared excavation and dewatering front with UG-28A: lay all pipes before backfill. UG-10, UG-21, UG-22, UG-28A is deeper here: lay and backfill it first. Where shoring is flagged, it is on the side facing the nearest structure or pile (Pieces, Nearest item).</t>
  </si>
  <si>
    <t xml:space="preserve">excavate after UG-10-S02 backfilled (deeper); excavate after UG-10-S03 backfilled (deeper); excavate after UG-21-S01 backfilled (deeper); excavate after UG-22-S01 backfilled (deeper); shared trench with UG-28A-S01: backfill after both laid</t>
  </si>
  <si>
    <t xml:space="preserve">HDPE-UG28A-S01-CCT-CCT-(-0.55/-0.54)-18m</t>
  </si>
  <si>
    <t xml:space="preserve">R051: Positive-length overlap of near-collinear source centrelines at 1 mm geometric diagnostic tolerance. R055: Positive-length overlap of near-collinear source centrelines at 1 mm geometric diagnostic tolerance. R057: 11 native short-fitting objects have all 24 mesh vertices coincident. Their embedded source centreline still has 0.584683786 m of represented 3D length.</t>
  </si>
  <si>
    <t xml:space="preserve">Both connected structures (chlorine contact tank, chlorine contact tank) built with their wall penetrations; lay between them. One shared excavation and dewatering front with UG-28: lay all pipes before backfill. UG-10, UG-21, UG-22, UG-28 is deeper here: lay and backfill it first. Where shoring is flagged, it is on the side facing the nearest structure or pile (Pieces, Nearest item).</t>
  </si>
  <si>
    <t xml:space="preserve">excavate after UG-10-S02 backfilled (deeper); excavate after UG-10-S03 backfilled (deeper); excavate after UG-21-S01 backfilled (deeper); excavate after UG-22-S01 backfilled (deeper); excavate after UG-28-S02 backfilled (deeper); shared trench with UG-28-S01: start excavation with it</t>
  </si>
  <si>
    <t xml:space="preserve">Check: plan length vs package workbook</t>
  </si>
  <si>
    <t xml:space="preserve">Difference (should be 0)</t>
  </si>
  <si>
    <t xml:space="preserve">Activities and logic (calendar dates; finish = start of next day)</t>
  </si>
  <si>
    <t xml:space="preserve">11 activities per package. Start = latest of: predecessor in the package + start-to-start lag (ladder), crew release from the previous package of the same front (chain), deeper / shared-trench / closure links, and gates. Finish = later of start + duration and predecessor finish + FF lag. Durations recalculate from Inputs and Fronts.</t>
  </si>
  <si>
    <t xml:space="preserve">Activity ID</t>
  </si>
  <si>
    <t xml:space="preserve">WBS</t>
  </si>
  <si>
    <t xml:space="preserve">Activity</t>
  </si>
  <si>
    <t xml:space="preserve">Quantity</t>
  </si>
  <si>
    <t xml:space="preserve">Duration (work days)</t>
  </si>
  <si>
    <t xml:space="preserve">Duration (cal. days)</t>
  </si>
  <si>
    <t xml:space="preserve">Ladder predecessor</t>
  </si>
  <si>
    <t xml:space="preserve">SS lag (cal. days)</t>
  </si>
  <si>
    <t xml:space="preserve">FF lag (cal. days)</t>
  </si>
  <si>
    <t xml:space="preserve">Other predecessors (type)</t>
  </si>
  <si>
    <t xml:space="preserve">Crew released</t>
  </si>
  <si>
    <t xml:space="preserve">Chain predecessor</t>
  </si>
  <si>
    <t xml:space="preserve">UG-01-S02-A010</t>
  </si>
  <si>
    <t xml:space="preserve">AW.PIPE.F1.UG-01.UG-01-S02</t>
  </si>
  <si>
    <t xml:space="preserve">A010</t>
  </si>
  <si>
    <t xml:space="preserve">Release: drawings, holds, access and gates</t>
  </si>
  <si>
    <t xml:space="preserve">gates: START, D_DLU</t>
  </si>
  <si>
    <t xml:space="preserve">UG-01-S02-A020</t>
  </si>
  <si>
    <t xml:space="preserve">A020</t>
  </si>
  <si>
    <t xml:space="preserve">FS from A010</t>
  </si>
  <si>
    <t xml:space="preserve">UG-01-S02-A030</t>
  </si>
  <si>
    <t xml:space="preserve">A030</t>
  </si>
  <si>
    <t xml:space="preserve">Pipe-support piling from platform (incl. integrity tests)</t>
  </si>
  <si>
    <t xml:space="preserve">piles</t>
  </si>
  <si>
    <t xml:space="preserve">gate: D_PILEDES</t>
  </si>
  <si>
    <t xml:space="preserve">UG-01-S02-A040</t>
  </si>
  <si>
    <t xml:space="preserve">A040</t>
  </si>
  <si>
    <t xml:space="preserve">Install sheet piles (shored lengths)</t>
  </si>
  <si>
    <t xml:space="preserve">m wall</t>
  </si>
  <si>
    <t xml:space="preserve">UG-01-S02-A050</t>
  </si>
  <si>
    <t xml:space="preserve">A050</t>
  </si>
  <si>
    <t xml:space="preserve">Install dewatering and draw down</t>
  </si>
  <si>
    <t xml:space="preserve">UG-01-S02-A060</t>
  </si>
  <si>
    <t xml:space="preserve">A060</t>
  </si>
  <si>
    <t xml:space="preserve">Excavate and strut to formation</t>
  </si>
  <si>
    <t xml:space="preserve">m3</t>
  </si>
  <si>
    <t xml:space="preserve">gate: D_XING</t>
  </si>
  <si>
    <t xml:space="preserve">UG-01-S02-A070</t>
  </si>
  <si>
    <t xml:space="preserve">A070</t>
  </si>
  <si>
    <t xml:space="preserve">Trim piles, blinding and piled slab (incl. cure)</t>
  </si>
  <si>
    <t xml:space="preserve">UG-01-S02-A080</t>
  </si>
  <si>
    <t xml:space="preserve">A080</t>
  </si>
  <si>
    <t xml:space="preserve">Lay and joint pipe (incl. fittings, tie-in)</t>
  </si>
  <si>
    <t xml:space="preserve">UG-01-S02-A090</t>
  </si>
  <si>
    <t xml:space="preserve">A090</t>
  </si>
  <si>
    <t xml:space="preserve">Surround, joint test and line test</t>
  </si>
  <si>
    <t xml:space="preserve">UG-01-S02-A100</t>
  </si>
  <si>
    <t xml:space="preserve">A100</t>
  </si>
  <si>
    <t xml:space="preserve">Backfill to NG and remove struts</t>
  </si>
  <si>
    <t xml:space="preserve">UG-01-S02-A110</t>
  </si>
  <si>
    <t xml:space="preserve">A110</t>
  </si>
  <si>
    <t xml:space="preserve">Dewatering off, extract sheets, reinstate</t>
  </si>
  <si>
    <t xml:space="preserve">UG-01-S03-A010</t>
  </si>
  <si>
    <t xml:space="preserve">AW.PIPE.F1.UG-01.UG-01-S03</t>
  </si>
  <si>
    <t xml:space="preserve">gates: START, D_DLU, structure ready</t>
  </si>
  <si>
    <t xml:space="preserve">UG-01-S03-A020</t>
  </si>
  <si>
    <t xml:space="preserve">FS from A010; UG-01-S02-A030 (SS, tie-in team follows the adjacent run)</t>
  </si>
  <si>
    <t xml:space="preserve">UG-01-S03-A030</t>
  </si>
  <si>
    <t xml:space="preserve">UG-01-S03-A040</t>
  </si>
  <si>
    <t xml:space="preserve">UG-01-S03-A050</t>
  </si>
  <si>
    <t xml:space="preserve">UG-01-S03-A060</t>
  </si>
  <si>
    <t xml:space="preserve">UG-01-S03-A070</t>
  </si>
  <si>
    <t xml:space="preserve">UG-01-S03-A080</t>
  </si>
  <si>
    <t xml:space="preserve">UG-01-S02-A080 (FS, closure)</t>
  </si>
  <si>
    <t xml:space="preserve">UG-01-S03-A090</t>
  </si>
  <si>
    <t xml:space="preserve">UG-01-S03-A100</t>
  </si>
  <si>
    <t xml:space="preserve">UG-01-S03-A110</t>
  </si>
  <si>
    <t xml:space="preserve">UG-01-S01-A010</t>
  </si>
  <si>
    <t xml:space="preserve">AW.PIPE.F1.UG-01.UG-01-S01</t>
  </si>
  <si>
    <t xml:space="preserve">UG-01-S01-A020</t>
  </si>
  <si>
    <t xml:space="preserve">UG-01-S01-A030</t>
  </si>
  <si>
    <t xml:space="preserve">UG-01-S01-A040</t>
  </si>
  <si>
    <t xml:space="preserve">UG-01-S01-A050</t>
  </si>
  <si>
    <t xml:space="preserve">UG-01-S01-A060</t>
  </si>
  <si>
    <t xml:space="preserve">UG-01-S01-A070</t>
  </si>
  <si>
    <t xml:space="preserve">UG-01-S01-A080</t>
  </si>
  <si>
    <t xml:space="preserve">UG-01-S01-A090</t>
  </si>
  <si>
    <t xml:space="preserve">UG-01-S01-A100</t>
  </si>
  <si>
    <t xml:space="preserve">UG-01-S01-A110</t>
  </si>
  <si>
    <t xml:space="preserve">UG-02-S03-A010</t>
  </si>
  <si>
    <t xml:space="preserve">AW.PIPE.F1.UG-02.UG-02-S03</t>
  </si>
  <si>
    <t xml:space="preserve">gates: START, D_DLU, aeration zone piling</t>
  </si>
  <si>
    <t xml:space="preserve">UG-02-S03-A020</t>
  </si>
  <si>
    <t xml:space="preserve">FS from A010; UG-01-S02-A030 (SS, set-out one package ahead of piling)</t>
  </si>
  <si>
    <t xml:space="preserve">UG-02-S03-A030</t>
  </si>
  <si>
    <t xml:space="preserve">UG-02-S03-A040</t>
  </si>
  <si>
    <t xml:space="preserve">UG-02-S03-A050</t>
  </si>
  <si>
    <t xml:space="preserve">UG-01-S02-A060 (FS, negative lag = own duration: drawdown complete when the excavation crew is free)</t>
  </si>
  <si>
    <t xml:space="preserve">UG-02-S03-A060</t>
  </si>
  <si>
    <t xml:space="preserve">UG-02-S03-A070</t>
  </si>
  <si>
    <t xml:space="preserve">UG-02-S03-A080</t>
  </si>
  <si>
    <t xml:space="preserve">UG-02-S03-A090</t>
  </si>
  <si>
    <t xml:space="preserve">UG-02-S03-A100</t>
  </si>
  <si>
    <t xml:space="preserve">UG-03-S01-A080 (FS, shared trench laid); UG-03-S02-A080 (FS, shared trench laid)</t>
  </si>
  <si>
    <t xml:space="preserve">UG-02-S03-A110</t>
  </si>
  <si>
    <t xml:space="preserve">UG-02-S02-A010</t>
  </si>
  <si>
    <t xml:space="preserve">AW.PIPE.F1.UG-02.UG-02-S02</t>
  </si>
  <si>
    <t xml:space="preserve">UG-02-S02-A020</t>
  </si>
  <si>
    <t xml:space="preserve">FS from A010; UG-02-S03-A030 (SS, set-out one package ahead of piling)</t>
  </si>
  <si>
    <t xml:space="preserve">UG-02-S02-A030</t>
  </si>
  <si>
    <t xml:space="preserve">UG-02-S02-A040</t>
  </si>
  <si>
    <t xml:space="preserve">UG-02-S02-A050</t>
  </si>
  <si>
    <t xml:space="preserve">UG-02-S03-A060 (FS, negative lag = own duration: drawdown complete when the excavation crew is free)</t>
  </si>
  <si>
    <t xml:space="preserve">UG-02-S02-A060</t>
  </si>
  <si>
    <t xml:space="preserve">UG-02-S02-A070</t>
  </si>
  <si>
    <t xml:space="preserve">UG-02-S02-A080</t>
  </si>
  <si>
    <t xml:space="preserve">UG-02-S02-A090</t>
  </si>
  <si>
    <t xml:space="preserve">UG-02-S02-A100</t>
  </si>
  <si>
    <t xml:space="preserve">UG-03-S01-A080 (FS, shared trench laid)</t>
  </si>
  <si>
    <t xml:space="preserve">UG-02-S02-A110</t>
  </si>
  <si>
    <t xml:space="preserve">UG-02-S05-A010</t>
  </si>
  <si>
    <t xml:space="preserve">AW.PIPE.F1.UG-02.UG-02-S05</t>
  </si>
  <si>
    <t xml:space="preserve">gates: START, D_DLU, structure ready, aeration zone piling</t>
  </si>
  <si>
    <t xml:space="preserve">UG-02-S05-A020</t>
  </si>
  <si>
    <t xml:space="preserve">FS from A010; UG-02-S04-A030 (SS, tie-in team follows the adjacent run)</t>
  </si>
  <si>
    <t xml:space="preserve">UG-02-S05-A030</t>
  </si>
  <si>
    <t xml:space="preserve">UG-02-S05-A040</t>
  </si>
  <si>
    <t xml:space="preserve">UG-02-S05-A050</t>
  </si>
  <si>
    <t xml:space="preserve">UG-02-S05-A060</t>
  </si>
  <si>
    <t xml:space="preserve">UG-03-S04-A060 (SS, shared trench); UG-03-S05-A060 (SS, shared trench)</t>
  </si>
  <si>
    <t xml:space="preserve">UG-02-S05-A070</t>
  </si>
  <si>
    <t xml:space="preserve">UG-02-S05-A080</t>
  </si>
  <si>
    <t xml:space="preserve">UG-02-S04-A080 (FS, closure)</t>
  </si>
  <si>
    <t xml:space="preserve">UG-02-S05-A090</t>
  </si>
  <si>
    <t xml:space="preserve">UG-02-S05-A100</t>
  </si>
  <si>
    <t xml:space="preserve">UG-03-S04-A080 (FS, shared trench laid); UG-03-S05-A080 (FS, shared trench laid)</t>
  </si>
  <si>
    <t xml:space="preserve">UG-02-S05-A110</t>
  </si>
  <si>
    <t xml:space="preserve">UG-02-S04-A010</t>
  </si>
  <si>
    <t xml:space="preserve">AW.PIPE.F1.UG-02.UG-02-S04</t>
  </si>
  <si>
    <t xml:space="preserve">UG-02-S04-A020</t>
  </si>
  <si>
    <t xml:space="preserve">FS from A010; UG-02-S02-A030 (SS, set-out one package ahead of piling)</t>
  </si>
  <si>
    <t xml:space="preserve">UG-02-S04-A030</t>
  </si>
  <si>
    <t xml:space="preserve">UG-02-S04-A040</t>
  </si>
  <si>
    <t xml:space="preserve">UG-02-S04-A050</t>
  </si>
  <si>
    <t xml:space="preserve">UG-02-S02-A060 (FS, negative lag = own duration: drawdown complete when the excavation crew is free)</t>
  </si>
  <si>
    <t xml:space="preserve">UG-02-S04-A060</t>
  </si>
  <si>
    <t xml:space="preserve">gate: D_XING; UG-03-S05-A060 (SS, shared trench)</t>
  </si>
  <si>
    <t xml:space="preserve">UG-02-S04-A070</t>
  </si>
  <si>
    <t xml:space="preserve">UG-02-S04-A080</t>
  </si>
  <si>
    <t xml:space="preserve">UG-02-S04-A090</t>
  </si>
  <si>
    <t xml:space="preserve">UG-02-S04-A100</t>
  </si>
  <si>
    <t xml:space="preserve">UG-03-S01-A080 (FS, shared trench laid); UG-03-S02-A080 (FS, shared trench laid); UG-03-S03-A080 (FS, shared trench laid); UG-03-S04-A080 (FS, shared trench laid); UG-03-S05-A080 (FS, shared trench laid)</t>
  </si>
  <si>
    <t xml:space="preserve">UG-02-S04-A110</t>
  </si>
  <si>
    <t xml:space="preserve">UG-03-S01-A010</t>
  </si>
  <si>
    <t xml:space="preserve">AW.PIPE.F1.UG-03.UG-03-S01</t>
  </si>
  <si>
    <t xml:space="preserve">UG-03-S01-A020</t>
  </si>
  <si>
    <t xml:space="preserve">FS from A010; UG-02-S04-A030 (SS, set-out one package ahead of piling)</t>
  </si>
  <si>
    <t xml:space="preserve">UG-03-S01-A030</t>
  </si>
  <si>
    <t xml:space="preserve">UG-03-S01-A040</t>
  </si>
  <si>
    <t xml:space="preserve">UG-03-S01-A050</t>
  </si>
  <si>
    <t xml:space="preserve">UG-02-S04-A060 (FS, negative lag = own duration: drawdown complete when the excavation crew is free)</t>
  </si>
  <si>
    <t xml:space="preserve">UG-03-S01-A060</t>
  </si>
  <si>
    <t xml:space="preserve">UG-02-S02-A060 (SS, shared trench); UG-02-S03-A060 (SS, shared trench); UG-02-S04-A060 (SS, shared trench)</t>
  </si>
  <si>
    <t xml:space="preserve">UG-03-S01-A070</t>
  </si>
  <si>
    <t xml:space="preserve">UG-03-S01-A080</t>
  </si>
  <si>
    <t xml:space="preserve">UG-03-S01-A090</t>
  </si>
  <si>
    <t xml:space="preserve">UG-03-S01-A100</t>
  </si>
  <si>
    <t xml:space="preserve">UG-02-S02-A080 (FS, shared trench laid); UG-02-S03-A080 (FS, shared trench laid); UG-02-S04-A080 (FS, shared trench laid)</t>
  </si>
  <si>
    <t xml:space="preserve">UG-03-S01-A110</t>
  </si>
  <si>
    <t xml:space="preserve">UG-03-S02-A010</t>
  </si>
  <si>
    <t xml:space="preserve">AW.PIPE.F1.UG-03.UG-03-S02</t>
  </si>
  <si>
    <t xml:space="preserve">UG-03-S02-A020</t>
  </si>
  <si>
    <t xml:space="preserve">FS from A010; UG-03-S01-A030 (SS, set-out one package ahead of piling)</t>
  </si>
  <si>
    <t xml:space="preserve">UG-03-S02-A030</t>
  </si>
  <si>
    <t xml:space="preserve">UG-03-S02-A040</t>
  </si>
  <si>
    <t xml:space="preserve">UG-03-S02-A050</t>
  </si>
  <si>
    <t xml:space="preserve">UG-03-S01-A060 (FS, negative lag = own duration: drawdown complete when the excavation crew is free)</t>
  </si>
  <si>
    <t xml:space="preserve">UG-03-S02-A060</t>
  </si>
  <si>
    <t xml:space="preserve">UG-02-S03-A060 (SS, shared trench); UG-02-S04-A060 (SS, shared trench)</t>
  </si>
  <si>
    <t xml:space="preserve">UG-03-S02-A070</t>
  </si>
  <si>
    <t xml:space="preserve">UG-03-S02-A080</t>
  </si>
  <si>
    <t xml:space="preserve">UG-03-S02-A090</t>
  </si>
  <si>
    <t xml:space="preserve">UG-03-S02-A100</t>
  </si>
  <si>
    <t xml:space="preserve">UG-02-S03-A080 (FS, shared trench laid); UG-02-S04-A080 (FS, shared trench laid)</t>
  </si>
  <si>
    <t xml:space="preserve">UG-03-S02-A110</t>
  </si>
  <si>
    <t xml:space="preserve">UG-03-S04-A010</t>
  </si>
  <si>
    <t xml:space="preserve">AW.PIPE.F1.UG-03.UG-03-S04</t>
  </si>
  <si>
    <t xml:space="preserve">UG-03-S04-A020</t>
  </si>
  <si>
    <t xml:space="preserve">FS from A010; UG-03-S02-A030 (SS, set-out one package ahead of piling)</t>
  </si>
  <si>
    <t xml:space="preserve">UG-03-S04-A030</t>
  </si>
  <si>
    <t xml:space="preserve">UG-03-S04-A040</t>
  </si>
  <si>
    <t xml:space="preserve">UG-03-S04-A050</t>
  </si>
  <si>
    <t xml:space="preserve">UG-03-S02-A060 (FS, negative lag = own duration: drawdown complete when the excavation crew is free)</t>
  </si>
  <si>
    <t xml:space="preserve">UG-03-S04-A060</t>
  </si>
  <si>
    <t xml:space="preserve">UG-02-S04-A060 (SS, shared trench)</t>
  </si>
  <si>
    <t xml:space="preserve">UG-03-S04-A070</t>
  </si>
  <si>
    <t xml:space="preserve">UG-03-S04-A080</t>
  </si>
  <si>
    <t xml:space="preserve">UG-03-S04-A090</t>
  </si>
  <si>
    <t xml:space="preserve">UG-03-S04-A100</t>
  </si>
  <si>
    <t xml:space="preserve">UG-02-S04-A080 (FS, shared trench laid); UG-02-S05-A080 (FS, shared trench laid); UG-04-S01-A080 (FS, shared trench laid); UG-04-S02-A080 (FS, shared trench laid)</t>
  </si>
  <si>
    <t xml:space="preserve">UG-03-S04-A110</t>
  </si>
  <si>
    <t xml:space="preserve">UG-03-S05-A010</t>
  </si>
  <si>
    <t xml:space="preserve">AW.PIPE.F1.UG-03.UG-03-S05</t>
  </si>
  <si>
    <t xml:space="preserve">UG-03-S05-A020</t>
  </si>
  <si>
    <t xml:space="preserve">FS from A010; UG-03-S04-A030 (SS, tie-in team follows the adjacent run)</t>
  </si>
  <si>
    <t xml:space="preserve">UG-03-S05-A030</t>
  </si>
  <si>
    <t xml:space="preserve">UG-03-S05-A040</t>
  </si>
  <si>
    <t xml:space="preserve">UG-03-S05-A050</t>
  </si>
  <si>
    <t xml:space="preserve">UG-03-S05-A060</t>
  </si>
  <si>
    <t xml:space="preserve">UG-03-S05-A070</t>
  </si>
  <si>
    <t xml:space="preserve">UG-03-S05-A080</t>
  </si>
  <si>
    <t xml:space="preserve">UG-03-S04-A080 (FS, closure)</t>
  </si>
  <si>
    <t xml:space="preserve">UG-03-S05-A090</t>
  </si>
  <si>
    <t xml:space="preserve">UG-03-S05-A100</t>
  </si>
  <si>
    <t xml:space="preserve">UG-03-S05-A110</t>
  </si>
  <si>
    <t xml:space="preserve">UG-04-S01-A010</t>
  </si>
  <si>
    <t xml:space="preserve">AW.PIPE.F1.UG-04.UG-04-S01</t>
  </si>
  <si>
    <t xml:space="preserve">UG-04-S01-A020</t>
  </si>
  <si>
    <t xml:space="preserve">FS from A010; UG-03-S04-A030 (SS, set-out one package ahead of piling)</t>
  </si>
  <si>
    <t xml:space="preserve">UG-04-S01-A030</t>
  </si>
  <si>
    <t xml:space="preserve">UG-04-S01-A040</t>
  </si>
  <si>
    <t xml:space="preserve">UG-04-S01-A050</t>
  </si>
  <si>
    <t xml:space="preserve">UG-03-S04-A060 (FS, negative lag = own duration: drawdown complete when the excavation crew is free)</t>
  </si>
  <si>
    <t xml:space="preserve">UG-04-S01-A060</t>
  </si>
  <si>
    <t xml:space="preserve">UG-04-S01-A070</t>
  </si>
  <si>
    <t xml:space="preserve">UG-04-S01-A080</t>
  </si>
  <si>
    <t xml:space="preserve">UG-04-S01-A090</t>
  </si>
  <si>
    <t xml:space="preserve">UG-04-S01-A100</t>
  </si>
  <si>
    <t xml:space="preserve">UG-04-S01-A110</t>
  </si>
  <si>
    <t xml:space="preserve">UG-04-S02-A010</t>
  </si>
  <si>
    <t xml:space="preserve">AW.PIPE.F1.UG-04.UG-04-S02</t>
  </si>
  <si>
    <t xml:space="preserve">UG-04-S02-A020</t>
  </si>
  <si>
    <t xml:space="preserve">FS from A010; UG-04-S01-A030 (SS, tie-in team follows the adjacent run)</t>
  </si>
  <si>
    <t xml:space="preserve">UG-04-S02-A030</t>
  </si>
  <si>
    <t xml:space="preserve">UG-04-S02-A040</t>
  </si>
  <si>
    <t xml:space="preserve">UG-04-S02-A050</t>
  </si>
  <si>
    <t xml:space="preserve">UG-04-S02-A060</t>
  </si>
  <si>
    <t xml:space="preserve">UG-04-S02-A070</t>
  </si>
  <si>
    <t xml:space="preserve">UG-04-S02-A080</t>
  </si>
  <si>
    <t xml:space="preserve">UG-04-S01-A080 (FS, closure)</t>
  </si>
  <si>
    <t xml:space="preserve">UG-04-S02-A090</t>
  </si>
  <si>
    <t xml:space="preserve">UG-04-S02-A100</t>
  </si>
  <si>
    <t xml:space="preserve">UG-04-S02-A110</t>
  </si>
  <si>
    <t xml:space="preserve">UG-03-S03-A010</t>
  </si>
  <si>
    <t xml:space="preserve">AW.PIPE.F1.UG-03.UG-03-S03</t>
  </si>
  <si>
    <t xml:space="preserve">UG-03-S03-A020</t>
  </si>
  <si>
    <t xml:space="preserve">FS from A010; UG-04-S01-A030 (SS, set-out one package ahead of piling)</t>
  </si>
  <si>
    <t xml:space="preserve">UG-03-S03-A030</t>
  </si>
  <si>
    <t xml:space="preserve">UG-03-S03-A040</t>
  </si>
  <si>
    <t xml:space="preserve">UG-03-S03-A050</t>
  </si>
  <si>
    <t xml:space="preserve">UG-04-S01-A060 (FS, negative lag = own duration: drawdown complete when the excavation crew is free)</t>
  </si>
  <si>
    <t xml:space="preserve">UG-03-S03-A060</t>
  </si>
  <si>
    <t xml:space="preserve">gate: D_XING; UG-02-S04-A060 (SS, shared trench)</t>
  </si>
  <si>
    <t xml:space="preserve">UG-03-S03-A070</t>
  </si>
  <si>
    <t xml:space="preserve">UG-03-S03-A080</t>
  </si>
  <si>
    <t xml:space="preserve">UG-03-S03-A090</t>
  </si>
  <si>
    <t xml:space="preserve">UG-03-S03-A100</t>
  </si>
  <si>
    <t xml:space="preserve">UG-02-S04-A080 (FS, shared trench laid)</t>
  </si>
  <si>
    <t xml:space="preserve">UG-03-S03-A110</t>
  </si>
  <si>
    <t xml:space="preserve">UG-02-S01-A010</t>
  </si>
  <si>
    <t xml:space="preserve">AW.PIPE.F1.UG-02.UG-02-S01</t>
  </si>
  <si>
    <t xml:space="preserve">UG-02-S01-A020</t>
  </si>
  <si>
    <t xml:space="preserve">FS from A010; UG-02-S02-A030 (SS, tie-in team follows the adjacent run)</t>
  </si>
  <si>
    <t xml:space="preserve">UG-02-S01-A030</t>
  </si>
  <si>
    <t xml:space="preserve">UG-02-S01-A040</t>
  </si>
  <si>
    <t xml:space="preserve">UG-02-S01-A050</t>
  </si>
  <si>
    <t xml:space="preserve">UG-02-S01-A060</t>
  </si>
  <si>
    <t xml:space="preserve">UG-02-S01-A070</t>
  </si>
  <si>
    <t xml:space="preserve">UG-02-S01-A080</t>
  </si>
  <si>
    <t xml:space="preserve">UG-02-S02-A080 (FS, closure)</t>
  </si>
  <si>
    <t xml:space="preserve">UG-02-S01-A090</t>
  </si>
  <si>
    <t xml:space="preserve">UG-02-S01-A100</t>
  </si>
  <si>
    <t xml:space="preserve">UG-02-S01-A110</t>
  </si>
  <si>
    <t xml:space="preserve">UG-06-S02-A010</t>
  </si>
  <si>
    <t xml:space="preserve">AW.PIPE.F2.UG-06.UG-06-S02</t>
  </si>
  <si>
    <t xml:space="preserve">UG-06-S02-A020</t>
  </si>
  <si>
    <t xml:space="preserve">UG-06-S02-A030</t>
  </si>
  <si>
    <t xml:space="preserve">UG-06-S02-A040</t>
  </si>
  <si>
    <t xml:space="preserve">UG-06-S02-A050</t>
  </si>
  <si>
    <t xml:space="preserve">UG-06-S02-A060</t>
  </si>
  <si>
    <t xml:space="preserve">UG-06-S02-A070</t>
  </si>
  <si>
    <t xml:space="preserve">UG-06-S02-A080</t>
  </si>
  <si>
    <t xml:space="preserve">UG-06-S02-A090</t>
  </si>
  <si>
    <t xml:space="preserve">UG-06-S02-A100</t>
  </si>
  <si>
    <t xml:space="preserve">UG-06-S02-A110</t>
  </si>
  <si>
    <t xml:space="preserve">UG-25-S01-A010</t>
  </si>
  <si>
    <t xml:space="preserve">AW.PIPE.F2.UG-25.UG-25-S01</t>
  </si>
  <si>
    <t xml:space="preserve">UG-25-S01-A020</t>
  </si>
  <si>
    <t xml:space="preserve">FS from A010; UG-06-S02-A030 (SS, set-out one package ahead of piling)</t>
  </si>
  <si>
    <t xml:space="preserve">UG-25-S01-A030</t>
  </si>
  <si>
    <t xml:space="preserve">UG-25-S01-A040</t>
  </si>
  <si>
    <t xml:space="preserve">UG-25-S01-A050</t>
  </si>
  <si>
    <t xml:space="preserve">UG-06-S02-A060 (FS, negative lag = own duration: drawdown complete when the excavation crew is free)</t>
  </si>
  <si>
    <t xml:space="preserve">UG-25-S01-A060</t>
  </si>
  <si>
    <t xml:space="preserve">UG-25-S01-A070</t>
  </si>
  <si>
    <t xml:space="preserve">UG-25-S01-A080</t>
  </si>
  <si>
    <t xml:space="preserve">UG-25-S01-A090</t>
  </si>
  <si>
    <t xml:space="preserve">UG-25-S01-A100</t>
  </si>
  <si>
    <t xml:space="preserve">UG-05-S05-A080 (FS, shared trench laid); UG-06-S05-A080 (FS, shared trench laid); UG-26-S01-A080 (FS, shared trench laid)</t>
  </si>
  <si>
    <t xml:space="preserve">UG-25-S01-A110</t>
  </si>
  <si>
    <t xml:space="preserve">UG-26-S01-A010</t>
  </si>
  <si>
    <t xml:space="preserve">AW.PIPE.F2.UG-26.UG-26-S01</t>
  </si>
  <si>
    <t xml:space="preserve">UG-26-S01-A020</t>
  </si>
  <si>
    <t xml:space="preserve">FS from A010; UG-25-S01-A030 (SS, set-out one package ahead of piling)</t>
  </si>
  <si>
    <t xml:space="preserve">UG-26-S01-A030</t>
  </si>
  <si>
    <t xml:space="preserve">UG-26-S01-A040</t>
  </si>
  <si>
    <t xml:space="preserve">UG-26-S01-A050</t>
  </si>
  <si>
    <t xml:space="preserve">UG-25-S01-A060 (FS, negative lag = own duration: drawdown complete when the excavation crew is free)</t>
  </si>
  <si>
    <t xml:space="preserve">UG-26-S01-A060</t>
  </si>
  <si>
    <t xml:space="preserve">UG-25-S01-A060 (SS, shared trench)</t>
  </si>
  <si>
    <t xml:space="preserve">UG-26-S01-A070</t>
  </si>
  <si>
    <t xml:space="preserve">UG-26-S01-A080</t>
  </si>
  <si>
    <t xml:space="preserve">UG-26-S01-A090</t>
  </si>
  <si>
    <t xml:space="preserve">UG-26-S01-A100</t>
  </si>
  <si>
    <t xml:space="preserve">UG-05-S05-A080 (FS, shared trench laid); UG-06-S05-A080 (FS, shared trench laid); UG-25-S01-A080 (FS, shared trench laid)</t>
  </si>
  <si>
    <t xml:space="preserve">UG-26-S01-A110</t>
  </si>
  <si>
    <t xml:space="preserve">UG-06-S05-A010</t>
  </si>
  <si>
    <t xml:space="preserve">AW.PIPE.F2.UG-06.UG-06-S05</t>
  </si>
  <si>
    <t xml:space="preserve">UG-06-S05-A020</t>
  </si>
  <si>
    <t xml:space="preserve">FS from A010; UG-26-S01-A030 (SS, set-out one package ahead of piling)</t>
  </si>
  <si>
    <t xml:space="preserve">UG-06-S05-A030</t>
  </si>
  <si>
    <t xml:space="preserve">UG-06-S05-A040</t>
  </si>
  <si>
    <t xml:space="preserve">UG-06-S05-A050</t>
  </si>
  <si>
    <t xml:space="preserve">UG-26-S01-A060 (FS, negative lag = own duration: drawdown complete when the excavation crew is free)</t>
  </si>
  <si>
    <t xml:space="preserve">UG-06-S05-A060</t>
  </si>
  <si>
    <t xml:space="preserve">UG-25-S01-A060 (SS, shared trench); UG-26-S01-A060 (SS, shared trench)</t>
  </si>
  <si>
    <t xml:space="preserve">UG-06-S05-A070</t>
  </si>
  <si>
    <t xml:space="preserve">UG-06-S05-A080</t>
  </si>
  <si>
    <t xml:space="preserve">UG-06-S05-A090</t>
  </si>
  <si>
    <t xml:space="preserve">UG-06-S05-A100</t>
  </si>
  <si>
    <t xml:space="preserve">UG-05-S04-A080 (FS, shared trench laid); UG-05-S05-A080 (FS, shared trench laid); UG-25-S01-A080 (FS, shared trench laid); UG-26-S01-A080 (FS, shared trench laid)</t>
  </si>
  <si>
    <t xml:space="preserve">UG-06-S05-A110</t>
  </si>
  <si>
    <t xml:space="preserve">UG-06-S04-A010</t>
  </si>
  <si>
    <t xml:space="preserve">AW.PIPE.F2.UG-06.UG-06-S04</t>
  </si>
  <si>
    <t xml:space="preserve">UG-06-S04-A020</t>
  </si>
  <si>
    <t xml:space="preserve">FS from A010; UG-06-S05-A030 (SS, set-out one package ahead of piling)</t>
  </si>
  <si>
    <t xml:space="preserve">UG-06-S04-A030</t>
  </si>
  <si>
    <t xml:space="preserve">UG-06-S04-A040</t>
  </si>
  <si>
    <t xml:space="preserve">UG-06-S04-A050</t>
  </si>
  <si>
    <t xml:space="preserve">UG-06-S05-A060 (FS, negative lag = own duration: drawdown complete when the excavation crew is free)</t>
  </si>
  <si>
    <t xml:space="preserve">UG-06-S04-A060</t>
  </si>
  <si>
    <t xml:space="preserve">UG-06-S04-A070</t>
  </si>
  <si>
    <t xml:space="preserve">UG-06-S04-A080</t>
  </si>
  <si>
    <t xml:space="preserve">UG-06-S04-A090</t>
  </si>
  <si>
    <t xml:space="preserve">UG-06-S04-A100</t>
  </si>
  <si>
    <t xml:space="preserve">UG-05-S03-A080 (FS, shared trench laid); UG-05-S04-A080 (FS, shared trench laid); UG-05-S05-A080 (FS, shared trench laid)</t>
  </si>
  <si>
    <t xml:space="preserve">UG-06-S04-A110</t>
  </si>
  <si>
    <t xml:space="preserve">UG-05-S05-A010</t>
  </si>
  <si>
    <t xml:space="preserve">AW.PIPE.F2.UG-05.UG-05-S05</t>
  </si>
  <si>
    <t xml:space="preserve">UG-05-S05-A020</t>
  </si>
  <si>
    <t xml:space="preserve">FS from A010; UG-06-S04-A030 (SS, set-out one package ahead of piling)</t>
  </si>
  <si>
    <t xml:space="preserve">UG-05-S05-A030</t>
  </si>
  <si>
    <t xml:space="preserve">UG-05-S05-A040</t>
  </si>
  <si>
    <t xml:space="preserve">UG-05-S05-A050</t>
  </si>
  <si>
    <t xml:space="preserve">UG-06-S04-A060 (FS, negative lag = own duration: drawdown complete when the excavation crew is free)</t>
  </si>
  <si>
    <t xml:space="preserve">UG-05-S05-A060</t>
  </si>
  <si>
    <t xml:space="preserve">UG-06-S04-A060 (SS, shared trench); UG-06-S05-A060 (SS, shared trench); UG-25-S01-A060 (SS, shared trench); UG-26-S01-A060 (SS, shared trench)</t>
  </si>
  <si>
    <t xml:space="preserve">UG-05-S05-A070</t>
  </si>
  <si>
    <t xml:space="preserve">UG-05-S05-A080</t>
  </si>
  <si>
    <t xml:space="preserve">UG-05-S05-A090</t>
  </si>
  <si>
    <t xml:space="preserve">UG-05-S05-A100</t>
  </si>
  <si>
    <t xml:space="preserve">UG-06-S04-A080 (FS, shared trench laid); UG-06-S05-A080 (FS, shared trench laid); UG-25-S01-A080 (FS, shared trench laid); UG-26-S01-A080 (FS, shared trench laid)</t>
  </si>
  <si>
    <t xml:space="preserve">UG-05-S05-A110</t>
  </si>
  <si>
    <t xml:space="preserve">UG-06-S03-A010</t>
  </si>
  <si>
    <t xml:space="preserve">AW.PIPE.F2.UG-06.UG-06-S03</t>
  </si>
  <si>
    <t xml:space="preserve">UG-06-S03-A020</t>
  </si>
  <si>
    <t xml:space="preserve">FS from A010; UG-05-S05-A030 (SS, set-out one package ahead of piling)</t>
  </si>
  <si>
    <t xml:space="preserve">UG-06-S03-A030</t>
  </si>
  <si>
    <t xml:space="preserve">UG-06-S03-A040</t>
  </si>
  <si>
    <t xml:space="preserve">UG-06-S03-A050</t>
  </si>
  <si>
    <t xml:space="preserve">UG-05-S05-A060 (FS, negative lag = own duration: drawdown complete when the excavation crew is free)</t>
  </si>
  <si>
    <t xml:space="preserve">UG-06-S03-A060</t>
  </si>
  <si>
    <t xml:space="preserve">UG-06-S03-A070</t>
  </si>
  <si>
    <t xml:space="preserve">UG-06-S03-A080</t>
  </si>
  <si>
    <t xml:space="preserve">UG-06-S03-A090</t>
  </si>
  <si>
    <t xml:space="preserve">UG-06-S03-A100</t>
  </si>
  <si>
    <t xml:space="preserve">UG-05-S02-A080 (FS, shared trench laid); UG-05-S03-A080 (FS, shared trench laid); UG-05-S04-A080 (FS, shared trench laid)</t>
  </si>
  <si>
    <t xml:space="preserve">UG-06-S03-A110</t>
  </si>
  <si>
    <t xml:space="preserve">UG-05-S04-A010</t>
  </si>
  <si>
    <t xml:space="preserve">AW.PIPE.F2.UG-05.UG-05-S04</t>
  </si>
  <si>
    <t xml:space="preserve">UG-05-S04-A020</t>
  </si>
  <si>
    <t xml:space="preserve">FS from A010; UG-06-S03-A030 (SS, set-out one package ahead of piling)</t>
  </si>
  <si>
    <t xml:space="preserve">UG-05-S04-A030</t>
  </si>
  <si>
    <t xml:space="preserve">UG-05-S04-A040</t>
  </si>
  <si>
    <t xml:space="preserve">UG-05-S04-A050</t>
  </si>
  <si>
    <t xml:space="preserve">UG-06-S03-A060 (FS, negative lag = own duration: drawdown complete when the excavation crew is free)</t>
  </si>
  <si>
    <t xml:space="preserve">UG-05-S04-A060</t>
  </si>
  <si>
    <t xml:space="preserve">UG-06-S03-A060 (SS, shared trench); UG-06-S04-A060 (SS, shared trench); UG-06-S05-A060 (SS, shared trench)</t>
  </si>
  <si>
    <t xml:space="preserve">UG-05-S04-A070</t>
  </si>
  <si>
    <t xml:space="preserve">UG-05-S04-A080</t>
  </si>
  <si>
    <t xml:space="preserve">UG-05-S04-A090</t>
  </si>
  <si>
    <t xml:space="preserve">UG-05-S04-A100</t>
  </si>
  <si>
    <t xml:space="preserve">UG-06-S03-A080 (FS, shared trench laid); UG-06-S04-A080 (FS, shared trench laid); UG-06-S05-A080 (FS, shared trench laid)</t>
  </si>
  <si>
    <t xml:space="preserve">UG-05-S04-A110</t>
  </si>
  <si>
    <t xml:space="preserve">UG-05-S03-A010</t>
  </si>
  <si>
    <t xml:space="preserve">AW.PIPE.F2.UG-05.UG-05-S03</t>
  </si>
  <si>
    <t xml:space="preserve">UG-05-S03-A020</t>
  </si>
  <si>
    <t xml:space="preserve">FS from A010; UG-05-S04-A030 (SS, set-out one package ahead of piling)</t>
  </si>
  <si>
    <t xml:space="preserve">UG-05-S03-A030</t>
  </si>
  <si>
    <t xml:space="preserve">UG-05-S03-A040</t>
  </si>
  <si>
    <t xml:space="preserve">UG-05-S03-A050</t>
  </si>
  <si>
    <t xml:space="preserve">UG-05-S04-A060 (FS, negative lag = own duration: drawdown complete when the excavation crew is free)</t>
  </si>
  <si>
    <t xml:space="preserve">UG-05-S03-A060</t>
  </si>
  <si>
    <t xml:space="preserve">UG-06-S03-A060 (SS, shared trench); UG-06-S04-A060 (SS, shared trench)</t>
  </si>
  <si>
    <t xml:space="preserve">UG-05-S03-A070</t>
  </si>
  <si>
    <t xml:space="preserve">UG-05-S03-A080</t>
  </si>
  <si>
    <t xml:space="preserve">UG-05-S03-A090</t>
  </si>
  <si>
    <t xml:space="preserve">UG-05-S03-A100</t>
  </si>
  <si>
    <t xml:space="preserve">UG-06-S03-A080 (FS, shared trench laid); UG-06-S04-A080 (FS, shared trench laid)</t>
  </si>
  <si>
    <t xml:space="preserve">UG-05-S03-A110</t>
  </si>
  <si>
    <t xml:space="preserve">UG-05-S02-A010</t>
  </si>
  <si>
    <t xml:space="preserve">AW.PIPE.F2.UG-05.UG-05-S02</t>
  </si>
  <si>
    <t xml:space="preserve">UG-05-S02-A020</t>
  </si>
  <si>
    <t xml:space="preserve">FS from A010; UG-05-S03-A030 (SS, set-out one package ahead of piling)</t>
  </si>
  <si>
    <t xml:space="preserve">UG-05-S02-A030</t>
  </si>
  <si>
    <t xml:space="preserve">UG-05-S02-A040</t>
  </si>
  <si>
    <t xml:space="preserve">UG-05-S02-A050</t>
  </si>
  <si>
    <t xml:space="preserve">UG-05-S03-A060 (FS, negative lag = own duration: drawdown complete when the excavation crew is free)</t>
  </si>
  <si>
    <t xml:space="preserve">UG-05-S02-A060</t>
  </si>
  <si>
    <t xml:space="preserve">UG-06-S03-A060 (SS, shared trench)</t>
  </si>
  <si>
    <t xml:space="preserve">UG-05-S02-A070</t>
  </si>
  <si>
    <t xml:space="preserve">UG-05-S02-A080</t>
  </si>
  <si>
    <t xml:space="preserve">UG-05-S02-A090</t>
  </si>
  <si>
    <t xml:space="preserve">UG-05-S02-A100</t>
  </si>
  <si>
    <t xml:space="preserve">UG-06-S03-A080 (FS, shared trench laid); UG-24-S01-A080 (FS, shared trench laid); UG-24-S02-A080 (FS, shared trench laid)</t>
  </si>
  <si>
    <t xml:space="preserve">UG-05-S02-A110</t>
  </si>
  <si>
    <t xml:space="preserve">UG-06-S01-A010</t>
  </si>
  <si>
    <t xml:space="preserve">AW.PIPE.F2.UG-06.UG-06-S01</t>
  </si>
  <si>
    <t xml:space="preserve">UG-06-S01-A020</t>
  </si>
  <si>
    <t xml:space="preserve">FS from A010; UG-06-S02-A030 (SS, tie-in team follows the adjacent run)</t>
  </si>
  <si>
    <t xml:space="preserve">UG-06-S01-A030</t>
  </si>
  <si>
    <t xml:space="preserve">UG-06-S01-A040</t>
  </si>
  <si>
    <t xml:space="preserve">UG-06-S01-A050</t>
  </si>
  <si>
    <t xml:space="preserve">UG-06-S01-A060</t>
  </si>
  <si>
    <t xml:space="preserve">UG-06-S01-A070</t>
  </si>
  <si>
    <t xml:space="preserve">UG-06-S01-A080</t>
  </si>
  <si>
    <t xml:space="preserve">UG-06-S02-A080 (FS, closure)</t>
  </si>
  <si>
    <t xml:space="preserve">UG-06-S01-A090</t>
  </si>
  <si>
    <t xml:space="preserve">UG-06-S01-A100</t>
  </si>
  <si>
    <t xml:space="preserve">UG-05-S01-A080 (FS, shared trench laid)</t>
  </si>
  <si>
    <t xml:space="preserve">UG-06-S01-A110</t>
  </si>
  <si>
    <t xml:space="preserve">UG-05-S01-A010</t>
  </si>
  <si>
    <t xml:space="preserve">AW.PIPE.F2.UG-05.UG-05-S01</t>
  </si>
  <si>
    <t xml:space="preserve">UG-05-S01-A020</t>
  </si>
  <si>
    <t xml:space="preserve">FS from A010; UG-05-S02-A030 (SS, tie-in team follows the adjacent run)</t>
  </si>
  <si>
    <t xml:space="preserve">UG-05-S01-A030</t>
  </si>
  <si>
    <t xml:space="preserve">UG-05-S01-A040</t>
  </si>
  <si>
    <t xml:space="preserve">UG-05-S01-A050</t>
  </si>
  <si>
    <t xml:space="preserve">UG-05-S01-A060</t>
  </si>
  <si>
    <t xml:space="preserve">UG-06-S01-A060 (SS, shared trench)</t>
  </si>
  <si>
    <t xml:space="preserve">UG-05-S01-A070</t>
  </si>
  <si>
    <t xml:space="preserve">UG-05-S01-A080</t>
  </si>
  <si>
    <t xml:space="preserve">UG-05-S02-A080 (FS, closure)</t>
  </si>
  <si>
    <t xml:space="preserve">UG-05-S01-A090</t>
  </si>
  <si>
    <t xml:space="preserve">UG-05-S01-A100</t>
  </si>
  <si>
    <t xml:space="preserve">UG-06-S01-A080 (FS, shared trench laid); UG-24-S01-A080 (FS, shared trench laid); UG-24-S02-A080 (FS, shared trench laid)</t>
  </si>
  <si>
    <t xml:space="preserve">UG-05-S01-A110</t>
  </si>
  <si>
    <t xml:space="preserve">UG-24-S01-A010</t>
  </si>
  <si>
    <t xml:space="preserve">AW.PIPE.F2.UG-24.UG-24-S01</t>
  </si>
  <si>
    <t xml:space="preserve">UG-24-S01-A020</t>
  </si>
  <si>
    <t xml:space="preserve">FS from A010; UG-05-S02-A030 (SS, set-out one package ahead of piling)</t>
  </si>
  <si>
    <t xml:space="preserve">UG-24-S01-A030</t>
  </si>
  <si>
    <t xml:space="preserve">UG-24-S01-A040</t>
  </si>
  <si>
    <t xml:space="preserve">UG-24-S01-A050</t>
  </si>
  <si>
    <t xml:space="preserve">UG-05-S02-A060 (FS, negative lag = own duration: drawdown complete when the excavation crew is free)</t>
  </si>
  <si>
    <t xml:space="preserve">UG-24-S01-A060</t>
  </si>
  <si>
    <t xml:space="preserve">UG-02-S04-A100 (FS, deeper first); UG-02-S05-A100 (FS, deeper first); UG-03-S01-A100 (FS, deeper first); UG-03-S02-A100 (FS, deeper first); UG-03-S03-A100 (FS, deeper first); UG-03-S04-A100 (FS, deeper first); UG-03-S05-A100 (FS, deeper first); UG-04-S01-A100 (FS, deeper first); UG-04-S02-A100 (FS, deeper first); UG-05-S01-A060 (SS, shared trench); UG-05-S02-A060 (SS, shared trench)</t>
  </si>
  <si>
    <t xml:space="preserve">UG-24-S01-A070</t>
  </si>
  <si>
    <t xml:space="preserve">UG-24-S01-A080</t>
  </si>
  <si>
    <t xml:space="preserve">UG-24-S01-A090</t>
  </si>
  <si>
    <t xml:space="preserve">UG-24-S01-A100</t>
  </si>
  <si>
    <t xml:space="preserve">UG-05-S01-A080 (FS, shared trench laid); UG-05-S02-A080 (FS, shared trench laid)</t>
  </si>
  <si>
    <t xml:space="preserve">UG-24-S01-A110</t>
  </si>
  <si>
    <t xml:space="preserve">UG-24-S02-A010</t>
  </si>
  <si>
    <t xml:space="preserve">AW.PIPE.F2.UG-24.UG-24-S02</t>
  </si>
  <si>
    <t xml:space="preserve">UG-24-S02-A020</t>
  </si>
  <si>
    <t xml:space="preserve">FS from A010; UG-24-S01-A030 (SS, tie-in team follows the adjacent run)</t>
  </si>
  <si>
    <t xml:space="preserve">UG-24-S02-A030</t>
  </si>
  <si>
    <t xml:space="preserve">UG-24-S02-A040</t>
  </si>
  <si>
    <t xml:space="preserve">UG-24-S02-A050</t>
  </si>
  <si>
    <t xml:space="preserve">UG-24-S02-A060</t>
  </si>
  <si>
    <t xml:space="preserve">UG-04-S02-A100 (FS, deeper first); UG-05-S01-A060 (SS, shared trench); UG-05-S02-A060 (SS, shared trench)</t>
  </si>
  <si>
    <t xml:space="preserve">UG-24-S02-A070</t>
  </si>
  <si>
    <t xml:space="preserve">UG-24-S02-A080</t>
  </si>
  <si>
    <t xml:space="preserve">UG-24-S01-A080 (FS, closure)</t>
  </si>
  <si>
    <t xml:space="preserve">UG-24-S02-A090</t>
  </si>
  <si>
    <t xml:space="preserve">UG-24-S02-A100</t>
  </si>
  <si>
    <t xml:space="preserve">UG-24-S02-A110</t>
  </si>
  <si>
    <t xml:space="preserve">UG-10-S04-A010</t>
  </si>
  <si>
    <t xml:space="preserve">AW.PIPE.F3.UG-10.UG-10-S04</t>
  </si>
  <si>
    <t xml:space="preserve">UG-10-S04-A020</t>
  </si>
  <si>
    <t xml:space="preserve">UG-10-S04-A030</t>
  </si>
  <si>
    <t xml:space="preserve">UG-10-S04-A040</t>
  </si>
  <si>
    <t xml:space="preserve">UG-10-S04-A050</t>
  </si>
  <si>
    <t xml:space="preserve">UG-10-S04-A060</t>
  </si>
  <si>
    <t xml:space="preserve">UG-15-S02-A100 (FS, deeper first)</t>
  </si>
  <si>
    <t xml:space="preserve">UG-10-S04-A070</t>
  </si>
  <si>
    <t xml:space="preserve">UG-10-S04-A080</t>
  </si>
  <si>
    <t xml:space="preserve">UG-10-S04-A090</t>
  </si>
  <si>
    <t xml:space="preserve">UG-10-S04-A100</t>
  </si>
  <si>
    <t xml:space="preserve">UG-10-S04-A110</t>
  </si>
  <si>
    <t xml:space="preserve">UG-10-S05-A010</t>
  </si>
  <si>
    <t xml:space="preserve">AW.PIPE.F3.UG-10.UG-10-S05</t>
  </si>
  <si>
    <t xml:space="preserve">UG-10-S05-A020</t>
  </si>
  <si>
    <t xml:space="preserve">FS from A010; UG-10-S04-A030 (SS, tie-in team follows the adjacent run)</t>
  </si>
  <si>
    <t xml:space="preserve">UG-10-S05-A030</t>
  </si>
  <si>
    <t xml:space="preserve">UG-10-S05-A040</t>
  </si>
  <si>
    <t xml:space="preserve">UG-10-S05-A050</t>
  </si>
  <si>
    <t xml:space="preserve">UG-10-S05-A060</t>
  </si>
  <si>
    <t xml:space="preserve">UG-10-S05-A070</t>
  </si>
  <si>
    <t xml:space="preserve">UG-10-S05-A080</t>
  </si>
  <si>
    <t xml:space="preserve">UG-10-S04-A080 (FS, closure)</t>
  </si>
  <si>
    <t xml:space="preserve">UG-10-S05-A090</t>
  </si>
  <si>
    <t xml:space="preserve">UG-10-S05-A100</t>
  </si>
  <si>
    <t xml:space="preserve">UG-10-S05-A110</t>
  </si>
  <si>
    <t xml:space="preserve">UG-10-S03-A010</t>
  </si>
  <si>
    <t xml:space="preserve">AW.PIPE.F3.UG-10.UG-10-S03</t>
  </si>
  <si>
    <t xml:space="preserve">UG-10-S03-A020</t>
  </si>
  <si>
    <t xml:space="preserve">FS from A010; UG-10-S04-A030 (SS, set-out one package ahead of piling)</t>
  </si>
  <si>
    <t xml:space="preserve">UG-10-S03-A030</t>
  </si>
  <si>
    <t xml:space="preserve">UG-10-S03-A040</t>
  </si>
  <si>
    <t xml:space="preserve">UG-10-S03-A050</t>
  </si>
  <si>
    <t xml:space="preserve">UG-10-S04-A060 (FS, negative lag = own duration: drawdown complete when the excavation crew is free)</t>
  </si>
  <si>
    <t xml:space="preserve">UG-10-S03-A060</t>
  </si>
  <si>
    <t xml:space="preserve">UG-15-S02-A100 (FS, deeper first); UG-15-S03-A100 (FS, deeper first); UG-21-S01-A100 (FS, deeper first); UG-22-S01-A100 (FS, deeper first); UG-28-S02-A100 (FS, deeper first)</t>
  </si>
  <si>
    <t xml:space="preserve">UG-10-S03-A070</t>
  </si>
  <si>
    <t xml:space="preserve">UG-10-S03-A080</t>
  </si>
  <si>
    <t xml:space="preserve">UG-10-S03-A090</t>
  </si>
  <si>
    <t xml:space="preserve">UG-10-S03-A100</t>
  </si>
  <si>
    <t xml:space="preserve">UG-10-S03-A110</t>
  </si>
  <si>
    <t xml:space="preserve">UG-10-S02-A010</t>
  </si>
  <si>
    <t xml:space="preserve">AW.PIPE.F3.UG-10.UG-10-S02</t>
  </si>
  <si>
    <t xml:space="preserve">UG-10-S02-A020</t>
  </si>
  <si>
    <t xml:space="preserve">FS from A010; UG-10-S03-A030 (SS, set-out one package ahead of piling)</t>
  </si>
  <si>
    <t xml:space="preserve">UG-10-S02-A030</t>
  </si>
  <si>
    <t xml:space="preserve">UG-10-S02-A040</t>
  </si>
  <si>
    <t xml:space="preserve">UG-10-S02-A050</t>
  </si>
  <si>
    <t xml:space="preserve">UG-10-S03-A060 (FS, negative lag = own duration: drawdown complete when the excavation crew is free)</t>
  </si>
  <si>
    <t xml:space="preserve">UG-10-S02-A060</t>
  </si>
  <si>
    <t xml:space="preserve">UG-21-S01-A100 (FS, deeper first); UG-22-S01-A100 (FS, deeper first); UG-28-S02-A100 (FS, deeper first)</t>
  </si>
  <si>
    <t xml:space="preserve">UG-10-S02-A070</t>
  </si>
  <si>
    <t xml:space="preserve">UG-10-S02-A080</t>
  </si>
  <si>
    <t xml:space="preserve">UG-10-S02-A090</t>
  </si>
  <si>
    <t xml:space="preserve">UG-10-S02-A100</t>
  </si>
  <si>
    <t xml:space="preserve">UG-10-S02-A110</t>
  </si>
  <si>
    <t xml:space="preserve">UG-10-S01-A010</t>
  </si>
  <si>
    <t xml:space="preserve">AW.PIPE.F3.UG-10.UG-10-S01</t>
  </si>
  <si>
    <t xml:space="preserve">UG-10-S01-A020</t>
  </si>
  <si>
    <t xml:space="preserve">FS from A010; UG-10-S02-A030 (SS, tie-in team follows the adjacent run)</t>
  </si>
  <si>
    <t xml:space="preserve">UG-10-S01-A030</t>
  </si>
  <si>
    <t xml:space="preserve">UG-10-S01-A040</t>
  </si>
  <si>
    <t xml:space="preserve">UG-10-S01-A050</t>
  </si>
  <si>
    <t xml:space="preserve">UG-10-S01-A060</t>
  </si>
  <si>
    <t xml:space="preserve">UG-10-S01-A070</t>
  </si>
  <si>
    <t xml:space="preserve">UG-10-S01-A080</t>
  </si>
  <si>
    <t xml:space="preserve">UG-10-S02-A080 (FS, closure)</t>
  </si>
  <si>
    <t xml:space="preserve">UG-10-S01-A090</t>
  </si>
  <si>
    <t xml:space="preserve">UG-10-S01-A100</t>
  </si>
  <si>
    <t xml:space="preserve">UG-10-S01-A110</t>
  </si>
  <si>
    <t xml:space="preserve">UG-08-S06-A010</t>
  </si>
  <si>
    <t xml:space="preserve">AW.PIPE.F3.UG-08.UG-08-S06</t>
  </si>
  <si>
    <t xml:space="preserve">UG-08-S06-A020</t>
  </si>
  <si>
    <t xml:space="preserve">FS from A010; UG-10-S02-A030 (SS, set-out one package ahead of piling)</t>
  </si>
  <si>
    <t xml:space="preserve">UG-08-S06-A030</t>
  </si>
  <si>
    <t xml:space="preserve">UG-08-S06-A040</t>
  </si>
  <si>
    <t xml:space="preserve">UG-08-S06-A050</t>
  </si>
  <si>
    <t xml:space="preserve">UG-10-S02-A060 (FS, negative lag = own duration: drawdown complete when the excavation crew is free)</t>
  </si>
  <si>
    <t xml:space="preserve">UG-08-S06-A060</t>
  </si>
  <si>
    <t xml:space="preserve">UG-08-S06-A070</t>
  </si>
  <si>
    <t xml:space="preserve">UG-08-S06-A080</t>
  </si>
  <si>
    <t xml:space="preserve">UG-08-S06-A090</t>
  </si>
  <si>
    <t xml:space="preserve">UG-08-S06-A100</t>
  </si>
  <si>
    <t xml:space="preserve">UG-09-S06-A080 (FS, shared trench laid)</t>
  </si>
  <si>
    <t xml:space="preserve">UG-08-S06-A110</t>
  </si>
  <si>
    <t xml:space="preserve">UG-09-S07-A010</t>
  </si>
  <si>
    <t xml:space="preserve">AW.PIPE.F3.UG-09.UG-09-S07</t>
  </si>
  <si>
    <t xml:space="preserve">UG-09-S07-A020</t>
  </si>
  <si>
    <t xml:space="preserve">FS from A010; UG-08-S06-A030 (SS, set-out one package ahead of piling)</t>
  </si>
  <si>
    <t xml:space="preserve">UG-09-S07-A030</t>
  </si>
  <si>
    <t xml:space="preserve">UG-09-S07-A040</t>
  </si>
  <si>
    <t xml:space="preserve">UG-09-S07-A050</t>
  </si>
  <si>
    <t xml:space="preserve">UG-08-S06-A060 (FS, negative lag = own duration: drawdown complete when the excavation crew is free)</t>
  </si>
  <si>
    <t xml:space="preserve">UG-09-S07-A060</t>
  </si>
  <si>
    <t xml:space="preserve">UG-09-S07-A070</t>
  </si>
  <si>
    <t xml:space="preserve">UG-09-S07-A080</t>
  </si>
  <si>
    <t xml:space="preserve">UG-09-S07-A090</t>
  </si>
  <si>
    <t xml:space="preserve">UG-09-S07-A100</t>
  </si>
  <si>
    <t xml:space="preserve">UG-08-S05-A080 (FS, shared trench laid)</t>
  </si>
  <si>
    <t xml:space="preserve">UG-09-S07-A110</t>
  </si>
  <si>
    <t xml:space="preserve">UG-08-S05-A010</t>
  </si>
  <si>
    <t xml:space="preserve">AW.PIPE.F3.UG-08.UG-08-S05</t>
  </si>
  <si>
    <t xml:space="preserve">UG-08-S05-A020</t>
  </si>
  <si>
    <t xml:space="preserve">FS from A010; UG-09-S07-A030 (SS, set-out one package ahead of piling)</t>
  </si>
  <si>
    <t xml:space="preserve">UG-08-S05-A030</t>
  </si>
  <si>
    <t xml:space="preserve">UG-08-S05-A040</t>
  </si>
  <si>
    <t xml:space="preserve">UG-08-S05-A050</t>
  </si>
  <si>
    <t xml:space="preserve">UG-09-S07-A060 (FS, negative lag = own duration: drawdown complete when the excavation crew is free)</t>
  </si>
  <si>
    <t xml:space="preserve">UG-08-S05-A060</t>
  </si>
  <si>
    <t xml:space="preserve">UG-12-S03-A100 (FS, deeper first); UG-13-S03-A100 (FS, deeper first); UG-13B-S11-A100 (FS, deeper first); UG-09-S07-A060 (SS, shared trench)</t>
  </si>
  <si>
    <t xml:space="preserve">UG-08-S05-A070</t>
  </si>
  <si>
    <t xml:space="preserve">UG-08-S05-A080</t>
  </si>
  <si>
    <t xml:space="preserve">UG-08-S05-A090</t>
  </si>
  <si>
    <t xml:space="preserve">UG-08-S05-A100</t>
  </si>
  <si>
    <t xml:space="preserve">UG-09-S04-A080 (FS, shared trench laid); UG-09-S05-A080 (FS, shared trench laid); UG-09-S06-A080 (FS, shared trench laid); UG-09-S07-A080 (FS, shared trench laid)</t>
  </si>
  <si>
    <t xml:space="preserve">UG-08-S05-A110</t>
  </si>
  <si>
    <t xml:space="preserve">UG-09-S06-A010</t>
  </si>
  <si>
    <t xml:space="preserve">AW.PIPE.F3.UG-09.UG-09-S06</t>
  </si>
  <si>
    <t xml:space="preserve">UG-09-S06-A020</t>
  </si>
  <si>
    <t xml:space="preserve">FS from A010; UG-08-S05-A030 (SS, set-out one package ahead of piling)</t>
  </si>
  <si>
    <t xml:space="preserve">UG-09-S06-A030</t>
  </si>
  <si>
    <t xml:space="preserve">UG-09-S06-A040</t>
  </si>
  <si>
    <t xml:space="preserve">UG-09-S06-A050</t>
  </si>
  <si>
    <t xml:space="preserve">UG-08-S05-A060 (FS, negative lag = own duration: drawdown complete when the excavation crew is free)</t>
  </si>
  <si>
    <t xml:space="preserve">UG-09-S06-A060</t>
  </si>
  <si>
    <t xml:space="preserve">UG-13B-S08-A100 (FS, deeper first); UG-08-S05-A060 (SS, shared trench); UG-08-S06-A060 (SS, shared trench)</t>
  </si>
  <si>
    <t xml:space="preserve">UG-09-S06-A070</t>
  </si>
  <si>
    <t xml:space="preserve">UG-09-S06-A080</t>
  </si>
  <si>
    <t xml:space="preserve">UG-09-S06-A090</t>
  </si>
  <si>
    <t xml:space="preserve">UG-09-S06-A100</t>
  </si>
  <si>
    <t xml:space="preserve">UG-08-S05-A080 (FS, shared trench laid); UG-08-S06-A080 (FS, shared trench laid)</t>
  </si>
  <si>
    <t xml:space="preserve">UG-09-S06-A110</t>
  </si>
  <si>
    <t xml:space="preserve">UG-09-S05-A010</t>
  </si>
  <si>
    <t xml:space="preserve">AW.PIPE.F3.UG-09.UG-09-S05</t>
  </si>
  <si>
    <t xml:space="preserve">UG-09-S05-A020</t>
  </si>
  <si>
    <t xml:space="preserve">FS from A010; UG-09-S06-A030 (SS, set-out one package ahead of piling)</t>
  </si>
  <si>
    <t xml:space="preserve">UG-09-S05-A030</t>
  </si>
  <si>
    <t xml:space="preserve">UG-09-S05-A040</t>
  </si>
  <si>
    <t xml:space="preserve">UG-09-S05-A050</t>
  </si>
  <si>
    <t xml:space="preserve">UG-09-S06-A060 (FS, negative lag = own duration: drawdown complete when the excavation crew is free)</t>
  </si>
  <si>
    <t xml:space="preserve">UG-09-S05-A060</t>
  </si>
  <si>
    <t xml:space="preserve">UG-12-S03-A100 (FS, deeper first); UG-13B-S07-A100 (FS, deeper first); UG-13B-S08-A100 (FS, deeper first); UG-13B-S09-A100 (FS, deeper first); UG-13B-S11-A100 (FS, deeper first); UG-08-S05-A060 (SS, shared trench)</t>
  </si>
  <si>
    <t xml:space="preserve">UG-09-S05-A070</t>
  </si>
  <si>
    <t xml:space="preserve">UG-09-S05-A080</t>
  </si>
  <si>
    <t xml:space="preserve">UG-09-S05-A090</t>
  </si>
  <si>
    <t xml:space="preserve">UG-09-S05-A100</t>
  </si>
  <si>
    <t xml:space="preserve">UG-09-S05-A110</t>
  </si>
  <si>
    <t xml:space="preserve">UG-08-S04-A010</t>
  </si>
  <si>
    <t xml:space="preserve">AW.PIPE.F3.UG-08.UG-08-S04</t>
  </si>
  <si>
    <t xml:space="preserve">UG-08-S04-A020</t>
  </si>
  <si>
    <t xml:space="preserve">FS from A010; UG-09-S05-A030 (SS, set-out one package ahead of piling)</t>
  </si>
  <si>
    <t xml:space="preserve">UG-08-S04-A030</t>
  </si>
  <si>
    <t xml:space="preserve">UG-08-S04-A040</t>
  </si>
  <si>
    <t xml:space="preserve">UG-08-S04-A050</t>
  </si>
  <si>
    <t xml:space="preserve">UG-09-S05-A060 (FS, negative lag = own duration: drawdown complete when the excavation crew is free)</t>
  </si>
  <si>
    <t xml:space="preserve">UG-08-S04-A060</t>
  </si>
  <si>
    <t xml:space="preserve">UG-11-S03-A100 (FS, deeper first); UG-11-S04-A100 (FS, deeper first); UG-13-S05-A100 (FS, deeper first); UG-23-S02-A100 (FS, deeper first); UG-23-S03-A100 (FS, deeper first); UG-23-S04-A100 (FS, deeper first)</t>
  </si>
  <si>
    <t xml:space="preserve">UG-08-S04-A070</t>
  </si>
  <si>
    <t xml:space="preserve">UG-08-S04-A080</t>
  </si>
  <si>
    <t xml:space="preserve">UG-08-S04-A090</t>
  </si>
  <si>
    <t xml:space="preserve">UG-08-S04-A100</t>
  </si>
  <si>
    <t xml:space="preserve">UG-09-S03-A080 (FS, shared trench laid); UG-09-S04-A080 (FS, shared trench laid)</t>
  </si>
  <si>
    <t xml:space="preserve">UG-08-S04-A110</t>
  </si>
  <si>
    <t xml:space="preserve">UG-09-S04-A010</t>
  </si>
  <si>
    <t xml:space="preserve">AW.PIPE.F3.UG-09.UG-09-S04</t>
  </si>
  <si>
    <t xml:space="preserve">UG-09-S04-A020</t>
  </si>
  <si>
    <t xml:space="preserve">FS from A010; UG-08-S04-A030 (SS, set-out one package ahead of piling)</t>
  </si>
  <si>
    <t xml:space="preserve">UG-09-S04-A030</t>
  </si>
  <si>
    <t xml:space="preserve">UG-09-S04-A040</t>
  </si>
  <si>
    <t xml:space="preserve">UG-09-S04-A050</t>
  </si>
  <si>
    <t xml:space="preserve">UG-08-S04-A060 (FS, negative lag = own duration: drawdown complete when the excavation crew is free)</t>
  </si>
  <si>
    <t xml:space="preserve">UG-09-S04-A060</t>
  </si>
  <si>
    <t xml:space="preserve">UG-12-S03-A100 (FS, deeper first); UG-13B-S07-A100 (FS, deeper first); UG-13B-S08-A100 (FS, deeper first); UG-13B-S11-A100 (FS, deeper first); UG-23-S03-A100 (FS, deeper first); UG-23-S04-A100 (FS, deeper first); UG-08-S04-A060 (SS, shared trench); UG-08-S05-A060 (SS, shared trench)</t>
  </si>
  <si>
    <t xml:space="preserve">UG-09-S04-A070</t>
  </si>
  <si>
    <t xml:space="preserve">UG-09-S04-A080</t>
  </si>
  <si>
    <t xml:space="preserve">UG-09-S04-A090</t>
  </si>
  <si>
    <t xml:space="preserve">UG-09-S04-A100</t>
  </si>
  <si>
    <t xml:space="preserve">UG-08-S03-A080 (FS, shared trench laid); UG-08-S04-A080 (FS, shared trench laid); UG-08-S05-A080 (FS, shared trench laid)</t>
  </si>
  <si>
    <t xml:space="preserve">UG-09-S04-A110</t>
  </si>
  <si>
    <t xml:space="preserve">UG-08-S03-A010</t>
  </si>
  <si>
    <t xml:space="preserve">AW.PIPE.F3.UG-08.UG-08-S03</t>
  </si>
  <si>
    <t xml:space="preserve">UG-08-S03-A020</t>
  </si>
  <si>
    <t xml:space="preserve">FS from A010; UG-09-S04-A030 (SS, set-out one package ahead of piling)</t>
  </si>
  <si>
    <t xml:space="preserve">UG-08-S03-A030</t>
  </si>
  <si>
    <t xml:space="preserve">UG-08-S03-A040</t>
  </si>
  <si>
    <t xml:space="preserve">UG-08-S03-A050</t>
  </si>
  <si>
    <t xml:space="preserve">UG-09-S04-A060 (FS, negative lag = own duration: drawdown complete when the excavation crew is free)</t>
  </si>
  <si>
    <t xml:space="preserve">UG-08-S03-A060</t>
  </si>
  <si>
    <t xml:space="preserve">UG-11-S03-A100 (FS, deeper first); UG-11-S04-A100 (FS, deeper first); UG-23-S03-A100 (FS, deeper first); UG-23-S04-A100 (FS, deeper first); UG-23-S05-A100 (FS, deeper first); UG-09-S04-A060 (SS, shared trench)</t>
  </si>
  <si>
    <t xml:space="preserve">UG-08-S03-A070</t>
  </si>
  <si>
    <t xml:space="preserve">UG-08-S03-A080</t>
  </si>
  <si>
    <t xml:space="preserve">UG-08-S03-A090</t>
  </si>
  <si>
    <t xml:space="preserve">UG-08-S03-A100</t>
  </si>
  <si>
    <t xml:space="preserve">UG-09-S02-A080 (FS, shared trench laid); UG-09-S03-A080 (FS, shared trench laid); UG-09-S04-A080 (FS, shared trench laid)</t>
  </si>
  <si>
    <t xml:space="preserve">UG-08-S03-A110</t>
  </si>
  <si>
    <t xml:space="preserve">UG-08-S02-A010</t>
  </si>
  <si>
    <t xml:space="preserve">AW.PIPE.F3.UG-08.UG-08-S02</t>
  </si>
  <si>
    <t xml:space="preserve">UG-08-S02-A020</t>
  </si>
  <si>
    <t xml:space="preserve">FS from A010; UG-08-S03-A030 (SS, set-out one package ahead of piling)</t>
  </si>
  <si>
    <t xml:space="preserve">UG-08-S02-A030</t>
  </si>
  <si>
    <t xml:space="preserve">UG-08-S02-A040</t>
  </si>
  <si>
    <t xml:space="preserve">UG-08-S02-A050</t>
  </si>
  <si>
    <t xml:space="preserve">UG-08-S03-A060 (FS, negative lag = own duration: drawdown complete when the excavation crew is free)</t>
  </si>
  <si>
    <t xml:space="preserve">UG-08-S02-A060</t>
  </si>
  <si>
    <t xml:space="preserve">UG-11-S04-A100 (FS, deeper first); UG-23-S04-A100 (FS, deeper first); UG-23-S05-A100 (FS, deeper first)</t>
  </si>
  <si>
    <t xml:space="preserve">UG-08-S02-A070</t>
  </si>
  <si>
    <t xml:space="preserve">UG-08-S02-A080</t>
  </si>
  <si>
    <t xml:space="preserve">UG-08-S02-A090</t>
  </si>
  <si>
    <t xml:space="preserve">UG-08-S02-A100</t>
  </si>
  <si>
    <t xml:space="preserve">UG-09-S01-A080 (FS, shared trench laid); UG-09-S02-A080 (FS, shared trench laid); UG-09-S03-A080 (FS, shared trench laid)</t>
  </si>
  <si>
    <t xml:space="preserve">UG-08-S02-A110</t>
  </si>
  <si>
    <t xml:space="preserve">UG-09-S03-A010</t>
  </si>
  <si>
    <t xml:space="preserve">AW.PIPE.F3.UG-09.UG-09-S03</t>
  </si>
  <si>
    <t xml:space="preserve">UG-09-S03-A020</t>
  </si>
  <si>
    <t xml:space="preserve">FS from A010; UG-08-S02-A030 (SS, set-out one package ahead of piling)</t>
  </si>
  <si>
    <t xml:space="preserve">UG-09-S03-A030</t>
  </si>
  <si>
    <t xml:space="preserve">UG-09-S03-A040</t>
  </si>
  <si>
    <t xml:space="preserve">UG-09-S03-A050</t>
  </si>
  <si>
    <t xml:space="preserve">UG-08-S02-A060 (FS, negative lag = own duration: drawdown complete when the excavation crew is free)</t>
  </si>
  <si>
    <t xml:space="preserve">UG-09-S03-A060</t>
  </si>
  <si>
    <t xml:space="preserve">UG-11-S04-A100 (FS, deeper first); UG-11-S05-A100 (FS, deeper first); UG-23-S03-A100 (FS, deeper first); UG-23-S04-A100 (FS, deeper first); UG-23-S05-A100 (FS, deeper first); UG-08-S02-A060 (SS, shared trench); UG-08-S03-A060 (SS, shared trench); UG-08-S04-A060 (SS, shared trench)</t>
  </si>
  <si>
    <t xml:space="preserve">UG-09-S03-A070</t>
  </si>
  <si>
    <t xml:space="preserve">UG-09-S03-A080</t>
  </si>
  <si>
    <t xml:space="preserve">UG-09-S03-A090</t>
  </si>
  <si>
    <t xml:space="preserve">UG-09-S03-A100</t>
  </si>
  <si>
    <t xml:space="preserve">UG-08-S02-A080 (FS, shared trench laid); UG-08-S03-A080 (FS, shared trench laid); UG-08-S04-A080 (FS, shared trench laid)</t>
  </si>
  <si>
    <t xml:space="preserve">UG-09-S03-A110</t>
  </si>
  <si>
    <t xml:space="preserve">UG-08-S01-A010</t>
  </si>
  <si>
    <t xml:space="preserve">AW.PIPE.F3.UG-08.UG-08-S01</t>
  </si>
  <si>
    <t xml:space="preserve">UG-08-S01-A020</t>
  </si>
  <si>
    <t xml:space="preserve">FS from A010; UG-08-S02-A030 (SS, tie-in team follows the adjacent run)</t>
  </si>
  <si>
    <t xml:space="preserve">UG-08-S01-A030</t>
  </si>
  <si>
    <t xml:space="preserve">UG-08-S01-A040</t>
  </si>
  <si>
    <t xml:space="preserve">UG-08-S01-A050</t>
  </si>
  <si>
    <t xml:space="preserve">UG-08-S01-A060</t>
  </si>
  <si>
    <t xml:space="preserve">UG-23-S05-A100 (FS, deeper first); UG-09-S01-A060 (SS, shared trench)</t>
  </si>
  <si>
    <t xml:space="preserve">UG-08-S01-A070</t>
  </si>
  <si>
    <t xml:space="preserve">UG-08-S01-A080</t>
  </si>
  <si>
    <t xml:space="preserve">UG-08-S02-A080 (FS, closure)</t>
  </si>
  <si>
    <t xml:space="preserve">UG-08-S01-A090</t>
  </si>
  <si>
    <t xml:space="preserve">UG-08-S01-A100</t>
  </si>
  <si>
    <t xml:space="preserve">UG-09-S01-A080 (FS, shared trench laid); UG-09-S02-A080 (FS, shared trench laid)</t>
  </si>
  <si>
    <t xml:space="preserve">UG-08-S01-A110</t>
  </si>
  <si>
    <t xml:space="preserve">UG-09-S02-A010</t>
  </si>
  <si>
    <t xml:space="preserve">AW.PIPE.F3.UG-09.UG-09-S02</t>
  </si>
  <si>
    <t xml:space="preserve">UG-09-S02-A020</t>
  </si>
  <si>
    <t xml:space="preserve">FS from A010; UG-09-S03-A030 (SS, set-out one package ahead of piling)</t>
  </si>
  <si>
    <t xml:space="preserve">UG-09-S02-A030</t>
  </si>
  <si>
    <t xml:space="preserve">UG-09-S02-A040</t>
  </si>
  <si>
    <t xml:space="preserve">UG-09-S02-A050</t>
  </si>
  <si>
    <t xml:space="preserve">UG-09-S03-A060 (FS, negative lag = own duration: drawdown complete when the excavation crew is free)</t>
  </si>
  <si>
    <t xml:space="preserve">UG-09-S02-A060</t>
  </si>
  <si>
    <t xml:space="preserve">UG-23-S04-A100 (FS, deeper first); UG-23-S05-A100 (FS, deeper first); UG-08-S01-A060 (SS, shared trench); UG-08-S02-A060 (SS, shared trench); UG-08-S03-A060 (SS, shared trench)</t>
  </si>
  <si>
    <t xml:space="preserve">UG-09-S02-A070</t>
  </si>
  <si>
    <t xml:space="preserve">UG-09-S02-A080</t>
  </si>
  <si>
    <t xml:space="preserve">UG-09-S02-A090</t>
  </si>
  <si>
    <t xml:space="preserve">UG-09-S02-A100</t>
  </si>
  <si>
    <t xml:space="preserve">UG-08-S01-A080 (FS, shared trench laid); UG-08-S02-A080 (FS, shared trench laid); UG-08-S03-A080 (FS, shared trench laid)</t>
  </si>
  <si>
    <t xml:space="preserve">UG-09-S02-A110</t>
  </si>
  <si>
    <t xml:space="preserve">UG-09-S01-A010</t>
  </si>
  <si>
    <t xml:space="preserve">AW.PIPE.F3.UG-09.UG-09-S01</t>
  </si>
  <si>
    <t xml:space="preserve">UG-09-S01-A020</t>
  </si>
  <si>
    <t xml:space="preserve">FS from A010; UG-09-S02-A030 (SS, tie-in team follows the adjacent run)</t>
  </si>
  <si>
    <t xml:space="preserve">UG-09-S01-A030</t>
  </si>
  <si>
    <t xml:space="preserve">UG-09-S01-A040</t>
  </si>
  <si>
    <t xml:space="preserve">UG-09-S01-A050</t>
  </si>
  <si>
    <t xml:space="preserve">UG-09-S01-A060</t>
  </si>
  <si>
    <t xml:space="preserve">UG-23-S05-A100 (FS, deeper first); UG-08-S02-A060 (SS, shared trench)</t>
  </si>
  <si>
    <t xml:space="preserve">UG-09-S01-A070</t>
  </si>
  <si>
    <t xml:space="preserve">UG-09-S01-A080</t>
  </si>
  <si>
    <t xml:space="preserve">UG-09-S02-A080 (FS, closure)</t>
  </si>
  <si>
    <t xml:space="preserve">UG-09-S01-A090</t>
  </si>
  <si>
    <t xml:space="preserve">UG-09-S01-A100</t>
  </si>
  <si>
    <t xml:space="preserve">UG-08-S01-A080 (FS, shared trench laid); UG-08-S02-A080 (FS, shared trench laid)</t>
  </si>
  <si>
    <t xml:space="preserve">UG-09-S01-A110</t>
  </si>
  <si>
    <t xml:space="preserve">UG-08-S07-A010</t>
  </si>
  <si>
    <t xml:space="preserve">AW.PIPE.F3.UG-08.UG-08-S07</t>
  </si>
  <si>
    <t xml:space="preserve">UG-08-S07-A020</t>
  </si>
  <si>
    <t xml:space="preserve">FS from A010; UG-08-S06-A030 (SS, tie-in team follows the adjacent run)</t>
  </si>
  <si>
    <t xml:space="preserve">UG-08-S07-A030</t>
  </si>
  <si>
    <t xml:space="preserve">UG-08-S07-A040</t>
  </si>
  <si>
    <t xml:space="preserve">UG-08-S07-A050</t>
  </si>
  <si>
    <t xml:space="preserve">UG-08-S07-A060</t>
  </si>
  <si>
    <t xml:space="preserve">UG-08-S07-A070</t>
  </si>
  <si>
    <t xml:space="preserve">UG-08-S07-A080</t>
  </si>
  <si>
    <t xml:space="preserve">UG-08-S06-A080 (FS, closure)</t>
  </si>
  <si>
    <t xml:space="preserve">UG-08-S07-A090</t>
  </si>
  <si>
    <t xml:space="preserve">UG-08-S07-A100</t>
  </si>
  <si>
    <t xml:space="preserve">UG-08-S07-A110</t>
  </si>
  <si>
    <t xml:space="preserve">UG-13A-S13-A010</t>
  </si>
  <si>
    <t xml:space="preserve">AW.PIPE.F3.UG-13A.UG-13A-S13</t>
  </si>
  <si>
    <t xml:space="preserve">UG-13A-S13-A020</t>
  </si>
  <si>
    <t xml:space="preserve">FS from A010; UG-13A-S14-A030 (SS, tie-in team follows the adjacent run)</t>
  </si>
  <si>
    <t xml:space="preserve">UG-13A-S13-A030</t>
  </si>
  <si>
    <t xml:space="preserve">UG-13A-S13-A040</t>
  </si>
  <si>
    <t xml:space="preserve">UG-13A-S13-A050</t>
  </si>
  <si>
    <t xml:space="preserve">UG-13A-S13-A060</t>
  </si>
  <si>
    <t xml:space="preserve">UG-13A-S13-A070</t>
  </si>
  <si>
    <t xml:space="preserve">UG-13A-S13-A080</t>
  </si>
  <si>
    <t xml:space="preserve">UG-13A-S14-A080 (FS, closure)</t>
  </si>
  <si>
    <t xml:space="preserve">UG-13A-S13-A090</t>
  </si>
  <si>
    <t xml:space="preserve">UG-13A-S13-A100</t>
  </si>
  <si>
    <t xml:space="preserve">UG-27K-S01-A080 (FS, shared trench laid)</t>
  </si>
  <si>
    <t xml:space="preserve">UG-13A-S13-A110</t>
  </si>
  <si>
    <t xml:space="preserve">UG-27K-S01-A010</t>
  </si>
  <si>
    <t xml:space="preserve">AW.PIPE.F3.UG-27K.UG-27K-S01</t>
  </si>
  <si>
    <t xml:space="preserve">UG-27K-S01-A020</t>
  </si>
  <si>
    <t xml:space="preserve">UG-27K-S01-A030</t>
  </si>
  <si>
    <t xml:space="preserve">UG-27K-S01-A040</t>
  </si>
  <si>
    <t xml:space="preserve">UG-27K-S01-A050</t>
  </si>
  <si>
    <t xml:space="preserve">UG-27K-S01-A060</t>
  </si>
  <si>
    <t xml:space="preserve">UG-08-S07-A100 (FS, deeper first); UG-13A-S13-A060 (SS, shared trench)</t>
  </si>
  <si>
    <t xml:space="preserve">UG-27K-S01-A070</t>
  </si>
  <si>
    <t xml:space="preserve">UG-27K-S01-A080</t>
  </si>
  <si>
    <t xml:space="preserve">UG-27K-S01-A090</t>
  </si>
  <si>
    <t xml:space="preserve">UG-27K-S01-A100</t>
  </si>
  <si>
    <t xml:space="preserve">UG-13A-S13-A080 (FS, shared trench laid)</t>
  </si>
  <si>
    <t xml:space="preserve">UG-27K-S01-A110</t>
  </si>
  <si>
    <t xml:space="preserve">UG-09-S08-A010</t>
  </si>
  <si>
    <t xml:space="preserve">AW.PIPE.F3.UG-09.UG-09-S08</t>
  </si>
  <si>
    <t xml:space="preserve">UG-09-S08-A020</t>
  </si>
  <si>
    <t xml:space="preserve">FS from A010; UG-09-S07-A030 (SS, tie-in team follows the adjacent run)</t>
  </si>
  <si>
    <t xml:space="preserve">UG-09-S08-A030</t>
  </si>
  <si>
    <t xml:space="preserve">UG-09-S08-A040</t>
  </si>
  <si>
    <t xml:space="preserve">UG-09-S08-A050</t>
  </si>
  <si>
    <t xml:space="preserve">UG-09-S08-A060</t>
  </si>
  <si>
    <t xml:space="preserve">UG-09-S08-A070</t>
  </si>
  <si>
    <t xml:space="preserve">UG-09-S08-A080</t>
  </si>
  <si>
    <t xml:space="preserve">UG-09-S07-A080 (FS, closure)</t>
  </si>
  <si>
    <t xml:space="preserve">UG-09-S08-A090</t>
  </si>
  <si>
    <t xml:space="preserve">UG-09-S08-A100</t>
  </si>
  <si>
    <t xml:space="preserve">UG-09-S08-A110</t>
  </si>
  <si>
    <t xml:space="preserve">UG-13B-S01-A010</t>
  </si>
  <si>
    <t xml:space="preserve">AW.PIPE.F3.UG-13B.UG-13B-S01</t>
  </si>
  <si>
    <t xml:space="preserve">UG-13B-S01-A020</t>
  </si>
  <si>
    <t xml:space="preserve">FS from A010; UG-13B-S02-A030 (SS, tie-in team follows the adjacent run)</t>
  </si>
  <si>
    <t xml:space="preserve">UG-13B-S01-A030</t>
  </si>
  <si>
    <t xml:space="preserve">UG-13B-S01-A040</t>
  </si>
  <si>
    <t xml:space="preserve">UG-13B-S01-A050</t>
  </si>
  <si>
    <t xml:space="preserve">UG-13B-S01-A060</t>
  </si>
  <si>
    <t xml:space="preserve">UG-13B-S01-A070</t>
  </si>
  <si>
    <t xml:space="preserve">UG-13B-S01-A080</t>
  </si>
  <si>
    <t xml:space="preserve">UG-13B-S02-A080 (FS, closure)</t>
  </si>
  <si>
    <t xml:space="preserve">UG-13B-S01-A090</t>
  </si>
  <si>
    <t xml:space="preserve">UG-13B-S01-A100</t>
  </si>
  <si>
    <t xml:space="preserve">UG-14E-S01-A080 (FS, shared trench laid)</t>
  </si>
  <si>
    <t xml:space="preserve">UG-13B-S01-A110</t>
  </si>
  <si>
    <t xml:space="preserve">UG-14E-S01-A010</t>
  </si>
  <si>
    <t xml:space="preserve">AW.PIPE.F3.UG-14E.UG-14E-S01</t>
  </si>
  <si>
    <t xml:space="preserve">UG-14E-S01-A020</t>
  </si>
  <si>
    <t xml:space="preserve">UG-14E-S01-A030</t>
  </si>
  <si>
    <t xml:space="preserve">UG-14E-S01-A040</t>
  </si>
  <si>
    <t xml:space="preserve">UG-14E-S01-A050</t>
  </si>
  <si>
    <t xml:space="preserve">UG-14E-S01-A060</t>
  </si>
  <si>
    <t xml:space="preserve">UG-09-S08-A100 (FS, deeper first); UG-13B-S01-A060 (SS, shared trench)</t>
  </si>
  <si>
    <t xml:space="preserve">UG-14E-S01-A070</t>
  </si>
  <si>
    <t xml:space="preserve">UG-14E-S01-A080</t>
  </si>
  <si>
    <t xml:space="preserve">UG-14E-S01-A090</t>
  </si>
  <si>
    <t xml:space="preserve">UG-14E-S01-A100</t>
  </si>
  <si>
    <t xml:space="preserve">UG-13B-S01-A080 (FS, shared trench laid)</t>
  </si>
  <si>
    <t xml:space="preserve">UG-14E-S01-A110</t>
  </si>
  <si>
    <t xml:space="preserve">UG-11B-S08-A010</t>
  </si>
  <si>
    <t xml:space="preserve">AW.PIPE.F3.UG-11B.UG-11B-S08</t>
  </si>
  <si>
    <t xml:space="preserve">UG-11B-S08-A020</t>
  </si>
  <si>
    <t xml:space="preserve">FS from A010; UG-11B-S07-A030 (SS, tie-in team follows the adjacent run)</t>
  </si>
  <si>
    <t xml:space="preserve">UG-11B-S08-A030</t>
  </si>
  <si>
    <t xml:space="preserve">UG-11B-S08-A040</t>
  </si>
  <si>
    <t xml:space="preserve">UG-11B-S08-A050</t>
  </si>
  <si>
    <t xml:space="preserve">UG-11B-S08-A060</t>
  </si>
  <si>
    <t xml:space="preserve">UG-11B-S08-A070</t>
  </si>
  <si>
    <t xml:space="preserve">UG-11B-S08-A080</t>
  </si>
  <si>
    <t xml:space="preserve">UG-11B-S07-A080 (FS, closure)</t>
  </si>
  <si>
    <t xml:space="preserve">UG-11B-S08-A090</t>
  </si>
  <si>
    <t xml:space="preserve">UG-11B-S08-A100</t>
  </si>
  <si>
    <t xml:space="preserve">UG-16B-S01-A080 (FS, shared trench laid)</t>
  </si>
  <si>
    <t xml:space="preserve">UG-11B-S08-A110</t>
  </si>
  <si>
    <t xml:space="preserve">UG-16B-S01-A010</t>
  </si>
  <si>
    <t xml:space="preserve">AW.PIPE.F3.UG-16B.UG-16B-S01</t>
  </si>
  <si>
    <t xml:space="preserve">UG-16B-S01-A020</t>
  </si>
  <si>
    <t xml:space="preserve">UG-16B-S01-A030</t>
  </si>
  <si>
    <t xml:space="preserve">UG-16B-S01-A040</t>
  </si>
  <si>
    <t xml:space="preserve">UG-16B-S01-A050</t>
  </si>
  <si>
    <t xml:space="preserve">UG-16B-S01-A060</t>
  </si>
  <si>
    <t xml:space="preserve">UG-10-S05-A100 (FS, deeper first); UG-11B-S08-A060 (SS, shared trench)</t>
  </si>
  <si>
    <t xml:space="preserve">UG-16B-S01-A070</t>
  </si>
  <si>
    <t xml:space="preserve">UG-16B-S01-A080</t>
  </si>
  <si>
    <t xml:space="preserve">UG-16B-S01-A090</t>
  </si>
  <si>
    <t xml:space="preserve">UG-16B-S01-A100</t>
  </si>
  <si>
    <t xml:space="preserve">UG-11B-S08-A080 (FS, shared trench laid)</t>
  </si>
  <si>
    <t xml:space="preserve">UG-16B-S01-A110</t>
  </si>
  <si>
    <t xml:space="preserve">UG-14F-S01-A010</t>
  </si>
  <si>
    <t xml:space="preserve">AW.PIPE.F3.UG-14F.UG-14F-S01</t>
  </si>
  <si>
    <t xml:space="preserve">UG-14F-S01-A020</t>
  </si>
  <si>
    <t xml:space="preserve">UG-14F-S01-A030</t>
  </si>
  <si>
    <t xml:space="preserve">UG-14F-S01-A040</t>
  </si>
  <si>
    <t xml:space="preserve">UG-14F-S01-A050</t>
  </si>
  <si>
    <t xml:space="preserve">UG-14F-S01-A060</t>
  </si>
  <si>
    <t xml:space="preserve">UG-09-S08-A100 (FS, deeper first); UG-13B-S09-A100 (FS, deeper first); UG-13B-S10-A100 (FS, deeper first)</t>
  </si>
  <si>
    <t xml:space="preserve">UG-14F-S01-A070</t>
  </si>
  <si>
    <t xml:space="preserve">UG-14F-S01-A080</t>
  </si>
  <si>
    <t xml:space="preserve">UG-14F-S01-A090</t>
  </si>
  <si>
    <t xml:space="preserve">UG-14F-S01-A100</t>
  </si>
  <si>
    <t xml:space="preserve">UG-14F-S01-A110</t>
  </si>
  <si>
    <t xml:space="preserve">UG-27J-S02-A010</t>
  </si>
  <si>
    <t xml:space="preserve">AW.PIPE.F3.UG-27J.UG-27J-S02</t>
  </si>
  <si>
    <t xml:space="preserve">UG-27J-S02-A020</t>
  </si>
  <si>
    <t xml:space="preserve">UG-27J-S02-A030</t>
  </si>
  <si>
    <t xml:space="preserve">UG-27J-S02-A040</t>
  </si>
  <si>
    <t xml:space="preserve">UG-27J-S02-A050</t>
  </si>
  <si>
    <t xml:space="preserve">UG-27J-S02-A060</t>
  </si>
  <si>
    <t xml:space="preserve">UG-13A-S15-A100 (FS, deeper first)</t>
  </si>
  <si>
    <t xml:space="preserve">UG-27J-S02-A070</t>
  </si>
  <si>
    <t xml:space="preserve">UG-27J-S02-A080</t>
  </si>
  <si>
    <t xml:space="preserve">UG-27J-S02-A090</t>
  </si>
  <si>
    <t xml:space="preserve">UG-27J-S02-A100</t>
  </si>
  <si>
    <t xml:space="preserve">UG-27J-S02-A110</t>
  </si>
  <si>
    <t xml:space="preserve">UG-27J-S01-A010</t>
  </si>
  <si>
    <t xml:space="preserve">AW.PIPE.F3.UG-27J.UG-27J-S01</t>
  </si>
  <si>
    <t xml:space="preserve">UG-27J-S01-A020</t>
  </si>
  <si>
    <t xml:space="preserve">UG-27J-S01-A030</t>
  </si>
  <si>
    <t xml:space="preserve">UG-27J-S01-A040</t>
  </si>
  <si>
    <t xml:space="preserve">UG-27J-S01-A050</t>
  </si>
  <si>
    <t xml:space="preserve">UG-27J-S01-A060</t>
  </si>
  <si>
    <t xml:space="preserve">UG-13A-S06-A100 (FS, deeper first); UG-13A-S07-A100 (FS, deeper first)</t>
  </si>
  <si>
    <t xml:space="preserve">UG-27J-S01-A070</t>
  </si>
  <si>
    <t xml:space="preserve">UG-27J-S01-A080</t>
  </si>
  <si>
    <t xml:space="preserve">UG-27J-S01-A090</t>
  </si>
  <si>
    <t xml:space="preserve">UG-27J-S01-A100</t>
  </si>
  <si>
    <t xml:space="preserve">UG-27J-S01-A110</t>
  </si>
  <si>
    <t xml:space="preserve">UG-27L-S01-A010</t>
  </si>
  <si>
    <t xml:space="preserve">AW.PIPE.F3.UG-27L.UG-27L-S01</t>
  </si>
  <si>
    <t xml:space="preserve">UG-27L-S01-A020</t>
  </si>
  <si>
    <t xml:space="preserve">UG-27L-S01-A030</t>
  </si>
  <si>
    <t xml:space="preserve">UG-27L-S01-A040</t>
  </si>
  <si>
    <t xml:space="preserve">UG-27L-S01-A050</t>
  </si>
  <si>
    <t xml:space="preserve">UG-27L-S01-A060</t>
  </si>
  <si>
    <t xml:space="preserve">UG-08-S07-A100 (FS, deeper first); UG-13A-S01-A100 (FS, deeper first); UG-13A-S02-A100 (FS, deeper first)</t>
  </si>
  <si>
    <t xml:space="preserve">UG-27L-S01-A070</t>
  </si>
  <si>
    <t xml:space="preserve">UG-27L-S01-A080</t>
  </si>
  <si>
    <t xml:space="preserve">UG-27L-S01-A090</t>
  </si>
  <si>
    <t xml:space="preserve">UG-27L-S01-A100</t>
  </si>
  <si>
    <t xml:space="preserve">UG-27L-S01-A110</t>
  </si>
  <si>
    <t xml:space="preserve">UG-15-S05-A010</t>
  </si>
  <si>
    <t xml:space="preserve">AW.PIPE.F4.UG-15.UG-15-S05</t>
  </si>
  <si>
    <t xml:space="preserve">UG-15-S05-A020</t>
  </si>
  <si>
    <t xml:space="preserve">UG-15-S05-A030</t>
  </si>
  <si>
    <t xml:space="preserve">UG-15-S05-A040</t>
  </si>
  <si>
    <t xml:space="preserve">UG-15-S05-A050</t>
  </si>
  <si>
    <t xml:space="preserve">UG-15-S05-A060</t>
  </si>
  <si>
    <t xml:space="preserve">UG-15-S05-A070</t>
  </si>
  <si>
    <t xml:space="preserve">UG-15-S05-A080</t>
  </si>
  <si>
    <t xml:space="preserve">UG-15-S05-A090</t>
  </si>
  <si>
    <t xml:space="preserve">UG-15-S05-A100</t>
  </si>
  <si>
    <t xml:space="preserve">UG-15A-S02-A080 (FS, shared trench laid)</t>
  </si>
  <si>
    <t xml:space="preserve">UG-15-S05-A110</t>
  </si>
  <si>
    <t xml:space="preserve">UG-15-S04-A010</t>
  </si>
  <si>
    <t xml:space="preserve">AW.PIPE.F4.UG-15.UG-15-S04</t>
  </si>
  <si>
    <t xml:space="preserve">UG-15-S04-A020</t>
  </si>
  <si>
    <t xml:space="preserve">FS from A010; UG-15-S05-A030 (SS, set-out one package ahead of piling)</t>
  </si>
  <si>
    <t xml:space="preserve">UG-15-S04-A030</t>
  </si>
  <si>
    <t xml:space="preserve">UG-15-S04-A040</t>
  </si>
  <si>
    <t xml:space="preserve">UG-15-S04-A050</t>
  </si>
  <si>
    <t xml:space="preserve">UG-15-S05-A060 (FS, negative lag = own duration: drawdown complete when the excavation crew is free)</t>
  </si>
  <si>
    <t xml:space="preserve">UG-15-S04-A060</t>
  </si>
  <si>
    <t xml:space="preserve">UG-15-S04-A070</t>
  </si>
  <si>
    <t xml:space="preserve">UG-15-S04-A080</t>
  </si>
  <si>
    <t xml:space="preserve">UG-15-S04-A090</t>
  </si>
  <si>
    <t xml:space="preserve">UG-15-S04-A100</t>
  </si>
  <si>
    <t xml:space="preserve">UG-15-S04-A110</t>
  </si>
  <si>
    <t xml:space="preserve">UG-15A-S02-A010</t>
  </si>
  <si>
    <t xml:space="preserve">AW.PIPE.F4.UG-15A.UG-15A-S02</t>
  </si>
  <si>
    <t xml:space="preserve">UG-15A-S02-A020</t>
  </si>
  <si>
    <t xml:space="preserve">FS from A010; UG-15-S04-A030 (SS, set-out one package ahead of piling)</t>
  </si>
  <si>
    <t xml:space="preserve">UG-15A-S02-A030</t>
  </si>
  <si>
    <t xml:space="preserve">UG-15A-S02-A040</t>
  </si>
  <si>
    <t xml:space="preserve">UG-15A-S02-A050</t>
  </si>
  <si>
    <t xml:space="preserve">UG-15-S04-A060 (FS, negative lag = own duration: drawdown complete when the excavation crew is free)</t>
  </si>
  <si>
    <t xml:space="preserve">UG-15A-S02-A060</t>
  </si>
  <si>
    <t xml:space="preserve">UG-15-S04-A060 (SS, shared trench); UG-15-S05-A060 (SS, shared trench)</t>
  </si>
  <si>
    <t xml:space="preserve">UG-15A-S02-A070</t>
  </si>
  <si>
    <t xml:space="preserve">UG-15A-S02-A080</t>
  </si>
  <si>
    <t xml:space="preserve">UG-15A-S02-A090</t>
  </si>
  <si>
    <t xml:space="preserve">UG-15A-S02-A100</t>
  </si>
  <si>
    <t xml:space="preserve">UG-15-S04-A080 (FS, shared trench laid); UG-15-S05-A080 (FS, shared trench laid)</t>
  </si>
  <si>
    <t xml:space="preserve">UG-15A-S02-A110</t>
  </si>
  <si>
    <t xml:space="preserve">UG-15-S06-A010</t>
  </si>
  <si>
    <t xml:space="preserve">AW.PIPE.F4.UG-15.UG-15-S06</t>
  </si>
  <si>
    <t xml:space="preserve">UG-15-S06-A020</t>
  </si>
  <si>
    <t xml:space="preserve">FS from A010; UG-15-S05-A030 (SS, tie-in team follows the adjacent run)</t>
  </si>
  <si>
    <t xml:space="preserve">UG-15-S06-A030</t>
  </si>
  <si>
    <t xml:space="preserve">UG-15-S06-A040</t>
  </si>
  <si>
    <t xml:space="preserve">UG-15-S06-A050</t>
  </si>
  <si>
    <t xml:space="preserve">UG-15-S06-A060</t>
  </si>
  <si>
    <t xml:space="preserve">UG-15-S06-A070</t>
  </si>
  <si>
    <t xml:space="preserve">UG-15-S06-A080</t>
  </si>
  <si>
    <t xml:space="preserve">UG-15-S05-A080 (FS, closure)</t>
  </si>
  <si>
    <t xml:space="preserve">UG-15-S06-A090</t>
  </si>
  <si>
    <t xml:space="preserve">UG-15-S06-A100</t>
  </si>
  <si>
    <t xml:space="preserve">UG-15-S06-A110</t>
  </si>
  <si>
    <t xml:space="preserve">UG-15-S03-A010</t>
  </si>
  <si>
    <t xml:space="preserve">AW.PIPE.F4.UG-15.UG-15-S03</t>
  </si>
  <si>
    <t xml:space="preserve">UG-15-S03-A020</t>
  </si>
  <si>
    <t xml:space="preserve">FS from A010; UG-15A-S02-A030 (SS, set-out one package ahead of piling)</t>
  </si>
  <si>
    <t xml:space="preserve">UG-15-S03-A030</t>
  </si>
  <si>
    <t xml:space="preserve">UG-15-S03-A040</t>
  </si>
  <si>
    <t xml:space="preserve">UG-15-S03-A050</t>
  </si>
  <si>
    <t xml:space="preserve">UG-15A-S02-A060 (FS, negative lag = own duration: drawdown complete when the excavation crew is free)</t>
  </si>
  <si>
    <t xml:space="preserve">UG-15-S03-A060</t>
  </si>
  <si>
    <t xml:space="preserve">UG-15-S03-A070</t>
  </si>
  <si>
    <t xml:space="preserve">UG-15-S03-A080</t>
  </si>
  <si>
    <t xml:space="preserve">UG-15-S03-A090</t>
  </si>
  <si>
    <t xml:space="preserve">UG-15-S03-A100</t>
  </si>
  <si>
    <t xml:space="preserve">UG-15-S03-A110</t>
  </si>
  <si>
    <t xml:space="preserve">UG-15-S02-A010</t>
  </si>
  <si>
    <t xml:space="preserve">AW.PIPE.F4.UG-15.UG-15-S02</t>
  </si>
  <si>
    <t xml:space="preserve">UG-15-S02-A020</t>
  </si>
  <si>
    <t xml:space="preserve">FS from A010; UG-15-S03-A030 (SS, set-out one package ahead of piling)</t>
  </si>
  <si>
    <t xml:space="preserve">UG-15-S02-A030</t>
  </si>
  <si>
    <t xml:space="preserve">UG-15-S02-A040</t>
  </si>
  <si>
    <t xml:space="preserve">UG-15-S02-A050</t>
  </si>
  <si>
    <t xml:space="preserve">UG-15-S03-A060 (FS, negative lag = own duration: drawdown complete when the excavation crew is free)</t>
  </si>
  <si>
    <t xml:space="preserve">UG-15-S02-A060</t>
  </si>
  <si>
    <t xml:space="preserve">UG-15-S02-A070</t>
  </si>
  <si>
    <t xml:space="preserve">UG-15-S02-A080</t>
  </si>
  <si>
    <t xml:space="preserve">UG-15-S02-A090</t>
  </si>
  <si>
    <t xml:space="preserve">UG-15-S02-A100</t>
  </si>
  <si>
    <t xml:space="preserve">UG-15-S02-A110</t>
  </si>
  <si>
    <t xml:space="preserve">UG-07-S02-A010</t>
  </si>
  <si>
    <t xml:space="preserve">AW.PIPE.F4.UG-07.UG-07-S02</t>
  </si>
  <si>
    <t xml:space="preserve">UG-07-S02-A020</t>
  </si>
  <si>
    <t xml:space="preserve">FS from A010; UG-15-S02-A030 (SS, set-out one package ahead of piling)</t>
  </si>
  <si>
    <t xml:space="preserve">UG-07-S02-A030</t>
  </si>
  <si>
    <t xml:space="preserve">UG-07-S02-A040</t>
  </si>
  <si>
    <t xml:space="preserve">UG-07-S02-A050</t>
  </si>
  <si>
    <t xml:space="preserve">UG-15-S02-A060 (FS, negative lag = own duration: drawdown complete when the excavation crew is free)</t>
  </si>
  <si>
    <t xml:space="preserve">UG-07-S02-A060</t>
  </si>
  <si>
    <t xml:space="preserve">UG-12-S05-A100 (FS, deeper first); UG-12-S06-A100 (FS, deeper first)</t>
  </si>
  <si>
    <t xml:space="preserve">UG-07-S02-A070</t>
  </si>
  <si>
    <t xml:space="preserve">UG-07-S02-A080</t>
  </si>
  <si>
    <t xml:space="preserve">UG-07-S02-A090</t>
  </si>
  <si>
    <t xml:space="preserve">UG-07-S02-A100</t>
  </si>
  <si>
    <t xml:space="preserve">UG-07A-S09-A080 (FS, shared trench laid); UG-07A-S12-A080 (FS, shared trench laid)</t>
  </si>
  <si>
    <t xml:space="preserve">UG-07-S02-A110</t>
  </si>
  <si>
    <t xml:space="preserve">UG-07A-S12-A010</t>
  </si>
  <si>
    <t xml:space="preserve">AW.PIPE.F4.UG-07A.UG-07A-S12</t>
  </si>
  <si>
    <t xml:space="preserve">UG-07A-S12-A020</t>
  </si>
  <si>
    <t xml:space="preserve">FS from A010; UG-07-S02-A030 (SS, set-out one package ahead of piling)</t>
  </si>
  <si>
    <t xml:space="preserve">UG-07A-S12-A030</t>
  </si>
  <si>
    <t xml:space="preserve">UG-07A-S12-A040</t>
  </si>
  <si>
    <t xml:space="preserve">UG-07A-S12-A050</t>
  </si>
  <si>
    <t xml:space="preserve">UG-07-S02-A060 (FS, negative lag = own duration: drawdown complete when the excavation crew is free)</t>
  </si>
  <si>
    <t xml:space="preserve">UG-07A-S12-A060</t>
  </si>
  <si>
    <t xml:space="preserve">UG-12-S04-A100 (FS, deeper first); UG-12-S05-A100 (FS, deeper first); UG-12-S06-A100 (FS, deeper first); UG-07-S02-A060 (SS, shared trench)</t>
  </si>
  <si>
    <t xml:space="preserve">UG-07A-S12-A070</t>
  </si>
  <si>
    <t xml:space="preserve">UG-07A-S12-A080</t>
  </si>
  <si>
    <t xml:space="preserve">UG-07A-S12-A090</t>
  </si>
  <si>
    <t xml:space="preserve">UG-07A-S12-A100</t>
  </si>
  <si>
    <t xml:space="preserve">UG-07-S01-A080 (FS, shared trench laid); UG-07-S02-A080 (FS, shared trench laid)</t>
  </si>
  <si>
    <t xml:space="preserve">UG-07A-S12-A110</t>
  </si>
  <si>
    <t xml:space="preserve">UG-07-S01-A010</t>
  </si>
  <si>
    <t xml:space="preserve">AW.PIPE.F4.UG-07.UG-07-S01</t>
  </si>
  <si>
    <t xml:space="preserve">UG-07-S01-A020</t>
  </si>
  <si>
    <t xml:space="preserve">FS from A010; UG-07A-S12-A030 (SS, set-out one package ahead of piling)</t>
  </si>
  <si>
    <t xml:space="preserve">UG-07-S01-A030</t>
  </si>
  <si>
    <t xml:space="preserve">UG-07-S01-A040</t>
  </si>
  <si>
    <t xml:space="preserve">UG-07-S01-A050</t>
  </si>
  <si>
    <t xml:space="preserve">UG-07A-S12-A060 (FS, negative lag = own duration: drawdown complete when the excavation crew is free)</t>
  </si>
  <si>
    <t xml:space="preserve">UG-07-S01-A060</t>
  </si>
  <si>
    <t xml:space="preserve">UG-12-S06-A100 (FS, deeper first); UG-07A-S12-A060 (SS, shared trench)</t>
  </si>
  <si>
    <t xml:space="preserve">UG-07-S01-A070</t>
  </si>
  <si>
    <t xml:space="preserve">UG-07-S01-A080</t>
  </si>
  <si>
    <t xml:space="preserve">UG-07-S01-A090</t>
  </si>
  <si>
    <t xml:space="preserve">UG-07-S01-A100</t>
  </si>
  <si>
    <t xml:space="preserve">UG-07A-S05-A080 (FS, shared trench laid); UG-07A-S09-A080 (FS, shared trench laid); UG-07A-S12-A080 (FS, shared trench laid)</t>
  </si>
  <si>
    <t xml:space="preserve">UG-07-S01-A110</t>
  </si>
  <si>
    <t xml:space="preserve">UG-07A-S09-A010</t>
  </si>
  <si>
    <t xml:space="preserve">AW.PIPE.F4.UG-07A.UG-07A-S09</t>
  </si>
  <si>
    <t xml:space="preserve">UG-07A-S09-A020</t>
  </si>
  <si>
    <t xml:space="preserve">FS from A010; UG-07-S01-A030 (SS, set-out one package ahead of piling)</t>
  </si>
  <si>
    <t xml:space="preserve">UG-07A-S09-A030</t>
  </si>
  <si>
    <t xml:space="preserve">UG-07A-S09-A040</t>
  </si>
  <si>
    <t xml:space="preserve">UG-07A-S09-A050</t>
  </si>
  <si>
    <t xml:space="preserve">UG-07-S01-A060 (FS, negative lag = own duration: drawdown complete when the excavation crew is free)</t>
  </si>
  <si>
    <t xml:space="preserve">UG-07A-S09-A060</t>
  </si>
  <si>
    <t xml:space="preserve">UG-07-S01-A060 (SS, shared trench); UG-07-S02-A060 (SS, shared trench)</t>
  </si>
  <si>
    <t xml:space="preserve">UG-07A-S09-A070</t>
  </si>
  <si>
    <t xml:space="preserve">UG-07A-S09-A080</t>
  </si>
  <si>
    <t xml:space="preserve">UG-07A-S09-A090</t>
  </si>
  <si>
    <t xml:space="preserve">UG-07A-S09-A100</t>
  </si>
  <si>
    <t xml:space="preserve">UG-07A-S09-A110</t>
  </si>
  <si>
    <t xml:space="preserve">UG-07A-S05-A010</t>
  </si>
  <si>
    <t xml:space="preserve">AW.PIPE.F4.UG-07A.UG-07A-S05</t>
  </si>
  <si>
    <t xml:space="preserve">UG-07A-S05-A020</t>
  </si>
  <si>
    <t xml:space="preserve">FS from A010; UG-07A-S09-A030 (SS, set-out one package ahead of piling)</t>
  </si>
  <si>
    <t xml:space="preserve">UG-07A-S05-A030</t>
  </si>
  <si>
    <t xml:space="preserve">UG-07A-S05-A040</t>
  </si>
  <si>
    <t xml:space="preserve">UG-07A-S05-A050</t>
  </si>
  <si>
    <t xml:space="preserve">UG-07A-S09-A060 (FS, negative lag = own duration: drawdown complete when the excavation crew is free)</t>
  </si>
  <si>
    <t xml:space="preserve">UG-07A-S05-A060</t>
  </si>
  <si>
    <t xml:space="preserve">UG-07-S01-A060 (SS, shared trench)</t>
  </si>
  <si>
    <t xml:space="preserve">UG-07A-S05-A070</t>
  </si>
  <si>
    <t xml:space="preserve">UG-07A-S05-A080</t>
  </si>
  <si>
    <t xml:space="preserve">UG-07A-S05-A090</t>
  </si>
  <si>
    <t xml:space="preserve">UG-07A-S05-A100</t>
  </si>
  <si>
    <t xml:space="preserve">UG-07-S01-A080 (FS, shared trench laid)</t>
  </si>
  <si>
    <t xml:space="preserve">UG-07A-S05-A110</t>
  </si>
  <si>
    <t xml:space="preserve">UG-15A-S01-A010</t>
  </si>
  <si>
    <t xml:space="preserve">AW.PIPE.F4.UG-15A.UG-15A-S01</t>
  </si>
  <si>
    <t xml:space="preserve">UG-15A-S01-A020</t>
  </si>
  <si>
    <t xml:space="preserve">FS from A010; UG-15A-S02-A030 (SS, tie-in team follows the adjacent run)</t>
  </si>
  <si>
    <t xml:space="preserve">UG-15A-S01-A030</t>
  </si>
  <si>
    <t xml:space="preserve">UG-15A-S01-A040</t>
  </si>
  <si>
    <t xml:space="preserve">UG-15A-S01-A050</t>
  </si>
  <si>
    <t xml:space="preserve">UG-15A-S01-A060</t>
  </si>
  <si>
    <t xml:space="preserve">UG-15A-S01-A070</t>
  </si>
  <si>
    <t xml:space="preserve">UG-15A-S01-A080</t>
  </si>
  <si>
    <t xml:space="preserve">UG-15A-S02-A080 (FS, closure)</t>
  </si>
  <si>
    <t xml:space="preserve">UG-15A-S01-A090</t>
  </si>
  <si>
    <t xml:space="preserve">UG-15A-S01-A100</t>
  </si>
  <si>
    <t xml:space="preserve">UG-15A-S01-A110</t>
  </si>
  <si>
    <t xml:space="preserve">UG-15A-S03-A010</t>
  </si>
  <si>
    <t xml:space="preserve">AW.PIPE.F4.UG-15A.UG-15A-S03</t>
  </si>
  <si>
    <t xml:space="preserve">UG-15A-S03-A020</t>
  </si>
  <si>
    <t xml:space="preserve">FS from A010; UG-15A-S04-A030 (SS, tie-in team follows the adjacent run)</t>
  </si>
  <si>
    <t xml:space="preserve">UG-15A-S03-A030</t>
  </si>
  <si>
    <t xml:space="preserve">UG-15A-S03-A040</t>
  </si>
  <si>
    <t xml:space="preserve">UG-15A-S03-A050</t>
  </si>
  <si>
    <t xml:space="preserve">UG-15A-S03-A060</t>
  </si>
  <si>
    <t xml:space="preserve">UG-11B-S05-A100 (FS, deeper first); UG-11B-S06-A100 (FS, deeper first); UG-17-S03-A100 (FS, deeper first); UG-17-S04-A100 (FS, deeper first)</t>
  </si>
  <si>
    <t xml:space="preserve">UG-15A-S03-A070</t>
  </si>
  <si>
    <t xml:space="preserve">UG-15A-S03-A080</t>
  </si>
  <si>
    <t xml:space="preserve">UG-15A-S04-A080 (FS, closure)</t>
  </si>
  <si>
    <t xml:space="preserve">UG-15A-S03-A090</t>
  </si>
  <si>
    <t xml:space="preserve">UG-15A-S03-A100</t>
  </si>
  <si>
    <t xml:space="preserve">UG-15A-S03-A110</t>
  </si>
  <si>
    <t xml:space="preserve">UG-15A-S07-A010</t>
  </si>
  <si>
    <t xml:space="preserve">AW.PIPE.F4.UG-15A.UG-15A-S07</t>
  </si>
  <si>
    <t xml:space="preserve">UG-15A-S07-A020</t>
  </si>
  <si>
    <t xml:space="preserve">FS from A010; UG-15A-S08-A030 (SS, tie-in team follows the adjacent run)</t>
  </si>
  <si>
    <t xml:space="preserve">UG-15A-S07-A030</t>
  </si>
  <si>
    <t xml:space="preserve">UG-15A-S07-A040</t>
  </si>
  <si>
    <t xml:space="preserve">UG-15A-S07-A050</t>
  </si>
  <si>
    <t xml:space="preserve">UG-15A-S07-A060</t>
  </si>
  <si>
    <t xml:space="preserve">UG-15A-S07-A070</t>
  </si>
  <si>
    <t xml:space="preserve">UG-15A-S07-A080</t>
  </si>
  <si>
    <t xml:space="preserve">UG-15A-S08-A080 (FS, closure)</t>
  </si>
  <si>
    <t xml:space="preserve">UG-15A-S07-A090</t>
  </si>
  <si>
    <t xml:space="preserve">UG-15A-S07-A100</t>
  </si>
  <si>
    <t xml:space="preserve">UG-15A-S07-A110</t>
  </si>
  <si>
    <t xml:space="preserve">UG-07A-S03-A010</t>
  </si>
  <si>
    <t xml:space="preserve">AW.PIPE.F4.UG-07A.UG-07A-S03</t>
  </si>
  <si>
    <t xml:space="preserve">UG-07A-S03-A020</t>
  </si>
  <si>
    <t xml:space="preserve">FS from A010; UG-07A-S05-A030 (SS, set-out one package ahead of piling)</t>
  </si>
  <si>
    <t xml:space="preserve">UG-07A-S03-A030</t>
  </si>
  <si>
    <t xml:space="preserve">UG-07A-S03-A040</t>
  </si>
  <si>
    <t xml:space="preserve">UG-07A-S03-A050</t>
  </si>
  <si>
    <t xml:space="preserve">UG-07A-S05-A060 (FS, negative lag = own duration: drawdown complete when the excavation crew is free)</t>
  </si>
  <si>
    <t xml:space="preserve">UG-07A-S03-A060</t>
  </si>
  <si>
    <t xml:space="preserve">UG-07A-S03-A070</t>
  </si>
  <si>
    <t xml:space="preserve">UG-07A-S03-A080</t>
  </si>
  <si>
    <t xml:space="preserve">UG-07A-S03-A090</t>
  </si>
  <si>
    <t xml:space="preserve">UG-07A-S03-A100</t>
  </si>
  <si>
    <t xml:space="preserve">UG-07A-S03-A110</t>
  </si>
  <si>
    <t xml:space="preserve">UG-07A-S02-A010</t>
  </si>
  <si>
    <t xml:space="preserve">AW.PIPE.F4.UG-07A.UG-07A-S02</t>
  </si>
  <si>
    <t xml:space="preserve">UG-07A-S02-A020</t>
  </si>
  <si>
    <t xml:space="preserve">FS from A010; UG-07A-S03-A030 (SS, set-out one package ahead of piling)</t>
  </si>
  <si>
    <t xml:space="preserve">UG-07A-S02-A030</t>
  </si>
  <si>
    <t xml:space="preserve">UG-07A-S02-A040</t>
  </si>
  <si>
    <t xml:space="preserve">UG-07A-S02-A050</t>
  </si>
  <si>
    <t xml:space="preserve">UG-07A-S03-A060 (FS, negative lag = own duration: drawdown complete when the excavation crew is free)</t>
  </si>
  <si>
    <t xml:space="preserve">UG-07A-S02-A060</t>
  </si>
  <si>
    <t xml:space="preserve">UG-07A-S02-A070</t>
  </si>
  <si>
    <t xml:space="preserve">UG-07A-S02-A080</t>
  </si>
  <si>
    <t xml:space="preserve">UG-07A-S02-A090</t>
  </si>
  <si>
    <t xml:space="preserve">UG-07A-S02-A100</t>
  </si>
  <si>
    <t xml:space="preserve">UG-07A-S02-A110</t>
  </si>
  <si>
    <t xml:space="preserve">UG-07A-S01-A010</t>
  </si>
  <si>
    <t xml:space="preserve">AW.PIPE.F4.UG-07A.UG-07A-S01</t>
  </si>
  <si>
    <t xml:space="preserve">UG-07A-S01-A020</t>
  </si>
  <si>
    <t xml:space="preserve">FS from A010; UG-07A-S02-A030 (SS, tie-in team follows the adjacent run)</t>
  </si>
  <si>
    <t xml:space="preserve">UG-07A-S01-A030</t>
  </si>
  <si>
    <t xml:space="preserve">UG-07A-S01-A040</t>
  </si>
  <si>
    <t xml:space="preserve">UG-07A-S01-A050</t>
  </si>
  <si>
    <t xml:space="preserve">UG-07A-S01-A060</t>
  </si>
  <si>
    <t xml:space="preserve">UG-07A-S01-A070</t>
  </si>
  <si>
    <t xml:space="preserve">UG-07A-S01-A080</t>
  </si>
  <si>
    <t xml:space="preserve">UG-07A-S02-A080 (FS, closure)</t>
  </si>
  <si>
    <t xml:space="preserve">UG-07A-S01-A090</t>
  </si>
  <si>
    <t xml:space="preserve">UG-07A-S01-A100</t>
  </si>
  <si>
    <t xml:space="preserve">UG-07A-S01-A110</t>
  </si>
  <si>
    <t xml:space="preserve">UG-07A-S07-A010</t>
  </si>
  <si>
    <t xml:space="preserve">AW.PIPE.F4.UG-07A.UG-07A-S07</t>
  </si>
  <si>
    <t xml:space="preserve">UG-07A-S07-A020</t>
  </si>
  <si>
    <t xml:space="preserve">FS from A010; UG-07A-S02-A030 (SS, set-out one package ahead of piling)</t>
  </si>
  <si>
    <t xml:space="preserve">UG-07A-S07-A030</t>
  </si>
  <si>
    <t xml:space="preserve">UG-07A-S07-A040</t>
  </si>
  <si>
    <t xml:space="preserve">UG-07A-S07-A050</t>
  </si>
  <si>
    <t xml:space="preserve">UG-07A-S02-A060 (FS, negative lag = own duration: drawdown complete when the excavation crew is free)</t>
  </si>
  <si>
    <t xml:space="preserve">UG-07A-S07-A060</t>
  </si>
  <si>
    <t xml:space="preserve">UG-07A-S07-A070</t>
  </si>
  <si>
    <t xml:space="preserve">UG-07A-S07-A080</t>
  </si>
  <si>
    <t xml:space="preserve">UG-07A-S07-A090</t>
  </si>
  <si>
    <t xml:space="preserve">UG-07A-S07-A100</t>
  </si>
  <si>
    <t xml:space="preserve">UG-07A-S07-A110</t>
  </si>
  <si>
    <t xml:space="preserve">UG-07A-S08-A010</t>
  </si>
  <si>
    <t xml:space="preserve">AW.PIPE.F4.UG-07A.UG-07A-S08</t>
  </si>
  <si>
    <t xml:space="preserve">UG-07A-S08-A020</t>
  </si>
  <si>
    <t xml:space="preserve">FS from A010; UG-07A-S09-A030 (SS, tie-in team follows the adjacent run)</t>
  </si>
  <si>
    <t xml:space="preserve">UG-07A-S08-A030</t>
  </si>
  <si>
    <t xml:space="preserve">UG-07A-S08-A040</t>
  </si>
  <si>
    <t xml:space="preserve">UG-07A-S08-A050</t>
  </si>
  <si>
    <t xml:space="preserve">UG-07A-S08-A060</t>
  </si>
  <si>
    <t xml:space="preserve">UG-07A-S08-A070</t>
  </si>
  <si>
    <t xml:space="preserve">UG-07A-S08-A080</t>
  </si>
  <si>
    <t xml:space="preserve">UG-07A-S09-A080 (FS, closure)</t>
  </si>
  <si>
    <t xml:space="preserve">UG-07A-S08-A090</t>
  </si>
  <si>
    <t xml:space="preserve">UG-07A-S08-A100</t>
  </si>
  <si>
    <t xml:space="preserve">UG-07A-S08-A110</t>
  </si>
  <si>
    <t xml:space="preserve">UG-07A-S10-A010</t>
  </si>
  <si>
    <t xml:space="preserve">AW.PIPE.F4.UG-07A.UG-07A-S10</t>
  </si>
  <si>
    <t xml:space="preserve">UG-07A-S10-A020</t>
  </si>
  <si>
    <t xml:space="preserve">FS from A010; UG-07A-S11-A030 (SS, tie-in team follows the adjacent run)</t>
  </si>
  <si>
    <t xml:space="preserve">UG-07A-S10-A030</t>
  </si>
  <si>
    <t xml:space="preserve">UG-07A-S10-A040</t>
  </si>
  <si>
    <t xml:space="preserve">UG-07A-S10-A050</t>
  </si>
  <si>
    <t xml:space="preserve">UG-07A-S10-A060</t>
  </si>
  <si>
    <t xml:space="preserve">UG-12-S04-A100 (FS, deeper first); UG-13B-S06-A100 (FS, deeper first); UG-13B-S07-A100 (FS, deeper first)</t>
  </si>
  <si>
    <t xml:space="preserve">UG-07A-S10-A070</t>
  </si>
  <si>
    <t xml:space="preserve">UG-07A-S10-A080</t>
  </si>
  <si>
    <t xml:space="preserve">UG-07A-S11-A080 (FS, closure)</t>
  </si>
  <si>
    <t xml:space="preserve">UG-07A-S10-A090</t>
  </si>
  <si>
    <t xml:space="preserve">UG-07A-S10-A100</t>
  </si>
  <si>
    <t xml:space="preserve">UG-07A-S10-A110</t>
  </si>
  <si>
    <t xml:space="preserve">UG-07A-S06-A010</t>
  </si>
  <si>
    <t xml:space="preserve">AW.PIPE.F4.UG-07A.UG-07A-S06</t>
  </si>
  <si>
    <t xml:space="preserve">UG-07A-S06-A020</t>
  </si>
  <si>
    <t xml:space="preserve">FS from A010; UG-07A-S07-A030 (SS, tie-in team follows the adjacent run)</t>
  </si>
  <si>
    <t xml:space="preserve">UG-07A-S06-A030</t>
  </si>
  <si>
    <t xml:space="preserve">UG-07A-S06-A040</t>
  </si>
  <si>
    <t xml:space="preserve">UG-07A-S06-A050</t>
  </si>
  <si>
    <t xml:space="preserve">UG-07A-S06-A060</t>
  </si>
  <si>
    <t xml:space="preserve">UG-11A-S02-A100 (FS, deeper first)</t>
  </si>
  <si>
    <t xml:space="preserve">UG-07A-S06-A070</t>
  </si>
  <si>
    <t xml:space="preserve">UG-07A-S06-A080</t>
  </si>
  <si>
    <t xml:space="preserve">UG-07A-S07-A080 (FS, closure)</t>
  </si>
  <si>
    <t xml:space="preserve">UG-07A-S06-A090</t>
  </si>
  <si>
    <t xml:space="preserve">UG-07A-S06-A100</t>
  </si>
  <si>
    <t xml:space="preserve">UG-07A-S06-A110</t>
  </si>
  <si>
    <t xml:space="preserve">UG-07A-S04-A010</t>
  </si>
  <si>
    <t xml:space="preserve">AW.PIPE.F4.UG-07A.UG-07A-S04</t>
  </si>
  <si>
    <t xml:space="preserve">UG-07A-S04-A020</t>
  </si>
  <si>
    <t xml:space="preserve">FS from A010; UG-07A-S07-A030 (SS, set-out one package ahead of piling)</t>
  </si>
  <si>
    <t xml:space="preserve">UG-07A-S04-A030</t>
  </si>
  <si>
    <t xml:space="preserve">UG-07A-S04-A040</t>
  </si>
  <si>
    <t xml:space="preserve">UG-07A-S04-A050</t>
  </si>
  <si>
    <t xml:space="preserve">UG-07A-S07-A060 (FS, negative lag = own duration: drawdown complete when the excavation crew is free)</t>
  </si>
  <si>
    <t xml:space="preserve">UG-07A-S04-A060</t>
  </si>
  <si>
    <t xml:space="preserve">UG-11A-S03-A100 (FS, deeper first); UG-11A-S04-A100 (FS, deeper first); UG-11A-S05-A100 (FS, deeper first); UG-11A-S07-A100 (FS, deeper first)</t>
  </si>
  <si>
    <t xml:space="preserve">UG-07A-S04-A070</t>
  </si>
  <si>
    <t xml:space="preserve">UG-07A-S04-A080</t>
  </si>
  <si>
    <t xml:space="preserve">UG-07A-S04-A090</t>
  </si>
  <si>
    <t xml:space="preserve">UG-07A-S04-A100</t>
  </si>
  <si>
    <t xml:space="preserve">UG-07A-S04-A110</t>
  </si>
  <si>
    <t xml:space="preserve">UG-12-S07-A010</t>
  </si>
  <si>
    <t xml:space="preserve">AW.PIPE.F5.UG-12.UG-12-S07</t>
  </si>
  <si>
    <t xml:space="preserve">UG-12-S07-A020</t>
  </si>
  <si>
    <t xml:space="preserve">UG-12-S07-A030</t>
  </si>
  <si>
    <t xml:space="preserve">UG-12-S07-A040</t>
  </si>
  <si>
    <t xml:space="preserve">UG-12-S07-A050</t>
  </si>
  <si>
    <t xml:space="preserve">UG-12-S07-A060</t>
  </si>
  <si>
    <t xml:space="preserve">UG-11-S06-A100 (FS, deeper first)</t>
  </si>
  <si>
    <t xml:space="preserve">UG-12-S07-A070</t>
  </si>
  <si>
    <t xml:space="preserve">UG-12-S07-A080</t>
  </si>
  <si>
    <t xml:space="preserve">UG-12-S07-A090</t>
  </si>
  <si>
    <t xml:space="preserve">UG-12-S07-A100</t>
  </si>
  <si>
    <t xml:space="preserve">UG-07-S03-A080 (FS, shared trench laid); UG-07-S04-A080 (FS, shared trench laid); UG-11-S01-A080 (FS, shared trench laid)</t>
  </si>
  <si>
    <t xml:space="preserve">UG-12-S07-A110</t>
  </si>
  <si>
    <t xml:space="preserve">UG-12-S08-A010</t>
  </si>
  <si>
    <t xml:space="preserve">AW.PIPE.F5.UG-12.UG-12-S08</t>
  </si>
  <si>
    <t xml:space="preserve">UG-12-S08-A020</t>
  </si>
  <si>
    <t xml:space="preserve">FS from A010; UG-12-S07-A030 (SS, tie-in team follows the adjacent run)</t>
  </si>
  <si>
    <t xml:space="preserve">UG-12-S08-A030</t>
  </si>
  <si>
    <t xml:space="preserve">UG-12-S08-A040</t>
  </si>
  <si>
    <t xml:space="preserve">UG-12-S08-A050</t>
  </si>
  <si>
    <t xml:space="preserve">UG-12-S08-A060</t>
  </si>
  <si>
    <t xml:space="preserve">UG-12-S08-A070</t>
  </si>
  <si>
    <t xml:space="preserve">UG-12-S08-A080</t>
  </si>
  <si>
    <t xml:space="preserve">UG-12-S07-A080 (FS, closure)</t>
  </si>
  <si>
    <t xml:space="preserve">UG-12-S08-A090</t>
  </si>
  <si>
    <t xml:space="preserve">UG-12-S08-A100</t>
  </si>
  <si>
    <t xml:space="preserve">UG-12-S08-A110</t>
  </si>
  <si>
    <t xml:space="preserve">UG-11B-S14-A010</t>
  </si>
  <si>
    <t xml:space="preserve">AW.PIPE.F5.UG-11B.UG-11B-S14</t>
  </si>
  <si>
    <t xml:space="preserve">UG-11B-S14-A020</t>
  </si>
  <si>
    <t xml:space="preserve">FS from A010; UG-12-S07-A030 (SS, set-out one package ahead of piling)</t>
  </si>
  <si>
    <t xml:space="preserve">UG-11B-S14-A030</t>
  </si>
  <si>
    <t xml:space="preserve">UG-11B-S14-A040</t>
  </si>
  <si>
    <t xml:space="preserve">UG-11B-S14-A050</t>
  </si>
  <si>
    <t xml:space="preserve">UG-12-S07-A060 (FS, negative lag = own duration: drawdown complete when the excavation crew is free)</t>
  </si>
  <si>
    <t xml:space="preserve">UG-11B-S14-A060</t>
  </si>
  <si>
    <t xml:space="preserve">UG-11B-S14-A070</t>
  </si>
  <si>
    <t xml:space="preserve">UG-11B-S14-A080</t>
  </si>
  <si>
    <t xml:space="preserve">UG-11B-S14-A090</t>
  </si>
  <si>
    <t xml:space="preserve">UG-11B-S14-A100</t>
  </si>
  <si>
    <t xml:space="preserve">UG-11-S01-A080 (FS, shared trench laid)</t>
  </si>
  <si>
    <t xml:space="preserve">UG-11B-S14-A110</t>
  </si>
  <si>
    <t xml:space="preserve">UG-12-S06-A010</t>
  </si>
  <si>
    <t xml:space="preserve">AW.PIPE.F5.UG-12.UG-12-S06</t>
  </si>
  <si>
    <t xml:space="preserve">UG-12-S06-A020</t>
  </si>
  <si>
    <t xml:space="preserve">FS from A010; UG-11B-S14-A030 (SS, set-out one package ahead of piling)</t>
  </si>
  <si>
    <t xml:space="preserve">UG-12-S06-A030</t>
  </si>
  <si>
    <t xml:space="preserve">UG-12-S06-A040</t>
  </si>
  <si>
    <t xml:space="preserve">UG-12-S06-A050</t>
  </si>
  <si>
    <t xml:space="preserve">UG-11B-S14-A060 (FS, negative lag = own duration: drawdown complete when the excavation crew is free)</t>
  </si>
  <si>
    <t xml:space="preserve">UG-12-S06-A060</t>
  </si>
  <si>
    <t xml:space="preserve">UG-12-S06-A070</t>
  </si>
  <si>
    <t xml:space="preserve">UG-12-S06-A080</t>
  </si>
  <si>
    <t xml:space="preserve">UG-12-S06-A090</t>
  </si>
  <si>
    <t xml:space="preserve">UG-12-S06-A100</t>
  </si>
  <si>
    <t xml:space="preserve">UG-07-S03-A080 (FS, shared trench laid)</t>
  </si>
  <si>
    <t xml:space="preserve">UG-12-S06-A110</t>
  </si>
  <si>
    <t xml:space="preserve">UG-07-S03-A010</t>
  </si>
  <si>
    <t xml:space="preserve">AW.PIPE.F5.UG-07.UG-07-S03</t>
  </si>
  <si>
    <t xml:space="preserve">UG-07-S03-A020</t>
  </si>
  <si>
    <t xml:space="preserve">FS from A010; UG-12-S06-A030 (SS, set-out one package ahead of piling)</t>
  </si>
  <si>
    <t xml:space="preserve">UG-07-S03-A030</t>
  </si>
  <si>
    <t xml:space="preserve">UG-07-S03-A040</t>
  </si>
  <si>
    <t xml:space="preserve">UG-07-S03-A050</t>
  </si>
  <si>
    <t xml:space="preserve">UG-12-S06-A060 (FS, negative lag = own duration: drawdown complete when the excavation crew is free)</t>
  </si>
  <si>
    <t xml:space="preserve">UG-07-S03-A060</t>
  </si>
  <si>
    <t xml:space="preserve">UG-11-S06-A100 (FS, deeper first); UG-12-S06-A060 (SS, shared trench); UG-12-S07-A060 (SS, shared trench); UG-12-S08-A060 (SS, shared trench)</t>
  </si>
  <si>
    <t xml:space="preserve">UG-07-S03-A070</t>
  </si>
  <si>
    <t xml:space="preserve">UG-07-S03-A080</t>
  </si>
  <si>
    <t xml:space="preserve">UG-07-S03-A090</t>
  </si>
  <si>
    <t xml:space="preserve">UG-07-S03-A100</t>
  </si>
  <si>
    <t xml:space="preserve">UG-11-S01-A080 (FS, shared trench laid); UG-12-S06-A080 (FS, shared trench laid); UG-12-S07-A080 (FS, shared trench laid); UG-12-S08-A080 (FS, shared trench laid)</t>
  </si>
  <si>
    <t xml:space="preserve">UG-07-S03-A110</t>
  </si>
  <si>
    <t xml:space="preserve">UG-07-S04-A010</t>
  </si>
  <si>
    <t xml:space="preserve">AW.PIPE.F5.UG-07.UG-07-S04</t>
  </si>
  <si>
    <t xml:space="preserve">UG-07-S04-A020</t>
  </si>
  <si>
    <t xml:space="preserve">FS from A010; UG-07-S03-A030 (SS, tie-in team follows the adjacent run)</t>
  </si>
  <si>
    <t xml:space="preserve">UG-07-S04-A030</t>
  </si>
  <si>
    <t xml:space="preserve">UG-07-S04-A040</t>
  </si>
  <si>
    <t xml:space="preserve">UG-07-S04-A050</t>
  </si>
  <si>
    <t xml:space="preserve">UG-07-S04-A060</t>
  </si>
  <si>
    <t xml:space="preserve">UG-11-S06-A100 (FS, deeper first); UG-12-S07-A060 (SS, shared trench); UG-12-S08-A060 (SS, shared trench)</t>
  </si>
  <si>
    <t xml:space="preserve">UG-07-S04-A070</t>
  </si>
  <si>
    <t xml:space="preserve">UG-07-S04-A080</t>
  </si>
  <si>
    <t xml:space="preserve">UG-07-S03-A080 (FS, closure)</t>
  </si>
  <si>
    <t xml:space="preserve">UG-07-S04-A090</t>
  </si>
  <si>
    <t xml:space="preserve">UG-07-S04-A100</t>
  </si>
  <si>
    <t xml:space="preserve">UG-11-S01-A080 (FS, shared trench laid); UG-12-S07-A080 (FS, shared trench laid); UG-12-S08-A080 (FS, shared trench laid)</t>
  </si>
  <si>
    <t xml:space="preserve">UG-07-S04-A110</t>
  </si>
  <si>
    <t xml:space="preserve">UG-11-S01-A010</t>
  </si>
  <si>
    <t xml:space="preserve">AW.PIPE.F5.UG-11.UG-11-S01</t>
  </si>
  <si>
    <t xml:space="preserve">UG-11-S01-A020</t>
  </si>
  <si>
    <t xml:space="preserve">FS from A010; UG-07-S03-A030 (SS, set-out one package ahead of piling)</t>
  </si>
  <si>
    <t xml:space="preserve">UG-11-S01-A030</t>
  </si>
  <si>
    <t xml:space="preserve">UG-11-S01-A040</t>
  </si>
  <si>
    <t xml:space="preserve">UG-11-S01-A050</t>
  </si>
  <si>
    <t xml:space="preserve">UG-07-S03-A060 (FS, negative lag = own duration: drawdown complete when the excavation crew is free)</t>
  </si>
  <si>
    <t xml:space="preserve">UG-11-S01-A060</t>
  </si>
  <si>
    <t xml:space="preserve">UG-07-S03-A060 (SS, shared trench); UG-07-S04-A060 (SS, shared trench); UG-11B-S14-A060 (SS, shared trench); UG-12-S07-A060 (SS, shared trench); UG-12-S08-A060 (SS, shared trench)</t>
  </si>
  <si>
    <t xml:space="preserve">UG-11-S01-A070</t>
  </si>
  <si>
    <t xml:space="preserve">UG-11-S01-A080</t>
  </si>
  <si>
    <t xml:space="preserve">UG-11-S01-A090</t>
  </si>
  <si>
    <t xml:space="preserve">UG-11-S01-A100</t>
  </si>
  <si>
    <t xml:space="preserve">UG-07-S03-A080 (FS, shared trench laid); UG-07-S04-A080 (FS, shared trench laid); UG-11B-S14-A080 (FS, shared trench laid); UG-12-S07-A080 (FS, shared trench laid); UG-12-S08-A080 (FS, shared trench laid)</t>
  </si>
  <si>
    <t xml:space="preserve">UG-11-S01-A110</t>
  </si>
  <si>
    <t xml:space="preserve">UG-12-S05-A010</t>
  </si>
  <si>
    <t xml:space="preserve">AW.PIPE.F5.UG-12.UG-12-S05</t>
  </si>
  <si>
    <t xml:space="preserve">UG-12-S05-A020</t>
  </si>
  <si>
    <t xml:space="preserve">FS from A010; UG-11-S01-A030 (SS, set-out one package ahead of piling)</t>
  </si>
  <si>
    <t xml:space="preserve">UG-12-S05-A030</t>
  </si>
  <si>
    <t xml:space="preserve">UG-12-S05-A040</t>
  </si>
  <si>
    <t xml:space="preserve">UG-12-S05-A050</t>
  </si>
  <si>
    <t xml:space="preserve">UG-11-S01-A060 (FS, negative lag = own duration: drawdown complete when the excavation crew is free)</t>
  </si>
  <si>
    <t xml:space="preserve">UG-12-S05-A060</t>
  </si>
  <si>
    <t xml:space="preserve">UG-12-S05-A070</t>
  </si>
  <si>
    <t xml:space="preserve">UG-12-S05-A080</t>
  </si>
  <si>
    <t xml:space="preserve">UG-12-S05-A090</t>
  </si>
  <si>
    <t xml:space="preserve">UG-12-S05-A100</t>
  </si>
  <si>
    <t xml:space="preserve">UG-12-S05-A110</t>
  </si>
  <si>
    <t xml:space="preserve">UG-12-S02-A010</t>
  </si>
  <si>
    <t xml:space="preserve">AW.PIPE.F5.UG-12.UG-12-S02</t>
  </si>
  <si>
    <t xml:space="preserve">UG-12-S02-A020</t>
  </si>
  <si>
    <t xml:space="preserve">FS from A010; UG-12-S05-A030 (SS, set-out one package ahead of piling)</t>
  </si>
  <si>
    <t xml:space="preserve">UG-12-S02-A030</t>
  </si>
  <si>
    <t xml:space="preserve">UG-12-S02-A040</t>
  </si>
  <si>
    <t xml:space="preserve">UG-12-S02-A050</t>
  </si>
  <si>
    <t xml:space="preserve">UG-12-S05-A060 (FS, negative lag = own duration: drawdown complete when the excavation crew is free)</t>
  </si>
  <si>
    <t xml:space="preserve">UG-12-S02-A060</t>
  </si>
  <si>
    <t xml:space="preserve">UG-13-S02-A100 (FS, deeper first); UG-13-S03-A100 (FS, deeper first)</t>
  </si>
  <si>
    <t xml:space="preserve">UG-12-S02-A070</t>
  </si>
  <si>
    <t xml:space="preserve">UG-12-S02-A080</t>
  </si>
  <si>
    <t xml:space="preserve">UG-12-S02-A090</t>
  </si>
  <si>
    <t xml:space="preserve">UG-12-S02-A100</t>
  </si>
  <si>
    <t xml:space="preserve">UG-12A-S12-A080 (FS, shared trench laid)</t>
  </si>
  <si>
    <t xml:space="preserve">UG-12-S02-A110</t>
  </si>
  <si>
    <t xml:space="preserve">UG-12-S01-A010</t>
  </si>
  <si>
    <t xml:space="preserve">AW.PIPE.F5.UG-12.UG-12-S01</t>
  </si>
  <si>
    <t xml:space="preserve">UG-12-S01-A020</t>
  </si>
  <si>
    <t xml:space="preserve">FS from A010; UG-12-S02-A030 (SS, set-out one package ahead of piling)</t>
  </si>
  <si>
    <t xml:space="preserve">UG-12-S01-A030</t>
  </si>
  <si>
    <t xml:space="preserve">UG-12-S01-A040</t>
  </si>
  <si>
    <t xml:space="preserve">UG-12-S01-A050</t>
  </si>
  <si>
    <t xml:space="preserve">UG-12-S02-A060 (FS, negative lag = own duration: drawdown complete when the excavation crew is free)</t>
  </si>
  <si>
    <t xml:space="preserve">UG-12-S01-A060</t>
  </si>
  <si>
    <t xml:space="preserve">UG-12-S01-A070</t>
  </si>
  <si>
    <t xml:space="preserve">UG-12-S01-A080</t>
  </si>
  <si>
    <t xml:space="preserve">UG-12-S01-A090</t>
  </si>
  <si>
    <t xml:space="preserve">UG-12-S01-A100</t>
  </si>
  <si>
    <t xml:space="preserve">UG-12A-S06-A080 (FS, shared trench laid); UG-12A-S10-A080 (FS, shared trench laid); UG-12A-S12-A080 (FS, shared trench laid)</t>
  </si>
  <si>
    <t xml:space="preserve">UG-12-S01-A110</t>
  </si>
  <si>
    <t xml:space="preserve">UG-12A-S12-A010</t>
  </si>
  <si>
    <t xml:space="preserve">AW.PIPE.F5.UG-12A.UG-12A-S12</t>
  </si>
  <si>
    <t xml:space="preserve">UG-12A-S12-A020</t>
  </si>
  <si>
    <t xml:space="preserve">FS from A010; UG-12-S01-A030 (SS, set-out one package ahead of piling)</t>
  </si>
  <si>
    <t xml:space="preserve">UG-12A-S12-A030</t>
  </si>
  <si>
    <t xml:space="preserve">UG-12A-S12-A040</t>
  </si>
  <si>
    <t xml:space="preserve">UG-12A-S12-A050</t>
  </si>
  <si>
    <t xml:space="preserve">UG-12-S01-A060 (FS, negative lag = own duration: drawdown complete when the excavation crew is free)</t>
  </si>
  <si>
    <t xml:space="preserve">UG-12A-S12-A060</t>
  </si>
  <si>
    <t xml:space="preserve">UG-13-S03-A100 (FS, deeper first); UG-12-S01-A060 (SS, shared trench); UG-12-S02-A060 (SS, shared trench)</t>
  </si>
  <si>
    <t xml:space="preserve">UG-12A-S12-A070</t>
  </si>
  <si>
    <t xml:space="preserve">UG-12A-S12-A080</t>
  </si>
  <si>
    <t xml:space="preserve">UG-12A-S12-A090</t>
  </si>
  <si>
    <t xml:space="preserve">UG-12A-S12-A100</t>
  </si>
  <si>
    <t xml:space="preserve">UG-12-S01-A080 (FS, shared trench laid); UG-12-S02-A080 (FS, shared trench laid)</t>
  </si>
  <si>
    <t xml:space="preserve">UG-12A-S12-A110</t>
  </si>
  <si>
    <t xml:space="preserve">UG-12A-S10-A010</t>
  </si>
  <si>
    <t xml:space="preserve">AW.PIPE.F5.UG-12A.UG-12A-S10</t>
  </si>
  <si>
    <t xml:space="preserve">UG-12A-S10-A020</t>
  </si>
  <si>
    <t xml:space="preserve">FS from A010; UG-12A-S12-A030 (SS, set-out one package ahead of piling)</t>
  </si>
  <si>
    <t xml:space="preserve">UG-12A-S10-A030</t>
  </si>
  <si>
    <t xml:space="preserve">UG-12A-S10-A040</t>
  </si>
  <si>
    <t xml:space="preserve">UG-12A-S10-A050</t>
  </si>
  <si>
    <t xml:space="preserve">UG-12A-S12-A060 (FS, negative lag = own duration: drawdown complete when the excavation crew is free)</t>
  </si>
  <si>
    <t xml:space="preserve">UG-12A-S10-A060</t>
  </si>
  <si>
    <t xml:space="preserve">UG-12-S01-A060 (SS, shared trench)</t>
  </si>
  <si>
    <t xml:space="preserve">UG-12A-S10-A070</t>
  </si>
  <si>
    <t xml:space="preserve">UG-12A-S10-A080</t>
  </si>
  <si>
    <t xml:space="preserve">UG-12A-S10-A090</t>
  </si>
  <si>
    <t xml:space="preserve">UG-12A-S10-A100</t>
  </si>
  <si>
    <t xml:space="preserve">UG-12-S01-A080 (FS, shared trench laid)</t>
  </si>
  <si>
    <t xml:space="preserve">UG-12A-S10-A110</t>
  </si>
  <si>
    <t xml:space="preserve">UG-12A-S06-A010</t>
  </si>
  <si>
    <t xml:space="preserve">AW.PIPE.F5.UG-12A.UG-12A-S06</t>
  </si>
  <si>
    <t xml:space="preserve">UG-12A-S06-A020</t>
  </si>
  <si>
    <t xml:space="preserve">FS from A010; UG-12A-S10-A030 (SS, set-out one package ahead of piling)</t>
  </si>
  <si>
    <t xml:space="preserve">UG-12A-S06-A030</t>
  </si>
  <si>
    <t xml:space="preserve">UG-12A-S06-A040</t>
  </si>
  <si>
    <t xml:space="preserve">UG-12A-S06-A050</t>
  </si>
  <si>
    <t xml:space="preserve">UG-12A-S10-A060 (FS, negative lag = own duration: drawdown complete when the excavation crew is free)</t>
  </si>
  <si>
    <t xml:space="preserve">UG-12A-S06-A060</t>
  </si>
  <si>
    <t xml:space="preserve">UG-12A-S06-A070</t>
  </si>
  <si>
    <t xml:space="preserve">UG-12A-S06-A080</t>
  </si>
  <si>
    <t xml:space="preserve">UG-12A-S06-A090</t>
  </si>
  <si>
    <t xml:space="preserve">UG-12A-S06-A100</t>
  </si>
  <si>
    <t xml:space="preserve">UG-12A-S06-A110</t>
  </si>
  <si>
    <t xml:space="preserve">UG-12A-S05-A010</t>
  </si>
  <si>
    <t xml:space="preserve">AW.PIPE.F5.UG-12A.UG-12A-S05</t>
  </si>
  <si>
    <t xml:space="preserve">UG-12A-S05-A020</t>
  </si>
  <si>
    <t xml:space="preserve">FS from A010; UG-12A-S06-A030 (SS, set-out one package ahead of piling)</t>
  </si>
  <si>
    <t xml:space="preserve">UG-12A-S05-A030</t>
  </si>
  <si>
    <t xml:space="preserve">UG-12A-S05-A040</t>
  </si>
  <si>
    <t xml:space="preserve">UG-12A-S05-A050</t>
  </si>
  <si>
    <t xml:space="preserve">UG-12A-S06-A060 (FS, negative lag = own duration: drawdown complete when the excavation crew is free)</t>
  </si>
  <si>
    <t xml:space="preserve">UG-12A-S05-A060</t>
  </si>
  <si>
    <t xml:space="preserve">UG-06-S03-A100 (FS, deeper first)</t>
  </si>
  <si>
    <t xml:space="preserve">UG-12A-S05-A070</t>
  </si>
  <si>
    <t xml:space="preserve">UG-12A-S05-A080</t>
  </si>
  <si>
    <t xml:space="preserve">UG-12A-S05-A090</t>
  </si>
  <si>
    <t xml:space="preserve">UG-12A-S05-A100</t>
  </si>
  <si>
    <t xml:space="preserve">UG-12A-S05-A110</t>
  </si>
  <si>
    <t xml:space="preserve">UG-12A-S04-A010</t>
  </si>
  <si>
    <t xml:space="preserve">AW.PIPE.F5.UG-12A.UG-12A-S04</t>
  </si>
  <si>
    <t xml:space="preserve">UG-12A-S04-A020</t>
  </si>
  <si>
    <t xml:space="preserve">FS from A010; UG-12A-S05-A030 (SS, set-out one package ahead of piling)</t>
  </si>
  <si>
    <t xml:space="preserve">UG-12A-S04-A030</t>
  </si>
  <si>
    <t xml:space="preserve">UG-12A-S04-A040</t>
  </si>
  <si>
    <t xml:space="preserve">UG-12A-S04-A050</t>
  </si>
  <si>
    <t xml:space="preserve">UG-12A-S05-A060 (FS, negative lag = own duration: drawdown complete when the excavation crew is free)</t>
  </si>
  <si>
    <t xml:space="preserve">UG-12A-S04-A060</t>
  </si>
  <si>
    <t xml:space="preserve">UG-05-S04-A100 (FS, deeper first); UG-06-S04-A100 (FS, deeper first)</t>
  </si>
  <si>
    <t xml:space="preserve">UG-12A-S04-A070</t>
  </si>
  <si>
    <t xml:space="preserve">UG-12A-S04-A080</t>
  </si>
  <si>
    <t xml:space="preserve">UG-12A-S04-A090</t>
  </si>
  <si>
    <t xml:space="preserve">UG-12A-S04-A100</t>
  </si>
  <si>
    <t xml:space="preserve">UG-12A-S04-A110</t>
  </si>
  <si>
    <t xml:space="preserve">UG-12A-S03-A010</t>
  </si>
  <si>
    <t xml:space="preserve">AW.PIPE.F5.UG-12A.UG-12A-S03</t>
  </si>
  <si>
    <t xml:space="preserve">UG-12A-S03-A020</t>
  </si>
  <si>
    <t xml:space="preserve">FS from A010; UG-12A-S04-A030 (SS, set-out one package ahead of piling)</t>
  </si>
  <si>
    <t xml:space="preserve">UG-12A-S03-A030</t>
  </si>
  <si>
    <t xml:space="preserve">UG-12A-S03-A040</t>
  </si>
  <si>
    <t xml:space="preserve">UG-12A-S03-A050</t>
  </si>
  <si>
    <t xml:space="preserve">UG-12A-S04-A060 (FS, negative lag = own duration: drawdown complete when the excavation crew is free)</t>
  </si>
  <si>
    <t xml:space="preserve">UG-12A-S03-A060</t>
  </si>
  <si>
    <t xml:space="preserve">UG-05-S04-A100 (FS, deeper first); UG-06-S04-A100 (FS, deeper first); UG-06-S05-A100 (FS, deeper first)</t>
  </si>
  <si>
    <t xml:space="preserve">UG-12A-S03-A070</t>
  </si>
  <si>
    <t xml:space="preserve">UG-12A-S03-A080</t>
  </si>
  <si>
    <t xml:space="preserve">UG-12A-S03-A090</t>
  </si>
  <si>
    <t xml:space="preserve">UG-12A-S03-A100</t>
  </si>
  <si>
    <t xml:space="preserve">UG-12A-S03-A110</t>
  </si>
  <si>
    <t xml:space="preserve">UG-12A-S02-A010</t>
  </si>
  <si>
    <t xml:space="preserve">AW.PIPE.F5.UG-12A.UG-12A-S02</t>
  </si>
  <si>
    <t xml:space="preserve">UG-12A-S02-A020</t>
  </si>
  <si>
    <t xml:space="preserve">FS from A010; UG-12A-S03-A030 (SS, set-out one package ahead of piling)</t>
  </si>
  <si>
    <t xml:space="preserve">UG-12A-S02-A030</t>
  </si>
  <si>
    <t xml:space="preserve">UG-12A-S02-A040</t>
  </si>
  <si>
    <t xml:space="preserve">UG-12A-S02-A050</t>
  </si>
  <si>
    <t xml:space="preserve">UG-12A-S03-A060 (FS, negative lag = own duration: drawdown complete when the excavation crew is free)</t>
  </si>
  <si>
    <t xml:space="preserve">UG-12A-S02-A060</t>
  </si>
  <si>
    <t xml:space="preserve">UG-12A-S02-A070</t>
  </si>
  <si>
    <t xml:space="preserve">UG-12A-S02-A080</t>
  </si>
  <si>
    <t xml:space="preserve">UG-12A-S02-A090</t>
  </si>
  <si>
    <t xml:space="preserve">UG-12A-S02-A100</t>
  </si>
  <si>
    <t xml:space="preserve">UG-12A-S02-A110</t>
  </si>
  <si>
    <t xml:space="preserve">UG-12A-S01-A010</t>
  </si>
  <si>
    <t xml:space="preserve">AW.PIPE.F5.UG-12A.UG-12A-S01</t>
  </si>
  <si>
    <t xml:space="preserve">UG-12A-S01-A020</t>
  </si>
  <si>
    <t xml:space="preserve">FS from A010; UG-12A-S02-A030 (SS, tie-in team follows the adjacent run)</t>
  </si>
  <si>
    <t xml:space="preserve">UG-12A-S01-A030</t>
  </si>
  <si>
    <t xml:space="preserve">UG-12A-S01-A040</t>
  </si>
  <si>
    <t xml:space="preserve">UG-12A-S01-A050</t>
  </si>
  <si>
    <t xml:space="preserve">UG-12A-S01-A060</t>
  </si>
  <si>
    <t xml:space="preserve">UG-12A-S01-A070</t>
  </si>
  <si>
    <t xml:space="preserve">UG-12A-S01-A080</t>
  </si>
  <si>
    <t xml:space="preserve">UG-12A-S02-A080 (FS, closure)</t>
  </si>
  <si>
    <t xml:space="preserve">UG-12A-S01-A090</t>
  </si>
  <si>
    <t xml:space="preserve">UG-12A-S01-A100</t>
  </si>
  <si>
    <t xml:space="preserve">UG-12A-S01-A110</t>
  </si>
  <si>
    <t xml:space="preserve">UG-12A-S08-A010</t>
  </si>
  <si>
    <t xml:space="preserve">AW.PIPE.F5.UG-12A.UG-12A-S08</t>
  </si>
  <si>
    <t xml:space="preserve">UG-12A-S08-A020</t>
  </si>
  <si>
    <t xml:space="preserve">FS from A010; UG-12A-S02-A030 (SS, set-out one package ahead of piling)</t>
  </si>
  <si>
    <t xml:space="preserve">UG-12A-S08-A030</t>
  </si>
  <si>
    <t xml:space="preserve">UG-12A-S08-A040</t>
  </si>
  <si>
    <t xml:space="preserve">UG-12A-S08-A050</t>
  </si>
  <si>
    <t xml:space="preserve">UG-12A-S02-A060 (FS, negative lag = own duration: drawdown complete when the excavation crew is free)</t>
  </si>
  <si>
    <t xml:space="preserve">UG-12A-S08-A060</t>
  </si>
  <si>
    <t xml:space="preserve">UG-12A-S08-A070</t>
  </si>
  <si>
    <t xml:space="preserve">UG-12A-S08-A080</t>
  </si>
  <si>
    <t xml:space="preserve">UG-12A-S08-A090</t>
  </si>
  <si>
    <t xml:space="preserve">UG-12A-S08-A100</t>
  </si>
  <si>
    <t xml:space="preserve">UG-12A-S08-A110</t>
  </si>
  <si>
    <t xml:space="preserve">UG-12A-S07-A010</t>
  </si>
  <si>
    <t xml:space="preserve">AW.PIPE.F5.UG-12A.UG-12A-S07</t>
  </si>
  <si>
    <t xml:space="preserve">UG-12A-S07-A020</t>
  </si>
  <si>
    <t xml:space="preserve">FS from A010; UG-12A-S08-A030 (SS, tie-in team follows the adjacent run)</t>
  </si>
  <si>
    <t xml:space="preserve">UG-12A-S07-A030</t>
  </si>
  <si>
    <t xml:space="preserve">UG-12A-S07-A040</t>
  </si>
  <si>
    <t xml:space="preserve">UG-12A-S07-A050</t>
  </si>
  <si>
    <t xml:space="preserve">UG-12A-S07-A060</t>
  </si>
  <si>
    <t xml:space="preserve">UG-06-S04-A100 (FS, deeper first)</t>
  </si>
  <si>
    <t xml:space="preserve">UG-12A-S07-A070</t>
  </si>
  <si>
    <t xml:space="preserve">UG-12A-S07-A080</t>
  </si>
  <si>
    <t xml:space="preserve">UG-12A-S08-A080 (FS, closure)</t>
  </si>
  <si>
    <t xml:space="preserve">UG-12A-S07-A090</t>
  </si>
  <si>
    <t xml:space="preserve">UG-12A-S07-A100</t>
  </si>
  <si>
    <t xml:space="preserve">UG-12A-S07-A110</t>
  </si>
  <si>
    <t xml:space="preserve">UG-12A-S09-A010</t>
  </si>
  <si>
    <t xml:space="preserve">AW.PIPE.F5.UG-12A.UG-12A-S09</t>
  </si>
  <si>
    <t xml:space="preserve">UG-12A-S09-A020</t>
  </si>
  <si>
    <t xml:space="preserve">FS from A010; UG-12A-S10-A030 (SS, tie-in team follows the adjacent run)</t>
  </si>
  <si>
    <t xml:space="preserve">UG-12A-S09-A030</t>
  </si>
  <si>
    <t xml:space="preserve">UG-12A-S09-A040</t>
  </si>
  <si>
    <t xml:space="preserve">UG-12A-S09-A050</t>
  </si>
  <si>
    <t xml:space="preserve">UG-12A-S09-A060</t>
  </si>
  <si>
    <t xml:space="preserve">UG-12A-S09-A070</t>
  </si>
  <si>
    <t xml:space="preserve">UG-12A-S09-A080</t>
  </si>
  <si>
    <t xml:space="preserve">UG-12A-S10-A080 (FS, closure)</t>
  </si>
  <si>
    <t xml:space="preserve">UG-12A-S09-A090</t>
  </si>
  <si>
    <t xml:space="preserve">UG-12A-S09-A100</t>
  </si>
  <si>
    <t xml:space="preserve">UG-12A-S09-A110</t>
  </si>
  <si>
    <t xml:space="preserve">UG-12A-S11-A010</t>
  </si>
  <si>
    <t xml:space="preserve">AW.PIPE.F5.UG-12A.UG-12A-S11</t>
  </si>
  <si>
    <t xml:space="preserve">UG-12A-S11-A020</t>
  </si>
  <si>
    <t xml:space="preserve">FS from A010; UG-12A-S12-A030 (SS, tie-in team follows the adjacent run)</t>
  </si>
  <si>
    <t xml:space="preserve">UG-12A-S11-A030</t>
  </si>
  <si>
    <t xml:space="preserve">UG-12A-S11-A040</t>
  </si>
  <si>
    <t xml:space="preserve">UG-12A-S11-A050</t>
  </si>
  <si>
    <t xml:space="preserve">UG-12A-S11-A060</t>
  </si>
  <si>
    <t xml:space="preserve">UG-13-S03-A100 (FS, deeper first)</t>
  </si>
  <si>
    <t xml:space="preserve">UG-12A-S11-A070</t>
  </si>
  <si>
    <t xml:space="preserve">UG-12A-S11-A080</t>
  </si>
  <si>
    <t xml:space="preserve">UG-12A-S12-A080 (FS, closure)</t>
  </si>
  <si>
    <t xml:space="preserve">UG-12A-S11-A090</t>
  </si>
  <si>
    <t xml:space="preserve">UG-12A-S11-A100</t>
  </si>
  <si>
    <t xml:space="preserve">UG-12A-S11-A110</t>
  </si>
  <si>
    <t xml:space="preserve">UG-11-S02-A010</t>
  </si>
  <si>
    <t xml:space="preserve">AW.PIPE.F6.UG-11.UG-11-S02</t>
  </si>
  <si>
    <t xml:space="preserve">UG-11-S02-A020</t>
  </si>
  <si>
    <t xml:space="preserve">UG-11-S02-A030</t>
  </si>
  <si>
    <t xml:space="preserve">UG-11-S02-A040</t>
  </si>
  <si>
    <t xml:space="preserve">UG-11-S02-A050</t>
  </si>
  <si>
    <t xml:space="preserve">UG-11-S02-A060</t>
  </si>
  <si>
    <t xml:space="preserve">UG-11-S02-A070</t>
  </si>
  <si>
    <t xml:space="preserve">UG-11-S02-A080</t>
  </si>
  <si>
    <t xml:space="preserve">UG-11-S02-A090</t>
  </si>
  <si>
    <t xml:space="preserve">UG-11-S02-A100</t>
  </si>
  <si>
    <t xml:space="preserve">UG-11A-S05-A080 (FS, shared trench laid)</t>
  </si>
  <si>
    <t xml:space="preserve">UG-11-S02-A110</t>
  </si>
  <si>
    <t xml:space="preserve">UG-11A-S05-A010</t>
  </si>
  <si>
    <t xml:space="preserve">AW.PIPE.F6.UG-11A.UG-11A-S05</t>
  </si>
  <si>
    <t xml:space="preserve">UG-11A-S05-A020</t>
  </si>
  <si>
    <t xml:space="preserve">FS from A010; UG-11-S02-A030 (SS, set-out one package ahead of piling)</t>
  </si>
  <si>
    <t xml:space="preserve">UG-11A-S05-A030</t>
  </si>
  <si>
    <t xml:space="preserve">UG-11A-S05-A040</t>
  </si>
  <si>
    <t xml:space="preserve">UG-11A-S05-A050</t>
  </si>
  <si>
    <t xml:space="preserve">UG-11-S02-A060 (FS, negative lag = own duration: drawdown complete when the excavation crew is free)</t>
  </si>
  <si>
    <t xml:space="preserve">UG-11A-S05-A060</t>
  </si>
  <si>
    <t xml:space="preserve">UG-11-S02-A060 (SS, shared trench)</t>
  </si>
  <si>
    <t xml:space="preserve">UG-11A-S05-A070</t>
  </si>
  <si>
    <t xml:space="preserve">UG-11A-S05-A080</t>
  </si>
  <si>
    <t xml:space="preserve">UG-11A-S05-A090</t>
  </si>
  <si>
    <t xml:space="preserve">UG-11A-S05-A100</t>
  </si>
  <si>
    <t xml:space="preserve">UG-11-S02-A080 (FS, shared trench laid)</t>
  </si>
  <si>
    <t xml:space="preserve">UG-11A-S05-A110</t>
  </si>
  <si>
    <t xml:space="preserve">UG-11-S06-A010</t>
  </si>
  <si>
    <t xml:space="preserve">AW.PIPE.F6.UG-11.UG-11-S06</t>
  </si>
  <si>
    <t xml:space="preserve">UG-11-S06-A020</t>
  </si>
  <si>
    <t xml:space="preserve">FS from A010; UG-11A-S05-A030 (SS, set-out one package ahead of piling)</t>
  </si>
  <si>
    <t xml:space="preserve">UG-11-S06-A030</t>
  </si>
  <si>
    <t xml:space="preserve">UG-11-S06-A040</t>
  </si>
  <si>
    <t xml:space="preserve">UG-11-S06-A050</t>
  </si>
  <si>
    <t xml:space="preserve">UG-11A-S05-A060 (FS, negative lag = own duration: drawdown complete when the excavation crew is free)</t>
  </si>
  <si>
    <t xml:space="preserve">UG-11-S06-A060</t>
  </si>
  <si>
    <t xml:space="preserve">UG-11-S06-A070</t>
  </si>
  <si>
    <t xml:space="preserve">UG-11-S06-A080</t>
  </si>
  <si>
    <t xml:space="preserve">UG-11-S06-A090</t>
  </si>
  <si>
    <t xml:space="preserve">UG-11-S06-A100</t>
  </si>
  <si>
    <t xml:space="preserve">UG-11-S06-A110</t>
  </si>
  <si>
    <t xml:space="preserve">UG-11-S05-A010</t>
  </si>
  <si>
    <t xml:space="preserve">AW.PIPE.F6.UG-11.UG-11-S05</t>
  </si>
  <si>
    <t xml:space="preserve">UG-11-S05-A020</t>
  </si>
  <si>
    <t xml:space="preserve">FS from A010; UG-11-S06-A030 (SS, set-out one package ahead of piling)</t>
  </si>
  <si>
    <t xml:space="preserve">UG-11-S05-A030</t>
  </si>
  <si>
    <t xml:space="preserve">UG-11-S05-A040</t>
  </si>
  <si>
    <t xml:space="preserve">UG-11-S05-A050</t>
  </si>
  <si>
    <t xml:space="preserve">UG-11-S06-A060 (FS, negative lag = own duration: drawdown complete when the excavation crew is free)</t>
  </si>
  <si>
    <t xml:space="preserve">UG-11-S05-A060</t>
  </si>
  <si>
    <t xml:space="preserve">UG-11-S05-A070</t>
  </si>
  <si>
    <t xml:space="preserve">UG-11-S05-A080</t>
  </si>
  <si>
    <t xml:space="preserve">UG-11-S05-A090</t>
  </si>
  <si>
    <t xml:space="preserve">UG-11-S05-A100</t>
  </si>
  <si>
    <t xml:space="preserve">UG-11-S05-A110</t>
  </si>
  <si>
    <t xml:space="preserve">UG-11-S04-A010</t>
  </si>
  <si>
    <t xml:space="preserve">AW.PIPE.F6.UG-11.UG-11-S04</t>
  </si>
  <si>
    <t xml:space="preserve">UG-11-S04-A020</t>
  </si>
  <si>
    <t xml:space="preserve">FS from A010; UG-11-S05-A030 (SS, set-out one package ahead of piling)</t>
  </si>
  <si>
    <t xml:space="preserve">UG-11-S04-A030</t>
  </si>
  <si>
    <t xml:space="preserve">UG-11-S04-A040</t>
  </si>
  <si>
    <t xml:space="preserve">UG-11-S04-A050</t>
  </si>
  <si>
    <t xml:space="preserve">UG-11-S05-A060 (FS, negative lag = own duration: drawdown complete when the excavation crew is free)</t>
  </si>
  <si>
    <t xml:space="preserve">UG-11-S04-A060</t>
  </si>
  <si>
    <t xml:space="preserve">UG-11-S04-A070</t>
  </si>
  <si>
    <t xml:space="preserve">UG-11-S04-A080</t>
  </si>
  <si>
    <t xml:space="preserve">UG-11-S04-A090</t>
  </si>
  <si>
    <t xml:space="preserve">UG-11-S04-A100</t>
  </si>
  <si>
    <t xml:space="preserve">UG-11-S04-A110</t>
  </si>
  <si>
    <t xml:space="preserve">UG-11-S03-A010</t>
  </si>
  <si>
    <t xml:space="preserve">AW.PIPE.F6.UG-11.UG-11-S03</t>
  </si>
  <si>
    <t xml:space="preserve">UG-11-S03-A020</t>
  </si>
  <si>
    <t xml:space="preserve">FS from A010; UG-11-S04-A030 (SS, set-out one package ahead of piling)</t>
  </si>
  <si>
    <t xml:space="preserve">UG-11-S03-A030</t>
  </si>
  <si>
    <t xml:space="preserve">UG-11-S03-A040</t>
  </si>
  <si>
    <t xml:space="preserve">UG-11-S03-A050</t>
  </si>
  <si>
    <t xml:space="preserve">UG-11-S04-A060 (FS, negative lag = own duration: drawdown complete when the excavation crew is free)</t>
  </si>
  <si>
    <t xml:space="preserve">UG-11-S03-A060</t>
  </si>
  <si>
    <t xml:space="preserve">UG-11-S03-A070</t>
  </si>
  <si>
    <t xml:space="preserve">UG-11-S03-A080</t>
  </si>
  <si>
    <t xml:space="preserve">UG-11-S03-A090</t>
  </si>
  <si>
    <t xml:space="preserve">UG-11-S03-A100</t>
  </si>
  <si>
    <t xml:space="preserve">UG-11-S03-A110</t>
  </si>
  <si>
    <t xml:space="preserve">UG-23-S09-A010</t>
  </si>
  <si>
    <t xml:space="preserve">AW.PIPE.F6.UG-23.UG-23-S09</t>
  </si>
  <si>
    <t xml:space="preserve">UG-23-S09-A020</t>
  </si>
  <si>
    <t xml:space="preserve">FS from A010; UG-11-S03-A030 (SS, set-out one package ahead of piling)</t>
  </si>
  <si>
    <t xml:space="preserve">UG-23-S09-A030</t>
  </si>
  <si>
    <t xml:space="preserve">UG-23-S09-A040</t>
  </si>
  <si>
    <t xml:space="preserve">UG-23-S09-A050</t>
  </si>
  <si>
    <t xml:space="preserve">UG-11-S03-A060 (FS, negative lag = own duration: drawdown complete when the excavation crew is free)</t>
  </si>
  <si>
    <t xml:space="preserve">UG-23-S09-A060</t>
  </si>
  <si>
    <t xml:space="preserve">UG-23-S09-A070</t>
  </si>
  <si>
    <t xml:space="preserve">UG-23-S09-A080</t>
  </si>
  <si>
    <t xml:space="preserve">UG-23-S09-A090</t>
  </si>
  <si>
    <t xml:space="preserve">UG-23-S09-A100</t>
  </si>
  <si>
    <t xml:space="preserve">UG-23-S09-A110</t>
  </si>
  <si>
    <t xml:space="preserve">UG-23-S10-A010</t>
  </si>
  <si>
    <t xml:space="preserve">AW.PIPE.F6.UG-23.UG-23-S10</t>
  </si>
  <si>
    <t xml:space="preserve">UG-23-S10-A020</t>
  </si>
  <si>
    <t xml:space="preserve">FS from A010; UG-23-S09-A030 (SS, tie-in team follows the adjacent run)</t>
  </si>
  <si>
    <t xml:space="preserve">UG-23-S10-A030</t>
  </si>
  <si>
    <t xml:space="preserve">UG-23-S10-A040</t>
  </si>
  <si>
    <t xml:space="preserve">UG-23-S10-A050</t>
  </si>
  <si>
    <t xml:space="preserve">UG-23-S10-A060</t>
  </si>
  <si>
    <t xml:space="preserve">UG-23-S10-A070</t>
  </si>
  <si>
    <t xml:space="preserve">UG-23-S10-A080</t>
  </si>
  <si>
    <t xml:space="preserve">UG-23-S09-A080 (FS, closure)</t>
  </si>
  <si>
    <t xml:space="preserve">UG-23-S10-A090</t>
  </si>
  <si>
    <t xml:space="preserve">UG-23-S10-A100</t>
  </si>
  <si>
    <t xml:space="preserve">UG-23-S10-A110</t>
  </si>
  <si>
    <t xml:space="preserve">UG-23-S08-A010</t>
  </si>
  <si>
    <t xml:space="preserve">AW.PIPE.F6.UG-23.UG-23-S08</t>
  </si>
  <si>
    <t xml:space="preserve">UG-23-S08-A020</t>
  </si>
  <si>
    <t xml:space="preserve">FS from A010; UG-23-S09-A030 (SS, set-out one package ahead of piling)</t>
  </si>
  <si>
    <t xml:space="preserve">UG-23-S08-A030</t>
  </si>
  <si>
    <t xml:space="preserve">UG-23-S08-A040</t>
  </si>
  <si>
    <t xml:space="preserve">UG-23-S08-A050</t>
  </si>
  <si>
    <t xml:space="preserve">UG-23-S09-A060 (FS, negative lag = own duration: drawdown complete when the excavation crew is free)</t>
  </si>
  <si>
    <t xml:space="preserve">UG-23-S08-A060</t>
  </si>
  <si>
    <t xml:space="preserve">UG-11-S01-A100 (FS, deeper first); UG-11-S02-A100 (FS, deeper first); UG-11B-S14-A100 (FS, deeper first)</t>
  </si>
  <si>
    <t xml:space="preserve">UG-23-S08-A070</t>
  </si>
  <si>
    <t xml:space="preserve">UG-23-S08-A080</t>
  </si>
  <si>
    <t xml:space="preserve">UG-23-S08-A090</t>
  </si>
  <si>
    <t xml:space="preserve">UG-23-S08-A100</t>
  </si>
  <si>
    <t xml:space="preserve">UG-23-S08-A110</t>
  </si>
  <si>
    <t xml:space="preserve">UG-23-S07-A010</t>
  </si>
  <si>
    <t xml:space="preserve">AW.PIPE.F6.UG-23.UG-23-S07</t>
  </si>
  <si>
    <t xml:space="preserve">UG-23-S07-A020</t>
  </si>
  <si>
    <t xml:space="preserve">FS from A010; UG-23-S08-A030 (SS, set-out one package ahead of piling)</t>
  </si>
  <si>
    <t xml:space="preserve">UG-23-S07-A030</t>
  </si>
  <si>
    <t xml:space="preserve">UG-23-S07-A040</t>
  </si>
  <si>
    <t xml:space="preserve">UG-23-S07-A050</t>
  </si>
  <si>
    <t xml:space="preserve">UG-23-S08-A060 (FS, negative lag = own duration: drawdown complete when the excavation crew is free)</t>
  </si>
  <si>
    <t xml:space="preserve">UG-23-S07-A060</t>
  </si>
  <si>
    <t xml:space="preserve">UG-07-S03-A100 (FS, deeper first); UG-11-S01-A100 (FS, deeper first); UG-11-S06-A100 (FS, deeper first); UG-12-S07-A100 (FS, deeper first)</t>
  </si>
  <si>
    <t xml:space="preserve">UG-23-S07-A070</t>
  </si>
  <si>
    <t xml:space="preserve">UG-23-S07-A080</t>
  </si>
  <si>
    <t xml:space="preserve">UG-23-S07-A090</t>
  </si>
  <si>
    <t xml:space="preserve">UG-23-S07-A100</t>
  </si>
  <si>
    <t xml:space="preserve">UG-23-S07-A110</t>
  </si>
  <si>
    <t xml:space="preserve">UG-23-S06-A010</t>
  </si>
  <si>
    <t xml:space="preserve">AW.PIPE.F6.UG-23.UG-23-S06</t>
  </si>
  <si>
    <t xml:space="preserve">UG-23-S06-A020</t>
  </si>
  <si>
    <t xml:space="preserve">FS from A010; UG-23-S07-A030 (SS, set-out one package ahead of piling)</t>
  </si>
  <si>
    <t xml:space="preserve">UG-23-S06-A030</t>
  </si>
  <si>
    <t xml:space="preserve">UG-23-S06-A040</t>
  </si>
  <si>
    <t xml:space="preserve">UG-23-S06-A050</t>
  </si>
  <si>
    <t xml:space="preserve">UG-23-S07-A060 (FS, negative lag = own duration: drawdown complete when the excavation crew is free)</t>
  </si>
  <si>
    <t xml:space="preserve">UG-23-S06-A060</t>
  </si>
  <si>
    <t xml:space="preserve">UG-07-S03-A100 (FS, deeper first); UG-11-S05-A100 (FS, deeper first); UG-11-S06-A100 (FS, deeper first); UG-12-S07-A100 (FS, deeper first)</t>
  </si>
  <si>
    <t xml:space="preserve">UG-23-S06-A070</t>
  </si>
  <si>
    <t xml:space="preserve">UG-23-S06-A080</t>
  </si>
  <si>
    <t xml:space="preserve">UG-23-S06-A090</t>
  </si>
  <si>
    <t xml:space="preserve">UG-23-S06-A100</t>
  </si>
  <si>
    <t xml:space="preserve">UG-23-S06-A110</t>
  </si>
  <si>
    <t xml:space="preserve">UG-23-S05-A010</t>
  </si>
  <si>
    <t xml:space="preserve">AW.PIPE.F6.UG-23.UG-23-S05</t>
  </si>
  <si>
    <t xml:space="preserve">UG-23-S05-A020</t>
  </si>
  <si>
    <t xml:space="preserve">FS from A010; UG-23-S06-A030 (SS, set-out one package ahead of piling)</t>
  </si>
  <si>
    <t xml:space="preserve">UG-23-S05-A030</t>
  </si>
  <si>
    <t xml:space="preserve">UG-23-S05-A040</t>
  </si>
  <si>
    <t xml:space="preserve">UG-23-S05-A050</t>
  </si>
  <si>
    <t xml:space="preserve">UG-23-S06-A060 (FS, negative lag = own duration: drawdown complete when the excavation crew is free)</t>
  </si>
  <si>
    <t xml:space="preserve">UG-23-S05-A060</t>
  </si>
  <si>
    <t xml:space="preserve">UG-23-S05-A070</t>
  </si>
  <si>
    <t xml:space="preserve">UG-23-S05-A080</t>
  </si>
  <si>
    <t xml:space="preserve">UG-23-S05-A090</t>
  </si>
  <si>
    <t xml:space="preserve">UG-23-S05-A100</t>
  </si>
  <si>
    <t xml:space="preserve">UG-23-S05-A110</t>
  </si>
  <si>
    <t xml:space="preserve">UG-23-S04-A010</t>
  </si>
  <si>
    <t xml:space="preserve">AW.PIPE.F6.UG-23.UG-23-S04</t>
  </si>
  <si>
    <t xml:space="preserve">UG-23-S04-A020</t>
  </si>
  <si>
    <t xml:space="preserve">FS from A010; UG-23-S05-A030 (SS, set-out one package ahead of piling)</t>
  </si>
  <si>
    <t xml:space="preserve">UG-23-S04-A030</t>
  </si>
  <si>
    <t xml:space="preserve">UG-23-S04-A040</t>
  </si>
  <si>
    <t xml:space="preserve">UG-23-S04-A050</t>
  </si>
  <si>
    <t xml:space="preserve">UG-23-S05-A060 (FS, negative lag = own duration: drawdown complete when the excavation crew is free)</t>
  </si>
  <si>
    <t xml:space="preserve">UG-23-S04-A060</t>
  </si>
  <si>
    <t xml:space="preserve">UG-11-S04-A100 (FS, deeper first); UG-11-S05-A100 (FS, deeper first)</t>
  </si>
  <si>
    <t xml:space="preserve">UG-23-S04-A070</t>
  </si>
  <si>
    <t xml:space="preserve">UG-23-S04-A080</t>
  </si>
  <si>
    <t xml:space="preserve">UG-23-S04-A090</t>
  </si>
  <si>
    <t xml:space="preserve">UG-23-S04-A100</t>
  </si>
  <si>
    <t xml:space="preserve">UG-23-S04-A110</t>
  </si>
  <si>
    <t xml:space="preserve">UG-11B-S07-A010</t>
  </si>
  <si>
    <t xml:space="preserve">AW.PIPE.F6.UG-11B.UG-11B-S07</t>
  </si>
  <si>
    <t xml:space="preserve">UG-11B-S07-A020</t>
  </si>
  <si>
    <t xml:space="preserve">FS from A010; UG-23-S04-A030 (SS, set-out one package ahead of piling)</t>
  </si>
  <si>
    <t xml:space="preserve">UG-11B-S07-A030</t>
  </si>
  <si>
    <t xml:space="preserve">UG-11B-S07-A040</t>
  </si>
  <si>
    <t xml:space="preserve">UG-11B-S07-A050</t>
  </si>
  <si>
    <t xml:space="preserve">UG-23-S04-A060 (FS, negative lag = own duration: drawdown complete when the excavation crew is free)</t>
  </si>
  <si>
    <t xml:space="preserve">UG-11B-S07-A060</t>
  </si>
  <si>
    <t xml:space="preserve">UG-11B-S07-A070</t>
  </si>
  <si>
    <t xml:space="preserve">UG-11B-S07-A080</t>
  </si>
  <si>
    <t xml:space="preserve">UG-11B-S07-A090</t>
  </si>
  <si>
    <t xml:space="preserve">UG-11B-S07-A100</t>
  </si>
  <si>
    <t xml:space="preserve">UG-11B-S07-A110</t>
  </si>
  <si>
    <t xml:space="preserve">UG-11B-S04-A010</t>
  </si>
  <si>
    <t xml:space="preserve">AW.PIPE.F6.UG-11B.UG-11B-S04</t>
  </si>
  <si>
    <t xml:space="preserve">UG-11B-S04-A020</t>
  </si>
  <si>
    <t xml:space="preserve">FS from A010; UG-11B-S07-A030 (SS, set-out one package ahead of piling)</t>
  </si>
  <si>
    <t xml:space="preserve">UG-11B-S04-A030</t>
  </si>
  <si>
    <t xml:space="preserve">UG-11B-S04-A040</t>
  </si>
  <si>
    <t xml:space="preserve">UG-11B-S04-A050</t>
  </si>
  <si>
    <t xml:space="preserve">UG-11B-S07-A060 (FS, negative lag = own duration: drawdown complete when the excavation crew is free)</t>
  </si>
  <si>
    <t xml:space="preserve">UG-11B-S04-A060</t>
  </si>
  <si>
    <t xml:space="preserve">UG-11B-S04-A070</t>
  </si>
  <si>
    <t xml:space="preserve">UG-11B-S04-A080</t>
  </si>
  <si>
    <t xml:space="preserve">UG-11B-S04-A090</t>
  </si>
  <si>
    <t xml:space="preserve">UG-11B-S04-A100</t>
  </si>
  <si>
    <t xml:space="preserve">UG-11B-S04-A110</t>
  </si>
  <si>
    <t xml:space="preserve">UG-11B-S03-A010</t>
  </si>
  <si>
    <t xml:space="preserve">AW.PIPE.F6.UG-11B.UG-11B-S03</t>
  </si>
  <si>
    <t xml:space="preserve">UG-11B-S03-A020</t>
  </si>
  <si>
    <t xml:space="preserve">FS from A010; UG-11B-S04-A030 (SS, set-out one package ahead of piling)</t>
  </si>
  <si>
    <t xml:space="preserve">UG-11B-S03-A030</t>
  </si>
  <si>
    <t xml:space="preserve">UG-11B-S03-A040</t>
  </si>
  <si>
    <t xml:space="preserve">UG-11B-S03-A050</t>
  </si>
  <si>
    <t xml:space="preserve">UG-11B-S04-A060 (FS, negative lag = own duration: drawdown complete when the excavation crew is free)</t>
  </si>
  <si>
    <t xml:space="preserve">UG-11B-S03-A060</t>
  </si>
  <si>
    <t xml:space="preserve">UG-11B-S03-A070</t>
  </si>
  <si>
    <t xml:space="preserve">UG-11B-S03-A080</t>
  </si>
  <si>
    <t xml:space="preserve">UG-11B-S03-A090</t>
  </si>
  <si>
    <t xml:space="preserve">UG-11B-S03-A100</t>
  </si>
  <si>
    <t xml:space="preserve">UG-11B-S03-A110</t>
  </si>
  <si>
    <t xml:space="preserve">UG-11B-S02-A010</t>
  </si>
  <si>
    <t xml:space="preserve">AW.PIPE.F6.UG-11B.UG-11B-S02</t>
  </si>
  <si>
    <t xml:space="preserve">UG-11B-S02-A020</t>
  </si>
  <si>
    <t xml:space="preserve">FS from A010; UG-11B-S03-A030 (SS, set-out one package ahead of piling)</t>
  </si>
  <si>
    <t xml:space="preserve">UG-11B-S02-A030</t>
  </si>
  <si>
    <t xml:space="preserve">UG-11B-S02-A040</t>
  </si>
  <si>
    <t xml:space="preserve">UG-11B-S02-A050</t>
  </si>
  <si>
    <t xml:space="preserve">UG-11B-S03-A060 (FS, negative lag = own duration: drawdown complete when the excavation crew is free)</t>
  </si>
  <si>
    <t xml:space="preserve">UG-11B-S02-A060</t>
  </si>
  <si>
    <t xml:space="preserve">UG-11B-S02-A070</t>
  </si>
  <si>
    <t xml:space="preserve">UG-11B-S02-A080</t>
  </si>
  <si>
    <t xml:space="preserve">UG-11B-S02-A090</t>
  </si>
  <si>
    <t xml:space="preserve">UG-11B-S02-A100</t>
  </si>
  <si>
    <t xml:space="preserve">UG-16A-S01-A080 (FS, shared trench laid)</t>
  </si>
  <si>
    <t xml:space="preserve">UG-11B-S02-A110</t>
  </si>
  <si>
    <t xml:space="preserve">UG-11B-S01-A010</t>
  </si>
  <si>
    <t xml:space="preserve">AW.PIPE.F6.UG-11B.UG-11B-S01</t>
  </si>
  <si>
    <t xml:space="preserve">UG-11B-S01-A020</t>
  </si>
  <si>
    <t xml:space="preserve">FS from A010; UG-11B-S02-A030 (SS, tie-in team follows the adjacent run)</t>
  </si>
  <si>
    <t xml:space="preserve">UG-11B-S01-A030</t>
  </si>
  <si>
    <t xml:space="preserve">UG-11B-S01-A040</t>
  </si>
  <si>
    <t xml:space="preserve">UG-11B-S01-A050</t>
  </si>
  <si>
    <t xml:space="preserve">UG-11B-S01-A060</t>
  </si>
  <si>
    <t xml:space="preserve">UG-11B-S01-A070</t>
  </si>
  <si>
    <t xml:space="preserve">UG-11B-S01-A080</t>
  </si>
  <si>
    <t xml:space="preserve">UG-11B-S02-A080 (FS, closure)</t>
  </si>
  <si>
    <t xml:space="preserve">UG-11B-S01-A090</t>
  </si>
  <si>
    <t xml:space="preserve">UG-11B-S01-A100</t>
  </si>
  <si>
    <t xml:space="preserve">UG-11B-S01-A110</t>
  </si>
  <si>
    <t xml:space="preserve">UG-16A-S01-A010</t>
  </si>
  <si>
    <t xml:space="preserve">AW.PIPE.F6.UG-16A.UG-16A-S01</t>
  </si>
  <si>
    <t xml:space="preserve">UG-16A-S01-A020</t>
  </si>
  <si>
    <t xml:space="preserve">UG-16A-S01-A030</t>
  </si>
  <si>
    <t xml:space="preserve">UG-16A-S01-A040</t>
  </si>
  <si>
    <t xml:space="preserve">UG-16A-S01-A050</t>
  </si>
  <si>
    <t xml:space="preserve">UG-16A-S01-A060</t>
  </si>
  <si>
    <t xml:space="preserve">UG-10-S05-A100 (FS, deeper first); UG-11B-S01-A060 (SS, shared trench); UG-11B-S02-A060 (SS, shared trench)</t>
  </si>
  <si>
    <t xml:space="preserve">UG-16A-S01-A070</t>
  </si>
  <si>
    <t xml:space="preserve">UG-16A-S01-A080</t>
  </si>
  <si>
    <t xml:space="preserve">UG-16A-S01-A090</t>
  </si>
  <si>
    <t xml:space="preserve">UG-16A-S01-A100</t>
  </si>
  <si>
    <t xml:space="preserve">UG-11B-S01-A080 (FS, shared trench laid); UG-11B-S02-A080 (FS, shared trench laid)</t>
  </si>
  <si>
    <t xml:space="preserve">UG-16A-S01-A110</t>
  </si>
  <si>
    <t xml:space="preserve">UG-11B-S10-A010</t>
  </si>
  <si>
    <t xml:space="preserve">AW.PIPE.F6.UG-11B.UG-11B-S10</t>
  </si>
  <si>
    <t xml:space="preserve">UG-11B-S10-A020</t>
  </si>
  <si>
    <t xml:space="preserve">FS from A010; UG-11B-S02-A030 (SS, set-out one package ahead of piling)</t>
  </si>
  <si>
    <t xml:space="preserve">UG-11B-S10-A030</t>
  </si>
  <si>
    <t xml:space="preserve">UG-11B-S10-A040</t>
  </si>
  <si>
    <t xml:space="preserve">UG-11B-S10-A050</t>
  </si>
  <si>
    <t xml:space="preserve">UG-11B-S02-A060 (FS, negative lag = own duration: drawdown complete when the excavation crew is free)</t>
  </si>
  <si>
    <t xml:space="preserve">UG-11B-S10-A060</t>
  </si>
  <si>
    <t xml:space="preserve">UG-11B-S10-A070</t>
  </si>
  <si>
    <t xml:space="preserve">UG-11B-S10-A080</t>
  </si>
  <si>
    <t xml:space="preserve">UG-11B-S10-A090</t>
  </si>
  <si>
    <t xml:space="preserve">UG-11B-S10-A100</t>
  </si>
  <si>
    <t xml:space="preserve">UG-16C-S01-A080 (FS, shared trench laid)</t>
  </si>
  <si>
    <t xml:space="preserve">UG-11B-S10-A110</t>
  </si>
  <si>
    <t xml:space="preserve">UG-11B-S09-A010</t>
  </si>
  <si>
    <t xml:space="preserve">AW.PIPE.F6.UG-11B.UG-11B-S09</t>
  </si>
  <si>
    <t xml:space="preserve">UG-11B-S09-A020</t>
  </si>
  <si>
    <t xml:space="preserve">FS from A010; UG-11B-S10-A030 (SS, tie-in team follows the adjacent run)</t>
  </si>
  <si>
    <t xml:space="preserve">UG-11B-S09-A030</t>
  </si>
  <si>
    <t xml:space="preserve">UG-11B-S09-A040</t>
  </si>
  <si>
    <t xml:space="preserve">UG-11B-S09-A050</t>
  </si>
  <si>
    <t xml:space="preserve">UG-11B-S09-A060</t>
  </si>
  <si>
    <t xml:space="preserve">UG-11B-S09-A070</t>
  </si>
  <si>
    <t xml:space="preserve">UG-11B-S09-A080</t>
  </si>
  <si>
    <t xml:space="preserve">UG-11B-S10-A080 (FS, closure)</t>
  </si>
  <si>
    <t xml:space="preserve">UG-11B-S09-A090</t>
  </si>
  <si>
    <t xml:space="preserve">UG-11B-S09-A100</t>
  </si>
  <si>
    <t xml:space="preserve">UG-11B-S09-A110</t>
  </si>
  <si>
    <t xml:space="preserve">UG-16C-S01-A010</t>
  </si>
  <si>
    <t xml:space="preserve">AW.PIPE.F6.UG-16C.UG-16C-S01</t>
  </si>
  <si>
    <t xml:space="preserve">UG-16C-S01-A020</t>
  </si>
  <si>
    <t xml:space="preserve">UG-16C-S01-A030</t>
  </si>
  <si>
    <t xml:space="preserve">UG-16C-S01-A040</t>
  </si>
  <si>
    <t xml:space="preserve">UG-16C-S01-A050</t>
  </si>
  <si>
    <t xml:space="preserve">UG-16C-S01-A060</t>
  </si>
  <si>
    <t xml:space="preserve">UG-11B-S09-A060 (SS, shared trench); UG-11B-S10-A060 (SS, shared trench)</t>
  </si>
  <si>
    <t xml:space="preserve">UG-16C-S01-A070</t>
  </si>
  <si>
    <t xml:space="preserve">UG-16C-S01-A080</t>
  </si>
  <si>
    <t xml:space="preserve">UG-16C-S01-A090</t>
  </si>
  <si>
    <t xml:space="preserve">UG-16C-S01-A100</t>
  </si>
  <si>
    <t xml:space="preserve">UG-11B-S09-A080 (FS, shared trench laid); UG-11B-S10-A080 (FS, shared trench laid)</t>
  </si>
  <si>
    <t xml:space="preserve">UG-16C-S01-A110</t>
  </si>
  <si>
    <t xml:space="preserve">UG-11B-S12-A010</t>
  </si>
  <si>
    <t xml:space="preserve">AW.PIPE.F6.UG-11B.UG-11B-S12</t>
  </si>
  <si>
    <t xml:space="preserve">UG-11B-S12-A020</t>
  </si>
  <si>
    <t xml:space="preserve">FS from A010; UG-11B-S10-A030 (SS, set-out one package ahead of piling)</t>
  </si>
  <si>
    <t xml:space="preserve">UG-11B-S12-A030</t>
  </si>
  <si>
    <t xml:space="preserve">UG-11B-S12-A040</t>
  </si>
  <si>
    <t xml:space="preserve">UG-11B-S12-A050</t>
  </si>
  <si>
    <t xml:space="preserve">UG-11B-S10-A060 (FS, negative lag = own duration: drawdown complete when the excavation crew is free)</t>
  </si>
  <si>
    <t xml:space="preserve">UG-11B-S12-A060</t>
  </si>
  <si>
    <t xml:space="preserve">UG-11B-S12-A070</t>
  </si>
  <si>
    <t xml:space="preserve">UG-11B-S12-A080</t>
  </si>
  <si>
    <t xml:space="preserve">UG-11B-S12-A090</t>
  </si>
  <si>
    <t xml:space="preserve">UG-11B-S12-A100</t>
  </si>
  <si>
    <t xml:space="preserve">UG-16D-S01-A080 (FS, shared trench laid)</t>
  </si>
  <si>
    <t xml:space="preserve">UG-11B-S12-A110</t>
  </si>
  <si>
    <t xml:space="preserve">UG-11B-S11-A010</t>
  </si>
  <si>
    <t xml:space="preserve">AW.PIPE.F6.UG-11B.UG-11B-S11</t>
  </si>
  <si>
    <t xml:space="preserve">UG-11B-S11-A020</t>
  </si>
  <si>
    <t xml:space="preserve">FS from A010; UG-11B-S12-A030 (SS, tie-in team follows the adjacent run)</t>
  </si>
  <si>
    <t xml:space="preserve">UG-11B-S11-A030</t>
  </si>
  <si>
    <t xml:space="preserve">UG-11B-S11-A040</t>
  </si>
  <si>
    <t xml:space="preserve">UG-11B-S11-A050</t>
  </si>
  <si>
    <t xml:space="preserve">UG-11B-S11-A060</t>
  </si>
  <si>
    <t xml:space="preserve">UG-11B-S11-A070</t>
  </si>
  <si>
    <t xml:space="preserve">UG-11B-S11-A080</t>
  </si>
  <si>
    <t xml:space="preserve">UG-11B-S12-A080 (FS, closure)</t>
  </si>
  <si>
    <t xml:space="preserve">UG-11B-S11-A090</t>
  </si>
  <si>
    <t xml:space="preserve">UG-11B-S11-A100</t>
  </si>
  <si>
    <t xml:space="preserve">UG-11B-S11-A110</t>
  </si>
  <si>
    <t xml:space="preserve">UG-16D-S01-A010</t>
  </si>
  <si>
    <t xml:space="preserve">AW.PIPE.F6.UG-16D.UG-16D-S01</t>
  </si>
  <si>
    <t xml:space="preserve">UG-16D-S01-A020</t>
  </si>
  <si>
    <t xml:space="preserve">UG-16D-S01-A030</t>
  </si>
  <si>
    <t xml:space="preserve">UG-16D-S01-A040</t>
  </si>
  <si>
    <t xml:space="preserve">UG-16D-S01-A050</t>
  </si>
  <si>
    <t xml:space="preserve">UG-16D-S01-A060</t>
  </si>
  <si>
    <t xml:space="preserve">UG-11B-S07-A100 (FS, deeper first); UG-11B-S11-A060 (SS, shared trench); UG-11B-S12-A060 (SS, shared trench)</t>
  </si>
  <si>
    <t xml:space="preserve">UG-16D-S01-A070</t>
  </si>
  <si>
    <t xml:space="preserve">UG-16D-S01-A080</t>
  </si>
  <si>
    <t xml:space="preserve">UG-16D-S01-A090</t>
  </si>
  <si>
    <t xml:space="preserve">UG-16D-S01-A100</t>
  </si>
  <si>
    <t xml:space="preserve">UG-11B-S11-A080 (FS, shared trench laid); UG-11B-S12-A080 (FS, shared trench laid)</t>
  </si>
  <si>
    <t xml:space="preserve">UG-16D-S01-A110</t>
  </si>
  <si>
    <t xml:space="preserve">UG-11B-S13-A010</t>
  </si>
  <si>
    <t xml:space="preserve">AW.PIPE.F6.UG-11B.UG-11B-S13</t>
  </si>
  <si>
    <t xml:space="preserve">UG-11B-S13-A020</t>
  </si>
  <si>
    <t xml:space="preserve">FS from A010; UG-11B-S12-A030 (SS, set-out one package ahead of piling)</t>
  </si>
  <si>
    <t xml:space="preserve">UG-11B-S13-A030</t>
  </si>
  <si>
    <t xml:space="preserve">UG-11B-S13-A040</t>
  </si>
  <si>
    <t xml:space="preserve">UG-11B-S13-A050</t>
  </si>
  <si>
    <t xml:space="preserve">UG-11B-S12-A060 (FS, negative lag = own duration: drawdown complete when the excavation crew is free)</t>
  </si>
  <si>
    <t xml:space="preserve">UG-11B-S13-A060</t>
  </si>
  <si>
    <t xml:space="preserve">UG-11B-S13-A070</t>
  </si>
  <si>
    <t xml:space="preserve">UG-11B-S13-A080</t>
  </si>
  <si>
    <t xml:space="preserve">UG-11B-S13-A090</t>
  </si>
  <si>
    <t xml:space="preserve">UG-11B-S13-A100</t>
  </si>
  <si>
    <t xml:space="preserve">UG-11B-S13-A110</t>
  </si>
  <si>
    <t xml:space="preserve">UG-11A-S04-A010</t>
  </si>
  <si>
    <t xml:space="preserve">AW.PIPE.F6.UG-11A.UG-11A-S04</t>
  </si>
  <si>
    <t xml:space="preserve">UG-11A-S04-A020</t>
  </si>
  <si>
    <t xml:space="preserve">FS from A010; UG-11B-S13-A030 (SS, set-out one package ahead of piling)</t>
  </si>
  <si>
    <t xml:space="preserve">UG-11A-S04-A030</t>
  </si>
  <si>
    <t xml:space="preserve">UG-11A-S04-A040</t>
  </si>
  <si>
    <t xml:space="preserve">UG-11A-S04-A050</t>
  </si>
  <si>
    <t xml:space="preserve">UG-11B-S13-A060 (FS, negative lag = own duration: drawdown complete when the excavation crew is free)</t>
  </si>
  <si>
    <t xml:space="preserve">UG-11A-S04-A060</t>
  </si>
  <si>
    <t xml:space="preserve">UG-11A-S04-A070</t>
  </si>
  <si>
    <t xml:space="preserve">UG-11A-S04-A080</t>
  </si>
  <si>
    <t xml:space="preserve">UG-11A-S04-A090</t>
  </si>
  <si>
    <t xml:space="preserve">UG-11A-S04-A100</t>
  </si>
  <si>
    <t xml:space="preserve">UG-11A-S04-A110</t>
  </si>
  <si>
    <t xml:space="preserve">UG-11A-S03-A010</t>
  </si>
  <si>
    <t xml:space="preserve">AW.PIPE.F6.UG-11A.UG-11A-S03</t>
  </si>
  <si>
    <t xml:space="preserve">UG-11A-S03-A020</t>
  </si>
  <si>
    <t xml:space="preserve">FS from A010; UG-11A-S04-A030 (SS, set-out one package ahead of piling)</t>
  </si>
  <si>
    <t xml:space="preserve">UG-11A-S03-A030</t>
  </si>
  <si>
    <t xml:space="preserve">UG-11A-S03-A040</t>
  </si>
  <si>
    <t xml:space="preserve">UG-11A-S03-A050</t>
  </si>
  <si>
    <t xml:space="preserve">UG-11A-S04-A060 (FS, negative lag = own duration: drawdown complete when the excavation crew is free)</t>
  </si>
  <si>
    <t xml:space="preserve">UG-11A-S03-A060</t>
  </si>
  <si>
    <t xml:space="preserve">UG-11A-S03-A070</t>
  </si>
  <si>
    <t xml:space="preserve">UG-11A-S03-A080</t>
  </si>
  <si>
    <t xml:space="preserve">UG-11A-S03-A090</t>
  </si>
  <si>
    <t xml:space="preserve">UG-11A-S03-A100</t>
  </si>
  <si>
    <t xml:space="preserve">UG-11A-S03-A110</t>
  </si>
  <si>
    <t xml:space="preserve">UG-11A-S02-A010</t>
  </si>
  <si>
    <t xml:space="preserve">AW.PIPE.F6.UG-11A.UG-11A-S02</t>
  </si>
  <si>
    <t xml:space="preserve">UG-11A-S02-A020</t>
  </si>
  <si>
    <t xml:space="preserve">FS from A010; UG-11A-S03-A030 (SS, set-out one package ahead of piling)</t>
  </si>
  <si>
    <t xml:space="preserve">UG-11A-S02-A030</t>
  </si>
  <si>
    <t xml:space="preserve">UG-11A-S02-A040</t>
  </si>
  <si>
    <t xml:space="preserve">UG-11A-S02-A050</t>
  </si>
  <si>
    <t xml:space="preserve">UG-11A-S03-A060 (FS, negative lag = own duration: drawdown complete when the excavation crew is free)</t>
  </si>
  <si>
    <t xml:space="preserve">UG-11A-S02-A060</t>
  </si>
  <si>
    <t xml:space="preserve">UG-11A-S02-A070</t>
  </si>
  <si>
    <t xml:space="preserve">UG-11A-S02-A080</t>
  </si>
  <si>
    <t xml:space="preserve">UG-11A-S02-A090</t>
  </si>
  <si>
    <t xml:space="preserve">UG-11A-S02-A100</t>
  </si>
  <si>
    <t xml:space="preserve">UG-14G-S01-A080 (FS, shared trench laid)</t>
  </si>
  <si>
    <t xml:space="preserve">UG-11A-S02-A110</t>
  </si>
  <si>
    <t xml:space="preserve">UG-11A-S01-A010</t>
  </si>
  <si>
    <t xml:space="preserve">AW.PIPE.F6.UG-11A.UG-11A-S01</t>
  </si>
  <si>
    <t xml:space="preserve">UG-11A-S01-A020</t>
  </si>
  <si>
    <t xml:space="preserve">FS from A010; UG-11A-S02-A030 (SS, tie-in team follows the adjacent run)</t>
  </si>
  <si>
    <t xml:space="preserve">UG-11A-S01-A030</t>
  </si>
  <si>
    <t xml:space="preserve">UG-11A-S01-A040</t>
  </si>
  <si>
    <t xml:space="preserve">UG-11A-S01-A050</t>
  </si>
  <si>
    <t xml:space="preserve">UG-11A-S01-A060</t>
  </si>
  <si>
    <t xml:space="preserve">UG-11A-S01-A070</t>
  </si>
  <si>
    <t xml:space="preserve">UG-11A-S01-A080</t>
  </si>
  <si>
    <t xml:space="preserve">UG-11A-S02-A080 (FS, closure)</t>
  </si>
  <si>
    <t xml:space="preserve">UG-11A-S01-A090</t>
  </si>
  <si>
    <t xml:space="preserve">UG-11A-S01-A100</t>
  </si>
  <si>
    <t xml:space="preserve">UG-11A-S01-A110</t>
  </si>
  <si>
    <t xml:space="preserve">UG-14G-S01-A010</t>
  </si>
  <si>
    <t xml:space="preserve">AW.PIPE.F6.UG-14G.UG-14G-S01</t>
  </si>
  <si>
    <t xml:space="preserve">UG-14G-S01-A020</t>
  </si>
  <si>
    <t xml:space="preserve">UG-14G-S01-A030</t>
  </si>
  <si>
    <t xml:space="preserve">UG-14G-S01-A040</t>
  </si>
  <si>
    <t xml:space="preserve">UG-14G-S01-A050</t>
  </si>
  <si>
    <t xml:space="preserve">UG-14G-S01-A060</t>
  </si>
  <si>
    <t xml:space="preserve">UG-13B-S02-A100 (FS, deeper first); UG-13B-S03-A100 (FS, deeper first); UG-11A-S01-A060 (SS, shared trench); UG-11A-S02-A060 (SS, shared trench)</t>
  </si>
  <si>
    <t xml:space="preserve">UG-14G-S01-A070</t>
  </si>
  <si>
    <t xml:space="preserve">UG-14G-S01-A080</t>
  </si>
  <si>
    <t xml:space="preserve">UG-14G-S01-A090</t>
  </si>
  <si>
    <t xml:space="preserve">UG-14G-S01-A100</t>
  </si>
  <si>
    <t xml:space="preserve">UG-11A-S01-A080 (FS, shared trench laid); UG-11A-S02-A080 (FS, shared trench laid)</t>
  </si>
  <si>
    <t xml:space="preserve">UG-14G-S01-A110</t>
  </si>
  <si>
    <t xml:space="preserve">UG-11A-S07-A010</t>
  </si>
  <si>
    <t xml:space="preserve">AW.PIPE.F6.UG-11A.UG-11A-S07</t>
  </si>
  <si>
    <t xml:space="preserve">UG-11A-S07-A020</t>
  </si>
  <si>
    <t xml:space="preserve">FS from A010; UG-11A-S02-A030 (SS, set-out one package ahead of piling)</t>
  </si>
  <si>
    <t xml:space="preserve">UG-11A-S07-A030</t>
  </si>
  <si>
    <t xml:space="preserve">UG-11A-S07-A040</t>
  </si>
  <si>
    <t xml:space="preserve">UG-11A-S07-A050</t>
  </si>
  <si>
    <t xml:space="preserve">UG-11A-S02-A060 (FS, negative lag = own duration: drawdown complete when the excavation crew is free)</t>
  </si>
  <si>
    <t xml:space="preserve">UG-11A-S07-A060</t>
  </si>
  <si>
    <t xml:space="preserve">UG-11A-S07-A070</t>
  </si>
  <si>
    <t xml:space="preserve">UG-11A-S07-A080</t>
  </si>
  <si>
    <t xml:space="preserve">UG-11A-S07-A090</t>
  </si>
  <si>
    <t xml:space="preserve">UG-11A-S07-A100</t>
  </si>
  <si>
    <t xml:space="preserve">UG-14H-S01-A080 (FS, shared trench laid)</t>
  </si>
  <si>
    <t xml:space="preserve">UG-11A-S07-A110</t>
  </si>
  <si>
    <t xml:space="preserve">UG-11A-S06-A010</t>
  </si>
  <si>
    <t xml:space="preserve">AW.PIPE.F6.UG-11A.UG-11A-S06</t>
  </si>
  <si>
    <t xml:space="preserve">UG-11A-S06-A020</t>
  </si>
  <si>
    <t xml:space="preserve">FS from A010; UG-11A-S07-A030 (SS, tie-in team follows the adjacent run)</t>
  </si>
  <si>
    <t xml:space="preserve">UG-11A-S06-A030</t>
  </si>
  <si>
    <t xml:space="preserve">UG-11A-S06-A040</t>
  </si>
  <si>
    <t xml:space="preserve">UG-11A-S06-A050</t>
  </si>
  <si>
    <t xml:space="preserve">UG-11A-S06-A060</t>
  </si>
  <si>
    <t xml:space="preserve">UG-11A-S06-A070</t>
  </si>
  <si>
    <t xml:space="preserve">UG-11A-S06-A080</t>
  </si>
  <si>
    <t xml:space="preserve">UG-11A-S07-A080 (FS, closure)</t>
  </si>
  <si>
    <t xml:space="preserve">UG-11A-S06-A090</t>
  </si>
  <si>
    <t xml:space="preserve">UG-11A-S06-A100</t>
  </si>
  <si>
    <t xml:space="preserve">UG-11A-S06-A110</t>
  </si>
  <si>
    <t xml:space="preserve">UG-14H-S01-A010</t>
  </si>
  <si>
    <t xml:space="preserve">AW.PIPE.F6.UG-14H.UG-14H-S01</t>
  </si>
  <si>
    <t xml:space="preserve">UG-14H-S01-A020</t>
  </si>
  <si>
    <t xml:space="preserve">UG-14H-S01-A030</t>
  </si>
  <si>
    <t xml:space="preserve">UG-14H-S01-A040</t>
  </si>
  <si>
    <t xml:space="preserve">UG-14H-S01-A050</t>
  </si>
  <si>
    <t xml:space="preserve">UG-14H-S01-A060</t>
  </si>
  <si>
    <t xml:space="preserve">UG-13B-S04-A100 (FS, deeper first); UG-11A-S06-A060 (SS, shared trench); UG-11A-S07-A060 (SS, shared trench)</t>
  </si>
  <si>
    <t xml:space="preserve">UG-14H-S01-A070</t>
  </si>
  <si>
    <t xml:space="preserve">UG-14H-S01-A080</t>
  </si>
  <si>
    <t xml:space="preserve">UG-14H-S01-A090</t>
  </si>
  <si>
    <t xml:space="preserve">UG-14H-S01-A100</t>
  </si>
  <si>
    <t xml:space="preserve">UG-11A-S06-A080 (FS, shared trench laid); UG-11A-S07-A080 (FS, shared trench laid)</t>
  </si>
  <si>
    <t xml:space="preserve">UG-14H-S01-A110</t>
  </si>
  <si>
    <t xml:space="preserve">UG-12-S04-A010</t>
  </si>
  <si>
    <t xml:space="preserve">AW.PIPE.F7.UG-12.UG-12-S04</t>
  </si>
  <si>
    <t xml:space="preserve">UG-12-S04-A020</t>
  </si>
  <si>
    <t xml:space="preserve">UG-12-S04-A030</t>
  </si>
  <si>
    <t xml:space="preserve">UG-12-S04-A040</t>
  </si>
  <si>
    <t xml:space="preserve">UG-12-S04-A050</t>
  </si>
  <si>
    <t xml:space="preserve">UG-12-S04-A060</t>
  </si>
  <si>
    <t xml:space="preserve">UG-12-S04-A070</t>
  </si>
  <si>
    <t xml:space="preserve">UG-12-S04-A080</t>
  </si>
  <si>
    <t xml:space="preserve">UG-12-S04-A090</t>
  </si>
  <si>
    <t xml:space="preserve">UG-12-S04-A100</t>
  </si>
  <si>
    <t xml:space="preserve">UG-13B-S05-A080 (FS, shared trench laid)</t>
  </si>
  <si>
    <t xml:space="preserve">UG-12-S04-A110</t>
  </si>
  <si>
    <t xml:space="preserve">UG-13B-S05-A010</t>
  </si>
  <si>
    <t xml:space="preserve">AW.PIPE.F7.UG-13B.UG-13B-S05</t>
  </si>
  <si>
    <t xml:space="preserve">UG-13B-S05-A020</t>
  </si>
  <si>
    <t xml:space="preserve">FS from A010; UG-12-S04-A030 (SS, set-out one package ahead of piling)</t>
  </si>
  <si>
    <t xml:space="preserve">UG-13B-S05-A030</t>
  </si>
  <si>
    <t xml:space="preserve">UG-13B-S05-A040</t>
  </si>
  <si>
    <t xml:space="preserve">UG-13B-S05-A050</t>
  </si>
  <si>
    <t xml:space="preserve">UG-12-S04-A060 (FS, negative lag = own duration: drawdown complete when the excavation crew is free)</t>
  </si>
  <si>
    <t xml:space="preserve">UG-13B-S05-A060</t>
  </si>
  <si>
    <t xml:space="preserve">UG-12-S04-A060 (SS, shared trench)</t>
  </si>
  <si>
    <t xml:space="preserve">UG-13B-S05-A070</t>
  </si>
  <si>
    <t xml:space="preserve">UG-13B-S05-A080</t>
  </si>
  <si>
    <t xml:space="preserve">UG-13B-S05-A090</t>
  </si>
  <si>
    <t xml:space="preserve">UG-13B-S05-A100</t>
  </si>
  <si>
    <t xml:space="preserve">UG-12-S04-A080 (FS, shared trench laid)</t>
  </si>
  <si>
    <t xml:space="preserve">UG-13B-S05-A110</t>
  </si>
  <si>
    <t xml:space="preserve">UG-13-S03-A010</t>
  </si>
  <si>
    <t xml:space="preserve">AW.PIPE.F7.UG-13.UG-13-S03</t>
  </si>
  <si>
    <t xml:space="preserve">UG-13-S03-A020</t>
  </si>
  <si>
    <t xml:space="preserve">FS from A010; UG-13B-S05-A030 (SS, set-out one package ahead of piling)</t>
  </si>
  <si>
    <t xml:space="preserve">UG-13-S03-A030</t>
  </si>
  <si>
    <t xml:space="preserve">UG-13-S03-A040</t>
  </si>
  <si>
    <t xml:space="preserve">UG-13-S03-A050</t>
  </si>
  <si>
    <t xml:space="preserve">UG-13B-S05-A060 (FS, negative lag = own duration: drawdown complete when the excavation crew is free)</t>
  </si>
  <si>
    <t xml:space="preserve">UG-13-S03-A060</t>
  </si>
  <si>
    <t xml:space="preserve">UG-13-S03-A070</t>
  </si>
  <si>
    <t xml:space="preserve">UG-13-S03-A080</t>
  </si>
  <si>
    <t xml:space="preserve">UG-13-S03-A090</t>
  </si>
  <si>
    <t xml:space="preserve">UG-13-S03-A100</t>
  </si>
  <si>
    <t xml:space="preserve">UG-13-S03-A110</t>
  </si>
  <si>
    <t xml:space="preserve">UG-13-S04-A010</t>
  </si>
  <si>
    <t xml:space="preserve">AW.PIPE.F7.UG-13.UG-13-S04</t>
  </si>
  <si>
    <t xml:space="preserve">UG-13-S04-A020</t>
  </si>
  <si>
    <t xml:space="preserve">FS from A010; UG-13-S03-A030 (SS, set-out one package ahead of piling)</t>
  </si>
  <si>
    <t xml:space="preserve">UG-13-S04-A030</t>
  </si>
  <si>
    <t xml:space="preserve">UG-13-S04-A040</t>
  </si>
  <si>
    <t xml:space="preserve">UG-13-S04-A050</t>
  </si>
  <si>
    <t xml:space="preserve">UG-13-S03-A060 (FS, negative lag = own duration: drawdown complete when the excavation crew is free)</t>
  </si>
  <si>
    <t xml:space="preserve">UG-13-S04-A060</t>
  </si>
  <si>
    <t xml:space="preserve">UG-13-S04-A070</t>
  </si>
  <si>
    <t xml:space="preserve">UG-13-S04-A080</t>
  </si>
  <si>
    <t xml:space="preserve">UG-13-S04-A090</t>
  </si>
  <si>
    <t xml:space="preserve">UG-13-S04-A100</t>
  </si>
  <si>
    <t xml:space="preserve">UG-13-S04-A110</t>
  </si>
  <si>
    <t xml:space="preserve">UG-12-S03-A010</t>
  </si>
  <si>
    <t xml:space="preserve">AW.PIPE.F7.UG-12.UG-12-S03</t>
  </si>
  <si>
    <t xml:space="preserve">UG-12-S03-A020</t>
  </si>
  <si>
    <t xml:space="preserve">FS from A010; UG-13-S04-A030 (SS, set-out one package ahead of piling)</t>
  </si>
  <si>
    <t xml:space="preserve">UG-12-S03-A030</t>
  </si>
  <si>
    <t xml:space="preserve">UG-12-S03-A040</t>
  </si>
  <si>
    <t xml:space="preserve">UG-12-S03-A050</t>
  </si>
  <si>
    <t xml:space="preserve">UG-13-S04-A060 (FS, negative lag = own duration: drawdown complete when the excavation crew is free)</t>
  </si>
  <si>
    <t xml:space="preserve">UG-12-S03-A060</t>
  </si>
  <si>
    <t xml:space="preserve">UG-13-S03-A100 (FS, deeper first); UG-13-S04-A100 (FS, deeper first)</t>
  </si>
  <si>
    <t xml:space="preserve">UG-12-S03-A070</t>
  </si>
  <si>
    <t xml:space="preserve">UG-12-S03-A080</t>
  </si>
  <si>
    <t xml:space="preserve">UG-12-S03-A090</t>
  </si>
  <si>
    <t xml:space="preserve">UG-12-S03-A100</t>
  </si>
  <si>
    <t xml:space="preserve">UG-13B-S06-A080 (FS, shared trench laid); UG-13B-S07-A080 (FS, shared trench laid); UG-13B-S11-A080 (FS, shared trench laid)</t>
  </si>
  <si>
    <t xml:space="preserve">UG-12-S03-A110</t>
  </si>
  <si>
    <t xml:space="preserve">UG-13B-S11-A010</t>
  </si>
  <si>
    <t xml:space="preserve">AW.PIPE.F7.UG-13B.UG-13B-S11</t>
  </si>
  <si>
    <t xml:space="preserve">UG-13B-S11-A020</t>
  </si>
  <si>
    <t xml:space="preserve">FS from A010; UG-12-S03-A030 (SS, set-out one package ahead of piling)</t>
  </si>
  <si>
    <t xml:space="preserve">UG-13B-S11-A030</t>
  </si>
  <si>
    <t xml:space="preserve">UG-13B-S11-A040</t>
  </si>
  <si>
    <t xml:space="preserve">UG-13B-S11-A050</t>
  </si>
  <si>
    <t xml:space="preserve">UG-12-S03-A060 (FS, negative lag = own duration: drawdown complete when the excavation crew is free)</t>
  </si>
  <si>
    <t xml:space="preserve">UG-13B-S11-A060</t>
  </si>
  <si>
    <t xml:space="preserve">UG-12-S03-A060 (SS, shared trench); UG-13-S03-A060 (SS, shared trench); UG-13-S04-A060 (SS, shared trench)</t>
  </si>
  <si>
    <t xml:space="preserve">UG-13B-S11-A070</t>
  </si>
  <si>
    <t xml:space="preserve">UG-13B-S11-A080</t>
  </si>
  <si>
    <t xml:space="preserve">UG-13B-S11-A090</t>
  </si>
  <si>
    <t xml:space="preserve">UG-13B-S11-A100</t>
  </si>
  <si>
    <t xml:space="preserve">UG-12-S03-A080 (FS, shared trench laid); UG-13-S03-A080 (FS, shared trench laid); UG-13-S04-A080 (FS, shared trench laid)</t>
  </si>
  <si>
    <t xml:space="preserve">UG-13B-S11-A110</t>
  </si>
  <si>
    <t xml:space="preserve">UG-13B-S07-A010</t>
  </si>
  <si>
    <t xml:space="preserve">AW.PIPE.F7.UG-13B.UG-13B-S07</t>
  </si>
  <si>
    <t xml:space="preserve">UG-13B-S07-A020</t>
  </si>
  <si>
    <t xml:space="preserve">FS from A010; UG-13B-S11-A030 (SS, set-out one package ahead of piling)</t>
  </si>
  <si>
    <t xml:space="preserve">UG-13B-S07-A030</t>
  </si>
  <si>
    <t xml:space="preserve">UG-13B-S07-A040</t>
  </si>
  <si>
    <t xml:space="preserve">UG-13B-S07-A050</t>
  </si>
  <si>
    <t xml:space="preserve">UG-13B-S11-A060 (FS, negative lag = own duration: drawdown complete when the excavation crew is free)</t>
  </si>
  <si>
    <t xml:space="preserve">UG-13B-S07-A060</t>
  </si>
  <si>
    <t xml:space="preserve">UG-12-S03-A060 (SS, shared trench); UG-12-S04-A060 (SS, shared trench)</t>
  </si>
  <si>
    <t xml:space="preserve">UG-13B-S07-A070</t>
  </si>
  <si>
    <t xml:space="preserve">UG-13B-S07-A080</t>
  </si>
  <si>
    <t xml:space="preserve">UG-13B-S07-A090</t>
  </si>
  <si>
    <t xml:space="preserve">UG-13B-S07-A100</t>
  </si>
  <si>
    <t xml:space="preserve">UG-12-S03-A080 (FS, shared trench laid); UG-12-S04-A080 (FS, shared trench laid)</t>
  </si>
  <si>
    <t xml:space="preserve">UG-13B-S07-A110</t>
  </si>
  <si>
    <t xml:space="preserve">UG-13B-S06-A010</t>
  </si>
  <si>
    <t xml:space="preserve">AW.PIPE.F7.UG-13B.UG-13B-S06</t>
  </si>
  <si>
    <t xml:space="preserve">UG-13B-S06-A020</t>
  </si>
  <si>
    <t xml:space="preserve">FS from A010; UG-13B-S07-A030 (SS, set-out one package ahead of piling)</t>
  </si>
  <si>
    <t xml:space="preserve">UG-13B-S06-A030</t>
  </si>
  <si>
    <t xml:space="preserve">UG-13B-S06-A040</t>
  </si>
  <si>
    <t xml:space="preserve">UG-13B-S06-A050</t>
  </si>
  <si>
    <t xml:space="preserve">UG-13B-S07-A060 (FS, negative lag = own duration: drawdown complete when the excavation crew is free)</t>
  </si>
  <si>
    <t xml:space="preserve">UG-13B-S06-A060</t>
  </si>
  <si>
    <t xml:space="preserve">UG-13B-S06-A070</t>
  </si>
  <si>
    <t xml:space="preserve">UG-13B-S06-A080</t>
  </si>
  <si>
    <t xml:space="preserve">UG-13B-S06-A090</t>
  </si>
  <si>
    <t xml:space="preserve">UG-13B-S06-A100</t>
  </si>
  <si>
    <t xml:space="preserve">UG-07A-S11-A080 (FS, shared trench laid); UG-12-S03-A080 (FS, shared trench laid); UG-12-S04-A080 (FS, shared trench laid)</t>
  </si>
  <si>
    <t xml:space="preserve">UG-13B-S06-A110</t>
  </si>
  <si>
    <t xml:space="preserve">UG-07A-S11-A010</t>
  </si>
  <si>
    <t xml:space="preserve">AW.PIPE.F7.UG-07A.UG-07A-S11</t>
  </si>
  <si>
    <t xml:space="preserve">UG-07A-S11-A020</t>
  </si>
  <si>
    <t xml:space="preserve">FS from A010; UG-13B-S06-A030 (SS, set-out one package ahead of piling)</t>
  </si>
  <si>
    <t xml:space="preserve">UG-07A-S11-A030</t>
  </si>
  <si>
    <t xml:space="preserve">UG-07A-S11-A040</t>
  </si>
  <si>
    <t xml:space="preserve">UG-07A-S11-A050</t>
  </si>
  <si>
    <t xml:space="preserve">UG-13B-S06-A060 (FS, negative lag = own duration: drawdown complete when the excavation crew is free)</t>
  </si>
  <si>
    <t xml:space="preserve">UG-07A-S11-A060</t>
  </si>
  <si>
    <t xml:space="preserve">UG-12-S04-A100 (FS, deeper first); UG-12-S05-A100 (FS, deeper first); UG-13B-S07-A100 (FS, deeper first); UG-13B-S05-A060 (SS, shared trench); UG-13B-S06-A060 (SS, shared trench)</t>
  </si>
  <si>
    <t xml:space="preserve">UG-07A-S11-A070</t>
  </si>
  <si>
    <t xml:space="preserve">UG-07A-S11-A080</t>
  </si>
  <si>
    <t xml:space="preserve">UG-07A-S11-A090</t>
  </si>
  <si>
    <t xml:space="preserve">UG-07A-S11-A100</t>
  </si>
  <si>
    <t xml:space="preserve">UG-13B-S05-A080 (FS, shared trench laid); UG-13B-S06-A080 (FS, shared trench laid)</t>
  </si>
  <si>
    <t xml:space="preserve">UG-07A-S11-A110</t>
  </si>
  <si>
    <t xml:space="preserve">UG-13B-S12-A010</t>
  </si>
  <si>
    <t xml:space="preserve">AW.PIPE.F7.UG-13B.UG-13B-S12</t>
  </si>
  <si>
    <t xml:space="preserve">UG-13B-S12-A020</t>
  </si>
  <si>
    <t xml:space="preserve">UG-13B-S12-A030</t>
  </si>
  <si>
    <t xml:space="preserve">UG-13B-S12-A040</t>
  </si>
  <si>
    <t xml:space="preserve">UG-13B-S12-A050</t>
  </si>
  <si>
    <t xml:space="preserve">UG-13B-S12-A060</t>
  </si>
  <si>
    <t xml:space="preserve">UG-13B-S12-A070</t>
  </si>
  <si>
    <t xml:space="preserve">UG-13B-S12-A080</t>
  </si>
  <si>
    <t xml:space="preserve">UG-13B-S12-A090</t>
  </si>
  <si>
    <t xml:space="preserve">UG-13B-S12-A100</t>
  </si>
  <si>
    <t xml:space="preserve">UG-13-S05-A080 (FS, shared trench laid); UG-23-S01-A080 (FS, shared trench laid); UG-23-S02-A080 (FS, shared trench laid); UG-23-S03-A080 (FS, shared trench laid)</t>
  </si>
  <si>
    <t xml:space="preserve">UG-13B-S12-A110</t>
  </si>
  <si>
    <t xml:space="preserve">UG-13-S05-A010</t>
  </si>
  <si>
    <t xml:space="preserve">AW.PIPE.F7.UG-13.UG-13-S05</t>
  </si>
  <si>
    <t xml:space="preserve">UG-13-S05-A020</t>
  </si>
  <si>
    <t xml:space="preserve">FS from A010; UG-07A-S11-A030 (SS, set-out one package ahead of piling)</t>
  </si>
  <si>
    <t xml:space="preserve">UG-13-S05-A030</t>
  </si>
  <si>
    <t xml:space="preserve">UG-13-S05-A040</t>
  </si>
  <si>
    <t xml:space="preserve">UG-13-S05-A050</t>
  </si>
  <si>
    <t xml:space="preserve">UG-07A-S11-A060 (FS, negative lag = own duration: drawdown complete when the excavation crew is free)</t>
  </si>
  <si>
    <t xml:space="preserve">UG-13-S05-A060</t>
  </si>
  <si>
    <t xml:space="preserve">UG-13B-S12-A060 (SS, shared trench)</t>
  </si>
  <si>
    <t xml:space="preserve">UG-13-S05-A070</t>
  </si>
  <si>
    <t xml:space="preserve">UG-13-S05-A080</t>
  </si>
  <si>
    <t xml:space="preserve">UG-13-S05-A090</t>
  </si>
  <si>
    <t xml:space="preserve">UG-13-S05-A100</t>
  </si>
  <si>
    <t xml:space="preserve">UG-13B-S12-A080 (FS, shared trench laid); UG-23-S01-A080 (FS, shared trench laid); UG-23-S02-A080 (FS, shared trench laid); UG-23-S03-A080 (FS, shared trench laid)</t>
  </si>
  <si>
    <t xml:space="preserve">UG-13-S05-A110</t>
  </si>
  <si>
    <t xml:space="preserve">UG-23-S03-A010</t>
  </si>
  <si>
    <t xml:space="preserve">AW.PIPE.F7.UG-23.UG-23-S03</t>
  </si>
  <si>
    <t xml:space="preserve">UG-23-S03-A020</t>
  </si>
  <si>
    <t xml:space="preserve">FS from A010; UG-13-S05-A030 (SS, set-out one package ahead of piling)</t>
  </si>
  <si>
    <t xml:space="preserve">UG-23-S03-A030</t>
  </si>
  <si>
    <t xml:space="preserve">UG-23-S03-A040</t>
  </si>
  <si>
    <t xml:space="preserve">UG-23-S03-A050</t>
  </si>
  <si>
    <t xml:space="preserve">UG-13-S05-A060 (FS, negative lag = own duration: drawdown complete when the excavation crew is free)</t>
  </si>
  <si>
    <t xml:space="preserve">UG-23-S03-A060</t>
  </si>
  <si>
    <t xml:space="preserve">UG-13-S05-A060 (SS, shared trench); UG-13B-S12-A060 (SS, shared trench)</t>
  </si>
  <si>
    <t xml:space="preserve">UG-23-S03-A070</t>
  </si>
  <si>
    <t xml:space="preserve">UG-23-S03-A080</t>
  </si>
  <si>
    <t xml:space="preserve">UG-23-S03-A090</t>
  </si>
  <si>
    <t xml:space="preserve">UG-23-S03-A100</t>
  </si>
  <si>
    <t xml:space="preserve">UG-13-S05-A080 (FS, shared trench laid); UG-13B-S12-A080 (FS, shared trench laid)</t>
  </si>
  <si>
    <t xml:space="preserve">UG-23-S03-A110</t>
  </si>
  <si>
    <t xml:space="preserve">UG-23-S02-A010</t>
  </si>
  <si>
    <t xml:space="preserve">AW.PIPE.F7.UG-23.UG-23-S02</t>
  </si>
  <si>
    <t xml:space="preserve">UG-23-S02-A020</t>
  </si>
  <si>
    <t xml:space="preserve">FS from A010; UG-23-S03-A030 (SS, set-out one package ahead of piling)</t>
  </si>
  <si>
    <t xml:space="preserve">UG-23-S02-A030</t>
  </si>
  <si>
    <t xml:space="preserve">UG-23-S02-A040</t>
  </si>
  <si>
    <t xml:space="preserve">UG-23-S02-A050</t>
  </si>
  <si>
    <t xml:space="preserve">UG-23-S03-A060 (FS, negative lag = own duration: drawdown complete when the excavation crew is free)</t>
  </si>
  <si>
    <t xml:space="preserve">UG-23-S02-A060</t>
  </si>
  <si>
    <t xml:space="preserve">UG-23-S02-A070</t>
  </si>
  <si>
    <t xml:space="preserve">UG-23-S02-A080</t>
  </si>
  <si>
    <t xml:space="preserve">UG-23-S02-A090</t>
  </si>
  <si>
    <t xml:space="preserve">UG-23-S02-A100</t>
  </si>
  <si>
    <t xml:space="preserve">UG-23-S02-A110</t>
  </si>
  <si>
    <t xml:space="preserve">UG-23-S01-A010</t>
  </si>
  <si>
    <t xml:space="preserve">AW.PIPE.F7.UG-23.UG-23-S01</t>
  </si>
  <si>
    <t xml:space="preserve">UG-23-S01-A020</t>
  </si>
  <si>
    <t xml:space="preserve">FS from A010; UG-23-S02-A030 (SS, tie-in team follows the adjacent run)</t>
  </si>
  <si>
    <t xml:space="preserve">UG-23-S01-A030</t>
  </si>
  <si>
    <t xml:space="preserve">UG-23-S01-A040</t>
  </si>
  <si>
    <t xml:space="preserve">UG-23-S01-A050</t>
  </si>
  <si>
    <t xml:space="preserve">UG-23-S01-A060</t>
  </si>
  <si>
    <t xml:space="preserve">UG-23-S01-A070</t>
  </si>
  <si>
    <t xml:space="preserve">UG-23-S01-A080</t>
  </si>
  <si>
    <t xml:space="preserve">UG-23-S02-A080 (FS, closure)</t>
  </si>
  <si>
    <t xml:space="preserve">UG-23-S01-A090</t>
  </si>
  <si>
    <t xml:space="preserve">UG-23-S01-A100</t>
  </si>
  <si>
    <t xml:space="preserve">UG-23-S01-A110</t>
  </si>
  <si>
    <t xml:space="preserve">UG-13B-S09-A010</t>
  </si>
  <si>
    <t xml:space="preserve">AW.PIPE.F7.UG-13B.UG-13B-S09</t>
  </si>
  <si>
    <t xml:space="preserve">UG-13B-S09-A020</t>
  </si>
  <si>
    <t xml:space="preserve">FS from A010; UG-23-S02-A030 (SS, set-out one package ahead of piling)</t>
  </si>
  <si>
    <t xml:space="preserve">UG-13B-S09-A030</t>
  </si>
  <si>
    <t xml:space="preserve">UG-13B-S09-A040</t>
  </si>
  <si>
    <t xml:space="preserve">UG-13B-S09-A050</t>
  </si>
  <si>
    <t xml:space="preserve">UG-23-S02-A060 (FS, negative lag = own duration: drawdown complete when the excavation crew is free)</t>
  </si>
  <si>
    <t xml:space="preserve">UG-13B-S09-A060</t>
  </si>
  <si>
    <t xml:space="preserve">UG-13B-S09-A070</t>
  </si>
  <si>
    <t xml:space="preserve">UG-13B-S09-A080</t>
  </si>
  <si>
    <t xml:space="preserve">UG-13B-S09-A090</t>
  </si>
  <si>
    <t xml:space="preserve">UG-13B-S09-A100</t>
  </si>
  <si>
    <t xml:space="preserve">UG-13B-S09-A110</t>
  </si>
  <si>
    <t xml:space="preserve">UG-13B-S10-A010</t>
  </si>
  <si>
    <t xml:space="preserve">AW.PIPE.F7.UG-13B.UG-13B-S10</t>
  </si>
  <si>
    <t xml:space="preserve">UG-13B-S10-A020</t>
  </si>
  <si>
    <t xml:space="preserve">FS from A010; UG-13B-S09-A030 (SS, tie-in team follows the adjacent run)</t>
  </si>
  <si>
    <t xml:space="preserve">UG-13B-S10-A030</t>
  </si>
  <si>
    <t xml:space="preserve">UG-13B-S10-A040</t>
  </si>
  <si>
    <t xml:space="preserve">UG-13B-S10-A050</t>
  </si>
  <si>
    <t xml:space="preserve">UG-13B-S10-A060</t>
  </si>
  <si>
    <t xml:space="preserve">UG-13B-S10-A070</t>
  </si>
  <si>
    <t xml:space="preserve">UG-13B-S10-A080</t>
  </si>
  <si>
    <t xml:space="preserve">UG-13B-S09-A080 (FS, closure)</t>
  </si>
  <si>
    <t xml:space="preserve">UG-13B-S10-A090</t>
  </si>
  <si>
    <t xml:space="preserve">UG-13B-S10-A100</t>
  </si>
  <si>
    <t xml:space="preserve">UG-13B-S10-A110</t>
  </si>
  <si>
    <t xml:space="preserve">UG-13B-S08-A010</t>
  </si>
  <si>
    <t xml:space="preserve">AW.PIPE.F7.UG-13B.UG-13B-S08</t>
  </si>
  <si>
    <t xml:space="preserve">UG-13B-S08-A020</t>
  </si>
  <si>
    <t xml:space="preserve">FS from A010; UG-13B-S09-A030 (SS, set-out one package ahead of piling)</t>
  </si>
  <si>
    <t xml:space="preserve">UG-13B-S08-A030</t>
  </si>
  <si>
    <t xml:space="preserve">UG-13B-S08-A040</t>
  </si>
  <si>
    <t xml:space="preserve">UG-13B-S08-A050</t>
  </si>
  <si>
    <t xml:space="preserve">UG-13B-S09-A060 (FS, negative lag = own duration: drawdown complete when the excavation crew is free)</t>
  </si>
  <si>
    <t xml:space="preserve">UG-13B-S08-A060</t>
  </si>
  <si>
    <t xml:space="preserve">UG-12-S03-A100 (FS, deeper first)</t>
  </si>
  <si>
    <t xml:space="preserve">UG-13B-S08-A070</t>
  </si>
  <si>
    <t xml:space="preserve">UG-13B-S08-A080</t>
  </si>
  <si>
    <t xml:space="preserve">UG-13B-S08-A090</t>
  </si>
  <si>
    <t xml:space="preserve">UG-13B-S08-A100</t>
  </si>
  <si>
    <t xml:space="preserve">UG-13B-S08-A110</t>
  </si>
  <si>
    <t xml:space="preserve">UG-13B-S04-A010</t>
  </si>
  <si>
    <t xml:space="preserve">AW.PIPE.F7.UG-13B.UG-13B-S04</t>
  </si>
  <si>
    <t xml:space="preserve">UG-13B-S04-A020</t>
  </si>
  <si>
    <t xml:space="preserve">FS from A010; UG-13B-S08-A030 (SS, set-out one package ahead of piling)</t>
  </si>
  <si>
    <t xml:space="preserve">UG-13B-S04-A030</t>
  </si>
  <si>
    <t xml:space="preserve">UG-13B-S04-A040</t>
  </si>
  <si>
    <t xml:space="preserve">UG-13B-S04-A050</t>
  </si>
  <si>
    <t xml:space="preserve">UG-13B-S08-A060 (FS, negative lag = own duration: drawdown complete when the excavation crew is free)</t>
  </si>
  <si>
    <t xml:space="preserve">UG-13B-S04-A060</t>
  </si>
  <si>
    <t xml:space="preserve">UG-13B-S04-A070</t>
  </si>
  <si>
    <t xml:space="preserve">UG-13B-S04-A080</t>
  </si>
  <si>
    <t xml:space="preserve">UG-13B-S04-A090</t>
  </si>
  <si>
    <t xml:space="preserve">UG-13B-S04-A100</t>
  </si>
  <si>
    <t xml:space="preserve">UG-13B-S04-A110</t>
  </si>
  <si>
    <t xml:space="preserve">UG-13B-S03-A010</t>
  </si>
  <si>
    <t xml:space="preserve">AW.PIPE.F7.UG-13B.UG-13B-S03</t>
  </si>
  <si>
    <t xml:space="preserve">UG-13B-S03-A020</t>
  </si>
  <si>
    <t xml:space="preserve">FS from A010; UG-13B-S04-A030 (SS, set-out one package ahead of piling)</t>
  </si>
  <si>
    <t xml:space="preserve">UG-13B-S03-A030</t>
  </si>
  <si>
    <t xml:space="preserve">UG-13B-S03-A040</t>
  </si>
  <si>
    <t xml:space="preserve">UG-13B-S03-A050</t>
  </si>
  <si>
    <t xml:space="preserve">UG-13B-S04-A060 (FS, negative lag = own duration: drawdown complete when the excavation crew is free)</t>
  </si>
  <si>
    <t xml:space="preserve">UG-13B-S03-A060</t>
  </si>
  <si>
    <t xml:space="preserve">UG-13B-S03-A070</t>
  </si>
  <si>
    <t xml:space="preserve">UG-13B-S03-A080</t>
  </si>
  <si>
    <t xml:space="preserve">UG-13B-S03-A090</t>
  </si>
  <si>
    <t xml:space="preserve">UG-13B-S03-A100</t>
  </si>
  <si>
    <t xml:space="preserve">UG-13B-S03-A110</t>
  </si>
  <si>
    <t xml:space="preserve">UG-13B-S02-A010</t>
  </si>
  <si>
    <t xml:space="preserve">AW.PIPE.F7.UG-13B.UG-13B-S02</t>
  </si>
  <si>
    <t xml:space="preserve">UG-13B-S02-A020</t>
  </si>
  <si>
    <t xml:space="preserve">FS from A010; UG-13B-S03-A030 (SS, set-out one package ahead of piling)</t>
  </si>
  <si>
    <t xml:space="preserve">UG-13B-S02-A030</t>
  </si>
  <si>
    <t xml:space="preserve">UG-13B-S02-A040</t>
  </si>
  <si>
    <t xml:space="preserve">UG-13B-S02-A050</t>
  </si>
  <si>
    <t xml:space="preserve">UG-13B-S03-A060 (FS, negative lag = own duration: drawdown complete when the excavation crew is free)</t>
  </si>
  <si>
    <t xml:space="preserve">UG-13B-S02-A060</t>
  </si>
  <si>
    <t xml:space="preserve">UG-13B-S02-A070</t>
  </si>
  <si>
    <t xml:space="preserve">UG-13B-S02-A080</t>
  </si>
  <si>
    <t xml:space="preserve">UG-13B-S02-A090</t>
  </si>
  <si>
    <t xml:space="preserve">UG-13B-S02-A100</t>
  </si>
  <si>
    <t xml:space="preserve">UG-13B-S02-A110</t>
  </si>
  <si>
    <t xml:space="preserve">UG-13A-S07-A010</t>
  </si>
  <si>
    <t xml:space="preserve">AW.PIPE.F7.UG-13A.UG-13A-S07</t>
  </si>
  <si>
    <t xml:space="preserve">UG-13A-S07-A020</t>
  </si>
  <si>
    <t xml:space="preserve">FS from A010; UG-13B-S02-A030 (SS, set-out one package ahead of piling)</t>
  </si>
  <si>
    <t xml:space="preserve">UG-13A-S07-A030</t>
  </si>
  <si>
    <t xml:space="preserve">UG-13A-S07-A040</t>
  </si>
  <si>
    <t xml:space="preserve">UG-13A-S07-A050</t>
  </si>
  <si>
    <t xml:space="preserve">UG-13B-S02-A060 (FS, negative lag = own duration: drawdown complete when the excavation crew is free)</t>
  </si>
  <si>
    <t xml:space="preserve">UG-13A-S07-A060</t>
  </si>
  <si>
    <t xml:space="preserve">UG-13A-S07-A070</t>
  </si>
  <si>
    <t xml:space="preserve">UG-13A-S07-A080</t>
  </si>
  <si>
    <t xml:space="preserve">UG-13A-S07-A090</t>
  </si>
  <si>
    <t xml:space="preserve">UG-13A-S07-A100</t>
  </si>
  <si>
    <t xml:space="preserve">UG-13A-S07-A110</t>
  </si>
  <si>
    <t xml:space="preserve">UG-13-S02-A010</t>
  </si>
  <si>
    <t xml:space="preserve">AW.PIPE.F7.UG-13.UG-13-S02</t>
  </si>
  <si>
    <t xml:space="preserve">UG-13-S02-A020</t>
  </si>
  <si>
    <t xml:space="preserve">FS from A010; UG-13A-S07-A030 (SS, set-out one package ahead of piling)</t>
  </si>
  <si>
    <t xml:space="preserve">UG-13-S02-A030</t>
  </si>
  <si>
    <t xml:space="preserve">UG-13-S02-A040</t>
  </si>
  <si>
    <t xml:space="preserve">UG-13-S02-A050</t>
  </si>
  <si>
    <t xml:space="preserve">UG-13A-S07-A060 (FS, negative lag = own duration: drawdown complete when the excavation crew is free)</t>
  </si>
  <si>
    <t xml:space="preserve">UG-13-S02-A060</t>
  </si>
  <si>
    <t xml:space="preserve">UG-13-S02-A070</t>
  </si>
  <si>
    <t xml:space="preserve">UG-13-S02-A080</t>
  </si>
  <si>
    <t xml:space="preserve">UG-13-S02-A090</t>
  </si>
  <si>
    <t xml:space="preserve">UG-13-S02-A100</t>
  </si>
  <si>
    <t xml:space="preserve">UG-13A-S02-A080 (FS, shared trench laid); UG-13A-S16-A080 (FS, shared trench laid)</t>
  </si>
  <si>
    <t xml:space="preserve">UG-13-S02-A110</t>
  </si>
  <si>
    <t xml:space="preserve">UG-13A-S02-A010</t>
  </si>
  <si>
    <t xml:space="preserve">AW.PIPE.F7.UG-13A.UG-13A-S02</t>
  </si>
  <si>
    <t xml:space="preserve">UG-13A-S02-A020</t>
  </si>
  <si>
    <t xml:space="preserve">FS from A010; UG-13-S02-A030 (SS, set-out one package ahead of piling)</t>
  </si>
  <si>
    <t xml:space="preserve">UG-13A-S02-A030</t>
  </si>
  <si>
    <t xml:space="preserve">UG-13A-S02-A040</t>
  </si>
  <si>
    <t xml:space="preserve">UG-13A-S02-A050</t>
  </si>
  <si>
    <t xml:space="preserve">UG-13-S02-A060 (FS, negative lag = own duration: drawdown complete when the excavation crew is free)</t>
  </si>
  <si>
    <t xml:space="preserve">UG-13A-S02-A060</t>
  </si>
  <si>
    <t xml:space="preserve">UG-13-S02-A060 (SS, shared trench)</t>
  </si>
  <si>
    <t xml:space="preserve">UG-13A-S02-A070</t>
  </si>
  <si>
    <t xml:space="preserve">UG-13A-S02-A080</t>
  </si>
  <si>
    <t xml:space="preserve">UG-13A-S02-A090</t>
  </si>
  <si>
    <t xml:space="preserve">UG-13A-S02-A100</t>
  </si>
  <si>
    <t xml:space="preserve">UG-13-S02-A080 (FS, shared trench laid)</t>
  </si>
  <si>
    <t xml:space="preserve">UG-13A-S02-A110</t>
  </si>
  <si>
    <t xml:space="preserve">UG-13-S01-A010</t>
  </si>
  <si>
    <t xml:space="preserve">AW.PIPE.F7.UG-13.UG-13-S01</t>
  </si>
  <si>
    <t xml:space="preserve">UG-13-S01-A020</t>
  </si>
  <si>
    <t xml:space="preserve">FS from A010; UG-13-S02-A030 (SS, tie-in team follows the adjacent run)</t>
  </si>
  <si>
    <t xml:space="preserve">UG-13-S01-A030</t>
  </si>
  <si>
    <t xml:space="preserve">UG-13-S01-A040</t>
  </si>
  <si>
    <t xml:space="preserve">UG-13-S01-A050</t>
  </si>
  <si>
    <t xml:space="preserve">UG-13-S01-A060</t>
  </si>
  <si>
    <t xml:space="preserve">UG-13-S01-A070</t>
  </si>
  <si>
    <t xml:space="preserve">UG-13-S01-A080</t>
  </si>
  <si>
    <t xml:space="preserve">UG-13-S02-A080 (FS, closure)</t>
  </si>
  <si>
    <t xml:space="preserve">UG-13-S01-A090</t>
  </si>
  <si>
    <t xml:space="preserve">UG-13-S01-A100</t>
  </si>
  <si>
    <t xml:space="preserve">UG-13A-S08-A080 (FS, shared trench laid); UG-13A-S11-A080 (FS, shared trench laid); UG-13A-S12-A080 (FS, shared trench laid); UG-13A-S16-A080 (FS, shared trench laid)</t>
  </si>
  <si>
    <t xml:space="preserve">UG-13-S01-A110</t>
  </si>
  <si>
    <t xml:space="preserve">UG-13A-S16-A010</t>
  </si>
  <si>
    <t xml:space="preserve">AW.PIPE.F7.UG-13A.UG-13A-S16</t>
  </si>
  <si>
    <t xml:space="preserve">UG-13A-S16-A020</t>
  </si>
  <si>
    <t xml:space="preserve">FS from A010; UG-13A-S02-A030 (SS, set-out one package ahead of piling)</t>
  </si>
  <si>
    <t xml:space="preserve">UG-13A-S16-A030</t>
  </si>
  <si>
    <t xml:space="preserve">UG-13A-S16-A040</t>
  </si>
  <si>
    <t xml:space="preserve">UG-13A-S16-A050</t>
  </si>
  <si>
    <t xml:space="preserve">UG-13A-S02-A060 (FS, negative lag = own duration: drawdown complete when the excavation crew is free)</t>
  </si>
  <si>
    <t xml:space="preserve">UG-13A-S16-A060</t>
  </si>
  <si>
    <t xml:space="preserve">UG-13-S01-A060 (SS, shared trench); UG-13-S02-A060 (SS, shared trench)</t>
  </si>
  <si>
    <t xml:space="preserve">UG-13A-S16-A070</t>
  </si>
  <si>
    <t xml:space="preserve">UG-13A-S16-A080</t>
  </si>
  <si>
    <t xml:space="preserve">UG-13A-S16-A090</t>
  </si>
  <si>
    <t xml:space="preserve">UG-13A-S16-A100</t>
  </si>
  <si>
    <t xml:space="preserve">UG-13-S01-A080 (FS, shared trench laid); UG-13-S02-A080 (FS, shared trench laid)</t>
  </si>
  <si>
    <t xml:space="preserve">UG-13A-S16-A110</t>
  </si>
  <si>
    <t xml:space="preserve">UG-13A-S08-A010</t>
  </si>
  <si>
    <t xml:space="preserve">AW.PIPE.F7.UG-13A.UG-13A-S08</t>
  </si>
  <si>
    <t xml:space="preserve">UG-13A-S08-A020</t>
  </si>
  <si>
    <t xml:space="preserve">FS from A010; UG-13A-S07-A030 (SS, tie-in team follows the adjacent run)</t>
  </si>
  <si>
    <t xml:space="preserve">UG-13A-S08-A030</t>
  </si>
  <si>
    <t xml:space="preserve">UG-13A-S08-A040</t>
  </si>
  <si>
    <t xml:space="preserve">UG-13A-S08-A050</t>
  </si>
  <si>
    <t xml:space="preserve">UG-13A-S08-A060</t>
  </si>
  <si>
    <t xml:space="preserve">UG-13-S01-A060 (SS, shared trench)</t>
  </si>
  <si>
    <t xml:space="preserve">UG-13A-S08-A070</t>
  </si>
  <si>
    <t xml:space="preserve">UG-13A-S08-A080</t>
  </si>
  <si>
    <t xml:space="preserve">UG-13A-S07-A080 (FS, closure)</t>
  </si>
  <si>
    <t xml:space="preserve">UG-13A-S08-A090</t>
  </si>
  <si>
    <t xml:space="preserve">UG-13A-S08-A100</t>
  </si>
  <si>
    <t xml:space="preserve">UG-13-S01-A080 (FS, shared trench laid)</t>
  </si>
  <si>
    <t xml:space="preserve">UG-13A-S08-A110</t>
  </si>
  <si>
    <t xml:space="preserve">UG-13A-S12-A010</t>
  </si>
  <si>
    <t xml:space="preserve">AW.PIPE.F7.UG-13A.UG-13A-S12</t>
  </si>
  <si>
    <t xml:space="preserve">UG-13A-S12-A020</t>
  </si>
  <si>
    <t xml:space="preserve">FS from A010; UG-13A-S16-A030 (SS, set-out one package ahead of piling)</t>
  </si>
  <si>
    <t xml:space="preserve">UG-13A-S12-A030</t>
  </si>
  <si>
    <t xml:space="preserve">UG-13A-S12-A040</t>
  </si>
  <si>
    <t xml:space="preserve">UG-13A-S12-A050</t>
  </si>
  <si>
    <t xml:space="preserve">UG-13A-S16-A060 (FS, negative lag = own duration: drawdown complete when the excavation crew is free)</t>
  </si>
  <si>
    <t xml:space="preserve">UG-13A-S12-A060</t>
  </si>
  <si>
    <t xml:space="preserve">UG-13A-S12-A070</t>
  </si>
  <si>
    <t xml:space="preserve">UG-13A-S12-A080</t>
  </si>
  <si>
    <t xml:space="preserve">UG-13A-S12-A090</t>
  </si>
  <si>
    <t xml:space="preserve">UG-13A-S12-A100</t>
  </si>
  <si>
    <t xml:space="preserve">UG-13A-S12-A110</t>
  </si>
  <si>
    <t xml:space="preserve">UG-13A-S11-A010</t>
  </si>
  <si>
    <t xml:space="preserve">AW.PIPE.F7.UG-13A.UG-13A-S11</t>
  </si>
  <si>
    <t xml:space="preserve">UG-13A-S11-A020</t>
  </si>
  <si>
    <t xml:space="preserve">FS from A010; UG-13A-S12-A030 (SS, tie-in team follows the adjacent run)</t>
  </si>
  <si>
    <t xml:space="preserve">UG-13A-S11-A030</t>
  </si>
  <si>
    <t xml:space="preserve">UG-13A-S11-A040</t>
  </si>
  <si>
    <t xml:space="preserve">UG-13A-S11-A050</t>
  </si>
  <si>
    <t xml:space="preserve">UG-13A-S11-A060</t>
  </si>
  <si>
    <t xml:space="preserve">UG-13A-S11-A070</t>
  </si>
  <si>
    <t xml:space="preserve">UG-13A-S11-A080</t>
  </si>
  <si>
    <t xml:space="preserve">UG-13A-S12-A080 (FS, closure)</t>
  </si>
  <si>
    <t xml:space="preserve">UG-13A-S11-A090</t>
  </si>
  <si>
    <t xml:space="preserve">UG-13A-S11-A100</t>
  </si>
  <si>
    <t xml:space="preserve">UG-13A-S11-A110</t>
  </si>
  <si>
    <t xml:space="preserve">UG-13A-S01-A010</t>
  </si>
  <si>
    <t xml:space="preserve">AW.PIPE.F7.UG-13A.UG-13A-S01</t>
  </si>
  <si>
    <t xml:space="preserve">UG-13A-S01-A020</t>
  </si>
  <si>
    <t xml:space="preserve">FS from A010; UG-13A-S02-A030 (SS, tie-in team follows the adjacent run)</t>
  </si>
  <si>
    <t xml:space="preserve">UG-13A-S01-A030</t>
  </si>
  <si>
    <t xml:space="preserve">UG-13A-S01-A040</t>
  </si>
  <si>
    <t xml:space="preserve">UG-13A-S01-A050</t>
  </si>
  <si>
    <t xml:space="preserve">UG-13A-S01-A060</t>
  </si>
  <si>
    <t xml:space="preserve">UG-13A-S01-A070</t>
  </si>
  <si>
    <t xml:space="preserve">UG-13A-S01-A080</t>
  </si>
  <si>
    <t xml:space="preserve">UG-13A-S02-A080 (FS, closure)</t>
  </si>
  <si>
    <t xml:space="preserve">UG-13A-S01-A090</t>
  </si>
  <si>
    <t xml:space="preserve">UG-13A-S01-A100</t>
  </si>
  <si>
    <t xml:space="preserve">UG-13A-S01-A110</t>
  </si>
  <si>
    <t xml:space="preserve">UG-13A-S06-A010</t>
  </si>
  <si>
    <t xml:space="preserve">AW.PIPE.F7.UG-13A.UG-13A-S06</t>
  </si>
  <si>
    <t xml:space="preserve">UG-13A-S06-A020</t>
  </si>
  <si>
    <t xml:space="preserve">FS from A010; UG-13A-S12-A030 (SS, set-out one package ahead of piling)</t>
  </si>
  <si>
    <t xml:space="preserve">UG-13A-S06-A030</t>
  </si>
  <si>
    <t xml:space="preserve">UG-13A-S06-A040</t>
  </si>
  <si>
    <t xml:space="preserve">UG-13A-S06-A050</t>
  </si>
  <si>
    <t xml:space="preserve">UG-13A-S12-A060 (FS, negative lag = own duration: drawdown complete when the excavation crew is free)</t>
  </si>
  <si>
    <t xml:space="preserve">UG-13A-S06-A060</t>
  </si>
  <si>
    <t xml:space="preserve">UG-13A-S06-A070</t>
  </si>
  <si>
    <t xml:space="preserve">UG-13A-S06-A080</t>
  </si>
  <si>
    <t xml:space="preserve">UG-13A-S06-A090</t>
  </si>
  <si>
    <t xml:space="preserve">UG-13A-S06-A100</t>
  </si>
  <si>
    <t xml:space="preserve">UG-13A-S06-A110</t>
  </si>
  <si>
    <t xml:space="preserve">UG-13A-S05-A010</t>
  </si>
  <si>
    <t xml:space="preserve">AW.PIPE.F7.UG-13A.UG-13A-S05</t>
  </si>
  <si>
    <t xml:space="preserve">UG-13A-S05-A020</t>
  </si>
  <si>
    <t xml:space="preserve">FS from A010; UG-13A-S06-A030 (SS, set-out one package ahead of piling)</t>
  </si>
  <si>
    <t xml:space="preserve">UG-13A-S05-A030</t>
  </si>
  <si>
    <t xml:space="preserve">UG-13A-S05-A040</t>
  </si>
  <si>
    <t xml:space="preserve">UG-13A-S05-A050</t>
  </si>
  <si>
    <t xml:space="preserve">UG-13A-S06-A060 (FS, negative lag = own duration: drawdown complete when the excavation crew is free)</t>
  </si>
  <si>
    <t xml:space="preserve">UG-13A-S05-A060</t>
  </si>
  <si>
    <t xml:space="preserve">UG-13A-S05-A070</t>
  </si>
  <si>
    <t xml:space="preserve">UG-13A-S05-A080</t>
  </si>
  <si>
    <t xml:space="preserve">UG-13A-S05-A090</t>
  </si>
  <si>
    <t xml:space="preserve">UG-13A-S05-A100</t>
  </si>
  <si>
    <t xml:space="preserve">UG-13A-S05-A110</t>
  </si>
  <si>
    <t xml:space="preserve">UG-13A-S10-A010</t>
  </si>
  <si>
    <t xml:space="preserve">AW.PIPE.F7.UG-13A.UG-13A-S10</t>
  </si>
  <si>
    <t xml:space="preserve">UG-13A-S10-A020</t>
  </si>
  <si>
    <t xml:space="preserve">FS from A010; UG-13A-S05-A030 (SS, set-out one package ahead of piling)</t>
  </si>
  <si>
    <t xml:space="preserve">UG-13A-S10-A030</t>
  </si>
  <si>
    <t xml:space="preserve">UG-13A-S10-A040</t>
  </si>
  <si>
    <t xml:space="preserve">UG-13A-S10-A050</t>
  </si>
  <si>
    <t xml:space="preserve">UG-13A-S05-A060 (FS, negative lag = own duration: drawdown complete when the excavation crew is free)</t>
  </si>
  <si>
    <t xml:space="preserve">UG-13A-S10-A060</t>
  </si>
  <si>
    <t xml:space="preserve">UG-13A-S10-A070</t>
  </si>
  <si>
    <t xml:space="preserve">UG-13A-S10-A080</t>
  </si>
  <si>
    <t xml:space="preserve">UG-13A-S10-A090</t>
  </si>
  <si>
    <t xml:space="preserve">UG-13A-S10-A100</t>
  </si>
  <si>
    <t xml:space="preserve">UG-13A-S10-A110</t>
  </si>
  <si>
    <t xml:space="preserve">UG-13A-S09-A010</t>
  </si>
  <si>
    <t xml:space="preserve">AW.PIPE.F7.UG-13A.UG-13A-S09</t>
  </si>
  <si>
    <t xml:space="preserve">UG-13A-S09-A020</t>
  </si>
  <si>
    <t xml:space="preserve">FS from A010; UG-13A-S10-A030 (SS, tie-in team follows the adjacent run)</t>
  </si>
  <si>
    <t xml:space="preserve">UG-13A-S09-A030</t>
  </si>
  <si>
    <t xml:space="preserve">UG-13A-S09-A040</t>
  </si>
  <si>
    <t xml:space="preserve">UG-13A-S09-A050</t>
  </si>
  <si>
    <t xml:space="preserve">UG-13A-S09-A060</t>
  </si>
  <si>
    <t xml:space="preserve">UG-13A-S09-A070</t>
  </si>
  <si>
    <t xml:space="preserve">UG-13A-S09-A080</t>
  </si>
  <si>
    <t xml:space="preserve">UG-13A-S10-A080 (FS, closure)</t>
  </si>
  <si>
    <t xml:space="preserve">UG-13A-S09-A090</t>
  </si>
  <si>
    <t xml:space="preserve">UG-13A-S09-A100</t>
  </si>
  <si>
    <t xml:space="preserve">UG-13A-S09-A110</t>
  </si>
  <si>
    <t xml:space="preserve">UG-13A-S14-A010</t>
  </si>
  <si>
    <t xml:space="preserve">AW.PIPE.F7.UG-13A.UG-13A-S14</t>
  </si>
  <si>
    <t xml:space="preserve">UG-13A-S14-A020</t>
  </si>
  <si>
    <t xml:space="preserve">FS from A010; UG-13A-S10-A030 (SS, set-out one package ahead of piling)</t>
  </si>
  <si>
    <t xml:space="preserve">UG-13A-S14-A030</t>
  </si>
  <si>
    <t xml:space="preserve">UG-13A-S14-A040</t>
  </si>
  <si>
    <t xml:space="preserve">UG-13A-S14-A050</t>
  </si>
  <si>
    <t xml:space="preserve">UG-13A-S10-A060 (FS, negative lag = own duration: drawdown complete when the excavation crew is free)</t>
  </si>
  <si>
    <t xml:space="preserve">UG-13A-S14-A060</t>
  </si>
  <si>
    <t xml:space="preserve">UG-13A-S14-A070</t>
  </si>
  <si>
    <t xml:space="preserve">UG-13A-S14-A080</t>
  </si>
  <si>
    <t xml:space="preserve">UG-13A-S14-A090</t>
  </si>
  <si>
    <t xml:space="preserve">UG-13A-S14-A100</t>
  </si>
  <si>
    <t xml:space="preserve">UG-13A-S14-A110</t>
  </si>
  <si>
    <t xml:space="preserve">UG-13A-S04-A010</t>
  </si>
  <si>
    <t xml:space="preserve">AW.PIPE.F7.UG-13A.UG-13A-S04</t>
  </si>
  <si>
    <t xml:space="preserve">UG-13A-S04-A020</t>
  </si>
  <si>
    <t xml:space="preserve">FS from A010; UG-13A-S14-A030 (SS, set-out one package ahead of piling)</t>
  </si>
  <si>
    <t xml:space="preserve">UG-13A-S04-A030</t>
  </si>
  <si>
    <t xml:space="preserve">UG-13A-S04-A040</t>
  </si>
  <si>
    <t xml:space="preserve">UG-13A-S04-A050</t>
  </si>
  <si>
    <t xml:space="preserve">UG-13A-S14-A060 (FS, negative lag = own duration: drawdown complete when the excavation crew is free)</t>
  </si>
  <si>
    <t xml:space="preserve">UG-13A-S04-A060</t>
  </si>
  <si>
    <t xml:space="preserve">UG-13A-S04-A070</t>
  </si>
  <si>
    <t xml:space="preserve">UG-13A-S04-A080</t>
  </si>
  <si>
    <t xml:space="preserve">UG-13A-S04-A090</t>
  </si>
  <si>
    <t xml:space="preserve">UG-13A-S04-A100</t>
  </si>
  <si>
    <t xml:space="preserve">UG-27I-S01-A080 (FS, shared trench laid)</t>
  </si>
  <si>
    <t xml:space="preserve">UG-13A-S04-A110</t>
  </si>
  <si>
    <t xml:space="preserve">UG-13A-S03-A010</t>
  </si>
  <si>
    <t xml:space="preserve">AW.PIPE.F7.UG-13A.UG-13A-S03</t>
  </si>
  <si>
    <t xml:space="preserve">UG-13A-S03-A020</t>
  </si>
  <si>
    <t xml:space="preserve">FS from A010; UG-13A-S04-A030 (SS, tie-in team follows the adjacent run)</t>
  </si>
  <si>
    <t xml:space="preserve">UG-13A-S03-A030</t>
  </si>
  <si>
    <t xml:space="preserve">UG-13A-S03-A040</t>
  </si>
  <si>
    <t xml:space="preserve">UG-13A-S03-A050</t>
  </si>
  <si>
    <t xml:space="preserve">UG-13A-S03-A060</t>
  </si>
  <si>
    <t xml:space="preserve">UG-13A-S03-A070</t>
  </si>
  <si>
    <t xml:space="preserve">UG-13A-S03-A080</t>
  </si>
  <si>
    <t xml:space="preserve">UG-13A-S04-A080 (FS, closure)</t>
  </si>
  <si>
    <t xml:space="preserve">UG-13A-S03-A090</t>
  </si>
  <si>
    <t xml:space="preserve">UG-13A-S03-A100</t>
  </si>
  <si>
    <t xml:space="preserve">UG-13A-S03-A110</t>
  </si>
  <si>
    <t xml:space="preserve">UG-27I-S01-A010</t>
  </si>
  <si>
    <t xml:space="preserve">AW.PIPE.F7.UG-27I.UG-27I-S01</t>
  </si>
  <si>
    <t xml:space="preserve">UG-27I-S01-A020</t>
  </si>
  <si>
    <t xml:space="preserve">UG-27I-S01-A030</t>
  </si>
  <si>
    <t xml:space="preserve">UG-27I-S01-A040</t>
  </si>
  <si>
    <t xml:space="preserve">UG-27I-S01-A050</t>
  </si>
  <si>
    <t xml:space="preserve">UG-27I-S01-A060</t>
  </si>
  <si>
    <t xml:space="preserve">UG-13A-S09-A100 (FS, deeper first); UG-13A-S10-A100 (FS, deeper first); UG-13A-S14-A100 (FS, deeper first); UG-13A-S03-A060 (SS, shared trench); UG-13A-S04-A060 (SS, shared trench)</t>
  </si>
  <si>
    <t xml:space="preserve">UG-27I-S01-A070</t>
  </si>
  <si>
    <t xml:space="preserve">UG-27I-S01-A080</t>
  </si>
  <si>
    <t xml:space="preserve">UG-27I-S01-A090</t>
  </si>
  <si>
    <t xml:space="preserve">UG-27I-S01-A100</t>
  </si>
  <si>
    <t xml:space="preserve">UG-13A-S03-A080 (FS, shared trench laid); UG-13A-S04-A080 (FS, shared trench laid)</t>
  </si>
  <si>
    <t xml:space="preserve">UG-27I-S01-A110</t>
  </si>
  <si>
    <t xml:space="preserve">UG-13A-S15-A010</t>
  </si>
  <si>
    <t xml:space="preserve">AW.PIPE.F7.UG-13A.UG-13A-S15</t>
  </si>
  <si>
    <t xml:space="preserve">UG-13A-S15-A020</t>
  </si>
  <si>
    <t xml:space="preserve">FS from A010; UG-13A-S16-A030 (SS, tie-in team follows the adjacent run)</t>
  </si>
  <si>
    <t xml:space="preserve">UG-13A-S15-A030</t>
  </si>
  <si>
    <t xml:space="preserve">UG-13A-S15-A040</t>
  </si>
  <si>
    <t xml:space="preserve">UG-13A-S15-A050</t>
  </si>
  <si>
    <t xml:space="preserve">UG-13A-S15-A060</t>
  </si>
  <si>
    <t xml:space="preserve">UG-13A-S15-A070</t>
  </si>
  <si>
    <t xml:space="preserve">UG-13A-S15-A080</t>
  </si>
  <si>
    <t xml:space="preserve">UG-13A-S16-A080 (FS, closure)</t>
  </si>
  <si>
    <t xml:space="preserve">UG-13A-S15-A090</t>
  </si>
  <si>
    <t xml:space="preserve">UG-13A-S15-A100</t>
  </si>
  <si>
    <t xml:space="preserve">UG-13A-S15-A110</t>
  </si>
  <si>
    <t xml:space="preserve">UG-21-S01-A010</t>
  </si>
  <si>
    <t xml:space="preserve">AW.PIPE.F8.UG-21.UG-21-S01</t>
  </si>
  <si>
    <t xml:space="preserve">UG-21-S01-A020</t>
  </si>
  <si>
    <t xml:space="preserve">UG-21-S01-A030</t>
  </si>
  <si>
    <t xml:space="preserve">UG-21-S01-A040</t>
  </si>
  <si>
    <t xml:space="preserve">UG-21-S01-A050</t>
  </si>
  <si>
    <t xml:space="preserve">UG-21-S01-A060</t>
  </si>
  <si>
    <t xml:space="preserve">UG-21-S01-A070</t>
  </si>
  <si>
    <t xml:space="preserve">UG-21-S01-A080</t>
  </si>
  <si>
    <t xml:space="preserve">UG-21-S01-A090</t>
  </si>
  <si>
    <t xml:space="preserve">UG-21-S01-A100</t>
  </si>
  <si>
    <t xml:space="preserve">UG-22-S01-A080 (FS, shared trench laid); UG-28-S02-A080 (FS, shared trench laid)</t>
  </si>
  <si>
    <t xml:space="preserve">UG-21-S01-A110</t>
  </si>
  <si>
    <t xml:space="preserve">UG-22-S01-A010</t>
  </si>
  <si>
    <t xml:space="preserve">AW.PIPE.F8.UG-22.UG-22-S01</t>
  </si>
  <si>
    <t xml:space="preserve">UG-22-S01-A020</t>
  </si>
  <si>
    <t xml:space="preserve">UG-22-S01-A030</t>
  </si>
  <si>
    <t xml:space="preserve">UG-22-S01-A040</t>
  </si>
  <si>
    <t xml:space="preserve">UG-22-S01-A050</t>
  </si>
  <si>
    <t xml:space="preserve">UG-22-S01-A060</t>
  </si>
  <si>
    <t xml:space="preserve">UG-21-S01-A060 (SS, shared trench)</t>
  </si>
  <si>
    <t xml:space="preserve">UG-22-S01-A070</t>
  </si>
  <si>
    <t xml:space="preserve">UG-22-S01-A080</t>
  </si>
  <si>
    <t xml:space="preserve">UG-22-S01-A090</t>
  </si>
  <si>
    <t xml:space="preserve">UG-22-S01-A100</t>
  </si>
  <si>
    <t xml:space="preserve">UG-21-S01-A080 (FS, shared trench laid); UG-28-S02-A080 (FS, shared trench laid)</t>
  </si>
  <si>
    <t xml:space="preserve">UG-22-S01-A110</t>
  </si>
  <si>
    <t xml:space="preserve">UG-28-S02-A010</t>
  </si>
  <si>
    <t xml:space="preserve">AW.PIPE.F8.UG-28.UG-28-S02</t>
  </si>
  <si>
    <t xml:space="preserve">UG-28-S02-A020</t>
  </si>
  <si>
    <t xml:space="preserve">UG-28-S02-A030</t>
  </si>
  <si>
    <t xml:space="preserve">UG-28-S02-A040</t>
  </si>
  <si>
    <t xml:space="preserve">UG-28-S02-A050</t>
  </si>
  <si>
    <t xml:space="preserve">UG-28-S02-A060</t>
  </si>
  <si>
    <t xml:space="preserve">UG-21-S01-A060 (SS, shared trench); UG-22-S01-A060 (SS, shared trench)</t>
  </si>
  <si>
    <t xml:space="preserve">UG-28-S02-A070</t>
  </si>
  <si>
    <t xml:space="preserve">UG-28-S02-A080</t>
  </si>
  <si>
    <t xml:space="preserve">UG-28-S02-A090</t>
  </si>
  <si>
    <t xml:space="preserve">UG-28-S02-A100</t>
  </si>
  <si>
    <t xml:space="preserve">UG-21-S01-A080 (FS, shared trench laid); UG-22-S01-A080 (FS, shared trench laid)</t>
  </si>
  <si>
    <t xml:space="preserve">UG-28-S02-A110</t>
  </si>
  <si>
    <t xml:space="preserve">UG-15-S01-A010</t>
  </si>
  <si>
    <t xml:space="preserve">AW.PIPE.F8.UG-15.UG-15-S01</t>
  </si>
  <si>
    <t xml:space="preserve">UG-15-S01-A020</t>
  </si>
  <si>
    <t xml:space="preserve">UG-15-S01-A030</t>
  </si>
  <si>
    <t xml:space="preserve">UG-15-S01-A040</t>
  </si>
  <si>
    <t xml:space="preserve">UG-15-S01-A050</t>
  </si>
  <si>
    <t xml:space="preserve">UG-15-S01-A060</t>
  </si>
  <si>
    <t xml:space="preserve">UG-15-S01-A070</t>
  </si>
  <si>
    <t xml:space="preserve">UG-15-S01-A080</t>
  </si>
  <si>
    <t xml:space="preserve">UG-15-S01-A090</t>
  </si>
  <si>
    <t xml:space="preserve">UG-15-S01-A100</t>
  </si>
  <si>
    <t xml:space="preserve">UG-15A-S06-A080 (FS, shared trench laid); UG-15A-S09-A080 (FS, shared trench laid); UG-15A-S10-A080 (FS, shared trench laid)</t>
  </si>
  <si>
    <t xml:space="preserve">UG-15-S01-A110</t>
  </si>
  <si>
    <t xml:space="preserve">UG-15A-S10-A010</t>
  </si>
  <si>
    <t xml:space="preserve">AW.PIPE.F8.UG-15A.UG-15A-S10</t>
  </si>
  <si>
    <t xml:space="preserve">UG-15A-S10-A020</t>
  </si>
  <si>
    <t xml:space="preserve">FS from A010; UG-15-S01-A030 (SS, set-out one package ahead of piling)</t>
  </si>
  <si>
    <t xml:space="preserve">UG-15A-S10-A030</t>
  </si>
  <si>
    <t xml:space="preserve">UG-15A-S10-A040</t>
  </si>
  <si>
    <t xml:space="preserve">UG-15A-S10-A050</t>
  </si>
  <si>
    <t xml:space="preserve">UG-15-S01-A060 (FS, negative lag = own duration: drawdown complete when the excavation crew is free)</t>
  </si>
  <si>
    <t xml:space="preserve">UG-15A-S10-A060</t>
  </si>
  <si>
    <t xml:space="preserve">UG-15-S01-A060 (SS, shared trench)</t>
  </si>
  <si>
    <t xml:space="preserve">UG-15A-S10-A070</t>
  </si>
  <si>
    <t xml:space="preserve">UG-15A-S10-A080</t>
  </si>
  <si>
    <t xml:space="preserve">UG-15A-S10-A090</t>
  </si>
  <si>
    <t xml:space="preserve">UG-15A-S10-A100</t>
  </si>
  <si>
    <t xml:space="preserve">UG-15-S01-A080 (FS, shared trench laid); UG-17-S02-A080 (FS, shared trench laid)</t>
  </si>
  <si>
    <t xml:space="preserve">UG-15A-S10-A110</t>
  </si>
  <si>
    <t xml:space="preserve">UG-15A-S09-A010</t>
  </si>
  <si>
    <t xml:space="preserve">AW.PIPE.F8.UG-15A.UG-15A-S09</t>
  </si>
  <si>
    <t xml:space="preserve">UG-15A-S09-A020</t>
  </si>
  <si>
    <t xml:space="preserve">FS from A010; UG-15A-S10-A030 (SS, tie-in team follows the adjacent run)</t>
  </si>
  <si>
    <t xml:space="preserve">UG-15A-S09-A030</t>
  </si>
  <si>
    <t xml:space="preserve">UG-15A-S09-A040</t>
  </si>
  <si>
    <t xml:space="preserve">UG-15A-S09-A050</t>
  </si>
  <si>
    <t xml:space="preserve">UG-15A-S09-A060</t>
  </si>
  <si>
    <t xml:space="preserve">UG-15A-S09-A070</t>
  </si>
  <si>
    <t xml:space="preserve">UG-15A-S09-A080</t>
  </si>
  <si>
    <t xml:space="preserve">UG-15A-S10-A080 (FS, closure)</t>
  </si>
  <si>
    <t xml:space="preserve">UG-15A-S09-A090</t>
  </si>
  <si>
    <t xml:space="preserve">UG-15A-S09-A100</t>
  </si>
  <si>
    <t xml:space="preserve">UG-15-S01-A080 (FS, shared trench laid)</t>
  </si>
  <si>
    <t xml:space="preserve">UG-15A-S09-A110</t>
  </si>
  <si>
    <t xml:space="preserve">UG-15A-S06-A010</t>
  </si>
  <si>
    <t xml:space="preserve">AW.PIPE.F8.UG-15A.UG-15A-S06</t>
  </si>
  <si>
    <t xml:space="preserve">UG-15A-S06-A020</t>
  </si>
  <si>
    <t xml:space="preserve">FS from A010; UG-15A-S10-A030 (SS, set-out one package ahead of piling)</t>
  </si>
  <si>
    <t xml:space="preserve">UG-15A-S06-A030</t>
  </si>
  <si>
    <t xml:space="preserve">UG-15A-S06-A040</t>
  </si>
  <si>
    <t xml:space="preserve">UG-15A-S06-A050</t>
  </si>
  <si>
    <t xml:space="preserve">UG-15A-S10-A060 (FS, negative lag = own duration: drawdown complete when the excavation crew is free)</t>
  </si>
  <si>
    <t xml:space="preserve">UG-15A-S06-A060</t>
  </si>
  <si>
    <t xml:space="preserve">UG-15A-S06-A070</t>
  </si>
  <si>
    <t xml:space="preserve">UG-15A-S06-A080</t>
  </si>
  <si>
    <t xml:space="preserve">UG-15A-S06-A090</t>
  </si>
  <si>
    <t xml:space="preserve">UG-15A-S06-A100</t>
  </si>
  <si>
    <t xml:space="preserve">UG-15-S01-A080 (FS, shared trench laid); UG-17-S02-A080 (FS, shared trench laid); UG-17-S03-A080 (FS, shared trench laid)</t>
  </si>
  <si>
    <t xml:space="preserve">UG-15A-S06-A110</t>
  </si>
  <si>
    <t xml:space="preserve">UG-17-S02-A010</t>
  </si>
  <si>
    <t xml:space="preserve">AW.PIPE.F8.UG-17.UG-17-S02</t>
  </si>
  <si>
    <t xml:space="preserve">UG-17-S02-A020</t>
  </si>
  <si>
    <t xml:space="preserve">FS from A010; UG-15A-S06-A030 (SS, set-out one package ahead of piling)</t>
  </si>
  <si>
    <t xml:space="preserve">UG-17-S02-A030</t>
  </si>
  <si>
    <t xml:space="preserve">UG-17-S02-A040</t>
  </si>
  <si>
    <t xml:space="preserve">UG-17-S02-A050</t>
  </si>
  <si>
    <t xml:space="preserve">UG-15A-S06-A060 (FS, negative lag = own duration: drawdown complete when the excavation crew is free)</t>
  </si>
  <si>
    <t xml:space="preserve">UG-17-S02-A060</t>
  </si>
  <si>
    <t xml:space="preserve">UG-15-S01-A100 (FS, deeper first); UG-15A-S06-A060 (SS, shared trench); UG-15A-S10-A060 (SS, shared trench)</t>
  </si>
  <si>
    <t xml:space="preserve">UG-17-S02-A070</t>
  </si>
  <si>
    <t xml:space="preserve">UG-17-S02-A080</t>
  </si>
  <si>
    <t xml:space="preserve">UG-17-S02-A090</t>
  </si>
  <si>
    <t xml:space="preserve">UG-17-S02-A100</t>
  </si>
  <si>
    <t xml:space="preserve">UG-15A-S06-A080 (FS, shared trench laid); UG-15A-S10-A080 (FS, shared trench laid); UG-18-S01-A080 (FS, shared trench laid); UG-18-S02-A080 (FS, shared trench laid)</t>
  </si>
  <si>
    <t xml:space="preserve">UG-17-S02-A110</t>
  </si>
  <si>
    <t xml:space="preserve">UG-19-S03-A010</t>
  </si>
  <si>
    <t xml:space="preserve">AW.PIPE.F8.UG-19.UG-19-S03</t>
  </si>
  <si>
    <t xml:space="preserve">UG-19-S03-A020</t>
  </si>
  <si>
    <t xml:space="preserve">FS from A010; UG-17-S02-A030 (SS, set-out one package ahead of piling)</t>
  </si>
  <si>
    <t xml:space="preserve">UG-19-S03-A030</t>
  </si>
  <si>
    <t xml:space="preserve">UG-19-S03-A040</t>
  </si>
  <si>
    <t xml:space="preserve">UG-19-S03-A050</t>
  </si>
  <si>
    <t xml:space="preserve">UG-17-S02-A060 (FS, negative lag = own duration: drawdown complete when the excavation crew is free)</t>
  </si>
  <si>
    <t xml:space="preserve">UG-19-S03-A060</t>
  </si>
  <si>
    <t xml:space="preserve">UG-19-S03-A070</t>
  </si>
  <si>
    <t xml:space="preserve">UG-19-S03-A080</t>
  </si>
  <si>
    <t xml:space="preserve">UG-19-S03-A090</t>
  </si>
  <si>
    <t xml:space="preserve">UG-19-S03-A100</t>
  </si>
  <si>
    <t xml:space="preserve">UG-20-S02-A080 (FS, shared trench laid)</t>
  </si>
  <si>
    <t xml:space="preserve">UG-19-S03-A110</t>
  </si>
  <si>
    <t xml:space="preserve">UG-20-S02-A010</t>
  </si>
  <si>
    <t xml:space="preserve">AW.PIPE.F8.UG-20.UG-20-S02</t>
  </si>
  <si>
    <t xml:space="preserve">UG-20-S02-A020</t>
  </si>
  <si>
    <t xml:space="preserve">FS from A010; UG-19-S03-A030 (SS, set-out one package ahead of piling)</t>
  </si>
  <si>
    <t xml:space="preserve">UG-20-S02-A030</t>
  </si>
  <si>
    <t xml:space="preserve">UG-20-S02-A040</t>
  </si>
  <si>
    <t xml:space="preserve">UG-20-S02-A050</t>
  </si>
  <si>
    <t xml:space="preserve">UG-19-S03-A060 (FS, negative lag = own duration: drawdown complete when the excavation crew is free)</t>
  </si>
  <si>
    <t xml:space="preserve">UG-20-S02-A060</t>
  </si>
  <si>
    <t xml:space="preserve">UG-19-S03-A060 (SS, shared trench)</t>
  </si>
  <si>
    <t xml:space="preserve">UG-20-S02-A070</t>
  </si>
  <si>
    <t xml:space="preserve">UG-20-S02-A080</t>
  </si>
  <si>
    <t xml:space="preserve">UG-20-S02-A090</t>
  </si>
  <si>
    <t xml:space="preserve">UG-20-S02-A100</t>
  </si>
  <si>
    <t xml:space="preserve">UG-18-S02-A080 (FS, shared trench laid); UG-19-S01-A080 (FS, shared trench laid); UG-19-S02-A080 (FS, shared trench laid); UG-19-S03-A080 (FS, shared trench laid)</t>
  </si>
  <si>
    <t xml:space="preserve">UG-20-S02-A110</t>
  </si>
  <si>
    <t xml:space="preserve">UG-20-S01-A010</t>
  </si>
  <si>
    <t xml:space="preserve">AW.PIPE.F8.UG-20.UG-20-S01</t>
  </si>
  <si>
    <t xml:space="preserve">UG-20-S01-A020</t>
  </si>
  <si>
    <t xml:space="preserve">FS from A010; UG-20-S02-A030 (SS, tie-in team follows the adjacent run)</t>
  </si>
  <si>
    <t xml:space="preserve">UG-20-S01-A030</t>
  </si>
  <si>
    <t xml:space="preserve">UG-20-S01-A040</t>
  </si>
  <si>
    <t xml:space="preserve">UG-20-S01-A050</t>
  </si>
  <si>
    <t xml:space="preserve">UG-20-S01-A060</t>
  </si>
  <si>
    <t xml:space="preserve">UG-20-S01-A070</t>
  </si>
  <si>
    <t xml:space="preserve">UG-20-S01-A080</t>
  </si>
  <si>
    <t xml:space="preserve">UG-20-S02-A080 (FS, closure)</t>
  </si>
  <si>
    <t xml:space="preserve">UG-20-S01-A090</t>
  </si>
  <si>
    <t xml:space="preserve">UG-20-S01-A100</t>
  </si>
  <si>
    <t xml:space="preserve">UG-19-S01-A080 (FS, shared trench laid); UG-19-S02-A080 (FS, shared trench laid)</t>
  </si>
  <si>
    <t xml:space="preserve">UG-20-S01-A110</t>
  </si>
  <si>
    <t xml:space="preserve">UG-19-S02-A010</t>
  </si>
  <si>
    <t xml:space="preserve">AW.PIPE.F8.UG-19.UG-19-S02</t>
  </si>
  <si>
    <t xml:space="preserve">UG-19-S02-A020</t>
  </si>
  <si>
    <t xml:space="preserve">FS from A010; UG-20-S02-A030 (SS, set-out one package ahead of piling)</t>
  </si>
  <si>
    <t xml:space="preserve">UG-19-S02-A030</t>
  </si>
  <si>
    <t xml:space="preserve">UG-19-S02-A040</t>
  </si>
  <si>
    <t xml:space="preserve">UG-19-S02-A050</t>
  </si>
  <si>
    <t xml:space="preserve">UG-20-S02-A060 (FS, negative lag = own duration: drawdown complete when the excavation crew is free)</t>
  </si>
  <si>
    <t xml:space="preserve">UG-19-S02-A060</t>
  </si>
  <si>
    <t xml:space="preserve">UG-20-S01-A060 (SS, shared trench); UG-20-S02-A060 (SS, shared trench)</t>
  </si>
  <si>
    <t xml:space="preserve">UG-19-S02-A070</t>
  </si>
  <si>
    <t xml:space="preserve">UG-19-S02-A080</t>
  </si>
  <si>
    <t xml:space="preserve">UG-19-S02-A090</t>
  </si>
  <si>
    <t xml:space="preserve">UG-19-S02-A100</t>
  </si>
  <si>
    <t xml:space="preserve">UG-20-S01-A080 (FS, shared trench laid); UG-20-S02-A080 (FS, shared trench laid)</t>
  </si>
  <si>
    <t xml:space="preserve">UG-19-S02-A110</t>
  </si>
  <si>
    <t xml:space="preserve">UG-19-S01-A010</t>
  </si>
  <si>
    <t xml:space="preserve">AW.PIPE.F8.UG-19.UG-19-S01</t>
  </si>
  <si>
    <t xml:space="preserve">UG-19-S01-A020</t>
  </si>
  <si>
    <t xml:space="preserve">FS from A010; UG-19-S02-A030 (SS, tie-in team follows the adjacent run)</t>
  </si>
  <si>
    <t xml:space="preserve">UG-19-S01-A030</t>
  </si>
  <si>
    <t xml:space="preserve">UG-19-S01-A040</t>
  </si>
  <si>
    <t xml:space="preserve">UG-19-S01-A050</t>
  </si>
  <si>
    <t xml:space="preserve">UG-19-S01-A060</t>
  </si>
  <si>
    <t xml:space="preserve">UG-19-S01-A070</t>
  </si>
  <si>
    <t xml:space="preserve">UG-19-S01-A080</t>
  </si>
  <si>
    <t xml:space="preserve">UG-19-S02-A080 (FS, closure)</t>
  </si>
  <si>
    <t xml:space="preserve">UG-19-S01-A090</t>
  </si>
  <si>
    <t xml:space="preserve">UG-19-S01-A100</t>
  </si>
  <si>
    <t xml:space="preserve">UG-19-S01-A110</t>
  </si>
  <si>
    <t xml:space="preserve">UG-15A-S08-A010</t>
  </si>
  <si>
    <t xml:space="preserve">AW.PIPE.F8.UG-15A.UG-15A-S08</t>
  </si>
  <si>
    <t xml:space="preserve">UG-15A-S08-A020</t>
  </si>
  <si>
    <t xml:space="preserve">FS from A010; UG-19-S02-A030 (SS, set-out one package ahead of piling)</t>
  </si>
  <si>
    <t xml:space="preserve">UG-15A-S08-A030</t>
  </si>
  <si>
    <t xml:space="preserve">UG-15A-S08-A040</t>
  </si>
  <si>
    <t xml:space="preserve">UG-15A-S08-A050</t>
  </si>
  <si>
    <t xml:space="preserve">UG-19-S02-A060 (FS, negative lag = own duration: drawdown complete when the excavation crew is free)</t>
  </si>
  <si>
    <t xml:space="preserve">UG-15A-S08-A060</t>
  </si>
  <si>
    <t xml:space="preserve">UG-15A-S08-A070</t>
  </si>
  <si>
    <t xml:space="preserve">UG-15A-S08-A080</t>
  </si>
  <si>
    <t xml:space="preserve">UG-15A-S08-A090</t>
  </si>
  <si>
    <t xml:space="preserve">UG-15A-S08-A100</t>
  </si>
  <si>
    <t xml:space="preserve">UG-17-S03-A080 (FS, shared trench laid)</t>
  </si>
  <si>
    <t xml:space="preserve">UG-15A-S08-A110</t>
  </si>
  <si>
    <t xml:space="preserve">UG-15A-S05-A010</t>
  </si>
  <si>
    <t xml:space="preserve">AW.PIPE.F8.UG-15A.UG-15A-S05</t>
  </si>
  <si>
    <t xml:space="preserve">UG-15A-S05-A020</t>
  </si>
  <si>
    <t xml:space="preserve">FS from A010; UG-15A-S08-A030 (SS, set-out one package ahead of piling)</t>
  </si>
  <si>
    <t xml:space="preserve">UG-15A-S05-A030</t>
  </si>
  <si>
    <t xml:space="preserve">UG-15A-S05-A040</t>
  </si>
  <si>
    <t xml:space="preserve">UG-15A-S05-A050</t>
  </si>
  <si>
    <t xml:space="preserve">UG-15A-S08-A060 (FS, negative lag = own duration: drawdown complete when the excavation crew is free)</t>
  </si>
  <si>
    <t xml:space="preserve">UG-15A-S05-A060</t>
  </si>
  <si>
    <t xml:space="preserve">UG-15A-S05-A070</t>
  </si>
  <si>
    <t xml:space="preserve">UG-15A-S05-A080</t>
  </si>
  <si>
    <t xml:space="preserve">UG-15A-S05-A090</t>
  </si>
  <si>
    <t xml:space="preserve">UG-15A-S05-A100</t>
  </si>
  <si>
    <t xml:space="preserve">UG-11B-S06-A080 (FS, shared trench laid); UG-17-S03-A080 (FS, shared trench laid); UG-18-S02-A080 (FS, shared trench laid)</t>
  </si>
  <si>
    <t xml:space="preserve">UG-15A-S05-A110</t>
  </si>
  <si>
    <t xml:space="preserve">UG-17-S04-A010</t>
  </si>
  <si>
    <t xml:space="preserve">AW.PIPE.F8.UG-17.UG-17-S04</t>
  </si>
  <si>
    <t xml:space="preserve">UG-17-S04-A020</t>
  </si>
  <si>
    <t xml:space="preserve">FS from A010; UG-15A-S05-A030 (SS, set-out one package ahead of piling)</t>
  </si>
  <si>
    <t xml:space="preserve">UG-17-S04-A030</t>
  </si>
  <si>
    <t xml:space="preserve">UG-17-S04-A040</t>
  </si>
  <si>
    <t xml:space="preserve">UG-17-S04-A050</t>
  </si>
  <si>
    <t xml:space="preserve">UG-15A-S05-A060 (FS, negative lag = own duration: drawdown complete when the excavation crew is free)</t>
  </si>
  <si>
    <t xml:space="preserve">UG-17-S04-A060</t>
  </si>
  <si>
    <t xml:space="preserve">UG-17-S04-A070</t>
  </si>
  <si>
    <t xml:space="preserve">UG-17-S04-A080</t>
  </si>
  <si>
    <t xml:space="preserve">UG-17-S04-A090</t>
  </si>
  <si>
    <t xml:space="preserve">UG-17-S04-A100</t>
  </si>
  <si>
    <t xml:space="preserve">UG-11B-S05-A080 (FS, shared trench laid); UG-11B-S06-A080 (FS, shared trench laid); UG-18-S02-A080 (FS, shared trench laid)</t>
  </si>
  <si>
    <t xml:space="preserve">UG-17-S04-A110</t>
  </si>
  <si>
    <t xml:space="preserve">UG-17-S05-A010</t>
  </si>
  <si>
    <t xml:space="preserve">AW.PIPE.F8.UG-17.UG-17-S05</t>
  </si>
  <si>
    <t xml:space="preserve">UG-17-S05-A020</t>
  </si>
  <si>
    <t xml:space="preserve">FS from A010; UG-17-S04-A030 (SS, set-out one package ahead of piling)</t>
  </si>
  <si>
    <t xml:space="preserve">UG-17-S05-A030</t>
  </si>
  <si>
    <t xml:space="preserve">UG-17-S05-A040</t>
  </si>
  <si>
    <t xml:space="preserve">UG-17-S05-A050</t>
  </si>
  <si>
    <t xml:space="preserve">UG-17-S04-A060 (FS, negative lag = own duration: drawdown complete when the excavation crew is free)</t>
  </si>
  <si>
    <t xml:space="preserve">UG-17-S05-A060</t>
  </si>
  <si>
    <t xml:space="preserve">UG-17-S05-A070</t>
  </si>
  <si>
    <t xml:space="preserve">UG-17-S05-A080</t>
  </si>
  <si>
    <t xml:space="preserve">UG-17-S05-A090</t>
  </si>
  <si>
    <t xml:space="preserve">UG-17-S05-A100</t>
  </si>
  <si>
    <t xml:space="preserve">UG-11B-S05-A080 (FS, shared trench laid); UG-18-S02-A080 (FS, shared trench laid)</t>
  </si>
  <si>
    <t xml:space="preserve">UG-17-S05-A110</t>
  </si>
  <si>
    <t xml:space="preserve">UG-11B-S05-A010</t>
  </si>
  <si>
    <t xml:space="preserve">AW.PIPE.F8.UG-11B.UG-11B-S05</t>
  </si>
  <si>
    <t xml:space="preserve">UG-11B-S05-A020</t>
  </si>
  <si>
    <t xml:space="preserve">FS from A010; UG-17-S05-A030 (SS, set-out one package ahead of piling)</t>
  </si>
  <si>
    <t xml:space="preserve">UG-11B-S05-A030</t>
  </si>
  <si>
    <t xml:space="preserve">UG-11B-S05-A040</t>
  </si>
  <si>
    <t xml:space="preserve">UG-11B-S05-A050</t>
  </si>
  <si>
    <t xml:space="preserve">UG-17-S05-A060 (FS, negative lag = own duration: drawdown complete when the excavation crew is free)</t>
  </si>
  <si>
    <t xml:space="preserve">UG-11B-S05-A060</t>
  </si>
  <si>
    <t xml:space="preserve">UG-17-S04-A060 (SS, shared trench); UG-17-S05-A060 (SS, shared trench)</t>
  </si>
  <si>
    <t xml:space="preserve">UG-11B-S05-A070</t>
  </si>
  <si>
    <t xml:space="preserve">UG-11B-S05-A080</t>
  </si>
  <si>
    <t xml:space="preserve">UG-11B-S05-A090</t>
  </si>
  <si>
    <t xml:space="preserve">UG-11B-S05-A100</t>
  </si>
  <si>
    <t xml:space="preserve">UG-17-S03-A080 (FS, shared trench laid); UG-17-S04-A080 (FS, shared trench laid); UG-17-S05-A080 (FS, shared trench laid)</t>
  </si>
  <si>
    <t xml:space="preserve">UG-11B-S05-A110</t>
  </si>
  <si>
    <t xml:space="preserve">UG-17-S03-A010</t>
  </si>
  <si>
    <t xml:space="preserve">AW.PIPE.F8.UG-17.UG-17-S03</t>
  </si>
  <si>
    <t xml:space="preserve">UG-17-S03-A020</t>
  </si>
  <si>
    <t xml:space="preserve">FS from A010; UG-11B-S05-A030 (SS, set-out one package ahead of piling)</t>
  </si>
  <si>
    <t xml:space="preserve">UG-17-S03-A030</t>
  </si>
  <si>
    <t xml:space="preserve">UG-17-S03-A040</t>
  </si>
  <si>
    <t xml:space="preserve">UG-17-S03-A050</t>
  </si>
  <si>
    <t xml:space="preserve">UG-11B-S05-A060 (FS, negative lag = own duration: drawdown complete when the excavation crew is free)</t>
  </si>
  <si>
    <t xml:space="preserve">UG-17-S03-A060</t>
  </si>
  <si>
    <t xml:space="preserve">UG-11B-S05-A060 (SS, shared trench); UG-15-S01-A060 (SS, shared trench); UG-15A-S05-A060 (SS, shared trench); UG-15A-S06-A060 (SS, shared trench); UG-15A-S08-A060 (SS, shared trench)</t>
  </si>
  <si>
    <t xml:space="preserve">UG-17-S03-A070</t>
  </si>
  <si>
    <t xml:space="preserve">UG-17-S03-A080</t>
  </si>
  <si>
    <t xml:space="preserve">UG-17-S03-A090</t>
  </si>
  <si>
    <t xml:space="preserve">UG-17-S03-A100</t>
  </si>
  <si>
    <t xml:space="preserve">UG-11B-S05-A080 (FS, shared trench laid); UG-11B-S06-A080 (FS, shared trench laid); UG-15-S01-A080 (FS, shared trench laid); UG-15A-S04-A080 (FS, shared trench laid); UG-15A-S05-A080 (FS, shared trench laid); UG-15A-S06-A080 (FS, shared trench laid); UG-15A-S08-A080 (FS, shared trench laid); UG-18-S02-A080 (FS, shared trench laid)</t>
  </si>
  <si>
    <t xml:space="preserve">UG-17-S03-A110</t>
  </si>
  <si>
    <t xml:space="preserve">UG-18-S02-A010</t>
  </si>
  <si>
    <t xml:space="preserve">AW.PIPE.F8.UG-18.UG-18-S02</t>
  </si>
  <si>
    <t xml:space="preserve">UG-18-S02-A020</t>
  </si>
  <si>
    <t xml:space="preserve">FS from A010; UG-17-S03-A030 (SS, set-out one package ahead of piling)</t>
  </si>
  <si>
    <t xml:space="preserve">UG-18-S02-A030</t>
  </si>
  <si>
    <t xml:space="preserve">UG-18-S02-A040</t>
  </si>
  <si>
    <t xml:space="preserve">UG-18-S02-A050</t>
  </si>
  <si>
    <t xml:space="preserve">UG-17-S03-A060 (FS, negative lag = own duration: drawdown complete when the excavation crew is free)</t>
  </si>
  <si>
    <t xml:space="preserve">UG-18-S02-A060</t>
  </si>
  <si>
    <t xml:space="preserve">UG-15A-S05-A060 (SS, shared trench); UG-17-S02-A060 (SS, shared trench); UG-17-S03-A060 (SS, shared trench); UG-17-S04-A060 (SS, shared trench); UG-17-S05-A060 (SS, shared trench); UG-20-S02-A060 (SS, shared trench)</t>
  </si>
  <si>
    <t xml:space="preserve">UG-18-S02-A070</t>
  </si>
  <si>
    <t xml:space="preserve">UG-18-S02-A080</t>
  </si>
  <si>
    <t xml:space="preserve">UG-18-S02-A090</t>
  </si>
  <si>
    <t xml:space="preserve">UG-18-S02-A100</t>
  </si>
  <si>
    <t xml:space="preserve">UG-15A-S05-A080 (FS, shared trench laid); UG-17-S01-A080 (FS, shared trench laid); UG-17-S02-A080 (FS, shared trench laid); UG-17-S03-A080 (FS, shared trench laid); UG-17-S04-A080 (FS, shared trench laid); UG-17-S05-A080 (FS, shared trench laid); UG-20-S02-A080 (FS, shared trench laid)</t>
  </si>
  <si>
    <t xml:space="preserve">UG-18-S02-A110</t>
  </si>
  <si>
    <t xml:space="preserve">UG-11B-S06-A010</t>
  </si>
  <si>
    <t xml:space="preserve">AW.PIPE.F8.UG-11B.UG-11B-S06</t>
  </si>
  <si>
    <t xml:space="preserve">UG-11B-S06-A020</t>
  </si>
  <si>
    <t xml:space="preserve">FS from A010; UG-18-S02-A030 (SS, set-out one package ahead of piling)</t>
  </si>
  <si>
    <t xml:space="preserve">UG-11B-S06-A030</t>
  </si>
  <si>
    <t xml:space="preserve">UG-11B-S06-A040</t>
  </si>
  <si>
    <t xml:space="preserve">UG-11B-S06-A050</t>
  </si>
  <si>
    <t xml:space="preserve">UG-18-S02-A060 (FS, negative lag = own duration: drawdown complete when the excavation crew is free)</t>
  </si>
  <si>
    <t xml:space="preserve">UG-11B-S06-A060</t>
  </si>
  <si>
    <t xml:space="preserve">UG-15A-S05-A060 (SS, shared trench); UG-17-S03-A060 (SS, shared trench); UG-17-S04-A060 (SS, shared trench)</t>
  </si>
  <si>
    <t xml:space="preserve">UG-11B-S06-A070</t>
  </si>
  <si>
    <t xml:space="preserve">UG-11B-S06-A080</t>
  </si>
  <si>
    <t xml:space="preserve">UG-11B-S06-A090</t>
  </si>
  <si>
    <t xml:space="preserve">UG-11B-S06-A100</t>
  </si>
  <si>
    <t xml:space="preserve">UG-15A-S04-A080 (FS, shared trench laid); UG-15A-S05-A080 (FS, shared trench laid); UG-17-S03-A080 (FS, shared trench laid); UG-17-S04-A080 (FS, shared trench laid)</t>
  </si>
  <si>
    <t xml:space="preserve">UG-11B-S06-A110</t>
  </si>
  <si>
    <t xml:space="preserve">UG-15A-S04-A010</t>
  </si>
  <si>
    <t xml:space="preserve">AW.PIPE.F8.UG-15A.UG-15A-S04</t>
  </si>
  <si>
    <t xml:space="preserve">UG-15A-S04-A020</t>
  </si>
  <si>
    <t xml:space="preserve">FS from A010; UG-11B-S06-A030 (SS, set-out one package ahead of piling)</t>
  </si>
  <si>
    <t xml:space="preserve">UG-15A-S04-A030</t>
  </si>
  <si>
    <t xml:space="preserve">UG-15A-S04-A040</t>
  </si>
  <si>
    <t xml:space="preserve">UG-15A-S04-A050</t>
  </si>
  <si>
    <t xml:space="preserve">UG-11B-S06-A060 (FS, negative lag = own duration: drawdown complete when the excavation crew is free)</t>
  </si>
  <si>
    <t xml:space="preserve">UG-15A-S04-A060</t>
  </si>
  <si>
    <t xml:space="preserve">UG-11B-S05-A100 (FS, deeper first); UG-17-S04-A100 (FS, deeper first); UG-11B-S06-A060 (SS, shared trench); UG-17-S03-A060 (SS, shared trench)</t>
  </si>
  <si>
    <t xml:space="preserve">UG-15A-S04-A070</t>
  </si>
  <si>
    <t xml:space="preserve">UG-15A-S04-A080</t>
  </si>
  <si>
    <t xml:space="preserve">UG-15A-S04-A090</t>
  </si>
  <si>
    <t xml:space="preserve">UG-15A-S04-A100</t>
  </si>
  <si>
    <t xml:space="preserve">UG-11B-S06-A080 (FS, shared trench laid); UG-17-S03-A080 (FS, shared trench laid)</t>
  </si>
  <si>
    <t xml:space="preserve">UG-15A-S04-A110</t>
  </si>
  <si>
    <t xml:space="preserve">UG-17-S01-A010</t>
  </si>
  <si>
    <t xml:space="preserve">AW.PIPE.F8.UG-17.UG-17-S01</t>
  </si>
  <si>
    <t xml:space="preserve">UG-17-S01-A020</t>
  </si>
  <si>
    <t xml:space="preserve">FS from A010; UG-17-S02-A030 (SS, tie-in team follows the adjacent run)</t>
  </si>
  <si>
    <t xml:space="preserve">UG-17-S01-A030</t>
  </si>
  <si>
    <t xml:space="preserve">UG-17-S01-A040</t>
  </si>
  <si>
    <t xml:space="preserve">UG-17-S01-A050</t>
  </si>
  <si>
    <t xml:space="preserve">UG-17-S01-A060</t>
  </si>
  <si>
    <t xml:space="preserve">UG-15-S01-A100 (FS, deeper first); UG-22-S01-A100 (FS, deeper first); UG-18-S02-A060 (SS, shared trench)</t>
  </si>
  <si>
    <t xml:space="preserve">UG-17-S01-A070</t>
  </si>
  <si>
    <t xml:space="preserve">UG-17-S01-A080</t>
  </si>
  <si>
    <t xml:space="preserve">UG-17-S02-A080 (FS, closure)</t>
  </si>
  <si>
    <t xml:space="preserve">UG-17-S01-A090</t>
  </si>
  <si>
    <t xml:space="preserve">UG-17-S01-A100</t>
  </si>
  <si>
    <t xml:space="preserve">UG-18-S01-A080 (FS, shared trench laid); UG-18-S02-A080 (FS, shared trench laid)</t>
  </si>
  <si>
    <t xml:space="preserve">UG-17-S01-A110</t>
  </si>
  <si>
    <t xml:space="preserve">UG-18-S01-A010</t>
  </si>
  <si>
    <t xml:space="preserve">AW.PIPE.F8.UG-18.UG-18-S01</t>
  </si>
  <si>
    <t xml:space="preserve">UG-18-S01-A020</t>
  </si>
  <si>
    <t xml:space="preserve">FS from A010; UG-18-S02-A030 (SS, tie-in team follows the adjacent run)</t>
  </si>
  <si>
    <t xml:space="preserve">UG-18-S01-A030</t>
  </si>
  <si>
    <t xml:space="preserve">UG-18-S01-A040</t>
  </si>
  <si>
    <t xml:space="preserve">UG-18-S01-A050</t>
  </si>
  <si>
    <t xml:space="preserve">UG-18-S01-A060</t>
  </si>
  <si>
    <t xml:space="preserve">UG-17-S01-A060 (SS, shared trench); UG-17-S02-A060 (SS, shared trench)</t>
  </si>
  <si>
    <t xml:space="preserve">UG-18-S01-A070</t>
  </si>
  <si>
    <t xml:space="preserve">UG-18-S01-A080</t>
  </si>
  <si>
    <t xml:space="preserve">UG-18-S02-A080 (FS, closure)</t>
  </si>
  <si>
    <t xml:space="preserve">UG-18-S01-A090</t>
  </si>
  <si>
    <t xml:space="preserve">UG-18-S01-A100</t>
  </si>
  <si>
    <t xml:space="preserve">UG-17-S01-A080 (FS, shared trench laid); UG-17-S02-A080 (FS, shared trench laid)</t>
  </si>
  <si>
    <t xml:space="preserve">UG-18-S01-A110</t>
  </si>
  <si>
    <t xml:space="preserve">UG-28-S01-A010</t>
  </si>
  <si>
    <t xml:space="preserve">AW.PIPE.F8.UG-28.UG-28-S01</t>
  </si>
  <si>
    <t xml:space="preserve">UG-28-S01-A020</t>
  </si>
  <si>
    <t xml:space="preserve">UG-28-S01-A030</t>
  </si>
  <si>
    <t xml:space="preserve">UG-28-S01-A040</t>
  </si>
  <si>
    <t xml:space="preserve">UG-28-S01-A050</t>
  </si>
  <si>
    <t xml:space="preserve">UG-28-S01-A060</t>
  </si>
  <si>
    <t xml:space="preserve">UG-10-S02-A100 (FS, deeper first); UG-10-S03-A100 (FS, deeper first); UG-21-S01-A100 (FS, deeper first); UG-22-S01-A100 (FS, deeper first)</t>
  </si>
  <si>
    <t xml:space="preserve">UG-28-S01-A070</t>
  </si>
  <si>
    <t xml:space="preserve">UG-28-S01-A080</t>
  </si>
  <si>
    <t xml:space="preserve">UG-28-S01-A090</t>
  </si>
  <si>
    <t xml:space="preserve">UG-28-S01-A100</t>
  </si>
  <si>
    <t xml:space="preserve">UG-28A-S01-A080 (FS, shared trench laid)</t>
  </si>
  <si>
    <t xml:space="preserve">UG-28-S01-A110</t>
  </si>
  <si>
    <t xml:space="preserve">UG-28A-S01-A010</t>
  </si>
  <si>
    <t xml:space="preserve">AW.PIPE.F8.UG-28A.UG-28A-S01</t>
  </si>
  <si>
    <t xml:space="preserve">UG-28A-S01-A020</t>
  </si>
  <si>
    <t xml:space="preserve">UG-28A-S01-A030</t>
  </si>
  <si>
    <t xml:space="preserve">UG-28A-S01-A040</t>
  </si>
  <si>
    <t xml:space="preserve">UG-28A-S01-A050</t>
  </si>
  <si>
    <t xml:space="preserve">UG-28A-S01-A060</t>
  </si>
  <si>
    <t xml:space="preserve">UG-10-S02-A100 (FS, deeper first); UG-10-S03-A100 (FS, deeper first); UG-21-S01-A100 (FS, deeper first); UG-22-S01-A100 (FS, deeper first); UG-28-S02-A100 (FS, deeper first); UG-28-S01-A060 (SS, shared trench)</t>
  </si>
  <si>
    <t xml:space="preserve">UG-28A-S01-A070</t>
  </si>
  <si>
    <t xml:space="preserve">UG-28A-S01-A080</t>
  </si>
  <si>
    <t xml:space="preserve">UG-28A-S01-A090</t>
  </si>
  <si>
    <t xml:space="preserve">UG-28A-S01-A100</t>
  </si>
  <si>
    <t xml:space="preserve">UG-28-S01-A080 (FS, shared trench laid)</t>
  </si>
  <si>
    <t xml:space="preserve">UG-28A-S01-A110</t>
  </si>
  <si>
    <t xml:space="preserve">Relationships (for P6 / MS Project import)</t>
  </si>
  <si>
    <t xml:space="preserve">Lags in calendar days, linked to the Activities sheet. Gates (dates) are start constraints on A010 / A030 / A060, listed on the Activities sheet.</t>
  </si>
  <si>
    <t xml:space="preserve">Predecessor</t>
  </si>
  <si>
    <t xml:space="preserve">Successor</t>
  </si>
  <si>
    <t xml:space="preserve">Type</t>
  </si>
  <si>
    <t xml:space="preserve">Lag (cal. days)</t>
  </si>
  <si>
    <t xml:space="preserve">Reason</t>
  </si>
  <si>
    <t xml:space="preserve">FS</t>
  </si>
  <si>
    <t xml:space="preserve">Within package</t>
  </si>
  <si>
    <t xml:space="preserve">SS</t>
  </si>
  <si>
    <t xml:space="preserve">Within package (ladder)</t>
  </si>
  <si>
    <t xml:space="preserve">FF</t>
  </si>
  <si>
    <t xml:space="preserve">Tie-in team follows the adjacent run</t>
  </si>
  <si>
    <t xml:space="preserve">Tie-in laid as closure</t>
  </si>
  <si>
    <t xml:space="preserve">Set-out one package ahead of piling</t>
  </si>
  <si>
    <t xml:space="preserve">Crew continuity, front F1</t>
  </si>
  <si>
    <t xml:space="preserve">Just-in-time dewatering: drawdown complete when excavation crew is free</t>
  </si>
  <si>
    <t xml:space="preserve">Shared trench: all pipes laid before backfill</t>
  </si>
  <si>
    <t xml:space="preserve">Shared excavation / dewatering front</t>
  </si>
  <si>
    <t xml:space="preserve">Crew continuity, front F2</t>
  </si>
  <si>
    <t xml:space="preserve">Deeper line first</t>
  </si>
  <si>
    <t xml:space="preserve">Crew continuity, front F3</t>
  </si>
  <si>
    <t xml:space="preserve">Crew continuity, front F4</t>
  </si>
  <si>
    <t xml:space="preserve">Crew continuity, front F5</t>
  </si>
  <si>
    <t xml:space="preserve">Crew continuity, front F6</t>
  </si>
  <si>
    <t xml:space="preserve">Crew continuity, front F7</t>
  </si>
  <si>
    <t xml:space="preserve">Crew continuity, front F8</t>
  </si>
  <si>
    <t xml:space="preserve">Programme summary and monthly bar chart</t>
  </si>
  <si>
    <t xml:space="preserve">Bars recalculate from the Activities sheet. Rows: fronts, then lines. Shaded month = package work active on that line or front.</t>
  </si>
  <si>
    <t xml:space="preserve">Front / line</t>
  </si>
  <si>
    <t xml:space="preserve">Shored (m)</t>
  </si>
  <si>
    <t xml:space="preserve">Excavation (m3)</t>
  </si>
  <si>
    <t xml:space="preserve">Months</t>
  </si>
  <si>
    <t xml:space="preserve">Fronts</t>
  </si>
  <si>
    <t xml:space="preserve">F1 | GRP DN2500 | New grit removal and fine screens to New primary sedimentation tanks</t>
  </si>
  <si>
    <t xml:space="preserve">F1 | GRP DN2000 | New primary sedimentation tanks to Intermediate pumping station</t>
  </si>
  <si>
    <t xml:space="preserve">F1 | GRP DN2000 | Existing primary sedimentation tanks to Intermediate pumping station</t>
  </si>
  <si>
    <t xml:space="preserve">F2 | GRP DN2200 | Intermediate station bypass to Chamber connecting UG25</t>
  </si>
  <si>
    <t xml:space="preserve">F4/F5 | GRP DN2000 | FCT E,F,G,H to Chlorine contact tank</t>
  </si>
  <si>
    <t xml:space="preserve">F4/F7 | HDPE OD1600 | FCT E,F,G,H to Chlorine contact tank</t>
  </si>
  <si>
    <t xml:space="preserve">F5/F7 | GRP DN2000 | FCT I,J,K,L to Chlorine contact tank</t>
  </si>
  <si>
    <t xml:space="preserve">F5 | HDPE DN1600 as printed | FCT I,J,K,L to Chlorine contact tank</t>
  </si>
  <si>
    <t xml:space="preserve">F4/F8 | GRP DN2000 | FCT A,B,C,D to Chlorine contact tank</t>
  </si>
  <si>
    <t xml:space="preserve">F4/F8 | HDPE OD1600 | FCT A,B,C,D to Chlorine contact tank</t>
  </si>
  <si>
    <t xml:space="preserve">F3 | GRP DN2600 | Aeration / FCT main distribution chamber to Secondary distribution chamber I,J,K,L</t>
  </si>
  <si>
    <t xml:space="preserve">F3 | GRP DN2600 | Aeration / FCT main distribution chamber to Secondary distribution chamber E,F,G,H</t>
  </si>
  <si>
    <t xml:space="preserve">F3 | GRP DN2600 | Aeration / FCT main distribution chamber to Secondary distribution chamber A,B,C,D</t>
  </si>
  <si>
    <t xml:space="preserve">F5/F6 | GRP DN2000 | FCT sludge A,B,C,D,G,H to RAS/WAS pumping station</t>
  </si>
  <si>
    <t xml:space="preserve">F6 | HDPE OD1400 | FCT sludge A,B,C,D,G,H to RAS/WAS pumping station</t>
  </si>
  <si>
    <t xml:space="preserve">F3/F5/F6/F8 | HDPE OD1400 | FCT sludge A,B,C,D,G,H to RAS/WAS pumping station</t>
  </si>
  <si>
    <t xml:space="preserve">F7 | GRP DN2000 | FCT sludge I,J,K,L,E,F to RAS/WAS pumping station</t>
  </si>
  <si>
    <t xml:space="preserve">F3/F7 | HDPE OD1400 | FCT sludge I,J,K,L,E,F to RAS/WAS pumping station</t>
  </si>
  <si>
    <t xml:space="preserve">F3 | HDPE OD1600 | Secondary distribution chamber E,F,G,H to FCT E</t>
  </si>
  <si>
    <t xml:space="preserve">F3 | HDPE OD1600 | Secondary distribution chamber E,F,G,H to FCT F</t>
  </si>
  <si>
    <t xml:space="preserve">F6 | HDPE OD1600 | Secondary distribution chamber E,F,G,H to FCT G</t>
  </si>
  <si>
    <t xml:space="preserve">F6 | HDPE OD1600 | Secondary distribution chamber E,F,G,H to FCT H</t>
  </si>
  <si>
    <t xml:space="preserve">F6 | HDPE OD1600 | Secondary distribution chamber A,B,C,D to FCT A</t>
  </si>
  <si>
    <t xml:space="preserve">F3 | HDPE OD1600 | Secondary distribution chamber A,B,C,D to FCT B</t>
  </si>
  <si>
    <t xml:space="preserve">F6 | HDPE OD1600 | Secondary distribution chamber A,B,C,D to FCT C</t>
  </si>
  <si>
    <t xml:space="preserve">F6 | HDPE OD1600 | Secondary distribution chamber A,B,C,D to FCT D</t>
  </si>
  <si>
    <t xml:space="preserve">F7 | HDPE OD1600 | Secondary distribution chamber I,J,K,L to FCT I</t>
  </si>
  <si>
    <t xml:space="preserve">F3 | HDPE OD1600 | Secondary distribution chamber I,J,K,L to FCT J</t>
  </si>
  <si>
    <t xml:space="preserve">F3 | HDPE OD1600 | Secondary distribution chamber I,J,K,L to FCT K</t>
  </si>
  <si>
    <t xml:space="preserve">F3 | HDPE OD1600 | Secondary distribution chamber I,J,K,L to FCT L</t>
  </si>
  <si>
    <t xml:space="preserve">F8 | GRP DN2200 | Effluent maneuvering overflow / bypass sump to Outfall chamber at lake</t>
  </si>
  <si>
    <t xml:space="preserve">F8 | GRP DN1800 | Effluent sump to Treated effluent pump</t>
  </si>
  <si>
    <t xml:space="preserve">F8 | GRP DN2200 | Chlorine contact tank to Fire / service / cold water feed tanks</t>
  </si>
  <si>
    <t xml:space="preserve">F6/F7 | HDPE OD600 | RAS/WAS pumping station to Pre-dewatering building</t>
  </si>
  <si>
    <t xml:space="preserve">F2 | GRP DN2000 | Existing primary sedimentation overflow to Intermediate bypass chamber</t>
  </si>
  <si>
    <t xml:space="preserve">F2 | GRP DN2400 | Overflow bypass chamber to Outfall chamber</t>
  </si>
  <si>
    <t xml:space="preserve">F8 | HDPE OD500 | Chlorine contact tank to Service water channel</t>
  </si>
  <si>
    <t xml:space="preserve">F8 | HDPE OD315 | Chlorine contact tank to Service water channel</t>
  </si>
  <si>
    <t xml:space="preserve">Packages with this activity in the month (sequential packages in a front all count; not concurrent crews)</t>
  </si>
  <si>
    <t xml:space="preserve">Piling</t>
  </si>
  <si>
    <t xml:space="preserve">Sheet piling</t>
  </si>
  <si>
    <t xml:space="preserve">Dewatering install/drawdown</t>
  </si>
  <si>
    <t xml:space="preserve">Excavation</t>
  </si>
  <si>
    <t xml:space="preserve">Piled slab</t>
  </si>
  <si>
    <t xml:space="preserve">Pipe laying</t>
  </si>
  <si>
    <t xml:space="preserve">Backfill</t>
  </si>
  <si>
    <t xml:space="preserve">Piles</t>
  </si>
  <si>
    <t xml:space="preserve">Pipe-support piles per month (spread evenly over each piling activity)</t>
  </si>
  <si>
    <t xml:space="preserve">Rigs</t>
  </si>
  <si>
    <t xml:space="preserve">Equivalent piling rigs needed (piles per month / (R_PILE x WD x 52/12))</t>
  </si>
  <si>
    <t xml:space="preserve">Sheet-pile length under different ground / groundwater rules</t>
  </si>
  <si>
    <t xml:space="preserve">Yellow = edit any scenario. Uses the Piece check geometry; the live programme uses the Inputs values (row "Current inputs").</t>
  </si>
  <si>
    <t xml:space="preserve">Scenario</t>
  </si>
  <si>
    <t xml:space="preserve">Slope above GWL (H:V)</t>
  </si>
  <si>
    <t xml:space="preserve">Slope below GWL (H:V)</t>
  </si>
  <si>
    <t xml:space="preserve">Max open-cut depth below GWL (m)</t>
  </si>
  <si>
    <t xml:space="preserve">Sheet-piled length (m)</t>
  </si>
  <si>
    <t xml:space="preserve">Share of 8,151 m</t>
  </si>
  <si>
    <t xml:space="preserve">Note</t>
  </si>
  <si>
    <t xml:space="preserve">Package workbook basis (no groundwater)</t>
  </si>
  <si>
    <t xml:space="preserve">Reproduces the 1,972 m shoring of the v3 package workbook.</t>
  </si>
  <si>
    <t xml:space="preserve">Flatter slope below GWL only</t>
  </si>
  <si>
    <t xml:space="preserve">Space check only; no depth limit.</t>
  </si>
  <si>
    <t xml:space="preserve">Depth limit 3.0 m below GWL</t>
  </si>
  <si>
    <t xml:space="preserve">Depth limit 2.5 m below GWL</t>
  </si>
  <si>
    <t xml:space="preserve">Default in Inputs.</t>
  </si>
  <si>
    <t xml:space="preserve">Depth limit 2.0 m below GWL</t>
  </si>
  <si>
    <t xml:space="preserve">Everything below GWL sheet-piled</t>
  </si>
  <si>
    <t xml:space="preserve">Open cut only where the excavation stays above GWL.</t>
  </si>
  <si>
    <t xml:space="preserve">Current inputs</t>
  </si>
  <si>
    <t xml:space="preserve">Linked to Inputs.</t>
  </si>
</sst>
</file>

<file path=xl/styles.xml><?xml version="1.0" encoding="utf-8"?>
<styleSheet xmlns="http://schemas.openxmlformats.org/spreadsheetml/2006/main">
  <numFmts count="14">
    <numFmt numFmtId="164" formatCode="General"/>
    <numFmt numFmtId="165" formatCode="0.00"/>
    <numFmt numFmtId="166" formatCode="dd\-mmm\-yy"/>
    <numFmt numFmtId="167" formatCode="0"/>
    <numFmt numFmtId="168" formatCode="#,##0"/>
    <numFmt numFmtId="169" formatCode="0.0"/>
    <numFmt numFmtId="170" formatCode="#,##0.000"/>
    <numFmt numFmtId="171" formatCode="0.000"/>
    <numFmt numFmtId="172" formatCode="mmm\-yy"/>
    <numFmt numFmtId="173" formatCode=";;;"/>
    <numFmt numFmtId="174" formatCode="0;;;"/>
    <numFmt numFmtId="175" formatCode="0.0;;;"/>
    <numFmt numFmtId="176" formatCode="0%"/>
    <numFmt numFmtId="177"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0"/>
      <name val="Arial"/>
      <family val="0"/>
      <charset val="1"/>
    </font>
    <font>
      <sz val="10"/>
      <name val="Arial"/>
      <family val="0"/>
      <charset val="1"/>
    </font>
    <font>
      <b val="true"/>
      <sz val="10"/>
      <color rgb="FFFFFFFF"/>
      <name val="Arial"/>
      <family val="0"/>
      <charset val="1"/>
    </font>
    <font>
      <sz val="10"/>
      <color rgb="FF0000FF"/>
      <name val="Arial"/>
      <family val="0"/>
      <charset val="1"/>
    </font>
    <font>
      <b val="true"/>
      <sz val="10"/>
      <color rgb="FF0000FF"/>
      <name val="Arial"/>
      <family val="0"/>
      <charset val="1"/>
    </font>
    <font>
      <sz val="10"/>
      <color rgb="FF008000"/>
      <name val="Arial"/>
      <family val="0"/>
      <charset val="1"/>
    </font>
    <font>
      <sz val="8"/>
      <name val="Arial"/>
      <family val="0"/>
      <charset val="1"/>
    </font>
    <font>
      <b val="true"/>
      <sz val="8"/>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E1F2"/>
        <bgColor rgb="FFCC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6"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8" fontId="11"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8" fillId="2" borderId="1" xfId="0" applyFont="true" applyBorder="true" applyAlignment="true" applyProtection="false">
      <alignment horizontal="center" vertical="bottom" textRotation="9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74" fontId="12" fillId="0" borderId="1" xfId="0" applyFont="true" applyBorder="true" applyAlignment="false" applyProtection="false">
      <alignment horizontal="general" vertical="bottom" textRotation="0" wrapText="false" indent="0" shrinkToFit="false"/>
      <protection locked="true" hidden="false"/>
    </xf>
    <xf numFmtId="175" fontId="13" fillId="0" borderId="1" xfId="0" applyFont="true" applyBorder="true" applyAlignment="false" applyProtection="false">
      <alignment horizontal="general" vertical="bottom" textRotation="0" wrapText="false" indent="0" shrinkToFit="false"/>
      <protection locked="true" hidden="false"/>
    </xf>
    <xf numFmtId="176" fontId="7" fillId="0" borderId="1" xfId="0" applyFont="true" applyBorder="true" applyAlignment="false" applyProtection="false">
      <alignment horizontal="general" vertical="bottom" textRotation="0" wrapText="false" indent="0" shrinkToFit="false"/>
      <protection locked="true" hidden="false"/>
    </xf>
    <xf numFmtId="177"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0000FF"/>
          <bgColor rgb="FF000000"/>
        </patternFill>
      </fill>
    </dxf>
    <dxf>
      <fill>
        <patternFill patternType="solid">
          <fgColor rgb="FFFFFFFF"/>
          <bgColor rgb="FF000000"/>
        </patternFill>
      </fill>
    </dxf>
    <dxf>
      <fill>
        <patternFill patternType="solid">
          <fgColor rgb="FF008000"/>
          <bgColor rgb="FF000000"/>
        </patternFill>
      </fill>
    </dxf>
    <dxf>
      <fill>
        <patternFill>
          <bgColor rgb="FF1F3864"/>
        </patternFill>
      </fill>
    </dxf>
    <dxf>
      <fill>
        <patternFill>
          <bgColor rgb="FF5B9BD5"/>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0"/>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30" hidden="false" customHeight="true" outlineLevel="0" collapsed="false">
      <c r="A5" s="4" t="s">
        <v>3</v>
      </c>
    </row>
    <row r="6" customFormat="false" ht="15" hidden="false" customHeight="false" outlineLevel="0" collapsed="false">
      <c r="A6" s="3" t="s">
        <v>4</v>
      </c>
    </row>
    <row r="7" customFormat="false" ht="15" hidden="false" customHeight="true" outlineLevel="0" collapsed="false">
      <c r="A7" s="4" t="s">
        <v>5</v>
      </c>
    </row>
    <row r="8" customFormat="false" ht="45" hidden="false" customHeight="true" outlineLevel="0" collapsed="false">
      <c r="A8" s="4" t="s">
        <v>6</v>
      </c>
    </row>
    <row r="9" customFormat="false" ht="15" hidden="false" customHeight="true" outlineLevel="0" collapsed="false">
      <c r="A9" s="4" t="s">
        <v>7</v>
      </c>
    </row>
    <row r="10" customFormat="false" ht="15" hidden="false" customHeight="true" outlineLevel="0" collapsed="false">
      <c r="A10" s="4" t="s">
        <v>8</v>
      </c>
    </row>
    <row r="11" customFormat="false" ht="15" hidden="false" customHeight="false" outlineLevel="0" collapsed="false">
      <c r="A11" s="3" t="s">
        <v>9</v>
      </c>
    </row>
    <row r="12" customFormat="false" ht="15" hidden="false" customHeight="true" outlineLevel="0" collapsed="false">
      <c r="A12" s="4" t="s">
        <v>10</v>
      </c>
    </row>
    <row r="13" customFormat="false" ht="15" hidden="false" customHeight="true" outlineLevel="0" collapsed="false">
      <c r="A13" s="4" t="s">
        <v>11</v>
      </c>
    </row>
    <row r="14" customFormat="false" ht="15" hidden="false" customHeight="true" outlineLevel="0" collapsed="false">
      <c r="A14" s="4" t="s">
        <v>12</v>
      </c>
    </row>
    <row r="15" customFormat="false" ht="15" hidden="false" customHeight="true" outlineLevel="0" collapsed="false">
      <c r="A15" s="4" t="s">
        <v>13</v>
      </c>
    </row>
    <row r="16" customFormat="false" ht="15" hidden="false" customHeight="true" outlineLevel="0" collapsed="false">
      <c r="A16" s="4" t="s">
        <v>14</v>
      </c>
    </row>
    <row r="17" customFormat="false" ht="15" hidden="false" customHeight="true" outlineLevel="0" collapsed="false">
      <c r="A17" s="4" t="s">
        <v>15</v>
      </c>
    </row>
    <row r="18" customFormat="false" ht="30" hidden="false" customHeight="true" outlineLevel="0" collapsed="false">
      <c r="A18" s="4" t="s">
        <v>16</v>
      </c>
    </row>
    <row r="19" customFormat="false" ht="30" hidden="false" customHeight="true" outlineLevel="0" collapsed="false">
      <c r="A19" s="4" t="s">
        <v>17</v>
      </c>
    </row>
    <row r="20" customFormat="false" ht="15" hidden="false" customHeight="true" outlineLevel="0" collapsed="false">
      <c r="A20" s="4" t="s">
        <v>18</v>
      </c>
    </row>
    <row r="21" customFormat="false" ht="15" hidden="false" customHeight="false" outlineLevel="0" collapsed="false">
      <c r="A21" s="3" t="s">
        <v>19</v>
      </c>
    </row>
    <row r="22" customFormat="false" ht="45" hidden="false" customHeight="true" outlineLevel="0" collapsed="false">
      <c r="A22" s="4" t="s">
        <v>20</v>
      </c>
    </row>
    <row r="23" customFormat="false" ht="15" hidden="false" customHeight="true" outlineLevel="0" collapsed="false">
      <c r="A23" s="4" t="s">
        <v>21</v>
      </c>
    </row>
    <row r="24" customFormat="false" ht="30" hidden="false" customHeight="true" outlineLevel="0" collapsed="false">
      <c r="A24" s="4" t="s">
        <v>22</v>
      </c>
    </row>
    <row r="25" customFormat="false" ht="15" hidden="false" customHeight="false" outlineLevel="0" collapsed="false">
      <c r="A25" s="3" t="s">
        <v>23</v>
      </c>
    </row>
    <row r="26" customFormat="false" ht="45" hidden="false" customHeight="true" outlineLevel="0" collapsed="false">
      <c r="A26" s="4" t="s">
        <v>24</v>
      </c>
    </row>
    <row r="27" customFormat="false" ht="15" hidden="false" customHeight="false" outlineLevel="0" collapsed="false">
      <c r="A27" s="3" t="s">
        <v>25</v>
      </c>
    </row>
    <row r="28" customFormat="false" ht="45" hidden="false" customHeight="true" outlineLevel="0" collapsed="false">
      <c r="A28" s="4" t="s">
        <v>26</v>
      </c>
    </row>
    <row r="29" customFormat="false" ht="15" hidden="false" customHeight="false" outlineLevel="0" collapsed="false">
      <c r="A29" s="3" t="s">
        <v>27</v>
      </c>
    </row>
    <row r="30" customFormat="false" ht="15" hidden="false" customHeight="true" outlineLevel="0" collapsed="false">
      <c r="A30" s="4" t="s">
        <v>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6"/>
    <col collapsed="false" customWidth="true" hidden="false" outlineLevel="0" max="3" min="3" style="0" width="70"/>
    <col collapsed="false" customWidth="true" hidden="false" outlineLevel="0" max="4" min="4" style="0" width="30"/>
    <col collapsed="false" customWidth="true" hidden="false" outlineLevel="0" max="5" min="5" style="0" width="46"/>
    <col collapsed="false" customWidth="true" hidden="false" outlineLevel="0" max="6" min="6" style="0" width="34"/>
  </cols>
  <sheetData>
    <row r="1" customFormat="false" ht="17.35" hidden="false" customHeight="false" outlineLevel="0" collapsed="false">
      <c r="A1" s="1" t="s">
        <v>29</v>
      </c>
    </row>
    <row r="2" customFormat="false" ht="15" hidden="false" customHeight="false" outlineLevel="0" collapsed="false">
      <c r="A2" s="2" t="s">
        <v>30</v>
      </c>
    </row>
    <row r="4" customFormat="false" ht="42" hidden="false" customHeight="true" outlineLevel="0" collapsed="false">
      <c r="A4" s="5" t="s">
        <v>31</v>
      </c>
      <c r="B4" s="5" t="s">
        <v>32</v>
      </c>
      <c r="C4" s="5" t="s">
        <v>33</v>
      </c>
      <c r="D4" s="5" t="s">
        <v>34</v>
      </c>
      <c r="E4" s="5" t="s">
        <v>35</v>
      </c>
      <c r="F4" s="5" t="s">
        <v>36</v>
      </c>
    </row>
    <row r="5" customFormat="false" ht="109.5" hidden="false" customHeight="true" outlineLevel="0" collapsed="false">
      <c r="A5" s="6" t="s">
        <v>37</v>
      </c>
      <c r="B5" s="6" t="s">
        <v>38</v>
      </c>
      <c r="C5" s="7" t="s">
        <v>39</v>
      </c>
      <c r="D5" s="7" t="s">
        <v>40</v>
      </c>
      <c r="E5" s="7" t="s">
        <v>41</v>
      </c>
      <c r="F5" s="7" t="s">
        <v>42</v>
      </c>
    </row>
    <row r="6" customFormat="false" ht="79.5" hidden="false" customHeight="true" outlineLevel="0" collapsed="false">
      <c r="A6" s="6" t="s">
        <v>43</v>
      </c>
      <c r="B6" s="6" t="s">
        <v>44</v>
      </c>
      <c r="C6" s="7" t="s">
        <v>45</v>
      </c>
      <c r="D6" s="7" t="s">
        <v>46</v>
      </c>
      <c r="E6" s="7" t="s">
        <v>47</v>
      </c>
      <c r="F6" s="7" t="s">
        <v>48</v>
      </c>
    </row>
    <row r="7" customFormat="false" ht="109.5" hidden="false" customHeight="true" outlineLevel="0" collapsed="false">
      <c r="A7" s="6" t="s">
        <v>49</v>
      </c>
      <c r="B7" s="6" t="s">
        <v>50</v>
      </c>
      <c r="C7" s="7" t="s">
        <v>51</v>
      </c>
      <c r="D7" s="7" t="s">
        <v>52</v>
      </c>
      <c r="E7" s="7" t="s">
        <v>53</v>
      </c>
      <c r="F7" s="7" t="s">
        <v>54</v>
      </c>
    </row>
    <row r="8" customFormat="false" ht="109.5" hidden="false" customHeight="true" outlineLevel="0" collapsed="false">
      <c r="A8" s="6" t="s">
        <v>55</v>
      </c>
      <c r="B8" s="6" t="s">
        <v>56</v>
      </c>
      <c r="C8" s="7" t="s">
        <v>57</v>
      </c>
      <c r="D8" s="7" t="s">
        <v>58</v>
      </c>
      <c r="E8" s="7" t="s">
        <v>59</v>
      </c>
      <c r="F8" s="7" t="s">
        <v>60</v>
      </c>
    </row>
    <row r="9" customFormat="false" ht="109.5" hidden="false" customHeight="true" outlineLevel="0" collapsed="false">
      <c r="A9" s="6" t="s">
        <v>61</v>
      </c>
      <c r="B9" s="6" t="s">
        <v>62</v>
      </c>
      <c r="C9" s="7" t="s">
        <v>63</v>
      </c>
      <c r="D9" s="7" t="s">
        <v>64</v>
      </c>
      <c r="E9" s="7" t="s">
        <v>65</v>
      </c>
      <c r="F9" s="7" t="s">
        <v>66</v>
      </c>
    </row>
    <row r="10" customFormat="false" ht="109.5" hidden="false" customHeight="true" outlineLevel="0" collapsed="false">
      <c r="A10" s="6" t="s">
        <v>67</v>
      </c>
      <c r="B10" s="6" t="s">
        <v>68</v>
      </c>
      <c r="C10" s="7" t="s">
        <v>69</v>
      </c>
      <c r="D10" s="7" t="s">
        <v>70</v>
      </c>
      <c r="E10" s="7" t="s">
        <v>71</v>
      </c>
      <c r="F10" s="7" t="s">
        <v>72</v>
      </c>
    </row>
    <row r="11" customFormat="false" ht="79.5" hidden="false" customHeight="true" outlineLevel="0" collapsed="false">
      <c r="A11" s="6" t="s">
        <v>73</v>
      </c>
      <c r="B11" s="6" t="s">
        <v>74</v>
      </c>
      <c r="C11" s="7" t="s">
        <v>75</v>
      </c>
      <c r="D11" s="7" t="s">
        <v>76</v>
      </c>
      <c r="E11" s="7" t="s">
        <v>77</v>
      </c>
      <c r="F11" s="7" t="s">
        <v>78</v>
      </c>
    </row>
    <row r="12" customFormat="false" ht="79.5" hidden="false" customHeight="true" outlineLevel="0" collapsed="false">
      <c r="A12" s="6" t="s">
        <v>79</v>
      </c>
      <c r="B12" s="6" t="s">
        <v>80</v>
      </c>
      <c r="C12" s="7" t="s">
        <v>81</v>
      </c>
      <c r="D12" s="7" t="s">
        <v>82</v>
      </c>
      <c r="E12" s="7" t="s">
        <v>83</v>
      </c>
      <c r="F12" s="7" t="s">
        <v>84</v>
      </c>
    </row>
    <row r="13" customFormat="false" ht="79.5" hidden="false" customHeight="true" outlineLevel="0" collapsed="false">
      <c r="A13" s="6" t="s">
        <v>85</v>
      </c>
      <c r="B13" s="6" t="s">
        <v>86</v>
      </c>
      <c r="C13" s="7" t="s">
        <v>87</v>
      </c>
      <c r="D13" s="7" t="s">
        <v>88</v>
      </c>
      <c r="E13" s="7" t="s">
        <v>89</v>
      </c>
      <c r="F13" s="7" t="s">
        <v>90</v>
      </c>
    </row>
    <row r="14" customFormat="false" ht="79.5" hidden="false" customHeight="true" outlineLevel="0" collapsed="false">
      <c r="A14" s="6" t="s">
        <v>91</v>
      </c>
      <c r="B14" s="6" t="s">
        <v>92</v>
      </c>
      <c r="C14" s="7" t="s">
        <v>93</v>
      </c>
      <c r="D14" s="7" t="s">
        <v>94</v>
      </c>
      <c r="E14" s="7" t="s">
        <v>95</v>
      </c>
      <c r="F14" s="7" t="s">
        <v>96</v>
      </c>
    </row>
    <row r="15" customFormat="false" ht="79.5" hidden="false" customHeight="true" outlineLevel="0" collapsed="false">
      <c r="A15" s="6" t="s">
        <v>97</v>
      </c>
      <c r="B15" s="6" t="s">
        <v>98</v>
      </c>
      <c r="C15" s="7" t="s">
        <v>99</v>
      </c>
      <c r="D15" s="7" t="s">
        <v>100</v>
      </c>
      <c r="E15" s="7" t="s">
        <v>101</v>
      </c>
      <c r="F15" s="7" t="s">
        <v>102</v>
      </c>
    </row>
    <row r="16" customFormat="false" ht="109.5" hidden="false" customHeight="true" outlineLevel="0" collapsed="false">
      <c r="A16" s="6"/>
      <c r="B16" s="6" t="s">
        <v>103</v>
      </c>
      <c r="C16" s="7" t="s">
        <v>104</v>
      </c>
      <c r="D16" s="7"/>
      <c r="E16" s="7" t="s">
        <v>105</v>
      </c>
      <c r="F16" s="7"/>
    </row>
    <row r="17" customFormat="false" ht="109.5" hidden="false" customHeight="true" outlineLevel="0" collapsed="false">
      <c r="A17" s="6"/>
      <c r="B17" s="6" t="s">
        <v>106</v>
      </c>
      <c r="C17" s="7" t="s">
        <v>107</v>
      </c>
      <c r="D17" s="7"/>
      <c r="E17" s="7"/>
      <c r="F17" s="7"/>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62"/>
    <col collapsed="false" customWidth="true" hidden="false" outlineLevel="0" max="3" min="3" style="0" width="13"/>
    <col collapsed="false" customWidth="true" hidden="false" outlineLevel="0" max="4" min="4" style="0" width="12"/>
    <col collapsed="false" customWidth="true" hidden="false" outlineLevel="0" max="5" min="5" style="0" width="90"/>
  </cols>
  <sheetData>
    <row r="1" customFormat="false" ht="17.35" hidden="false" customHeight="false" outlineLevel="0" collapsed="false">
      <c r="A1" s="1" t="s">
        <v>108</v>
      </c>
    </row>
    <row r="2" customFormat="false" ht="15" hidden="false" customHeight="false" outlineLevel="0" collapsed="false">
      <c r="A2" s="2" t="s">
        <v>109</v>
      </c>
    </row>
    <row r="4" customFormat="false" ht="42" hidden="false" customHeight="true" outlineLevel="0" collapsed="false">
      <c r="A4" s="5" t="s">
        <v>110</v>
      </c>
      <c r="B4" s="5" t="s">
        <v>111</v>
      </c>
      <c r="C4" s="5" t="s">
        <v>112</v>
      </c>
      <c r="D4" s="5" t="s">
        <v>113</v>
      </c>
      <c r="E4" s="5" t="s">
        <v>114</v>
      </c>
    </row>
    <row r="5" customFormat="false" ht="15" hidden="false" customHeight="false" outlineLevel="0" collapsed="false">
      <c r="A5" s="8" t="s">
        <v>115</v>
      </c>
      <c r="B5" s="9"/>
      <c r="C5" s="9"/>
      <c r="D5" s="9"/>
      <c r="E5" s="9"/>
    </row>
    <row r="6" customFormat="false" ht="15" hidden="false" customHeight="false" outlineLevel="0" collapsed="false">
      <c r="A6" s="10" t="s">
        <v>116</v>
      </c>
      <c r="B6" s="7" t="s">
        <v>117</v>
      </c>
      <c r="C6" s="11" t="n">
        <v>-0.7</v>
      </c>
      <c r="D6" s="12" t="s">
        <v>118</v>
      </c>
      <c r="E6" s="7" t="s">
        <v>119</v>
      </c>
    </row>
    <row r="7" customFormat="false" ht="15" hidden="false" customHeight="false" outlineLevel="0" collapsed="false">
      <c r="A7" s="10" t="s">
        <v>120</v>
      </c>
      <c r="B7" s="7" t="s">
        <v>121</v>
      </c>
      <c r="C7" s="13" t="n">
        <v>1</v>
      </c>
      <c r="D7" s="12" t="s">
        <v>118</v>
      </c>
      <c r="E7" s="7" t="s">
        <v>122</v>
      </c>
    </row>
    <row r="8" customFormat="false" ht="15" hidden="false" customHeight="false" outlineLevel="0" collapsed="false">
      <c r="A8" s="10" t="s">
        <v>123</v>
      </c>
      <c r="B8" s="7" t="s">
        <v>124</v>
      </c>
      <c r="C8" s="11" t="n">
        <v>-1.5</v>
      </c>
      <c r="D8" s="12" t="s">
        <v>118</v>
      </c>
      <c r="E8" s="7" t="s">
        <v>125</v>
      </c>
    </row>
    <row r="9" customFormat="false" ht="23.85" hidden="false" customHeight="false" outlineLevel="0" collapsed="false">
      <c r="A9" s="10" t="s">
        <v>126</v>
      </c>
      <c r="B9" s="7" t="s">
        <v>127</v>
      </c>
      <c r="C9" s="11" t="n">
        <v>0.5</v>
      </c>
      <c r="D9" s="12" t="s">
        <v>118</v>
      </c>
      <c r="E9" s="7" t="s">
        <v>128</v>
      </c>
    </row>
    <row r="10" customFormat="false" ht="15" hidden="false" customHeight="false" outlineLevel="0" collapsed="false">
      <c r="A10" s="10" t="s">
        <v>129</v>
      </c>
      <c r="B10" s="7" t="s">
        <v>130</v>
      </c>
      <c r="C10" s="11" t="n">
        <v>0.5</v>
      </c>
      <c r="D10" s="12" t="s">
        <v>118</v>
      </c>
      <c r="E10" s="7" t="s">
        <v>131</v>
      </c>
    </row>
    <row r="11" customFormat="false" ht="15" hidden="false" customHeight="false" outlineLevel="0" collapsed="false">
      <c r="A11" s="10" t="s">
        <v>132</v>
      </c>
      <c r="B11" s="7" t="s">
        <v>133</v>
      </c>
      <c r="C11" s="13" t="n">
        <v>1</v>
      </c>
      <c r="D11" s="12" t="s">
        <v>118</v>
      </c>
      <c r="E11" s="7" t="s">
        <v>134</v>
      </c>
    </row>
    <row r="12" customFormat="false" ht="15" hidden="false" customHeight="false" outlineLevel="0" collapsed="false">
      <c r="A12" s="10" t="s">
        <v>135</v>
      </c>
      <c r="B12" s="7" t="s">
        <v>136</v>
      </c>
      <c r="C12" s="11" t="n">
        <v>1.5</v>
      </c>
      <c r="D12" s="12" t="s">
        <v>137</v>
      </c>
      <c r="E12" s="7" t="s">
        <v>138</v>
      </c>
    </row>
    <row r="13" customFormat="false" ht="15" hidden="false" customHeight="false" outlineLevel="0" collapsed="false">
      <c r="A13" s="10" t="s">
        <v>139</v>
      </c>
      <c r="B13" s="7" t="s">
        <v>140</v>
      </c>
      <c r="C13" s="13" t="n">
        <v>2</v>
      </c>
      <c r="D13" s="12" t="s">
        <v>137</v>
      </c>
      <c r="E13" s="7" t="s">
        <v>141</v>
      </c>
    </row>
    <row r="14" customFormat="false" ht="23.85" hidden="false" customHeight="false" outlineLevel="0" collapsed="false">
      <c r="A14" s="10" t="s">
        <v>142</v>
      </c>
      <c r="B14" s="7" t="s">
        <v>143</v>
      </c>
      <c r="C14" s="11" t="n">
        <v>2.5</v>
      </c>
      <c r="D14" s="12" t="s">
        <v>118</v>
      </c>
      <c r="E14" s="7" t="s">
        <v>144</v>
      </c>
    </row>
    <row r="15" customFormat="false" ht="15" hidden="false" customHeight="false" outlineLevel="0" collapsed="false">
      <c r="A15" s="10" t="s">
        <v>145</v>
      </c>
      <c r="B15" s="7" t="s">
        <v>146</v>
      </c>
      <c r="C15" s="11" t="n">
        <v>0.5</v>
      </c>
      <c r="D15" s="12" t="s">
        <v>118</v>
      </c>
      <c r="E15" s="7" t="s">
        <v>147</v>
      </c>
    </row>
    <row r="16" customFormat="false" ht="15" hidden="false" customHeight="false" outlineLevel="0" collapsed="false">
      <c r="A16" s="10" t="s">
        <v>148</v>
      </c>
      <c r="B16" s="7" t="s">
        <v>149</v>
      </c>
      <c r="C16" s="11" t="n">
        <v>4.5</v>
      </c>
      <c r="D16" s="12" t="s">
        <v>118</v>
      </c>
      <c r="E16" s="7" t="s">
        <v>150</v>
      </c>
    </row>
    <row r="17" customFormat="false" ht="15" hidden="false" customHeight="false" outlineLevel="0" collapsed="false">
      <c r="A17" s="10" t="s">
        <v>151</v>
      </c>
      <c r="B17" s="7" t="s">
        <v>152</v>
      </c>
      <c r="C17" s="13" t="n">
        <v>18</v>
      </c>
      <c r="D17" s="12" t="s">
        <v>153</v>
      </c>
      <c r="E17" s="7" t="s">
        <v>154</v>
      </c>
    </row>
    <row r="18" customFormat="false" ht="15" hidden="false" customHeight="false" outlineLevel="0" collapsed="false">
      <c r="A18" s="10" t="s">
        <v>155</v>
      </c>
      <c r="B18" s="7" t="s">
        <v>156</v>
      </c>
      <c r="C18" s="13" t="n">
        <v>18</v>
      </c>
      <c r="D18" s="12" t="s">
        <v>153</v>
      </c>
      <c r="E18" s="7" t="s">
        <v>154</v>
      </c>
    </row>
    <row r="19" customFormat="false" ht="15" hidden="false" customHeight="false" outlineLevel="0" collapsed="false">
      <c r="A19" s="10" t="s">
        <v>157</v>
      </c>
      <c r="B19" s="7" t="s">
        <v>158</v>
      </c>
      <c r="C19" s="11" t="n">
        <v>9.81</v>
      </c>
      <c r="D19" s="12" t="s">
        <v>153</v>
      </c>
      <c r="E19" s="7" t="s">
        <v>159</v>
      </c>
    </row>
    <row r="20" customFormat="false" ht="23.85" hidden="false" customHeight="false" outlineLevel="0" collapsed="false">
      <c r="A20" s="10" t="s">
        <v>160</v>
      </c>
      <c r="B20" s="7" t="s">
        <v>161</v>
      </c>
      <c r="C20" s="11" t="n">
        <v>1.1</v>
      </c>
      <c r="D20" s="12" t="s">
        <v>162</v>
      </c>
      <c r="E20" s="7" t="s">
        <v>163</v>
      </c>
    </row>
    <row r="21" customFormat="false" ht="15" hidden="false" customHeight="false" outlineLevel="0" collapsed="false">
      <c r="A21" s="8" t="s">
        <v>164</v>
      </c>
      <c r="B21" s="9"/>
      <c r="C21" s="9"/>
      <c r="D21" s="9"/>
      <c r="E21" s="9"/>
    </row>
    <row r="22" customFormat="false" ht="15" hidden="false" customHeight="false" outlineLevel="0" collapsed="false">
      <c r="A22" s="10" t="s">
        <v>165</v>
      </c>
      <c r="B22" s="7" t="s">
        <v>166</v>
      </c>
      <c r="C22" s="13" t="n">
        <v>3</v>
      </c>
      <c r="D22" s="12" t="s">
        <v>118</v>
      </c>
      <c r="E22" s="7" t="s">
        <v>167</v>
      </c>
    </row>
    <row r="23" customFormat="false" ht="15" hidden="false" customHeight="false" outlineLevel="0" collapsed="false">
      <c r="A23" s="10" t="s">
        <v>168</v>
      </c>
      <c r="B23" s="7" t="s">
        <v>169</v>
      </c>
      <c r="C23" s="13" t="n">
        <v>1</v>
      </c>
      <c r="D23" s="12" t="s">
        <v>118</v>
      </c>
      <c r="E23" s="7" t="s">
        <v>154</v>
      </c>
    </row>
    <row r="24" customFormat="false" ht="15" hidden="false" customHeight="false" outlineLevel="0" collapsed="false">
      <c r="A24" s="10" t="s">
        <v>170</v>
      </c>
      <c r="B24" s="7" t="s">
        <v>171</v>
      </c>
      <c r="C24" s="13" t="n">
        <v>1</v>
      </c>
      <c r="D24" s="12" t="s">
        <v>172</v>
      </c>
      <c r="E24" s="7" t="s">
        <v>154</v>
      </c>
    </row>
    <row r="25" customFormat="false" ht="15" hidden="false" customHeight="false" outlineLevel="0" collapsed="false">
      <c r="A25" s="10" t="s">
        <v>173</v>
      </c>
      <c r="B25" s="7" t="s">
        <v>174</v>
      </c>
      <c r="C25" s="13" t="n">
        <v>2</v>
      </c>
      <c r="D25" s="12" t="s">
        <v>172</v>
      </c>
      <c r="E25" s="7" t="s">
        <v>154</v>
      </c>
    </row>
    <row r="26" customFormat="false" ht="15" hidden="false" customHeight="false" outlineLevel="0" collapsed="false">
      <c r="A26" s="10" t="s">
        <v>175</v>
      </c>
      <c r="B26" s="7" t="s">
        <v>176</v>
      </c>
      <c r="C26" s="13" t="n">
        <v>2</v>
      </c>
      <c r="D26" s="12" t="s">
        <v>162</v>
      </c>
      <c r="E26" s="7" t="s">
        <v>177</v>
      </c>
    </row>
    <row r="27" customFormat="false" ht="15" hidden="false" customHeight="false" outlineLevel="0" collapsed="false">
      <c r="A27" s="8" t="s">
        <v>178</v>
      </c>
      <c r="B27" s="9"/>
      <c r="C27" s="9"/>
      <c r="D27" s="9"/>
      <c r="E27" s="9"/>
    </row>
    <row r="28" customFormat="false" ht="15" hidden="false" customHeight="false" outlineLevel="0" collapsed="false">
      <c r="A28" s="10" t="s">
        <v>179</v>
      </c>
      <c r="B28" s="7" t="s">
        <v>180</v>
      </c>
      <c r="C28" s="14" t="n">
        <v>46357</v>
      </c>
      <c r="D28" s="12" t="s">
        <v>181</v>
      </c>
      <c r="E28" s="7" t="s">
        <v>182</v>
      </c>
    </row>
    <row r="29" customFormat="false" ht="15" hidden="false" customHeight="false" outlineLevel="0" collapsed="false">
      <c r="A29" s="10" t="s">
        <v>183</v>
      </c>
      <c r="B29" s="7" t="s">
        <v>184</v>
      </c>
      <c r="C29" s="14" t="n">
        <v>46357</v>
      </c>
      <c r="D29" s="12" t="s">
        <v>181</v>
      </c>
      <c r="E29" s="7" t="s">
        <v>185</v>
      </c>
    </row>
    <row r="30" customFormat="false" ht="15" hidden="false" customHeight="false" outlineLevel="0" collapsed="false">
      <c r="A30" s="10" t="s">
        <v>186</v>
      </c>
      <c r="B30" s="7" t="s">
        <v>187</v>
      </c>
      <c r="C30" s="14" t="n">
        <v>46357</v>
      </c>
      <c r="D30" s="12" t="s">
        <v>181</v>
      </c>
      <c r="E30" s="7" t="s">
        <v>188</v>
      </c>
    </row>
    <row r="31" customFormat="false" ht="15" hidden="false" customHeight="false" outlineLevel="0" collapsed="false">
      <c r="A31" s="10" t="s">
        <v>189</v>
      </c>
      <c r="B31" s="7" t="s">
        <v>190</v>
      </c>
      <c r="C31" s="14" t="n">
        <v>46357</v>
      </c>
      <c r="D31" s="12" t="s">
        <v>181</v>
      </c>
      <c r="E31" s="7" t="s">
        <v>191</v>
      </c>
    </row>
    <row r="32" customFormat="false" ht="15" hidden="false" customHeight="false" outlineLevel="0" collapsed="false">
      <c r="A32" s="10" t="s">
        <v>192</v>
      </c>
      <c r="B32" s="7" t="s">
        <v>193</v>
      </c>
      <c r="C32" s="13" t="n">
        <v>6</v>
      </c>
      <c r="D32" s="12" t="s">
        <v>194</v>
      </c>
      <c r="E32" s="7" t="s">
        <v>195</v>
      </c>
    </row>
    <row r="33" customFormat="false" ht="23.85" hidden="false" customHeight="false" outlineLevel="0" collapsed="false">
      <c r="A33" s="10" t="s">
        <v>196</v>
      </c>
      <c r="B33" s="7" t="s">
        <v>197</v>
      </c>
      <c r="C33" s="11" t="n">
        <v>0.3</v>
      </c>
      <c r="D33" s="12" t="s">
        <v>162</v>
      </c>
      <c r="E33" s="7" t="s">
        <v>198</v>
      </c>
    </row>
    <row r="34" customFormat="false" ht="15" hidden="false" customHeight="false" outlineLevel="0" collapsed="false">
      <c r="A34" s="10" t="s">
        <v>199</v>
      </c>
      <c r="B34" s="7" t="s">
        <v>200</v>
      </c>
      <c r="C34" s="13" t="n">
        <v>2</v>
      </c>
      <c r="D34" s="12" t="s">
        <v>201</v>
      </c>
      <c r="E34" s="7" t="s">
        <v>202</v>
      </c>
    </row>
    <row r="35" customFormat="false" ht="15" hidden="false" customHeight="false" outlineLevel="0" collapsed="false">
      <c r="A35" s="8" t="s">
        <v>203</v>
      </c>
      <c r="B35" s="9"/>
      <c r="C35" s="9"/>
      <c r="D35" s="9"/>
      <c r="E35" s="9"/>
    </row>
    <row r="36" customFormat="false" ht="15" hidden="false" customHeight="false" outlineLevel="0" collapsed="false">
      <c r="A36" s="10" t="s">
        <v>204</v>
      </c>
      <c r="B36" s="7" t="s">
        <v>205</v>
      </c>
      <c r="C36" s="13" t="n">
        <v>80</v>
      </c>
      <c r="D36" s="12" t="s">
        <v>206</v>
      </c>
      <c r="E36" s="7" t="s">
        <v>154</v>
      </c>
    </row>
    <row r="37" customFormat="false" ht="23.85" hidden="false" customHeight="false" outlineLevel="0" collapsed="false">
      <c r="A37" s="10" t="s">
        <v>207</v>
      </c>
      <c r="B37" s="7" t="s">
        <v>208</v>
      </c>
      <c r="C37" s="13" t="n">
        <v>5</v>
      </c>
      <c r="D37" s="12" t="s">
        <v>209</v>
      </c>
      <c r="E37" s="7" t="s">
        <v>210</v>
      </c>
    </row>
    <row r="38" customFormat="false" ht="15" hidden="false" customHeight="false" outlineLevel="0" collapsed="false">
      <c r="A38" s="10" t="s">
        <v>211</v>
      </c>
      <c r="B38" s="7" t="s">
        <v>212</v>
      </c>
      <c r="C38" s="13" t="n">
        <v>25</v>
      </c>
      <c r="D38" s="12" t="s">
        <v>213</v>
      </c>
      <c r="E38" s="7" t="s">
        <v>154</v>
      </c>
    </row>
    <row r="39" customFormat="false" ht="15" hidden="false" customHeight="false" outlineLevel="0" collapsed="false">
      <c r="A39" s="10" t="s">
        <v>214</v>
      </c>
      <c r="B39" s="7" t="s">
        <v>215</v>
      </c>
      <c r="C39" s="13" t="n">
        <v>40</v>
      </c>
      <c r="D39" s="12" t="s">
        <v>206</v>
      </c>
      <c r="E39" s="7" t="s">
        <v>154</v>
      </c>
    </row>
    <row r="40" customFormat="false" ht="15" hidden="false" customHeight="false" outlineLevel="0" collapsed="false">
      <c r="A40" s="10" t="s">
        <v>216</v>
      </c>
      <c r="B40" s="7" t="s">
        <v>217</v>
      </c>
      <c r="C40" s="13" t="n">
        <v>7</v>
      </c>
      <c r="D40" s="12" t="s">
        <v>194</v>
      </c>
      <c r="E40" s="7" t="s">
        <v>218</v>
      </c>
    </row>
    <row r="41" customFormat="false" ht="15" hidden="false" customHeight="false" outlineLevel="0" collapsed="false">
      <c r="A41" s="10" t="s">
        <v>219</v>
      </c>
      <c r="B41" s="7" t="s">
        <v>220</v>
      </c>
      <c r="C41" s="13" t="n">
        <v>250</v>
      </c>
      <c r="D41" s="12" t="s">
        <v>221</v>
      </c>
      <c r="E41" s="7" t="s">
        <v>154</v>
      </c>
    </row>
    <row r="42" customFormat="false" ht="15" hidden="false" customHeight="false" outlineLevel="0" collapsed="false">
      <c r="A42" s="10" t="s">
        <v>222</v>
      </c>
      <c r="B42" s="7" t="s">
        <v>223</v>
      </c>
      <c r="C42" s="13" t="n">
        <v>450</v>
      </c>
      <c r="D42" s="12" t="s">
        <v>221</v>
      </c>
      <c r="E42" s="7" t="s">
        <v>154</v>
      </c>
    </row>
    <row r="43" customFormat="false" ht="15" hidden="false" customHeight="false" outlineLevel="0" collapsed="false">
      <c r="A43" s="10" t="s">
        <v>224</v>
      </c>
      <c r="B43" s="7" t="s">
        <v>225</v>
      </c>
      <c r="C43" s="13" t="n">
        <v>12</v>
      </c>
      <c r="D43" s="12" t="s">
        <v>206</v>
      </c>
      <c r="E43" s="7" t="s">
        <v>154</v>
      </c>
    </row>
    <row r="44" customFormat="false" ht="15" hidden="false" customHeight="false" outlineLevel="0" collapsed="false">
      <c r="A44" s="10" t="s">
        <v>226</v>
      </c>
      <c r="B44" s="7" t="s">
        <v>227</v>
      </c>
      <c r="C44" s="13" t="n">
        <v>3</v>
      </c>
      <c r="D44" s="12" t="s">
        <v>194</v>
      </c>
      <c r="E44" s="7" t="s">
        <v>154</v>
      </c>
    </row>
    <row r="45" customFormat="false" ht="15" hidden="false" customHeight="false" outlineLevel="0" collapsed="false">
      <c r="A45" s="10" t="s">
        <v>228</v>
      </c>
      <c r="B45" s="7" t="s">
        <v>229</v>
      </c>
      <c r="C45" s="13" t="n">
        <v>20</v>
      </c>
      <c r="D45" s="12" t="s">
        <v>206</v>
      </c>
      <c r="E45" s="7" t="s">
        <v>154</v>
      </c>
    </row>
    <row r="46" customFormat="false" ht="15" hidden="false" customHeight="false" outlineLevel="0" collapsed="false">
      <c r="A46" s="10" t="s">
        <v>230</v>
      </c>
      <c r="B46" s="7" t="s">
        <v>231</v>
      </c>
      <c r="C46" s="13" t="n">
        <v>30</v>
      </c>
      <c r="D46" s="12" t="s">
        <v>206</v>
      </c>
      <c r="E46" s="7" t="s">
        <v>154</v>
      </c>
    </row>
    <row r="47" customFormat="false" ht="15" hidden="false" customHeight="false" outlineLevel="0" collapsed="false">
      <c r="A47" s="10" t="s">
        <v>232</v>
      </c>
      <c r="B47" s="7" t="s">
        <v>233</v>
      </c>
      <c r="C47" s="13" t="n">
        <v>40</v>
      </c>
      <c r="D47" s="12" t="s">
        <v>206</v>
      </c>
      <c r="E47" s="7" t="s">
        <v>154</v>
      </c>
    </row>
    <row r="48" customFormat="false" ht="15" hidden="false" customHeight="false" outlineLevel="0" collapsed="false">
      <c r="A48" s="10" t="s">
        <v>234</v>
      </c>
      <c r="B48" s="7" t="s">
        <v>235</v>
      </c>
      <c r="C48" s="13" t="n">
        <v>2</v>
      </c>
      <c r="D48" s="12" t="s">
        <v>118</v>
      </c>
      <c r="E48" s="7" t="s">
        <v>154</v>
      </c>
    </row>
    <row r="49" customFormat="false" ht="15" hidden="false" customHeight="false" outlineLevel="0" collapsed="false">
      <c r="A49" s="10" t="s">
        <v>236</v>
      </c>
      <c r="B49" s="7" t="s">
        <v>237</v>
      </c>
      <c r="C49" s="11" t="n">
        <v>1.2</v>
      </c>
      <c r="D49" s="12" t="s">
        <v>118</v>
      </c>
      <c r="E49" s="7" t="s">
        <v>154</v>
      </c>
    </row>
    <row r="50" customFormat="false" ht="15" hidden="false" customHeight="false" outlineLevel="0" collapsed="false">
      <c r="A50" s="10" t="s">
        <v>238</v>
      </c>
      <c r="B50" s="7" t="s">
        <v>239</v>
      </c>
      <c r="C50" s="11" t="n">
        <v>0.5</v>
      </c>
      <c r="D50" s="12" t="s">
        <v>194</v>
      </c>
      <c r="E50" s="7" t="s">
        <v>154</v>
      </c>
    </row>
    <row r="51" customFormat="false" ht="15" hidden="false" customHeight="false" outlineLevel="0" collapsed="false">
      <c r="A51" s="10" t="s">
        <v>240</v>
      </c>
      <c r="B51" s="7" t="s">
        <v>241</v>
      </c>
      <c r="C51" s="13" t="n">
        <v>3</v>
      </c>
      <c r="D51" s="12" t="s">
        <v>194</v>
      </c>
      <c r="E51" s="7" t="s">
        <v>154</v>
      </c>
    </row>
    <row r="52" customFormat="false" ht="15" hidden="false" customHeight="false" outlineLevel="0" collapsed="false">
      <c r="A52" s="10" t="s">
        <v>242</v>
      </c>
      <c r="B52" s="7" t="s">
        <v>243</v>
      </c>
      <c r="C52" s="13" t="n">
        <v>2</v>
      </c>
      <c r="D52" s="12" t="s">
        <v>194</v>
      </c>
      <c r="E52" s="7" t="s">
        <v>154</v>
      </c>
    </row>
    <row r="53" customFormat="false" ht="15" hidden="false" customHeight="false" outlineLevel="0" collapsed="false">
      <c r="A53" s="10" t="s">
        <v>244</v>
      </c>
      <c r="B53" s="7" t="s">
        <v>245</v>
      </c>
      <c r="C53" s="13" t="n">
        <v>150</v>
      </c>
      <c r="D53" s="12" t="s">
        <v>206</v>
      </c>
      <c r="E53" s="7" t="s">
        <v>154</v>
      </c>
    </row>
    <row r="54" customFormat="false" ht="15" hidden="false" customHeight="false" outlineLevel="0" collapsed="false">
      <c r="A54" s="10" t="s">
        <v>246</v>
      </c>
      <c r="B54" s="7" t="s">
        <v>247</v>
      </c>
      <c r="C54" s="13" t="n">
        <v>350</v>
      </c>
      <c r="D54" s="12" t="s">
        <v>221</v>
      </c>
      <c r="E54" s="7" t="s">
        <v>154</v>
      </c>
    </row>
    <row r="55" customFormat="false" ht="15" hidden="false" customHeight="false" outlineLevel="0" collapsed="false">
      <c r="A55" s="10" t="s">
        <v>248</v>
      </c>
      <c r="B55" s="7" t="s">
        <v>249</v>
      </c>
      <c r="C55" s="13" t="n">
        <v>50</v>
      </c>
      <c r="D55" s="12" t="s">
        <v>213</v>
      </c>
      <c r="E55" s="7" t="s">
        <v>154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5"/>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6" min="3" style="0" width="9"/>
    <col collapsed="false" customWidth="true" hidden="false" outlineLevel="0" max="9" min="7" style="0" width="16"/>
    <col collapsed="false" customWidth="true" hidden="false" outlineLevel="0" max="10" min="10" style="0" width="14"/>
  </cols>
  <sheetData>
    <row r="1" customFormat="false" ht="17.35" hidden="false" customHeight="false" outlineLevel="0" collapsed="false">
      <c r="A1" s="1" t="s">
        <v>250</v>
      </c>
    </row>
    <row r="2" customFormat="false" ht="15" hidden="false" customHeight="false" outlineLevel="0" collapsed="false">
      <c r="A2" s="2" t="s">
        <v>251</v>
      </c>
    </row>
    <row r="4" customFormat="false" ht="42" hidden="false" customHeight="true" outlineLevel="0" collapsed="false">
      <c r="A4" s="5" t="s">
        <v>252</v>
      </c>
      <c r="B4" s="5" t="s">
        <v>253</v>
      </c>
      <c r="C4" s="5" t="s">
        <v>254</v>
      </c>
      <c r="D4" s="5" t="s">
        <v>255</v>
      </c>
      <c r="E4" s="5" t="s">
        <v>256</v>
      </c>
      <c r="F4" s="5" t="s">
        <v>257</v>
      </c>
      <c r="G4" s="5" t="s">
        <v>258</v>
      </c>
      <c r="H4" s="5" t="s">
        <v>259</v>
      </c>
      <c r="I4" s="5" t="s">
        <v>260</v>
      </c>
      <c r="J4" s="5" t="s">
        <v>261</v>
      </c>
    </row>
    <row r="5" customFormat="false" ht="15" hidden="false" customHeight="false" outlineLevel="0" collapsed="false">
      <c r="A5" s="10" t="n">
        <v>1</v>
      </c>
      <c r="B5" s="13" t="n">
        <v>1</v>
      </c>
      <c r="C5" s="15" t="n">
        <v>470</v>
      </c>
      <c r="D5" s="15" t="n">
        <v>6</v>
      </c>
      <c r="E5" s="15" t="n">
        <v>2</v>
      </c>
      <c r="F5" s="15" t="n">
        <v>0</v>
      </c>
      <c r="G5" s="12" t="n">
        <f aca="false">D5+E5</f>
        <v>8</v>
      </c>
      <c r="H5" s="12" t="n">
        <f aca="false">SUMIFS($G$5:$G$12,$B$5:$B$12,"&lt;="&amp;B5)</f>
        <v>8</v>
      </c>
      <c r="I5" s="16" t="n">
        <f aca="false">AER_DATA+ROUNDUP(H5/(AER_RIGS*AER_RATE)*7/WD,0)</f>
        <v>46313</v>
      </c>
      <c r="J5" s="12" t="n">
        <v>0</v>
      </c>
    </row>
    <row r="6" customFormat="false" ht="15" hidden="false" customHeight="false" outlineLevel="0" collapsed="false">
      <c r="A6" s="10" t="n">
        <v>2</v>
      </c>
      <c r="B6" s="13" t="n">
        <v>2</v>
      </c>
      <c r="C6" s="15" t="n">
        <v>518</v>
      </c>
      <c r="D6" s="15" t="n">
        <v>41</v>
      </c>
      <c r="E6" s="15" t="n">
        <v>2</v>
      </c>
      <c r="F6" s="15" t="n">
        <v>3</v>
      </c>
      <c r="G6" s="12" t="n">
        <f aca="false">D6+E6</f>
        <v>43</v>
      </c>
      <c r="H6" s="12" t="n">
        <f aca="false">SUMIFS($G$5:$G$12,$B$5:$B$12,"&lt;="&amp;B6)</f>
        <v>51</v>
      </c>
      <c r="I6" s="16" t="n">
        <f aca="false">AER_DATA+ROUNDUP(H6/(AER_RIGS*AER_RATE)*7/WD,0)</f>
        <v>46314</v>
      </c>
      <c r="J6" s="12" t="n">
        <v>0</v>
      </c>
    </row>
    <row r="7" customFormat="false" ht="15" hidden="false" customHeight="false" outlineLevel="0" collapsed="false">
      <c r="A7" s="10" t="n">
        <v>3</v>
      </c>
      <c r="B7" s="13" t="n">
        <v>3</v>
      </c>
      <c r="C7" s="15" t="n">
        <v>248</v>
      </c>
      <c r="D7" s="15" t="n">
        <v>236</v>
      </c>
      <c r="E7" s="15" t="n">
        <v>2</v>
      </c>
      <c r="F7" s="15" t="n">
        <v>0</v>
      </c>
      <c r="G7" s="12" t="n">
        <f aca="false">D7+E7</f>
        <v>238</v>
      </c>
      <c r="H7" s="12" t="n">
        <f aca="false">SUMIFS($G$5:$G$12,$B$5:$B$12,"&lt;="&amp;B7)</f>
        <v>289</v>
      </c>
      <c r="I7" s="16" t="n">
        <f aca="false">AER_DATA+ROUNDUP(H7/(AER_RIGS*AER_RATE)*7/WD,0)</f>
        <v>46320</v>
      </c>
      <c r="J7" s="12" t="n">
        <v>3</v>
      </c>
    </row>
    <row r="8" customFormat="false" ht="15" hidden="false" customHeight="false" outlineLevel="0" collapsed="false">
      <c r="A8" s="10" t="n">
        <v>4</v>
      </c>
      <c r="B8" s="13" t="n">
        <v>4</v>
      </c>
      <c r="C8" s="15" t="n">
        <v>221</v>
      </c>
      <c r="D8" s="15" t="n">
        <v>337</v>
      </c>
      <c r="E8" s="15" t="n">
        <v>3</v>
      </c>
      <c r="F8" s="15" t="n">
        <v>0</v>
      </c>
      <c r="G8" s="12" t="n">
        <f aca="false">D8+E8</f>
        <v>340</v>
      </c>
      <c r="H8" s="12" t="n">
        <f aca="false">SUMIFS($G$5:$G$12,$B$5:$B$12,"&lt;="&amp;B8)</f>
        <v>770</v>
      </c>
      <c r="I8" s="16" t="n">
        <f aca="false">AER_DATA+ROUNDUP(H8/(AER_RIGS*AER_RATE)*7/WD,0)</f>
        <v>46333</v>
      </c>
      <c r="J8" s="12" t="n">
        <v>1</v>
      </c>
    </row>
    <row r="9" customFormat="false" ht="15" hidden="false" customHeight="false" outlineLevel="0" collapsed="false">
      <c r="A9" s="10" t="n">
        <v>5</v>
      </c>
      <c r="B9" s="13" t="n">
        <v>4</v>
      </c>
      <c r="C9" s="15" t="n">
        <v>223</v>
      </c>
      <c r="D9" s="15" t="n">
        <v>137</v>
      </c>
      <c r="E9" s="15" t="n">
        <v>4</v>
      </c>
      <c r="F9" s="15" t="n">
        <v>0</v>
      </c>
      <c r="G9" s="12" t="n">
        <f aca="false">D9+E9</f>
        <v>141</v>
      </c>
      <c r="H9" s="12" t="n">
        <f aca="false">SUMIFS($G$5:$G$12,$B$5:$B$12,"&lt;="&amp;B9)</f>
        <v>770</v>
      </c>
      <c r="I9" s="16" t="n">
        <f aca="false">AER_DATA+ROUNDUP(H9/(AER_RIGS*AER_RATE)*7/WD,0)</f>
        <v>46333</v>
      </c>
      <c r="J9" s="12" t="n">
        <v>2</v>
      </c>
    </row>
    <row r="10" customFormat="false" ht="15" hidden="false" customHeight="false" outlineLevel="0" collapsed="false">
      <c r="A10" s="10" t="n">
        <v>6</v>
      </c>
      <c r="B10" s="13" t="n">
        <v>5</v>
      </c>
      <c r="C10" s="15" t="n">
        <v>134</v>
      </c>
      <c r="D10" s="15" t="n">
        <v>279</v>
      </c>
      <c r="E10" s="15" t="n">
        <v>5</v>
      </c>
      <c r="F10" s="15" t="n">
        <v>0</v>
      </c>
      <c r="G10" s="12" t="n">
        <f aca="false">D10+E10</f>
        <v>284</v>
      </c>
      <c r="H10" s="12" t="n">
        <f aca="false">SUMIFS($G$5:$G$12,$B$5:$B$12,"&lt;="&amp;B10)</f>
        <v>1054</v>
      </c>
      <c r="I10" s="16" t="n">
        <f aca="false">AER_DATA+ROUNDUP(H10/(AER_RIGS*AER_RATE)*7/WD,0)</f>
        <v>46341</v>
      </c>
      <c r="J10" s="12" t="n">
        <v>0</v>
      </c>
    </row>
    <row r="11" customFormat="false" ht="15" hidden="false" customHeight="false" outlineLevel="0" collapsed="false">
      <c r="A11" s="10" t="n">
        <v>7</v>
      </c>
      <c r="B11" s="13" t="n">
        <v>6</v>
      </c>
      <c r="C11" s="15" t="n">
        <v>121</v>
      </c>
      <c r="D11" s="15" t="n">
        <v>296</v>
      </c>
      <c r="E11" s="15" t="n">
        <v>1</v>
      </c>
      <c r="F11" s="15" t="n">
        <v>0</v>
      </c>
      <c r="G11" s="12" t="n">
        <f aca="false">D11+E11</f>
        <v>297</v>
      </c>
      <c r="H11" s="12" t="n">
        <f aca="false">SUMIFS($G$5:$G$12,$B$5:$B$12,"&lt;="&amp;B11)</f>
        <v>1351</v>
      </c>
      <c r="I11" s="16" t="n">
        <f aca="false">AER_DATA+ROUNDUP(H11/(AER_RIGS*AER_RATE)*7/WD,0)</f>
        <v>46349</v>
      </c>
      <c r="J11" s="12" t="n">
        <v>2</v>
      </c>
    </row>
    <row r="12" customFormat="false" ht="15" hidden="false" customHeight="false" outlineLevel="0" collapsed="false">
      <c r="A12" s="10" t="n">
        <v>8</v>
      </c>
      <c r="B12" s="13" t="n">
        <v>7</v>
      </c>
      <c r="C12" s="15" t="n">
        <v>144</v>
      </c>
      <c r="D12" s="15" t="n">
        <v>236</v>
      </c>
      <c r="E12" s="15" t="n">
        <v>0</v>
      </c>
      <c r="F12" s="15" t="n">
        <v>3</v>
      </c>
      <c r="G12" s="12" t="n">
        <f aca="false">D12+E12</f>
        <v>236</v>
      </c>
      <c r="H12" s="12" t="n">
        <f aca="false">SUMIFS($G$5:$G$12,$B$5:$B$12,"&lt;="&amp;B12)</f>
        <v>1587</v>
      </c>
      <c r="I12" s="16" t="n">
        <f aca="false">AER_DATA+ROUNDUP(H12/(AER_RIGS*AER_RATE)*7/WD,0)</f>
        <v>46355</v>
      </c>
      <c r="J12" s="12" t="n">
        <v>3</v>
      </c>
    </row>
    <row r="13" customFormat="false" ht="15" hidden="false" customHeight="false" outlineLevel="0" collapsed="false">
      <c r="A13" s="10" t="s">
        <v>262</v>
      </c>
      <c r="C13" s="10" t="n">
        <f aca="false">SUM(C5:C12)</f>
        <v>2079</v>
      </c>
      <c r="D13" s="10" t="n">
        <f aca="false">SUM(D5:D12)</f>
        <v>1568</v>
      </c>
      <c r="E13" s="10" t="n">
        <f aca="false">SUM(E5:E12)</f>
        <v>19</v>
      </c>
      <c r="F13" s="10" t="n">
        <f aca="false">SUM(F5:F12)</f>
        <v>6</v>
      </c>
      <c r="G13" s="10" t="n">
        <f aca="false">SUM(G5:G12)</f>
        <v>1587</v>
      </c>
    </row>
    <row r="15" customFormat="false" ht="15" hidden="false" customHeight="false" outlineLevel="0" collapsed="false">
      <c r="A15" s="3" t="s">
        <v>263</v>
      </c>
    </row>
    <row r="16" customFormat="false" ht="15" hidden="false" customHeight="false" outlineLevel="0" collapsed="false">
      <c r="A16" s="10" t="s">
        <v>264</v>
      </c>
      <c r="B16" s="12" t="s">
        <v>265</v>
      </c>
      <c r="C16" s="12"/>
      <c r="D16" s="12"/>
      <c r="E16" s="12"/>
      <c r="F16" s="12"/>
      <c r="G16" s="14" t="n">
        <v>46312</v>
      </c>
      <c r="H16" s="12" t="s">
        <v>266</v>
      </c>
      <c r="I16" s="12"/>
      <c r="J16" s="12"/>
    </row>
    <row r="17" customFormat="false" ht="15" hidden="false" customHeight="false" outlineLevel="0" collapsed="false">
      <c r="A17" s="10" t="s">
        <v>267</v>
      </c>
      <c r="B17" s="12" t="s">
        <v>268</v>
      </c>
      <c r="C17" s="12"/>
      <c r="D17" s="12"/>
      <c r="E17" s="12"/>
      <c r="F17" s="12"/>
      <c r="G17" s="17" t="n">
        <v>8</v>
      </c>
      <c r="H17" s="12" t="s">
        <v>269</v>
      </c>
      <c r="I17" s="12"/>
      <c r="J17" s="12"/>
    </row>
    <row r="18" customFormat="false" ht="15" hidden="false" customHeight="false" outlineLevel="0" collapsed="false">
      <c r="A18" s="10" t="s">
        <v>270</v>
      </c>
      <c r="B18" s="12" t="s">
        <v>271</v>
      </c>
      <c r="C18" s="12"/>
      <c r="D18" s="12"/>
      <c r="E18" s="12"/>
      <c r="F18" s="12"/>
      <c r="G18" s="18" t="n">
        <f aca="false">SUM(B31:B34)/SUM(C31:C34)/WD</f>
        <v>5.42857142857143</v>
      </c>
      <c r="H18" s="12" t="s">
        <v>272</v>
      </c>
      <c r="I18" s="12"/>
      <c r="J18" s="12"/>
    </row>
    <row r="19" customFormat="false" ht="15" hidden="false" customHeight="false" outlineLevel="0" collapsed="false">
      <c r="A19" s="10" t="s">
        <v>273</v>
      </c>
      <c r="B19" s="12" t="s">
        <v>274</v>
      </c>
      <c r="C19" s="12"/>
      <c r="D19" s="12"/>
      <c r="E19" s="12"/>
      <c r="F19" s="12"/>
      <c r="G19" s="11"/>
      <c r="H19" s="12" t="s">
        <v>275</v>
      </c>
      <c r="I19" s="12"/>
      <c r="J19" s="12"/>
    </row>
    <row r="20" customFormat="false" ht="15" hidden="false" customHeight="false" outlineLevel="0" collapsed="false">
      <c r="A20" s="10" t="s">
        <v>276</v>
      </c>
      <c r="B20" s="12" t="s">
        <v>277</v>
      </c>
      <c r="C20" s="12"/>
      <c r="D20" s="12"/>
      <c r="E20" s="12"/>
      <c r="F20" s="12"/>
      <c r="G20" s="18" t="n">
        <f aca="false">IF(AER_OVR="",AER_ACT,AER_OVR)</f>
        <v>5.42857142857143</v>
      </c>
      <c r="H20" s="12"/>
      <c r="I20" s="12"/>
      <c r="J20" s="12"/>
    </row>
    <row r="23" customFormat="false" ht="15" hidden="false" customHeight="false" outlineLevel="0" collapsed="false">
      <c r="A23" s="3" t="s">
        <v>278</v>
      </c>
    </row>
    <row r="24" customFormat="false" ht="35.05" hidden="false" customHeight="false" outlineLevel="0" collapsed="false">
      <c r="A24" s="5" t="s">
        <v>279</v>
      </c>
      <c r="B24" s="5" t="s">
        <v>280</v>
      </c>
      <c r="C24" s="5" t="s">
        <v>281</v>
      </c>
      <c r="D24" s="5" t="s">
        <v>282</v>
      </c>
    </row>
    <row r="25" customFormat="false" ht="15" hidden="false" customHeight="false" outlineLevel="0" collapsed="false">
      <c r="A25" s="19" t="n">
        <v>46237</v>
      </c>
      <c r="B25" s="15" t="n">
        <v>4</v>
      </c>
      <c r="C25" s="15" t="n">
        <v>2</v>
      </c>
      <c r="D25" s="18" t="n">
        <f aca="false">B25/C25/WD</f>
        <v>0.333333333333333</v>
      </c>
    </row>
    <row r="26" customFormat="false" ht="15" hidden="false" customHeight="false" outlineLevel="0" collapsed="false">
      <c r="A26" s="19" t="n">
        <v>46244</v>
      </c>
      <c r="B26" s="15" t="n">
        <v>46</v>
      </c>
      <c r="C26" s="15" t="n">
        <v>3</v>
      </c>
      <c r="D26" s="18" t="n">
        <f aca="false">B26/C26/WD</f>
        <v>2.55555555555556</v>
      </c>
    </row>
    <row r="27" customFormat="false" ht="15" hidden="false" customHeight="false" outlineLevel="0" collapsed="false">
      <c r="A27" s="19" t="n">
        <v>46251</v>
      </c>
      <c r="B27" s="15" t="n">
        <v>123</v>
      </c>
      <c r="C27" s="15" t="n">
        <v>5</v>
      </c>
      <c r="D27" s="18" t="n">
        <f aca="false">B27/C27/WD</f>
        <v>4.1</v>
      </c>
    </row>
    <row r="28" customFormat="false" ht="15" hidden="false" customHeight="false" outlineLevel="0" collapsed="false">
      <c r="A28" s="19" t="n">
        <v>46258</v>
      </c>
      <c r="B28" s="15" t="n">
        <v>210</v>
      </c>
      <c r="C28" s="15" t="n">
        <v>7</v>
      </c>
      <c r="D28" s="18" t="n">
        <f aca="false">B28/C28/WD</f>
        <v>5</v>
      </c>
    </row>
    <row r="29" customFormat="false" ht="15" hidden="false" customHeight="false" outlineLevel="0" collapsed="false">
      <c r="A29" s="19" t="n">
        <v>46265</v>
      </c>
      <c r="B29" s="15" t="n">
        <v>146</v>
      </c>
      <c r="C29" s="15" t="n">
        <v>7</v>
      </c>
      <c r="D29" s="18" t="n">
        <f aca="false">B29/C29/WD</f>
        <v>3.47619047619048</v>
      </c>
    </row>
    <row r="30" customFormat="false" ht="15" hidden="false" customHeight="false" outlineLevel="0" collapsed="false">
      <c r="A30" s="19" t="n">
        <v>46272</v>
      </c>
      <c r="B30" s="15" t="n">
        <v>229</v>
      </c>
      <c r="C30" s="15" t="n">
        <v>8</v>
      </c>
      <c r="D30" s="18" t="n">
        <f aca="false">B30/C30/WD</f>
        <v>4.77083333333333</v>
      </c>
    </row>
    <row r="31" customFormat="false" ht="15" hidden="false" customHeight="false" outlineLevel="0" collapsed="false">
      <c r="A31" s="19" t="n">
        <v>46279</v>
      </c>
      <c r="B31" s="15" t="n">
        <v>323</v>
      </c>
      <c r="C31" s="15" t="n">
        <v>9</v>
      </c>
      <c r="D31" s="18" t="n">
        <f aca="false">B31/C31/WD</f>
        <v>5.98148148148148</v>
      </c>
    </row>
    <row r="32" customFormat="false" ht="15" hidden="false" customHeight="false" outlineLevel="0" collapsed="false">
      <c r="A32" s="19" t="n">
        <v>46286</v>
      </c>
      <c r="B32" s="15" t="n">
        <v>316</v>
      </c>
      <c r="C32" s="15" t="n">
        <v>9</v>
      </c>
      <c r="D32" s="18" t="n">
        <f aca="false">B32/C32/WD</f>
        <v>5.85185185185185</v>
      </c>
    </row>
    <row r="33" customFormat="false" ht="15" hidden="false" customHeight="false" outlineLevel="0" collapsed="false">
      <c r="A33" s="19" t="n">
        <v>46293</v>
      </c>
      <c r="B33" s="15" t="n">
        <v>246</v>
      </c>
      <c r="C33" s="15" t="n">
        <v>9</v>
      </c>
      <c r="D33" s="18" t="n">
        <f aca="false">B33/C33/WD</f>
        <v>4.55555555555556</v>
      </c>
    </row>
    <row r="34" customFormat="false" ht="15" hidden="false" customHeight="false" outlineLevel="0" collapsed="false">
      <c r="A34" s="19" t="n">
        <v>46300</v>
      </c>
      <c r="B34" s="15" t="n">
        <v>255</v>
      </c>
      <c r="C34" s="15" t="n">
        <v>8</v>
      </c>
      <c r="D34" s="18" t="n">
        <f aca="false">B34/C34/WD</f>
        <v>5.3125</v>
      </c>
    </row>
    <row r="35" customFormat="false" ht="15" hidden="false" customHeight="false" outlineLevel="0" collapsed="false">
      <c r="A35" s="19" t="n">
        <v>46307</v>
      </c>
      <c r="B35" s="15" t="n">
        <v>200</v>
      </c>
      <c r="C35" s="15" t="n">
        <v>8</v>
      </c>
      <c r="D35" s="18" t="n">
        <f aca="false">B35/C35/WD</f>
        <v>4.16666666666667</v>
      </c>
      <c r="E35" s="2" t="s">
        <v>283</v>
      </c>
    </row>
  </sheetData>
  <mergeCells count="10">
    <mergeCell ref="B16:F16"/>
    <mergeCell ref="H16:J16"/>
    <mergeCell ref="B17:F17"/>
    <mergeCell ref="H17:J17"/>
    <mergeCell ref="B18:F18"/>
    <mergeCell ref="H18:J18"/>
    <mergeCell ref="B19:F19"/>
    <mergeCell ref="H19:J19"/>
    <mergeCell ref="B20:F20"/>
    <mergeCell ref="H20:J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0"/>
    <col collapsed="false" customWidth="true" hidden="false" outlineLevel="0" max="3" min="3" style="0" width="11"/>
    <col collapsed="false" customWidth="true" hidden="false" outlineLevel="0" max="4" min="4" style="0" width="34"/>
    <col collapsed="false" customWidth="true" hidden="false" outlineLevel="0" max="5" min="5" style="0" width="60"/>
    <col collapsed="false" customWidth="true" hidden="false" outlineLevel="0" max="6" min="6" style="0" width="15"/>
    <col collapsed="false" customWidth="true" hidden="false" outlineLevel="0" max="7" min="7" style="0" width="10"/>
    <col collapsed="false" customWidth="true" hidden="false" outlineLevel="0" max="8" min="8" style="0" width="12"/>
  </cols>
  <sheetData>
    <row r="1" customFormat="false" ht="17.35" hidden="false" customHeight="false" outlineLevel="0" collapsed="false">
      <c r="A1" s="1" t="s">
        <v>284</v>
      </c>
    </row>
    <row r="2" customFormat="false" ht="15" hidden="false" customHeight="false" outlineLevel="0" collapsed="false">
      <c r="A2" s="2" t="s">
        <v>285</v>
      </c>
    </row>
    <row r="4" customFormat="false" ht="42" hidden="false" customHeight="true" outlineLevel="0" collapsed="false">
      <c r="A4" s="5" t="s">
        <v>286</v>
      </c>
      <c r="B4" s="5" t="s">
        <v>287</v>
      </c>
      <c r="C4" s="5" t="s">
        <v>288</v>
      </c>
      <c r="D4" s="5" t="s">
        <v>289</v>
      </c>
      <c r="E4" s="5" t="s">
        <v>290</v>
      </c>
      <c r="F4" s="5" t="s">
        <v>291</v>
      </c>
      <c r="G4" s="5" t="s">
        <v>292</v>
      </c>
      <c r="H4" s="5" t="s">
        <v>293</v>
      </c>
    </row>
    <row r="5" customFormat="false" ht="15" hidden="false" customHeight="false" outlineLevel="0" collapsed="false">
      <c r="A5" s="10" t="s">
        <v>294</v>
      </c>
      <c r="B5" s="12" t="s">
        <v>295</v>
      </c>
      <c r="C5" s="12" t="s">
        <v>296</v>
      </c>
      <c r="D5" s="7" t="s">
        <v>297</v>
      </c>
      <c r="E5" s="7" t="s">
        <v>298</v>
      </c>
      <c r="F5" s="14"/>
      <c r="G5" s="12" t="n">
        <v>3</v>
      </c>
      <c r="H5" s="16" t="n">
        <f aca="false">IF(F5="",0,F5)</f>
        <v>0</v>
      </c>
    </row>
    <row r="6" customFormat="false" ht="23.85" hidden="false" customHeight="false" outlineLevel="0" collapsed="false">
      <c r="A6" s="10" t="s">
        <v>299</v>
      </c>
      <c r="B6" s="12" t="s">
        <v>300</v>
      </c>
      <c r="C6" s="12" t="s">
        <v>296</v>
      </c>
      <c r="D6" s="7" t="s">
        <v>301</v>
      </c>
      <c r="E6" s="7" t="s">
        <v>302</v>
      </c>
      <c r="F6" s="14"/>
      <c r="G6" s="12" t="n">
        <v>8</v>
      </c>
      <c r="H6" s="16" t="n">
        <f aca="false">IF(F6="",0,F6)</f>
        <v>0</v>
      </c>
    </row>
    <row r="7" customFormat="false" ht="15" hidden="false" customHeight="false" outlineLevel="0" collapsed="false">
      <c r="A7" s="10" t="s">
        <v>303</v>
      </c>
      <c r="B7" s="12" t="s">
        <v>304</v>
      </c>
      <c r="C7" s="12" t="s">
        <v>296</v>
      </c>
      <c r="D7" s="7" t="s">
        <v>305</v>
      </c>
      <c r="E7" s="7" t="s">
        <v>306</v>
      </c>
      <c r="F7" s="14"/>
      <c r="G7" s="12" t="n">
        <v>3</v>
      </c>
      <c r="H7" s="16" t="n">
        <f aca="false">IF(F7="",0,F7)</f>
        <v>0</v>
      </c>
    </row>
    <row r="8" customFormat="false" ht="15" hidden="false" customHeight="false" outlineLevel="0" collapsed="false">
      <c r="A8" s="10" t="s">
        <v>307</v>
      </c>
      <c r="B8" s="12" t="s">
        <v>308</v>
      </c>
      <c r="C8" s="12" t="s">
        <v>296</v>
      </c>
      <c r="D8" s="7" t="s">
        <v>305</v>
      </c>
      <c r="E8" s="7" t="s">
        <v>306</v>
      </c>
      <c r="F8" s="14"/>
      <c r="G8" s="12" t="n">
        <v>3</v>
      </c>
      <c r="H8" s="16" t="n">
        <f aca="false">IF(F8="",0,F8)</f>
        <v>0</v>
      </c>
    </row>
    <row r="9" customFormat="false" ht="15" hidden="false" customHeight="false" outlineLevel="0" collapsed="false">
      <c r="A9" s="10" t="s">
        <v>309</v>
      </c>
      <c r="B9" s="12" t="s">
        <v>310</v>
      </c>
      <c r="C9" s="12" t="s">
        <v>296</v>
      </c>
      <c r="D9" s="7" t="s">
        <v>305</v>
      </c>
      <c r="E9" s="7" t="s">
        <v>306</v>
      </c>
      <c r="F9" s="14"/>
      <c r="G9" s="12" t="n">
        <v>3</v>
      </c>
      <c r="H9" s="16" t="n">
        <f aca="false">IF(F9="",0,F9)</f>
        <v>0</v>
      </c>
    </row>
    <row r="10" customFormat="false" ht="15" hidden="false" customHeight="false" outlineLevel="0" collapsed="false">
      <c r="A10" s="10" t="s">
        <v>311</v>
      </c>
      <c r="B10" s="12" t="s">
        <v>312</v>
      </c>
      <c r="C10" s="12" t="s">
        <v>296</v>
      </c>
      <c r="D10" s="7" t="s">
        <v>305</v>
      </c>
      <c r="E10" s="7" t="s">
        <v>306</v>
      </c>
      <c r="F10" s="14"/>
      <c r="G10" s="12" t="n">
        <v>3</v>
      </c>
      <c r="H10" s="16" t="n">
        <f aca="false">IF(F10="",0,F10)</f>
        <v>0</v>
      </c>
    </row>
    <row r="11" customFormat="false" ht="15" hidden="false" customHeight="false" outlineLevel="0" collapsed="false">
      <c r="A11" s="10" t="s">
        <v>313</v>
      </c>
      <c r="B11" s="12" t="s">
        <v>314</v>
      </c>
      <c r="C11" s="12" t="s">
        <v>296</v>
      </c>
      <c r="D11" s="7" t="s">
        <v>305</v>
      </c>
      <c r="E11" s="7" t="s">
        <v>306</v>
      </c>
      <c r="F11" s="14"/>
      <c r="G11" s="12" t="n">
        <v>3</v>
      </c>
      <c r="H11" s="16" t="n">
        <f aca="false">IF(F11="",0,F11)</f>
        <v>0</v>
      </c>
    </row>
    <row r="12" customFormat="false" ht="15" hidden="false" customHeight="false" outlineLevel="0" collapsed="false">
      <c r="A12" s="10" t="s">
        <v>315</v>
      </c>
      <c r="B12" s="12" t="s">
        <v>316</v>
      </c>
      <c r="C12" s="12" t="s">
        <v>296</v>
      </c>
      <c r="D12" s="7" t="s">
        <v>305</v>
      </c>
      <c r="E12" s="7" t="s">
        <v>306</v>
      </c>
      <c r="F12" s="14"/>
      <c r="G12" s="12" t="n">
        <v>3</v>
      </c>
      <c r="H12" s="16" t="n">
        <f aca="false">IF(F12="",0,F12)</f>
        <v>0</v>
      </c>
    </row>
    <row r="13" customFormat="false" ht="15" hidden="false" customHeight="false" outlineLevel="0" collapsed="false">
      <c r="A13" s="10" t="s">
        <v>317</v>
      </c>
      <c r="B13" s="12" t="s">
        <v>318</v>
      </c>
      <c r="C13" s="12" t="s">
        <v>296</v>
      </c>
      <c r="D13" s="7" t="s">
        <v>305</v>
      </c>
      <c r="E13" s="7" t="s">
        <v>306</v>
      </c>
      <c r="F13" s="14"/>
      <c r="G13" s="12" t="n">
        <v>3</v>
      </c>
      <c r="H13" s="16" t="n">
        <f aca="false">IF(F13="",0,F13)</f>
        <v>0</v>
      </c>
    </row>
    <row r="14" customFormat="false" ht="15" hidden="false" customHeight="false" outlineLevel="0" collapsed="false">
      <c r="A14" s="10" t="s">
        <v>319</v>
      </c>
      <c r="B14" s="12" t="s">
        <v>320</v>
      </c>
      <c r="C14" s="12" t="s">
        <v>296</v>
      </c>
      <c r="D14" s="7" t="s">
        <v>305</v>
      </c>
      <c r="E14" s="7" t="s">
        <v>306</v>
      </c>
      <c r="F14" s="14"/>
      <c r="G14" s="12" t="n">
        <v>3</v>
      </c>
      <c r="H14" s="16" t="n">
        <f aca="false">IF(F14="",0,F14)</f>
        <v>0</v>
      </c>
    </row>
    <row r="15" customFormat="false" ht="15" hidden="false" customHeight="false" outlineLevel="0" collapsed="false">
      <c r="A15" s="10" t="s">
        <v>321</v>
      </c>
      <c r="B15" s="12" t="s">
        <v>322</v>
      </c>
      <c r="C15" s="12" t="s">
        <v>296</v>
      </c>
      <c r="D15" s="7" t="s">
        <v>305</v>
      </c>
      <c r="E15" s="7" t="s">
        <v>306</v>
      </c>
      <c r="F15" s="14"/>
      <c r="G15" s="12" t="n">
        <v>3</v>
      </c>
      <c r="H15" s="16" t="n">
        <f aca="false">IF(F15="",0,F15)</f>
        <v>0</v>
      </c>
    </row>
    <row r="16" customFormat="false" ht="15" hidden="false" customHeight="false" outlineLevel="0" collapsed="false">
      <c r="A16" s="10" t="s">
        <v>323</v>
      </c>
      <c r="B16" s="12" t="s">
        <v>324</v>
      </c>
      <c r="C16" s="12" t="s">
        <v>296</v>
      </c>
      <c r="D16" s="7" t="s">
        <v>305</v>
      </c>
      <c r="E16" s="7" t="s">
        <v>306</v>
      </c>
      <c r="F16" s="14"/>
      <c r="G16" s="12" t="n">
        <v>6</v>
      </c>
      <c r="H16" s="16" t="n">
        <f aca="false">IF(F16="",0,F16)</f>
        <v>0</v>
      </c>
    </row>
    <row r="17" customFormat="false" ht="15" hidden="false" customHeight="false" outlineLevel="0" collapsed="false">
      <c r="A17" s="10" t="s">
        <v>325</v>
      </c>
      <c r="B17" s="12" t="s">
        <v>326</v>
      </c>
      <c r="C17" s="12" t="s">
        <v>296</v>
      </c>
      <c r="D17" s="7" t="s">
        <v>305</v>
      </c>
      <c r="E17" s="7" t="s">
        <v>306</v>
      </c>
      <c r="F17" s="14"/>
      <c r="G17" s="12" t="n">
        <v>3</v>
      </c>
      <c r="H17" s="16" t="n">
        <f aca="false">IF(F17="",0,F17)</f>
        <v>0</v>
      </c>
    </row>
    <row r="18" customFormat="false" ht="15" hidden="false" customHeight="false" outlineLevel="0" collapsed="false">
      <c r="A18" s="10" t="s">
        <v>327</v>
      </c>
      <c r="B18" s="12" t="s">
        <v>328</v>
      </c>
      <c r="C18" s="12" t="s">
        <v>296</v>
      </c>
      <c r="D18" s="7" t="s">
        <v>305</v>
      </c>
      <c r="E18" s="7" t="s">
        <v>306</v>
      </c>
      <c r="F18" s="14"/>
      <c r="G18" s="12" t="n">
        <v>3</v>
      </c>
      <c r="H18" s="16" t="n">
        <f aca="false">IF(F18="",0,F18)</f>
        <v>0</v>
      </c>
    </row>
    <row r="19" customFormat="false" ht="23.85" hidden="false" customHeight="false" outlineLevel="0" collapsed="false">
      <c r="A19" s="10" t="s">
        <v>329</v>
      </c>
      <c r="B19" s="12" t="s">
        <v>330</v>
      </c>
      <c r="C19" s="12" t="s">
        <v>296</v>
      </c>
      <c r="D19" s="7" t="s">
        <v>301</v>
      </c>
      <c r="E19" s="7" t="s">
        <v>331</v>
      </c>
      <c r="F19" s="14"/>
      <c r="G19" s="12" t="n">
        <v>1</v>
      </c>
      <c r="H19" s="16" t="n">
        <f aca="false">IF(F19="",0,F19)</f>
        <v>0</v>
      </c>
    </row>
    <row r="20" customFormat="false" ht="23.85" hidden="false" customHeight="false" outlineLevel="0" collapsed="false">
      <c r="A20" s="10" t="s">
        <v>332</v>
      </c>
      <c r="B20" s="12" t="s">
        <v>332</v>
      </c>
      <c r="C20" s="12" t="s">
        <v>296</v>
      </c>
      <c r="D20" s="7" t="s">
        <v>333</v>
      </c>
      <c r="E20" s="7" t="s">
        <v>334</v>
      </c>
      <c r="F20" s="14"/>
      <c r="G20" s="12" t="n">
        <v>6</v>
      </c>
      <c r="H20" s="16" t="n">
        <f aca="false">IF(F20="",0,F20)</f>
        <v>0</v>
      </c>
    </row>
    <row r="21" customFormat="false" ht="23.85" hidden="false" customHeight="false" outlineLevel="0" collapsed="false">
      <c r="A21" s="10" t="s">
        <v>335</v>
      </c>
      <c r="B21" s="12" t="s">
        <v>335</v>
      </c>
      <c r="C21" s="12" t="s">
        <v>296</v>
      </c>
      <c r="D21" s="7" t="s">
        <v>336</v>
      </c>
      <c r="E21" s="7" t="s">
        <v>337</v>
      </c>
      <c r="F21" s="14"/>
      <c r="G21" s="12" t="n">
        <v>1</v>
      </c>
      <c r="H21" s="16" t="n">
        <f aca="false">IF(F21="",0,F21)</f>
        <v>0</v>
      </c>
    </row>
    <row r="22" customFormat="false" ht="23.85" hidden="false" customHeight="false" outlineLevel="0" collapsed="false">
      <c r="A22" s="10" t="s">
        <v>338</v>
      </c>
      <c r="B22" s="12" t="s">
        <v>339</v>
      </c>
      <c r="C22" s="12" t="s">
        <v>296</v>
      </c>
      <c r="D22" s="7" t="s">
        <v>336</v>
      </c>
      <c r="E22" s="7" t="s">
        <v>337</v>
      </c>
      <c r="F22" s="14"/>
      <c r="G22" s="12" t="n">
        <v>1</v>
      </c>
      <c r="H22" s="16" t="n">
        <f aca="false">IF(F22="",0,F22)</f>
        <v>0</v>
      </c>
    </row>
    <row r="23" customFormat="false" ht="23.85" hidden="false" customHeight="false" outlineLevel="0" collapsed="false">
      <c r="A23" s="10" t="s">
        <v>340</v>
      </c>
      <c r="B23" s="12" t="s">
        <v>341</v>
      </c>
      <c r="C23" s="12" t="s">
        <v>296</v>
      </c>
      <c r="D23" s="7" t="s">
        <v>333</v>
      </c>
      <c r="E23" s="7" t="s">
        <v>334</v>
      </c>
      <c r="F23" s="14"/>
      <c r="G23" s="12" t="n">
        <v>2</v>
      </c>
      <c r="H23" s="16" t="n">
        <f aca="false">IF(F23="",0,F23)</f>
        <v>0</v>
      </c>
    </row>
    <row r="24" customFormat="false" ht="23.85" hidden="false" customHeight="false" outlineLevel="0" collapsed="false">
      <c r="A24" s="10" t="s">
        <v>342</v>
      </c>
      <c r="B24" s="12" t="s">
        <v>343</v>
      </c>
      <c r="C24" s="12" t="s">
        <v>296</v>
      </c>
      <c r="D24" s="7" t="s">
        <v>344</v>
      </c>
      <c r="E24" s="7" t="s">
        <v>345</v>
      </c>
      <c r="F24" s="14"/>
      <c r="G24" s="12" t="n">
        <v>5</v>
      </c>
      <c r="H24" s="16" t="n">
        <f aca="false">IF(F24="",0,F24)</f>
        <v>0</v>
      </c>
    </row>
    <row r="25" customFormat="false" ht="23.85" hidden="false" customHeight="false" outlineLevel="0" collapsed="false">
      <c r="A25" s="10" t="s">
        <v>346</v>
      </c>
      <c r="B25" s="12" t="s">
        <v>347</v>
      </c>
      <c r="C25" s="12" t="s">
        <v>296</v>
      </c>
      <c r="D25" s="7" t="s">
        <v>344</v>
      </c>
      <c r="E25" s="7" t="s">
        <v>345</v>
      </c>
      <c r="F25" s="14"/>
      <c r="G25" s="12" t="n">
        <v>5</v>
      </c>
      <c r="H25" s="16" t="n">
        <f aca="false">IF(F25="",0,F25)</f>
        <v>0</v>
      </c>
    </row>
    <row r="26" customFormat="false" ht="23.85" hidden="false" customHeight="false" outlineLevel="0" collapsed="false">
      <c r="A26" s="10" t="s">
        <v>348</v>
      </c>
      <c r="B26" s="12" t="s">
        <v>349</v>
      </c>
      <c r="C26" s="12" t="s">
        <v>296</v>
      </c>
      <c r="D26" s="7" t="s">
        <v>344</v>
      </c>
      <c r="E26" s="7" t="s">
        <v>345</v>
      </c>
      <c r="F26" s="14"/>
      <c r="G26" s="12" t="n">
        <v>6</v>
      </c>
      <c r="H26" s="16" t="n">
        <f aca="false">IF(F26="",0,F26)</f>
        <v>0</v>
      </c>
    </row>
    <row r="27" customFormat="false" ht="23.85" hidden="false" customHeight="false" outlineLevel="0" collapsed="false">
      <c r="A27" s="10" t="s">
        <v>350</v>
      </c>
      <c r="B27" s="12" t="s">
        <v>351</v>
      </c>
      <c r="C27" s="12" t="s">
        <v>296</v>
      </c>
      <c r="D27" s="7" t="s">
        <v>352</v>
      </c>
      <c r="E27" s="7" t="s">
        <v>353</v>
      </c>
      <c r="F27" s="14"/>
      <c r="G27" s="12" t="n">
        <v>7</v>
      </c>
      <c r="H27" s="16" t="n">
        <f aca="false">IF(F27="",0,F27)</f>
        <v>0</v>
      </c>
    </row>
    <row r="28" customFormat="false" ht="15" hidden="false" customHeight="false" outlineLevel="0" collapsed="false">
      <c r="A28" s="10" t="s">
        <v>354</v>
      </c>
      <c r="B28" s="12" t="s">
        <v>355</v>
      </c>
      <c r="C28" s="12" t="s">
        <v>296</v>
      </c>
      <c r="D28" s="7"/>
      <c r="E28" s="7"/>
      <c r="F28" s="14"/>
      <c r="G28" s="12" t="n">
        <v>1</v>
      </c>
      <c r="H28" s="16" t="n">
        <f aca="false">IF(F28="",0,F28)</f>
        <v>0</v>
      </c>
    </row>
    <row r="29" customFormat="false" ht="15" hidden="false" customHeight="false" outlineLevel="0" collapsed="false">
      <c r="A29" s="10" t="s">
        <v>356</v>
      </c>
      <c r="B29" s="12" t="s">
        <v>357</v>
      </c>
      <c r="C29" s="12" t="s">
        <v>358</v>
      </c>
      <c r="D29" s="7" t="s">
        <v>359</v>
      </c>
      <c r="E29" s="7"/>
      <c r="F29" s="14"/>
      <c r="G29" s="12" t="n">
        <v>0</v>
      </c>
      <c r="H29" s="16" t="n">
        <f aca="false">IF(F29="",0,F29)</f>
        <v>0</v>
      </c>
    </row>
    <row r="30" customFormat="false" ht="15" hidden="false" customHeight="false" outlineLevel="0" collapsed="false">
      <c r="A30" s="10" t="s">
        <v>360</v>
      </c>
      <c r="B30" s="12" t="s">
        <v>361</v>
      </c>
      <c r="C30" s="12" t="s">
        <v>358</v>
      </c>
      <c r="D30" s="7" t="s">
        <v>359</v>
      </c>
      <c r="E30" s="7"/>
      <c r="F30" s="14"/>
      <c r="G30" s="12" t="n">
        <v>0</v>
      </c>
      <c r="H30" s="16" t="n">
        <f aca="false">IF(F30="",0,F30)</f>
        <v>0</v>
      </c>
    </row>
    <row r="31" customFormat="false" ht="15" hidden="false" customHeight="false" outlineLevel="0" collapsed="false">
      <c r="A31" s="10" t="s">
        <v>362</v>
      </c>
      <c r="B31" s="12" t="s">
        <v>363</v>
      </c>
      <c r="C31" s="12" t="s">
        <v>358</v>
      </c>
      <c r="D31" s="7" t="s">
        <v>359</v>
      </c>
      <c r="E31" s="7"/>
      <c r="F31" s="14"/>
      <c r="G31" s="12" t="n">
        <v>0</v>
      </c>
      <c r="H31" s="16" t="n">
        <f aca="false">IF(F31="",0,F31)</f>
        <v>0</v>
      </c>
    </row>
    <row r="32" customFormat="false" ht="15" hidden="false" customHeight="false" outlineLevel="0" collapsed="false">
      <c r="A32" s="10" t="s">
        <v>364</v>
      </c>
      <c r="B32" s="12" t="s">
        <v>365</v>
      </c>
      <c r="C32" s="12" t="s">
        <v>358</v>
      </c>
      <c r="D32" s="7" t="s">
        <v>359</v>
      </c>
      <c r="E32" s="7"/>
      <c r="F32" s="14"/>
      <c r="G32" s="12" t="n">
        <v>0</v>
      </c>
      <c r="H32" s="16" t="n">
        <f aca="false">IF(F32="",0,F32)</f>
        <v>0</v>
      </c>
    </row>
    <row r="33" customFormat="false" ht="15" hidden="false" customHeight="false" outlineLevel="0" collapsed="false">
      <c r="A33" s="10" t="s">
        <v>366</v>
      </c>
      <c r="B33" s="12" t="s">
        <v>367</v>
      </c>
      <c r="C33" s="12" t="s">
        <v>358</v>
      </c>
      <c r="D33" s="7" t="s">
        <v>359</v>
      </c>
      <c r="E33" s="7"/>
      <c r="F33" s="14"/>
      <c r="G33" s="12" t="n">
        <v>0</v>
      </c>
      <c r="H33" s="16" t="n">
        <f aca="false">IF(F33="",0,F33)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1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4"/>
    <col collapsed="false" customWidth="true" hidden="false" outlineLevel="0" max="3" min="3" style="0" width="46"/>
    <col collapsed="false" customWidth="true" hidden="false" outlineLevel="0" max="4" min="4" style="0" width="10"/>
    <col collapsed="false" customWidth="true" hidden="false" outlineLevel="0" max="5" min="5" style="0" width="11"/>
    <col collapsed="false" customWidth="true" hidden="false" outlineLevel="0" max="6" min="6" style="0" width="10"/>
    <col collapsed="false" customWidth="true" hidden="false" outlineLevel="0" max="7" min="7" style="0" width="11"/>
    <col collapsed="false" customWidth="true" hidden="false" outlineLevel="0" max="9" min="8" style="0" width="9"/>
    <col collapsed="false" customWidth="true" hidden="false" outlineLevel="0" max="10" min="10" style="0" width="10"/>
    <col collapsed="false" customWidth="true" hidden="false" outlineLevel="0" max="13" min="11" style="0" width="9"/>
    <col collapsed="false" customWidth="true" hidden="false" outlineLevel="0" max="15" min="14" style="0" width="12"/>
    <col collapsed="false" customWidth="true" hidden="false" outlineLevel="0" max="16" min="16" style="0" width="11"/>
  </cols>
  <sheetData>
    <row r="1" customFormat="false" ht="17.35" hidden="false" customHeight="false" outlineLevel="0" collapsed="false">
      <c r="A1" s="1" t="s">
        <v>368</v>
      </c>
    </row>
    <row r="2" customFormat="false" ht="15" hidden="false" customHeight="false" outlineLevel="0" collapsed="false">
      <c r="A2" s="2" t="s">
        <v>369</v>
      </c>
    </row>
    <row r="4" customFormat="false" ht="42" hidden="false" customHeight="true" outlineLevel="0" collapsed="false">
      <c r="A4" s="5" t="s">
        <v>370</v>
      </c>
      <c r="B4" s="5" t="s">
        <v>111</v>
      </c>
      <c r="C4" s="5" t="s">
        <v>371</v>
      </c>
      <c r="D4" s="5" t="s">
        <v>372</v>
      </c>
      <c r="E4" s="5" t="s">
        <v>373</v>
      </c>
      <c r="F4" s="5" t="s">
        <v>374</v>
      </c>
      <c r="G4" s="5" t="s">
        <v>375</v>
      </c>
      <c r="H4" s="5" t="s">
        <v>376</v>
      </c>
      <c r="I4" s="5" t="s">
        <v>377</v>
      </c>
      <c r="J4" s="5" t="s">
        <v>378</v>
      </c>
      <c r="K4" s="5" t="s">
        <v>379</v>
      </c>
      <c r="L4" s="5" t="s">
        <v>380</v>
      </c>
      <c r="M4" s="5" t="s">
        <v>381</v>
      </c>
      <c r="N4" s="5" t="s">
        <v>382</v>
      </c>
      <c r="O4" s="5" t="s">
        <v>383</v>
      </c>
      <c r="P4" s="5" t="s">
        <v>384</v>
      </c>
    </row>
    <row r="5" customFormat="false" ht="15" hidden="false" customHeight="false" outlineLevel="0" collapsed="false">
      <c r="A5" s="10" t="s">
        <v>385</v>
      </c>
      <c r="B5" s="12" t="s">
        <v>386</v>
      </c>
      <c r="C5" s="7" t="s">
        <v>387</v>
      </c>
      <c r="D5" s="12" t="n">
        <f aca="false">COUNTIF(Packages!$C$6:$C$400,A5)</f>
        <v>15</v>
      </c>
      <c r="E5" s="20" t="n">
        <f aca="false">SUMIF(Packages!$C$6:$C$400,A5,Packages!$O$6:$O$400)</f>
        <v>800.351893868122</v>
      </c>
      <c r="F5" s="20" t="n">
        <f aca="false">SUMIF(Packages!$C$6:$C$400,A5,Packages!$AC$6:$AC$400)</f>
        <v>569</v>
      </c>
      <c r="G5" s="20" t="n">
        <f aca="false">SUMIF(Packages!$C$6:$C$400,A5,Packages!$U$6:$U$400)</f>
        <v>800.351893868122</v>
      </c>
      <c r="H5" s="13" t="n">
        <v>1</v>
      </c>
      <c r="I5" s="13" t="n">
        <v>1</v>
      </c>
      <c r="J5" s="13" t="n">
        <v>1</v>
      </c>
      <c r="K5" s="13" t="n">
        <v>1</v>
      </c>
      <c r="L5" s="13" t="n">
        <v>1</v>
      </c>
      <c r="M5" s="13" t="n">
        <v>1</v>
      </c>
      <c r="N5" s="16" t="n">
        <f aca="false">_xlfn.MINIFS(Packages!$AL$6:$AL$400,Packages!$C$6:$C$400,A5)</f>
        <v>46357</v>
      </c>
      <c r="O5" s="16" t="n">
        <f aca="false">_xlfn.MAXIFS(Packages!$AM$6:$AM$400,Packages!$C$6:$C$400,A5)</f>
        <v>46562</v>
      </c>
      <c r="P5" s="21" t="n">
        <f aca="false">(O5-N5)/30.4</f>
        <v>6.74342105263158</v>
      </c>
    </row>
    <row r="6" customFormat="false" ht="15" hidden="false" customHeight="false" outlineLevel="0" collapsed="false">
      <c r="A6" s="10" t="s">
        <v>388</v>
      </c>
      <c r="B6" s="12" t="s">
        <v>389</v>
      </c>
      <c r="C6" s="7" t="s">
        <v>390</v>
      </c>
      <c r="D6" s="12" t="n">
        <f aca="false">COUNTIF(Packages!$C$6:$C$400,A6)</f>
        <v>14</v>
      </c>
      <c r="E6" s="20" t="n">
        <f aca="false">SUMIF(Packages!$C$6:$C$400,A6,Packages!$O$6:$O$400)</f>
        <v>1724.18750087352</v>
      </c>
      <c r="F6" s="20" t="n">
        <f aca="false">SUMIF(Packages!$C$6:$C$400,A6,Packages!$AC$6:$AC$400)</f>
        <v>1196</v>
      </c>
      <c r="G6" s="20" t="n">
        <f aca="false">SUMIF(Packages!$C$6:$C$400,A6,Packages!$U$6:$U$400)</f>
        <v>1567.35639612388</v>
      </c>
      <c r="H6" s="13" t="n">
        <v>2</v>
      </c>
      <c r="I6" s="13" t="n">
        <v>2</v>
      </c>
      <c r="J6" s="13" t="n">
        <v>2</v>
      </c>
      <c r="K6" s="13" t="n">
        <v>2</v>
      </c>
      <c r="L6" s="13" t="n">
        <v>2</v>
      </c>
      <c r="M6" s="13" t="n">
        <v>2</v>
      </c>
      <c r="N6" s="16" t="n">
        <f aca="false">_xlfn.MINIFS(Packages!$AL$6:$AL$400,Packages!$C$6:$C$400,A6)</f>
        <v>46357</v>
      </c>
      <c r="O6" s="16" t="n">
        <f aca="false">_xlfn.MAXIFS(Packages!$AM$6:$AM$400,Packages!$C$6:$C$400,A6)</f>
        <v>46590</v>
      </c>
      <c r="P6" s="21" t="n">
        <f aca="false">(O6-N6)/30.4</f>
        <v>7.66447368421053</v>
      </c>
    </row>
    <row r="7" customFormat="false" ht="23.85" hidden="false" customHeight="false" outlineLevel="0" collapsed="false">
      <c r="A7" s="10" t="s">
        <v>391</v>
      </c>
      <c r="B7" s="12" t="s">
        <v>392</v>
      </c>
      <c r="C7" s="7" t="s">
        <v>393</v>
      </c>
      <c r="D7" s="12" t="n">
        <f aca="false">COUNTIF(Packages!$C$6:$C$400,A7)</f>
        <v>30</v>
      </c>
      <c r="E7" s="20" t="n">
        <f aca="false">SUMIF(Packages!$C$6:$C$400,A7,Packages!$O$6:$O$400)</f>
        <v>1094.77829511175</v>
      </c>
      <c r="F7" s="20" t="n">
        <f aca="false">SUMIF(Packages!$C$6:$C$400,A7,Packages!$AC$6:$AC$400)</f>
        <v>800</v>
      </c>
      <c r="G7" s="20" t="n">
        <f aca="false">SUMIF(Packages!$C$6:$C$400,A7,Packages!$U$6:$U$400)</f>
        <v>648.708580278704</v>
      </c>
      <c r="H7" s="13" t="n">
        <v>1</v>
      </c>
      <c r="I7" s="13" t="n">
        <v>1</v>
      </c>
      <c r="J7" s="13" t="n">
        <v>1</v>
      </c>
      <c r="K7" s="13" t="n">
        <v>1</v>
      </c>
      <c r="L7" s="13" t="n">
        <v>1</v>
      </c>
      <c r="M7" s="13" t="n">
        <v>1</v>
      </c>
      <c r="N7" s="16" t="n">
        <f aca="false">_xlfn.MINIFS(Packages!$AL$6:$AL$400,Packages!$C$6:$C$400,A7)</f>
        <v>46357</v>
      </c>
      <c r="O7" s="16" t="n">
        <f aca="false">_xlfn.MAXIFS(Packages!$AM$6:$AM$400,Packages!$C$6:$C$400,A7)</f>
        <v>46594</v>
      </c>
      <c r="P7" s="21" t="n">
        <f aca="false">(O7-N7)/30.4</f>
        <v>7.79605263157895</v>
      </c>
    </row>
    <row r="8" customFormat="false" ht="15" hidden="false" customHeight="false" outlineLevel="0" collapsed="false">
      <c r="A8" s="10" t="s">
        <v>394</v>
      </c>
      <c r="B8" s="12" t="s">
        <v>395</v>
      </c>
      <c r="C8" s="7" t="s">
        <v>396</v>
      </c>
      <c r="D8" s="12" t="n">
        <f aca="false">COUNTIF(Packages!$C$6:$C$400,A8)</f>
        <v>22</v>
      </c>
      <c r="E8" s="20" t="n">
        <f aca="false">SUMIF(Packages!$C$6:$C$400,A8,Packages!$O$6:$O$400)</f>
        <v>550.585540424852</v>
      </c>
      <c r="F8" s="20" t="n">
        <f aca="false">SUMIF(Packages!$C$6:$C$400,A8,Packages!$AC$6:$AC$400)</f>
        <v>436</v>
      </c>
      <c r="G8" s="20" t="n">
        <f aca="false">SUMIF(Packages!$C$6:$C$400,A8,Packages!$U$6:$U$400)</f>
        <v>308.432033049137</v>
      </c>
      <c r="H8" s="13" t="n">
        <v>1</v>
      </c>
      <c r="I8" s="13" t="n">
        <v>1</v>
      </c>
      <c r="J8" s="13" t="n">
        <v>1</v>
      </c>
      <c r="K8" s="13" t="n">
        <v>1</v>
      </c>
      <c r="L8" s="13" t="n">
        <v>1</v>
      </c>
      <c r="M8" s="13" t="n">
        <v>1</v>
      </c>
      <c r="N8" s="16" t="n">
        <f aca="false">_xlfn.MINIFS(Packages!$AL$6:$AL$400,Packages!$C$6:$C$400,A8)</f>
        <v>46357</v>
      </c>
      <c r="O8" s="16" t="n">
        <f aca="false">_xlfn.MAXIFS(Packages!$AM$6:$AM$400,Packages!$C$6:$C$400,A8)</f>
        <v>46621</v>
      </c>
      <c r="P8" s="21" t="n">
        <f aca="false">(O8-N8)/30.4</f>
        <v>8.68421052631579</v>
      </c>
    </row>
    <row r="9" customFormat="false" ht="15" hidden="false" customHeight="false" outlineLevel="0" collapsed="false">
      <c r="A9" s="10" t="s">
        <v>397</v>
      </c>
      <c r="B9" s="12" t="s">
        <v>398</v>
      </c>
      <c r="C9" s="7" t="s">
        <v>399</v>
      </c>
      <c r="D9" s="12" t="n">
        <f aca="false">COUNTIF(Packages!$C$6:$C$400,A9)</f>
        <v>22</v>
      </c>
      <c r="E9" s="20" t="n">
        <f aca="false">SUMIF(Packages!$C$6:$C$400,A9,Packages!$O$6:$O$400)</f>
        <v>570.560752061364</v>
      </c>
      <c r="F9" s="20" t="n">
        <f aca="false">SUMIF(Packages!$C$6:$C$400,A9,Packages!$AC$6:$AC$400)</f>
        <v>452</v>
      </c>
      <c r="G9" s="20" t="n">
        <f aca="false">SUMIF(Packages!$C$6:$C$400,A9,Packages!$U$6:$U$400)</f>
        <v>254.197188764329</v>
      </c>
      <c r="H9" s="13" t="n">
        <v>1</v>
      </c>
      <c r="I9" s="13" t="n">
        <v>1</v>
      </c>
      <c r="J9" s="13" t="n">
        <v>1</v>
      </c>
      <c r="K9" s="13" t="n">
        <v>1</v>
      </c>
      <c r="L9" s="13" t="n">
        <v>1</v>
      </c>
      <c r="M9" s="13" t="n">
        <v>1</v>
      </c>
      <c r="N9" s="16" t="n">
        <f aca="false">_xlfn.MINIFS(Packages!$AL$6:$AL$400,Packages!$C$6:$C$400,A9)</f>
        <v>46357</v>
      </c>
      <c r="O9" s="16" t="n">
        <f aca="false">_xlfn.MAXIFS(Packages!$AM$6:$AM$400,Packages!$C$6:$C$400,A9)</f>
        <v>46648</v>
      </c>
      <c r="P9" s="21" t="n">
        <f aca="false">(O9-N9)/30.4</f>
        <v>9.57236842105263</v>
      </c>
    </row>
    <row r="10" customFormat="false" ht="23.85" hidden="false" customHeight="false" outlineLevel="0" collapsed="false">
      <c r="A10" s="10" t="s">
        <v>400</v>
      </c>
      <c r="B10" s="12" t="s">
        <v>401</v>
      </c>
      <c r="C10" s="7" t="s">
        <v>402</v>
      </c>
      <c r="D10" s="12" t="n">
        <f aca="false">COUNTIF(Packages!$C$6:$C$400,A10)</f>
        <v>34</v>
      </c>
      <c r="E10" s="20" t="n">
        <f aca="false">SUMIF(Packages!$C$6:$C$400,A10,Packages!$O$6:$O$400)</f>
        <v>1164.34958460152</v>
      </c>
      <c r="F10" s="20" t="n">
        <f aca="false">SUMIF(Packages!$C$6:$C$400,A10,Packages!$AC$6:$AC$400)</f>
        <v>765</v>
      </c>
      <c r="G10" s="20" t="n">
        <f aca="false">SUMIF(Packages!$C$6:$C$400,A10,Packages!$U$6:$U$400)</f>
        <v>839.942282029526</v>
      </c>
      <c r="H10" s="13" t="n">
        <v>1</v>
      </c>
      <c r="I10" s="13" t="n">
        <v>1</v>
      </c>
      <c r="J10" s="13" t="n">
        <v>1</v>
      </c>
      <c r="K10" s="13" t="n">
        <v>1</v>
      </c>
      <c r="L10" s="13" t="n">
        <v>1</v>
      </c>
      <c r="M10" s="13" t="n">
        <v>1</v>
      </c>
      <c r="N10" s="16" t="n">
        <f aca="false">_xlfn.MINIFS(Packages!$AL$6:$AL$400,Packages!$C$6:$C$400,A10)</f>
        <v>46357</v>
      </c>
      <c r="O10" s="16" t="n">
        <f aca="false">_xlfn.MAXIFS(Packages!$AM$6:$AM$400,Packages!$C$6:$C$400,A10)</f>
        <v>46607</v>
      </c>
      <c r="P10" s="21" t="n">
        <f aca="false">(O10-N10)/30.4</f>
        <v>8.22368421052632</v>
      </c>
    </row>
    <row r="11" customFormat="false" ht="23.85" hidden="false" customHeight="false" outlineLevel="0" collapsed="false">
      <c r="A11" s="10" t="s">
        <v>403</v>
      </c>
      <c r="B11" s="12" t="s">
        <v>404</v>
      </c>
      <c r="C11" s="7" t="s">
        <v>405</v>
      </c>
      <c r="D11" s="12" t="n">
        <f aca="false">COUNTIF(Packages!$C$6:$C$400,A11)</f>
        <v>38</v>
      </c>
      <c r="E11" s="20" t="n">
        <f aca="false">SUMIF(Packages!$C$6:$C$400,A11,Packages!$O$6:$O$400)</f>
        <v>868.098736452002</v>
      </c>
      <c r="F11" s="20" t="n">
        <f aca="false">SUMIF(Packages!$C$6:$C$400,A11,Packages!$AC$6:$AC$400)</f>
        <v>585</v>
      </c>
      <c r="G11" s="20" t="n">
        <f aca="false">SUMIF(Packages!$C$6:$C$400,A11,Packages!$U$6:$U$400)</f>
        <v>816.15543086713</v>
      </c>
      <c r="H11" s="13" t="n">
        <v>1</v>
      </c>
      <c r="I11" s="13" t="n">
        <v>1</v>
      </c>
      <c r="J11" s="13" t="n">
        <v>1</v>
      </c>
      <c r="K11" s="13" t="n">
        <v>1</v>
      </c>
      <c r="L11" s="13" t="n">
        <v>1</v>
      </c>
      <c r="M11" s="13" t="n">
        <v>1</v>
      </c>
      <c r="N11" s="16" t="n">
        <f aca="false">_xlfn.MINIFS(Packages!$AL$6:$AL$400,Packages!$C$6:$C$400,A11)</f>
        <v>46357</v>
      </c>
      <c r="O11" s="16" t="n">
        <f aca="false">_xlfn.MAXIFS(Packages!$AM$6:$AM$400,Packages!$C$6:$C$400,A11)</f>
        <v>46606</v>
      </c>
      <c r="P11" s="21" t="n">
        <f aca="false">(O11-N11)/30.4</f>
        <v>8.19078947368421</v>
      </c>
    </row>
    <row r="12" customFormat="false" ht="23.85" hidden="false" customHeight="false" outlineLevel="0" collapsed="false">
      <c r="A12" s="10" t="s">
        <v>406</v>
      </c>
      <c r="B12" s="12" t="s">
        <v>407</v>
      </c>
      <c r="C12" s="7" t="s">
        <v>408</v>
      </c>
      <c r="D12" s="12" t="n">
        <f aca="false">COUNTIF(Packages!$C$6:$C$400,A12)</f>
        <v>26</v>
      </c>
      <c r="E12" s="20" t="n">
        <f aca="false">SUMIF(Packages!$C$6:$C$400,A12,Packages!$O$6:$O$400)</f>
        <v>1378.45558468736</v>
      </c>
      <c r="F12" s="20" t="n">
        <f aca="false">SUMIF(Packages!$C$6:$C$400,A12,Packages!$AC$6:$AC$400)</f>
        <v>985</v>
      </c>
      <c r="G12" s="20" t="n">
        <f aca="false">SUMIF(Packages!$C$6:$C$400,A12,Packages!$U$6:$U$400)</f>
        <v>1326.44949505716</v>
      </c>
      <c r="H12" s="13" t="n">
        <v>2</v>
      </c>
      <c r="I12" s="13" t="n">
        <v>2</v>
      </c>
      <c r="J12" s="13" t="n">
        <v>2</v>
      </c>
      <c r="K12" s="13" t="n">
        <v>2</v>
      </c>
      <c r="L12" s="13" t="n">
        <v>2</v>
      </c>
      <c r="M12" s="13" t="n">
        <v>2</v>
      </c>
      <c r="N12" s="16" t="n">
        <f aca="false">_xlfn.MINIFS(Packages!$AL$6:$AL$400,Packages!$C$6:$C$400,A12)</f>
        <v>46357</v>
      </c>
      <c r="O12" s="16" t="n">
        <f aca="false">_xlfn.MAXIFS(Packages!$AM$6:$AM$400,Packages!$C$6:$C$400,A12)</f>
        <v>46572</v>
      </c>
      <c r="P12" s="21" t="n">
        <f aca="false">(O12-N12)/30.4</f>
        <v>7.07236842105263</v>
      </c>
    </row>
    <row r="13" customFormat="false" ht="15" hidden="false" customHeight="false" outlineLevel="0" collapsed="false">
      <c r="A13" s="10" t="s">
        <v>409</v>
      </c>
      <c r="B13" s="10" t="s">
        <v>410</v>
      </c>
      <c r="D13" s="22" t="n">
        <f aca="false">SUM(D5:D12)</f>
        <v>201</v>
      </c>
      <c r="E13" s="22" t="n">
        <f aca="false">SUM(E5:E12)</f>
        <v>8151.36788808049</v>
      </c>
      <c r="F13" s="22" t="n">
        <f aca="false">SUM(F5:F12)</f>
        <v>5788</v>
      </c>
      <c r="G13" s="22" t="n">
        <f aca="false">SUM(G5:G12)</f>
        <v>6561.59330003798</v>
      </c>
      <c r="H13" s="10" t="n">
        <f aca="false">SUM(H5:H12)</f>
        <v>10</v>
      </c>
      <c r="I13" s="10" t="n">
        <f aca="false">SUM(I5:I12)</f>
        <v>10</v>
      </c>
      <c r="J13" s="10" t="n">
        <f aca="false">SUM(J5:J12)</f>
        <v>10</v>
      </c>
      <c r="K13" s="10" t="n">
        <f aca="false">SUM(K5:K12)</f>
        <v>10</v>
      </c>
      <c r="L13" s="10" t="n">
        <f aca="false">SUM(L5:L12)</f>
        <v>10</v>
      </c>
      <c r="M13" s="10" t="n">
        <f aca="false">SUM(M5:M12)</f>
        <v>10</v>
      </c>
      <c r="N13" s="23" t="n">
        <f aca="false">MIN(N5:N12)</f>
        <v>46357</v>
      </c>
      <c r="O13" s="23" t="n">
        <f aca="false">MAX(O5:O12)</f>
        <v>46648</v>
      </c>
      <c r="P13" s="24" t="n">
        <f aca="false">(O13-N13)/30.4</f>
        <v>9.57236842105263</v>
      </c>
    </row>
    <row r="14" customFormat="false" ht="15" hidden="false" customHeight="false" outlineLevel="0" collapsed="false">
      <c r="B14" s="10" t="s">
        <v>411</v>
      </c>
      <c r="D14" s="12" t="n">
        <f aca="false">COUNTIF(Packages!$G$6:$G$400,"Tie-in")+COUNTIF(Packages!$G$6:$G$400,"Short connection")</f>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643"/>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11"/>
    <col collapsed="false" customWidth="true" hidden="false" outlineLevel="0" max="9" min="4" style="0" width="9"/>
    <col collapsed="false" customWidth="true" hidden="false" outlineLevel="0" max="10" min="10" style="0" width="11"/>
    <col collapsed="false" customWidth="true" hidden="false" outlineLevel="0" max="12" min="11" style="0" width="9"/>
    <col collapsed="false" customWidth="true" hidden="false" outlineLevel="0" max="16" min="13" style="0" width="10"/>
    <col collapsed="false" customWidth="true" hidden="false" outlineLevel="0" max="18" min="17" style="0" width="9"/>
    <col collapsed="false" customWidth="true" hidden="false" outlineLevel="0" max="20" min="19" style="0" width="10"/>
    <col collapsed="false" customWidth="true" hidden="false" outlineLevel="0" max="21" min="21" style="0" width="9"/>
    <col collapsed="false" customWidth="true" hidden="false" outlineLevel="0" max="23" min="22" style="0" width="11"/>
    <col collapsed="false" customWidth="true" hidden="false" outlineLevel="0" max="24" min="24" style="0" width="10"/>
    <col collapsed="false" customWidth="true" hidden="false" outlineLevel="0" max="25" min="25" style="0" width="11"/>
    <col collapsed="false" customWidth="true" hidden="false" outlineLevel="0" max="29" min="26" style="0" width="10"/>
  </cols>
  <sheetData>
    <row r="1" customFormat="false" ht="17.35" hidden="false" customHeight="false" outlineLevel="0" collapsed="false">
      <c r="A1" s="1" t="s">
        <v>412</v>
      </c>
    </row>
    <row r="2" customFormat="false" ht="15" hidden="false" customHeight="false" outlineLevel="0" collapsed="false">
      <c r="A2" s="2" t="s">
        <v>413</v>
      </c>
    </row>
    <row r="5" customFormat="false" ht="42" hidden="false" customHeight="true" outlineLevel="0" collapsed="false">
      <c r="A5" s="5" t="s">
        <v>414</v>
      </c>
      <c r="B5" s="5" t="s">
        <v>415</v>
      </c>
      <c r="C5" s="5" t="s">
        <v>416</v>
      </c>
      <c r="D5" s="5" t="s">
        <v>417</v>
      </c>
      <c r="E5" s="5" t="s">
        <v>418</v>
      </c>
      <c r="F5" s="5" t="s">
        <v>419</v>
      </c>
      <c r="G5" s="5" t="s">
        <v>420</v>
      </c>
      <c r="H5" s="5" t="s">
        <v>421</v>
      </c>
      <c r="I5" s="5" t="s">
        <v>422</v>
      </c>
      <c r="J5" s="5" t="s">
        <v>423</v>
      </c>
      <c r="K5" s="5" t="s">
        <v>424</v>
      </c>
      <c r="L5" s="5" t="s">
        <v>425</v>
      </c>
      <c r="M5" s="5" t="s">
        <v>426</v>
      </c>
      <c r="N5" s="5" t="s">
        <v>427</v>
      </c>
      <c r="O5" s="5" t="s">
        <v>428</v>
      </c>
      <c r="P5" s="5" t="s">
        <v>429</v>
      </c>
      <c r="Q5" s="5" t="s">
        <v>33</v>
      </c>
      <c r="R5" s="5" t="s">
        <v>375</v>
      </c>
      <c r="S5" s="5" t="s">
        <v>430</v>
      </c>
      <c r="T5" s="5" t="s">
        <v>431</v>
      </c>
      <c r="U5" s="5" t="s">
        <v>432</v>
      </c>
      <c r="V5" s="5" t="s">
        <v>433</v>
      </c>
      <c r="W5" s="5" t="s">
        <v>434</v>
      </c>
      <c r="X5" s="5" t="s">
        <v>435</v>
      </c>
      <c r="Y5" s="5" t="s">
        <v>436</v>
      </c>
      <c r="Z5" s="5" t="s">
        <v>437</v>
      </c>
      <c r="AA5" s="5" t="s">
        <v>438</v>
      </c>
      <c r="AB5" s="5" t="s">
        <v>439</v>
      </c>
      <c r="AC5" s="5" t="s">
        <v>440</v>
      </c>
    </row>
    <row r="6" customFormat="false" ht="15" hidden="false" customHeight="false" outlineLevel="0" collapsed="false">
      <c r="A6" s="25" t="s">
        <v>441</v>
      </c>
      <c r="B6" s="25" t="s">
        <v>442</v>
      </c>
      <c r="C6" s="25" t="s">
        <v>443</v>
      </c>
      <c r="D6" s="26" t="n">
        <v>9.99999999987962</v>
      </c>
      <c r="E6" s="26" t="n">
        <v>2.58638661161905</v>
      </c>
      <c r="F6" s="26" t="n">
        <v>-5.39319330580952</v>
      </c>
      <c r="G6" s="26" t="n">
        <v>-5.4022797873059</v>
      </c>
      <c r="H6" s="26" t="n">
        <v>-2.30680669419048</v>
      </c>
      <c r="I6" s="26" t="n">
        <v>-2.31589317568685</v>
      </c>
      <c r="J6" s="26" t="n">
        <v>99</v>
      </c>
      <c r="K6" s="27" t="n">
        <f aca="false">MIN(F6,G6)</f>
        <v>-5.4022797873059</v>
      </c>
      <c r="L6" s="27" t="n">
        <f aca="false">AVERAGE(F6,G6)</f>
        <v>-5.39773654655771</v>
      </c>
      <c r="M6" s="27" t="n">
        <f aca="false">MAX(0,NG-L6)</f>
        <v>4.69773654655771</v>
      </c>
      <c r="N6" s="27" t="n">
        <f aca="false">MAX(0,GWL-K6)</f>
        <v>3.9022797873059</v>
      </c>
      <c r="O6" s="27" t="n">
        <f aca="false">MAX(0,NG-MAX(K6,GWL))</f>
        <v>0.8</v>
      </c>
      <c r="P6" s="27" t="n">
        <f aca="false">E6/2+WS+SLOPE_A*O6+SLOPE_B*N6</f>
        <v>11.2977528804213</v>
      </c>
      <c r="Q6" s="28" t="str">
        <f aca="false">IF(AND(P6&lt;J6,N6&lt;=MAXOC),"Open cut","Shoring")</f>
        <v>Shoring</v>
      </c>
      <c r="R6" s="27" t="n">
        <f aca="false">IF(Q6="Shoring",D6,0)</f>
        <v>9.99999999987962</v>
      </c>
      <c r="S6" s="27" t="n">
        <f aca="false">MAX(0,GWL-L6)</f>
        <v>3.89773654655771</v>
      </c>
      <c r="T6" s="27" t="n">
        <f aca="false">MAX(0,NG-MAX(L6,GWL))</f>
        <v>0.8</v>
      </c>
      <c r="U6" s="27" t="n">
        <f aca="false">E6+2*WS</f>
        <v>4.58638661161905</v>
      </c>
      <c r="V6" s="27" t="n">
        <f aca="false">IF(Q6="Shoring",D6*M6*U6,0)</f>
        <v>215.456360017864</v>
      </c>
      <c r="W6" s="27" t="n">
        <f aca="false">IF(Q6="Open cut",D6*(U6*M6+SLOPE_B*S6^2+2*SLOPE_B*S6*T6+SLOPE_A*T6^2),0)</f>
        <v>0</v>
      </c>
      <c r="X6" s="27" t="n">
        <f aca="false">IF(M6&gt;0,D6*(E6+2*SLABOVH)*SLAB,0)</f>
        <v>17.9319330578794</v>
      </c>
      <c r="Y6" s="27" t="n">
        <f aca="false">IF(M6&gt;0,D6*PI()*E6^2/4,0)</f>
        <v>52.5383910069581</v>
      </c>
      <c r="Z6" s="27" t="n">
        <f aca="false">IF(H6-E6&gt;=GWL,99,E6*(MAX(0,GWL-H6)*(GAM_S-GAM_W)+MAX(0,NG-MAX(H6,GWL))*GAM_D)/(GAM_W*PI()*E6^2/4))</f>
        <v>1.0542100270068</v>
      </c>
      <c r="AA6" s="27" t="n">
        <f aca="false">IF(I6-E6&gt;=GWL,99,E6*(MAX(0,GWL-I6)*(GAM_S-GAM_W)+MAX(0,NG-MAX(I6,GWL))*GAM_D)/(GAM_W*PI()*E6^2/4))</f>
        <v>1.05794448274178</v>
      </c>
      <c r="AB6" s="27" t="n">
        <f aca="false">IF(H6-E6&gt;=GWL,99,E6*(MAX(0,GWL-H6)*(GAM_S-GAM_W)+MAX(0,FL-MAX(H6,GWL))*GAM_D)/(GAM_W*PI()*E6^2/4))</f>
        <v>2.58977817215286</v>
      </c>
      <c r="AC6" s="27" t="n">
        <f aca="false">IF(I6-E6&gt;=GWL,99,E6*(MAX(0,GWL-I6)*(GAM_S-GAM_W)+MAX(0,FL-MAX(I6,GWL))*GAM_D)/(GAM_W*PI()*E6^2/4))</f>
        <v>2.59351262788784</v>
      </c>
    </row>
    <row r="7" customFormat="false" ht="15" hidden="false" customHeight="false" outlineLevel="0" collapsed="false">
      <c r="A7" s="25" t="s">
        <v>441</v>
      </c>
      <c r="B7" s="25" t="s">
        <v>442</v>
      </c>
      <c r="C7" s="25" t="s">
        <v>444</v>
      </c>
      <c r="D7" s="26" t="n">
        <v>1.00535999961465</v>
      </c>
      <c r="E7" s="26" t="n">
        <v>2.58638661161905</v>
      </c>
      <c r="F7" s="26" t="n">
        <v>-5.4022797873059</v>
      </c>
      <c r="G7" s="26" t="n">
        <v>-5.40319330580952</v>
      </c>
      <c r="H7" s="26" t="n">
        <v>-2.31589317568685</v>
      </c>
      <c r="I7" s="26" t="n">
        <v>-2.31680669419048</v>
      </c>
      <c r="J7" s="26" t="n">
        <v>99</v>
      </c>
      <c r="K7" s="27" t="n">
        <f aca="false">MIN(F7,G7)</f>
        <v>-5.40319330580952</v>
      </c>
      <c r="L7" s="27" t="n">
        <f aca="false">AVERAGE(F7,G7)</f>
        <v>-5.40273654655771</v>
      </c>
      <c r="M7" s="27" t="n">
        <f aca="false">MAX(0,NG-L7)</f>
        <v>4.70273654655771</v>
      </c>
      <c r="N7" s="27" t="n">
        <f aca="false">MAX(0,GWL-K7)</f>
        <v>3.90319330580952</v>
      </c>
      <c r="O7" s="27" t="n">
        <f aca="false">MAX(0,NG-MAX(K7,GWL))</f>
        <v>0.8</v>
      </c>
      <c r="P7" s="27" t="n">
        <f aca="false">E7/2+WS+SLOPE_A*O7+SLOPE_B*N7</f>
        <v>11.2995799174286</v>
      </c>
      <c r="Q7" s="28" t="str">
        <f aca="false">IF(AND(P7&lt;J7,N7&lt;=MAXOC),"Open cut","Shoring")</f>
        <v>Shoring</v>
      </c>
      <c r="R7" s="27" t="n">
        <f aca="false">IF(Q7="Shoring",D7,0)</f>
        <v>1.00535999961465</v>
      </c>
      <c r="S7" s="27" t="n">
        <f aca="false">MAX(0,GWL-L7)</f>
        <v>3.90273654655771</v>
      </c>
      <c r="T7" s="27" t="n">
        <f aca="false">MAX(0,NG-MAX(L7,GWL))</f>
        <v>0.8</v>
      </c>
      <c r="U7" s="27" t="n">
        <f aca="false">E7+2*WS</f>
        <v>4.58638661161905</v>
      </c>
      <c r="V7" s="27" t="n">
        <f aca="false">IF(Q7="Shoring",D7*M7*U7,0)</f>
        <v>21.6841754509246</v>
      </c>
      <c r="W7" s="27" t="n">
        <f aca="false">IF(Q7="Open cut",D7*(U7*M7+SLOPE_B*S7^2+2*SLOPE_B*S7*T7+SLOPE_A*T7^2),0)</f>
        <v>0</v>
      </c>
      <c r="X7" s="27" t="n">
        <f aca="false">IF(M7&gt;0,D7*(E7+2*SLABOVH)*SLAB,0)</f>
        <v>1.80280482123766</v>
      </c>
      <c r="Y7" s="27" t="n">
        <f aca="false">IF(M7&gt;0,D7*PI()*E7^2/4,0)</f>
        <v>5.28199967631457</v>
      </c>
      <c r="Z7" s="27" t="n">
        <f aca="false">IF(H7-E7&gt;=GWL,99,E7*(MAX(0,GWL-H7)*(GAM_S-GAM_W)+MAX(0,NG-MAX(H7,GWL))*GAM_D)/(GAM_W*PI()*E7^2/4))</f>
        <v>1.05794448274178</v>
      </c>
      <c r="AA7" s="27" t="n">
        <f aca="false">IF(I7-E7&gt;=GWL,99,E7*(MAX(0,GWL-I7)*(GAM_S-GAM_W)+MAX(0,NG-MAX(I7,GWL))*GAM_D)/(GAM_W*PI()*E7^2/4))</f>
        <v>1.05831992998352</v>
      </c>
      <c r="AB7" s="27" t="n">
        <f aca="false">IF(H7-E7&gt;=GWL,99,E7*(MAX(0,GWL-H7)*(GAM_S-GAM_W)+MAX(0,FL-MAX(H7,GWL))*GAM_D)/(GAM_W*PI()*E7^2/4))</f>
        <v>2.59351262788784</v>
      </c>
      <c r="AC7" s="27" t="n">
        <f aca="false">IF(I7-E7&gt;=GWL,99,E7*(MAX(0,GWL-I7)*(GAM_S-GAM_W)+MAX(0,FL-MAX(I7,GWL))*GAM_D)/(GAM_W*PI()*E7^2/4))</f>
        <v>2.59388807512957</v>
      </c>
    </row>
    <row r="8" customFormat="false" ht="15" hidden="false" customHeight="false" outlineLevel="0" collapsed="false">
      <c r="A8" s="25" t="s">
        <v>441</v>
      </c>
      <c r="B8" s="25" t="s">
        <v>442</v>
      </c>
      <c r="C8" s="25" t="s">
        <v>445</v>
      </c>
      <c r="D8" s="26" t="n">
        <v>3.90000401201948</v>
      </c>
      <c r="E8" s="26" t="n">
        <v>2.58638661161905</v>
      </c>
      <c r="F8" s="26" t="n">
        <v>-5.40319330580952</v>
      </c>
      <c r="G8" s="26" t="n">
        <v>-5.43050330580952</v>
      </c>
      <c r="H8" s="26" t="n">
        <v>-2.31680669419048</v>
      </c>
      <c r="I8" s="26" t="n">
        <v>-2.34411669419048</v>
      </c>
      <c r="J8" s="26" t="n">
        <v>99</v>
      </c>
      <c r="K8" s="27" t="n">
        <f aca="false">MIN(F8,G8)</f>
        <v>-5.43050330580952</v>
      </c>
      <c r="L8" s="27" t="n">
        <f aca="false">AVERAGE(F8,G8)</f>
        <v>-5.41684830580952</v>
      </c>
      <c r="M8" s="27" t="n">
        <f aca="false">MAX(0,NG-L8)</f>
        <v>4.71684830580952</v>
      </c>
      <c r="N8" s="27" t="n">
        <f aca="false">MAX(0,GWL-K8)</f>
        <v>3.93050330580952</v>
      </c>
      <c r="O8" s="27" t="n">
        <f aca="false">MAX(0,NG-MAX(K8,GWL))</f>
        <v>0.8</v>
      </c>
      <c r="P8" s="27" t="n">
        <f aca="false">E8/2+WS+SLOPE_A*O8+SLOPE_B*N8</f>
        <v>11.3541999174286</v>
      </c>
      <c r="Q8" s="28" t="str">
        <f aca="false">IF(AND(P8&lt;J8,N8&lt;=MAXOC),"Open cut","Shoring")</f>
        <v>Shoring</v>
      </c>
      <c r="R8" s="27" t="n">
        <f aca="false">IF(Q8="Shoring",D8,0)</f>
        <v>3.90000401201948</v>
      </c>
      <c r="S8" s="27" t="n">
        <f aca="false">MAX(0,GWL-L8)</f>
        <v>3.91684830580952</v>
      </c>
      <c r="T8" s="27" t="n">
        <f aca="false">MAX(0,NG-MAX(L8,GWL))</f>
        <v>0.8</v>
      </c>
      <c r="U8" s="27" t="n">
        <f aca="false">E8+2*WS</f>
        <v>4.58638661161905</v>
      </c>
      <c r="V8" s="27" t="n">
        <f aca="false">IF(Q8="Shoring",D8*M8*U8,0)</f>
        <v>84.3699174765115</v>
      </c>
      <c r="W8" s="27" t="n">
        <f aca="false">IF(Q8="Open cut",D8*(U8*M8+SLOPE_B*S8^2+2*SLOPE_B*S8*T8+SLOPE_A*T8^2),0)</f>
        <v>0</v>
      </c>
      <c r="X8" s="27" t="n">
        <f aca="false">IF(M8&gt;0,D8*(E8+2*SLABOVH)*SLAB,0)</f>
        <v>6.99346108698362</v>
      </c>
      <c r="Y8" s="27" t="n">
        <f aca="false">IF(M8&gt;0,D8*PI()*E8^2/4,0)</f>
        <v>20.4899935714652</v>
      </c>
      <c r="Z8" s="27" t="n">
        <f aca="false">IF(H8-E8&gt;=GWL,99,E8*(MAX(0,GWL-H8)*(GAM_S-GAM_W)+MAX(0,NG-MAX(H8,GWL))*GAM_D)/(GAM_W*PI()*E8^2/4))</f>
        <v>1.05831992998352</v>
      </c>
      <c r="AA8" s="27" t="n">
        <f aca="false">IF(I8-E8&gt;=GWL,99,E8*(MAX(0,GWL-I8)*(GAM_S-GAM_W)+MAX(0,NG-MAX(I8,GWL))*GAM_D)/(GAM_W*PI()*E8^2/4))</f>
        <v>1.06954407501292</v>
      </c>
      <c r="AB8" s="27" t="n">
        <f aca="false">IF(H8-E8&gt;=GWL,99,E8*(MAX(0,GWL-H8)*(GAM_S-GAM_W)+MAX(0,FL-MAX(H8,GWL))*GAM_D)/(GAM_W*PI()*E8^2/4))</f>
        <v>2.59388807512957</v>
      </c>
      <c r="AC8" s="27" t="n">
        <f aca="false">IF(I8-E8&gt;=GWL,99,E8*(MAX(0,GWL-I8)*(GAM_S-GAM_W)+MAX(0,FL-MAX(I8,GWL))*GAM_D)/(GAM_W*PI()*E8^2/4))</f>
        <v>2.60511222015898</v>
      </c>
    </row>
    <row r="9" customFormat="false" ht="15" hidden="false" customHeight="false" outlineLevel="0" collapsed="false">
      <c r="A9" s="25" t="s">
        <v>441</v>
      </c>
      <c r="B9" s="25" t="s">
        <v>442</v>
      </c>
      <c r="C9" s="25" t="s">
        <v>446</v>
      </c>
      <c r="D9" s="26" t="n">
        <v>3.89979910472301</v>
      </c>
      <c r="E9" s="26" t="n">
        <v>2.55599884972312</v>
      </c>
      <c r="F9" s="26" t="n">
        <v>-5.41530942486156</v>
      </c>
      <c r="G9" s="26" t="n">
        <v>-5.44260942486156</v>
      </c>
      <c r="H9" s="26" t="n">
        <v>-2.35931057513844</v>
      </c>
      <c r="I9" s="26" t="n">
        <v>-2.38661057513844</v>
      </c>
      <c r="J9" s="26" t="n">
        <v>99</v>
      </c>
      <c r="K9" s="27" t="n">
        <f aca="false">MIN(F9,G9)</f>
        <v>-5.44260942486156</v>
      </c>
      <c r="L9" s="27" t="n">
        <f aca="false">AVERAGE(F9,G9)</f>
        <v>-5.42895942486156</v>
      </c>
      <c r="M9" s="27" t="n">
        <f aca="false">MAX(0,NG-L9)</f>
        <v>4.72895942486156</v>
      </c>
      <c r="N9" s="27" t="n">
        <f aca="false">MAX(0,GWL-K9)</f>
        <v>3.94260942486156</v>
      </c>
      <c r="O9" s="27" t="n">
        <f aca="false">MAX(0,NG-MAX(K9,GWL))</f>
        <v>0.8</v>
      </c>
      <c r="P9" s="27" t="n">
        <f aca="false">E9/2+WS+SLOPE_A*O9+SLOPE_B*N9</f>
        <v>11.3632182745847</v>
      </c>
      <c r="Q9" s="28" t="str">
        <f aca="false">IF(AND(P9&lt;J9,N9&lt;=MAXOC),"Open cut","Shoring")</f>
        <v>Shoring</v>
      </c>
      <c r="R9" s="27" t="n">
        <f aca="false">IF(Q9="Shoring",D9,0)</f>
        <v>3.89979910472301</v>
      </c>
      <c r="S9" s="27" t="n">
        <f aca="false">MAX(0,GWL-L9)</f>
        <v>3.92895942486156</v>
      </c>
      <c r="T9" s="27" t="n">
        <f aca="false">MAX(0,NG-MAX(L9,GWL))</f>
        <v>0.8</v>
      </c>
      <c r="U9" s="27" t="n">
        <f aca="false">E9+2*WS</f>
        <v>4.55599884972312</v>
      </c>
      <c r="V9" s="27" t="n">
        <f aca="false">IF(Q9="Shoring",D9*M9*U9,0)</f>
        <v>84.0216931146182</v>
      </c>
      <c r="W9" s="27" t="n">
        <f aca="false">IF(Q9="Open cut",D9*(U9*M9+SLOPE_B*S9^2+2*SLOPE_B*S9*T9+SLOPE_A*T9^2),0)</f>
        <v>0</v>
      </c>
      <c r="X9" s="27" t="n">
        <f aca="false">IF(M9&gt;0,D9*(E9+2*SLABOVH)*SLAB,0)</f>
        <v>6.93384056527314</v>
      </c>
      <c r="Y9" s="27" t="n">
        <f aca="false">IF(M9&gt;0,D9*PI()*E9^2/4,0)</f>
        <v>20.0102919340912</v>
      </c>
      <c r="Z9" s="27" t="n">
        <f aca="false">IF(H9-E9&gt;=GWL,99,E9*(MAX(0,GWL-H9)*(GAM_S-GAM_W)+MAX(0,NG-MAX(H9,GWL))*GAM_D)/(GAM_W*PI()*E9^2/4))</f>
        <v>1.08857844949121</v>
      </c>
      <c r="AA9" s="27" t="n">
        <f aca="false">IF(I9-E9&gt;=GWL,99,E9*(MAX(0,GWL-I9)*(GAM_S-GAM_W)+MAX(0,NG-MAX(I9,GWL))*GAM_D)/(GAM_W*PI()*E9^2/4))</f>
        <v>1.09993187738341</v>
      </c>
      <c r="AB9" s="27" t="n">
        <f aca="false">IF(H9-E9&gt;=GWL,99,E9*(MAX(0,GWL-H9)*(GAM_S-GAM_W)+MAX(0,FL-MAX(H9,GWL))*GAM_D)/(GAM_W*PI()*E9^2/4))</f>
        <v>2.64240265886621</v>
      </c>
      <c r="AC9" s="27" t="n">
        <f aca="false">IF(I9-E9&gt;=GWL,99,E9*(MAX(0,GWL-I9)*(GAM_S-GAM_W)+MAX(0,FL-MAX(I9,GWL))*GAM_D)/(GAM_W*PI()*E9^2/4))</f>
        <v>2.65375608675842</v>
      </c>
    </row>
    <row r="10" customFormat="false" ht="15" hidden="false" customHeight="false" outlineLevel="0" collapsed="false">
      <c r="A10" s="25" t="s">
        <v>441</v>
      </c>
      <c r="B10" s="25" t="s">
        <v>447</v>
      </c>
      <c r="C10" s="25" t="s">
        <v>448</v>
      </c>
      <c r="D10" s="26" t="n">
        <v>1.19483688385901</v>
      </c>
      <c r="E10" s="26" t="n">
        <v>2.55599884972312</v>
      </c>
      <c r="F10" s="26" t="n">
        <v>-5.44260942486156</v>
      </c>
      <c r="G10" s="26" t="n">
        <v>-5.45097567044131</v>
      </c>
      <c r="H10" s="26" t="n">
        <v>-2.38661057513844</v>
      </c>
      <c r="I10" s="26" t="n">
        <v>-2.39497682071819</v>
      </c>
      <c r="J10" s="26" t="n">
        <v>12.83</v>
      </c>
      <c r="K10" s="27" t="n">
        <f aca="false">MIN(F10,G10)</f>
        <v>-5.45097567044131</v>
      </c>
      <c r="L10" s="27" t="n">
        <f aca="false">AVERAGE(F10,G10)</f>
        <v>-5.44679254765144</v>
      </c>
      <c r="M10" s="27" t="n">
        <f aca="false">MAX(0,NG-L10)</f>
        <v>4.74679254765144</v>
      </c>
      <c r="N10" s="27" t="n">
        <f aca="false">MAX(0,GWL-K10)</f>
        <v>3.95097567044131</v>
      </c>
      <c r="O10" s="27" t="n">
        <f aca="false">MAX(0,NG-MAX(K10,GWL))</f>
        <v>0.8</v>
      </c>
      <c r="P10" s="27" t="n">
        <f aca="false">E10/2+WS+SLOPE_A*O10+SLOPE_B*N10</f>
        <v>11.3799507657442</v>
      </c>
      <c r="Q10" s="28" t="str">
        <f aca="false">IF(AND(P10&lt;J10,N10&lt;=MAXOC),"Open cut","Shoring")</f>
        <v>Shoring</v>
      </c>
      <c r="R10" s="27" t="n">
        <f aca="false">IF(Q10="Shoring",D10,0)</f>
        <v>1.19483688385901</v>
      </c>
      <c r="S10" s="27" t="n">
        <f aca="false">MAX(0,GWL-L10)</f>
        <v>3.94679254765144</v>
      </c>
      <c r="T10" s="27" t="n">
        <f aca="false">MAX(0,NG-MAX(L10,GWL))</f>
        <v>0.8</v>
      </c>
      <c r="U10" s="27" t="n">
        <f aca="false">E10+2*WS</f>
        <v>4.55599884972312</v>
      </c>
      <c r="V10" s="27" t="n">
        <f aca="false">IF(Q10="Shoring",D10*M10*U10,0)</f>
        <v>25.8399981455588</v>
      </c>
      <c r="W10" s="27" t="n">
        <f aca="false">IF(Q10="Open cut",D10*(U10*M10+SLOPE_B*S10^2+2*SLOPE_B*S10*T10+SLOPE_A*T10^2),0)</f>
        <v>0</v>
      </c>
      <c r="X10" s="27" t="n">
        <f aca="false">IF(M10&gt;0,D10*(E10+2*SLABOVH)*SLAB,0)</f>
        <v>2.1244192923047</v>
      </c>
      <c r="Y10" s="27" t="n">
        <f aca="false">IF(M10&gt;0,D10*PI()*E10^2/4,0)</f>
        <v>6.13083756819234</v>
      </c>
      <c r="Z10" s="27" t="n">
        <f aca="false">IF(H10-E10&gt;=GWL,99,E10*(MAX(0,GWL-H10)*(GAM_S-GAM_W)+MAX(0,NG-MAX(H10,GWL))*GAM_D)/(GAM_W*PI()*E10^2/4))</f>
        <v>1.09993187738341</v>
      </c>
      <c r="AA10" s="27" t="n">
        <f aca="false">IF(I10-E10&gt;=GWL,99,E10*(MAX(0,GWL-I10)*(GAM_S-GAM_W)+MAX(0,NG-MAX(I10,GWL))*GAM_D)/(GAM_W*PI()*E10^2/4))</f>
        <v>1.10341120214232</v>
      </c>
      <c r="AB10" s="27" t="n">
        <f aca="false">IF(H10-E10&gt;=GWL,99,E10*(MAX(0,GWL-H10)*(GAM_S-GAM_W)+MAX(0,FL-MAX(H10,GWL))*GAM_D)/(GAM_W*PI()*E10^2/4))</f>
        <v>2.65375608675842</v>
      </c>
      <c r="AC10" s="27" t="n">
        <f aca="false">IF(I10-E10&gt;=GWL,99,E10*(MAX(0,GWL-I10)*(GAM_S-GAM_W)+MAX(0,FL-MAX(I10,GWL))*GAM_D)/(GAM_W*PI()*E10^2/4))</f>
        <v>2.65723541151733</v>
      </c>
    </row>
    <row r="11" customFormat="false" ht="15" hidden="false" customHeight="false" outlineLevel="0" collapsed="false">
      <c r="A11" s="25" t="s">
        <v>441</v>
      </c>
      <c r="B11" s="25" t="s">
        <v>447</v>
      </c>
      <c r="C11" s="25" t="s">
        <v>449</v>
      </c>
      <c r="D11" s="26" t="n">
        <v>9.99999999969806</v>
      </c>
      <c r="E11" s="26" t="n">
        <v>2.55599884972312</v>
      </c>
      <c r="F11" s="26" t="n">
        <v>-5.45097567044131</v>
      </c>
      <c r="G11" s="26" t="n">
        <v>-5.52099565137986</v>
      </c>
      <c r="H11" s="26" t="n">
        <v>-2.39497682071819</v>
      </c>
      <c r="I11" s="26" t="n">
        <v>-2.46499680165674</v>
      </c>
      <c r="J11" s="26" t="n">
        <v>12.83</v>
      </c>
      <c r="K11" s="27" t="n">
        <f aca="false">MIN(F11,G11)</f>
        <v>-5.52099565137986</v>
      </c>
      <c r="L11" s="27" t="n">
        <f aca="false">AVERAGE(F11,G11)</f>
        <v>-5.48598566091058</v>
      </c>
      <c r="M11" s="27" t="n">
        <f aca="false">MAX(0,NG-L11)</f>
        <v>4.78598566091058</v>
      </c>
      <c r="N11" s="27" t="n">
        <f aca="false">MAX(0,GWL-K11)</f>
        <v>4.02099565137986</v>
      </c>
      <c r="O11" s="27" t="n">
        <f aca="false">MAX(0,NG-MAX(K11,GWL))</f>
        <v>0.8</v>
      </c>
      <c r="P11" s="27" t="n">
        <f aca="false">E11/2+WS+SLOPE_A*O11+SLOPE_B*N11</f>
        <v>11.5199907276213</v>
      </c>
      <c r="Q11" s="28" t="str">
        <f aca="false">IF(AND(P11&lt;J11,N11&lt;=MAXOC),"Open cut","Shoring")</f>
        <v>Shoring</v>
      </c>
      <c r="R11" s="27" t="n">
        <f aca="false">IF(Q11="Shoring",D11,0)</f>
        <v>9.99999999969806</v>
      </c>
      <c r="S11" s="27" t="n">
        <f aca="false">MAX(0,GWL-L11)</f>
        <v>3.98598566091058</v>
      </c>
      <c r="T11" s="27" t="n">
        <f aca="false">MAX(0,NG-MAX(L11,GWL))</f>
        <v>0.8</v>
      </c>
      <c r="U11" s="27" t="n">
        <f aca="false">E11+2*WS</f>
        <v>4.55599884972312</v>
      </c>
      <c r="V11" s="27" t="n">
        <f aca="false">IF(Q11="Shoring",D11*M11*U11,0)</f>
        <v>218.049451652416</v>
      </c>
      <c r="W11" s="27" t="n">
        <f aca="false">IF(Q11="Open cut",D11*(U11*M11+SLOPE_B*S11^2+2*SLOPE_B*S11*T11+SLOPE_A*T11^2),0)</f>
        <v>0</v>
      </c>
      <c r="X11" s="27" t="n">
        <f aca="false">IF(M11&gt;0,D11*(E11+2*SLABOVH)*SLAB,0)</f>
        <v>17.7799942480787</v>
      </c>
      <c r="Y11" s="27" t="n">
        <f aca="false">IF(M11&gt;0,D11*PI()*E11^2/4,0)</f>
        <v>51.3110839716147</v>
      </c>
      <c r="Z11" s="27" t="n">
        <f aca="false">IF(H11-E11&gt;=GWL,99,E11*(MAX(0,GWL-H11)*(GAM_S-GAM_W)+MAX(0,NG-MAX(H11,GWL))*GAM_D)/(GAM_W*PI()*E11^2/4))</f>
        <v>1.10341120214232</v>
      </c>
      <c r="AA11" s="27" t="n">
        <f aca="false">IF(I11-E11&gt;=GWL,99,E11*(MAX(0,GWL-I11)*(GAM_S-GAM_W)+MAX(0,NG-MAX(I11,GWL))*GAM_D)/(GAM_W*PI()*E11^2/4))</f>
        <v>1.13253086531446</v>
      </c>
      <c r="AB11" s="27" t="n">
        <f aca="false">IF(H11-E11&gt;=GWL,99,E11*(MAX(0,GWL-H11)*(GAM_S-GAM_W)+MAX(0,FL-MAX(H11,GWL))*GAM_D)/(GAM_W*PI()*E11^2/4))</f>
        <v>2.65723541151733</v>
      </c>
      <c r="AC11" s="27" t="n">
        <f aca="false">IF(I11-E11&gt;=GWL,99,E11*(MAX(0,GWL-I11)*(GAM_S-GAM_W)+MAX(0,FL-MAX(I11,GWL))*GAM_D)/(GAM_W*PI()*E11^2/4))</f>
        <v>2.68635507468947</v>
      </c>
    </row>
    <row r="12" customFormat="false" ht="15" hidden="false" customHeight="false" outlineLevel="0" collapsed="false">
      <c r="A12" s="25" t="s">
        <v>441</v>
      </c>
      <c r="B12" s="25" t="s">
        <v>447</v>
      </c>
      <c r="C12" s="25" t="s">
        <v>450</v>
      </c>
      <c r="D12" s="26" t="n">
        <v>9.99999999993301</v>
      </c>
      <c r="E12" s="26" t="n">
        <v>2.55599884972312</v>
      </c>
      <c r="F12" s="26" t="n">
        <v>-5.52099565137986</v>
      </c>
      <c r="G12" s="26" t="n">
        <v>-5.5910156323184</v>
      </c>
      <c r="H12" s="26" t="n">
        <v>-2.46499680165674</v>
      </c>
      <c r="I12" s="26" t="n">
        <v>-2.53501678259528</v>
      </c>
      <c r="J12" s="26" t="n">
        <v>12.84</v>
      </c>
      <c r="K12" s="27" t="n">
        <f aca="false">MIN(F12,G12)</f>
        <v>-5.5910156323184</v>
      </c>
      <c r="L12" s="27" t="n">
        <f aca="false">AVERAGE(F12,G12)</f>
        <v>-5.55600564184913</v>
      </c>
      <c r="M12" s="27" t="n">
        <f aca="false">MAX(0,NG-L12)</f>
        <v>4.85600564184913</v>
      </c>
      <c r="N12" s="27" t="n">
        <f aca="false">MAX(0,GWL-K12)</f>
        <v>4.0910156323184</v>
      </c>
      <c r="O12" s="27" t="n">
        <f aca="false">MAX(0,NG-MAX(K12,GWL))</f>
        <v>0.8</v>
      </c>
      <c r="P12" s="27" t="n">
        <f aca="false">E12/2+WS+SLOPE_A*O12+SLOPE_B*N12</f>
        <v>11.6600306894984</v>
      </c>
      <c r="Q12" s="28" t="str">
        <f aca="false">IF(AND(P12&lt;J12,N12&lt;=MAXOC),"Open cut","Shoring")</f>
        <v>Shoring</v>
      </c>
      <c r="R12" s="27" t="n">
        <f aca="false">IF(Q12="Shoring",D12,0)</f>
        <v>9.99999999993301</v>
      </c>
      <c r="S12" s="27" t="n">
        <f aca="false">MAX(0,GWL-L12)</f>
        <v>4.05600564184913</v>
      </c>
      <c r="T12" s="27" t="n">
        <f aca="false">MAX(0,NG-MAX(L12,GWL))</f>
        <v>0.8</v>
      </c>
      <c r="U12" s="27" t="n">
        <f aca="false">E12+2*WS</f>
        <v>4.55599884972312</v>
      </c>
      <c r="V12" s="27" t="n">
        <f aca="false">IF(Q12="Shoring",D12*M12*U12,0)</f>
        <v>221.239561183654</v>
      </c>
      <c r="W12" s="27" t="n">
        <f aca="false">IF(Q12="Open cut",D12*(U12*M12+SLOPE_B*S12^2+2*SLOPE_B*S12*T12+SLOPE_A*T12^2),0)</f>
        <v>0</v>
      </c>
      <c r="X12" s="27" t="n">
        <f aca="false">IF(M12&gt;0,D12*(E12+2*SLABOVH)*SLAB,0)</f>
        <v>17.7799942484965</v>
      </c>
      <c r="Y12" s="27" t="n">
        <f aca="false">IF(M12&gt;0,D12*PI()*E12^2/4,0)</f>
        <v>51.3110839728202</v>
      </c>
      <c r="Z12" s="27" t="n">
        <f aca="false">IF(H12-E12&gt;=GWL,99,E12*(MAX(0,GWL-H12)*(GAM_S-GAM_W)+MAX(0,NG-MAX(H12,GWL))*GAM_D)/(GAM_W*PI()*E12^2/4))</f>
        <v>1.13253086531446</v>
      </c>
      <c r="AA12" s="27" t="n">
        <f aca="false">IF(I12-E12&gt;=GWL,99,E12*(MAX(0,GWL-I12)*(GAM_S-GAM_W)+MAX(0,NG-MAX(I12,GWL))*GAM_D)/(GAM_W*PI()*E12^2/4))</f>
        <v>1.1616505284866</v>
      </c>
      <c r="AB12" s="27" t="n">
        <f aca="false">IF(H12-E12&gt;=GWL,99,E12*(MAX(0,GWL-H12)*(GAM_S-GAM_W)+MAX(0,FL-MAX(H12,GWL))*GAM_D)/(GAM_W*PI()*E12^2/4))</f>
        <v>2.68635507468947</v>
      </c>
      <c r="AC12" s="27" t="n">
        <f aca="false">IF(I12-E12&gt;=GWL,99,E12*(MAX(0,GWL-I12)*(GAM_S-GAM_W)+MAX(0,FL-MAX(I12,GWL))*GAM_D)/(GAM_W*PI()*E12^2/4))</f>
        <v>2.71547473786161</v>
      </c>
    </row>
    <row r="13" customFormat="false" ht="15" hidden="false" customHeight="false" outlineLevel="0" collapsed="false">
      <c r="A13" s="25" t="s">
        <v>441</v>
      </c>
      <c r="B13" s="25" t="s">
        <v>447</v>
      </c>
      <c r="C13" s="25" t="s">
        <v>451</v>
      </c>
      <c r="D13" s="26" t="n">
        <v>10.0000000004029</v>
      </c>
      <c r="E13" s="26" t="n">
        <v>2.55599884972312</v>
      </c>
      <c r="F13" s="26" t="n">
        <v>-5.5910156323184</v>
      </c>
      <c r="G13" s="26" t="n">
        <v>-5.66103561325694</v>
      </c>
      <c r="H13" s="26" t="n">
        <v>-2.53501678259528</v>
      </c>
      <c r="I13" s="26" t="n">
        <v>-2.60503676353383</v>
      </c>
      <c r="J13" s="26" t="n">
        <v>13.01</v>
      </c>
      <c r="K13" s="27" t="n">
        <f aca="false">MIN(F13,G13)</f>
        <v>-5.66103561325694</v>
      </c>
      <c r="L13" s="27" t="n">
        <f aca="false">AVERAGE(F13,G13)</f>
        <v>-5.62602562278767</v>
      </c>
      <c r="M13" s="27" t="n">
        <f aca="false">MAX(0,NG-L13)</f>
        <v>4.92602562278767</v>
      </c>
      <c r="N13" s="27" t="n">
        <f aca="false">MAX(0,GWL-K13)</f>
        <v>4.16103561325694</v>
      </c>
      <c r="O13" s="27" t="n">
        <f aca="false">MAX(0,NG-MAX(K13,GWL))</f>
        <v>0.8</v>
      </c>
      <c r="P13" s="27" t="n">
        <f aca="false">E13/2+WS+SLOPE_A*O13+SLOPE_B*N13</f>
        <v>11.8000706513754</v>
      </c>
      <c r="Q13" s="28" t="str">
        <f aca="false">IF(AND(P13&lt;J13,N13&lt;=MAXOC),"Open cut","Shoring")</f>
        <v>Shoring</v>
      </c>
      <c r="R13" s="27" t="n">
        <f aca="false">IF(Q13="Shoring",D13,0)</f>
        <v>10.0000000004029</v>
      </c>
      <c r="S13" s="27" t="n">
        <f aca="false">MAX(0,GWL-L13)</f>
        <v>4.12602562278767</v>
      </c>
      <c r="T13" s="27" t="n">
        <f aca="false">MAX(0,NG-MAX(L13,GWL))</f>
        <v>0.8</v>
      </c>
      <c r="U13" s="27" t="n">
        <f aca="false">E13+2*WS</f>
        <v>4.55599884972312</v>
      </c>
      <c r="V13" s="27" t="n">
        <f aca="false">IF(Q13="Shoring",D13*M13*U13,0)</f>
        <v>224.429670720315</v>
      </c>
      <c r="W13" s="27" t="n">
        <f aca="false">IF(Q13="Open cut",D13*(U13*M13+SLOPE_B*S13^2+2*SLOPE_B*S13*T13+SLOPE_A*T13^2),0)</f>
        <v>0</v>
      </c>
      <c r="X13" s="27" t="n">
        <f aca="false">IF(M13&gt;0,D13*(E13+2*SLABOVH)*SLAB,0)</f>
        <v>17.7799942493319</v>
      </c>
      <c r="Y13" s="27" t="n">
        <f aca="false">IF(M13&gt;0,D13*PI()*E13^2/4,0)</f>
        <v>51.3110839752313</v>
      </c>
      <c r="Z13" s="27" t="n">
        <f aca="false">IF(H13-E13&gt;=GWL,99,E13*(MAX(0,GWL-H13)*(GAM_S-GAM_W)+MAX(0,NG-MAX(H13,GWL))*GAM_D)/(GAM_W*PI()*E13^2/4))</f>
        <v>1.1616505284866</v>
      </c>
      <c r="AA13" s="27" t="n">
        <f aca="false">IF(I13-E13&gt;=GWL,99,E13*(MAX(0,GWL-I13)*(GAM_S-GAM_W)+MAX(0,NG-MAX(I13,GWL))*GAM_D)/(GAM_W*PI()*E13^2/4))</f>
        <v>1.19077019165874</v>
      </c>
      <c r="AB13" s="27" t="n">
        <f aca="false">IF(H13-E13&gt;=GWL,99,E13*(MAX(0,GWL-H13)*(GAM_S-GAM_W)+MAX(0,FL-MAX(H13,GWL))*GAM_D)/(GAM_W*PI()*E13^2/4))</f>
        <v>2.71547473786161</v>
      </c>
      <c r="AC13" s="27" t="n">
        <f aca="false">IF(I13-E13&gt;=GWL,99,E13*(MAX(0,GWL-I13)*(GAM_S-GAM_W)+MAX(0,FL-MAX(I13,GWL))*GAM_D)/(GAM_W*PI()*E13^2/4))</f>
        <v>2.74459440103375</v>
      </c>
    </row>
    <row r="14" customFormat="false" ht="15" hidden="false" customHeight="false" outlineLevel="0" collapsed="false">
      <c r="A14" s="25" t="s">
        <v>441</v>
      </c>
      <c r="B14" s="25" t="s">
        <v>447</v>
      </c>
      <c r="C14" s="25" t="s">
        <v>452</v>
      </c>
      <c r="D14" s="26" t="n">
        <v>9.99999999993301</v>
      </c>
      <c r="E14" s="26" t="n">
        <v>2.55599884972312</v>
      </c>
      <c r="F14" s="26" t="n">
        <v>-5.66103561325694</v>
      </c>
      <c r="G14" s="26" t="n">
        <v>-5.73105559419549</v>
      </c>
      <c r="H14" s="26" t="n">
        <v>-2.60503676353383</v>
      </c>
      <c r="I14" s="26" t="n">
        <v>-2.67505674447237</v>
      </c>
      <c r="J14" s="26" t="n">
        <v>17.64</v>
      </c>
      <c r="K14" s="27" t="n">
        <f aca="false">MIN(F14,G14)</f>
        <v>-5.73105559419549</v>
      </c>
      <c r="L14" s="27" t="n">
        <f aca="false">AVERAGE(F14,G14)</f>
        <v>-5.69604560372622</v>
      </c>
      <c r="M14" s="27" t="n">
        <f aca="false">MAX(0,NG-L14)</f>
        <v>4.99604560372622</v>
      </c>
      <c r="N14" s="27" t="n">
        <f aca="false">MAX(0,GWL-K14)</f>
        <v>4.23105559419549</v>
      </c>
      <c r="O14" s="27" t="n">
        <f aca="false">MAX(0,NG-MAX(K14,GWL))</f>
        <v>0.8</v>
      </c>
      <c r="P14" s="27" t="n">
        <f aca="false">E14/2+WS+SLOPE_A*O14+SLOPE_B*N14</f>
        <v>11.9401106132525</v>
      </c>
      <c r="Q14" s="28" t="str">
        <f aca="false">IF(AND(P14&lt;J14,N14&lt;=MAXOC),"Open cut","Shoring")</f>
        <v>Shoring</v>
      </c>
      <c r="R14" s="27" t="n">
        <f aca="false">IF(Q14="Shoring",D14,0)</f>
        <v>9.99999999993301</v>
      </c>
      <c r="S14" s="27" t="n">
        <f aca="false">MAX(0,GWL-L14)</f>
        <v>4.19604560372622</v>
      </c>
      <c r="T14" s="27" t="n">
        <f aca="false">MAX(0,NG-MAX(L14,GWL))</f>
        <v>0.8</v>
      </c>
      <c r="U14" s="27" t="n">
        <f aca="false">E14+2*WS</f>
        <v>4.55599884972312</v>
      </c>
      <c r="V14" s="27" t="n">
        <f aca="false">IF(Q14="Shoring",D14*M14*U14,0)</f>
        <v>227.619780235884</v>
      </c>
      <c r="W14" s="27" t="n">
        <f aca="false">IF(Q14="Open cut",D14*(U14*M14+SLOPE_B*S14^2+2*SLOPE_B*S14*T14+SLOPE_A*T14^2),0)</f>
        <v>0</v>
      </c>
      <c r="X14" s="27" t="n">
        <f aca="false">IF(M14&gt;0,D14*(E14+2*SLABOVH)*SLAB,0)</f>
        <v>17.7799942484965</v>
      </c>
      <c r="Y14" s="27" t="n">
        <f aca="false">IF(M14&gt;0,D14*PI()*E14^2/4,0)</f>
        <v>51.3110839728202</v>
      </c>
      <c r="Z14" s="27" t="n">
        <f aca="false">IF(H14-E14&gt;=GWL,99,E14*(MAX(0,GWL-H14)*(GAM_S-GAM_W)+MAX(0,NG-MAX(H14,GWL))*GAM_D)/(GAM_W*PI()*E14^2/4))</f>
        <v>1.19077019165874</v>
      </c>
      <c r="AA14" s="27" t="n">
        <f aca="false">IF(I14-E14&gt;=GWL,99,E14*(MAX(0,GWL-I14)*(GAM_S-GAM_W)+MAX(0,NG-MAX(I14,GWL))*GAM_D)/(GAM_W*PI()*E14^2/4))</f>
        <v>1.21988985483089</v>
      </c>
      <c r="AB14" s="27" t="n">
        <f aca="false">IF(H14-E14&gt;=GWL,99,E14*(MAX(0,GWL-H14)*(GAM_S-GAM_W)+MAX(0,FL-MAX(H14,GWL))*GAM_D)/(GAM_W*PI()*E14^2/4))</f>
        <v>2.74459440103375</v>
      </c>
      <c r="AC14" s="27" t="n">
        <f aca="false">IF(I14-E14&gt;=GWL,99,E14*(MAX(0,GWL-I14)*(GAM_S-GAM_W)+MAX(0,FL-MAX(I14,GWL))*GAM_D)/(GAM_W*PI()*E14^2/4))</f>
        <v>2.77371406420589</v>
      </c>
    </row>
    <row r="15" customFormat="false" ht="15" hidden="false" customHeight="false" outlineLevel="0" collapsed="false">
      <c r="A15" s="25" t="s">
        <v>441</v>
      </c>
      <c r="B15" s="25" t="s">
        <v>447</v>
      </c>
      <c r="C15" s="25" t="s">
        <v>453</v>
      </c>
      <c r="D15" s="26" t="n">
        <v>9.99999999969806</v>
      </c>
      <c r="E15" s="26" t="n">
        <v>2.55599884972312</v>
      </c>
      <c r="F15" s="26" t="n">
        <v>-5.73105559419549</v>
      </c>
      <c r="G15" s="26" t="n">
        <v>-5.80107557513403</v>
      </c>
      <c r="H15" s="26" t="n">
        <v>-2.67505674447237</v>
      </c>
      <c r="I15" s="26" t="n">
        <v>-2.74507672541091</v>
      </c>
      <c r="J15" s="26" t="n">
        <v>24.9</v>
      </c>
      <c r="K15" s="27" t="n">
        <f aca="false">MIN(F15,G15)</f>
        <v>-5.80107557513403</v>
      </c>
      <c r="L15" s="27" t="n">
        <f aca="false">AVERAGE(F15,G15)</f>
        <v>-5.76606558466476</v>
      </c>
      <c r="M15" s="27" t="n">
        <f aca="false">MAX(0,NG-L15)</f>
        <v>5.06606558466476</v>
      </c>
      <c r="N15" s="27" t="n">
        <f aca="false">MAX(0,GWL-K15)</f>
        <v>4.30107557513403</v>
      </c>
      <c r="O15" s="27" t="n">
        <f aca="false">MAX(0,NG-MAX(K15,GWL))</f>
        <v>0.8</v>
      </c>
      <c r="P15" s="27" t="n">
        <f aca="false">E15/2+WS+SLOPE_A*O15+SLOPE_B*N15</f>
        <v>12.0801505751296</v>
      </c>
      <c r="Q15" s="28" t="str">
        <f aca="false">IF(AND(P15&lt;J15,N15&lt;=MAXOC),"Open cut","Shoring")</f>
        <v>Shoring</v>
      </c>
      <c r="R15" s="27" t="n">
        <f aca="false">IF(Q15="Shoring",D15,0)</f>
        <v>9.99999999969806</v>
      </c>
      <c r="S15" s="27" t="n">
        <f aca="false">MAX(0,GWL-L15)</f>
        <v>4.26606558466476</v>
      </c>
      <c r="T15" s="27" t="n">
        <f aca="false">MAX(0,NG-MAX(L15,GWL))</f>
        <v>0.8</v>
      </c>
      <c r="U15" s="27" t="n">
        <f aca="false">E15+2*WS</f>
        <v>4.55599884972312</v>
      </c>
      <c r="V15" s="27" t="n">
        <f aca="false">IF(Q15="Shoring",D15*M15*U15,0)</f>
        <v>230.809889756576</v>
      </c>
      <c r="W15" s="27" t="n">
        <f aca="false">IF(Q15="Open cut",D15*(U15*M15+SLOPE_B*S15^2+2*SLOPE_B*S15*T15+SLOPE_A*T15^2),0)</f>
        <v>0</v>
      </c>
      <c r="X15" s="27" t="n">
        <f aca="false">IF(M15&gt;0,D15*(E15+2*SLABOVH)*SLAB,0)</f>
        <v>17.7799942480787</v>
      </c>
      <c r="Y15" s="27" t="n">
        <f aca="false">IF(M15&gt;0,D15*PI()*E15^2/4,0)</f>
        <v>51.3110839716147</v>
      </c>
      <c r="Z15" s="27" t="n">
        <f aca="false">IF(H15-E15&gt;=GWL,99,E15*(MAX(0,GWL-H15)*(GAM_S-GAM_W)+MAX(0,NG-MAX(H15,GWL))*GAM_D)/(GAM_W*PI()*E15^2/4))</f>
        <v>1.21988985483089</v>
      </c>
      <c r="AA15" s="27" t="n">
        <f aca="false">IF(I15-E15&gt;=GWL,99,E15*(MAX(0,GWL-I15)*(GAM_S-GAM_W)+MAX(0,NG-MAX(I15,GWL))*GAM_D)/(GAM_W*PI()*E15^2/4))</f>
        <v>1.24900951800303</v>
      </c>
      <c r="AB15" s="27" t="n">
        <f aca="false">IF(H15-E15&gt;=GWL,99,E15*(MAX(0,GWL-H15)*(GAM_S-GAM_W)+MAX(0,FL-MAX(H15,GWL))*GAM_D)/(GAM_W*PI()*E15^2/4))</f>
        <v>2.77371406420589</v>
      </c>
      <c r="AC15" s="27" t="n">
        <f aca="false">IF(I15-E15&gt;=GWL,99,E15*(MAX(0,GWL-I15)*(GAM_S-GAM_W)+MAX(0,FL-MAX(I15,GWL))*GAM_D)/(GAM_W*PI()*E15^2/4))</f>
        <v>2.80283372737803</v>
      </c>
    </row>
    <row r="16" customFormat="false" ht="15" hidden="false" customHeight="false" outlineLevel="0" collapsed="false">
      <c r="A16" s="25" t="s">
        <v>441</v>
      </c>
      <c r="B16" s="25" t="s">
        <v>447</v>
      </c>
      <c r="C16" s="25" t="s">
        <v>454</v>
      </c>
      <c r="D16" s="26" t="n">
        <v>9.99999999993301</v>
      </c>
      <c r="E16" s="26" t="n">
        <v>2.55599884972312</v>
      </c>
      <c r="F16" s="26" t="n">
        <v>-5.80107557513403</v>
      </c>
      <c r="G16" s="26" t="n">
        <v>-5.87109555607257</v>
      </c>
      <c r="H16" s="26" t="n">
        <v>-2.74507672541091</v>
      </c>
      <c r="I16" s="26" t="n">
        <v>-2.81509670634946</v>
      </c>
      <c r="J16" s="26" t="n">
        <v>99</v>
      </c>
      <c r="K16" s="27" t="n">
        <f aca="false">MIN(F16,G16)</f>
        <v>-5.87109555607257</v>
      </c>
      <c r="L16" s="27" t="n">
        <f aca="false">AVERAGE(F16,G16)</f>
        <v>-5.8360855656033</v>
      </c>
      <c r="M16" s="27" t="n">
        <f aca="false">MAX(0,NG-L16)</f>
        <v>5.1360855656033</v>
      </c>
      <c r="N16" s="27" t="n">
        <f aca="false">MAX(0,GWL-K16)</f>
        <v>4.37109555607257</v>
      </c>
      <c r="O16" s="27" t="n">
        <f aca="false">MAX(0,NG-MAX(K16,GWL))</f>
        <v>0.8</v>
      </c>
      <c r="P16" s="27" t="n">
        <f aca="false">E16/2+WS+SLOPE_A*O16+SLOPE_B*N16</f>
        <v>12.2201905370067</v>
      </c>
      <c r="Q16" s="28" t="str">
        <f aca="false">IF(AND(P16&lt;J16,N16&lt;=MAXOC),"Open cut","Shoring")</f>
        <v>Shoring</v>
      </c>
      <c r="R16" s="27" t="n">
        <f aca="false">IF(Q16="Shoring",D16,0)</f>
        <v>9.99999999993301</v>
      </c>
      <c r="S16" s="27" t="n">
        <f aca="false">MAX(0,GWL-L16)</f>
        <v>4.3360855656033</v>
      </c>
      <c r="T16" s="27" t="n">
        <f aca="false">MAX(0,NG-MAX(L16,GWL))</f>
        <v>0.8</v>
      </c>
      <c r="U16" s="27" t="n">
        <f aca="false">E16+2*WS</f>
        <v>4.55599884972312</v>
      </c>
      <c r="V16" s="27" t="n">
        <f aca="false">IF(Q16="Shoring",D16*M16*U16,0)</f>
        <v>233.999999288114</v>
      </c>
      <c r="W16" s="27" t="n">
        <f aca="false">IF(Q16="Open cut",D16*(U16*M16+SLOPE_B*S16^2+2*SLOPE_B*S16*T16+SLOPE_A*T16^2),0)</f>
        <v>0</v>
      </c>
      <c r="X16" s="27" t="n">
        <f aca="false">IF(M16&gt;0,D16*(E16+2*SLABOVH)*SLAB,0)</f>
        <v>17.7799942484965</v>
      </c>
      <c r="Y16" s="27" t="n">
        <f aca="false">IF(M16&gt;0,D16*PI()*E16^2/4,0)</f>
        <v>51.3110839728202</v>
      </c>
      <c r="Z16" s="27" t="n">
        <f aca="false">IF(H16-E16&gt;=GWL,99,E16*(MAX(0,GWL-H16)*(GAM_S-GAM_W)+MAX(0,NG-MAX(H16,GWL))*GAM_D)/(GAM_W*PI()*E16^2/4))</f>
        <v>1.24900951800303</v>
      </c>
      <c r="AA16" s="27" t="n">
        <f aca="false">IF(I16-E16&gt;=GWL,99,E16*(MAX(0,GWL-I16)*(GAM_S-GAM_W)+MAX(0,NG-MAX(I16,GWL))*GAM_D)/(GAM_W*PI()*E16^2/4))</f>
        <v>1.27812918117517</v>
      </c>
      <c r="AB16" s="27" t="n">
        <f aca="false">IF(H16-E16&gt;=GWL,99,E16*(MAX(0,GWL-H16)*(GAM_S-GAM_W)+MAX(0,FL-MAX(H16,GWL))*GAM_D)/(GAM_W*PI()*E16^2/4))</f>
        <v>2.80283372737803</v>
      </c>
      <c r="AC16" s="27" t="n">
        <f aca="false">IF(I16-E16&gt;=GWL,99,E16*(MAX(0,GWL-I16)*(GAM_S-GAM_W)+MAX(0,FL-MAX(I16,GWL))*GAM_D)/(GAM_W*PI()*E16^2/4))</f>
        <v>2.83195339055018</v>
      </c>
    </row>
    <row r="17" customFormat="false" ht="15" hidden="false" customHeight="false" outlineLevel="0" collapsed="false">
      <c r="A17" s="25" t="s">
        <v>441</v>
      </c>
      <c r="B17" s="25" t="s">
        <v>447</v>
      </c>
      <c r="C17" s="25" t="s">
        <v>455</v>
      </c>
      <c r="D17" s="26" t="n">
        <v>9.99999999993301</v>
      </c>
      <c r="E17" s="26" t="n">
        <v>2.55599884972312</v>
      </c>
      <c r="F17" s="26" t="n">
        <v>-5.87109555607257</v>
      </c>
      <c r="G17" s="26" t="n">
        <v>-5.94111553701112</v>
      </c>
      <c r="H17" s="26" t="n">
        <v>-2.81509670634946</v>
      </c>
      <c r="I17" s="26" t="n">
        <v>-2.885116687288</v>
      </c>
      <c r="J17" s="26" t="n">
        <v>99</v>
      </c>
      <c r="K17" s="27" t="n">
        <f aca="false">MIN(F17,G17)</f>
        <v>-5.94111553701112</v>
      </c>
      <c r="L17" s="27" t="n">
        <f aca="false">AVERAGE(F17,G17)</f>
        <v>-5.90610554654185</v>
      </c>
      <c r="M17" s="27" t="n">
        <f aca="false">MAX(0,NG-L17)</f>
        <v>5.20610554654185</v>
      </c>
      <c r="N17" s="27" t="n">
        <f aca="false">MAX(0,GWL-K17)</f>
        <v>4.44111553701112</v>
      </c>
      <c r="O17" s="27" t="n">
        <f aca="false">MAX(0,NG-MAX(K17,GWL))</f>
        <v>0.8</v>
      </c>
      <c r="P17" s="27" t="n">
        <f aca="false">E17/2+WS+SLOPE_A*O17+SLOPE_B*N17</f>
        <v>12.3602304988838</v>
      </c>
      <c r="Q17" s="28" t="str">
        <f aca="false">IF(AND(P17&lt;J17,N17&lt;=MAXOC),"Open cut","Shoring")</f>
        <v>Shoring</v>
      </c>
      <c r="R17" s="27" t="n">
        <f aca="false">IF(Q17="Shoring",D17,0)</f>
        <v>9.99999999993301</v>
      </c>
      <c r="S17" s="27" t="n">
        <f aca="false">MAX(0,GWL-L17)</f>
        <v>4.40610554654185</v>
      </c>
      <c r="T17" s="27" t="n">
        <f aca="false">MAX(0,NG-MAX(L17,GWL))</f>
        <v>0.8</v>
      </c>
      <c r="U17" s="27" t="n">
        <f aca="false">E17+2*WS</f>
        <v>4.55599884972312</v>
      </c>
      <c r="V17" s="27" t="n">
        <f aca="false">IF(Q17="Shoring",D17*M17*U17,0)</f>
        <v>237.190108814229</v>
      </c>
      <c r="W17" s="27" t="n">
        <f aca="false">IF(Q17="Open cut",D17*(U17*M17+SLOPE_B*S17^2+2*SLOPE_B*S17*T17+SLOPE_A*T17^2),0)</f>
        <v>0</v>
      </c>
      <c r="X17" s="27" t="n">
        <f aca="false">IF(M17&gt;0,D17*(E17+2*SLABOVH)*SLAB,0)</f>
        <v>17.7799942484965</v>
      </c>
      <c r="Y17" s="27" t="n">
        <f aca="false">IF(M17&gt;0,D17*PI()*E17^2/4,0)</f>
        <v>51.3110839728202</v>
      </c>
      <c r="Z17" s="27" t="n">
        <f aca="false">IF(H17-E17&gt;=GWL,99,E17*(MAX(0,GWL-H17)*(GAM_S-GAM_W)+MAX(0,NG-MAX(H17,GWL))*GAM_D)/(GAM_W*PI()*E17^2/4))</f>
        <v>1.27812918117517</v>
      </c>
      <c r="AA17" s="27" t="n">
        <f aca="false">IF(I17-E17&gt;=GWL,99,E17*(MAX(0,GWL-I17)*(GAM_S-GAM_W)+MAX(0,NG-MAX(I17,GWL))*GAM_D)/(GAM_W*PI()*E17^2/4))</f>
        <v>1.30724884434731</v>
      </c>
      <c r="AB17" s="27" t="n">
        <f aca="false">IF(H17-E17&gt;=GWL,99,E17*(MAX(0,GWL-H17)*(GAM_S-GAM_W)+MAX(0,FL-MAX(H17,GWL))*GAM_D)/(GAM_W*PI()*E17^2/4))</f>
        <v>2.83195339055018</v>
      </c>
      <c r="AC17" s="27" t="n">
        <f aca="false">IF(I17-E17&gt;=GWL,99,E17*(MAX(0,GWL-I17)*(GAM_S-GAM_W)+MAX(0,FL-MAX(I17,GWL))*GAM_D)/(GAM_W*PI()*E17^2/4))</f>
        <v>2.86107305372232</v>
      </c>
    </row>
    <row r="18" customFormat="false" ht="15" hidden="false" customHeight="false" outlineLevel="0" collapsed="false">
      <c r="A18" s="25" t="s">
        <v>441</v>
      </c>
      <c r="B18" s="25" t="s">
        <v>447</v>
      </c>
      <c r="C18" s="25" t="s">
        <v>456</v>
      </c>
      <c r="D18" s="26" t="n">
        <v>10.0000000004029</v>
      </c>
      <c r="E18" s="26" t="n">
        <v>2.55599884972312</v>
      </c>
      <c r="F18" s="26" t="n">
        <v>-5.94111553701112</v>
      </c>
      <c r="G18" s="26" t="n">
        <v>-6.01113551794966</v>
      </c>
      <c r="H18" s="26" t="n">
        <v>-2.885116687288</v>
      </c>
      <c r="I18" s="26" t="n">
        <v>-2.95513666822654</v>
      </c>
      <c r="J18" s="26" t="n">
        <v>99</v>
      </c>
      <c r="K18" s="27" t="n">
        <f aca="false">MIN(F18,G18)</f>
        <v>-6.01113551794966</v>
      </c>
      <c r="L18" s="27" t="n">
        <f aca="false">AVERAGE(F18,G18)</f>
        <v>-5.97612552748039</v>
      </c>
      <c r="M18" s="27" t="n">
        <f aca="false">MAX(0,NG-L18)</f>
        <v>5.27612552748039</v>
      </c>
      <c r="N18" s="27" t="n">
        <f aca="false">MAX(0,GWL-K18)</f>
        <v>4.51113551794966</v>
      </c>
      <c r="O18" s="27" t="n">
        <f aca="false">MAX(0,NG-MAX(K18,GWL))</f>
        <v>0.8</v>
      </c>
      <c r="P18" s="27" t="n">
        <f aca="false">E18/2+WS+SLOPE_A*O18+SLOPE_B*N18</f>
        <v>12.5002704607609</v>
      </c>
      <c r="Q18" s="28" t="str">
        <f aca="false">IF(AND(P18&lt;J18,N18&lt;=MAXOC),"Open cut","Shoring")</f>
        <v>Shoring</v>
      </c>
      <c r="R18" s="27" t="n">
        <f aca="false">IF(Q18="Shoring",D18,0)</f>
        <v>10.0000000004029</v>
      </c>
      <c r="S18" s="27" t="n">
        <f aca="false">MAX(0,GWL-L18)</f>
        <v>4.47612552748039</v>
      </c>
      <c r="T18" s="27" t="n">
        <f aca="false">MAX(0,NG-MAX(L18,GWL))</f>
        <v>0.8</v>
      </c>
      <c r="U18" s="27" t="n">
        <f aca="false">E18+2*WS</f>
        <v>4.55599884972312</v>
      </c>
      <c r="V18" s="27" t="n">
        <f aca="false">IF(Q18="Shoring",D18*M18*U18,0)</f>
        <v>240.380218351639</v>
      </c>
      <c r="W18" s="27" t="n">
        <f aca="false">IF(Q18="Open cut",D18*(U18*M18+SLOPE_B*S18^2+2*SLOPE_B*S18*T18+SLOPE_A*T18^2),0)</f>
        <v>0</v>
      </c>
      <c r="X18" s="27" t="n">
        <f aca="false">IF(M18&gt;0,D18*(E18+2*SLABOVH)*SLAB,0)</f>
        <v>17.7799942493319</v>
      </c>
      <c r="Y18" s="27" t="n">
        <f aca="false">IF(M18&gt;0,D18*PI()*E18^2/4,0)</f>
        <v>51.3110839752313</v>
      </c>
      <c r="Z18" s="27" t="n">
        <f aca="false">IF(H18-E18&gt;=GWL,99,E18*(MAX(0,GWL-H18)*(GAM_S-GAM_W)+MAX(0,NG-MAX(H18,GWL))*GAM_D)/(GAM_W*PI()*E18^2/4))</f>
        <v>1.30724884434731</v>
      </c>
      <c r="AA18" s="27" t="n">
        <f aca="false">IF(I18-E18&gt;=GWL,99,E18*(MAX(0,GWL-I18)*(GAM_S-GAM_W)+MAX(0,NG-MAX(I18,GWL))*GAM_D)/(GAM_W*PI()*E18^2/4))</f>
        <v>1.33636850751945</v>
      </c>
      <c r="AB18" s="27" t="n">
        <f aca="false">IF(H18-E18&gt;=GWL,99,E18*(MAX(0,GWL-H18)*(GAM_S-GAM_W)+MAX(0,FL-MAX(H18,GWL))*GAM_D)/(GAM_W*PI()*E18^2/4))</f>
        <v>2.86107305372232</v>
      </c>
      <c r="AC18" s="27" t="n">
        <f aca="false">IF(I18-E18&gt;=GWL,99,E18*(MAX(0,GWL-I18)*(GAM_S-GAM_W)+MAX(0,FL-MAX(I18,GWL))*GAM_D)/(GAM_W*PI()*E18^2/4))</f>
        <v>2.89019271689446</v>
      </c>
    </row>
    <row r="19" customFormat="false" ht="15" hidden="false" customHeight="false" outlineLevel="0" collapsed="false">
      <c r="A19" s="25" t="s">
        <v>441</v>
      </c>
      <c r="B19" s="25" t="s">
        <v>447</v>
      </c>
      <c r="C19" s="25" t="s">
        <v>457</v>
      </c>
      <c r="D19" s="26" t="n">
        <v>9.99999999993301</v>
      </c>
      <c r="E19" s="26" t="n">
        <v>2.55599884972312</v>
      </c>
      <c r="F19" s="26" t="n">
        <v>-6.01113551794966</v>
      </c>
      <c r="G19" s="26" t="n">
        <v>-6.08115549888821</v>
      </c>
      <c r="H19" s="26" t="n">
        <v>-2.95513666822654</v>
      </c>
      <c r="I19" s="26" t="n">
        <v>-3.02515664916509</v>
      </c>
      <c r="J19" s="26" t="n">
        <v>99</v>
      </c>
      <c r="K19" s="27" t="n">
        <f aca="false">MIN(F19,G19)</f>
        <v>-6.08115549888821</v>
      </c>
      <c r="L19" s="27" t="n">
        <f aca="false">AVERAGE(F19,G19)</f>
        <v>-6.04614550841893</v>
      </c>
      <c r="M19" s="27" t="n">
        <f aca="false">MAX(0,NG-L19)</f>
        <v>5.34614550841893</v>
      </c>
      <c r="N19" s="27" t="n">
        <f aca="false">MAX(0,GWL-K19)</f>
        <v>4.58115549888821</v>
      </c>
      <c r="O19" s="27" t="n">
        <f aca="false">MAX(0,NG-MAX(K19,GWL))</f>
        <v>0.8</v>
      </c>
      <c r="P19" s="27" t="n">
        <f aca="false">E19/2+WS+SLOPE_A*O19+SLOPE_B*N19</f>
        <v>12.640310422638</v>
      </c>
      <c r="Q19" s="28" t="str">
        <f aca="false">IF(AND(P19&lt;J19,N19&lt;=MAXOC),"Open cut","Shoring")</f>
        <v>Shoring</v>
      </c>
      <c r="R19" s="27" t="n">
        <f aca="false">IF(Q19="Shoring",D19,0)</f>
        <v>9.99999999993301</v>
      </c>
      <c r="S19" s="27" t="n">
        <f aca="false">MAX(0,GWL-L19)</f>
        <v>4.54614550841893</v>
      </c>
      <c r="T19" s="27" t="n">
        <f aca="false">MAX(0,NG-MAX(L19,GWL))</f>
        <v>0.8</v>
      </c>
      <c r="U19" s="27" t="n">
        <f aca="false">E19+2*WS</f>
        <v>4.55599884972312</v>
      </c>
      <c r="V19" s="27" t="n">
        <f aca="false">IF(Q19="Shoring",D19*M19*U19,0)</f>
        <v>243.570327866459</v>
      </c>
      <c r="W19" s="27" t="n">
        <f aca="false">IF(Q19="Open cut",D19*(U19*M19+SLOPE_B*S19^2+2*SLOPE_B*S19*T19+SLOPE_A*T19^2),0)</f>
        <v>0</v>
      </c>
      <c r="X19" s="27" t="n">
        <f aca="false">IF(M19&gt;0,D19*(E19+2*SLABOVH)*SLAB,0)</f>
        <v>17.7799942484965</v>
      </c>
      <c r="Y19" s="27" t="n">
        <f aca="false">IF(M19&gt;0,D19*PI()*E19^2/4,0)</f>
        <v>51.3110839728202</v>
      </c>
      <c r="Z19" s="27" t="n">
        <f aca="false">IF(H19-E19&gt;=GWL,99,E19*(MAX(0,GWL-H19)*(GAM_S-GAM_W)+MAX(0,NG-MAX(H19,GWL))*GAM_D)/(GAM_W*PI()*E19^2/4))</f>
        <v>1.33636850751945</v>
      </c>
      <c r="AA19" s="27" t="n">
        <f aca="false">IF(I19-E19&gt;=GWL,99,E19*(MAX(0,GWL-I19)*(GAM_S-GAM_W)+MAX(0,NG-MAX(I19,GWL))*GAM_D)/(GAM_W*PI()*E19^2/4))</f>
        <v>1.36548817069159</v>
      </c>
      <c r="AB19" s="27" t="n">
        <f aca="false">IF(H19-E19&gt;=GWL,99,E19*(MAX(0,GWL-H19)*(GAM_S-GAM_W)+MAX(0,FL-MAX(H19,GWL))*GAM_D)/(GAM_W*PI()*E19^2/4))</f>
        <v>2.89019271689446</v>
      </c>
      <c r="AC19" s="27" t="n">
        <f aca="false">IF(I19-E19&gt;=GWL,99,E19*(MAX(0,GWL-I19)*(GAM_S-GAM_W)+MAX(0,FL-MAX(I19,GWL))*GAM_D)/(GAM_W*PI()*E19^2/4))</f>
        <v>2.9193123800666</v>
      </c>
    </row>
    <row r="20" customFormat="false" ht="15" hidden="false" customHeight="false" outlineLevel="0" collapsed="false">
      <c r="A20" s="25" t="s">
        <v>441</v>
      </c>
      <c r="B20" s="25" t="s">
        <v>447</v>
      </c>
      <c r="C20" s="25" t="s">
        <v>458</v>
      </c>
      <c r="D20" s="26" t="n">
        <v>9.99999999969806</v>
      </c>
      <c r="E20" s="26" t="n">
        <v>2.55599884972312</v>
      </c>
      <c r="F20" s="26" t="n">
        <v>-6.08115549888821</v>
      </c>
      <c r="G20" s="26" t="n">
        <v>-6.15117547982675</v>
      </c>
      <c r="H20" s="26" t="n">
        <v>-3.02515664916509</v>
      </c>
      <c r="I20" s="26" t="n">
        <v>-3.09517663010363</v>
      </c>
      <c r="J20" s="26" t="n">
        <v>99</v>
      </c>
      <c r="K20" s="27" t="n">
        <f aca="false">MIN(F20,G20)</f>
        <v>-6.15117547982675</v>
      </c>
      <c r="L20" s="27" t="n">
        <f aca="false">AVERAGE(F20,G20)</f>
        <v>-6.11616548935748</v>
      </c>
      <c r="M20" s="27" t="n">
        <f aca="false">MAX(0,NG-L20)</f>
        <v>5.41616548935748</v>
      </c>
      <c r="N20" s="27" t="n">
        <f aca="false">MAX(0,GWL-K20)</f>
        <v>4.65117547982675</v>
      </c>
      <c r="O20" s="27" t="n">
        <f aca="false">MAX(0,NG-MAX(K20,GWL))</f>
        <v>0.8</v>
      </c>
      <c r="P20" s="27" t="n">
        <f aca="false">E20/2+WS+SLOPE_A*O20+SLOPE_B*N20</f>
        <v>12.7803503845151</v>
      </c>
      <c r="Q20" s="28" t="str">
        <f aca="false">IF(AND(P20&lt;J20,N20&lt;=MAXOC),"Open cut","Shoring")</f>
        <v>Shoring</v>
      </c>
      <c r="R20" s="27" t="n">
        <f aca="false">IF(Q20="Shoring",D20,0)</f>
        <v>9.99999999969806</v>
      </c>
      <c r="S20" s="27" t="n">
        <f aca="false">MAX(0,GWL-L20)</f>
        <v>4.61616548935748</v>
      </c>
      <c r="T20" s="27" t="n">
        <f aca="false">MAX(0,NG-MAX(L20,GWL))</f>
        <v>0.8</v>
      </c>
      <c r="U20" s="27" t="n">
        <f aca="false">E20+2*WS</f>
        <v>4.55599884972312</v>
      </c>
      <c r="V20" s="27" t="n">
        <f aca="false">IF(Q20="Shoring",D20*M20*U20,0)</f>
        <v>246.760437386776</v>
      </c>
      <c r="W20" s="27" t="n">
        <f aca="false">IF(Q20="Open cut",D20*(U20*M20+SLOPE_B*S20^2+2*SLOPE_B*S20*T20+SLOPE_A*T20^2),0)</f>
        <v>0</v>
      </c>
      <c r="X20" s="27" t="n">
        <f aca="false">IF(M20&gt;0,D20*(E20+2*SLABOVH)*SLAB,0)</f>
        <v>17.7799942480787</v>
      </c>
      <c r="Y20" s="27" t="n">
        <f aca="false">IF(M20&gt;0,D20*PI()*E20^2/4,0)</f>
        <v>51.3110839716147</v>
      </c>
      <c r="Z20" s="27" t="n">
        <f aca="false">IF(H20-E20&gt;=GWL,99,E20*(MAX(0,GWL-H20)*(GAM_S-GAM_W)+MAX(0,NG-MAX(H20,GWL))*GAM_D)/(GAM_W*PI()*E20^2/4))</f>
        <v>1.36548817069159</v>
      </c>
      <c r="AA20" s="27" t="n">
        <f aca="false">IF(I20-E20&gt;=GWL,99,E20*(MAX(0,GWL-I20)*(GAM_S-GAM_W)+MAX(0,NG-MAX(I20,GWL))*GAM_D)/(GAM_W*PI()*E20^2/4))</f>
        <v>1.39460783386373</v>
      </c>
      <c r="AB20" s="27" t="n">
        <f aca="false">IF(H20-E20&gt;=GWL,99,E20*(MAX(0,GWL-H20)*(GAM_S-GAM_W)+MAX(0,FL-MAX(H20,GWL))*GAM_D)/(GAM_W*PI()*E20^2/4))</f>
        <v>2.9193123800666</v>
      </c>
      <c r="AC20" s="27" t="n">
        <f aca="false">IF(I20-E20&gt;=GWL,99,E20*(MAX(0,GWL-I20)*(GAM_S-GAM_W)+MAX(0,FL-MAX(I20,GWL))*GAM_D)/(GAM_W*PI()*E20^2/4))</f>
        <v>2.94843204323874</v>
      </c>
    </row>
    <row r="21" customFormat="false" ht="15" hidden="false" customHeight="false" outlineLevel="0" collapsed="false">
      <c r="A21" s="25" t="s">
        <v>441</v>
      </c>
      <c r="B21" s="25" t="s">
        <v>447</v>
      </c>
      <c r="C21" s="25" t="s">
        <v>459</v>
      </c>
      <c r="D21" s="26" t="n">
        <v>1.46300311692392</v>
      </c>
      <c r="E21" s="26" t="n">
        <v>2.55599884972312</v>
      </c>
      <c r="F21" s="26" t="n">
        <v>-6.15117547982675</v>
      </c>
      <c r="G21" s="26" t="n">
        <v>-6.16141942486156</v>
      </c>
      <c r="H21" s="26" t="n">
        <v>-3.09517663010363</v>
      </c>
      <c r="I21" s="26" t="n">
        <v>-3.10542057513844</v>
      </c>
      <c r="J21" s="26" t="n">
        <v>99</v>
      </c>
      <c r="K21" s="27" t="n">
        <f aca="false">MIN(F21,G21)</f>
        <v>-6.16141942486156</v>
      </c>
      <c r="L21" s="27" t="n">
        <f aca="false">AVERAGE(F21,G21)</f>
        <v>-6.15629745234415</v>
      </c>
      <c r="M21" s="27" t="n">
        <f aca="false">MAX(0,NG-L21)</f>
        <v>5.45629745234415</v>
      </c>
      <c r="N21" s="27" t="n">
        <f aca="false">MAX(0,GWL-K21)</f>
        <v>4.66141942486156</v>
      </c>
      <c r="O21" s="27" t="n">
        <f aca="false">MAX(0,NG-MAX(K21,GWL))</f>
        <v>0.8</v>
      </c>
      <c r="P21" s="27" t="n">
        <f aca="false">E21/2+WS+SLOPE_A*O21+SLOPE_B*N21</f>
        <v>12.8008382745847</v>
      </c>
      <c r="Q21" s="28" t="str">
        <f aca="false">IF(AND(P21&lt;J21,N21&lt;=MAXOC),"Open cut","Shoring")</f>
        <v>Shoring</v>
      </c>
      <c r="R21" s="27" t="n">
        <f aca="false">IF(Q21="Shoring",D21,0)</f>
        <v>1.46300311692392</v>
      </c>
      <c r="S21" s="27" t="n">
        <f aca="false">MAX(0,GWL-L21)</f>
        <v>4.65629745234415</v>
      </c>
      <c r="T21" s="27" t="n">
        <f aca="false">MAX(0,NG-MAX(L21,GWL))</f>
        <v>0.8</v>
      </c>
      <c r="U21" s="27" t="n">
        <f aca="false">E21+2*WS</f>
        <v>4.55599884972312</v>
      </c>
      <c r="V21" s="27" t="n">
        <f aca="false">IF(Q21="Shoring",D21*M21*U21,0)</f>
        <v>36.3686261162786</v>
      </c>
      <c r="W21" s="27" t="n">
        <f aca="false">IF(Q21="Open cut",D21*(U21*M21+SLOPE_B*S21^2+2*SLOPE_B*S21*T21+SLOPE_A*T21^2),0)</f>
        <v>0</v>
      </c>
      <c r="X21" s="27" t="n">
        <f aca="false">IF(M21&gt;0,D21*(E21+2*SLABOVH)*SLAB,0)</f>
        <v>2.6012187004614</v>
      </c>
      <c r="Y21" s="27" t="n">
        <f aca="false">IF(M21&gt;0,D21*PI()*E21^2/4,0)</f>
        <v>7.5068275785484</v>
      </c>
      <c r="Z21" s="27" t="n">
        <f aca="false">IF(H21-E21&gt;=GWL,99,E21*(MAX(0,GWL-H21)*(GAM_S-GAM_W)+MAX(0,NG-MAX(H21,GWL))*GAM_D)/(GAM_W*PI()*E21^2/4))</f>
        <v>1.39460783386373</v>
      </c>
      <c r="AA21" s="27" t="n">
        <f aca="false">IF(I21-E21&gt;=GWL,99,E21*(MAX(0,GWL-I21)*(GAM_S-GAM_W)+MAX(0,NG-MAX(I21,GWL))*GAM_D)/(GAM_W*PI()*E21^2/4))</f>
        <v>1.3988680496617</v>
      </c>
      <c r="AB21" s="27" t="n">
        <f aca="false">IF(H21-E21&gt;=GWL,99,E21*(MAX(0,GWL-H21)*(GAM_S-GAM_W)+MAX(0,FL-MAX(H21,GWL))*GAM_D)/(GAM_W*PI()*E21^2/4))</f>
        <v>2.94843204323874</v>
      </c>
      <c r="AC21" s="27" t="n">
        <f aca="false">IF(I21-E21&gt;=GWL,99,E21*(MAX(0,GWL-I21)*(GAM_S-GAM_W)+MAX(0,FL-MAX(I21,GWL))*GAM_D)/(GAM_W*PI()*E21^2/4))</f>
        <v>2.95269225903671</v>
      </c>
    </row>
    <row r="22" customFormat="false" ht="15" hidden="false" customHeight="false" outlineLevel="0" collapsed="false">
      <c r="A22" s="25" t="s">
        <v>441</v>
      </c>
      <c r="B22" s="25" t="s">
        <v>447</v>
      </c>
      <c r="C22" s="25" t="s">
        <v>460</v>
      </c>
      <c r="D22" s="26" t="n">
        <v>3.74960365739903</v>
      </c>
      <c r="E22" s="26" t="n">
        <v>2.55599884972312</v>
      </c>
      <c r="F22" s="26" t="n">
        <v>-6.16141942486156</v>
      </c>
      <c r="G22" s="26" t="n">
        <v>-6.18766942486156</v>
      </c>
      <c r="H22" s="26" t="n">
        <v>-3.10542057513844</v>
      </c>
      <c r="I22" s="26" t="n">
        <v>-3.13167057513844</v>
      </c>
      <c r="J22" s="26" t="n">
        <v>99</v>
      </c>
      <c r="K22" s="27" t="n">
        <f aca="false">MIN(F22,G22)</f>
        <v>-6.18766942486156</v>
      </c>
      <c r="L22" s="27" t="n">
        <f aca="false">AVERAGE(F22,G22)</f>
        <v>-6.17454442486156</v>
      </c>
      <c r="M22" s="27" t="n">
        <f aca="false">MAX(0,NG-L22)</f>
        <v>5.47454442486156</v>
      </c>
      <c r="N22" s="27" t="n">
        <f aca="false">MAX(0,GWL-K22)</f>
        <v>4.68766942486156</v>
      </c>
      <c r="O22" s="27" t="n">
        <f aca="false">MAX(0,NG-MAX(K22,GWL))</f>
        <v>0.8</v>
      </c>
      <c r="P22" s="27" t="n">
        <f aca="false">E22/2+WS+SLOPE_A*O22+SLOPE_B*N22</f>
        <v>12.8533382745847</v>
      </c>
      <c r="Q22" s="28" t="str">
        <f aca="false">IF(AND(P22&lt;J22,N22&lt;=MAXOC),"Open cut","Shoring")</f>
        <v>Shoring</v>
      </c>
      <c r="R22" s="27" t="n">
        <f aca="false">IF(Q22="Shoring",D22,0)</f>
        <v>3.74960365739903</v>
      </c>
      <c r="S22" s="27" t="n">
        <f aca="false">MAX(0,GWL-L22)</f>
        <v>4.67454442486156</v>
      </c>
      <c r="T22" s="27" t="n">
        <f aca="false">MAX(0,NG-MAX(L22,GWL))</f>
        <v>0.8</v>
      </c>
      <c r="U22" s="27" t="n">
        <f aca="false">E22+2*WS</f>
        <v>4.55599884972312</v>
      </c>
      <c r="V22" s="27" t="n">
        <f aca="false">IF(Q22="Shoring",D22*M22*U22,0)</f>
        <v>93.5226822997745</v>
      </c>
      <c r="W22" s="27" t="n">
        <f aca="false">IF(Q22="Open cut",D22*(U22*M22+SLOPE_B*S22^2+2*SLOPE_B*S22*T22+SLOPE_A*T22^2),0)</f>
        <v>0</v>
      </c>
      <c r="X22" s="27" t="n">
        <f aca="false">IF(M22&gt;0,D22*(E22+2*SLABOVH)*SLAB,0)</f>
        <v>6.66679314631428</v>
      </c>
      <c r="Y22" s="27" t="n">
        <f aca="false">IF(M22&gt;0,D22*PI()*E22^2/4,0)</f>
        <v>19.2396228130885</v>
      </c>
      <c r="Z22" s="27" t="n">
        <f aca="false">IF(H22-E22&gt;=GWL,99,E22*(MAX(0,GWL-H22)*(GAM_S-GAM_W)+MAX(0,NG-MAX(H22,GWL))*GAM_D)/(GAM_W*PI()*E22^2/4))</f>
        <v>1.3988680496617</v>
      </c>
      <c r="AA22" s="27" t="n">
        <f aca="false">IF(I22-E22&gt;=GWL,99,E22*(MAX(0,GWL-I22)*(GAM_S-GAM_W)+MAX(0,NG-MAX(I22,GWL))*GAM_D)/(GAM_W*PI()*E22^2/4))</f>
        <v>1.40978480725036</v>
      </c>
      <c r="AB22" s="27" t="n">
        <f aca="false">IF(H22-E22&gt;=GWL,99,E22*(MAX(0,GWL-H22)*(GAM_S-GAM_W)+MAX(0,FL-MAX(H22,GWL))*GAM_D)/(GAM_W*PI()*E22^2/4))</f>
        <v>2.95269225903671</v>
      </c>
      <c r="AC22" s="27" t="n">
        <f aca="false">IF(I22-E22&gt;=GWL,99,E22*(MAX(0,GWL-I22)*(GAM_S-GAM_W)+MAX(0,FL-MAX(I22,GWL))*GAM_D)/(GAM_W*PI()*E22^2/4))</f>
        <v>2.96360901662537</v>
      </c>
    </row>
    <row r="23" customFormat="false" ht="15" hidden="false" customHeight="false" outlineLevel="0" collapsed="false">
      <c r="A23" s="25" t="s">
        <v>441</v>
      </c>
      <c r="B23" s="25" t="s">
        <v>447</v>
      </c>
      <c r="C23" s="25" t="s">
        <v>461</v>
      </c>
      <c r="D23" s="26" t="n">
        <v>3.75030000064199</v>
      </c>
      <c r="E23" s="26" t="n">
        <v>2.58639765282914</v>
      </c>
      <c r="F23" s="26" t="n">
        <v>-6.20286882641457</v>
      </c>
      <c r="G23" s="26" t="n">
        <v>-6.22912882641457</v>
      </c>
      <c r="H23" s="26" t="n">
        <v>-3.11647117358543</v>
      </c>
      <c r="I23" s="26" t="n">
        <v>-3.14273117358543</v>
      </c>
      <c r="J23" s="26" t="n">
        <v>99</v>
      </c>
      <c r="K23" s="27" t="n">
        <f aca="false">MIN(F23,G23)</f>
        <v>-6.22912882641457</v>
      </c>
      <c r="L23" s="27" t="n">
        <f aca="false">AVERAGE(F23,G23)</f>
        <v>-6.21599882641457</v>
      </c>
      <c r="M23" s="27" t="n">
        <f aca="false">MAX(0,NG-L23)</f>
        <v>5.51599882641457</v>
      </c>
      <c r="N23" s="27" t="n">
        <f aca="false">MAX(0,GWL-K23)</f>
        <v>4.72912882641457</v>
      </c>
      <c r="O23" s="27" t="n">
        <f aca="false">MAX(0,NG-MAX(K23,GWL))</f>
        <v>0.8</v>
      </c>
      <c r="P23" s="27" t="n">
        <f aca="false">E23/2+WS+SLOPE_A*O23+SLOPE_B*N23</f>
        <v>12.9514564792437</v>
      </c>
      <c r="Q23" s="28" t="str">
        <f aca="false">IF(AND(P23&lt;J23,N23&lt;=MAXOC),"Open cut","Shoring")</f>
        <v>Shoring</v>
      </c>
      <c r="R23" s="27" t="n">
        <f aca="false">IF(Q23="Shoring",D23,0)</f>
        <v>3.75030000064199</v>
      </c>
      <c r="S23" s="27" t="n">
        <f aca="false">MAX(0,GWL-L23)</f>
        <v>4.71599882641457</v>
      </c>
      <c r="T23" s="27" t="n">
        <f aca="false">MAX(0,NG-MAX(L23,GWL))</f>
        <v>0.8</v>
      </c>
      <c r="U23" s="27" t="n">
        <f aca="false">E23+2*WS</f>
        <v>4.58639765282914</v>
      </c>
      <c r="V23" s="27" t="n">
        <f aca="false">IF(Q23="Shoring",D23*M23*U23,0)</f>
        <v>94.8772048497479</v>
      </c>
      <c r="W23" s="27" t="n">
        <f aca="false">IF(Q23="Open cut",D23*(U23*M23+SLOPE_B*S23^2+2*SLOPE_B*S23*T23+SLOPE_A*T23^2),0)</f>
        <v>0</v>
      </c>
      <c r="X23" s="27" t="n">
        <f aca="false">IF(M23&gt;0,D23*(E23+2*SLABOVH)*SLAB,0)</f>
        <v>6.72503355985378</v>
      </c>
      <c r="Y23" s="27" t="n">
        <f aca="false">IF(M23&gt;0,D23*PI()*E23^2/4,0)</f>
        <v>19.7036410104265</v>
      </c>
      <c r="Z23" s="27" t="n">
        <f aca="false">IF(H23-E23&gt;=GWL,99,E23*(MAX(0,GWL-H23)*(GAM_S-GAM_W)+MAX(0,NG-MAX(H23,GWL))*GAM_D)/(GAM_W*PI()*E23^2/4))</f>
        <v>1.38696835147931</v>
      </c>
      <c r="AA23" s="27" t="n">
        <f aca="false">IF(I23-E23&gt;=GWL,99,E23*(MAX(0,GWL-I23)*(GAM_S-GAM_W)+MAX(0,NG-MAX(I23,GWL))*GAM_D)/(GAM_W*PI()*E23^2/4))</f>
        <v>1.39776091062304</v>
      </c>
      <c r="AB23" s="27" t="n">
        <f aca="false">IF(H23-E23&gt;=GWL,99,E23*(MAX(0,GWL-H23)*(GAM_S-GAM_W)+MAX(0,FL-MAX(H23,GWL))*GAM_D)/(GAM_W*PI()*E23^2/4))</f>
        <v>2.92252994135708</v>
      </c>
      <c r="AC23" s="27" t="n">
        <f aca="false">IF(I23-E23&gt;=GWL,99,E23*(MAX(0,GWL-I23)*(GAM_S-GAM_W)+MAX(0,FL-MAX(I23,GWL))*GAM_D)/(GAM_W*PI()*E23^2/4))</f>
        <v>2.93332250050081</v>
      </c>
    </row>
    <row r="24" customFormat="false" ht="15" hidden="false" customHeight="false" outlineLevel="0" collapsed="false">
      <c r="A24" s="25" t="s">
        <v>441</v>
      </c>
      <c r="B24" s="25" t="s">
        <v>447</v>
      </c>
      <c r="C24" s="25" t="s">
        <v>462</v>
      </c>
      <c r="D24" s="26" t="n">
        <v>1.03709322481675</v>
      </c>
      <c r="E24" s="26" t="n">
        <v>2.58639765282914</v>
      </c>
      <c r="F24" s="26" t="n">
        <v>-6.22912882641457</v>
      </c>
      <c r="G24" s="26" t="n">
        <v>-6.23639493853922</v>
      </c>
      <c r="H24" s="26" t="n">
        <v>-3.14273117358543</v>
      </c>
      <c r="I24" s="26" t="n">
        <v>-3.14999728571008</v>
      </c>
      <c r="J24" s="26" t="n">
        <v>99</v>
      </c>
      <c r="K24" s="27" t="n">
        <f aca="false">MIN(F24,G24)</f>
        <v>-6.23639493853922</v>
      </c>
      <c r="L24" s="27" t="n">
        <f aca="false">AVERAGE(F24,G24)</f>
        <v>-6.2327618824769</v>
      </c>
      <c r="M24" s="27" t="n">
        <f aca="false">MAX(0,NG-L24)</f>
        <v>5.5327618824769</v>
      </c>
      <c r="N24" s="27" t="n">
        <f aca="false">MAX(0,GWL-K24)</f>
        <v>4.73639493853922</v>
      </c>
      <c r="O24" s="27" t="n">
        <f aca="false">MAX(0,NG-MAX(K24,GWL))</f>
        <v>0.8</v>
      </c>
      <c r="P24" s="27" t="n">
        <f aca="false">E24/2+WS+SLOPE_A*O24+SLOPE_B*N24</f>
        <v>12.965988703493</v>
      </c>
      <c r="Q24" s="28" t="str">
        <f aca="false">IF(AND(P24&lt;J24,N24&lt;=MAXOC),"Open cut","Shoring")</f>
        <v>Shoring</v>
      </c>
      <c r="R24" s="27" t="n">
        <f aca="false">IF(Q24="Shoring",D24,0)</f>
        <v>1.03709322481675</v>
      </c>
      <c r="S24" s="27" t="n">
        <f aca="false">MAX(0,GWL-L24)</f>
        <v>4.7327618824769</v>
      </c>
      <c r="T24" s="27" t="n">
        <f aca="false">MAX(0,NG-MAX(L24,GWL))</f>
        <v>0.8</v>
      </c>
      <c r="U24" s="27" t="n">
        <f aca="false">E24+2*WS</f>
        <v>4.58639765282914</v>
      </c>
      <c r="V24" s="27" t="n">
        <f aca="false">IF(Q24="Shoring",D24*M24*U24,0)</f>
        <v>26.3167032388919</v>
      </c>
      <c r="W24" s="27" t="n">
        <f aca="false">IF(Q24="Open cut",D24*(U24*M24+SLOPE_B*S24^2+2*SLOPE_B*S24*T24+SLOPE_A*T24^2),0)</f>
        <v>0</v>
      </c>
      <c r="X24" s="27" t="n">
        <f aca="false">IF(M24&gt;0,D24*(E24+2*SLABOVH)*SLAB,0)</f>
        <v>1.85971435362389</v>
      </c>
      <c r="Y24" s="27" t="n">
        <f aca="false">IF(M24&gt;0,D24*PI()*E24^2/4,0)</f>
        <v>5.44876745663988</v>
      </c>
      <c r="Z24" s="27" t="n">
        <f aca="false">IF(H24-E24&gt;=GWL,99,E24*(MAX(0,GWL-H24)*(GAM_S-GAM_W)+MAX(0,NG-MAX(H24,GWL))*GAM_D)/(GAM_W*PI()*E24^2/4))</f>
        <v>1.39776091062304</v>
      </c>
      <c r="AA24" s="27" t="n">
        <f aca="false">IF(I24-E24&gt;=GWL,99,E24*(MAX(0,GWL-I24)*(GAM_S-GAM_W)+MAX(0,NG-MAX(I24,GWL))*GAM_D)/(GAM_W*PI()*E24^2/4))</f>
        <v>1.40074719945968</v>
      </c>
      <c r="AB24" s="27" t="n">
        <f aca="false">IF(H24-E24&gt;=GWL,99,E24*(MAX(0,GWL-H24)*(GAM_S-GAM_W)+MAX(0,FL-MAX(H24,GWL))*GAM_D)/(GAM_W*PI()*E24^2/4))</f>
        <v>2.93332250050081</v>
      </c>
      <c r="AC24" s="27" t="n">
        <f aca="false">IF(I24-E24&gt;=GWL,99,E24*(MAX(0,GWL-I24)*(GAM_S-GAM_W)+MAX(0,FL-MAX(I24,GWL))*GAM_D)/(GAM_W*PI()*E24^2/4))</f>
        <v>2.93630878933745</v>
      </c>
    </row>
    <row r="25" customFormat="false" ht="15" hidden="false" customHeight="false" outlineLevel="0" collapsed="false">
      <c r="A25" s="25" t="s">
        <v>441</v>
      </c>
      <c r="B25" s="25" t="s">
        <v>447</v>
      </c>
      <c r="C25" s="25" t="s">
        <v>463</v>
      </c>
      <c r="D25" s="26" t="n">
        <v>0.517238037110472</v>
      </c>
      <c r="E25" s="26" t="n">
        <v>2.58639765282914</v>
      </c>
      <c r="F25" s="26" t="n">
        <v>-6.23639493853922</v>
      </c>
      <c r="G25" s="26" t="n">
        <v>-6.24001882641457</v>
      </c>
      <c r="H25" s="26" t="n">
        <v>-3.14999728571008</v>
      </c>
      <c r="I25" s="26" t="n">
        <v>-3.15362117358543</v>
      </c>
      <c r="J25" s="26" t="n">
        <v>99</v>
      </c>
      <c r="K25" s="27" t="n">
        <f aca="false">MIN(F25,G25)</f>
        <v>-6.24001882641457</v>
      </c>
      <c r="L25" s="27" t="n">
        <f aca="false">AVERAGE(F25,G25)</f>
        <v>-6.2382068824769</v>
      </c>
      <c r="M25" s="27" t="n">
        <f aca="false">MAX(0,NG-L25)</f>
        <v>5.5382068824769</v>
      </c>
      <c r="N25" s="27" t="n">
        <f aca="false">MAX(0,GWL-K25)</f>
        <v>4.74001882641457</v>
      </c>
      <c r="O25" s="27" t="n">
        <f aca="false">MAX(0,NG-MAX(K25,GWL))</f>
        <v>0.8</v>
      </c>
      <c r="P25" s="27" t="n">
        <f aca="false">E25/2+WS+SLOPE_A*O25+SLOPE_B*N25</f>
        <v>12.9732364792437</v>
      </c>
      <c r="Q25" s="28" t="str">
        <f aca="false">IF(AND(P25&lt;J25,N25&lt;=MAXOC),"Open cut","Shoring")</f>
        <v>Shoring</v>
      </c>
      <c r="R25" s="27" t="n">
        <f aca="false">IF(Q25="Shoring",D25,0)</f>
        <v>0.517238037110472</v>
      </c>
      <c r="S25" s="27" t="n">
        <f aca="false">MAX(0,GWL-L25)</f>
        <v>4.7382068824769</v>
      </c>
      <c r="T25" s="27" t="n">
        <f aca="false">MAX(0,NG-MAX(L25,GWL))</f>
        <v>0.8</v>
      </c>
      <c r="U25" s="27" t="n">
        <f aca="false">E25+2*WS</f>
        <v>4.58639765282914</v>
      </c>
      <c r="V25" s="27" t="n">
        <f aca="false">IF(Q25="Shoring",D25*M25*U25,0)</f>
        <v>13.1380628894852</v>
      </c>
      <c r="W25" s="27" t="n">
        <f aca="false">IF(Q25="Open cut",D25*(U25*M25+SLOPE_B*S25^2+2*SLOPE_B*S25*T25+SLOPE_A*T25^2),0)</f>
        <v>0</v>
      </c>
      <c r="X25" s="27" t="n">
        <f aca="false">IF(M25&gt;0,D25*(E25+2*SLABOVH)*SLAB,0)</f>
        <v>0.927510641123474</v>
      </c>
      <c r="Y25" s="27" t="n">
        <f aca="false">IF(M25&gt;0,D25*PI()*E25^2/4,0)</f>
        <v>2.71750862555469</v>
      </c>
      <c r="Z25" s="27" t="n">
        <f aca="false">IF(H25-E25&gt;=GWL,99,E25*(MAX(0,GWL-H25)*(GAM_S-GAM_W)+MAX(0,NG-MAX(H25,GWL))*GAM_D)/(GAM_W*PI()*E25^2/4))</f>
        <v>1.40074719945968</v>
      </c>
      <c r="AA25" s="27" t="n">
        <f aca="false">IF(I25-E25&gt;=GWL,99,E25*(MAX(0,GWL-I25)*(GAM_S-GAM_W)+MAX(0,NG-MAX(I25,GWL))*GAM_D)/(GAM_W*PI()*E25^2/4))</f>
        <v>1.40223657585819</v>
      </c>
      <c r="AB25" s="27" t="n">
        <f aca="false">IF(H25-E25&gt;=GWL,99,E25*(MAX(0,GWL-H25)*(GAM_S-GAM_W)+MAX(0,FL-MAX(H25,GWL))*GAM_D)/(GAM_W*PI()*E25^2/4))</f>
        <v>2.93630878933745</v>
      </c>
      <c r="AC25" s="27" t="n">
        <f aca="false">IF(I25-E25&gt;=GWL,99,E25*(MAX(0,GWL-I25)*(GAM_S-GAM_W)+MAX(0,FL-MAX(I25,GWL))*GAM_D)/(GAM_W*PI()*E25^2/4))</f>
        <v>2.93779816573596</v>
      </c>
    </row>
    <row r="26" customFormat="false" ht="15" hidden="false" customHeight="false" outlineLevel="0" collapsed="false">
      <c r="A26" s="25" t="s">
        <v>441</v>
      </c>
      <c r="B26" s="25" t="s">
        <v>447</v>
      </c>
      <c r="C26" s="25" t="s">
        <v>464</v>
      </c>
      <c r="D26" s="26" t="n">
        <v>3.74999999950322</v>
      </c>
      <c r="E26" s="26" t="n">
        <v>2.55499072588154</v>
      </c>
      <c r="F26" s="26" t="n">
        <v>-6.22431536294077</v>
      </c>
      <c r="G26" s="26" t="n">
        <v>-6.25056536294077</v>
      </c>
      <c r="H26" s="26" t="n">
        <v>-3.16932463705923</v>
      </c>
      <c r="I26" s="26" t="n">
        <v>-3.19557463705923</v>
      </c>
      <c r="J26" s="26" t="n">
        <v>99</v>
      </c>
      <c r="K26" s="27" t="n">
        <f aca="false">MIN(F26,G26)</f>
        <v>-6.25056536294077</v>
      </c>
      <c r="L26" s="27" t="n">
        <f aca="false">AVERAGE(F26,G26)</f>
        <v>-6.23744036294077</v>
      </c>
      <c r="M26" s="27" t="n">
        <f aca="false">MAX(0,NG-L26)</f>
        <v>5.53744036294077</v>
      </c>
      <c r="N26" s="27" t="n">
        <f aca="false">MAX(0,GWL-K26)</f>
        <v>4.75056536294077</v>
      </c>
      <c r="O26" s="27" t="n">
        <f aca="false">MAX(0,NG-MAX(K26,GWL))</f>
        <v>0.8</v>
      </c>
      <c r="P26" s="27" t="n">
        <f aca="false">E26/2+WS+SLOPE_A*O26+SLOPE_B*N26</f>
        <v>12.9786260888223</v>
      </c>
      <c r="Q26" s="28" t="str">
        <f aca="false">IF(AND(P26&lt;J26,N26&lt;=MAXOC),"Open cut","Shoring")</f>
        <v>Shoring</v>
      </c>
      <c r="R26" s="27" t="n">
        <f aca="false">IF(Q26="Shoring",D26,0)</f>
        <v>3.74999999950322</v>
      </c>
      <c r="S26" s="27" t="n">
        <f aca="false">MAX(0,GWL-L26)</f>
        <v>4.73744036294077</v>
      </c>
      <c r="T26" s="27" t="n">
        <f aca="false">MAX(0,NG-MAX(L26,GWL))</f>
        <v>0.8</v>
      </c>
      <c r="U26" s="27" t="n">
        <f aca="false">E26+2*WS</f>
        <v>4.55499072588153</v>
      </c>
      <c r="V26" s="27" t="n">
        <f aca="false">IF(Q26="Shoring",D26*M26*U26,0)</f>
        <v>94.5862106061595</v>
      </c>
      <c r="W26" s="27" t="n">
        <f aca="false">IF(Q26="Open cut",D26*(U26*M26+SLOPE_B*S26^2+2*SLOPE_B*S26*T26+SLOPE_A*T26^2),0)</f>
        <v>0</v>
      </c>
      <c r="X26" s="27" t="n">
        <f aca="false">IF(M26&gt;0,D26*(E26+2*SLABOVH)*SLAB,0)</f>
        <v>6.66560761014485</v>
      </c>
      <c r="Y26" s="27" t="n">
        <f aca="false">IF(M26&gt;0,D26*PI()*E26^2/4,0)</f>
        <v>19.2264810914873</v>
      </c>
      <c r="Z26" s="27" t="n">
        <f aca="false">IF(H26-E26&gt;=GWL,99,E26*(MAX(0,GWL-H26)*(GAM_S-GAM_W)+MAX(0,NG-MAX(H26,GWL))*GAM_D)/(GAM_W*PI()*E26^2/4))</f>
        <v>1.42600668414162</v>
      </c>
      <c r="AA26" s="27" t="n">
        <f aca="false">IF(I26-E26&gt;=GWL,99,E26*(MAX(0,GWL-I26)*(GAM_S-GAM_W)+MAX(0,NG-MAX(I26,GWL))*GAM_D)/(GAM_W*PI()*E26^2/4))</f>
        <v>1.43692774916024</v>
      </c>
      <c r="AB26" s="27" t="n">
        <f aca="false">IF(H26-E26&gt;=GWL,99,E26*(MAX(0,GWL-H26)*(GAM_S-GAM_W)+MAX(0,FL-MAX(H26,GWL))*GAM_D)/(GAM_W*PI()*E26^2/4))</f>
        <v>2.98044398663483</v>
      </c>
      <c r="AC26" s="27" t="n">
        <f aca="false">IF(I26-E26&gt;=GWL,99,E26*(MAX(0,GWL-I26)*(GAM_S-GAM_W)+MAX(0,FL-MAX(I26,GWL))*GAM_D)/(GAM_W*PI()*E26^2/4))</f>
        <v>2.99136505165345</v>
      </c>
    </row>
    <row r="27" customFormat="false" ht="15" hidden="false" customHeight="false" outlineLevel="0" collapsed="false">
      <c r="A27" s="25" t="s">
        <v>441</v>
      </c>
      <c r="B27" s="25" t="s">
        <v>447</v>
      </c>
      <c r="C27" s="25" t="s">
        <v>465</v>
      </c>
      <c r="D27" s="26" t="n">
        <v>3.75000261115798</v>
      </c>
      <c r="E27" s="26" t="n">
        <v>2.55499247196668</v>
      </c>
      <c r="F27" s="26" t="n">
        <v>-6.25056623598334</v>
      </c>
      <c r="G27" s="26" t="n">
        <v>-6.27682623598334</v>
      </c>
      <c r="H27" s="26" t="n">
        <v>-3.19557376401666</v>
      </c>
      <c r="I27" s="26" t="n">
        <v>-3.22183376401666</v>
      </c>
      <c r="J27" s="26" t="n">
        <v>99</v>
      </c>
      <c r="K27" s="27" t="n">
        <f aca="false">MIN(F27,G27)</f>
        <v>-6.27682623598334</v>
      </c>
      <c r="L27" s="27" t="n">
        <f aca="false">AVERAGE(F27,G27)</f>
        <v>-6.26369623598334</v>
      </c>
      <c r="M27" s="27" t="n">
        <f aca="false">MAX(0,NG-L27)</f>
        <v>5.56369623598334</v>
      </c>
      <c r="N27" s="27" t="n">
        <f aca="false">MAX(0,GWL-K27)</f>
        <v>4.77682623598334</v>
      </c>
      <c r="O27" s="27" t="n">
        <f aca="false">MAX(0,NG-MAX(K27,GWL))</f>
        <v>0.8</v>
      </c>
      <c r="P27" s="27" t="n">
        <f aca="false">E27/2+WS+SLOPE_A*O27+SLOPE_B*N27</f>
        <v>13.03114870795</v>
      </c>
      <c r="Q27" s="28" t="str">
        <f aca="false">IF(AND(P27&lt;J27,N27&lt;=MAXOC),"Open cut","Shoring")</f>
        <v>Shoring</v>
      </c>
      <c r="R27" s="27" t="n">
        <f aca="false">IF(Q27="Shoring",D27,0)</f>
        <v>3.75000261115798</v>
      </c>
      <c r="S27" s="27" t="n">
        <f aca="false">MAX(0,GWL-L27)</f>
        <v>4.76369623598334</v>
      </c>
      <c r="T27" s="27" t="n">
        <f aca="false">MAX(0,NG-MAX(L27,GWL))</f>
        <v>0.8</v>
      </c>
      <c r="U27" s="27" t="n">
        <f aca="false">E27+2*WS</f>
        <v>4.55499247196668</v>
      </c>
      <c r="V27" s="27" t="n">
        <f aca="false">IF(Q27="Shoring",D27*M27*U27,0)</f>
        <v>95.0347954405683</v>
      </c>
      <c r="W27" s="27" t="n">
        <f aca="false">IF(Q27="Open cut",D27*(U27*M27+SLOPE_B*S27^2+2*SLOPE_B*S27*T27+SLOPE_A*T27^2),0)</f>
        <v>0</v>
      </c>
      <c r="X27" s="27" t="n">
        <f aca="false">IF(M27&gt;0,D27*(E27+2*SLABOVH)*SLAB,0)</f>
        <v>6.665615526261</v>
      </c>
      <c r="Y27" s="27" t="n">
        <f aca="false">IF(M27&gt;0,D27*PI()*E27^2/4,0)</f>
        <v>19.2265207604512</v>
      </c>
      <c r="Z27" s="27" t="n">
        <f aca="false">IF(H27-E27&gt;=GWL,99,E27*(MAX(0,GWL-H27)*(GAM_S-GAM_W)+MAX(0,NG-MAX(H27,GWL))*GAM_D)/(GAM_W*PI()*E27^2/4))</f>
        <v>1.43692640394109</v>
      </c>
      <c r="AA27" s="27" t="n">
        <f aca="false">IF(I27-E27&gt;=GWL,99,E27*(MAX(0,GWL-I27)*(GAM_S-GAM_W)+MAX(0,NG-MAX(I27,GWL))*GAM_D)/(GAM_W*PI()*E27^2/4))</f>
        <v>1.44785162189911</v>
      </c>
      <c r="AB27" s="27" t="n">
        <f aca="false">IF(H27-E27&gt;=GWL,99,E27*(MAX(0,GWL-H27)*(GAM_S-GAM_W)+MAX(0,FL-MAX(H27,GWL))*GAM_D)/(GAM_W*PI()*E27^2/4))</f>
        <v>2.99136264412984</v>
      </c>
      <c r="AC27" s="27" t="n">
        <f aca="false">IF(I27-E27&gt;=GWL,99,E27*(MAX(0,GWL-I27)*(GAM_S-GAM_W)+MAX(0,FL-MAX(I27,GWL))*GAM_D)/(GAM_W*PI()*E27^2/4))</f>
        <v>3.00228786208787</v>
      </c>
    </row>
    <row r="28" customFormat="false" ht="15" hidden="false" customHeight="false" outlineLevel="0" collapsed="false">
      <c r="A28" s="25" t="s">
        <v>441</v>
      </c>
      <c r="B28" s="25" t="s">
        <v>447</v>
      </c>
      <c r="C28" s="25" t="s">
        <v>466</v>
      </c>
      <c r="D28" s="26" t="n">
        <v>1.98275935309698</v>
      </c>
      <c r="E28" s="26" t="n">
        <v>2.5863908822757</v>
      </c>
      <c r="F28" s="26" t="n">
        <v>-6.29252544113785</v>
      </c>
      <c r="G28" s="26" t="n">
        <v>-6.30640864736008</v>
      </c>
      <c r="H28" s="26" t="n">
        <v>-3.20613455886215</v>
      </c>
      <c r="I28" s="26" t="n">
        <v>-3.22001776508439</v>
      </c>
      <c r="J28" s="26" t="n">
        <v>99</v>
      </c>
      <c r="K28" s="27" t="n">
        <f aca="false">MIN(F28,G28)</f>
        <v>-6.30640864736008</v>
      </c>
      <c r="L28" s="27" t="n">
        <f aca="false">AVERAGE(F28,G28)</f>
        <v>-6.29946704424897</v>
      </c>
      <c r="M28" s="27" t="n">
        <f aca="false">MAX(0,NG-L28)</f>
        <v>5.59946704424897</v>
      </c>
      <c r="N28" s="27" t="n">
        <f aca="false">MAX(0,GWL-K28)</f>
        <v>4.80640864736008</v>
      </c>
      <c r="O28" s="27" t="n">
        <f aca="false">MAX(0,NG-MAX(K28,GWL))</f>
        <v>0.8</v>
      </c>
      <c r="P28" s="27" t="n">
        <f aca="false">E28/2+WS+SLOPE_A*O28+SLOPE_B*N28</f>
        <v>13.106012735858</v>
      </c>
      <c r="Q28" s="28" t="str">
        <f aca="false">IF(AND(P28&lt;J28,N28&lt;=MAXOC),"Open cut","Shoring")</f>
        <v>Shoring</v>
      </c>
      <c r="R28" s="27" t="n">
        <f aca="false">IF(Q28="Shoring",D28,0)</f>
        <v>1.98275935309698</v>
      </c>
      <c r="S28" s="27" t="n">
        <f aca="false">MAX(0,GWL-L28)</f>
        <v>4.79946704424897</v>
      </c>
      <c r="T28" s="27" t="n">
        <f aca="false">MAX(0,NG-MAX(L28,GWL))</f>
        <v>0.8</v>
      </c>
      <c r="U28" s="27" t="n">
        <f aca="false">E28+2*WS</f>
        <v>4.5863908822757</v>
      </c>
      <c r="V28" s="27" t="n">
        <f aca="false">IF(Q28="Shoring",D28*M28*U28,0)</f>
        <v>50.9199262004958</v>
      </c>
      <c r="W28" s="27" t="n">
        <f aca="false">IF(Q28="Open cut",D28*(U28*M28+SLOPE_B*S28^2+2*SLOPE_B*S28*T28+SLOPE_A*T28^2),0)</f>
        <v>0</v>
      </c>
      <c r="X28" s="27" t="n">
        <f aca="false">IF(M28&gt;0,D28*(E28+2*SLABOVH)*SLAB,0)</f>
        <v>3.55547503284694</v>
      </c>
      <c r="Y28" s="27" t="n">
        <f aca="false">IF(M28&gt;0,D28*PI()*E28^2/4,0)</f>
        <v>10.417133018273</v>
      </c>
      <c r="Z28" s="27" t="n">
        <f aca="false">IF(H28-E28&gt;=GWL,99,E28*(MAX(0,GWL-H28)*(GAM_S-GAM_W)+MAX(0,NG-MAX(H28,GWL))*GAM_D)/(GAM_W*PI()*E28^2/4))</f>
        <v>1.42382270278809</v>
      </c>
      <c r="AA28" s="27" t="n">
        <f aca="false">IF(I28-E28&gt;=GWL,99,E28*(MAX(0,GWL-I28)*(GAM_S-GAM_W)+MAX(0,NG-MAX(I28,GWL))*GAM_D)/(GAM_W*PI()*E28^2/4))</f>
        <v>1.42952855642446</v>
      </c>
      <c r="AB28" s="27" t="n">
        <f aca="false">IF(H28-E28&gt;=GWL,99,E28*(MAX(0,GWL-H28)*(GAM_S-GAM_W)+MAX(0,FL-MAX(H28,GWL))*GAM_D)/(GAM_W*PI()*E28^2/4))</f>
        <v>2.95938831239926</v>
      </c>
      <c r="AC28" s="27" t="n">
        <f aca="false">IF(I28-E28&gt;=GWL,99,E28*(MAX(0,GWL-I28)*(GAM_S-GAM_W)+MAX(0,FL-MAX(I28,GWL))*GAM_D)/(GAM_W*PI()*E28^2/4))</f>
        <v>2.96509416603563</v>
      </c>
    </row>
    <row r="29" customFormat="false" ht="15" hidden="false" customHeight="false" outlineLevel="0" collapsed="false">
      <c r="A29" s="25" t="s">
        <v>441</v>
      </c>
      <c r="B29" s="25" t="s">
        <v>447</v>
      </c>
      <c r="C29" s="25" t="s">
        <v>467</v>
      </c>
      <c r="D29" s="26" t="n">
        <v>9.9999999999988</v>
      </c>
      <c r="E29" s="26" t="n">
        <v>2.5863908822757</v>
      </c>
      <c r="F29" s="26" t="n">
        <v>-6.30640864736008</v>
      </c>
      <c r="G29" s="26" t="n">
        <v>-6.37642827027051</v>
      </c>
      <c r="H29" s="26" t="n">
        <v>-3.22001776508439</v>
      </c>
      <c r="I29" s="26" t="n">
        <v>-3.29003738799481</v>
      </c>
      <c r="J29" s="26" t="n">
        <v>99</v>
      </c>
      <c r="K29" s="27" t="n">
        <f aca="false">MIN(F29,G29)</f>
        <v>-6.37642827027051</v>
      </c>
      <c r="L29" s="27" t="n">
        <f aca="false">AVERAGE(F29,G29)</f>
        <v>-6.3414184588153</v>
      </c>
      <c r="M29" s="27" t="n">
        <f aca="false">MAX(0,NG-L29)</f>
        <v>5.6414184588153</v>
      </c>
      <c r="N29" s="27" t="n">
        <f aca="false">MAX(0,GWL-K29)</f>
        <v>4.87642827027051</v>
      </c>
      <c r="O29" s="27" t="n">
        <f aca="false">MAX(0,NG-MAX(K29,GWL))</f>
        <v>0.8</v>
      </c>
      <c r="P29" s="27" t="n">
        <f aca="false">E29/2+WS+SLOPE_A*O29+SLOPE_B*N29</f>
        <v>13.2460519816789</v>
      </c>
      <c r="Q29" s="28" t="str">
        <f aca="false">IF(AND(P29&lt;J29,N29&lt;=MAXOC),"Open cut","Shoring")</f>
        <v>Shoring</v>
      </c>
      <c r="R29" s="27" t="n">
        <f aca="false">IF(Q29="Shoring",D29,0)</f>
        <v>9.9999999999988</v>
      </c>
      <c r="S29" s="27" t="n">
        <f aca="false">MAX(0,GWL-L29)</f>
        <v>4.8414184588153</v>
      </c>
      <c r="T29" s="27" t="n">
        <f aca="false">MAX(0,NG-MAX(L29,GWL))</f>
        <v>0.8</v>
      </c>
      <c r="U29" s="27" t="n">
        <f aca="false">E29+2*WS</f>
        <v>4.5863908822757</v>
      </c>
      <c r="V29" s="27" t="n">
        <f aca="false">IF(Q29="Shoring",D29*M29*U29,0)</f>
        <v>258.737501826092</v>
      </c>
      <c r="W29" s="27" t="n">
        <f aca="false">IF(Q29="Open cut",D29*(U29*M29+SLOPE_B*S29^2+2*SLOPE_B*S29*T29+SLOPE_A*T29^2),0)</f>
        <v>0</v>
      </c>
      <c r="X29" s="27" t="n">
        <f aca="false">IF(M29&gt;0,D29*(E29+2*SLABOVH)*SLAB,0)</f>
        <v>17.9319544113763</v>
      </c>
      <c r="Y29" s="27" t="n">
        <f aca="false">IF(M29&gt;0,D29*PI()*E29^2/4,0)</f>
        <v>52.5385645111225</v>
      </c>
      <c r="Z29" s="27" t="n">
        <f aca="false">IF(H29-E29&gt;=GWL,99,E29*(MAX(0,GWL-H29)*(GAM_S-GAM_W)+MAX(0,NG-MAX(H29,GWL))*GAM_D)/(GAM_W*PI()*E29^2/4))</f>
        <v>1.42952855642446</v>
      </c>
      <c r="AA29" s="27" t="n">
        <f aca="false">IF(I29-E29&gt;=GWL,99,E29*(MAX(0,GWL-I29)*(GAM_S-GAM_W)+MAX(0,NG-MAX(I29,GWL))*GAM_D)/(GAM_W*PI()*E29^2/4))</f>
        <v>1.45830589456995</v>
      </c>
      <c r="AB29" s="27" t="n">
        <f aca="false">IF(H29-E29&gt;=GWL,99,E29*(MAX(0,GWL-H29)*(GAM_S-GAM_W)+MAX(0,FL-MAX(H29,GWL))*GAM_D)/(GAM_W*PI()*E29^2/4))</f>
        <v>2.96509416603563</v>
      </c>
      <c r="AC29" s="27" t="n">
        <f aca="false">IF(I29-E29&gt;=GWL,99,E29*(MAX(0,GWL-I29)*(GAM_S-GAM_W)+MAX(0,FL-MAX(I29,GWL))*GAM_D)/(GAM_W*PI()*E29^2/4))</f>
        <v>2.99387150418112</v>
      </c>
    </row>
    <row r="30" customFormat="false" ht="15" hidden="false" customHeight="false" outlineLevel="0" collapsed="false">
      <c r="A30" s="25" t="s">
        <v>441</v>
      </c>
      <c r="B30" s="25" t="s">
        <v>447</v>
      </c>
      <c r="C30" s="25" t="s">
        <v>468</v>
      </c>
      <c r="D30" s="26" t="n">
        <v>9.99999999956328</v>
      </c>
      <c r="E30" s="26" t="n">
        <v>2.5863908822757</v>
      </c>
      <c r="F30" s="26" t="n">
        <v>-6.37642827027051</v>
      </c>
      <c r="G30" s="26" t="n">
        <v>-6.44644789318093</v>
      </c>
      <c r="H30" s="26" t="n">
        <v>-3.29003738799481</v>
      </c>
      <c r="I30" s="26" t="n">
        <v>-3.36005701090523</v>
      </c>
      <c r="J30" s="26" t="n">
        <v>27.62</v>
      </c>
      <c r="K30" s="27" t="n">
        <f aca="false">MIN(F30,G30)</f>
        <v>-6.44644789318093</v>
      </c>
      <c r="L30" s="27" t="n">
        <f aca="false">AVERAGE(F30,G30)</f>
        <v>-6.41143808172572</v>
      </c>
      <c r="M30" s="27" t="n">
        <f aca="false">MAX(0,NG-L30)</f>
        <v>5.71143808172572</v>
      </c>
      <c r="N30" s="27" t="n">
        <f aca="false">MAX(0,GWL-K30)</f>
        <v>4.94644789318093</v>
      </c>
      <c r="O30" s="27" t="n">
        <f aca="false">MAX(0,NG-MAX(K30,GWL))</f>
        <v>0.8</v>
      </c>
      <c r="P30" s="27" t="n">
        <f aca="false">E30/2+WS+SLOPE_A*O30+SLOPE_B*N30</f>
        <v>13.3860912274997</v>
      </c>
      <c r="Q30" s="28" t="str">
        <f aca="false">IF(AND(P30&lt;J30,N30&lt;=MAXOC),"Open cut","Shoring")</f>
        <v>Shoring</v>
      </c>
      <c r="R30" s="27" t="n">
        <f aca="false">IF(Q30="Shoring",D30,0)</f>
        <v>9.99999999956328</v>
      </c>
      <c r="S30" s="27" t="n">
        <f aca="false">MAX(0,GWL-L30)</f>
        <v>4.91143808172572</v>
      </c>
      <c r="T30" s="27" t="n">
        <f aca="false">MAX(0,NG-MAX(L30,GWL))</f>
        <v>0.8</v>
      </c>
      <c r="U30" s="27" t="n">
        <f aca="false">E30+2*WS</f>
        <v>4.5863908822757</v>
      </c>
      <c r="V30" s="27" t="n">
        <f aca="false">IF(Q30="Shoring",D30*M30*U30,0)</f>
        <v>261.948875415651</v>
      </c>
      <c r="W30" s="27" t="n">
        <f aca="false">IF(Q30="Open cut",D30*(U30*M30+SLOPE_B*S30^2+2*SLOPE_B*S30*T30+SLOPE_A*T30^2),0)</f>
        <v>0</v>
      </c>
      <c r="X30" s="27" t="n">
        <f aca="false">IF(M30&gt;0,D30*(E30+2*SLABOVH)*SLAB,0)</f>
        <v>17.9319544105954</v>
      </c>
      <c r="Y30" s="27" t="n">
        <f aca="false">IF(M30&gt;0,D30*PI()*E30^2/4,0)</f>
        <v>52.5385645088343</v>
      </c>
      <c r="Z30" s="27" t="n">
        <f aca="false">IF(H30-E30&gt;=GWL,99,E30*(MAX(0,GWL-H30)*(GAM_S-GAM_W)+MAX(0,NG-MAX(H30,GWL))*GAM_D)/(GAM_W*PI()*E30^2/4))</f>
        <v>1.45830589456995</v>
      </c>
      <c r="AA30" s="27" t="n">
        <f aca="false">IF(I30-E30&gt;=GWL,99,E30*(MAX(0,GWL-I30)*(GAM_S-GAM_W)+MAX(0,NG-MAX(I30,GWL))*GAM_D)/(GAM_W*PI()*E30^2/4))</f>
        <v>1.48708323271544</v>
      </c>
      <c r="AB30" s="27" t="n">
        <f aca="false">IF(H30-E30&gt;=GWL,99,E30*(MAX(0,GWL-H30)*(GAM_S-GAM_W)+MAX(0,FL-MAX(H30,GWL))*GAM_D)/(GAM_W*PI()*E30^2/4))</f>
        <v>2.99387150418112</v>
      </c>
      <c r="AC30" s="27" t="n">
        <f aca="false">IF(I30-E30&gt;=GWL,99,E30*(MAX(0,GWL-I30)*(GAM_S-GAM_W)+MAX(0,FL-MAX(I30,GWL))*GAM_D)/(GAM_W*PI()*E30^2/4))</f>
        <v>3.02264884232661</v>
      </c>
    </row>
    <row r="31" customFormat="false" ht="15" hidden="false" customHeight="false" outlineLevel="0" collapsed="false">
      <c r="A31" s="25" t="s">
        <v>441</v>
      </c>
      <c r="B31" s="25" t="s">
        <v>447</v>
      </c>
      <c r="C31" s="25" t="s">
        <v>469</v>
      </c>
      <c r="D31" s="26" t="n">
        <v>8.10452064690035</v>
      </c>
      <c r="E31" s="26" t="n">
        <v>2.5863908822757</v>
      </c>
      <c r="F31" s="26" t="n">
        <v>-6.44644789318093</v>
      </c>
      <c r="G31" s="26" t="n">
        <v>-6.50319544113785</v>
      </c>
      <c r="H31" s="26" t="n">
        <v>-3.36005701090523</v>
      </c>
      <c r="I31" s="26" t="n">
        <v>-3.41680455886215</v>
      </c>
      <c r="J31" s="26" t="n">
        <v>20.24</v>
      </c>
      <c r="K31" s="27" t="n">
        <f aca="false">MIN(F31,G31)</f>
        <v>-6.50319544113785</v>
      </c>
      <c r="L31" s="27" t="n">
        <f aca="false">AVERAGE(F31,G31)</f>
        <v>-6.47482166715939</v>
      </c>
      <c r="M31" s="27" t="n">
        <f aca="false">MAX(0,NG-L31)</f>
        <v>5.77482166715939</v>
      </c>
      <c r="N31" s="27" t="n">
        <f aca="false">MAX(0,GWL-K31)</f>
        <v>5.00319544113785</v>
      </c>
      <c r="O31" s="27" t="n">
        <f aca="false">MAX(0,NG-MAX(K31,GWL))</f>
        <v>0.8</v>
      </c>
      <c r="P31" s="27" t="n">
        <f aca="false">E31/2+WS+SLOPE_A*O31+SLOPE_B*N31</f>
        <v>13.4995863234135</v>
      </c>
      <c r="Q31" s="28" t="str">
        <f aca="false">IF(AND(P31&lt;J31,N31&lt;=MAXOC),"Open cut","Shoring")</f>
        <v>Shoring</v>
      </c>
      <c r="R31" s="27" t="n">
        <f aca="false">IF(Q31="Shoring",D31,0)</f>
        <v>8.10452064690035</v>
      </c>
      <c r="S31" s="27" t="n">
        <f aca="false">MAX(0,GWL-L31)</f>
        <v>4.97482166715939</v>
      </c>
      <c r="T31" s="27" t="n">
        <f aca="false">MAX(0,NG-MAX(L31,GWL))</f>
        <v>0.8</v>
      </c>
      <c r="U31" s="27" t="n">
        <f aca="false">E31+2*WS</f>
        <v>4.5863908822757</v>
      </c>
      <c r="V31" s="27" t="n">
        <f aca="false">IF(Q31="Shoring",D31*M31*U31,0)</f>
        <v>214.653006470137</v>
      </c>
      <c r="W31" s="27" t="n">
        <f aca="false">IF(Q31="Open cut",D31*(U31*M31+SLOPE_B*S31^2+2*SLOPE_B*S31*T31+SLOPE_A*T31^2),0)</f>
        <v>0</v>
      </c>
      <c r="X31" s="27" t="n">
        <f aca="false">IF(M31&gt;0,D31*(E31+2*SLABOVH)*SLAB,0)</f>
        <v>14.5329894766293</v>
      </c>
      <c r="Y31" s="27" t="n">
        <f aca="false">IF(M31&gt;0,D31*PI()*E31^2/4,0)</f>
        <v>42.579988083895</v>
      </c>
      <c r="Z31" s="27" t="n">
        <f aca="false">IF(H31-E31&gt;=GWL,99,E31*(MAX(0,GWL-H31)*(GAM_S-GAM_W)+MAX(0,NG-MAX(H31,GWL))*GAM_D)/(GAM_W*PI()*E31^2/4))</f>
        <v>1.48708323271544</v>
      </c>
      <c r="AA31" s="27" t="n">
        <f aca="false">IF(I31-E31&gt;=GWL,99,E31*(MAX(0,GWL-I31)*(GAM_S-GAM_W)+MAX(0,NG-MAX(I31,GWL))*GAM_D)/(GAM_W*PI()*E31^2/4))</f>
        <v>1.51040588583188</v>
      </c>
      <c r="AB31" s="27" t="n">
        <f aca="false">IF(H31-E31&gt;=GWL,99,E31*(MAX(0,GWL-H31)*(GAM_S-GAM_W)+MAX(0,FL-MAX(H31,GWL))*GAM_D)/(GAM_W*PI()*E31^2/4))</f>
        <v>3.02264884232661</v>
      </c>
      <c r="AC31" s="27" t="n">
        <f aca="false">IF(I31-E31&gt;=GWL,99,E31*(MAX(0,GWL-I31)*(GAM_S-GAM_W)+MAX(0,FL-MAX(I31,GWL))*GAM_D)/(GAM_W*PI()*E31^2/4))</f>
        <v>3.04597149544305</v>
      </c>
    </row>
    <row r="32" customFormat="false" ht="15" hidden="false" customHeight="false" outlineLevel="0" collapsed="false">
      <c r="A32" s="25" t="s">
        <v>441</v>
      </c>
      <c r="B32" s="25" t="s">
        <v>447</v>
      </c>
      <c r="C32" s="25" t="s">
        <v>470</v>
      </c>
      <c r="D32" s="26" t="n">
        <v>1.8954793531785</v>
      </c>
      <c r="E32" s="26" t="n">
        <v>2.55499972075325</v>
      </c>
      <c r="F32" s="26" t="n">
        <v>-6.48749986037663</v>
      </c>
      <c r="G32" s="26" t="n">
        <v>-6.48749986037663</v>
      </c>
      <c r="H32" s="26" t="n">
        <v>-3.43250013962337</v>
      </c>
      <c r="I32" s="26" t="n">
        <v>-3.43250013962337</v>
      </c>
      <c r="J32" s="26" t="n">
        <v>18.6</v>
      </c>
      <c r="K32" s="27" t="n">
        <f aca="false">MIN(F32,G32)</f>
        <v>-6.48749986037663</v>
      </c>
      <c r="L32" s="27" t="n">
        <f aca="false">AVERAGE(F32,G32)</f>
        <v>-6.48749986037663</v>
      </c>
      <c r="M32" s="27" t="n">
        <f aca="false">MAX(0,NG-L32)</f>
        <v>5.78749986037663</v>
      </c>
      <c r="N32" s="27" t="n">
        <f aca="false">MAX(0,GWL-K32)</f>
        <v>4.98749986037663</v>
      </c>
      <c r="O32" s="27" t="n">
        <f aca="false">MAX(0,NG-MAX(K32,GWL))</f>
        <v>0.8</v>
      </c>
      <c r="P32" s="27" t="n">
        <f aca="false">E32/2+WS+SLOPE_A*O32+SLOPE_B*N32</f>
        <v>13.4524995811299</v>
      </c>
      <c r="Q32" s="28" t="str">
        <f aca="false">IF(AND(P32&lt;J32,N32&lt;=MAXOC),"Open cut","Shoring")</f>
        <v>Shoring</v>
      </c>
      <c r="R32" s="27" t="n">
        <f aca="false">IF(Q32="Shoring",D32,0)</f>
        <v>1.8954793531785</v>
      </c>
      <c r="S32" s="27" t="n">
        <f aca="false">MAX(0,GWL-L32)</f>
        <v>4.98749986037663</v>
      </c>
      <c r="T32" s="27" t="n">
        <f aca="false">MAX(0,NG-MAX(L32,GWL))</f>
        <v>0.8</v>
      </c>
      <c r="U32" s="27" t="n">
        <f aca="false">E32+2*WS</f>
        <v>4.55499972075325</v>
      </c>
      <c r="V32" s="27" t="n">
        <f aca="false">IF(Q32="Shoring",D32*M32*U32,0)</f>
        <v>49.9687409070948</v>
      </c>
      <c r="W32" s="27" t="n">
        <f aca="false">IF(Q32="Open cut",D32*(U32*M32+SLOPE_B*S32^2+2*SLOPE_B*S32*T32+SLOPE_A*T32^2),0)</f>
        <v>0</v>
      </c>
      <c r="X32" s="27" t="n">
        <f aca="false">IF(M32&gt;0,D32*(E32+2*SLABOVH)*SLAB,0)</f>
        <v>3.36921428562156</v>
      </c>
      <c r="Y32" s="27" t="n">
        <f aca="false">IF(M32&gt;0,D32*PI()*E32^2/4,0)</f>
        <v>9.71830787925382</v>
      </c>
      <c r="Z32" s="27" t="n">
        <f aca="false">IF(H32-E32&gt;=GWL,99,E32*(MAX(0,GWL-H32)*(GAM_S-GAM_W)+MAX(0,NG-MAX(H32,GWL))*GAM_D)/(GAM_W*PI()*E32^2/4))</f>
        <v>1.53549296508195</v>
      </c>
      <c r="AA32" s="27" t="n">
        <f aca="false">IF(I32-E32&gt;=GWL,99,E32*(MAX(0,GWL-I32)*(GAM_S-GAM_W)+MAX(0,NG-MAX(I32,GWL))*GAM_D)/(GAM_W*PI()*E32^2/4))</f>
        <v>1.53549296508195</v>
      </c>
      <c r="AB32" s="27" t="n">
        <f aca="false">IF(H32-E32&gt;=GWL,99,E32*(MAX(0,GWL-H32)*(GAM_S-GAM_W)+MAX(0,FL-MAX(H32,GWL))*GAM_D)/(GAM_W*PI()*E32^2/4))</f>
        <v>3.08992479518156</v>
      </c>
      <c r="AC32" s="27" t="n">
        <f aca="false">IF(I32-E32&gt;=GWL,99,E32*(MAX(0,GWL-I32)*(GAM_S-GAM_W)+MAX(0,FL-MAX(I32,GWL))*GAM_D)/(GAM_W*PI()*E32^2/4))</f>
        <v>3.08992479518156</v>
      </c>
    </row>
    <row r="33" customFormat="false" ht="15" hidden="false" customHeight="false" outlineLevel="0" collapsed="false">
      <c r="A33" s="25" t="s">
        <v>441</v>
      </c>
      <c r="B33" s="25" t="s">
        <v>447</v>
      </c>
      <c r="C33" s="25" t="s">
        <v>471</v>
      </c>
      <c r="D33" s="26" t="n">
        <v>1.85451839691404</v>
      </c>
      <c r="E33" s="26" t="n">
        <v>2.55499972075325</v>
      </c>
      <c r="F33" s="26" t="n">
        <v>-6.48749986037663</v>
      </c>
      <c r="G33" s="26" t="n">
        <v>-6.48749986037663</v>
      </c>
      <c r="H33" s="26" t="n">
        <v>-3.43250013962337</v>
      </c>
      <c r="I33" s="26" t="n">
        <v>-3.43250013962337</v>
      </c>
      <c r="J33" s="26" t="n">
        <v>17.05</v>
      </c>
      <c r="K33" s="27" t="n">
        <f aca="false">MIN(F33,G33)</f>
        <v>-6.48749986037663</v>
      </c>
      <c r="L33" s="27" t="n">
        <f aca="false">AVERAGE(F33,G33)</f>
        <v>-6.48749986037663</v>
      </c>
      <c r="M33" s="27" t="n">
        <f aca="false">MAX(0,NG-L33)</f>
        <v>5.78749986037663</v>
      </c>
      <c r="N33" s="27" t="n">
        <f aca="false">MAX(0,GWL-K33)</f>
        <v>4.98749986037663</v>
      </c>
      <c r="O33" s="27" t="n">
        <f aca="false">MAX(0,NG-MAX(K33,GWL))</f>
        <v>0.8</v>
      </c>
      <c r="P33" s="27" t="n">
        <f aca="false">E33/2+WS+SLOPE_A*O33+SLOPE_B*N33</f>
        <v>13.4524995811299</v>
      </c>
      <c r="Q33" s="28" t="str">
        <f aca="false">IF(AND(P33&lt;J33,N33&lt;=MAXOC),"Open cut","Shoring")</f>
        <v>Shoring</v>
      </c>
      <c r="R33" s="27" t="n">
        <f aca="false">IF(Q33="Shoring",D33,0)</f>
        <v>1.85451839691404</v>
      </c>
      <c r="S33" s="27" t="n">
        <f aca="false">MAX(0,GWL-L33)</f>
        <v>4.98749986037663</v>
      </c>
      <c r="T33" s="27" t="n">
        <f aca="false">MAX(0,NG-MAX(L33,GWL))</f>
        <v>0.8</v>
      </c>
      <c r="U33" s="27" t="n">
        <f aca="false">E33+2*WS</f>
        <v>4.55499972075325</v>
      </c>
      <c r="V33" s="27" t="n">
        <f aca="false">IF(Q33="Shoring",D33*M33*U33,0)</f>
        <v>48.8889257102405</v>
      </c>
      <c r="W33" s="27" t="n">
        <f aca="false">IF(Q33="Open cut",D33*(U33*M33+SLOPE_B*S33^2+2*SLOPE_B*S33*T33+SLOPE_A*T33^2),0)</f>
        <v>0</v>
      </c>
      <c r="X33" s="27" t="n">
        <f aca="false">IF(M33&gt;0,D33*(E33+2*SLABOVH)*SLAB,0)</f>
        <v>3.29640619158059</v>
      </c>
      <c r="Y33" s="27" t="n">
        <f aca="false">IF(M33&gt;0,D33*PI()*E33^2/4,0)</f>
        <v>9.50829705358107</v>
      </c>
      <c r="Z33" s="27" t="n">
        <f aca="false">IF(H33-E33&gt;=GWL,99,E33*(MAX(0,GWL-H33)*(GAM_S-GAM_W)+MAX(0,NG-MAX(H33,GWL))*GAM_D)/(GAM_W*PI()*E33^2/4))</f>
        <v>1.53549296508195</v>
      </c>
      <c r="AA33" s="27" t="n">
        <f aca="false">IF(I33-E33&gt;=GWL,99,E33*(MAX(0,GWL-I33)*(GAM_S-GAM_W)+MAX(0,NG-MAX(I33,GWL))*GAM_D)/(GAM_W*PI()*E33^2/4))</f>
        <v>1.53549296508195</v>
      </c>
      <c r="AB33" s="27" t="n">
        <f aca="false">IF(H33-E33&gt;=GWL,99,E33*(MAX(0,GWL-H33)*(GAM_S-GAM_W)+MAX(0,FL-MAX(H33,GWL))*GAM_D)/(GAM_W*PI()*E33^2/4))</f>
        <v>3.08992479518156</v>
      </c>
      <c r="AC33" s="27" t="n">
        <f aca="false">IF(I33-E33&gt;=GWL,99,E33*(MAX(0,GWL-I33)*(GAM_S-GAM_W)+MAX(0,FL-MAX(I33,GWL))*GAM_D)/(GAM_W*PI()*E33^2/4))</f>
        <v>3.08992479518156</v>
      </c>
    </row>
    <row r="34" customFormat="false" ht="15" hidden="false" customHeight="false" outlineLevel="0" collapsed="false">
      <c r="A34" s="25" t="s">
        <v>441</v>
      </c>
      <c r="B34" s="25" t="s">
        <v>447</v>
      </c>
      <c r="C34" s="25" t="s">
        <v>472</v>
      </c>
      <c r="D34" s="26" t="n">
        <v>3.74999808405379</v>
      </c>
      <c r="E34" s="26" t="n">
        <v>2.55499093583539</v>
      </c>
      <c r="F34" s="26" t="n">
        <v>-6.48749546791769</v>
      </c>
      <c r="G34" s="26" t="n">
        <v>-6.48749546791769</v>
      </c>
      <c r="H34" s="26" t="n">
        <v>-3.43250453208231</v>
      </c>
      <c r="I34" s="26" t="n">
        <v>-3.43250453208231</v>
      </c>
      <c r="J34" s="26" t="n">
        <v>16.79</v>
      </c>
      <c r="K34" s="27" t="n">
        <f aca="false">MIN(F34,G34)</f>
        <v>-6.48749546791769</v>
      </c>
      <c r="L34" s="27" t="n">
        <f aca="false">AVERAGE(F34,G34)</f>
        <v>-6.48749546791769</v>
      </c>
      <c r="M34" s="27" t="n">
        <f aca="false">MAX(0,NG-L34)</f>
        <v>5.78749546791769</v>
      </c>
      <c r="N34" s="27" t="n">
        <f aca="false">MAX(0,GWL-K34)</f>
        <v>4.98749546791769</v>
      </c>
      <c r="O34" s="27" t="n">
        <f aca="false">MAX(0,NG-MAX(K34,GWL))</f>
        <v>0.8</v>
      </c>
      <c r="P34" s="27" t="n">
        <f aca="false">E34/2+WS+SLOPE_A*O34+SLOPE_B*N34</f>
        <v>13.4524864037531</v>
      </c>
      <c r="Q34" s="28" t="str">
        <f aca="false">IF(AND(P34&lt;J34,N34&lt;=MAXOC),"Open cut","Shoring")</f>
        <v>Shoring</v>
      </c>
      <c r="R34" s="27" t="n">
        <f aca="false">IF(Q34="Shoring",D34,0)</f>
        <v>3.74999808405379</v>
      </c>
      <c r="S34" s="27" t="n">
        <f aca="false">MAX(0,GWL-L34)</f>
        <v>4.98749546791769</v>
      </c>
      <c r="T34" s="27" t="n">
        <f aca="false">MAX(0,NG-MAX(L34,GWL))</f>
        <v>0.8</v>
      </c>
      <c r="U34" s="27" t="n">
        <f aca="false">E34+2*WS</f>
        <v>4.55499093583539</v>
      </c>
      <c r="V34" s="27" t="n">
        <f aca="false">IF(Q34="Shoring",D34*M34*U34,0)</f>
        <v>98.857409732672</v>
      </c>
      <c r="W34" s="27" t="n">
        <f aca="false">IF(Q34="Open cut",D34*(U34*M34+SLOPE_B*S34^2+2*SLOPE_B*S34*T34+SLOPE_A*T34^2),0)</f>
        <v>0</v>
      </c>
      <c r="X34" s="27" t="n">
        <f aca="false">IF(M34&gt;0,D34*(E34+2*SLABOVH)*SLAB,0)</f>
        <v>6.66560459910565</v>
      </c>
      <c r="Y34" s="27" t="n">
        <f aca="false">IF(M34&gt;0,D34*PI()*E34^2/4,0)</f>
        <v>19.2264744306929</v>
      </c>
      <c r="Z34" s="27" t="n">
        <f aca="false">IF(H34-E34&gt;=GWL,99,E34*(MAX(0,GWL-H34)*(GAM_S-GAM_W)+MAX(0,NG-MAX(H34,GWL))*GAM_D)/(GAM_W*PI()*E34^2/4))</f>
        <v>1.535500072064</v>
      </c>
      <c r="AA34" s="27" t="n">
        <f aca="false">IF(I34-E34&gt;=GWL,99,E34*(MAX(0,GWL-I34)*(GAM_S-GAM_W)+MAX(0,NG-MAX(I34,GWL))*GAM_D)/(GAM_W*PI()*E34^2/4))</f>
        <v>1.535500072064</v>
      </c>
      <c r="AB34" s="27" t="n">
        <f aca="false">IF(H34-E34&gt;=GWL,99,E34*(MAX(0,GWL-H34)*(GAM_S-GAM_W)+MAX(0,FL-MAX(H34,GWL))*GAM_D)/(GAM_W*PI()*E34^2/4))</f>
        <v>3.08993724682286</v>
      </c>
      <c r="AC34" s="27" t="n">
        <f aca="false">IF(I34-E34&gt;=GWL,99,E34*(MAX(0,GWL-I34)*(GAM_S-GAM_W)+MAX(0,FL-MAX(I34,GWL))*GAM_D)/(GAM_W*PI()*E34^2/4))</f>
        <v>3.08993724682286</v>
      </c>
    </row>
    <row r="35" customFormat="false" ht="15" hidden="false" customHeight="false" outlineLevel="0" collapsed="false">
      <c r="A35" s="25" t="s">
        <v>441</v>
      </c>
      <c r="B35" s="25" t="s">
        <v>447</v>
      </c>
      <c r="C35" s="25" t="s">
        <v>473</v>
      </c>
      <c r="D35" s="26" t="n">
        <v>4.39548351958253</v>
      </c>
      <c r="E35" s="26" t="n">
        <v>2.58639765280715</v>
      </c>
      <c r="F35" s="26" t="n">
        <v>-6.50319882640358</v>
      </c>
      <c r="G35" s="26" t="n">
        <v>-6.50319882640358</v>
      </c>
      <c r="H35" s="26" t="n">
        <v>-3.41680117359642</v>
      </c>
      <c r="I35" s="26" t="n">
        <v>-3.41680117359642</v>
      </c>
      <c r="J35" s="26" t="n">
        <v>16.81</v>
      </c>
      <c r="K35" s="27" t="n">
        <f aca="false">MIN(F35,G35)</f>
        <v>-6.50319882640358</v>
      </c>
      <c r="L35" s="27" t="n">
        <f aca="false">AVERAGE(F35,G35)</f>
        <v>-6.50319882640358</v>
      </c>
      <c r="M35" s="27" t="n">
        <f aca="false">MAX(0,NG-L35)</f>
        <v>5.80319882640358</v>
      </c>
      <c r="N35" s="27" t="n">
        <f aca="false">MAX(0,GWL-K35)</f>
        <v>5.00319882640358</v>
      </c>
      <c r="O35" s="27" t="n">
        <f aca="false">MAX(0,NG-MAX(K35,GWL))</f>
        <v>0.8</v>
      </c>
      <c r="P35" s="27" t="n">
        <f aca="false">E35/2+WS+SLOPE_A*O35+SLOPE_B*N35</f>
        <v>13.4995964792107</v>
      </c>
      <c r="Q35" s="28" t="str">
        <f aca="false">IF(AND(P35&lt;J35,N35&lt;=MAXOC),"Open cut","Shoring")</f>
        <v>Shoring</v>
      </c>
      <c r="R35" s="27" t="n">
        <f aca="false">IF(Q35="Shoring",D35,0)</f>
        <v>4.39548351958253</v>
      </c>
      <c r="S35" s="27" t="n">
        <f aca="false">MAX(0,GWL-L35)</f>
        <v>5.00319882640358</v>
      </c>
      <c r="T35" s="27" t="n">
        <f aca="false">MAX(0,NG-MAX(L35,GWL))</f>
        <v>0.8</v>
      </c>
      <c r="U35" s="27" t="n">
        <f aca="false">E35+2*WS</f>
        <v>4.58639765280715</v>
      </c>
      <c r="V35" s="27" t="n">
        <f aca="false">IF(Q35="Shoring",D35*M35*U35,0)</f>
        <v>116.989211257472</v>
      </c>
      <c r="W35" s="27" t="n">
        <f aca="false">IF(Q35="Open cut",D35*(U35*M35+SLOPE_B*S35^2+2*SLOPE_B*S35*T35+SLOPE_A*T35^2),0)</f>
        <v>0</v>
      </c>
      <c r="X35" s="27" t="n">
        <f aca="false">IF(M35&gt;0,D35*(E35+2*SLABOVH)*SLAB,0)</f>
        <v>7.88197588879166</v>
      </c>
      <c r="Y35" s="27" t="n">
        <f aca="false">IF(M35&gt;0,D35*PI()*E35^2/4,0)</f>
        <v>23.0933603500525</v>
      </c>
      <c r="Z35" s="27" t="n">
        <f aca="false">IF(H35-E35&gt;=GWL,99,E35*(MAX(0,GWL-H35)*(GAM_S-GAM_W)+MAX(0,NG-MAX(H35,GWL))*GAM_D)/(GAM_W*PI()*E35^2/4))</f>
        <v>1.51040054066786</v>
      </c>
      <c r="AA35" s="27" t="n">
        <f aca="false">IF(I35-E35&gt;=GWL,99,E35*(MAX(0,GWL-I35)*(GAM_S-GAM_W)+MAX(0,NG-MAX(I35,GWL))*GAM_D)/(GAM_W*PI()*E35^2/4))</f>
        <v>1.51040054066786</v>
      </c>
      <c r="AB35" s="27" t="n">
        <f aca="false">IF(H35-E35&gt;=GWL,99,E35*(MAX(0,GWL-H35)*(GAM_S-GAM_W)+MAX(0,FL-MAX(H35,GWL))*GAM_D)/(GAM_W*PI()*E35^2/4))</f>
        <v>3.04596213055869</v>
      </c>
      <c r="AC35" s="27" t="n">
        <f aca="false">IF(I35-E35&gt;=GWL,99,E35*(MAX(0,GWL-I35)*(GAM_S-GAM_W)+MAX(0,FL-MAX(I35,GWL))*GAM_D)/(GAM_W*PI()*E35^2/4))</f>
        <v>3.04596213055869</v>
      </c>
    </row>
    <row r="36" customFormat="false" ht="15" hidden="false" customHeight="false" outlineLevel="0" collapsed="false">
      <c r="A36" s="25" t="s">
        <v>441</v>
      </c>
      <c r="B36" s="25" t="s">
        <v>447</v>
      </c>
      <c r="C36" s="25" t="s">
        <v>474</v>
      </c>
      <c r="D36" s="26" t="n">
        <v>1.29869648057947</v>
      </c>
      <c r="E36" s="26" t="n">
        <v>2.58639765280715</v>
      </c>
      <c r="F36" s="26" t="n">
        <v>-6.50319882640358</v>
      </c>
      <c r="G36" s="26" t="n">
        <v>-6.50319882640358</v>
      </c>
      <c r="H36" s="26" t="n">
        <v>-3.41680117359642</v>
      </c>
      <c r="I36" s="26" t="n">
        <v>-3.41680117359642</v>
      </c>
      <c r="J36" s="26" t="n">
        <v>17.56</v>
      </c>
      <c r="K36" s="27" t="n">
        <f aca="false">MIN(F36,G36)</f>
        <v>-6.50319882640358</v>
      </c>
      <c r="L36" s="27" t="n">
        <f aca="false">AVERAGE(F36,G36)</f>
        <v>-6.50319882640358</v>
      </c>
      <c r="M36" s="27" t="n">
        <f aca="false">MAX(0,NG-L36)</f>
        <v>5.80319882640358</v>
      </c>
      <c r="N36" s="27" t="n">
        <f aca="false">MAX(0,GWL-K36)</f>
        <v>5.00319882640358</v>
      </c>
      <c r="O36" s="27" t="n">
        <f aca="false">MAX(0,NG-MAX(K36,GWL))</f>
        <v>0.8</v>
      </c>
      <c r="P36" s="27" t="n">
        <f aca="false">E36/2+WS+SLOPE_A*O36+SLOPE_B*N36</f>
        <v>13.4995964792107</v>
      </c>
      <c r="Q36" s="28" t="str">
        <f aca="false">IF(AND(P36&lt;J36,N36&lt;=MAXOC),"Open cut","Shoring")</f>
        <v>Shoring</v>
      </c>
      <c r="R36" s="27" t="n">
        <f aca="false">IF(Q36="Shoring",D36,0)</f>
        <v>1.29869648057947</v>
      </c>
      <c r="S36" s="27" t="n">
        <f aca="false">MAX(0,GWL-L36)</f>
        <v>5.00319882640358</v>
      </c>
      <c r="T36" s="27" t="n">
        <f aca="false">MAX(0,NG-MAX(L36,GWL))</f>
        <v>0.8</v>
      </c>
      <c r="U36" s="27" t="n">
        <f aca="false">E36+2*WS</f>
        <v>4.58639765280715</v>
      </c>
      <c r="V36" s="27" t="n">
        <f aca="false">IF(Q36="Shoring",D36*M36*U36,0)</f>
        <v>34.5658165362151</v>
      </c>
      <c r="W36" s="27" t="n">
        <f aca="false">IF(Q36="Open cut",D36*(U36*M36+SLOPE_B*S36^2+2*SLOPE_B*S36*T36+SLOPE_A*T36^2),0)</f>
        <v>0</v>
      </c>
      <c r="X36" s="27" t="n">
        <f aca="false">IF(M36&gt;0,D36*(E36+2*SLABOVH)*SLAB,0)</f>
        <v>2.32882100482956</v>
      </c>
      <c r="Y36" s="27" t="n">
        <f aca="false">IF(M36&gt;0,D36*PI()*E36^2/4,0)</f>
        <v>6.82320060529203</v>
      </c>
      <c r="Z36" s="27" t="n">
        <f aca="false">IF(H36-E36&gt;=GWL,99,E36*(MAX(0,GWL-H36)*(GAM_S-GAM_W)+MAX(0,NG-MAX(H36,GWL))*GAM_D)/(GAM_W*PI()*E36^2/4))</f>
        <v>1.51040054066786</v>
      </c>
      <c r="AA36" s="27" t="n">
        <f aca="false">IF(I36-E36&gt;=GWL,99,E36*(MAX(0,GWL-I36)*(GAM_S-GAM_W)+MAX(0,NG-MAX(I36,GWL))*GAM_D)/(GAM_W*PI()*E36^2/4))</f>
        <v>1.51040054066786</v>
      </c>
      <c r="AB36" s="27" t="n">
        <f aca="false">IF(H36-E36&gt;=GWL,99,E36*(MAX(0,GWL-H36)*(GAM_S-GAM_W)+MAX(0,FL-MAX(H36,GWL))*GAM_D)/(GAM_W*PI()*E36^2/4))</f>
        <v>3.04596213055869</v>
      </c>
      <c r="AC36" s="27" t="n">
        <f aca="false">IF(I36-E36&gt;=GWL,99,E36*(MAX(0,GWL-I36)*(GAM_S-GAM_W)+MAX(0,FL-MAX(I36,GWL))*GAM_D)/(GAM_W*PI()*E36^2/4))</f>
        <v>3.04596213055869</v>
      </c>
    </row>
    <row r="37" customFormat="false" ht="15" hidden="false" customHeight="false" outlineLevel="0" collapsed="false">
      <c r="A37" s="25" t="s">
        <v>441</v>
      </c>
      <c r="B37" s="25" t="s">
        <v>447</v>
      </c>
      <c r="C37" s="25" t="s">
        <v>475</v>
      </c>
      <c r="D37" s="26" t="n">
        <v>3.75000085930001</v>
      </c>
      <c r="E37" s="26" t="n">
        <v>2.55500049287048</v>
      </c>
      <c r="F37" s="26" t="n">
        <v>-6.48750024643524</v>
      </c>
      <c r="G37" s="26" t="n">
        <v>-6.48750024643524</v>
      </c>
      <c r="H37" s="26" t="n">
        <v>-3.43249975356476</v>
      </c>
      <c r="I37" s="26" t="n">
        <v>-3.43249975356476</v>
      </c>
      <c r="J37" s="26" t="n">
        <v>17.99</v>
      </c>
      <c r="K37" s="27" t="n">
        <f aca="false">MIN(F37,G37)</f>
        <v>-6.48750024643524</v>
      </c>
      <c r="L37" s="27" t="n">
        <f aca="false">AVERAGE(F37,G37)</f>
        <v>-6.48750024643524</v>
      </c>
      <c r="M37" s="27" t="n">
        <f aca="false">MAX(0,NG-L37)</f>
        <v>5.78750024643524</v>
      </c>
      <c r="N37" s="27" t="n">
        <f aca="false">MAX(0,GWL-K37)</f>
        <v>4.98750024643524</v>
      </c>
      <c r="O37" s="27" t="n">
        <f aca="false">MAX(0,NG-MAX(K37,GWL))</f>
        <v>0.8</v>
      </c>
      <c r="P37" s="27" t="n">
        <f aca="false">E37/2+WS+SLOPE_A*O37+SLOPE_B*N37</f>
        <v>13.4525007393057</v>
      </c>
      <c r="Q37" s="28" t="str">
        <f aca="false">IF(AND(P37&lt;J37,N37&lt;=MAXOC),"Open cut","Shoring")</f>
        <v>Shoring</v>
      </c>
      <c r="R37" s="27" t="n">
        <f aca="false">IF(Q37="Shoring",D37,0)</f>
        <v>3.75000085930001</v>
      </c>
      <c r="S37" s="27" t="n">
        <f aca="false">MAX(0,GWL-L37)</f>
        <v>4.98750024643524</v>
      </c>
      <c r="T37" s="27" t="n">
        <f aca="false">MAX(0,NG-MAX(L37,GWL))</f>
        <v>0.8</v>
      </c>
      <c r="U37" s="27" t="n">
        <f aca="false">E37+2*WS</f>
        <v>4.55500049287048</v>
      </c>
      <c r="V37" s="27" t="n">
        <f aca="false">IF(Q37="Shoring",D37*M37*U37,0)</f>
        <v>98.857771934176</v>
      </c>
      <c r="W37" s="27" t="n">
        <f aca="false">IF(Q37="Open cut",D37*(U37*M37+SLOPE_B*S37^2+2*SLOPE_B*S37*T37+SLOPE_A*T37^2),0)</f>
        <v>0</v>
      </c>
      <c r="X37" s="27" t="n">
        <f aca="false">IF(M37&gt;0,D37*(E37+2*SLABOVH)*SLAB,0)</f>
        <v>6.66562745153813</v>
      </c>
      <c r="Y37" s="27" t="n">
        <f aca="false">IF(M37&gt;0,D37*PI()*E37^2/4,0)</f>
        <v>19.2266324945614</v>
      </c>
      <c r="Z37" s="27" t="n">
        <f aca="false">IF(H37-E37&gt;=GWL,99,E37*(MAX(0,GWL-H37)*(GAM_S-GAM_W)+MAX(0,NG-MAX(H37,GWL))*GAM_D)/(GAM_W*PI()*E37^2/4))</f>
        <v>1.5354923404429</v>
      </c>
      <c r="AA37" s="27" t="n">
        <f aca="false">IF(I37-E37&gt;=GWL,99,E37*(MAX(0,GWL-I37)*(GAM_S-GAM_W)+MAX(0,NG-MAX(I37,GWL))*GAM_D)/(GAM_W*PI()*E37^2/4))</f>
        <v>1.5354923404429</v>
      </c>
      <c r="AB37" s="27" t="n">
        <f aca="false">IF(H37-E37&gt;=GWL,99,E37*(MAX(0,GWL-H37)*(GAM_S-GAM_W)+MAX(0,FL-MAX(H37,GWL))*GAM_D)/(GAM_W*PI()*E37^2/4))</f>
        <v>3.08992370079559</v>
      </c>
      <c r="AC37" s="27" t="n">
        <f aca="false">IF(I37-E37&gt;=GWL,99,E37*(MAX(0,GWL-I37)*(GAM_S-GAM_W)+MAX(0,FL-MAX(I37,GWL))*GAM_D)/(GAM_W*PI()*E37^2/4))</f>
        <v>3.08992370079559</v>
      </c>
    </row>
    <row r="38" customFormat="false" ht="15" hidden="false" customHeight="false" outlineLevel="0" collapsed="false">
      <c r="A38" s="25" t="s">
        <v>441</v>
      </c>
      <c r="B38" s="25" t="s">
        <v>447</v>
      </c>
      <c r="C38" s="25" t="s">
        <v>476</v>
      </c>
      <c r="D38" s="26" t="n">
        <v>3.74999793442831</v>
      </c>
      <c r="E38" s="26" t="n">
        <v>2.55499972075325</v>
      </c>
      <c r="F38" s="26" t="n">
        <v>-6.48749986037663</v>
      </c>
      <c r="G38" s="26" t="n">
        <v>-6.48749986037663</v>
      </c>
      <c r="H38" s="26" t="n">
        <v>-3.43250013962337</v>
      </c>
      <c r="I38" s="26" t="n">
        <v>-3.43250013962337</v>
      </c>
      <c r="J38" s="26" t="n">
        <v>19.11</v>
      </c>
      <c r="K38" s="27" t="n">
        <f aca="false">MIN(F38,G38)</f>
        <v>-6.48749986037663</v>
      </c>
      <c r="L38" s="27" t="n">
        <f aca="false">AVERAGE(F38,G38)</f>
        <v>-6.48749986037663</v>
      </c>
      <c r="M38" s="27" t="n">
        <f aca="false">MAX(0,NG-L38)</f>
        <v>5.78749986037663</v>
      </c>
      <c r="N38" s="27" t="n">
        <f aca="false">MAX(0,GWL-K38)</f>
        <v>4.98749986037663</v>
      </c>
      <c r="O38" s="27" t="n">
        <f aca="false">MAX(0,NG-MAX(K38,GWL))</f>
        <v>0.8</v>
      </c>
      <c r="P38" s="27" t="n">
        <f aca="false">E38/2+WS+SLOPE_A*O38+SLOPE_B*N38</f>
        <v>13.4524995811299</v>
      </c>
      <c r="Q38" s="28" t="str">
        <f aca="false">IF(AND(P38&lt;J38,N38&lt;=MAXOC),"Open cut","Shoring")</f>
        <v>Shoring</v>
      </c>
      <c r="R38" s="27" t="n">
        <f aca="false">IF(Q38="Shoring",D38,0)</f>
        <v>3.74999793442831</v>
      </c>
      <c r="S38" s="27" t="n">
        <f aca="false">MAX(0,GWL-L38)</f>
        <v>4.98749986037663</v>
      </c>
      <c r="T38" s="27" t="n">
        <f aca="false">MAX(0,NG-MAX(L38,GWL))</f>
        <v>0.8</v>
      </c>
      <c r="U38" s="27" t="n">
        <f aca="false">E38+2*WS</f>
        <v>4.55499972075325</v>
      </c>
      <c r="V38" s="27" t="n">
        <f aca="false">IF(Q38="Shoring",D38*M38*U38,0)</f>
        <v>98.8576714768058</v>
      </c>
      <c r="W38" s="27" t="n">
        <f aca="false">IF(Q38="Open cut",D38*(U38*M38+SLOPE_B*S38^2+2*SLOPE_B*S38*T38+SLOPE_A*T38^2),0)</f>
        <v>0</v>
      </c>
      <c r="X38" s="27" t="n">
        <f aca="false">IF(M38&gt;0,D38*(E38+2*SLABOVH)*SLAB,0)</f>
        <v>6.66562080485895</v>
      </c>
      <c r="Y38" s="27" t="n">
        <f aca="false">IF(M38&gt;0,D38*PI()*E38^2/4,0)</f>
        <v>19.2266058779424</v>
      </c>
      <c r="Z38" s="27" t="n">
        <f aca="false">IF(H38-E38&gt;=GWL,99,E38*(MAX(0,GWL-H38)*(GAM_S-GAM_W)+MAX(0,NG-MAX(H38,GWL))*GAM_D)/(GAM_W*PI()*E38^2/4))</f>
        <v>1.53549296508195</v>
      </c>
      <c r="AA38" s="27" t="n">
        <f aca="false">IF(I38-E38&gt;=GWL,99,E38*(MAX(0,GWL-I38)*(GAM_S-GAM_W)+MAX(0,NG-MAX(I38,GWL))*GAM_D)/(GAM_W*PI()*E38^2/4))</f>
        <v>1.53549296508195</v>
      </c>
      <c r="AB38" s="27" t="n">
        <f aca="false">IF(H38-E38&gt;=GWL,99,E38*(MAX(0,GWL-H38)*(GAM_S-GAM_W)+MAX(0,FL-MAX(H38,GWL))*GAM_D)/(GAM_W*PI()*E38^2/4))</f>
        <v>3.08992479518156</v>
      </c>
      <c r="AC38" s="27" t="n">
        <f aca="false">IF(I38-E38&gt;=GWL,99,E38*(MAX(0,GWL-I38)*(GAM_S-GAM_W)+MAX(0,FL-MAX(I38,GWL))*GAM_D)/(GAM_W*PI()*E38^2/4))</f>
        <v>3.08992479518156</v>
      </c>
    </row>
    <row r="39" customFormat="false" ht="15" hidden="false" customHeight="false" outlineLevel="0" collapsed="false">
      <c r="A39" s="25" t="s">
        <v>441</v>
      </c>
      <c r="B39" s="25" t="s">
        <v>447</v>
      </c>
      <c r="C39" s="25" t="s">
        <v>477</v>
      </c>
      <c r="D39" s="26" t="n">
        <v>1.20130472545064</v>
      </c>
      <c r="E39" s="26" t="n">
        <v>2.58639088233018</v>
      </c>
      <c r="F39" s="26" t="n">
        <v>-6.50319544116509</v>
      </c>
      <c r="G39" s="26" t="n">
        <v>-6.50485400517638</v>
      </c>
      <c r="H39" s="26" t="n">
        <v>-3.41680455883491</v>
      </c>
      <c r="I39" s="26" t="n">
        <v>-3.4184631228462</v>
      </c>
      <c r="J39" s="26" t="n">
        <v>19.09</v>
      </c>
      <c r="K39" s="27" t="n">
        <f aca="false">MIN(F39,G39)</f>
        <v>-6.50485400517638</v>
      </c>
      <c r="L39" s="27" t="n">
        <f aca="false">AVERAGE(F39,G39)</f>
        <v>-6.50402472317073</v>
      </c>
      <c r="M39" s="27" t="n">
        <f aca="false">MAX(0,NG-L39)</f>
        <v>5.80402472317073</v>
      </c>
      <c r="N39" s="27" t="n">
        <f aca="false">MAX(0,GWL-K39)</f>
        <v>5.00485400517638</v>
      </c>
      <c r="O39" s="27" t="n">
        <f aca="false">MAX(0,NG-MAX(K39,GWL))</f>
        <v>0.8</v>
      </c>
      <c r="P39" s="27" t="n">
        <f aca="false">E39/2+WS+SLOPE_A*O39+SLOPE_B*N39</f>
        <v>13.5029034515178</v>
      </c>
      <c r="Q39" s="28" t="str">
        <f aca="false">IF(AND(P39&lt;J39,N39&lt;=MAXOC),"Open cut","Shoring")</f>
        <v>Shoring</v>
      </c>
      <c r="R39" s="27" t="n">
        <f aca="false">IF(Q39="Shoring",D39,0)</f>
        <v>1.20130472545064</v>
      </c>
      <c r="S39" s="27" t="n">
        <f aca="false">MAX(0,GWL-L39)</f>
        <v>5.00402472317073</v>
      </c>
      <c r="T39" s="27" t="n">
        <f aca="false">MAX(0,NG-MAX(L39,GWL))</f>
        <v>0.8</v>
      </c>
      <c r="U39" s="27" t="n">
        <f aca="false">E39+2*WS</f>
        <v>4.58639088233018</v>
      </c>
      <c r="V39" s="27" t="n">
        <f aca="false">IF(Q39="Shoring",D39*M39*U39,0)</f>
        <v>31.978162458552</v>
      </c>
      <c r="W39" s="27" t="n">
        <f aca="false">IF(Q39="Open cut",D39*(U39*M39+SLOPE_B*S39^2+2*SLOPE_B*S39*T39+SLOPE_A*T39^2),0)</f>
        <v>0</v>
      </c>
      <c r="X39" s="27" t="n">
        <f aca="false">IF(M39&gt;0,D39*(E39+2*SLABOVH)*SLAB,0)</f>
        <v>2.15417415712816</v>
      </c>
      <c r="Y39" s="27" t="n">
        <f aca="false">IF(M39&gt;0,D39*PI()*E39^2/4,0)</f>
        <v>6.31148258182711</v>
      </c>
      <c r="Z39" s="27" t="n">
        <f aca="false">IF(H39-E39&gt;=GWL,99,E39*(MAX(0,GWL-H39)*(GAM_S-GAM_W)+MAX(0,NG-MAX(H39,GWL))*GAM_D)/(GAM_W*PI()*E39^2/4))</f>
        <v>1.51040588578887</v>
      </c>
      <c r="AA39" s="27" t="n">
        <f aca="false">IF(I39-E39&gt;=GWL,99,E39*(MAX(0,GWL-I39)*(GAM_S-GAM_W)+MAX(0,NG-MAX(I39,GWL))*GAM_D)/(GAM_W*PI()*E39^2/4))</f>
        <v>1.51108753838001</v>
      </c>
      <c r="AB39" s="27" t="n">
        <f aca="false">IF(H39-E39&gt;=GWL,99,E39*(MAX(0,GWL-H39)*(GAM_S-GAM_W)+MAX(0,FL-MAX(H39,GWL))*GAM_D)/(GAM_W*PI()*E39^2/4))</f>
        <v>3.0459714953677</v>
      </c>
      <c r="AC39" s="27" t="n">
        <f aca="false">IF(I39-E39&gt;=GWL,99,E39*(MAX(0,GWL-I39)*(GAM_S-GAM_W)+MAX(0,FL-MAX(I39,GWL))*GAM_D)/(GAM_W*PI()*E39^2/4))</f>
        <v>3.04665314795884</v>
      </c>
    </row>
    <row r="40" customFormat="false" ht="15" hidden="false" customHeight="false" outlineLevel="0" collapsed="false">
      <c r="A40" s="25" t="s">
        <v>441</v>
      </c>
      <c r="B40" s="25" t="s">
        <v>447</v>
      </c>
      <c r="C40" s="25" t="s">
        <v>478</v>
      </c>
      <c r="D40" s="26" t="n">
        <v>10.0000000001476</v>
      </c>
      <c r="E40" s="26" t="n">
        <v>2.58639088233018</v>
      </c>
      <c r="F40" s="26" t="n">
        <v>-6.50485400517638</v>
      </c>
      <c r="G40" s="26" t="n">
        <v>-6.51866036068273</v>
      </c>
      <c r="H40" s="26" t="n">
        <v>-3.4184631228462</v>
      </c>
      <c r="I40" s="26" t="n">
        <v>-3.43226947835256</v>
      </c>
      <c r="J40" s="26" t="n">
        <v>13.3</v>
      </c>
      <c r="K40" s="27" t="n">
        <f aca="false">MIN(F40,G40)</f>
        <v>-6.51866036068273</v>
      </c>
      <c r="L40" s="27" t="n">
        <f aca="false">AVERAGE(F40,G40)</f>
        <v>-6.51175718292956</v>
      </c>
      <c r="M40" s="27" t="n">
        <f aca="false">MAX(0,NG-L40)</f>
        <v>5.81175718292956</v>
      </c>
      <c r="N40" s="27" t="n">
        <f aca="false">MAX(0,GWL-K40)</f>
        <v>5.01866036068273</v>
      </c>
      <c r="O40" s="27" t="n">
        <f aca="false">MAX(0,NG-MAX(K40,GWL))</f>
        <v>0.8</v>
      </c>
      <c r="P40" s="27" t="n">
        <f aca="false">E40/2+WS+SLOPE_A*O40+SLOPE_B*N40</f>
        <v>13.5305161625306</v>
      </c>
      <c r="Q40" s="28" t="str">
        <f aca="false">IF(AND(P40&lt;J40,N40&lt;=MAXOC),"Open cut","Shoring")</f>
        <v>Shoring</v>
      </c>
      <c r="R40" s="27" t="n">
        <f aca="false">IF(Q40="Shoring",D40,0)</f>
        <v>10.0000000001476</v>
      </c>
      <c r="S40" s="27" t="n">
        <f aca="false">MAX(0,GWL-L40)</f>
        <v>5.01175718292956</v>
      </c>
      <c r="T40" s="27" t="n">
        <f aca="false">MAX(0,NG-MAX(L40,GWL))</f>
        <v>0.8</v>
      </c>
      <c r="U40" s="27" t="n">
        <f aca="false">E40+2*WS</f>
        <v>4.58639088233018</v>
      </c>
      <c r="V40" s="27" t="n">
        <f aca="false">IF(Q40="Shoring",D40*M40*U40,0)</f>
        <v>266.549901544985</v>
      </c>
      <c r="W40" s="27" t="n">
        <f aca="false">IF(Q40="Open cut",D40*(U40*M40+SLOPE_B*S40^2+2*SLOPE_B*S40*T40+SLOPE_A*T40^2),0)</f>
        <v>0</v>
      </c>
      <c r="X40" s="27" t="n">
        <f aca="false">IF(M40&gt;0,D40*(E40+2*SLABOVH)*SLAB,0)</f>
        <v>17.9319544119156</v>
      </c>
      <c r="Y40" s="27" t="n">
        <f aca="false">IF(M40&gt;0,D40*PI()*E40^2/4,0)</f>
        <v>52.5385645141177</v>
      </c>
      <c r="Z40" s="27" t="n">
        <f aca="false">IF(H40-E40&gt;=GWL,99,E40*(MAX(0,GWL-H40)*(GAM_S-GAM_W)+MAX(0,NG-MAX(H40,GWL))*GAM_D)/(GAM_W*PI()*E40^2/4))</f>
        <v>1.51108753838001</v>
      </c>
      <c r="AA40" s="27" t="n">
        <f aca="false">IF(I40-E40&gt;=GWL,99,E40*(MAX(0,GWL-I40)*(GAM_S-GAM_W)+MAX(0,NG-MAX(I40,GWL))*GAM_D)/(GAM_W*PI()*E40^2/4))</f>
        <v>1.51676180716982</v>
      </c>
      <c r="AB40" s="27" t="n">
        <f aca="false">IF(H40-E40&gt;=GWL,99,E40*(MAX(0,GWL-H40)*(GAM_S-GAM_W)+MAX(0,FL-MAX(H40,GWL))*GAM_D)/(GAM_W*PI()*E40^2/4))</f>
        <v>3.04665314795884</v>
      </c>
      <c r="AC40" s="27" t="n">
        <f aca="false">IF(I40-E40&gt;=GWL,99,E40*(MAX(0,GWL-I40)*(GAM_S-GAM_W)+MAX(0,FL-MAX(I40,GWL))*GAM_D)/(GAM_W*PI()*E40^2/4))</f>
        <v>3.05232741674865</v>
      </c>
    </row>
    <row r="41" customFormat="false" ht="15" hidden="false" customHeight="false" outlineLevel="0" collapsed="false">
      <c r="A41" s="25" t="s">
        <v>441</v>
      </c>
      <c r="B41" s="25" t="s">
        <v>447</v>
      </c>
      <c r="C41" s="25" t="s">
        <v>479</v>
      </c>
      <c r="D41" s="26" t="n">
        <v>9.9999999997121</v>
      </c>
      <c r="E41" s="26" t="n">
        <v>2.58639088233018</v>
      </c>
      <c r="F41" s="26" t="n">
        <v>-6.51866036068273</v>
      </c>
      <c r="G41" s="26" t="n">
        <v>-6.53246671618909</v>
      </c>
      <c r="H41" s="26" t="n">
        <v>-3.43226947835256</v>
      </c>
      <c r="I41" s="26" t="n">
        <v>-3.44607583385892</v>
      </c>
      <c r="J41" s="26" t="n">
        <v>10.38</v>
      </c>
      <c r="K41" s="27" t="n">
        <f aca="false">MIN(F41,G41)</f>
        <v>-6.53246671618909</v>
      </c>
      <c r="L41" s="27" t="n">
        <f aca="false">AVERAGE(F41,G41)</f>
        <v>-6.52556353843591</v>
      </c>
      <c r="M41" s="27" t="n">
        <f aca="false">MAX(0,NG-L41)</f>
        <v>5.82556353843591</v>
      </c>
      <c r="N41" s="27" t="n">
        <f aca="false">MAX(0,GWL-K41)</f>
        <v>5.03246671618909</v>
      </c>
      <c r="O41" s="27" t="n">
        <f aca="false">MAX(0,NG-MAX(K41,GWL))</f>
        <v>0.8</v>
      </c>
      <c r="P41" s="27" t="n">
        <f aca="false">E41/2+WS+SLOPE_A*O41+SLOPE_B*N41</f>
        <v>13.5581288735433</v>
      </c>
      <c r="Q41" s="28" t="str">
        <f aca="false">IF(AND(P41&lt;J41,N41&lt;=MAXOC),"Open cut","Shoring")</f>
        <v>Shoring</v>
      </c>
      <c r="R41" s="27" t="n">
        <f aca="false">IF(Q41="Shoring",D41,0)</f>
        <v>9.9999999997121</v>
      </c>
      <c r="S41" s="27" t="n">
        <f aca="false">MAX(0,GWL-L41)</f>
        <v>5.02556353843591</v>
      </c>
      <c r="T41" s="27" t="n">
        <f aca="false">MAX(0,NG-MAX(L41,GWL))</f>
        <v>0.8</v>
      </c>
      <c r="U41" s="27" t="n">
        <f aca="false">E41+2*WS</f>
        <v>4.58639088233018</v>
      </c>
      <c r="V41" s="27" t="n">
        <f aca="false">IF(Q41="Shoring",D41*M41*U41,0)</f>
        <v>267.183114963484</v>
      </c>
      <c r="W41" s="27" t="n">
        <f aca="false">IF(Q41="Open cut",D41*(U41*M41+SLOPE_B*S41^2+2*SLOPE_B*S41*T41+SLOPE_A*T41^2),0)</f>
        <v>0</v>
      </c>
      <c r="X41" s="27" t="n">
        <f aca="false">IF(M41&gt;0,D41*(E41+2*SLABOVH)*SLAB,0)</f>
        <v>17.9319544111346</v>
      </c>
      <c r="Y41" s="27" t="n">
        <f aca="false">IF(M41&gt;0,D41*PI()*E41^2/4,0)</f>
        <v>52.5385645118295</v>
      </c>
      <c r="Z41" s="27" t="n">
        <f aca="false">IF(H41-E41&gt;=GWL,99,E41*(MAX(0,GWL-H41)*(GAM_S-GAM_W)+MAX(0,NG-MAX(H41,GWL))*GAM_D)/(GAM_W*PI()*E41^2/4))</f>
        <v>1.51676180716982</v>
      </c>
      <c r="AA41" s="27" t="n">
        <f aca="false">IF(I41-E41&gt;=GWL,99,E41*(MAX(0,GWL-I41)*(GAM_S-GAM_W)+MAX(0,NG-MAX(I41,GWL))*GAM_D)/(GAM_W*PI()*E41^2/4))</f>
        <v>1.52243607595963</v>
      </c>
      <c r="AB41" s="27" t="n">
        <f aca="false">IF(H41-E41&gt;=GWL,99,E41*(MAX(0,GWL-H41)*(GAM_S-GAM_W)+MAX(0,FL-MAX(H41,GWL))*GAM_D)/(GAM_W*PI()*E41^2/4))</f>
        <v>3.05232741674865</v>
      </c>
      <c r="AC41" s="27" t="n">
        <f aca="false">IF(I41-E41&gt;=GWL,99,E41*(MAX(0,GWL-I41)*(GAM_S-GAM_W)+MAX(0,FL-MAX(I41,GWL))*GAM_D)/(GAM_W*PI()*E41^2/4))</f>
        <v>3.05800168553846</v>
      </c>
    </row>
    <row r="42" customFormat="false" ht="15" hidden="false" customHeight="false" outlineLevel="0" collapsed="false">
      <c r="A42" s="25" t="s">
        <v>441</v>
      </c>
      <c r="B42" s="25" t="s">
        <v>447</v>
      </c>
      <c r="C42" s="25" t="s">
        <v>480</v>
      </c>
      <c r="D42" s="26" t="n">
        <v>10.0000000000447</v>
      </c>
      <c r="E42" s="26" t="n">
        <v>2.58639088233018</v>
      </c>
      <c r="F42" s="26" t="n">
        <v>-6.53246671618909</v>
      </c>
      <c r="G42" s="26" t="n">
        <v>-6.54627307169545</v>
      </c>
      <c r="H42" s="26" t="n">
        <v>-3.44607583385892</v>
      </c>
      <c r="I42" s="26" t="n">
        <v>-3.45988218936527</v>
      </c>
      <c r="J42" s="26" t="n">
        <v>10.09</v>
      </c>
      <c r="K42" s="27" t="n">
        <f aca="false">MIN(F42,G42)</f>
        <v>-6.54627307169545</v>
      </c>
      <c r="L42" s="27" t="n">
        <f aca="false">AVERAGE(F42,G42)</f>
        <v>-6.53936989394227</v>
      </c>
      <c r="M42" s="27" t="n">
        <f aca="false">MAX(0,NG-L42)</f>
        <v>5.83936989394227</v>
      </c>
      <c r="N42" s="27" t="n">
        <f aca="false">MAX(0,GWL-K42)</f>
        <v>5.04627307169545</v>
      </c>
      <c r="O42" s="27" t="n">
        <f aca="false">MAX(0,NG-MAX(K42,GWL))</f>
        <v>0.8</v>
      </c>
      <c r="P42" s="27" t="n">
        <f aca="false">E42/2+WS+SLOPE_A*O42+SLOPE_B*N42</f>
        <v>13.585741584556</v>
      </c>
      <c r="Q42" s="28" t="str">
        <f aca="false">IF(AND(P42&lt;J42,N42&lt;=MAXOC),"Open cut","Shoring")</f>
        <v>Shoring</v>
      </c>
      <c r="R42" s="27" t="n">
        <f aca="false">IF(Q42="Shoring",D42,0)</f>
        <v>10.0000000000447</v>
      </c>
      <c r="S42" s="27" t="n">
        <f aca="false">MAX(0,GWL-L42)</f>
        <v>5.03936989394227</v>
      </c>
      <c r="T42" s="27" t="n">
        <f aca="false">MAX(0,NG-MAX(L42,GWL))</f>
        <v>0.8</v>
      </c>
      <c r="U42" s="27" t="n">
        <f aca="false">E42+2*WS</f>
        <v>4.58639088233018</v>
      </c>
      <c r="V42" s="27" t="n">
        <f aca="false">IF(Q42="Shoring",D42*M42*U42,0)</f>
        <v>267.816328402499</v>
      </c>
      <c r="W42" s="27" t="n">
        <f aca="false">IF(Q42="Open cut",D42*(U42*M42+SLOPE_B*S42^2+2*SLOPE_B*S42*T42+SLOPE_A*T42^2),0)</f>
        <v>0</v>
      </c>
      <c r="X42" s="27" t="n">
        <f aca="false">IF(M42&gt;0,D42*(E42+2*SLABOVH)*SLAB,0)</f>
        <v>17.9319544117311</v>
      </c>
      <c r="Y42" s="27" t="n">
        <f aca="false">IF(M42&gt;0,D42*PI()*E42^2/4,0)</f>
        <v>52.5385645135771</v>
      </c>
      <c r="Z42" s="27" t="n">
        <f aca="false">IF(H42-E42&gt;=GWL,99,E42*(MAX(0,GWL-H42)*(GAM_S-GAM_W)+MAX(0,NG-MAX(H42,GWL))*GAM_D)/(GAM_W*PI()*E42^2/4))</f>
        <v>1.52243607595963</v>
      </c>
      <c r="AA42" s="27" t="n">
        <f aca="false">IF(I42-E42&gt;=GWL,99,E42*(MAX(0,GWL-I42)*(GAM_S-GAM_W)+MAX(0,NG-MAX(I42,GWL))*GAM_D)/(GAM_W*PI()*E42^2/4))</f>
        <v>1.52811034474944</v>
      </c>
      <c r="AB42" s="27" t="n">
        <f aca="false">IF(H42-E42&gt;=GWL,99,E42*(MAX(0,GWL-H42)*(GAM_S-GAM_W)+MAX(0,FL-MAX(H42,GWL))*GAM_D)/(GAM_W*PI()*E42^2/4))</f>
        <v>3.05800168553846</v>
      </c>
      <c r="AC42" s="27" t="n">
        <f aca="false">IF(I42-E42&gt;=GWL,99,E42*(MAX(0,GWL-I42)*(GAM_S-GAM_W)+MAX(0,FL-MAX(I42,GWL))*GAM_D)/(GAM_W*PI()*E42^2/4))</f>
        <v>3.06367595432827</v>
      </c>
    </row>
    <row r="43" customFormat="false" ht="15" hidden="false" customHeight="false" outlineLevel="0" collapsed="false">
      <c r="A43" s="25" t="s">
        <v>441</v>
      </c>
      <c r="B43" s="25" t="s">
        <v>447</v>
      </c>
      <c r="C43" s="25" t="s">
        <v>481</v>
      </c>
      <c r="D43" s="26" t="n">
        <v>10.0000000003654</v>
      </c>
      <c r="E43" s="26" t="n">
        <v>2.58639088233018</v>
      </c>
      <c r="F43" s="26" t="n">
        <v>-6.54627307169545</v>
      </c>
      <c r="G43" s="26" t="n">
        <v>-6.5600794272018</v>
      </c>
      <c r="H43" s="26" t="n">
        <v>-3.45988218936527</v>
      </c>
      <c r="I43" s="26" t="n">
        <v>-3.47368854487163</v>
      </c>
      <c r="J43" s="26" t="n">
        <v>10.62</v>
      </c>
      <c r="K43" s="27" t="n">
        <f aca="false">MIN(F43,G43)</f>
        <v>-6.5600794272018</v>
      </c>
      <c r="L43" s="27" t="n">
        <f aca="false">AVERAGE(F43,G43)</f>
        <v>-6.55317624944862</v>
      </c>
      <c r="M43" s="27" t="n">
        <f aca="false">MAX(0,NG-L43)</f>
        <v>5.85317624944862</v>
      </c>
      <c r="N43" s="27" t="n">
        <f aca="false">MAX(0,GWL-K43)</f>
        <v>5.0600794272018</v>
      </c>
      <c r="O43" s="27" t="n">
        <f aca="false">MAX(0,NG-MAX(K43,GWL))</f>
        <v>0.8</v>
      </c>
      <c r="P43" s="27" t="n">
        <f aca="false">E43/2+WS+SLOPE_A*O43+SLOPE_B*N43</f>
        <v>13.6133542955687</v>
      </c>
      <c r="Q43" s="28" t="str">
        <f aca="false">IF(AND(P43&lt;J43,N43&lt;=MAXOC),"Open cut","Shoring")</f>
        <v>Shoring</v>
      </c>
      <c r="R43" s="27" t="n">
        <f aca="false">IF(Q43="Shoring",D43,0)</f>
        <v>10.0000000003654</v>
      </c>
      <c r="S43" s="27" t="n">
        <f aca="false">MAX(0,GWL-L43)</f>
        <v>5.05317624944862</v>
      </c>
      <c r="T43" s="27" t="n">
        <f aca="false">MAX(0,NG-MAX(L43,GWL))</f>
        <v>0.8</v>
      </c>
      <c r="U43" s="27" t="n">
        <f aca="false">E43+2*WS</f>
        <v>4.58639088233018</v>
      </c>
      <c r="V43" s="27" t="n">
        <f aca="false">IF(Q43="Shoring",D43*M43*U43,0)</f>
        <v>268.449541841236</v>
      </c>
      <c r="W43" s="27" t="n">
        <f aca="false">IF(Q43="Open cut",D43*(U43*M43+SLOPE_B*S43^2+2*SLOPE_B*S43*T43+SLOPE_A*T43^2),0)</f>
        <v>0</v>
      </c>
      <c r="X43" s="27" t="n">
        <f aca="false">IF(M43&gt;0,D43*(E43+2*SLABOVH)*SLAB,0)</f>
        <v>17.9319544123061</v>
      </c>
      <c r="Y43" s="27" t="n">
        <f aca="false">IF(M43&gt;0,D43*PI()*E43^2/4,0)</f>
        <v>52.5385645152618</v>
      </c>
      <c r="Z43" s="27" t="n">
        <f aca="false">IF(H43-E43&gt;=GWL,99,E43*(MAX(0,GWL-H43)*(GAM_S-GAM_W)+MAX(0,NG-MAX(H43,GWL))*GAM_D)/(GAM_W*PI()*E43^2/4))</f>
        <v>1.52811034474944</v>
      </c>
      <c r="AA43" s="27" t="n">
        <f aca="false">IF(I43-E43&gt;=GWL,99,E43*(MAX(0,GWL-I43)*(GAM_S-GAM_W)+MAX(0,NG-MAX(I43,GWL))*GAM_D)/(GAM_W*PI()*E43^2/4))</f>
        <v>1.53378461353925</v>
      </c>
      <c r="AB43" s="27" t="n">
        <f aca="false">IF(H43-E43&gt;=GWL,99,E43*(MAX(0,GWL-H43)*(GAM_S-GAM_W)+MAX(0,FL-MAX(H43,GWL))*GAM_D)/(GAM_W*PI()*E43^2/4))</f>
        <v>3.06367595432827</v>
      </c>
      <c r="AC43" s="27" t="n">
        <f aca="false">IF(I43-E43&gt;=GWL,99,E43*(MAX(0,GWL-I43)*(GAM_S-GAM_W)+MAX(0,FL-MAX(I43,GWL))*GAM_D)/(GAM_W*PI()*E43^2/4))</f>
        <v>3.06935022311808</v>
      </c>
    </row>
    <row r="44" customFormat="false" ht="15" hidden="false" customHeight="false" outlineLevel="0" collapsed="false">
      <c r="A44" s="25" t="s">
        <v>441</v>
      </c>
      <c r="B44" s="25" t="s">
        <v>447</v>
      </c>
      <c r="C44" s="25" t="s">
        <v>482</v>
      </c>
      <c r="D44" s="26" t="n">
        <v>2.00343527408566</v>
      </c>
      <c r="E44" s="26" t="n">
        <v>2.58639088233018</v>
      </c>
      <c r="F44" s="26" t="n">
        <v>-6.5600794272018</v>
      </c>
      <c r="G44" s="26" t="n">
        <v>-6.56284544116509</v>
      </c>
      <c r="H44" s="26" t="n">
        <v>-3.47368854487163</v>
      </c>
      <c r="I44" s="26" t="n">
        <v>-3.47645455883491</v>
      </c>
      <c r="J44" s="26" t="n">
        <v>16.71</v>
      </c>
      <c r="K44" s="27" t="n">
        <f aca="false">MIN(F44,G44)</f>
        <v>-6.56284544116509</v>
      </c>
      <c r="L44" s="27" t="n">
        <f aca="false">AVERAGE(F44,G44)</f>
        <v>-6.56146243418344</v>
      </c>
      <c r="M44" s="27" t="n">
        <f aca="false">MAX(0,NG-L44)</f>
        <v>5.86146243418344</v>
      </c>
      <c r="N44" s="27" t="n">
        <f aca="false">MAX(0,GWL-K44)</f>
        <v>5.06284544116509</v>
      </c>
      <c r="O44" s="27" t="n">
        <f aca="false">MAX(0,NG-MAX(K44,GWL))</f>
        <v>0.8</v>
      </c>
      <c r="P44" s="27" t="n">
        <f aca="false">E44/2+WS+SLOPE_A*O44+SLOPE_B*N44</f>
        <v>13.6188863234953</v>
      </c>
      <c r="Q44" s="28" t="str">
        <f aca="false">IF(AND(P44&lt;J44,N44&lt;=MAXOC),"Open cut","Shoring")</f>
        <v>Shoring</v>
      </c>
      <c r="R44" s="27" t="n">
        <f aca="false">IF(Q44="Shoring",D44,0)</f>
        <v>2.00343527408566</v>
      </c>
      <c r="S44" s="27" t="n">
        <f aca="false">MAX(0,GWL-L44)</f>
        <v>5.06146243418344</v>
      </c>
      <c r="T44" s="27" t="n">
        <f aca="false">MAX(0,NG-MAX(L44,GWL))</f>
        <v>0.8</v>
      </c>
      <c r="U44" s="27" t="n">
        <f aca="false">E44+2*WS</f>
        <v>4.58639088233018</v>
      </c>
      <c r="V44" s="27" t="n">
        <f aca="false">IF(Q44="Shoring",D44*M44*U44,0)</f>
        <v>53.8582660590201</v>
      </c>
      <c r="W44" s="27" t="n">
        <f aca="false">IF(Q44="Open cut",D44*(U44*M44+SLOPE_B*S44^2+2*SLOPE_B*S44*T44+SLOPE_A*T44^2),0)</f>
        <v>0</v>
      </c>
      <c r="X44" s="27" t="n">
        <f aca="false">IF(M44&gt;0,D44*(E44+2*SLABOVH)*SLAB,0)</f>
        <v>3.59255100015974</v>
      </c>
      <c r="Y44" s="27" t="n">
        <f aca="false">IF(M44&gt;0,D44*PI()*E44^2/4,0)</f>
        <v>10.5257613395855</v>
      </c>
      <c r="Z44" s="27" t="n">
        <f aca="false">IF(H44-E44&gt;=GWL,99,E44*(MAX(0,GWL-H44)*(GAM_S-GAM_W)+MAX(0,NG-MAX(H44,GWL))*GAM_D)/(GAM_W*PI()*E44^2/4))</f>
        <v>1.53378461353925</v>
      </c>
      <c r="AA44" s="27" t="n">
        <f aca="false">IF(I44-E44&gt;=GWL,99,E44*(MAX(0,GWL-I44)*(GAM_S-GAM_W)+MAX(0,NG-MAX(I44,GWL))*GAM_D)/(GAM_W*PI()*E44^2/4))</f>
        <v>1.53492141656427</v>
      </c>
      <c r="AB44" s="27" t="n">
        <f aca="false">IF(H44-E44&gt;=GWL,99,E44*(MAX(0,GWL-H44)*(GAM_S-GAM_W)+MAX(0,FL-MAX(H44,GWL))*GAM_D)/(GAM_W*PI()*E44^2/4))</f>
        <v>3.06935022311808</v>
      </c>
      <c r="AC44" s="27" t="n">
        <f aca="false">IF(I44-E44&gt;=GWL,99,E44*(MAX(0,GWL-I44)*(GAM_S-GAM_W)+MAX(0,FL-MAX(I44,GWL))*GAM_D)/(GAM_W*PI()*E44^2/4))</f>
        <v>3.07048702614309</v>
      </c>
    </row>
    <row r="45" customFormat="false" ht="15" hidden="false" customHeight="false" outlineLevel="0" collapsed="false">
      <c r="A45" s="25" t="s">
        <v>441</v>
      </c>
      <c r="B45" s="25" t="s">
        <v>447</v>
      </c>
      <c r="C45" s="25" t="s">
        <v>483</v>
      </c>
      <c r="D45" s="26" t="n">
        <v>3.75088029475602</v>
      </c>
      <c r="E45" s="26" t="n">
        <v>2.58639088233018</v>
      </c>
      <c r="F45" s="26" t="n">
        <v>-6.56284544116509</v>
      </c>
      <c r="G45" s="26" t="n">
        <v>-6.56801544116509</v>
      </c>
      <c r="H45" s="26" t="n">
        <v>-3.47645455883491</v>
      </c>
      <c r="I45" s="26" t="n">
        <v>-3.48162455883491</v>
      </c>
      <c r="J45" s="26" t="n">
        <v>18.34</v>
      </c>
      <c r="K45" s="27" t="n">
        <f aca="false">MIN(F45,G45)</f>
        <v>-6.56801544116509</v>
      </c>
      <c r="L45" s="27" t="n">
        <f aca="false">AVERAGE(F45,G45)</f>
        <v>-6.56543044116509</v>
      </c>
      <c r="M45" s="27" t="n">
        <f aca="false">MAX(0,NG-L45)</f>
        <v>5.86543044116509</v>
      </c>
      <c r="N45" s="27" t="n">
        <f aca="false">MAX(0,GWL-K45)</f>
        <v>5.06801544116509</v>
      </c>
      <c r="O45" s="27" t="n">
        <f aca="false">MAX(0,NG-MAX(K45,GWL))</f>
        <v>0.8</v>
      </c>
      <c r="P45" s="27" t="n">
        <f aca="false">E45/2+WS+SLOPE_A*O45+SLOPE_B*N45</f>
        <v>13.6292263234953</v>
      </c>
      <c r="Q45" s="28" t="str">
        <f aca="false">IF(AND(P45&lt;J45,N45&lt;=MAXOC),"Open cut","Shoring")</f>
        <v>Shoring</v>
      </c>
      <c r="R45" s="27" t="n">
        <f aca="false">IF(Q45="Shoring",D45,0)</f>
        <v>3.75088029475602</v>
      </c>
      <c r="S45" s="27" t="n">
        <f aca="false">MAX(0,GWL-L45)</f>
        <v>5.06543044116509</v>
      </c>
      <c r="T45" s="27" t="n">
        <f aca="false">MAX(0,NG-MAX(L45,GWL))</f>
        <v>0.8</v>
      </c>
      <c r="U45" s="27" t="n">
        <f aca="false">E45+2*WS</f>
        <v>4.58639088233018</v>
      </c>
      <c r="V45" s="27" t="n">
        <f aca="false">IF(Q45="Shoring",D45*M45*U45,0)</f>
        <v>100.903018558301</v>
      </c>
      <c r="W45" s="27" t="n">
        <f aca="false">IF(Q45="Open cut",D45*(U45*M45+SLOPE_B*S45^2+2*SLOPE_B*S45*T45+SLOPE_A*T45^2),0)</f>
        <v>0</v>
      </c>
      <c r="X45" s="27" t="n">
        <f aca="false">IF(M45&gt;0,D45*(E45+2*SLABOVH)*SLAB,0)</f>
        <v>6.72606144491246</v>
      </c>
      <c r="Y45" s="27" t="n">
        <f aca="false">IF(M45&gt;0,D45*PI()*E45^2/4,0)</f>
        <v>19.7065866347863</v>
      </c>
      <c r="Z45" s="27" t="n">
        <f aca="false">IF(H45-E45&gt;=GWL,99,E45*(MAX(0,GWL-H45)*(GAM_S-GAM_W)+MAX(0,NG-MAX(H45,GWL))*GAM_D)/(GAM_W*PI()*E45^2/4))</f>
        <v>1.53492141656427</v>
      </c>
      <c r="AA45" s="27" t="n">
        <f aca="false">IF(I45-E45&gt;=GWL,99,E45*(MAX(0,GWL-I45)*(GAM_S-GAM_W)+MAX(0,NG-MAX(I45,GWL))*GAM_D)/(GAM_W*PI()*E45^2/4))</f>
        <v>1.53704623289467</v>
      </c>
      <c r="AB45" s="27" t="n">
        <f aca="false">IF(H45-E45&gt;=GWL,99,E45*(MAX(0,GWL-H45)*(GAM_S-GAM_W)+MAX(0,FL-MAX(H45,GWL))*GAM_D)/(GAM_W*PI()*E45^2/4))</f>
        <v>3.07048702614309</v>
      </c>
      <c r="AC45" s="27" t="n">
        <f aca="false">IF(I45-E45&gt;=GWL,99,E45*(MAX(0,GWL-I45)*(GAM_S-GAM_W)+MAX(0,FL-MAX(I45,GWL))*GAM_D)/(GAM_W*PI()*E45^2/4))</f>
        <v>3.0726118424735</v>
      </c>
    </row>
    <row r="46" customFormat="false" ht="15" hidden="false" customHeight="false" outlineLevel="0" collapsed="false">
      <c r="A46" s="25" t="s">
        <v>441</v>
      </c>
      <c r="B46" s="25" t="s">
        <v>447</v>
      </c>
      <c r="C46" s="25" t="s">
        <v>484</v>
      </c>
      <c r="D46" s="26" t="n">
        <v>3.74875173102136</v>
      </c>
      <c r="E46" s="26" t="n">
        <v>2.58640426587351</v>
      </c>
      <c r="F46" s="26" t="n">
        <v>-6.56802213293676</v>
      </c>
      <c r="G46" s="26" t="n">
        <v>-6.57320213293676</v>
      </c>
      <c r="H46" s="26" t="n">
        <v>-3.48161786706324</v>
      </c>
      <c r="I46" s="26" t="n">
        <v>-3.48679786706324</v>
      </c>
      <c r="J46" s="26" t="n">
        <v>21.57</v>
      </c>
      <c r="K46" s="27" t="n">
        <f aca="false">MIN(F46,G46)</f>
        <v>-6.57320213293676</v>
      </c>
      <c r="L46" s="27" t="n">
        <f aca="false">AVERAGE(F46,G46)</f>
        <v>-6.57061213293676</v>
      </c>
      <c r="M46" s="27" t="n">
        <f aca="false">MAX(0,NG-L46)</f>
        <v>5.87061213293676</v>
      </c>
      <c r="N46" s="27" t="n">
        <f aca="false">MAX(0,GWL-K46)</f>
        <v>5.07320213293676</v>
      </c>
      <c r="O46" s="27" t="n">
        <f aca="false">MAX(0,NG-MAX(K46,GWL))</f>
        <v>0.8</v>
      </c>
      <c r="P46" s="27" t="n">
        <f aca="false">E46/2+WS+SLOPE_A*O46+SLOPE_B*N46</f>
        <v>13.6396063988103</v>
      </c>
      <c r="Q46" s="28" t="str">
        <f aca="false">IF(AND(P46&lt;J46,N46&lt;=MAXOC),"Open cut","Shoring")</f>
        <v>Shoring</v>
      </c>
      <c r="R46" s="27" t="n">
        <f aca="false">IF(Q46="Shoring",D46,0)</f>
        <v>3.74875173102136</v>
      </c>
      <c r="S46" s="27" t="n">
        <f aca="false">MAX(0,GWL-L46)</f>
        <v>5.07061213293676</v>
      </c>
      <c r="T46" s="27" t="n">
        <f aca="false">MAX(0,NG-MAX(L46,GWL))</f>
        <v>0.8</v>
      </c>
      <c r="U46" s="27" t="n">
        <f aca="false">E46+2*WS</f>
        <v>4.58640426587351</v>
      </c>
      <c r="V46" s="27" t="n">
        <f aca="false">IF(Q46="Shoring",D46*M46*U46,0)</f>
        <v>100.935142343801</v>
      </c>
      <c r="W46" s="27" t="n">
        <f aca="false">IF(Q46="Open cut",D46*(U46*M46+SLOPE_B*S46^2+2*SLOPE_B*S46*T46+SLOPE_A*T46^2),0)</f>
        <v>0</v>
      </c>
      <c r="X46" s="27" t="n">
        <f aca="false">IF(M46&gt;0,D46*(E46+2*SLABOVH)*SLAB,0)</f>
        <v>6.72226959991787</v>
      </c>
      <c r="Y46" s="27" t="n">
        <f aca="false">IF(M46&gt;0,D46*PI()*E46^2/4,0)</f>
        <v>19.6956072987511</v>
      </c>
      <c r="Z46" s="27" t="n">
        <f aca="false">IF(H46-E46&gt;=GWL,99,E46*(MAX(0,GWL-H46)*(GAM_S-GAM_W)+MAX(0,NG-MAX(H46,GWL))*GAM_D)/(GAM_W*PI()*E46^2/4))</f>
        <v>1.53703552909892</v>
      </c>
      <c r="AA46" s="27" t="n">
        <f aca="false">IF(I46-E46&gt;=GWL,99,E46*(MAX(0,GWL-I46)*(GAM_S-GAM_W)+MAX(0,NG-MAX(I46,GWL))*GAM_D)/(GAM_W*PI()*E46^2/4))</f>
        <v>1.53916444430923</v>
      </c>
      <c r="AB46" s="27" t="n">
        <f aca="false">IF(H46-E46&gt;=GWL,99,E46*(MAX(0,GWL-H46)*(GAM_S-GAM_W)+MAX(0,FL-MAX(H46,GWL))*GAM_D)/(GAM_W*PI()*E46^2/4))</f>
        <v>3.07259319277804</v>
      </c>
      <c r="AC46" s="27" t="n">
        <f aca="false">IF(I46-E46&gt;=GWL,99,E46*(MAX(0,GWL-I46)*(GAM_S-GAM_W)+MAX(0,FL-MAX(I46,GWL))*GAM_D)/(GAM_W*PI()*E46^2/4))</f>
        <v>3.07472210798835</v>
      </c>
    </row>
    <row r="47" customFormat="false" ht="15" hidden="false" customHeight="false" outlineLevel="0" collapsed="false">
      <c r="A47" s="25" t="s">
        <v>441</v>
      </c>
      <c r="B47" s="25" t="s">
        <v>447</v>
      </c>
      <c r="C47" s="25" t="s">
        <v>485</v>
      </c>
      <c r="D47" s="26" t="n">
        <v>0.49693269976013</v>
      </c>
      <c r="E47" s="26" t="n">
        <v>2.58640426587351</v>
      </c>
      <c r="F47" s="26" t="n">
        <v>-6.57320213293676</v>
      </c>
      <c r="G47" s="26" t="n">
        <v>-6.58160293702383</v>
      </c>
      <c r="H47" s="26" t="n">
        <v>-3.48679786706324</v>
      </c>
      <c r="I47" s="26" t="n">
        <v>-3.49519867115032</v>
      </c>
      <c r="J47" s="26" t="n">
        <v>22.96</v>
      </c>
      <c r="K47" s="27" t="n">
        <f aca="false">MIN(F47,G47)</f>
        <v>-6.58160293702383</v>
      </c>
      <c r="L47" s="27" t="n">
        <f aca="false">AVERAGE(F47,G47)</f>
        <v>-6.57740253498029</v>
      </c>
      <c r="M47" s="27" t="n">
        <f aca="false">MAX(0,NG-L47)</f>
        <v>5.87740253498029</v>
      </c>
      <c r="N47" s="27" t="n">
        <f aca="false">MAX(0,GWL-K47)</f>
        <v>5.08160293702383</v>
      </c>
      <c r="O47" s="27" t="n">
        <f aca="false">MAX(0,NG-MAX(K47,GWL))</f>
        <v>0.8</v>
      </c>
      <c r="P47" s="27" t="n">
        <f aca="false">E47/2+WS+SLOPE_A*O47+SLOPE_B*N47</f>
        <v>13.6564080069844</v>
      </c>
      <c r="Q47" s="28" t="str">
        <f aca="false">IF(AND(P47&lt;J47,N47&lt;=MAXOC),"Open cut","Shoring")</f>
        <v>Shoring</v>
      </c>
      <c r="R47" s="27" t="n">
        <f aca="false">IF(Q47="Shoring",D47,0)</f>
        <v>0.49693269976013</v>
      </c>
      <c r="S47" s="27" t="n">
        <f aca="false">MAX(0,GWL-L47)</f>
        <v>5.07740253498029</v>
      </c>
      <c r="T47" s="27" t="n">
        <f aca="false">MAX(0,NG-MAX(L47,GWL))</f>
        <v>0.8</v>
      </c>
      <c r="U47" s="27" t="n">
        <f aca="false">E47+2*WS</f>
        <v>4.58640426587351</v>
      </c>
      <c r="V47" s="27" t="n">
        <f aca="false">IF(Q47="Shoring",D47*M47*U47,0)</f>
        <v>13.3953894422075</v>
      </c>
      <c r="W47" s="27" t="n">
        <f aca="false">IF(Q47="Open cut",D47*(U47*M47+SLOPE_B*S47^2+2*SLOPE_B*S47*T47+SLOPE_A*T47^2),0)</f>
        <v>0</v>
      </c>
      <c r="X47" s="27" t="n">
        <f aca="false">IF(M47&gt;0,D47*(E47+2*SLABOVH)*SLAB,0)</f>
        <v>0.891100777135885</v>
      </c>
      <c r="Y47" s="27" t="n">
        <f aca="false">IF(M47&gt;0,D47*PI()*E47^2/4,0)</f>
        <v>2.61084009042047</v>
      </c>
      <c r="Z47" s="27" t="n">
        <f aca="false">IF(H47-E47&gt;=GWL,99,E47*(MAX(0,GWL-H47)*(GAM_S-GAM_W)+MAX(0,NG-MAX(H47,GWL))*GAM_D)/(GAM_W*PI()*E47^2/4))</f>
        <v>1.53916444430923</v>
      </c>
      <c r="AA47" s="27" t="n">
        <f aca="false">IF(I47-E47&gt;=GWL,99,E47*(MAX(0,GWL-I47)*(GAM_S-GAM_W)+MAX(0,NG-MAX(I47,GWL))*GAM_D)/(GAM_W*PI()*E47^2/4))</f>
        <v>1.54261706971459</v>
      </c>
      <c r="AB47" s="27" t="n">
        <f aca="false">IF(H47-E47&gt;=GWL,99,E47*(MAX(0,GWL-H47)*(GAM_S-GAM_W)+MAX(0,FL-MAX(H47,GWL))*GAM_D)/(GAM_W*PI()*E47^2/4))</f>
        <v>3.07472210798835</v>
      </c>
      <c r="AC47" s="27" t="n">
        <f aca="false">IF(I47-E47&gt;=GWL,99,E47*(MAX(0,GWL-I47)*(GAM_S-GAM_W)+MAX(0,FL-MAX(I47,GWL))*GAM_D)/(GAM_W*PI()*E47^2/4))</f>
        <v>3.07817473339372</v>
      </c>
    </row>
    <row r="48" customFormat="false" ht="15" hidden="false" customHeight="false" outlineLevel="0" collapsed="false">
      <c r="A48" s="25" t="s">
        <v>441</v>
      </c>
      <c r="B48" s="25" t="s">
        <v>447</v>
      </c>
      <c r="C48" s="25" t="s">
        <v>486</v>
      </c>
      <c r="D48" s="26" t="n">
        <v>9.99999999981492</v>
      </c>
      <c r="E48" s="26" t="n">
        <v>2.58640426587351</v>
      </c>
      <c r="F48" s="26" t="n">
        <v>-6.58160293702383</v>
      </c>
      <c r="G48" s="26" t="n">
        <v>-6.75065609237113</v>
      </c>
      <c r="H48" s="26" t="n">
        <v>-3.49519867115032</v>
      </c>
      <c r="I48" s="26" t="n">
        <v>-3.66425182649762</v>
      </c>
      <c r="J48" s="26" t="n">
        <v>23.18</v>
      </c>
      <c r="K48" s="27" t="n">
        <f aca="false">MIN(F48,G48)</f>
        <v>-6.75065609237113</v>
      </c>
      <c r="L48" s="27" t="n">
        <f aca="false">AVERAGE(F48,G48)</f>
        <v>-6.66612951469748</v>
      </c>
      <c r="M48" s="27" t="n">
        <f aca="false">MAX(0,NG-L48)</f>
        <v>5.96612951469748</v>
      </c>
      <c r="N48" s="27" t="n">
        <f aca="false">MAX(0,GWL-K48)</f>
        <v>5.25065609237113</v>
      </c>
      <c r="O48" s="27" t="n">
        <f aca="false">MAX(0,NG-MAX(K48,GWL))</f>
        <v>0.8</v>
      </c>
      <c r="P48" s="27" t="n">
        <f aca="false">E48/2+WS+SLOPE_A*O48+SLOPE_B*N48</f>
        <v>13.994514317679</v>
      </c>
      <c r="Q48" s="28" t="str">
        <f aca="false">IF(AND(P48&lt;J48,N48&lt;=MAXOC),"Open cut","Shoring")</f>
        <v>Shoring</v>
      </c>
      <c r="R48" s="27" t="n">
        <f aca="false">IF(Q48="Shoring",D48,0)</f>
        <v>9.99999999981492</v>
      </c>
      <c r="S48" s="27" t="n">
        <f aca="false">MAX(0,GWL-L48)</f>
        <v>5.16612951469748</v>
      </c>
      <c r="T48" s="27" t="n">
        <f aca="false">MAX(0,NG-MAX(L48,GWL))</f>
        <v>0.8</v>
      </c>
      <c r="U48" s="27" t="n">
        <f aca="false">E48+2*WS</f>
        <v>4.58640426587351</v>
      </c>
      <c r="V48" s="27" t="n">
        <f aca="false">IF(Q48="Shoring",D48*M48*U48,0)</f>
        <v>273.63081856456</v>
      </c>
      <c r="W48" s="27" t="n">
        <f aca="false">IF(Q48="Open cut",D48*(U48*M48+SLOPE_B*S48^2+2*SLOPE_B*S48*T48+SLOPE_A*T48^2),0)</f>
        <v>0</v>
      </c>
      <c r="X48" s="27" t="n">
        <f aca="false">IF(M48&gt;0,D48*(E48+2*SLABOVH)*SLAB,0)</f>
        <v>17.9320213290357</v>
      </c>
      <c r="Y48" s="27" t="n">
        <f aca="false">IF(M48&gt;0,D48*PI()*E48^2/4,0)</f>
        <v>52.5391082460946</v>
      </c>
      <c r="Z48" s="27" t="n">
        <f aca="false">IF(H48-E48&gt;=GWL,99,E48*(MAX(0,GWL-H48)*(GAM_S-GAM_W)+MAX(0,NG-MAX(H48,GWL))*GAM_D)/(GAM_W*PI()*E48^2/4))</f>
        <v>1.54261706971459</v>
      </c>
      <c r="AA48" s="27" t="n">
        <f aca="false">IF(I48-E48&gt;=GWL,99,E48*(MAX(0,GWL-I48)*(GAM_S-GAM_W)+MAX(0,NG-MAX(I48,GWL))*GAM_D)/(GAM_W*PI()*E48^2/4))</f>
        <v>1.61209580210255</v>
      </c>
      <c r="AB48" s="27" t="n">
        <f aca="false">IF(H48-E48&gt;=GWL,99,E48*(MAX(0,GWL-H48)*(GAM_S-GAM_W)+MAX(0,FL-MAX(H48,GWL))*GAM_D)/(GAM_W*PI()*E48^2/4))</f>
        <v>3.07817473339372</v>
      </c>
      <c r="AC48" s="27" t="n">
        <f aca="false">IF(I48-E48&gt;=GWL,99,E48*(MAX(0,GWL-I48)*(GAM_S-GAM_W)+MAX(0,FL-MAX(I48,GWL))*GAM_D)/(GAM_W*PI()*E48^2/4))</f>
        <v>3.14765346578167</v>
      </c>
    </row>
    <row r="49" customFormat="false" ht="15" hidden="false" customHeight="false" outlineLevel="0" collapsed="false">
      <c r="A49" s="25" t="s">
        <v>441</v>
      </c>
      <c r="B49" s="25" t="s">
        <v>447</v>
      </c>
      <c r="C49" s="25" t="s">
        <v>487</v>
      </c>
      <c r="D49" s="26" t="n">
        <v>10.0000000001149</v>
      </c>
      <c r="E49" s="26" t="n">
        <v>2.58640426587351</v>
      </c>
      <c r="F49" s="26" t="n">
        <v>-6.75065609237113</v>
      </c>
      <c r="G49" s="26" t="n">
        <v>-6.91970924771844</v>
      </c>
      <c r="H49" s="26" t="n">
        <v>-3.66425182649762</v>
      </c>
      <c r="I49" s="26" t="n">
        <v>-3.83330498184493</v>
      </c>
      <c r="J49" s="26" t="n">
        <v>29.11</v>
      </c>
      <c r="K49" s="27" t="n">
        <f aca="false">MIN(F49,G49)</f>
        <v>-6.91970924771844</v>
      </c>
      <c r="L49" s="27" t="n">
        <f aca="false">AVERAGE(F49,G49)</f>
        <v>-6.83518267004479</v>
      </c>
      <c r="M49" s="27" t="n">
        <f aca="false">MAX(0,NG-L49)</f>
        <v>6.13518267004479</v>
      </c>
      <c r="N49" s="27" t="n">
        <f aca="false">MAX(0,GWL-K49)</f>
        <v>5.41970924771844</v>
      </c>
      <c r="O49" s="27" t="n">
        <f aca="false">MAX(0,NG-MAX(K49,GWL))</f>
        <v>0.8</v>
      </c>
      <c r="P49" s="27" t="n">
        <f aca="false">E49/2+WS+SLOPE_A*O49+SLOPE_B*N49</f>
        <v>14.3326206283736</v>
      </c>
      <c r="Q49" s="28" t="str">
        <f aca="false">IF(AND(P49&lt;J49,N49&lt;=MAXOC),"Open cut","Shoring")</f>
        <v>Shoring</v>
      </c>
      <c r="R49" s="27" t="n">
        <f aca="false">IF(Q49="Shoring",D49,0)</f>
        <v>10.0000000001149</v>
      </c>
      <c r="S49" s="27" t="n">
        <f aca="false">MAX(0,GWL-L49)</f>
        <v>5.33518267004479</v>
      </c>
      <c r="T49" s="27" t="n">
        <f aca="false">MAX(0,NG-MAX(L49,GWL))</f>
        <v>0.8</v>
      </c>
      <c r="U49" s="27" t="n">
        <f aca="false">E49+2*WS</f>
        <v>4.58640426587351</v>
      </c>
      <c r="V49" s="27" t="n">
        <f aca="false">IF(Q49="Shoring",D49*M49*U49,0)</f>
        <v>281.384279701299</v>
      </c>
      <c r="W49" s="27" t="n">
        <f aca="false">IF(Q49="Open cut",D49*(U49*M49+SLOPE_B*S49^2+2*SLOPE_B*S49*T49+SLOPE_A*T49^2),0)</f>
        <v>0</v>
      </c>
      <c r="X49" s="27" t="n">
        <f aca="false">IF(M49&gt;0,D49*(E49+2*SLABOVH)*SLAB,0)</f>
        <v>17.9320213295735</v>
      </c>
      <c r="Y49" s="27" t="n">
        <f aca="false">IF(M49&gt;0,D49*PI()*E49^2/4,0)</f>
        <v>52.5391082476705</v>
      </c>
      <c r="Z49" s="27" t="n">
        <f aca="false">IF(H49-E49&gt;=GWL,99,E49*(MAX(0,GWL-H49)*(GAM_S-GAM_W)+MAX(0,NG-MAX(H49,GWL))*GAM_D)/(GAM_W*PI()*E49^2/4))</f>
        <v>1.61209580210255</v>
      </c>
      <c r="AA49" s="27" t="n">
        <f aca="false">IF(I49-E49&gt;=GWL,99,E49*(MAX(0,GWL-I49)*(GAM_S-GAM_W)+MAX(0,NG-MAX(I49,GWL))*GAM_D)/(GAM_W*PI()*E49^2/4))</f>
        <v>1.6815745344905</v>
      </c>
      <c r="AB49" s="27" t="n">
        <f aca="false">IF(H49-E49&gt;=GWL,99,E49*(MAX(0,GWL-H49)*(GAM_S-GAM_W)+MAX(0,FL-MAX(H49,GWL))*GAM_D)/(GAM_W*PI()*E49^2/4))</f>
        <v>3.14765346578167</v>
      </c>
      <c r="AC49" s="27" t="n">
        <f aca="false">IF(I49-E49&gt;=GWL,99,E49*(MAX(0,GWL-I49)*(GAM_S-GAM_W)+MAX(0,FL-MAX(I49,GWL))*GAM_D)/(GAM_W*PI()*E49^2/4))</f>
        <v>3.21713219816963</v>
      </c>
    </row>
    <row r="50" customFormat="false" ht="15" hidden="false" customHeight="false" outlineLevel="0" collapsed="false">
      <c r="A50" s="25" t="s">
        <v>441</v>
      </c>
      <c r="B50" s="25" t="s">
        <v>447</v>
      </c>
      <c r="C50" s="25" t="s">
        <v>488</v>
      </c>
      <c r="D50" s="26" t="n">
        <v>9.99999999984073</v>
      </c>
      <c r="E50" s="26" t="n">
        <v>2.58640426587351</v>
      </c>
      <c r="F50" s="26" t="n">
        <v>-6.91970924771844</v>
      </c>
      <c r="G50" s="26" t="n">
        <v>-7.08876240306574</v>
      </c>
      <c r="H50" s="26" t="n">
        <v>-3.83330498184493</v>
      </c>
      <c r="I50" s="26" t="n">
        <v>-4.00235813719223</v>
      </c>
      <c r="J50" s="26" t="n">
        <v>35.86</v>
      </c>
      <c r="K50" s="27" t="n">
        <f aca="false">MIN(F50,G50)</f>
        <v>-7.08876240306574</v>
      </c>
      <c r="L50" s="27" t="n">
        <f aca="false">AVERAGE(F50,G50)</f>
        <v>-7.00423582539209</v>
      </c>
      <c r="M50" s="27" t="n">
        <f aca="false">MAX(0,NG-L50)</f>
        <v>6.30423582539209</v>
      </c>
      <c r="N50" s="27" t="n">
        <f aca="false">MAX(0,GWL-K50)</f>
        <v>5.58876240306574</v>
      </c>
      <c r="O50" s="27" t="n">
        <f aca="false">MAX(0,NG-MAX(K50,GWL))</f>
        <v>0.8</v>
      </c>
      <c r="P50" s="27" t="n">
        <f aca="false">E50/2+WS+SLOPE_A*O50+SLOPE_B*N50</f>
        <v>14.6707269390682</v>
      </c>
      <c r="Q50" s="28" t="str">
        <f aca="false">IF(AND(P50&lt;J50,N50&lt;=MAXOC),"Open cut","Shoring")</f>
        <v>Shoring</v>
      </c>
      <c r="R50" s="27" t="n">
        <f aca="false">IF(Q50="Shoring",D50,0)</f>
        <v>9.99999999984073</v>
      </c>
      <c r="S50" s="27" t="n">
        <f aca="false">MAX(0,GWL-L50)</f>
        <v>5.50423582539209</v>
      </c>
      <c r="T50" s="27" t="n">
        <f aca="false">MAX(0,NG-MAX(L50,GWL))</f>
        <v>0.8</v>
      </c>
      <c r="U50" s="27" t="n">
        <f aca="false">E50+2*WS</f>
        <v>4.58640426587351</v>
      </c>
      <c r="V50" s="27" t="n">
        <f aca="false">IF(Q50="Shoring",D50*M50*U50,0)</f>
        <v>289.137740821904</v>
      </c>
      <c r="W50" s="27" t="n">
        <f aca="false">IF(Q50="Open cut",D50*(U50*M50+SLOPE_B*S50^2+2*SLOPE_B*S50*T50+SLOPE_A*T50^2),0)</f>
        <v>0</v>
      </c>
      <c r="X50" s="27" t="n">
        <f aca="false">IF(M50&gt;0,D50*(E50+2*SLABOVH)*SLAB,0)</f>
        <v>17.932021329082</v>
      </c>
      <c r="Y50" s="27" t="n">
        <f aca="false">IF(M50&gt;0,D50*PI()*E50^2/4,0)</f>
        <v>52.5391082462303</v>
      </c>
      <c r="Z50" s="27" t="n">
        <f aca="false">IF(H50-E50&gt;=GWL,99,E50*(MAX(0,GWL-H50)*(GAM_S-GAM_W)+MAX(0,NG-MAX(H50,GWL))*GAM_D)/(GAM_W*PI()*E50^2/4))</f>
        <v>1.6815745344905</v>
      </c>
      <c r="AA50" s="27" t="n">
        <f aca="false">IF(I50-E50&gt;=GWL,99,E50*(MAX(0,GWL-I50)*(GAM_S-GAM_W)+MAX(0,NG-MAX(I50,GWL))*GAM_D)/(GAM_W*PI()*E50^2/4))</f>
        <v>1.75105326687846</v>
      </c>
      <c r="AB50" s="27" t="n">
        <f aca="false">IF(H50-E50&gt;=GWL,99,E50*(MAX(0,GWL-H50)*(GAM_S-GAM_W)+MAX(0,FL-MAX(H50,GWL))*GAM_D)/(GAM_W*PI()*E50^2/4))</f>
        <v>3.21713219816963</v>
      </c>
      <c r="AC50" s="27" t="n">
        <f aca="false">IF(I50-E50&gt;=GWL,99,E50*(MAX(0,GWL-I50)*(GAM_S-GAM_W)+MAX(0,FL-MAX(I50,GWL))*GAM_D)/(GAM_W*PI()*E50^2/4))</f>
        <v>3.28661093055758</v>
      </c>
    </row>
    <row r="51" customFormat="false" ht="15" hidden="false" customHeight="false" outlineLevel="0" collapsed="false">
      <c r="A51" s="25" t="s">
        <v>441</v>
      </c>
      <c r="B51" s="25" t="s">
        <v>447</v>
      </c>
      <c r="C51" s="25" t="s">
        <v>489</v>
      </c>
      <c r="D51" s="26" t="n">
        <v>10.0000000002261</v>
      </c>
      <c r="E51" s="26" t="n">
        <v>2.58640426587351</v>
      </c>
      <c r="F51" s="26" t="n">
        <v>-7.08876240306574</v>
      </c>
      <c r="G51" s="26" t="n">
        <v>-7.25781555841305</v>
      </c>
      <c r="H51" s="26" t="n">
        <v>-4.00235813719223</v>
      </c>
      <c r="I51" s="26" t="n">
        <v>-4.17141129253953</v>
      </c>
      <c r="J51" s="26" t="n">
        <v>99</v>
      </c>
      <c r="K51" s="27" t="n">
        <f aca="false">MIN(F51,G51)</f>
        <v>-7.25781555841305</v>
      </c>
      <c r="L51" s="27" t="n">
        <f aca="false">AVERAGE(F51,G51)</f>
        <v>-7.1732889807394</v>
      </c>
      <c r="M51" s="27" t="n">
        <f aca="false">MAX(0,NG-L51)</f>
        <v>6.4732889807394</v>
      </c>
      <c r="N51" s="27" t="n">
        <f aca="false">MAX(0,GWL-K51)</f>
        <v>5.75781555841305</v>
      </c>
      <c r="O51" s="27" t="n">
        <f aca="false">MAX(0,NG-MAX(K51,GWL))</f>
        <v>0.8</v>
      </c>
      <c r="P51" s="27" t="n">
        <f aca="false">E51/2+WS+SLOPE_A*O51+SLOPE_B*N51</f>
        <v>15.0088332497629</v>
      </c>
      <c r="Q51" s="28" t="str">
        <f aca="false">IF(AND(P51&lt;J51,N51&lt;=MAXOC),"Open cut","Shoring")</f>
        <v>Shoring</v>
      </c>
      <c r="R51" s="27" t="n">
        <f aca="false">IF(Q51="Shoring",D51,0)</f>
        <v>10.0000000002261</v>
      </c>
      <c r="S51" s="27" t="n">
        <f aca="false">MAX(0,GWL-L51)</f>
        <v>5.6732889807394</v>
      </c>
      <c r="T51" s="27" t="n">
        <f aca="false">MAX(0,NG-MAX(L51,GWL))</f>
        <v>0.8</v>
      </c>
      <c r="U51" s="27" t="n">
        <f aca="false">E51+2*WS</f>
        <v>4.58640426587351</v>
      </c>
      <c r="V51" s="27" t="n">
        <f aca="false">IF(Q51="Shoring",D51*M51*U51,0)</f>
        <v>296.891201961665</v>
      </c>
      <c r="W51" s="27" t="n">
        <f aca="false">IF(Q51="Open cut",D51*(U51*M51+SLOPE_B*S51^2+2*SLOPE_B*S51*T51+SLOPE_A*T51^2),0)</f>
        <v>0</v>
      </c>
      <c r="X51" s="27" t="n">
        <f aca="false">IF(M51&gt;0,D51*(E51+2*SLABOVH)*SLAB,0)</f>
        <v>17.9320213297731</v>
      </c>
      <c r="Y51" s="27" t="n">
        <f aca="false">IF(M51&gt;0,D51*PI()*E51^2/4,0)</f>
        <v>52.5391082482551</v>
      </c>
      <c r="Z51" s="27" t="n">
        <f aca="false">IF(H51-E51&gt;=GWL,99,E51*(MAX(0,GWL-H51)*(GAM_S-GAM_W)+MAX(0,NG-MAX(H51,GWL))*GAM_D)/(GAM_W*PI()*E51^2/4))</f>
        <v>1.75105326687846</v>
      </c>
      <c r="AA51" s="27" t="n">
        <f aca="false">IF(I51-E51&gt;=GWL,99,E51*(MAX(0,GWL-I51)*(GAM_S-GAM_W)+MAX(0,NG-MAX(I51,GWL))*GAM_D)/(GAM_W*PI()*E51^2/4))</f>
        <v>1.82053199926642</v>
      </c>
      <c r="AB51" s="27" t="n">
        <f aca="false">IF(H51-E51&gt;=GWL,99,E51*(MAX(0,GWL-H51)*(GAM_S-GAM_W)+MAX(0,FL-MAX(H51,GWL))*GAM_D)/(GAM_W*PI()*E51^2/4))</f>
        <v>3.28661093055758</v>
      </c>
      <c r="AC51" s="27" t="n">
        <f aca="false">IF(I51-E51&gt;=GWL,99,E51*(MAX(0,GWL-I51)*(GAM_S-GAM_W)+MAX(0,FL-MAX(I51,GWL))*GAM_D)/(GAM_W*PI()*E51^2/4))</f>
        <v>3.35608966294554</v>
      </c>
    </row>
    <row r="52" customFormat="false" ht="15" hidden="false" customHeight="false" outlineLevel="0" collapsed="false">
      <c r="A52" s="25" t="s">
        <v>441</v>
      </c>
      <c r="B52" s="25" t="s">
        <v>447</v>
      </c>
      <c r="C52" s="25" t="s">
        <v>490</v>
      </c>
      <c r="D52" s="26" t="n">
        <v>6.71957730031686</v>
      </c>
      <c r="E52" s="26" t="n">
        <v>2.58640426587351</v>
      </c>
      <c r="F52" s="26" t="n">
        <v>-7.25781555841305</v>
      </c>
      <c r="G52" s="26" t="n">
        <v>-7.37141213293676</v>
      </c>
      <c r="H52" s="26" t="n">
        <v>-4.17141129253953</v>
      </c>
      <c r="I52" s="26" t="n">
        <v>-4.28500786706324</v>
      </c>
      <c r="J52" s="26" t="n">
        <v>39.3</v>
      </c>
      <c r="K52" s="27" t="n">
        <f aca="false">MIN(F52,G52)</f>
        <v>-7.37141213293676</v>
      </c>
      <c r="L52" s="27" t="n">
        <f aca="false">AVERAGE(F52,G52)</f>
        <v>-7.3146138456749</v>
      </c>
      <c r="M52" s="27" t="n">
        <f aca="false">MAX(0,NG-L52)</f>
        <v>6.6146138456749</v>
      </c>
      <c r="N52" s="27" t="n">
        <f aca="false">MAX(0,GWL-K52)</f>
        <v>5.87141213293676</v>
      </c>
      <c r="O52" s="27" t="n">
        <f aca="false">MAX(0,NG-MAX(K52,GWL))</f>
        <v>0.8</v>
      </c>
      <c r="P52" s="27" t="n">
        <f aca="false">E52/2+WS+SLOPE_A*O52+SLOPE_B*N52</f>
        <v>15.2360263988103</v>
      </c>
      <c r="Q52" s="28" t="str">
        <f aca="false">IF(AND(P52&lt;J52,N52&lt;=MAXOC),"Open cut","Shoring")</f>
        <v>Shoring</v>
      </c>
      <c r="R52" s="27" t="n">
        <f aca="false">IF(Q52="Shoring",D52,0)</f>
        <v>6.71957730031686</v>
      </c>
      <c r="S52" s="27" t="n">
        <f aca="false">MAX(0,GWL-L52)</f>
        <v>5.8146138456749</v>
      </c>
      <c r="T52" s="27" t="n">
        <f aca="false">MAX(0,NG-MAX(L52,GWL))</f>
        <v>0.8</v>
      </c>
      <c r="U52" s="27" t="n">
        <f aca="false">E52+2*WS</f>
        <v>4.58640426587351</v>
      </c>
      <c r="V52" s="27" t="n">
        <f aca="false">IF(Q52="Shoring",D52*M52*U52,0)</f>
        <v>203.853786463665</v>
      </c>
      <c r="W52" s="27" t="n">
        <f aca="false">IF(Q52="Open cut",D52*(U52*M52+SLOPE_B*S52^2+2*SLOPE_B*S52*T52+SLOPE_A*T52^2),0)</f>
        <v>0</v>
      </c>
      <c r="X52" s="27" t="n">
        <f aca="false">IF(M52&gt;0,D52*(E52+2*SLABOVH)*SLAB,0)</f>
        <v>12.0495603473616</v>
      </c>
      <c r="Y52" s="27" t="n">
        <f aca="false">IF(M52&gt;0,D52*PI()*E52^2/4,0)</f>
        <v>35.3040599155882</v>
      </c>
      <c r="Z52" s="27" t="n">
        <f aca="false">IF(H52-E52&gt;=GWL,99,E52*(MAX(0,GWL-H52)*(GAM_S-GAM_W)+MAX(0,NG-MAX(H52,GWL))*GAM_D)/(GAM_W*PI()*E52^2/4))</f>
        <v>1.82053199926642</v>
      </c>
      <c r="AA52" s="27" t="n">
        <f aca="false">IF(I52-E52&gt;=GWL,99,E52*(MAX(0,GWL-I52)*(GAM_S-GAM_W)+MAX(0,NG-MAX(I52,GWL))*GAM_D)/(GAM_W*PI()*E52^2/4))</f>
        <v>1.86721877056806</v>
      </c>
      <c r="AB52" s="27" t="n">
        <f aca="false">IF(H52-E52&gt;=GWL,99,E52*(MAX(0,GWL-H52)*(GAM_S-GAM_W)+MAX(0,FL-MAX(H52,GWL))*GAM_D)/(GAM_W*PI()*E52^2/4))</f>
        <v>3.35608966294554</v>
      </c>
      <c r="AC52" s="27" t="n">
        <f aca="false">IF(I52-E52&gt;=GWL,99,E52*(MAX(0,GWL-I52)*(GAM_S-GAM_W)+MAX(0,FL-MAX(I52,GWL))*GAM_D)/(GAM_W*PI()*E52^2/4))</f>
        <v>3.40277643424719</v>
      </c>
    </row>
    <row r="53" customFormat="false" ht="15" hidden="false" customHeight="false" outlineLevel="0" collapsed="false">
      <c r="A53" s="25" t="s">
        <v>441</v>
      </c>
      <c r="B53" s="25" t="s">
        <v>447</v>
      </c>
      <c r="C53" s="25" t="s">
        <v>491</v>
      </c>
      <c r="D53" s="26" t="n">
        <v>3.28042269940294</v>
      </c>
      <c r="E53" s="26" t="n">
        <v>2.58640426587351</v>
      </c>
      <c r="F53" s="26" t="n">
        <v>-7.37141213293676</v>
      </c>
      <c r="G53" s="26" t="n">
        <v>-7.42686963218658</v>
      </c>
      <c r="H53" s="26" t="n">
        <v>-4.28500786706324</v>
      </c>
      <c r="I53" s="26" t="n">
        <v>-4.34046536631307</v>
      </c>
      <c r="J53" s="26" t="n">
        <v>36.89</v>
      </c>
      <c r="K53" s="27" t="n">
        <f aca="false">MIN(F53,G53)</f>
        <v>-7.42686963218658</v>
      </c>
      <c r="L53" s="27" t="n">
        <f aca="false">AVERAGE(F53,G53)</f>
        <v>-7.39914088256167</v>
      </c>
      <c r="M53" s="27" t="n">
        <f aca="false">MAX(0,NG-L53)</f>
        <v>6.69914088256167</v>
      </c>
      <c r="N53" s="27" t="n">
        <f aca="false">MAX(0,GWL-K53)</f>
        <v>5.92686963218658</v>
      </c>
      <c r="O53" s="27" t="n">
        <f aca="false">MAX(0,NG-MAX(K53,GWL))</f>
        <v>0.8</v>
      </c>
      <c r="P53" s="27" t="n">
        <f aca="false">E53/2+WS+SLOPE_A*O53+SLOPE_B*N53</f>
        <v>15.3469413973099</v>
      </c>
      <c r="Q53" s="28" t="str">
        <f aca="false">IF(AND(P53&lt;J53,N53&lt;=MAXOC),"Open cut","Shoring")</f>
        <v>Shoring</v>
      </c>
      <c r="R53" s="27" t="n">
        <f aca="false">IF(Q53="Shoring",D53,0)</f>
        <v>3.28042269940294</v>
      </c>
      <c r="S53" s="27" t="n">
        <f aca="false">MAX(0,GWL-L53)</f>
        <v>5.89914088256167</v>
      </c>
      <c r="T53" s="27" t="n">
        <f aca="false">MAX(0,NG-MAX(L53,GWL))</f>
        <v>0.8</v>
      </c>
      <c r="U53" s="27" t="n">
        <f aca="false">E53+2*WS</f>
        <v>4.58640426587351</v>
      </c>
      <c r="V53" s="27" t="n">
        <f aca="false">IF(Q53="Shoring",D53*M53*U53,0)</f>
        <v>100.790883520182</v>
      </c>
      <c r="W53" s="27" t="n">
        <f aca="false">IF(Q53="Open cut",D53*(U53*M53+SLOPE_B*S53^2+2*SLOPE_B*S53*T53+SLOPE_A*T53^2),0)</f>
        <v>0</v>
      </c>
      <c r="X53" s="27" t="n">
        <f aca="false">IF(M53&gt;0,D53*(E53+2*SLABOVH)*SLAB,0)</f>
        <v>5.8824609815035</v>
      </c>
      <c r="Y53" s="27" t="n">
        <f aca="false">IF(M53&gt;0,D53*PI()*E53^2/4,0)</f>
        <v>17.2350483300067</v>
      </c>
      <c r="Z53" s="27" t="n">
        <f aca="false">IF(H53-E53&gt;=GWL,99,E53*(MAX(0,GWL-H53)*(GAM_S-GAM_W)+MAX(0,NG-MAX(H53,GWL))*GAM_D)/(GAM_W*PI()*E53^2/4))</f>
        <v>1.86721877056806</v>
      </c>
      <c r="AA53" s="27" t="n">
        <f aca="false">IF(I53-E53&gt;=GWL,99,E53*(MAX(0,GWL-I53)*(GAM_S-GAM_W)+MAX(0,NG-MAX(I53,GWL))*GAM_D)/(GAM_W*PI()*E53^2/4))</f>
        <v>1.89001110911606</v>
      </c>
      <c r="AB53" s="27" t="n">
        <f aca="false">IF(H53-E53&gt;=GWL,99,E53*(MAX(0,GWL-H53)*(GAM_S-GAM_W)+MAX(0,FL-MAX(H53,GWL))*GAM_D)/(GAM_W*PI()*E53^2/4))</f>
        <v>3.40277643424719</v>
      </c>
      <c r="AC53" s="27" t="n">
        <f aca="false">IF(I53-E53&gt;=GWL,99,E53*(MAX(0,GWL-I53)*(GAM_S-GAM_W)+MAX(0,FL-MAX(I53,GWL))*GAM_D)/(GAM_W*PI()*E53^2/4))</f>
        <v>3.42556877279519</v>
      </c>
    </row>
    <row r="54" customFormat="false" ht="15" hidden="false" customHeight="false" outlineLevel="0" collapsed="false">
      <c r="A54" s="25" t="s">
        <v>441</v>
      </c>
      <c r="B54" s="25" t="s">
        <v>447</v>
      </c>
      <c r="C54" s="25" t="s">
        <v>492</v>
      </c>
      <c r="D54" s="26" t="n">
        <v>0.618286457224094</v>
      </c>
      <c r="E54" s="26" t="n">
        <v>2.58640426587351</v>
      </c>
      <c r="F54" s="26" t="n">
        <v>-7.42686963218658</v>
      </c>
      <c r="G54" s="26" t="n">
        <v>-7.43732213293676</v>
      </c>
      <c r="H54" s="26" t="n">
        <v>-4.34046536631307</v>
      </c>
      <c r="I54" s="26" t="n">
        <v>-4.35091786706324</v>
      </c>
      <c r="J54" s="26" t="n">
        <v>36.44</v>
      </c>
      <c r="K54" s="27" t="n">
        <f aca="false">MIN(F54,G54)</f>
        <v>-7.43732213293676</v>
      </c>
      <c r="L54" s="27" t="n">
        <f aca="false">AVERAGE(F54,G54)</f>
        <v>-7.43209588256167</v>
      </c>
      <c r="M54" s="27" t="n">
        <f aca="false">MAX(0,NG-L54)</f>
        <v>6.73209588256167</v>
      </c>
      <c r="N54" s="27" t="n">
        <f aca="false">MAX(0,GWL-K54)</f>
        <v>5.93732213293676</v>
      </c>
      <c r="O54" s="27" t="n">
        <f aca="false">MAX(0,NG-MAX(K54,GWL))</f>
        <v>0.8</v>
      </c>
      <c r="P54" s="27" t="n">
        <f aca="false">E54/2+WS+SLOPE_A*O54+SLOPE_B*N54</f>
        <v>15.3678463988103</v>
      </c>
      <c r="Q54" s="28" t="str">
        <f aca="false">IF(AND(P54&lt;J54,N54&lt;=MAXOC),"Open cut","Shoring")</f>
        <v>Shoring</v>
      </c>
      <c r="R54" s="27" t="n">
        <f aca="false">IF(Q54="Shoring",D54,0)</f>
        <v>0.618286457224094</v>
      </c>
      <c r="S54" s="27" t="n">
        <f aca="false">MAX(0,GWL-L54)</f>
        <v>5.93209588256167</v>
      </c>
      <c r="T54" s="27" t="n">
        <f aca="false">MAX(0,NG-MAX(L54,GWL))</f>
        <v>0.8</v>
      </c>
      <c r="U54" s="27" t="n">
        <f aca="false">E54+2*WS</f>
        <v>4.58640426587351</v>
      </c>
      <c r="V54" s="27" t="n">
        <f aca="false">IF(Q54="Shoring",D54*M54*U54,0)</f>
        <v>19.0902826890624</v>
      </c>
      <c r="W54" s="27" t="n">
        <f aca="false">IF(Q54="Open cut",D54*(U54*M54+SLOPE_B*S54^2+2*SLOPE_B*S54*T54+SLOPE_A*T54^2),0)</f>
        <v>0</v>
      </c>
      <c r="X54" s="27" t="n">
        <f aca="false">IF(M54&gt;0,D54*(E54+2*SLABOVH)*SLAB,0)</f>
        <v>1.10871259386016</v>
      </c>
      <c r="Y54" s="27" t="n">
        <f aca="false">IF(M54&gt;0,D54*PI()*E54^2/4,0)</f>
        <v>3.24842191037922</v>
      </c>
      <c r="Z54" s="27" t="n">
        <f aca="false">IF(H54-E54&gt;=GWL,99,E54*(MAX(0,GWL-H54)*(GAM_S-GAM_W)+MAX(0,NG-MAX(H54,GWL))*GAM_D)/(GAM_W*PI()*E54^2/4))</f>
        <v>1.89001110911606</v>
      </c>
      <c r="AA54" s="27" t="n">
        <f aca="false">IF(I54-E54&gt;=GWL,99,E54*(MAX(0,GWL-I54)*(GAM_S-GAM_W)+MAX(0,NG-MAX(I54,GWL))*GAM_D)/(GAM_W*PI()*E54^2/4))</f>
        <v>1.89430695618804</v>
      </c>
      <c r="AB54" s="27" t="n">
        <f aca="false">IF(H54-E54&gt;=GWL,99,E54*(MAX(0,GWL-H54)*(GAM_S-GAM_W)+MAX(0,FL-MAX(H54,GWL))*GAM_D)/(GAM_W*PI()*E54^2/4))</f>
        <v>3.42556877279519</v>
      </c>
      <c r="AC54" s="27" t="n">
        <f aca="false">IF(I54-E54&gt;=GWL,99,E54*(MAX(0,GWL-I54)*(GAM_S-GAM_W)+MAX(0,FL-MAX(I54,GWL))*GAM_D)/(GAM_W*PI()*E54^2/4))</f>
        <v>3.42986461986716</v>
      </c>
    </row>
    <row r="55" customFormat="false" ht="15" hidden="false" customHeight="false" outlineLevel="0" collapsed="false">
      <c r="A55" s="25" t="s">
        <v>441</v>
      </c>
      <c r="B55" s="25" t="s">
        <v>447</v>
      </c>
      <c r="C55" s="25" t="s">
        <v>493</v>
      </c>
      <c r="D55" s="26" t="n">
        <v>3.89702999948919</v>
      </c>
      <c r="E55" s="26" t="n">
        <v>0.61306464583412</v>
      </c>
      <c r="F55" s="26" t="n">
        <v>-6.45065232291706</v>
      </c>
      <c r="G55" s="26" t="n">
        <v>-6.51653232291706</v>
      </c>
      <c r="H55" s="26" t="n">
        <v>-5.33758767708294</v>
      </c>
      <c r="I55" s="26" t="n">
        <v>-5.40346767708294</v>
      </c>
      <c r="J55" s="26" t="n">
        <v>31.8</v>
      </c>
      <c r="K55" s="27" t="n">
        <f aca="false">MIN(F55,G55)</f>
        <v>-6.51653232291706</v>
      </c>
      <c r="L55" s="27" t="n">
        <f aca="false">AVERAGE(F55,G55)</f>
        <v>-6.48359232291706</v>
      </c>
      <c r="M55" s="27" t="n">
        <f aca="false">MAX(0,NG-L55)</f>
        <v>5.78359232291706</v>
      </c>
      <c r="N55" s="27" t="n">
        <f aca="false">MAX(0,GWL-K55)</f>
        <v>5.01653232291706</v>
      </c>
      <c r="O55" s="27" t="n">
        <f aca="false">MAX(0,NG-MAX(K55,GWL))</f>
        <v>0.8</v>
      </c>
      <c r="P55" s="27" t="n">
        <f aca="false">E55/2+WS+SLOPE_A*O55+SLOPE_B*N55</f>
        <v>12.5395969687512</v>
      </c>
      <c r="Q55" s="28" t="str">
        <f aca="false">IF(AND(P55&lt;J55,N55&lt;=MAXOC),"Open cut","Shoring")</f>
        <v>Shoring</v>
      </c>
      <c r="R55" s="27" t="n">
        <f aca="false">IF(Q55="Shoring",D55,0)</f>
        <v>3.89702999948919</v>
      </c>
      <c r="S55" s="27" t="n">
        <f aca="false">MAX(0,GWL-L55)</f>
        <v>4.98359232291706</v>
      </c>
      <c r="T55" s="27" t="n">
        <f aca="false">MAX(0,NG-MAX(L55,GWL))</f>
        <v>0.8</v>
      </c>
      <c r="U55" s="27" t="n">
        <f aca="false">E55+2*WS</f>
        <v>2.61306464583412</v>
      </c>
      <c r="V55" s="27" t="n">
        <f aca="false">IF(Q55="Shoring",D55*M55*U55,0)</f>
        <v>58.8954271146597</v>
      </c>
      <c r="W55" s="27" t="n">
        <f aca="false">IF(Q55="Open cut",D55*(U55*M55+SLOPE_B*S55^2+2*SLOPE_B*S55*T55+SLOPE_A*T55^2),0)</f>
        <v>0</v>
      </c>
      <c r="X55" s="27" t="n">
        <f aca="false">IF(M55&gt;0,D55*(E55+2*SLABOVH)*SLAB,0)</f>
        <v>3.14308065796548</v>
      </c>
      <c r="Y55" s="27" t="n">
        <f aca="false">IF(M55&gt;0,D55*PI()*E55^2/4,0)</f>
        <v>1.15036636304777</v>
      </c>
      <c r="Z55" s="27" t="n">
        <f aca="false">IF(H55-E55&gt;=GWL,99,E55*(MAX(0,GWL-H55)*(GAM_S-GAM_W)+MAX(0,NG-MAX(H55,GWL))*GAM_D)/(GAM_W*PI()*E55^2/4))</f>
        <v>9.70249012637767</v>
      </c>
      <c r="AA55" s="27" t="n">
        <f aca="false">IF(I55-E55&gt;=GWL,99,E55*(MAX(0,GWL-I55)*(GAM_S-GAM_W)+MAX(0,NG-MAX(I55,GWL))*GAM_D)/(GAM_W*PI()*E55^2/4))</f>
        <v>9.81671806289959</v>
      </c>
      <c r="AB55" s="27" t="n">
        <f aca="false">IF(H55-E55&gt;=GWL,99,E55*(MAX(0,GWL-H55)*(GAM_S-GAM_W)+MAX(0,FL-MAX(H55,GWL))*GAM_D)/(GAM_W*PI()*E55^2/4))</f>
        <v>16.1807186766977</v>
      </c>
      <c r="AC55" s="27" t="n">
        <f aca="false">IF(I55-E55&gt;=GWL,99,E55*(MAX(0,GWL-I55)*(GAM_S-GAM_W)+MAX(0,FL-MAX(I55,GWL))*GAM_D)/(GAM_W*PI()*E55^2/4))</f>
        <v>16.2949466132197</v>
      </c>
    </row>
    <row r="56" customFormat="false" ht="15" hidden="false" customHeight="false" outlineLevel="0" collapsed="false">
      <c r="A56" s="25" t="s">
        <v>441</v>
      </c>
      <c r="B56" s="25" t="s">
        <v>447</v>
      </c>
      <c r="C56" s="25" t="s">
        <v>494</v>
      </c>
      <c r="D56" s="26" t="n">
        <v>0.350416531129243</v>
      </c>
      <c r="E56" s="26" t="n">
        <v>0.61306464583412</v>
      </c>
      <c r="F56" s="26" t="n">
        <v>-6.51653232291706</v>
      </c>
      <c r="G56" s="26" t="n">
        <v>-6.51653232291706</v>
      </c>
      <c r="H56" s="26" t="n">
        <v>-5.40346767708294</v>
      </c>
      <c r="I56" s="26" t="n">
        <v>-5.40346767708294</v>
      </c>
      <c r="J56" s="26" t="n">
        <v>31.38</v>
      </c>
      <c r="K56" s="27" t="n">
        <f aca="false">MIN(F56,G56)</f>
        <v>-6.51653232291706</v>
      </c>
      <c r="L56" s="27" t="n">
        <f aca="false">AVERAGE(F56,G56)</f>
        <v>-6.51653232291706</v>
      </c>
      <c r="M56" s="27" t="n">
        <f aca="false">MAX(0,NG-L56)</f>
        <v>5.81653232291706</v>
      </c>
      <c r="N56" s="27" t="n">
        <f aca="false">MAX(0,GWL-K56)</f>
        <v>5.01653232291706</v>
      </c>
      <c r="O56" s="27" t="n">
        <f aca="false">MAX(0,NG-MAX(K56,GWL))</f>
        <v>0.8</v>
      </c>
      <c r="P56" s="27" t="n">
        <f aca="false">E56/2+WS+SLOPE_A*O56+SLOPE_B*N56</f>
        <v>12.5395969687512</v>
      </c>
      <c r="Q56" s="28" t="str">
        <f aca="false">IF(AND(P56&lt;J56,N56&lt;=MAXOC),"Open cut","Shoring")</f>
        <v>Shoring</v>
      </c>
      <c r="R56" s="27" t="n">
        <f aca="false">IF(Q56="Shoring",D56,0)</f>
        <v>0.350416531129243</v>
      </c>
      <c r="S56" s="27" t="n">
        <f aca="false">MAX(0,GWL-L56)</f>
        <v>5.01653232291706</v>
      </c>
      <c r="T56" s="27" t="n">
        <f aca="false">MAX(0,NG-MAX(L56,GWL))</f>
        <v>0.8</v>
      </c>
      <c r="U56" s="27" t="n">
        <f aca="false">E56+2*WS</f>
        <v>2.61306464583412</v>
      </c>
      <c r="V56" s="27" t="n">
        <f aca="false">IF(Q56="Shoring",D56*M56*U56,0)</f>
        <v>5.3259720872375</v>
      </c>
      <c r="W56" s="27" t="n">
        <f aca="false">IF(Q56="Open cut",D56*(U56*M56+SLOPE_B*S56^2+2*SLOPE_B*S56*T56+SLOPE_A*T56^2),0)</f>
        <v>0</v>
      </c>
      <c r="X56" s="27" t="n">
        <f aca="false">IF(M56&gt;0,D56*(E56+2*SLABOVH)*SLAB,0)</f>
        <v>0.282622258840207</v>
      </c>
      <c r="Y56" s="27" t="n">
        <f aca="false">IF(M56&gt;0,D56*PI()*E56^2/4,0)</f>
        <v>0.103439642630362</v>
      </c>
      <c r="Z56" s="27" t="n">
        <f aca="false">IF(H56-E56&gt;=GWL,99,E56*(MAX(0,GWL-H56)*(GAM_S-GAM_W)+MAX(0,NG-MAX(H56,GWL))*GAM_D)/(GAM_W*PI()*E56^2/4))</f>
        <v>9.81671806289959</v>
      </c>
      <c r="AA56" s="27" t="n">
        <f aca="false">IF(I56-E56&gt;=GWL,99,E56*(MAX(0,GWL-I56)*(GAM_S-GAM_W)+MAX(0,NG-MAX(I56,GWL))*GAM_D)/(GAM_W*PI()*E56^2/4))</f>
        <v>9.81671806289959</v>
      </c>
      <c r="AB56" s="27" t="n">
        <f aca="false">IF(H56-E56&gt;=GWL,99,E56*(MAX(0,GWL-H56)*(GAM_S-GAM_W)+MAX(0,FL-MAX(H56,GWL))*GAM_D)/(GAM_W*PI()*E56^2/4))</f>
        <v>16.2949466132197</v>
      </c>
      <c r="AC56" s="27" t="n">
        <f aca="false">IF(I56-E56&gt;=GWL,99,E56*(MAX(0,GWL-I56)*(GAM_S-GAM_W)+MAX(0,FL-MAX(I56,GWL))*GAM_D)/(GAM_W*PI()*E56^2/4))</f>
        <v>16.2949466132197</v>
      </c>
    </row>
    <row r="57" customFormat="false" ht="15" hidden="false" customHeight="false" outlineLevel="0" collapsed="false">
      <c r="A57" s="25" t="s">
        <v>441</v>
      </c>
      <c r="B57" s="25" t="s">
        <v>495</v>
      </c>
      <c r="C57" s="25" t="s">
        <v>496</v>
      </c>
      <c r="D57" s="26" t="n">
        <v>5.13426701233489</v>
      </c>
      <c r="E57" s="26" t="n">
        <v>0.61306464583412</v>
      </c>
      <c r="F57" s="26" t="n">
        <v>-6.51653232291706</v>
      </c>
      <c r="G57" s="26" t="n">
        <v>-6.51653232291706</v>
      </c>
      <c r="H57" s="26" t="n">
        <v>-5.40346767708294</v>
      </c>
      <c r="I57" s="26" t="n">
        <v>-5.40346767708294</v>
      </c>
      <c r="J57" s="26" t="n">
        <v>99</v>
      </c>
      <c r="K57" s="27" t="n">
        <f aca="false">MIN(F57,G57)</f>
        <v>-6.51653232291706</v>
      </c>
      <c r="L57" s="27" t="n">
        <f aca="false">AVERAGE(F57,G57)</f>
        <v>-6.51653232291706</v>
      </c>
      <c r="M57" s="27" t="n">
        <f aca="false">MAX(0,NG-L57)</f>
        <v>5.81653232291706</v>
      </c>
      <c r="N57" s="27" t="n">
        <f aca="false">MAX(0,GWL-K57)</f>
        <v>5.01653232291706</v>
      </c>
      <c r="O57" s="27" t="n">
        <f aca="false">MAX(0,NG-MAX(K57,GWL))</f>
        <v>0.8</v>
      </c>
      <c r="P57" s="27" t="n">
        <f aca="false">E57/2+WS+SLOPE_A*O57+SLOPE_B*N57</f>
        <v>12.5395969687512</v>
      </c>
      <c r="Q57" s="28" t="str">
        <f aca="false">IF(AND(P57&lt;J57,N57&lt;=MAXOC),"Open cut","Shoring")</f>
        <v>Shoring</v>
      </c>
      <c r="R57" s="27" t="n">
        <f aca="false">IF(Q57="Shoring",D57,0)</f>
        <v>5.13426701233489</v>
      </c>
      <c r="S57" s="27" t="n">
        <f aca="false">MAX(0,GWL-L57)</f>
        <v>5.01653232291706</v>
      </c>
      <c r="T57" s="27" t="n">
        <f aca="false">MAX(0,NG-MAX(L57,GWL))</f>
        <v>0.8</v>
      </c>
      <c r="U57" s="27" t="n">
        <f aca="false">E57+2*WS</f>
        <v>2.61306464583412</v>
      </c>
      <c r="V57" s="27" t="n">
        <f aca="false">IF(Q57="Shoring",D57*M57*U57,0)</f>
        <v>78.0355958321908</v>
      </c>
      <c r="W57" s="27" t="n">
        <f aca="false">IF(Q57="Open cut",D57*(U57*M57+SLOPE_B*S57^2+2*SLOPE_B*S57*T57+SLOPE_A*T57^2),0)</f>
        <v>0</v>
      </c>
      <c r="X57" s="27" t="n">
        <f aca="false">IF(M57&gt;0,D57*(E57+2*SLABOVH)*SLAB,0)</f>
        <v>4.1409522999349</v>
      </c>
      <c r="Y57" s="27" t="n">
        <f aca="false">IF(M57&gt;0,D57*PI()*E57^2/4,0)</f>
        <v>1.51558701643816</v>
      </c>
      <c r="Z57" s="27" t="n">
        <f aca="false">IF(H57-E57&gt;=GWL,99,E57*(MAX(0,GWL-H57)*(GAM_S-GAM_W)+MAX(0,NG-MAX(H57,GWL))*GAM_D)/(GAM_W*PI()*E57^2/4))</f>
        <v>9.81671806289959</v>
      </c>
      <c r="AA57" s="27" t="n">
        <f aca="false">IF(I57-E57&gt;=GWL,99,E57*(MAX(0,GWL-I57)*(GAM_S-GAM_W)+MAX(0,NG-MAX(I57,GWL))*GAM_D)/(GAM_W*PI()*E57^2/4))</f>
        <v>9.81671806289959</v>
      </c>
      <c r="AB57" s="27" t="n">
        <f aca="false">IF(H57-E57&gt;=GWL,99,E57*(MAX(0,GWL-H57)*(GAM_S-GAM_W)+MAX(0,FL-MAX(H57,GWL))*GAM_D)/(GAM_W*PI()*E57^2/4))</f>
        <v>16.2949466132197</v>
      </c>
      <c r="AC57" s="27" t="n">
        <f aca="false">IF(I57-E57&gt;=GWL,99,E57*(MAX(0,GWL-I57)*(GAM_S-GAM_W)+MAX(0,FL-MAX(I57,GWL))*GAM_D)/(GAM_W*PI()*E57^2/4))</f>
        <v>16.2949466132197</v>
      </c>
    </row>
    <row r="58" customFormat="false" ht="15" hidden="false" customHeight="false" outlineLevel="0" collapsed="false">
      <c r="A58" s="25" t="s">
        <v>441</v>
      </c>
      <c r="B58" s="25" t="s">
        <v>495</v>
      </c>
      <c r="C58" s="25" t="s">
        <v>497</v>
      </c>
      <c r="D58" s="26" t="n">
        <v>10.0000000005286</v>
      </c>
      <c r="E58" s="26" t="n">
        <v>0.61306464583412</v>
      </c>
      <c r="F58" s="26" t="n">
        <v>-6.51653232291706</v>
      </c>
      <c r="G58" s="26" t="n">
        <v>-6.51653232291706</v>
      </c>
      <c r="H58" s="26" t="n">
        <v>-5.40346767708294</v>
      </c>
      <c r="I58" s="26" t="n">
        <v>-5.40346767708294</v>
      </c>
      <c r="J58" s="26" t="n">
        <v>99</v>
      </c>
      <c r="K58" s="27" t="n">
        <f aca="false">MIN(F58,G58)</f>
        <v>-6.51653232291706</v>
      </c>
      <c r="L58" s="27" t="n">
        <f aca="false">AVERAGE(F58,G58)</f>
        <v>-6.51653232291706</v>
      </c>
      <c r="M58" s="27" t="n">
        <f aca="false">MAX(0,NG-L58)</f>
        <v>5.81653232291706</v>
      </c>
      <c r="N58" s="27" t="n">
        <f aca="false">MAX(0,GWL-K58)</f>
        <v>5.01653232291706</v>
      </c>
      <c r="O58" s="27" t="n">
        <f aca="false">MAX(0,NG-MAX(K58,GWL))</f>
        <v>0.8</v>
      </c>
      <c r="P58" s="27" t="n">
        <f aca="false">E58/2+WS+SLOPE_A*O58+SLOPE_B*N58</f>
        <v>12.5395969687512</v>
      </c>
      <c r="Q58" s="28" t="str">
        <f aca="false">IF(AND(P58&lt;J58,N58&lt;=MAXOC),"Open cut","Shoring")</f>
        <v>Shoring</v>
      </c>
      <c r="R58" s="27" t="n">
        <f aca="false">IF(Q58="Shoring",D58,0)</f>
        <v>10.0000000005286</v>
      </c>
      <c r="S58" s="27" t="n">
        <f aca="false">MAX(0,GWL-L58)</f>
        <v>5.01653232291706</v>
      </c>
      <c r="T58" s="27" t="n">
        <f aca="false">MAX(0,NG-MAX(L58,GWL))</f>
        <v>0.8</v>
      </c>
      <c r="U58" s="27" t="n">
        <f aca="false">E58+2*WS</f>
        <v>2.61306464583412</v>
      </c>
      <c r="V58" s="27" t="n">
        <f aca="false">IF(Q58="Shoring",D58*M58*U58,0)</f>
        <v>151.989749751694</v>
      </c>
      <c r="W58" s="27" t="n">
        <f aca="false">IF(Q58="Open cut",D58*(U58*M58+SLOPE_B*S58^2+2*SLOPE_B*S58*T58+SLOPE_A*T58^2),0)</f>
        <v>0</v>
      </c>
      <c r="X58" s="27" t="n">
        <f aca="false">IF(M58&gt;0,D58*(E58+2*SLABOVH)*SLAB,0)</f>
        <v>8.06532322959692</v>
      </c>
      <c r="Y58" s="27" t="n">
        <f aca="false">IF(M58&gt;0,D58*PI()*E58^2/4,0)</f>
        <v>2.95190533113515</v>
      </c>
      <c r="Z58" s="27" t="n">
        <f aca="false">IF(H58-E58&gt;=GWL,99,E58*(MAX(0,GWL-H58)*(GAM_S-GAM_W)+MAX(0,NG-MAX(H58,GWL))*GAM_D)/(GAM_W*PI()*E58^2/4))</f>
        <v>9.81671806289959</v>
      </c>
      <c r="AA58" s="27" t="n">
        <f aca="false">IF(I58-E58&gt;=GWL,99,E58*(MAX(0,GWL-I58)*(GAM_S-GAM_W)+MAX(0,NG-MAX(I58,GWL))*GAM_D)/(GAM_W*PI()*E58^2/4))</f>
        <v>9.81671806289959</v>
      </c>
      <c r="AB58" s="27" t="n">
        <f aca="false">IF(H58-E58&gt;=GWL,99,E58*(MAX(0,GWL-H58)*(GAM_S-GAM_W)+MAX(0,FL-MAX(H58,GWL))*GAM_D)/(GAM_W*PI()*E58^2/4))</f>
        <v>16.2949466132197</v>
      </c>
      <c r="AC58" s="27" t="n">
        <f aca="false">IF(I58-E58&gt;=GWL,99,E58*(MAX(0,GWL-I58)*(GAM_S-GAM_W)+MAX(0,FL-MAX(I58,GWL))*GAM_D)/(GAM_W*PI()*E58^2/4))</f>
        <v>16.2949466132197</v>
      </c>
    </row>
    <row r="59" customFormat="false" ht="15" hidden="false" customHeight="false" outlineLevel="0" collapsed="false">
      <c r="A59" s="25" t="s">
        <v>441</v>
      </c>
      <c r="B59" s="25" t="s">
        <v>495</v>
      </c>
      <c r="C59" s="25" t="s">
        <v>498</v>
      </c>
      <c r="D59" s="26" t="n">
        <v>9.99999999929084</v>
      </c>
      <c r="E59" s="26" t="n">
        <v>0.61306464583412</v>
      </c>
      <c r="F59" s="26" t="n">
        <v>-6.51653232291706</v>
      </c>
      <c r="G59" s="26" t="n">
        <v>-6.51653232291706</v>
      </c>
      <c r="H59" s="26" t="n">
        <v>-5.40346767708294</v>
      </c>
      <c r="I59" s="26" t="n">
        <v>-5.40346767708294</v>
      </c>
      <c r="J59" s="26" t="n">
        <v>99</v>
      </c>
      <c r="K59" s="27" t="n">
        <f aca="false">MIN(F59,G59)</f>
        <v>-6.51653232291706</v>
      </c>
      <c r="L59" s="27" t="n">
        <f aca="false">AVERAGE(F59,G59)</f>
        <v>-6.51653232291706</v>
      </c>
      <c r="M59" s="27" t="n">
        <f aca="false">MAX(0,NG-L59)</f>
        <v>5.81653232291706</v>
      </c>
      <c r="N59" s="27" t="n">
        <f aca="false">MAX(0,GWL-K59)</f>
        <v>5.01653232291706</v>
      </c>
      <c r="O59" s="27" t="n">
        <f aca="false">MAX(0,NG-MAX(K59,GWL))</f>
        <v>0.8</v>
      </c>
      <c r="P59" s="27" t="n">
        <f aca="false">E59/2+WS+SLOPE_A*O59+SLOPE_B*N59</f>
        <v>12.5395969687512</v>
      </c>
      <c r="Q59" s="28" t="str">
        <f aca="false">IF(AND(P59&lt;J59,N59&lt;=MAXOC),"Open cut","Shoring")</f>
        <v>Shoring</v>
      </c>
      <c r="R59" s="27" t="n">
        <f aca="false">IF(Q59="Shoring",D59,0)</f>
        <v>9.99999999929084</v>
      </c>
      <c r="S59" s="27" t="n">
        <f aca="false">MAX(0,GWL-L59)</f>
        <v>5.01653232291706</v>
      </c>
      <c r="T59" s="27" t="n">
        <f aca="false">MAX(0,NG-MAX(L59,GWL))</f>
        <v>0.8</v>
      </c>
      <c r="U59" s="27" t="n">
        <f aca="false">E59+2*WS</f>
        <v>2.61306464583412</v>
      </c>
      <c r="V59" s="27" t="n">
        <f aca="false">IF(Q59="Shoring",D59*M59*U59,0)</f>
        <v>151.989749732881</v>
      </c>
      <c r="W59" s="27" t="n">
        <f aca="false">IF(Q59="Open cut",D59*(U59*M59+SLOPE_B*S59^2+2*SLOPE_B*S59*T59+SLOPE_A*T59^2),0)</f>
        <v>0</v>
      </c>
      <c r="X59" s="27" t="n">
        <f aca="false">IF(M59&gt;0,D59*(E59+2*SLABOVH)*SLAB,0)</f>
        <v>8.06532322859864</v>
      </c>
      <c r="Y59" s="27" t="n">
        <f aca="false">IF(M59&gt;0,D59*PI()*E59^2/4,0)</f>
        <v>2.95190533076978</v>
      </c>
      <c r="Z59" s="27" t="n">
        <f aca="false">IF(H59-E59&gt;=GWL,99,E59*(MAX(0,GWL-H59)*(GAM_S-GAM_W)+MAX(0,NG-MAX(H59,GWL))*GAM_D)/(GAM_W*PI()*E59^2/4))</f>
        <v>9.81671806289959</v>
      </c>
      <c r="AA59" s="27" t="n">
        <f aca="false">IF(I59-E59&gt;=GWL,99,E59*(MAX(0,GWL-I59)*(GAM_S-GAM_W)+MAX(0,NG-MAX(I59,GWL))*GAM_D)/(GAM_W*PI()*E59^2/4))</f>
        <v>9.81671806289959</v>
      </c>
      <c r="AB59" s="27" t="n">
        <f aca="false">IF(H59-E59&gt;=GWL,99,E59*(MAX(0,GWL-H59)*(GAM_S-GAM_W)+MAX(0,FL-MAX(H59,GWL))*GAM_D)/(GAM_W*PI()*E59^2/4))</f>
        <v>16.2949466132197</v>
      </c>
      <c r="AC59" s="27" t="n">
        <f aca="false">IF(I59-E59&gt;=GWL,99,E59*(MAX(0,GWL-I59)*(GAM_S-GAM_W)+MAX(0,FL-MAX(I59,GWL))*GAM_D)/(GAM_W*PI()*E59^2/4))</f>
        <v>16.2949466132197</v>
      </c>
    </row>
    <row r="60" customFormat="false" ht="15" hidden="false" customHeight="false" outlineLevel="0" collapsed="false">
      <c r="A60" s="25" t="s">
        <v>441</v>
      </c>
      <c r="B60" s="25" t="s">
        <v>495</v>
      </c>
      <c r="C60" s="25" t="s">
        <v>499</v>
      </c>
      <c r="D60" s="26" t="n">
        <v>4.27590298766433</v>
      </c>
      <c r="E60" s="26" t="n">
        <v>0.61306464583412</v>
      </c>
      <c r="F60" s="26" t="n">
        <v>-6.51653232291706</v>
      </c>
      <c r="G60" s="26" t="n">
        <v>-6.51653232291706</v>
      </c>
      <c r="H60" s="26" t="n">
        <v>-5.40346767708294</v>
      </c>
      <c r="I60" s="26" t="n">
        <v>-5.40346767708294</v>
      </c>
      <c r="J60" s="26" t="n">
        <v>99</v>
      </c>
      <c r="K60" s="27" t="n">
        <f aca="false">MIN(F60,G60)</f>
        <v>-6.51653232291706</v>
      </c>
      <c r="L60" s="27" t="n">
        <f aca="false">AVERAGE(F60,G60)</f>
        <v>-6.51653232291706</v>
      </c>
      <c r="M60" s="27" t="n">
        <f aca="false">MAX(0,NG-L60)</f>
        <v>5.81653232291706</v>
      </c>
      <c r="N60" s="27" t="n">
        <f aca="false">MAX(0,GWL-K60)</f>
        <v>5.01653232291706</v>
      </c>
      <c r="O60" s="27" t="n">
        <f aca="false">MAX(0,NG-MAX(K60,GWL))</f>
        <v>0.8</v>
      </c>
      <c r="P60" s="27" t="n">
        <f aca="false">E60/2+WS+SLOPE_A*O60+SLOPE_B*N60</f>
        <v>12.5395969687512</v>
      </c>
      <c r="Q60" s="28" t="str">
        <f aca="false">IF(AND(P60&lt;J60,N60&lt;=MAXOC),"Open cut","Shoring")</f>
        <v>Shoring</v>
      </c>
      <c r="R60" s="27" t="n">
        <f aca="false">IF(Q60="Shoring",D60,0)</f>
        <v>4.27590298766433</v>
      </c>
      <c r="S60" s="27" t="n">
        <f aca="false">MAX(0,GWL-L60)</f>
        <v>5.01653232291706</v>
      </c>
      <c r="T60" s="27" t="n">
        <f aca="false">MAX(0,NG-MAX(L60,GWL))</f>
        <v>0.8</v>
      </c>
      <c r="U60" s="27" t="n">
        <f aca="false">E60+2*WS</f>
        <v>2.61306464583412</v>
      </c>
      <c r="V60" s="27" t="n">
        <f aca="false">IF(Q60="Shoring",D60*M60*U60,0)</f>
        <v>64.9893425023269</v>
      </c>
      <c r="W60" s="27" t="n">
        <f aca="false">IF(Q60="Open cut",D60*(U60*M60+SLOPE_B*S60^2+2*SLOPE_B*S60*T60+SLOPE_A*T60^2),0)</f>
        <v>0</v>
      </c>
      <c r="X60" s="27" t="n">
        <f aca="false">IF(M60&gt;0,D60*(E60+2*SLABOVH)*SLAB,0)</f>
        <v>3.44865396920891</v>
      </c>
      <c r="Y60" s="27" t="n">
        <f aca="false">IF(M60&gt;0,D60*PI()*E60^2/4,0)</f>
        <v>1.26220608240359</v>
      </c>
      <c r="Z60" s="27" t="n">
        <f aca="false">IF(H60-E60&gt;=GWL,99,E60*(MAX(0,GWL-H60)*(GAM_S-GAM_W)+MAX(0,NG-MAX(H60,GWL))*GAM_D)/(GAM_W*PI()*E60^2/4))</f>
        <v>9.81671806289959</v>
      </c>
      <c r="AA60" s="27" t="n">
        <f aca="false">IF(I60-E60&gt;=GWL,99,E60*(MAX(0,GWL-I60)*(GAM_S-GAM_W)+MAX(0,NG-MAX(I60,GWL))*GAM_D)/(GAM_W*PI()*E60^2/4))</f>
        <v>9.81671806289959</v>
      </c>
      <c r="AB60" s="27" t="n">
        <f aca="false">IF(H60-E60&gt;=GWL,99,E60*(MAX(0,GWL-H60)*(GAM_S-GAM_W)+MAX(0,FL-MAX(H60,GWL))*GAM_D)/(GAM_W*PI()*E60^2/4))</f>
        <v>16.2949466132197</v>
      </c>
      <c r="AC60" s="27" t="n">
        <f aca="false">IF(I60-E60&gt;=GWL,99,E60*(MAX(0,GWL-I60)*(GAM_S-GAM_W)+MAX(0,FL-MAX(I60,GWL))*GAM_D)/(GAM_W*PI()*E60^2/4))</f>
        <v>16.2949466132197</v>
      </c>
    </row>
    <row r="61" customFormat="false" ht="15" hidden="false" customHeight="false" outlineLevel="0" collapsed="false">
      <c r="A61" s="25" t="s">
        <v>500</v>
      </c>
      <c r="B61" s="25" t="s">
        <v>501</v>
      </c>
      <c r="C61" s="25" t="s">
        <v>502</v>
      </c>
      <c r="D61" s="26" t="n">
        <v>4.51789059231474</v>
      </c>
      <c r="E61" s="26" t="n">
        <v>1.55180099668078</v>
      </c>
      <c r="F61" s="26" t="n">
        <v>-5.09590049834039</v>
      </c>
      <c r="G61" s="26" t="n">
        <v>-5.09590049834039</v>
      </c>
      <c r="H61" s="26" t="n">
        <v>-3.04409950165961</v>
      </c>
      <c r="I61" s="26" t="n">
        <v>-3.04409950165961</v>
      </c>
      <c r="J61" s="26" t="n">
        <v>21.39</v>
      </c>
      <c r="K61" s="27" t="n">
        <f aca="false">MIN(F61,G61)</f>
        <v>-5.09590049834039</v>
      </c>
      <c r="L61" s="27" t="n">
        <f aca="false">AVERAGE(F61,G61)</f>
        <v>-5.09590049834039</v>
      </c>
      <c r="M61" s="27" t="n">
        <f aca="false">MAX(0,NG-L61)</f>
        <v>4.39590049834039</v>
      </c>
      <c r="N61" s="27" t="n">
        <f aca="false">MAX(0,GWL-K61)</f>
        <v>3.59590049834039</v>
      </c>
      <c r="O61" s="27" t="n">
        <f aca="false">MAX(0,NG-MAX(K61,GWL))</f>
        <v>0.8</v>
      </c>
      <c r="P61" s="27" t="n">
        <f aca="false">E61/2+WS+SLOPE_A*O61+SLOPE_B*N61</f>
        <v>10.1677014950212</v>
      </c>
      <c r="Q61" s="28" t="str">
        <f aca="false">IF(AND(P61&lt;J61,N61&lt;=MAXOC),"Open cut","Shoring")</f>
        <v>Shoring</v>
      </c>
      <c r="R61" s="27" t="n">
        <f aca="false">IF(Q61="Shoring",D61,0)</f>
        <v>4.51789059231474</v>
      </c>
      <c r="S61" s="27" t="n">
        <f aca="false">MAX(0,GWL-L61)</f>
        <v>3.59590049834039</v>
      </c>
      <c r="T61" s="27" t="n">
        <f aca="false">MAX(0,NG-MAX(L61,GWL))</f>
        <v>0.8</v>
      </c>
      <c r="U61" s="27" t="n">
        <f aca="false">E61+2*WS</f>
        <v>3.55180099668078</v>
      </c>
      <c r="V61" s="27" t="n">
        <f aca="false">IF(Q61="Shoring",D61*M61*U61,0)</f>
        <v>70.5394692968113</v>
      </c>
      <c r="W61" s="27" t="n">
        <f aca="false">IF(Q61="Open cut",D61*(U61*M61+SLOPE_B*S61^2+2*SLOPE_B*S61*T61+SLOPE_A*T61^2),0)</f>
        <v>0</v>
      </c>
      <c r="X61" s="27" t="n">
        <f aca="false">IF(M61&gt;0,D61*(E61+2*SLABOVH)*SLAB,0)</f>
        <v>5.76437885818172</v>
      </c>
      <c r="Y61" s="27" t="n">
        <f aca="false">IF(M61&gt;0,D61*PI()*E61^2/4,0)</f>
        <v>8.54471622066861</v>
      </c>
      <c r="Z61" s="27" t="n">
        <f aca="false">IF(H61-E61&gt;=GWL,99,E61*(MAX(0,GWL-H61)*(GAM_S-GAM_W)+MAX(0,NG-MAX(H61,GWL))*GAM_D)/(GAM_W*PI()*E61^2/4))</f>
        <v>2.26209550756002</v>
      </c>
      <c r="AA61" s="27" t="n">
        <f aca="false">IF(I61-E61&gt;=GWL,99,E61*(MAX(0,GWL-I61)*(GAM_S-GAM_W)+MAX(0,NG-MAX(I61,GWL))*GAM_D)/(GAM_W*PI()*E61^2/4))</f>
        <v>2.26209550756002</v>
      </c>
      <c r="AB61" s="27" t="n">
        <f aca="false">IF(H61-E61&gt;=GWL,99,E61*(MAX(0,GWL-H61)*(GAM_S-GAM_W)+MAX(0,FL-MAX(H61,GWL))*GAM_D)/(GAM_W*PI()*E61^2/4))</f>
        <v>4.82142682667211</v>
      </c>
      <c r="AC61" s="27" t="n">
        <f aca="false">IF(I61-E61&gt;=GWL,99,E61*(MAX(0,GWL-I61)*(GAM_S-GAM_W)+MAX(0,FL-MAX(I61,GWL))*GAM_D)/(GAM_W*PI()*E61^2/4))</f>
        <v>4.82142682667211</v>
      </c>
    </row>
    <row r="62" customFormat="false" ht="15" hidden="false" customHeight="false" outlineLevel="0" collapsed="false">
      <c r="A62" s="25" t="s">
        <v>500</v>
      </c>
      <c r="B62" s="25" t="s">
        <v>501</v>
      </c>
      <c r="C62" s="25" t="s">
        <v>503</v>
      </c>
      <c r="D62" s="26" t="n">
        <v>0.749997925856128</v>
      </c>
      <c r="E62" s="26" t="n">
        <v>2.04120726317543</v>
      </c>
      <c r="F62" s="26" t="n">
        <v>-5.34060363158771</v>
      </c>
      <c r="G62" s="26" t="n">
        <v>-5.34060363158771</v>
      </c>
      <c r="H62" s="26" t="n">
        <v>-2.79939636841229</v>
      </c>
      <c r="I62" s="26" t="n">
        <v>-2.79939636841229</v>
      </c>
      <c r="J62" s="26" t="n">
        <v>20.66</v>
      </c>
      <c r="K62" s="27" t="n">
        <f aca="false">MIN(F62,G62)</f>
        <v>-5.34060363158771</v>
      </c>
      <c r="L62" s="27" t="n">
        <f aca="false">AVERAGE(F62,G62)</f>
        <v>-5.34060363158771</v>
      </c>
      <c r="M62" s="27" t="n">
        <f aca="false">MAX(0,NG-L62)</f>
        <v>4.64060363158771</v>
      </c>
      <c r="N62" s="27" t="n">
        <f aca="false">MAX(0,GWL-K62)</f>
        <v>3.84060363158771</v>
      </c>
      <c r="O62" s="27" t="n">
        <f aca="false">MAX(0,NG-MAX(K62,GWL))</f>
        <v>0.8</v>
      </c>
      <c r="P62" s="27" t="n">
        <f aca="false">E62/2+WS+SLOPE_A*O62+SLOPE_B*N62</f>
        <v>10.9018108947631</v>
      </c>
      <c r="Q62" s="28" t="str">
        <f aca="false">IF(AND(P62&lt;J62,N62&lt;=MAXOC),"Open cut","Shoring")</f>
        <v>Shoring</v>
      </c>
      <c r="R62" s="27" t="n">
        <f aca="false">IF(Q62="Shoring",D62,0)</f>
        <v>0.749997925856128</v>
      </c>
      <c r="S62" s="27" t="n">
        <f aca="false">MAX(0,GWL-L62)</f>
        <v>3.84060363158771</v>
      </c>
      <c r="T62" s="27" t="n">
        <f aca="false">MAX(0,NG-MAX(L62,GWL))</f>
        <v>0.8</v>
      </c>
      <c r="U62" s="27" t="n">
        <f aca="false">E62+2*WS</f>
        <v>4.04120726317543</v>
      </c>
      <c r="V62" s="27" t="n">
        <f aca="false">IF(Q62="Shoring",D62*M62*U62,0)</f>
        <v>14.0651919283681</v>
      </c>
      <c r="W62" s="27" t="n">
        <f aca="false">IF(Q62="Open cut",D62*(U62*M62+SLOPE_B*S62^2+2*SLOPE_B*S62*T62+SLOPE_A*T62^2),0)</f>
        <v>0</v>
      </c>
      <c r="X62" s="27" t="n">
        <f aca="false">IF(M62&gt;0,D62*(E62+2*SLABOVH)*SLAB,0)</f>
        <v>1.14044956974008</v>
      </c>
      <c r="Y62" s="27" t="n">
        <f aca="false">IF(M62&gt;0,D62*PI()*E62^2/4,0)</f>
        <v>2.45428025651169</v>
      </c>
      <c r="Z62" s="27" t="n">
        <f aca="false">IF(H62-E62&gt;=GWL,99,E62*(MAX(0,GWL-H62)*(GAM_S-GAM_W)+MAX(0,NG-MAX(H62,GWL))*GAM_D)/(GAM_W*PI()*E62^2/4))</f>
        <v>1.59229669293419</v>
      </c>
      <c r="AA62" s="27" t="n">
        <f aca="false">IF(I62-E62&gt;=GWL,99,E62*(MAX(0,GWL-I62)*(GAM_S-GAM_W)+MAX(0,NG-MAX(I62,GWL))*GAM_D)/(GAM_W*PI()*E62^2/4))</f>
        <v>1.59229669293419</v>
      </c>
      <c r="AB62" s="27" t="n">
        <f aca="false">IF(H62-E62&gt;=GWL,99,E62*(MAX(0,GWL-H62)*(GAM_S-GAM_W)+MAX(0,FL-MAX(H62,GWL))*GAM_D)/(GAM_W*PI()*E62^2/4))</f>
        <v>3.53799469405536</v>
      </c>
      <c r="AC62" s="27" t="n">
        <f aca="false">IF(I62-E62&gt;=GWL,99,E62*(MAX(0,GWL-I62)*(GAM_S-GAM_W)+MAX(0,FL-MAX(I62,GWL))*GAM_D)/(GAM_W*PI()*E62^2/4))</f>
        <v>3.53799469405536</v>
      </c>
    </row>
    <row r="63" customFormat="false" ht="15" hidden="false" customHeight="false" outlineLevel="0" collapsed="false">
      <c r="A63" s="25" t="s">
        <v>500</v>
      </c>
      <c r="B63" s="25" t="s">
        <v>501</v>
      </c>
      <c r="C63" s="25" t="s">
        <v>504</v>
      </c>
      <c r="D63" s="26" t="n">
        <v>3.7841299998204</v>
      </c>
      <c r="E63" s="26" t="n">
        <v>2.06959912863652</v>
      </c>
      <c r="F63" s="26" t="n">
        <v>-5.35479956431826</v>
      </c>
      <c r="G63" s="26" t="n">
        <v>-5.35479956431826</v>
      </c>
      <c r="H63" s="26" t="n">
        <v>-2.78520043568174</v>
      </c>
      <c r="I63" s="26" t="n">
        <v>-2.78520043568174</v>
      </c>
      <c r="J63" s="26" t="n">
        <v>16.99</v>
      </c>
      <c r="K63" s="27" t="n">
        <f aca="false">MIN(F63,G63)</f>
        <v>-5.35479956431826</v>
      </c>
      <c r="L63" s="27" t="n">
        <f aca="false">AVERAGE(F63,G63)</f>
        <v>-5.35479956431826</v>
      </c>
      <c r="M63" s="27" t="n">
        <f aca="false">MAX(0,NG-L63)</f>
        <v>4.65479956431826</v>
      </c>
      <c r="N63" s="27" t="n">
        <f aca="false">MAX(0,GWL-K63)</f>
        <v>3.85479956431826</v>
      </c>
      <c r="O63" s="27" t="n">
        <f aca="false">MAX(0,NG-MAX(K63,GWL))</f>
        <v>0.8</v>
      </c>
      <c r="P63" s="27" t="n">
        <f aca="false">E63/2+WS+SLOPE_A*O63+SLOPE_B*N63</f>
        <v>10.9443986929548</v>
      </c>
      <c r="Q63" s="28" t="str">
        <f aca="false">IF(AND(P63&lt;J63,N63&lt;=MAXOC),"Open cut","Shoring")</f>
        <v>Shoring</v>
      </c>
      <c r="R63" s="27" t="n">
        <f aca="false">IF(Q63="Shoring",D63,0)</f>
        <v>3.7841299998204</v>
      </c>
      <c r="S63" s="27" t="n">
        <f aca="false">MAX(0,GWL-L63)</f>
        <v>3.85479956431826</v>
      </c>
      <c r="T63" s="27" t="n">
        <f aca="false">MAX(0,NG-MAX(L63,GWL))</f>
        <v>0.8</v>
      </c>
      <c r="U63" s="27" t="n">
        <f aca="false">E63+2*WS</f>
        <v>4.06959912863652</v>
      </c>
      <c r="V63" s="27" t="n">
        <f aca="false">IF(Q63="Shoring",D63*M63*U63,0)</f>
        <v>71.6834112699791</v>
      </c>
      <c r="W63" s="27" t="n">
        <f aca="false">IF(Q63="Open cut",D63*(U63*M63+SLOPE_B*S63^2+2*SLOPE_B*S63*T63+SLOPE_A*T63^2),0)</f>
        <v>0</v>
      </c>
      <c r="X63" s="27" t="n">
        <f aca="false">IF(M63&gt;0,D63*(E63+2*SLABOVH)*SLAB,0)</f>
        <v>5.807881075048</v>
      </c>
      <c r="Y63" s="27" t="n">
        <f aca="false">IF(M63&gt;0,D63*PI()*E63^2/4,0)</f>
        <v>12.7299997404522</v>
      </c>
      <c r="Z63" s="27" t="n">
        <f aca="false">IF(H63-E63&gt;=GWL,99,E63*(MAX(0,GWL-H63)*(GAM_S-GAM_W)+MAX(0,NG-MAX(H63,GWL))*GAM_D)/(GAM_W*PI()*E63^2/4))</f>
        <v>1.56316145489285</v>
      </c>
      <c r="AA63" s="27" t="n">
        <f aca="false">IF(I63-E63&gt;=GWL,99,E63*(MAX(0,GWL-I63)*(GAM_S-GAM_W)+MAX(0,NG-MAX(I63,GWL))*GAM_D)/(GAM_W*PI()*E63^2/4))</f>
        <v>1.56316145489285</v>
      </c>
      <c r="AB63" s="27" t="n">
        <f aca="false">IF(H63-E63&gt;=GWL,99,E63*(MAX(0,GWL-H63)*(GAM_S-GAM_W)+MAX(0,FL-MAX(H63,GWL))*GAM_D)/(GAM_W*PI()*E63^2/4))</f>
        <v>3.48216733235037</v>
      </c>
      <c r="AC63" s="27" t="n">
        <f aca="false">IF(I63-E63&gt;=GWL,99,E63*(MAX(0,GWL-I63)*(GAM_S-GAM_W)+MAX(0,FL-MAX(I63,GWL))*GAM_D)/(GAM_W*PI()*E63^2/4))</f>
        <v>3.48216733235037</v>
      </c>
    </row>
    <row r="64" customFormat="false" ht="15" hidden="false" customHeight="false" outlineLevel="0" collapsed="false">
      <c r="A64" s="25" t="s">
        <v>500</v>
      </c>
      <c r="B64" s="25" t="s">
        <v>501</v>
      </c>
      <c r="C64" s="25" t="s">
        <v>505</v>
      </c>
      <c r="D64" s="26" t="n">
        <v>0.947981482052258</v>
      </c>
      <c r="E64" s="26" t="n">
        <v>2.06959912863652</v>
      </c>
      <c r="F64" s="26" t="n">
        <v>-5.35479956431826</v>
      </c>
      <c r="G64" s="26" t="n">
        <v>-5.36003585293459</v>
      </c>
      <c r="H64" s="26" t="n">
        <v>-2.78520043568174</v>
      </c>
      <c r="I64" s="26" t="n">
        <v>-2.79043672429807</v>
      </c>
      <c r="J64" s="26" t="n">
        <v>16.08</v>
      </c>
      <c r="K64" s="27" t="n">
        <f aca="false">MIN(F64,G64)</f>
        <v>-5.36003585293459</v>
      </c>
      <c r="L64" s="27" t="n">
        <f aca="false">AVERAGE(F64,G64)</f>
        <v>-5.35741770862642</v>
      </c>
      <c r="M64" s="27" t="n">
        <f aca="false">MAX(0,NG-L64)</f>
        <v>4.65741770862642</v>
      </c>
      <c r="N64" s="27" t="n">
        <f aca="false">MAX(0,GWL-K64)</f>
        <v>3.86003585293459</v>
      </c>
      <c r="O64" s="27" t="n">
        <f aca="false">MAX(0,NG-MAX(K64,GWL))</f>
        <v>0.8</v>
      </c>
      <c r="P64" s="27" t="n">
        <f aca="false">E64/2+WS+SLOPE_A*O64+SLOPE_B*N64</f>
        <v>10.9548712701874</v>
      </c>
      <c r="Q64" s="28" t="str">
        <f aca="false">IF(AND(P64&lt;J64,N64&lt;=MAXOC),"Open cut","Shoring")</f>
        <v>Shoring</v>
      </c>
      <c r="R64" s="27" t="n">
        <f aca="false">IF(Q64="Shoring",D64,0)</f>
        <v>0.947981482052258</v>
      </c>
      <c r="S64" s="27" t="n">
        <f aca="false">MAX(0,GWL-L64)</f>
        <v>3.85741770862642</v>
      </c>
      <c r="T64" s="27" t="n">
        <f aca="false">MAX(0,NG-MAX(L64,GWL))</f>
        <v>0.8</v>
      </c>
      <c r="U64" s="27" t="n">
        <f aca="false">E64+2*WS</f>
        <v>4.06959912863652</v>
      </c>
      <c r="V64" s="27" t="n">
        <f aca="false">IF(Q64="Shoring",D64*M64*U64,0)</f>
        <v>17.9678732642841</v>
      </c>
      <c r="W64" s="27" t="n">
        <f aca="false">IF(Q64="Open cut",D64*(U64*M64+SLOPE_B*S64^2+2*SLOPE_B*S64*T64+SLOPE_A*T64^2),0)</f>
        <v>0</v>
      </c>
      <c r="X64" s="27" t="n">
        <f aca="false">IF(M64&gt;0,D64*(E64+2*SLABOVH)*SLAB,0)</f>
        <v>1.45496156563558</v>
      </c>
      <c r="Y64" s="27" t="n">
        <f aca="false">IF(M64&gt;0,D64*PI()*E64^2/4,0)</f>
        <v>3.18905640690239</v>
      </c>
      <c r="Z64" s="27" t="n">
        <f aca="false">IF(H64-E64&gt;=GWL,99,E64*(MAX(0,GWL-H64)*(GAM_S-GAM_W)+MAX(0,NG-MAX(H64,GWL))*GAM_D)/(GAM_W*PI()*E64^2/4))</f>
        <v>1.56316145489285</v>
      </c>
      <c r="AA64" s="27" t="n">
        <f aca="false">IF(I64-E64&gt;=GWL,99,E64*(MAX(0,GWL-I64)*(GAM_S-GAM_W)+MAX(0,NG-MAX(I64,GWL))*GAM_D)/(GAM_W*PI()*E64^2/4))</f>
        <v>1.56585089796756</v>
      </c>
      <c r="AB64" s="27" t="n">
        <f aca="false">IF(H64-E64&gt;=GWL,99,E64*(MAX(0,GWL-H64)*(GAM_S-GAM_W)+MAX(0,FL-MAX(H64,GWL))*GAM_D)/(GAM_W*PI()*E64^2/4))</f>
        <v>3.48216733235037</v>
      </c>
      <c r="AC64" s="27" t="n">
        <f aca="false">IF(I64-E64&gt;=GWL,99,E64*(MAX(0,GWL-I64)*(GAM_S-GAM_W)+MAX(0,FL-MAX(I64,GWL))*GAM_D)/(GAM_W*PI()*E64^2/4))</f>
        <v>3.48485677542509</v>
      </c>
    </row>
    <row r="65" customFormat="false" ht="15" hidden="false" customHeight="false" outlineLevel="0" collapsed="false">
      <c r="A65" s="25" t="s">
        <v>500</v>
      </c>
      <c r="B65" s="25" t="s">
        <v>501</v>
      </c>
      <c r="C65" s="25" t="s">
        <v>506</v>
      </c>
      <c r="D65" s="26" t="n">
        <v>1.05251851740198</v>
      </c>
      <c r="E65" s="26" t="n">
        <v>2.06959912863652</v>
      </c>
      <c r="F65" s="26" t="n">
        <v>-5.36003585293459</v>
      </c>
      <c r="G65" s="26" t="n">
        <v>-5.36584956431826</v>
      </c>
      <c r="H65" s="26" t="n">
        <v>-2.79043672429807</v>
      </c>
      <c r="I65" s="26" t="n">
        <v>-2.79625043568174</v>
      </c>
      <c r="J65" s="26" t="n">
        <v>15.08</v>
      </c>
      <c r="K65" s="27" t="n">
        <f aca="false">MIN(F65,G65)</f>
        <v>-5.36584956431826</v>
      </c>
      <c r="L65" s="27" t="n">
        <f aca="false">AVERAGE(F65,G65)</f>
        <v>-5.36294270862642</v>
      </c>
      <c r="M65" s="27" t="n">
        <f aca="false">MAX(0,NG-L65)</f>
        <v>4.66294270862642</v>
      </c>
      <c r="N65" s="27" t="n">
        <f aca="false">MAX(0,GWL-K65)</f>
        <v>3.86584956431826</v>
      </c>
      <c r="O65" s="27" t="n">
        <f aca="false">MAX(0,NG-MAX(K65,GWL))</f>
        <v>0.8</v>
      </c>
      <c r="P65" s="27" t="n">
        <f aca="false">E65/2+WS+SLOPE_A*O65+SLOPE_B*N65</f>
        <v>10.9664986929548</v>
      </c>
      <c r="Q65" s="28" t="str">
        <f aca="false">IF(AND(P65&lt;J65,N65&lt;=MAXOC),"Open cut","Shoring")</f>
        <v>Shoring</v>
      </c>
      <c r="R65" s="27" t="n">
        <f aca="false">IF(Q65="Shoring",D65,0)</f>
        <v>1.05251851740198</v>
      </c>
      <c r="S65" s="27" t="n">
        <f aca="false">MAX(0,GWL-L65)</f>
        <v>3.86294270862642</v>
      </c>
      <c r="T65" s="27" t="n">
        <f aca="false">MAX(0,NG-MAX(L65,GWL))</f>
        <v>0.8</v>
      </c>
      <c r="U65" s="27" t="n">
        <f aca="false">E65+2*WS</f>
        <v>4.06959912863652</v>
      </c>
      <c r="V65" s="27" t="n">
        <f aca="false">IF(Q65="Shoring",D65*M65*U65,0)</f>
        <v>19.9729151239789</v>
      </c>
      <c r="W65" s="27" t="n">
        <f aca="false">IF(Q65="Open cut",D65*(U65*M65+SLOPE_B*S65^2+2*SLOPE_B*S65*T65+SLOPE_A*T65^2),0)</f>
        <v>0</v>
      </c>
      <c r="X65" s="27" t="n">
        <f aca="false">IF(M65&gt;0,D65*(E65+2*SLABOVH)*SLAB,0)</f>
        <v>1.61540496194546</v>
      </c>
      <c r="Y65" s="27" t="n">
        <f aca="false">IF(M65&gt;0,D65*PI()*E65^2/4,0)</f>
        <v>3.54072414372242</v>
      </c>
      <c r="Z65" s="27" t="n">
        <f aca="false">IF(H65-E65&gt;=GWL,99,E65*(MAX(0,GWL-H65)*(GAM_S-GAM_W)+MAX(0,NG-MAX(H65,GWL))*GAM_D)/(GAM_W*PI()*E65^2/4))</f>
        <v>1.56585089796756</v>
      </c>
      <c r="AA65" s="27" t="n">
        <f aca="false">IF(I65-E65&gt;=GWL,99,E65*(MAX(0,GWL-I65)*(GAM_S-GAM_W)+MAX(0,NG-MAX(I65,GWL))*GAM_D)/(GAM_W*PI()*E65^2/4))</f>
        <v>1.56883691477543</v>
      </c>
      <c r="AB65" s="27" t="n">
        <f aca="false">IF(H65-E65&gt;=GWL,99,E65*(MAX(0,GWL-H65)*(GAM_S-GAM_W)+MAX(0,FL-MAX(H65,GWL))*GAM_D)/(GAM_W*PI()*E65^2/4))</f>
        <v>3.48485677542509</v>
      </c>
      <c r="AC65" s="27" t="n">
        <f aca="false">IF(I65-E65&gt;=GWL,99,E65*(MAX(0,GWL-I65)*(GAM_S-GAM_W)+MAX(0,FL-MAX(I65,GWL))*GAM_D)/(GAM_W*PI()*E65^2/4))</f>
        <v>3.48784279223295</v>
      </c>
    </row>
    <row r="66" customFormat="false" ht="15" hidden="false" customHeight="false" outlineLevel="0" collapsed="false">
      <c r="A66" s="25" t="s">
        <v>500</v>
      </c>
      <c r="B66" s="25" t="s">
        <v>501</v>
      </c>
      <c r="C66" s="25" t="s">
        <v>507</v>
      </c>
      <c r="D66" s="26" t="n">
        <v>1.99997640360344</v>
      </c>
      <c r="E66" s="26" t="n">
        <v>2.06960947668155</v>
      </c>
      <c r="F66" s="26" t="n">
        <v>-5.36585473834077</v>
      </c>
      <c r="G66" s="26" t="n">
        <v>-5.37690473834078</v>
      </c>
      <c r="H66" s="26" t="n">
        <v>-2.79624526165923</v>
      </c>
      <c r="I66" s="26" t="n">
        <v>-2.80729526165923</v>
      </c>
      <c r="J66" s="26" t="n">
        <v>14.59</v>
      </c>
      <c r="K66" s="27" t="n">
        <f aca="false">MIN(F66,G66)</f>
        <v>-5.37690473834078</v>
      </c>
      <c r="L66" s="27" t="n">
        <f aca="false">AVERAGE(F66,G66)</f>
        <v>-5.37137973834077</v>
      </c>
      <c r="M66" s="27" t="n">
        <f aca="false">MAX(0,NG-L66)</f>
        <v>4.67137973834077</v>
      </c>
      <c r="N66" s="27" t="n">
        <f aca="false">MAX(0,GWL-K66)</f>
        <v>3.87690473834078</v>
      </c>
      <c r="O66" s="27" t="n">
        <f aca="false">MAX(0,NG-MAX(K66,GWL))</f>
        <v>0.8</v>
      </c>
      <c r="P66" s="27" t="n">
        <f aca="false">E66/2+WS+SLOPE_A*O66+SLOPE_B*N66</f>
        <v>10.9886142150223</v>
      </c>
      <c r="Q66" s="28" t="str">
        <f aca="false">IF(AND(P66&lt;J66,N66&lt;=MAXOC),"Open cut","Shoring")</f>
        <v>Shoring</v>
      </c>
      <c r="R66" s="27" t="n">
        <f aca="false">IF(Q66="Shoring",D66,0)</f>
        <v>1.99997640360344</v>
      </c>
      <c r="S66" s="27" t="n">
        <f aca="false">MAX(0,GWL-L66)</f>
        <v>3.87137973834077</v>
      </c>
      <c r="T66" s="27" t="n">
        <f aca="false">MAX(0,NG-MAX(L66,GWL))</f>
        <v>0.8</v>
      </c>
      <c r="U66" s="27" t="n">
        <f aca="false">E66+2*WS</f>
        <v>4.06960947668155</v>
      </c>
      <c r="V66" s="27" t="n">
        <f aca="false">IF(Q66="Shoring",D66*M66*U66,0)</f>
        <v>38.0209339208499</v>
      </c>
      <c r="W66" s="27" t="n">
        <f aca="false">IF(Q66="Open cut",D66*(U66*M66+SLOPE_B*S66^2+2*SLOPE_B*S66*T66+SLOPE_A*T66^2),0)</f>
        <v>0</v>
      </c>
      <c r="X66" s="27" t="n">
        <f aca="false">IF(M66&gt;0,D66*(E66+2*SLABOVH)*SLAB,0)</f>
        <v>3.0695732608203</v>
      </c>
      <c r="Y66" s="27" t="n">
        <f aca="false">IF(M66&gt;0,D66*PI()*E66^2/4,0)</f>
        <v>6.72808642906911</v>
      </c>
      <c r="Z66" s="27" t="n">
        <f aca="false">IF(H66-E66&gt;=GWL,99,E66*(MAX(0,GWL-H66)*(GAM_S-GAM_W)+MAX(0,NG-MAX(H66,GWL))*GAM_D)/(GAM_W*PI()*E66^2/4))</f>
        <v>1.56882641314374</v>
      </c>
      <c r="AA66" s="27" t="n">
        <f aca="false">IF(I66-E66&gt;=GWL,99,E66*(MAX(0,GWL-I66)*(GAM_S-GAM_W)+MAX(0,NG-MAX(I66,GWL))*GAM_D)/(GAM_W*PI()*E66^2/4))</f>
        <v>1.57450184464902</v>
      </c>
      <c r="AB66" s="27" t="n">
        <f aca="false">IF(H66-E66&gt;=GWL,99,E66*(MAX(0,GWL-H66)*(GAM_S-GAM_W)+MAX(0,FL-MAX(H66,GWL))*GAM_D)/(GAM_W*PI()*E66^2/4))</f>
        <v>3.48782269557406</v>
      </c>
      <c r="AC66" s="27" t="n">
        <f aca="false">IF(I66-E66&gt;=GWL,99,E66*(MAX(0,GWL-I66)*(GAM_S-GAM_W)+MAX(0,FL-MAX(I66,GWL))*GAM_D)/(GAM_W*PI()*E66^2/4))</f>
        <v>3.49349812707934</v>
      </c>
    </row>
    <row r="67" customFormat="false" ht="15" hidden="false" customHeight="false" outlineLevel="0" collapsed="false">
      <c r="A67" s="25" t="s">
        <v>500</v>
      </c>
      <c r="B67" s="25" t="s">
        <v>508</v>
      </c>
      <c r="C67" s="25" t="s">
        <v>509</v>
      </c>
      <c r="D67" s="26" t="n">
        <v>6.94750507874228</v>
      </c>
      <c r="E67" s="26" t="n">
        <v>2.06960947668155</v>
      </c>
      <c r="F67" s="26" t="n">
        <v>-5.37690473834078</v>
      </c>
      <c r="G67" s="26" t="n">
        <v>-5.41528811662267</v>
      </c>
      <c r="H67" s="26" t="n">
        <v>-2.80729526165923</v>
      </c>
      <c r="I67" s="26" t="n">
        <v>-2.84567863994112</v>
      </c>
      <c r="J67" s="26" t="n">
        <v>14.31</v>
      </c>
      <c r="K67" s="27" t="n">
        <f aca="false">MIN(F67,G67)</f>
        <v>-5.41528811662267</v>
      </c>
      <c r="L67" s="27" t="n">
        <f aca="false">AVERAGE(F67,G67)</f>
        <v>-5.39609642748172</v>
      </c>
      <c r="M67" s="27" t="n">
        <f aca="false">MAX(0,NG-L67)</f>
        <v>4.69609642748172</v>
      </c>
      <c r="N67" s="27" t="n">
        <f aca="false">MAX(0,GWL-K67)</f>
        <v>3.91528811662267</v>
      </c>
      <c r="O67" s="27" t="n">
        <f aca="false">MAX(0,NG-MAX(K67,GWL))</f>
        <v>0.8</v>
      </c>
      <c r="P67" s="27" t="n">
        <f aca="false">E67/2+WS+SLOPE_A*O67+SLOPE_B*N67</f>
        <v>11.0653809715861</v>
      </c>
      <c r="Q67" s="28" t="str">
        <f aca="false">IF(AND(P67&lt;J67,N67&lt;=MAXOC),"Open cut","Shoring")</f>
        <v>Shoring</v>
      </c>
      <c r="R67" s="27" t="n">
        <f aca="false">IF(Q67="Shoring",D67,0)</f>
        <v>6.94750507874228</v>
      </c>
      <c r="S67" s="27" t="n">
        <f aca="false">MAX(0,GWL-L67)</f>
        <v>3.89609642748172</v>
      </c>
      <c r="T67" s="27" t="n">
        <f aca="false">MAX(0,NG-MAX(L67,GWL))</f>
        <v>0.8</v>
      </c>
      <c r="U67" s="27" t="n">
        <f aca="false">E67+2*WS</f>
        <v>4.06960947668155</v>
      </c>
      <c r="V67" s="27" t="n">
        <f aca="false">IF(Q67="Shoring",D67*M67*U67,0)</f>
        <v>132.775704611542</v>
      </c>
      <c r="W67" s="27" t="n">
        <f aca="false">IF(Q67="Open cut",D67*(U67*M67+SLOPE_B*S67^2+2*SLOPE_B*S67*T67+SLOPE_A*T67^2),0)</f>
        <v>0</v>
      </c>
      <c r="X67" s="27" t="n">
        <f aca="false">IF(M67&gt;0,D67*(E67+2*SLABOVH)*SLAB,0)</f>
        <v>10.6630637145002</v>
      </c>
      <c r="Y67" s="27" t="n">
        <f aca="false">IF(M67&gt;0,D67*PI()*E67^2/4,0)</f>
        <v>23.3719830653778</v>
      </c>
      <c r="Z67" s="27" t="n">
        <f aca="false">IF(H67-E67&gt;=GWL,99,E67*(MAX(0,GWL-H67)*(GAM_S-GAM_W)+MAX(0,NG-MAX(H67,GWL))*GAM_D)/(GAM_W*PI()*E67^2/4))</f>
        <v>1.57450184464902</v>
      </c>
      <c r="AA67" s="27" t="n">
        <f aca="false">IF(I67-E67&gt;=GWL,99,E67*(MAX(0,GWL-I67)*(GAM_S-GAM_W)+MAX(0,NG-MAX(I67,GWL))*GAM_D)/(GAM_W*PI()*E67^2/4))</f>
        <v>1.59421607400472</v>
      </c>
      <c r="AB67" s="27" t="n">
        <f aca="false">IF(H67-E67&gt;=GWL,99,E67*(MAX(0,GWL-H67)*(GAM_S-GAM_W)+MAX(0,FL-MAX(H67,GWL))*GAM_D)/(GAM_W*PI()*E67^2/4))</f>
        <v>3.49349812707934</v>
      </c>
      <c r="AC67" s="27" t="n">
        <f aca="false">IF(I67-E67&gt;=GWL,99,E67*(MAX(0,GWL-I67)*(GAM_S-GAM_W)+MAX(0,FL-MAX(I67,GWL))*GAM_D)/(GAM_W*PI()*E67^2/4))</f>
        <v>3.51321235643504</v>
      </c>
    </row>
    <row r="68" customFormat="false" ht="15" hidden="false" customHeight="false" outlineLevel="0" collapsed="false">
      <c r="A68" s="25" t="s">
        <v>500</v>
      </c>
      <c r="B68" s="25" t="s">
        <v>508</v>
      </c>
      <c r="C68" s="25" t="s">
        <v>510</v>
      </c>
      <c r="D68" s="26" t="n">
        <v>10.0000000001675</v>
      </c>
      <c r="E68" s="26" t="n">
        <v>2.06960947668155</v>
      </c>
      <c r="F68" s="26" t="n">
        <v>-5.41528811662267</v>
      </c>
      <c r="G68" s="26" t="n">
        <v>-5.47053583195058</v>
      </c>
      <c r="H68" s="26" t="n">
        <v>-2.84567863994112</v>
      </c>
      <c r="I68" s="26" t="n">
        <v>-2.90092635526903</v>
      </c>
      <c r="J68" s="26" t="n">
        <v>11.17</v>
      </c>
      <c r="K68" s="27" t="n">
        <f aca="false">MIN(F68,G68)</f>
        <v>-5.47053583195058</v>
      </c>
      <c r="L68" s="27" t="n">
        <f aca="false">AVERAGE(F68,G68)</f>
        <v>-5.44291197428663</v>
      </c>
      <c r="M68" s="27" t="n">
        <f aca="false">MAX(0,NG-L68)</f>
        <v>4.74291197428663</v>
      </c>
      <c r="N68" s="27" t="n">
        <f aca="false">MAX(0,GWL-K68)</f>
        <v>3.97053583195058</v>
      </c>
      <c r="O68" s="27" t="n">
        <f aca="false">MAX(0,NG-MAX(K68,GWL))</f>
        <v>0.8</v>
      </c>
      <c r="P68" s="27" t="n">
        <f aca="false">E68/2+WS+SLOPE_A*O68+SLOPE_B*N68</f>
        <v>11.1758764022419</v>
      </c>
      <c r="Q68" s="28" t="str">
        <f aca="false">IF(AND(P68&lt;J68,N68&lt;=MAXOC),"Open cut","Shoring")</f>
        <v>Shoring</v>
      </c>
      <c r="R68" s="27" t="n">
        <f aca="false">IF(Q68="Shoring",D68,0)</f>
        <v>10.0000000001675</v>
      </c>
      <c r="S68" s="27" t="n">
        <f aca="false">MAX(0,GWL-L68)</f>
        <v>3.94291197428663</v>
      </c>
      <c r="T68" s="27" t="n">
        <f aca="false">MAX(0,NG-MAX(L68,GWL))</f>
        <v>0.8</v>
      </c>
      <c r="U68" s="27" t="n">
        <f aca="false">E68+2*WS</f>
        <v>4.06960947668155</v>
      </c>
      <c r="V68" s="27" t="n">
        <f aca="false">IF(Q68="Shoring",D68*M68*U68,0)</f>
        <v>193.017995179466</v>
      </c>
      <c r="W68" s="27" t="n">
        <f aca="false">IF(Q68="Open cut",D68*(U68*M68+SLOPE_B*S68^2+2*SLOPE_B*S68*T68+SLOPE_A*T68^2),0)</f>
        <v>0</v>
      </c>
      <c r="X68" s="27" t="n">
        <f aca="false">IF(M68&gt;0,D68*(E68+2*SLABOVH)*SLAB,0)</f>
        <v>15.3480473836648</v>
      </c>
      <c r="Y68" s="27" t="n">
        <f aca="false">IF(M68&gt;0,D68*PI()*E68^2/4,0)</f>
        <v>33.6408290470805</v>
      </c>
      <c r="Z68" s="27" t="n">
        <f aca="false">IF(H68-E68&gt;=GWL,99,E68*(MAX(0,GWL-H68)*(GAM_S-GAM_W)+MAX(0,NG-MAX(H68,GWL))*GAM_D)/(GAM_W*PI()*E68^2/4))</f>
        <v>1.59421607400472</v>
      </c>
      <c r="AA68" s="27" t="n">
        <f aca="false">IF(I68-E68&gt;=GWL,99,E68*(MAX(0,GWL-I68)*(GAM_S-GAM_W)+MAX(0,NG-MAX(I68,GWL))*GAM_D)/(GAM_W*PI()*E68^2/4))</f>
        <v>1.62259205809225</v>
      </c>
      <c r="AB68" s="27" t="n">
        <f aca="false">IF(H68-E68&gt;=GWL,99,E68*(MAX(0,GWL-H68)*(GAM_S-GAM_W)+MAX(0,FL-MAX(H68,GWL))*GAM_D)/(GAM_W*PI()*E68^2/4))</f>
        <v>3.51321235643504</v>
      </c>
      <c r="AC68" s="27" t="n">
        <f aca="false">IF(I68-E68&gt;=GWL,99,E68*(MAX(0,GWL-I68)*(GAM_S-GAM_W)+MAX(0,FL-MAX(I68,GWL))*GAM_D)/(GAM_W*PI()*E68^2/4))</f>
        <v>3.54158834052257</v>
      </c>
    </row>
    <row r="69" customFormat="false" ht="15" hidden="false" customHeight="false" outlineLevel="0" collapsed="false">
      <c r="A69" s="25" t="s">
        <v>500</v>
      </c>
      <c r="B69" s="25" t="s">
        <v>508</v>
      </c>
      <c r="C69" s="25" t="s">
        <v>511</v>
      </c>
      <c r="D69" s="26" t="n">
        <v>9.99999999992966</v>
      </c>
      <c r="E69" s="26" t="n">
        <v>2.06960947668155</v>
      </c>
      <c r="F69" s="26" t="n">
        <v>-5.47053583195058</v>
      </c>
      <c r="G69" s="26" t="n">
        <v>-5.52578354727849</v>
      </c>
      <c r="H69" s="26" t="n">
        <v>-2.90092635526903</v>
      </c>
      <c r="I69" s="26" t="n">
        <v>-2.95617407059694</v>
      </c>
      <c r="J69" s="26" t="n">
        <v>11.29</v>
      </c>
      <c r="K69" s="27" t="n">
        <f aca="false">MIN(F69,G69)</f>
        <v>-5.52578354727849</v>
      </c>
      <c r="L69" s="27" t="n">
        <f aca="false">AVERAGE(F69,G69)</f>
        <v>-5.49815968961454</v>
      </c>
      <c r="M69" s="27" t="n">
        <f aca="false">MAX(0,NG-L69)</f>
        <v>4.79815968961453</v>
      </c>
      <c r="N69" s="27" t="n">
        <f aca="false">MAX(0,GWL-K69)</f>
        <v>4.02578354727849</v>
      </c>
      <c r="O69" s="27" t="n">
        <f aca="false">MAX(0,NG-MAX(K69,GWL))</f>
        <v>0.8</v>
      </c>
      <c r="P69" s="27" t="n">
        <f aca="false">E69/2+WS+SLOPE_A*O69+SLOPE_B*N69</f>
        <v>11.2863718328978</v>
      </c>
      <c r="Q69" s="28" t="str">
        <f aca="false">IF(AND(P69&lt;J69,N69&lt;=MAXOC),"Open cut","Shoring")</f>
        <v>Shoring</v>
      </c>
      <c r="R69" s="27" t="n">
        <f aca="false">IF(Q69="Shoring",D69,0)</f>
        <v>9.99999999992966</v>
      </c>
      <c r="S69" s="27" t="n">
        <f aca="false">MAX(0,GWL-L69)</f>
        <v>3.99815968961453</v>
      </c>
      <c r="T69" s="27" t="n">
        <f aca="false">MAX(0,NG-MAX(L69,GWL))</f>
        <v>0.8</v>
      </c>
      <c r="U69" s="27" t="n">
        <f aca="false">E69+2*WS</f>
        <v>4.06960947668155</v>
      </c>
      <c r="V69" s="27" t="n">
        <f aca="false">IF(Q69="Shoring",D69*M69*U69,0)</f>
        <v>195.266361433494</v>
      </c>
      <c r="W69" s="27" t="n">
        <f aca="false">IF(Q69="Open cut",D69*(U69*M69+SLOPE_B*S69^2+2*SLOPE_B*S69*T69+SLOPE_A*T69^2),0)</f>
        <v>0</v>
      </c>
      <c r="X69" s="27" t="n">
        <f aca="false">IF(M69&gt;0,D69*(E69+2*SLABOVH)*SLAB,0)</f>
        <v>15.3480473832998</v>
      </c>
      <c r="Y69" s="27" t="n">
        <f aca="false">IF(M69&gt;0,D69*PI()*E69^2/4,0)</f>
        <v>33.6408290462804</v>
      </c>
      <c r="Z69" s="27" t="n">
        <f aca="false">IF(H69-E69&gt;=GWL,99,E69*(MAX(0,GWL-H69)*(GAM_S-GAM_W)+MAX(0,NG-MAX(H69,GWL))*GAM_D)/(GAM_W*PI()*E69^2/4))</f>
        <v>1.62259205809225</v>
      </c>
      <c r="AA69" s="27" t="n">
        <f aca="false">IF(I69-E69&gt;=GWL,99,E69*(MAX(0,GWL-I69)*(GAM_S-GAM_W)+MAX(0,NG-MAX(I69,GWL))*GAM_D)/(GAM_W*PI()*E69^2/4))</f>
        <v>1.65096804217978</v>
      </c>
      <c r="AB69" s="27" t="n">
        <f aca="false">IF(H69-E69&gt;=GWL,99,E69*(MAX(0,GWL-H69)*(GAM_S-GAM_W)+MAX(0,FL-MAX(H69,GWL))*GAM_D)/(GAM_W*PI()*E69^2/4))</f>
        <v>3.54158834052257</v>
      </c>
      <c r="AC69" s="27" t="n">
        <f aca="false">IF(I69-E69&gt;=GWL,99,E69*(MAX(0,GWL-I69)*(GAM_S-GAM_W)+MAX(0,FL-MAX(I69,GWL))*GAM_D)/(GAM_W*PI()*E69^2/4))</f>
        <v>3.5699643246101</v>
      </c>
    </row>
    <row r="70" customFormat="false" ht="15" hidden="false" customHeight="false" outlineLevel="0" collapsed="false">
      <c r="A70" s="25" t="s">
        <v>500</v>
      </c>
      <c r="B70" s="25" t="s">
        <v>508</v>
      </c>
      <c r="C70" s="25" t="s">
        <v>512</v>
      </c>
      <c r="D70" s="26" t="n">
        <v>10.0000000000674</v>
      </c>
      <c r="E70" s="26" t="n">
        <v>2.06960947668155</v>
      </c>
      <c r="F70" s="26" t="n">
        <v>-5.52578354727849</v>
      </c>
      <c r="G70" s="26" t="n">
        <v>-5.5810312626064</v>
      </c>
      <c r="H70" s="26" t="n">
        <v>-2.95617407059694</v>
      </c>
      <c r="I70" s="26" t="n">
        <v>-3.01142178592485</v>
      </c>
      <c r="J70" s="26" t="n">
        <v>11.42</v>
      </c>
      <c r="K70" s="27" t="n">
        <f aca="false">MIN(F70,G70)</f>
        <v>-5.5810312626064</v>
      </c>
      <c r="L70" s="27" t="n">
        <f aca="false">AVERAGE(F70,G70)</f>
        <v>-5.55340740494244</v>
      </c>
      <c r="M70" s="27" t="n">
        <f aca="false">MAX(0,NG-L70)</f>
        <v>4.85340740494244</v>
      </c>
      <c r="N70" s="27" t="n">
        <f aca="false">MAX(0,GWL-K70)</f>
        <v>4.0810312626064</v>
      </c>
      <c r="O70" s="27" t="n">
        <f aca="false">MAX(0,NG-MAX(K70,GWL))</f>
        <v>0.8</v>
      </c>
      <c r="P70" s="27" t="n">
        <f aca="false">E70/2+WS+SLOPE_A*O70+SLOPE_B*N70</f>
        <v>11.3968672635536</v>
      </c>
      <c r="Q70" s="28" t="str">
        <f aca="false">IF(AND(P70&lt;J70,N70&lt;=MAXOC),"Open cut","Shoring")</f>
        <v>Shoring</v>
      </c>
      <c r="R70" s="27" t="n">
        <f aca="false">IF(Q70="Shoring",D70,0)</f>
        <v>10.0000000000674</v>
      </c>
      <c r="S70" s="27" t="n">
        <f aca="false">MAX(0,GWL-L70)</f>
        <v>4.05340740494244</v>
      </c>
      <c r="T70" s="27" t="n">
        <f aca="false">MAX(0,NG-MAX(L70,GWL))</f>
        <v>0.8</v>
      </c>
      <c r="U70" s="27" t="n">
        <f aca="false">E70+2*WS</f>
        <v>4.06960947668155</v>
      </c>
      <c r="V70" s="27" t="n">
        <f aca="false">IF(Q70="Shoring",D70*M70*U70,0)</f>
        <v>197.514727694833</v>
      </c>
      <c r="W70" s="27" t="n">
        <f aca="false">IF(Q70="Open cut",D70*(U70*M70+SLOPE_B*S70^2+2*SLOPE_B*S70*T70+SLOPE_A*T70^2),0)</f>
        <v>0</v>
      </c>
      <c r="X70" s="27" t="n">
        <f aca="false">IF(M70&gt;0,D70*(E70+2*SLABOVH)*SLAB,0)</f>
        <v>15.3480473835112</v>
      </c>
      <c r="Y70" s="27" t="n">
        <f aca="false">IF(M70&gt;0,D70*PI()*E70^2/4,0)</f>
        <v>33.6408290467438</v>
      </c>
      <c r="Z70" s="27" t="n">
        <f aca="false">IF(H70-E70&gt;=GWL,99,E70*(MAX(0,GWL-H70)*(GAM_S-GAM_W)+MAX(0,NG-MAX(H70,GWL))*GAM_D)/(GAM_W*PI()*E70^2/4))</f>
        <v>1.65096804217978</v>
      </c>
      <c r="AA70" s="27" t="n">
        <f aca="false">IF(I70-E70&gt;=GWL,99,E70*(MAX(0,GWL-I70)*(GAM_S-GAM_W)+MAX(0,NG-MAX(I70,GWL))*GAM_D)/(GAM_W*PI()*E70^2/4))</f>
        <v>1.6793440262673</v>
      </c>
      <c r="AB70" s="27" t="n">
        <f aca="false">IF(H70-E70&gt;=GWL,99,E70*(MAX(0,GWL-H70)*(GAM_S-GAM_W)+MAX(0,FL-MAX(H70,GWL))*GAM_D)/(GAM_W*PI()*E70^2/4))</f>
        <v>3.5699643246101</v>
      </c>
      <c r="AC70" s="27" t="n">
        <f aca="false">IF(I70-E70&gt;=GWL,99,E70*(MAX(0,GWL-I70)*(GAM_S-GAM_W)+MAX(0,FL-MAX(I70,GWL))*GAM_D)/(GAM_W*PI()*E70^2/4))</f>
        <v>3.59834030869762</v>
      </c>
    </row>
    <row r="71" customFormat="false" ht="15" hidden="false" customHeight="false" outlineLevel="0" collapsed="false">
      <c r="A71" s="25" t="s">
        <v>500</v>
      </c>
      <c r="B71" s="25" t="s">
        <v>508</v>
      </c>
      <c r="C71" s="25" t="s">
        <v>513</v>
      </c>
      <c r="D71" s="26" t="n">
        <v>9.99999999992966</v>
      </c>
      <c r="E71" s="26" t="n">
        <v>2.06960947668155</v>
      </c>
      <c r="F71" s="26" t="n">
        <v>-5.5810312626064</v>
      </c>
      <c r="G71" s="26" t="n">
        <v>-5.63627897793431</v>
      </c>
      <c r="H71" s="26" t="n">
        <v>-3.01142178592485</v>
      </c>
      <c r="I71" s="26" t="n">
        <v>-3.06666950125276</v>
      </c>
      <c r="J71" s="26" t="n">
        <v>11.54</v>
      </c>
      <c r="K71" s="27" t="n">
        <f aca="false">MIN(F71,G71)</f>
        <v>-5.63627897793431</v>
      </c>
      <c r="L71" s="27" t="n">
        <f aca="false">AVERAGE(F71,G71)</f>
        <v>-5.60865512027035</v>
      </c>
      <c r="M71" s="27" t="n">
        <f aca="false">MAX(0,NG-L71)</f>
        <v>4.90865512027035</v>
      </c>
      <c r="N71" s="27" t="n">
        <f aca="false">MAX(0,GWL-K71)</f>
        <v>4.13627897793431</v>
      </c>
      <c r="O71" s="27" t="n">
        <f aca="false">MAX(0,NG-MAX(K71,GWL))</f>
        <v>0.8</v>
      </c>
      <c r="P71" s="27" t="n">
        <f aca="false">E71/2+WS+SLOPE_A*O71+SLOPE_B*N71</f>
        <v>11.5073626942094</v>
      </c>
      <c r="Q71" s="28" t="str">
        <f aca="false">IF(AND(P71&lt;J71,N71&lt;=MAXOC),"Open cut","Shoring")</f>
        <v>Shoring</v>
      </c>
      <c r="R71" s="27" t="n">
        <f aca="false">IF(Q71="Shoring",D71,0)</f>
        <v>9.99999999992966</v>
      </c>
      <c r="S71" s="27" t="n">
        <f aca="false">MAX(0,GWL-L71)</f>
        <v>4.10865512027035</v>
      </c>
      <c r="T71" s="27" t="n">
        <f aca="false">MAX(0,NG-MAX(L71,GWL))</f>
        <v>0.8</v>
      </c>
      <c r="U71" s="27" t="n">
        <f aca="false">E71+2*WS</f>
        <v>4.06960947668155</v>
      </c>
      <c r="V71" s="27" t="n">
        <f aca="false">IF(Q71="Shoring",D71*M71*U71,0)</f>
        <v>199.763093950731</v>
      </c>
      <c r="W71" s="27" t="n">
        <f aca="false">IF(Q71="Open cut",D71*(U71*M71+SLOPE_B*S71^2+2*SLOPE_B*S71*T71+SLOPE_A*T71^2),0)</f>
        <v>0</v>
      </c>
      <c r="X71" s="27" t="n">
        <f aca="false">IF(M71&gt;0,D71*(E71+2*SLABOVH)*SLAB,0)</f>
        <v>15.3480473832998</v>
      </c>
      <c r="Y71" s="27" t="n">
        <f aca="false">IF(M71&gt;0,D71*PI()*E71^2/4,0)</f>
        <v>33.6408290462804</v>
      </c>
      <c r="Z71" s="27" t="n">
        <f aca="false">IF(H71-E71&gt;=GWL,99,E71*(MAX(0,GWL-H71)*(GAM_S-GAM_W)+MAX(0,NG-MAX(H71,GWL))*GAM_D)/(GAM_W*PI()*E71^2/4))</f>
        <v>1.6793440262673</v>
      </c>
      <c r="AA71" s="27" t="n">
        <f aca="false">IF(I71-E71&gt;=GWL,99,E71*(MAX(0,GWL-I71)*(GAM_S-GAM_W)+MAX(0,NG-MAX(I71,GWL))*GAM_D)/(GAM_W*PI()*E71^2/4))</f>
        <v>1.70772001035483</v>
      </c>
      <c r="AB71" s="27" t="n">
        <f aca="false">IF(H71-E71&gt;=GWL,99,E71*(MAX(0,GWL-H71)*(GAM_S-GAM_W)+MAX(0,FL-MAX(H71,GWL))*GAM_D)/(GAM_W*PI()*E71^2/4))</f>
        <v>3.59834030869762</v>
      </c>
      <c r="AC71" s="27" t="n">
        <f aca="false">IF(I71-E71&gt;=GWL,99,E71*(MAX(0,GWL-I71)*(GAM_S-GAM_W)+MAX(0,FL-MAX(I71,GWL))*GAM_D)/(GAM_W*PI()*E71^2/4))</f>
        <v>3.62671629278515</v>
      </c>
    </row>
    <row r="72" customFormat="false" ht="15" hidden="false" customHeight="false" outlineLevel="0" collapsed="false">
      <c r="A72" s="25" t="s">
        <v>500</v>
      </c>
      <c r="B72" s="25" t="s">
        <v>508</v>
      </c>
      <c r="C72" s="25" t="s">
        <v>514</v>
      </c>
      <c r="D72" s="26" t="n">
        <v>10.0000000000674</v>
      </c>
      <c r="E72" s="26" t="n">
        <v>2.06960947668155</v>
      </c>
      <c r="F72" s="26" t="n">
        <v>-5.63627897793431</v>
      </c>
      <c r="G72" s="26" t="n">
        <v>-5.69152669326222</v>
      </c>
      <c r="H72" s="26" t="n">
        <v>-3.06666950125276</v>
      </c>
      <c r="I72" s="26" t="n">
        <v>-3.12191721658067</v>
      </c>
      <c r="J72" s="26" t="n">
        <v>11.66</v>
      </c>
      <c r="K72" s="27" t="n">
        <f aca="false">MIN(F72,G72)</f>
        <v>-5.69152669326222</v>
      </c>
      <c r="L72" s="27" t="n">
        <f aca="false">AVERAGE(F72,G72)</f>
        <v>-5.66390283559826</v>
      </c>
      <c r="M72" s="27" t="n">
        <f aca="false">MAX(0,NG-L72)</f>
        <v>4.96390283559826</v>
      </c>
      <c r="N72" s="27" t="n">
        <f aca="false">MAX(0,GWL-K72)</f>
        <v>4.19152669326222</v>
      </c>
      <c r="O72" s="27" t="n">
        <f aca="false">MAX(0,NG-MAX(K72,GWL))</f>
        <v>0.8</v>
      </c>
      <c r="P72" s="27" t="n">
        <f aca="false">E72/2+WS+SLOPE_A*O72+SLOPE_B*N72</f>
        <v>11.6178581248652</v>
      </c>
      <c r="Q72" s="28" t="str">
        <f aca="false">IF(AND(P72&lt;J72,N72&lt;=MAXOC),"Open cut","Shoring")</f>
        <v>Shoring</v>
      </c>
      <c r="R72" s="27" t="n">
        <f aca="false">IF(Q72="Shoring",D72,0)</f>
        <v>10.0000000000674</v>
      </c>
      <c r="S72" s="27" t="n">
        <f aca="false">MAX(0,GWL-L72)</f>
        <v>4.16390283559826</v>
      </c>
      <c r="T72" s="27" t="n">
        <f aca="false">MAX(0,NG-MAX(L72,GWL))</f>
        <v>0.8</v>
      </c>
      <c r="U72" s="27" t="n">
        <f aca="false">E72+2*WS</f>
        <v>4.06960947668155</v>
      </c>
      <c r="V72" s="27" t="n">
        <f aca="false">IF(Q72="Shoring",D72*M72*U72,0)</f>
        <v>202.011460212133</v>
      </c>
      <c r="W72" s="27" t="n">
        <f aca="false">IF(Q72="Open cut",D72*(U72*M72+SLOPE_B*S72^2+2*SLOPE_B*S72*T72+SLOPE_A*T72^2),0)</f>
        <v>0</v>
      </c>
      <c r="X72" s="27" t="n">
        <f aca="false">IF(M72&gt;0,D72*(E72+2*SLABOVH)*SLAB,0)</f>
        <v>15.3480473835112</v>
      </c>
      <c r="Y72" s="27" t="n">
        <f aca="false">IF(M72&gt;0,D72*PI()*E72^2/4,0)</f>
        <v>33.6408290467438</v>
      </c>
      <c r="Z72" s="27" t="n">
        <f aca="false">IF(H72-E72&gt;=GWL,99,E72*(MAX(0,GWL-H72)*(GAM_S-GAM_W)+MAX(0,NG-MAX(H72,GWL))*GAM_D)/(GAM_W*PI()*E72^2/4))</f>
        <v>1.70772001035483</v>
      </c>
      <c r="AA72" s="27" t="n">
        <f aca="false">IF(I72-E72&gt;=GWL,99,E72*(MAX(0,GWL-I72)*(GAM_S-GAM_W)+MAX(0,NG-MAX(I72,GWL))*GAM_D)/(GAM_W*PI()*E72^2/4))</f>
        <v>1.73609599444236</v>
      </c>
      <c r="AB72" s="27" t="n">
        <f aca="false">IF(H72-E72&gt;=GWL,99,E72*(MAX(0,GWL-H72)*(GAM_S-GAM_W)+MAX(0,FL-MAX(H72,GWL))*GAM_D)/(GAM_W*PI()*E72^2/4))</f>
        <v>3.62671629278515</v>
      </c>
      <c r="AC72" s="27" t="n">
        <f aca="false">IF(I72-E72&gt;=GWL,99,E72*(MAX(0,GWL-I72)*(GAM_S-GAM_W)+MAX(0,FL-MAX(I72,GWL))*GAM_D)/(GAM_W*PI()*E72^2/4))</f>
        <v>3.65509227687268</v>
      </c>
    </row>
    <row r="73" customFormat="false" ht="15" hidden="false" customHeight="false" outlineLevel="0" collapsed="false">
      <c r="A73" s="25" t="s">
        <v>500</v>
      </c>
      <c r="B73" s="25" t="s">
        <v>508</v>
      </c>
      <c r="C73" s="25" t="s">
        <v>515</v>
      </c>
      <c r="D73" s="26" t="n">
        <v>9.99999999992966</v>
      </c>
      <c r="E73" s="26" t="n">
        <v>2.06960947668155</v>
      </c>
      <c r="F73" s="26" t="n">
        <v>-5.69152669326222</v>
      </c>
      <c r="G73" s="26" t="n">
        <v>-5.74677440859012</v>
      </c>
      <c r="H73" s="26" t="n">
        <v>-3.12191721658067</v>
      </c>
      <c r="I73" s="26" t="n">
        <v>-3.17716493190858</v>
      </c>
      <c r="J73" s="26" t="n">
        <v>11.79</v>
      </c>
      <c r="K73" s="27" t="n">
        <f aca="false">MIN(F73,G73)</f>
        <v>-5.74677440859012</v>
      </c>
      <c r="L73" s="27" t="n">
        <f aca="false">AVERAGE(F73,G73)</f>
        <v>-5.71915055092617</v>
      </c>
      <c r="M73" s="27" t="n">
        <f aca="false">MAX(0,NG-L73)</f>
        <v>5.01915055092617</v>
      </c>
      <c r="N73" s="27" t="n">
        <f aca="false">MAX(0,GWL-K73)</f>
        <v>4.24677440859012</v>
      </c>
      <c r="O73" s="27" t="n">
        <f aca="false">MAX(0,NG-MAX(K73,GWL))</f>
        <v>0.8</v>
      </c>
      <c r="P73" s="27" t="n">
        <f aca="false">E73/2+WS+SLOPE_A*O73+SLOPE_B*N73</f>
        <v>11.728353555521</v>
      </c>
      <c r="Q73" s="28" t="str">
        <f aca="false">IF(AND(P73&lt;J73,N73&lt;=MAXOC),"Open cut","Shoring")</f>
        <v>Shoring</v>
      </c>
      <c r="R73" s="27" t="n">
        <f aca="false">IF(Q73="Shoring",D73,0)</f>
        <v>9.99999999992966</v>
      </c>
      <c r="S73" s="27" t="n">
        <f aca="false">MAX(0,GWL-L73)</f>
        <v>4.21915055092617</v>
      </c>
      <c r="T73" s="27" t="n">
        <f aca="false">MAX(0,NG-MAX(L73,GWL))</f>
        <v>0.8</v>
      </c>
      <c r="U73" s="27" t="n">
        <f aca="false">E73+2*WS</f>
        <v>4.06960947668155</v>
      </c>
      <c r="V73" s="27" t="n">
        <f aca="false">IF(Q73="Shoring",D73*M73*U73,0)</f>
        <v>204.259826467969</v>
      </c>
      <c r="W73" s="27" t="n">
        <f aca="false">IF(Q73="Open cut",D73*(U73*M73+SLOPE_B*S73^2+2*SLOPE_B*S73*T73+SLOPE_A*T73^2),0)</f>
        <v>0</v>
      </c>
      <c r="X73" s="27" t="n">
        <f aca="false">IF(M73&gt;0,D73*(E73+2*SLABOVH)*SLAB,0)</f>
        <v>15.3480473832998</v>
      </c>
      <c r="Y73" s="27" t="n">
        <f aca="false">IF(M73&gt;0,D73*PI()*E73^2/4,0)</f>
        <v>33.6408290462804</v>
      </c>
      <c r="Z73" s="27" t="n">
        <f aca="false">IF(H73-E73&gt;=GWL,99,E73*(MAX(0,GWL-H73)*(GAM_S-GAM_W)+MAX(0,NG-MAX(H73,GWL))*GAM_D)/(GAM_W*PI()*E73^2/4))</f>
        <v>1.73609599444236</v>
      </c>
      <c r="AA73" s="27" t="n">
        <f aca="false">IF(I73-E73&gt;=GWL,99,E73*(MAX(0,GWL-I73)*(GAM_S-GAM_W)+MAX(0,NG-MAX(I73,GWL))*GAM_D)/(GAM_W*PI()*E73^2/4))</f>
        <v>1.76447197852989</v>
      </c>
      <c r="AB73" s="27" t="n">
        <f aca="false">IF(H73-E73&gt;=GWL,99,E73*(MAX(0,GWL-H73)*(GAM_S-GAM_W)+MAX(0,FL-MAX(H73,GWL))*GAM_D)/(GAM_W*PI()*E73^2/4))</f>
        <v>3.65509227687268</v>
      </c>
      <c r="AC73" s="27" t="n">
        <f aca="false">IF(I73-E73&gt;=GWL,99,E73*(MAX(0,GWL-I73)*(GAM_S-GAM_W)+MAX(0,FL-MAX(I73,GWL))*GAM_D)/(GAM_W*PI()*E73^2/4))</f>
        <v>3.68346826096021</v>
      </c>
    </row>
    <row r="74" customFormat="false" ht="15" hidden="false" customHeight="false" outlineLevel="0" collapsed="false">
      <c r="A74" s="25" t="s">
        <v>500</v>
      </c>
      <c r="B74" s="25" t="s">
        <v>508</v>
      </c>
      <c r="C74" s="25" t="s">
        <v>516</v>
      </c>
      <c r="D74" s="26" t="n">
        <v>10.0000000001675</v>
      </c>
      <c r="E74" s="26" t="n">
        <v>2.06960947668155</v>
      </c>
      <c r="F74" s="26" t="n">
        <v>-5.74677440859012</v>
      </c>
      <c r="G74" s="26" t="n">
        <v>-5.80202212391803</v>
      </c>
      <c r="H74" s="26" t="n">
        <v>-3.17716493190858</v>
      </c>
      <c r="I74" s="26" t="n">
        <v>-3.23241264723648</v>
      </c>
      <c r="J74" s="26" t="n">
        <v>11.91</v>
      </c>
      <c r="K74" s="27" t="n">
        <f aca="false">MIN(F74,G74)</f>
        <v>-5.80202212391803</v>
      </c>
      <c r="L74" s="27" t="n">
        <f aca="false">AVERAGE(F74,G74)</f>
        <v>-5.77439826625408</v>
      </c>
      <c r="M74" s="27" t="n">
        <f aca="false">MAX(0,NG-L74)</f>
        <v>5.07439826625408</v>
      </c>
      <c r="N74" s="27" t="n">
        <f aca="false">MAX(0,GWL-K74)</f>
        <v>4.30202212391803</v>
      </c>
      <c r="O74" s="27" t="n">
        <f aca="false">MAX(0,NG-MAX(K74,GWL))</f>
        <v>0.8</v>
      </c>
      <c r="P74" s="27" t="n">
        <f aca="false">E74/2+WS+SLOPE_A*O74+SLOPE_B*N74</f>
        <v>11.8388489861768</v>
      </c>
      <c r="Q74" s="28" t="str">
        <f aca="false">IF(AND(P74&lt;J74,N74&lt;=MAXOC),"Open cut","Shoring")</f>
        <v>Shoring</v>
      </c>
      <c r="R74" s="27" t="n">
        <f aca="false">IF(Q74="Shoring",D74,0)</f>
        <v>10.0000000001675</v>
      </c>
      <c r="S74" s="27" t="n">
        <f aca="false">MAX(0,GWL-L74)</f>
        <v>4.27439826625408</v>
      </c>
      <c r="T74" s="27" t="n">
        <f aca="false">MAX(0,NG-MAX(L74,GWL))</f>
        <v>0.8</v>
      </c>
      <c r="U74" s="27" t="n">
        <f aca="false">E74+2*WS</f>
        <v>4.06960947668155</v>
      </c>
      <c r="V74" s="27" t="n">
        <f aca="false">IF(Q74="Shoring",D74*M74*U74,0)</f>
        <v>206.508192731499</v>
      </c>
      <c r="W74" s="27" t="n">
        <f aca="false">IF(Q74="Open cut",D74*(U74*M74+SLOPE_B*S74^2+2*SLOPE_B*S74*T74+SLOPE_A*T74^2),0)</f>
        <v>0</v>
      </c>
      <c r="X74" s="27" t="n">
        <f aca="false">IF(M74&gt;0,D74*(E74+2*SLABOVH)*SLAB,0)</f>
        <v>15.3480473836648</v>
      </c>
      <c r="Y74" s="27" t="n">
        <f aca="false">IF(M74&gt;0,D74*PI()*E74^2/4,0)</f>
        <v>33.6408290470805</v>
      </c>
      <c r="Z74" s="27" t="n">
        <f aca="false">IF(H74-E74&gt;=GWL,99,E74*(MAX(0,GWL-H74)*(GAM_S-GAM_W)+MAX(0,NG-MAX(H74,GWL))*GAM_D)/(GAM_W*PI()*E74^2/4))</f>
        <v>1.76447197852989</v>
      </c>
      <c r="AA74" s="27" t="n">
        <f aca="false">IF(I74-E74&gt;=GWL,99,E74*(MAX(0,GWL-I74)*(GAM_S-GAM_W)+MAX(0,NG-MAX(I74,GWL))*GAM_D)/(GAM_W*PI()*E74^2/4))</f>
        <v>1.79284796261741</v>
      </c>
      <c r="AB74" s="27" t="n">
        <f aca="false">IF(H74-E74&gt;=GWL,99,E74*(MAX(0,GWL-H74)*(GAM_S-GAM_W)+MAX(0,FL-MAX(H74,GWL))*GAM_D)/(GAM_W*PI()*E74^2/4))</f>
        <v>3.68346826096021</v>
      </c>
      <c r="AC74" s="27" t="n">
        <f aca="false">IF(I74-E74&gt;=GWL,99,E74*(MAX(0,GWL-I74)*(GAM_S-GAM_W)+MAX(0,FL-MAX(I74,GWL))*GAM_D)/(GAM_W*PI()*E74^2/4))</f>
        <v>3.71184424504773</v>
      </c>
    </row>
    <row r="75" customFormat="false" ht="15" hidden="false" customHeight="false" outlineLevel="0" collapsed="false">
      <c r="A75" s="25" t="s">
        <v>500</v>
      </c>
      <c r="B75" s="25" t="s">
        <v>508</v>
      </c>
      <c r="C75" s="25" t="s">
        <v>517</v>
      </c>
      <c r="D75" s="26" t="n">
        <v>1.0999999998209</v>
      </c>
      <c r="E75" s="26" t="n">
        <v>2.06960947668155</v>
      </c>
      <c r="F75" s="26" t="n">
        <v>-5.80202212391803</v>
      </c>
      <c r="G75" s="26" t="n">
        <v>-5.8080993726041</v>
      </c>
      <c r="H75" s="26" t="n">
        <v>-3.23241264723648</v>
      </c>
      <c r="I75" s="26" t="n">
        <v>-3.23848989592255</v>
      </c>
      <c r="J75" s="26" t="n">
        <v>12.04</v>
      </c>
      <c r="K75" s="27" t="n">
        <f aca="false">MIN(F75,G75)</f>
        <v>-5.8080993726041</v>
      </c>
      <c r="L75" s="27" t="n">
        <f aca="false">AVERAGE(F75,G75)</f>
        <v>-5.80506074826107</v>
      </c>
      <c r="M75" s="27" t="n">
        <f aca="false">MAX(0,NG-L75)</f>
        <v>5.10506074826107</v>
      </c>
      <c r="N75" s="27" t="n">
        <f aca="false">MAX(0,GWL-K75)</f>
        <v>4.3080993726041</v>
      </c>
      <c r="O75" s="27" t="n">
        <f aca="false">MAX(0,NG-MAX(K75,GWL))</f>
        <v>0.8</v>
      </c>
      <c r="P75" s="27" t="n">
        <f aca="false">E75/2+WS+SLOPE_A*O75+SLOPE_B*N75</f>
        <v>11.851003483549</v>
      </c>
      <c r="Q75" s="28" t="str">
        <f aca="false">IF(AND(P75&lt;J75,N75&lt;=MAXOC),"Open cut","Shoring")</f>
        <v>Shoring</v>
      </c>
      <c r="R75" s="27" t="n">
        <f aca="false">IF(Q75="Shoring",D75,0)</f>
        <v>1.0999999998209</v>
      </c>
      <c r="S75" s="27" t="n">
        <f aca="false">MAX(0,GWL-L75)</f>
        <v>4.30506074826107</v>
      </c>
      <c r="T75" s="27" t="n">
        <f aca="false">MAX(0,NG-MAX(L75,GWL))</f>
        <v>0.8</v>
      </c>
      <c r="U75" s="27" t="n">
        <f aca="false">E75+2*WS</f>
        <v>4.06960947668155</v>
      </c>
      <c r="V75" s="27" t="n">
        <f aca="false">IF(Q75="Shoring",D75*M75*U75,0)</f>
        <v>22.8531639564532</v>
      </c>
      <c r="W75" s="27" t="n">
        <f aca="false">IF(Q75="Open cut",D75*(U75*M75+SLOPE_B*S75^2+2*SLOPE_B*S75*T75+SLOPE_A*T75^2),0)</f>
        <v>0</v>
      </c>
      <c r="X75" s="27" t="n">
        <f aca="false">IF(M75&gt;0,D75*(E75+2*SLABOVH)*SLAB,0)</f>
        <v>1.68828521189997</v>
      </c>
      <c r="Y75" s="27" t="n">
        <f aca="false">IF(M75&gt;0,D75*PI()*E75^2/4,0)</f>
        <v>3.70049119451438</v>
      </c>
      <c r="Z75" s="27" t="n">
        <f aca="false">IF(H75-E75&gt;=GWL,99,E75*(MAX(0,GWL-H75)*(GAM_S-GAM_W)+MAX(0,NG-MAX(H75,GWL))*GAM_D)/(GAM_W*PI()*E75^2/4))</f>
        <v>1.79284796261741</v>
      </c>
      <c r="AA75" s="27" t="n">
        <f aca="false">IF(I75-E75&gt;=GWL,99,E75*(MAX(0,GWL-I75)*(GAM_S-GAM_W)+MAX(0,NG-MAX(I75,GWL))*GAM_D)/(GAM_W*PI()*E75^2/4))</f>
        <v>1.79596932086704</v>
      </c>
      <c r="AB75" s="27" t="n">
        <f aca="false">IF(H75-E75&gt;=GWL,99,E75*(MAX(0,GWL-H75)*(GAM_S-GAM_W)+MAX(0,FL-MAX(H75,GWL))*GAM_D)/(GAM_W*PI()*E75^2/4))</f>
        <v>3.71184424504773</v>
      </c>
      <c r="AC75" s="27" t="n">
        <f aca="false">IF(I75-E75&gt;=GWL,99,E75*(MAX(0,GWL-I75)*(GAM_S-GAM_W)+MAX(0,FL-MAX(I75,GWL))*GAM_D)/(GAM_W*PI()*E75^2/4))</f>
        <v>3.71496560329736</v>
      </c>
    </row>
    <row r="76" customFormat="false" ht="15" hidden="false" customHeight="false" outlineLevel="0" collapsed="false">
      <c r="A76" s="25" t="s">
        <v>500</v>
      </c>
      <c r="B76" s="25" t="s">
        <v>518</v>
      </c>
      <c r="C76" s="25" t="s">
        <v>519</v>
      </c>
      <c r="D76" s="26" t="n">
        <v>8.90000000024651</v>
      </c>
      <c r="E76" s="26" t="n">
        <v>2.06960947668155</v>
      </c>
      <c r="F76" s="26" t="n">
        <v>-5.8080993726041</v>
      </c>
      <c r="G76" s="26" t="n">
        <v>-5.85726983924594</v>
      </c>
      <c r="H76" s="26" t="n">
        <v>-3.23848989592255</v>
      </c>
      <c r="I76" s="26" t="n">
        <v>-3.28766036256439</v>
      </c>
      <c r="J76" s="26" t="n">
        <v>11.97</v>
      </c>
      <c r="K76" s="27" t="n">
        <f aca="false">MIN(F76,G76)</f>
        <v>-5.85726983924594</v>
      </c>
      <c r="L76" s="27" t="n">
        <f aca="false">AVERAGE(F76,G76)</f>
        <v>-5.83268460592502</v>
      </c>
      <c r="M76" s="27" t="n">
        <f aca="false">MAX(0,NG-L76)</f>
        <v>5.13268460592502</v>
      </c>
      <c r="N76" s="27" t="n">
        <f aca="false">MAX(0,GWL-K76)</f>
        <v>4.35726983924594</v>
      </c>
      <c r="O76" s="27" t="n">
        <f aca="false">MAX(0,NG-MAX(K76,GWL))</f>
        <v>0.8</v>
      </c>
      <c r="P76" s="27" t="n">
        <f aca="false">E76/2+WS+SLOPE_A*O76+SLOPE_B*N76</f>
        <v>11.9493444168327</v>
      </c>
      <c r="Q76" s="28" t="str">
        <f aca="false">IF(AND(P76&lt;J76,N76&lt;=MAXOC),"Open cut","Shoring")</f>
        <v>Shoring</v>
      </c>
      <c r="R76" s="27" t="n">
        <f aca="false">IF(Q76="Shoring",D76,0)</f>
        <v>8.90000000024651</v>
      </c>
      <c r="S76" s="27" t="n">
        <f aca="false">MAX(0,GWL-L76)</f>
        <v>4.33268460592502</v>
      </c>
      <c r="T76" s="27" t="n">
        <f aca="false">MAX(0,NG-MAX(L76,GWL))</f>
        <v>0.8</v>
      </c>
      <c r="U76" s="27" t="n">
        <f aca="false">E76+2*WS</f>
        <v>4.06960947668155</v>
      </c>
      <c r="V76" s="27" t="n">
        <f aca="false">IF(Q76="Shoring",D76*M76*U76,0)</f>
        <v>185.90339503165</v>
      </c>
      <c r="W76" s="27" t="n">
        <f aca="false">IF(Q76="Open cut",D76*(U76*M76+SLOPE_B*S76^2+2*SLOPE_B*S76*T76+SLOPE_A*T76^2),0)</f>
        <v>0</v>
      </c>
      <c r="X76" s="27" t="n">
        <f aca="false">IF(M76&gt;0,D76*(E76+2*SLABOVH)*SLAB,0)</f>
        <v>13.6597621716112</v>
      </c>
      <c r="Y76" s="27" t="n">
        <f aca="false">IF(M76&gt;0,D76*PI()*E76^2/4,0)</f>
        <v>29.9403378522294</v>
      </c>
      <c r="Z76" s="27" t="n">
        <f aca="false">IF(H76-E76&gt;=GWL,99,E76*(MAX(0,GWL-H76)*(GAM_S-GAM_W)+MAX(0,NG-MAX(H76,GWL))*GAM_D)/(GAM_W*PI()*E76^2/4))</f>
        <v>1.79596932086704</v>
      </c>
      <c r="AA76" s="27" t="n">
        <f aca="false">IF(I76-E76&gt;=GWL,99,E76*(MAX(0,GWL-I76)*(GAM_S-GAM_W)+MAX(0,NG-MAX(I76,GWL))*GAM_D)/(GAM_W*PI()*E76^2/4))</f>
        <v>1.82122394670494</v>
      </c>
      <c r="AB76" s="27" t="n">
        <f aca="false">IF(H76-E76&gt;=GWL,99,E76*(MAX(0,GWL-H76)*(GAM_S-GAM_W)+MAX(0,FL-MAX(H76,GWL))*GAM_D)/(GAM_W*PI()*E76^2/4))</f>
        <v>3.71496560329736</v>
      </c>
      <c r="AC76" s="27" t="n">
        <f aca="false">IF(I76-E76&gt;=GWL,99,E76*(MAX(0,GWL-I76)*(GAM_S-GAM_W)+MAX(0,FL-MAX(I76,GWL))*GAM_D)/(GAM_W*PI()*E76^2/4))</f>
        <v>3.74022022913526</v>
      </c>
    </row>
    <row r="77" customFormat="false" ht="15" hidden="false" customHeight="false" outlineLevel="0" collapsed="false">
      <c r="A77" s="25" t="s">
        <v>500</v>
      </c>
      <c r="B77" s="25" t="s">
        <v>518</v>
      </c>
      <c r="C77" s="25" t="s">
        <v>520</v>
      </c>
      <c r="D77" s="26" t="n">
        <v>9.99999999945399</v>
      </c>
      <c r="E77" s="26" t="n">
        <v>2.06960947668155</v>
      </c>
      <c r="F77" s="26" t="n">
        <v>-5.85726983924594</v>
      </c>
      <c r="G77" s="26" t="n">
        <v>-5.91251755457385</v>
      </c>
      <c r="H77" s="26" t="n">
        <v>-3.28766036256439</v>
      </c>
      <c r="I77" s="26" t="n">
        <v>-3.3429080778923</v>
      </c>
      <c r="J77" s="26" t="n">
        <v>11.9</v>
      </c>
      <c r="K77" s="27" t="n">
        <f aca="false">MIN(F77,G77)</f>
        <v>-5.91251755457385</v>
      </c>
      <c r="L77" s="27" t="n">
        <f aca="false">AVERAGE(F77,G77)</f>
        <v>-5.8848936969099</v>
      </c>
      <c r="M77" s="27" t="n">
        <f aca="false">MAX(0,NG-L77)</f>
        <v>5.1848936969099</v>
      </c>
      <c r="N77" s="27" t="n">
        <f aca="false">MAX(0,GWL-K77)</f>
        <v>4.41251755457385</v>
      </c>
      <c r="O77" s="27" t="n">
        <f aca="false">MAX(0,NG-MAX(K77,GWL))</f>
        <v>0.8</v>
      </c>
      <c r="P77" s="27" t="n">
        <f aca="false">E77/2+WS+SLOPE_A*O77+SLOPE_B*N77</f>
        <v>12.0598398474885</v>
      </c>
      <c r="Q77" s="28" t="str">
        <f aca="false">IF(AND(P77&lt;J77,N77&lt;=MAXOC),"Open cut","Shoring")</f>
        <v>Shoring</v>
      </c>
      <c r="R77" s="27" t="n">
        <f aca="false">IF(Q77="Shoring",D77,0)</f>
        <v>9.99999999945399</v>
      </c>
      <c r="S77" s="27" t="n">
        <f aca="false">MAX(0,GWL-L77)</f>
        <v>4.3848936969099</v>
      </c>
      <c r="T77" s="27" t="n">
        <f aca="false">MAX(0,NG-MAX(L77,GWL))</f>
        <v>0.8</v>
      </c>
      <c r="U77" s="27" t="n">
        <f aca="false">E77+2*WS</f>
        <v>4.06960947668155</v>
      </c>
      <c r="V77" s="27" t="n">
        <f aca="false">IF(Q77="Shoring",D77*M77*U77,0)</f>
        <v>211.004925233788</v>
      </c>
      <c r="W77" s="27" t="n">
        <f aca="false">IF(Q77="Open cut",D77*(U77*M77+SLOPE_B*S77^2+2*SLOPE_B*S77*T77+SLOPE_A*T77^2),0)</f>
        <v>0</v>
      </c>
      <c r="X77" s="27" t="n">
        <f aca="false">IF(M77&gt;0,D77*(E77+2*SLABOVH)*SLAB,0)</f>
        <v>15.3480473825697</v>
      </c>
      <c r="Y77" s="27" t="n">
        <f aca="false">IF(M77&gt;0,D77*PI()*E77^2/4,0)</f>
        <v>33.6408290446802</v>
      </c>
      <c r="Z77" s="27" t="n">
        <f aca="false">IF(H77-E77&gt;=GWL,99,E77*(MAX(0,GWL-H77)*(GAM_S-GAM_W)+MAX(0,NG-MAX(H77,GWL))*GAM_D)/(GAM_W*PI()*E77^2/4))</f>
        <v>1.82122394670494</v>
      </c>
      <c r="AA77" s="27" t="n">
        <f aca="false">IF(I77-E77&gt;=GWL,99,E77*(MAX(0,GWL-I77)*(GAM_S-GAM_W)+MAX(0,NG-MAX(I77,GWL))*GAM_D)/(GAM_W*PI()*E77^2/4))</f>
        <v>1.84959993079247</v>
      </c>
      <c r="AB77" s="27" t="n">
        <f aca="false">IF(H77-E77&gt;=GWL,99,E77*(MAX(0,GWL-H77)*(GAM_S-GAM_W)+MAX(0,FL-MAX(H77,GWL))*GAM_D)/(GAM_W*PI()*E77^2/4))</f>
        <v>3.74022022913526</v>
      </c>
      <c r="AC77" s="27" t="n">
        <f aca="false">IF(I77-E77&gt;=GWL,99,E77*(MAX(0,GWL-I77)*(GAM_S-GAM_W)+MAX(0,FL-MAX(I77,GWL))*GAM_D)/(GAM_W*PI()*E77^2/4))</f>
        <v>3.76859621322279</v>
      </c>
    </row>
    <row r="78" customFormat="false" ht="15" hidden="false" customHeight="false" outlineLevel="0" collapsed="false">
      <c r="A78" s="25" t="s">
        <v>500</v>
      </c>
      <c r="B78" s="25" t="s">
        <v>518</v>
      </c>
      <c r="C78" s="25" t="s">
        <v>521</v>
      </c>
      <c r="D78" s="26" t="n">
        <v>10.0000000005431</v>
      </c>
      <c r="E78" s="26" t="n">
        <v>2.06960947668155</v>
      </c>
      <c r="F78" s="26" t="n">
        <v>-5.91251755457385</v>
      </c>
      <c r="G78" s="26" t="n">
        <v>-5.96776526990176</v>
      </c>
      <c r="H78" s="26" t="n">
        <v>-3.3429080778923</v>
      </c>
      <c r="I78" s="26" t="n">
        <v>-3.39815579322021</v>
      </c>
      <c r="J78" s="26" t="n">
        <v>11.82</v>
      </c>
      <c r="K78" s="27" t="n">
        <f aca="false">MIN(F78,G78)</f>
        <v>-5.96776526990176</v>
      </c>
      <c r="L78" s="27" t="n">
        <f aca="false">AVERAGE(F78,G78)</f>
        <v>-5.9401414122378</v>
      </c>
      <c r="M78" s="27" t="n">
        <f aca="false">MAX(0,NG-L78)</f>
        <v>5.2401414122378</v>
      </c>
      <c r="N78" s="27" t="n">
        <f aca="false">MAX(0,GWL-K78)</f>
        <v>4.46776526990176</v>
      </c>
      <c r="O78" s="27" t="n">
        <f aca="false">MAX(0,NG-MAX(K78,GWL))</f>
        <v>0.8</v>
      </c>
      <c r="P78" s="27" t="n">
        <f aca="false">E78/2+WS+SLOPE_A*O78+SLOPE_B*N78</f>
        <v>12.1703352781443</v>
      </c>
      <c r="Q78" s="28" t="str">
        <f aca="false">IF(AND(P78&lt;J78,N78&lt;=MAXOC),"Open cut","Shoring")</f>
        <v>Shoring</v>
      </c>
      <c r="R78" s="27" t="n">
        <f aca="false">IF(Q78="Shoring",D78,0)</f>
        <v>10.0000000005431</v>
      </c>
      <c r="S78" s="27" t="n">
        <f aca="false">MAX(0,GWL-L78)</f>
        <v>4.4401414122378</v>
      </c>
      <c r="T78" s="27" t="n">
        <f aca="false">MAX(0,NG-MAX(L78,GWL))</f>
        <v>0.8</v>
      </c>
      <c r="U78" s="27" t="n">
        <f aca="false">E78+2*WS</f>
        <v>4.06960947668155</v>
      </c>
      <c r="V78" s="27" t="n">
        <f aca="false">IF(Q78="Shoring",D78*M78*U78,0)</f>
        <v>213.253291515525</v>
      </c>
      <c r="W78" s="27" t="n">
        <f aca="false">IF(Q78="Open cut",D78*(U78*M78+SLOPE_B*S78^2+2*SLOPE_B*S78*T78+SLOPE_A*T78^2),0)</f>
        <v>0</v>
      </c>
      <c r="X78" s="27" t="n">
        <f aca="false">IF(M78&gt;0,D78*(E78+2*SLABOVH)*SLAB,0)</f>
        <v>15.3480473842413</v>
      </c>
      <c r="Y78" s="27" t="n">
        <f aca="false">IF(M78&gt;0,D78*PI()*E78^2/4,0)</f>
        <v>33.640829048344</v>
      </c>
      <c r="Z78" s="27" t="n">
        <f aca="false">IF(H78-E78&gt;=GWL,99,E78*(MAX(0,GWL-H78)*(GAM_S-GAM_W)+MAX(0,NG-MAX(H78,GWL))*GAM_D)/(GAM_W*PI()*E78^2/4))</f>
        <v>1.84959993079247</v>
      </c>
      <c r="AA78" s="27" t="n">
        <f aca="false">IF(I78-E78&gt;=GWL,99,E78*(MAX(0,GWL-I78)*(GAM_S-GAM_W)+MAX(0,NG-MAX(I78,GWL))*GAM_D)/(GAM_W*PI()*E78^2/4))</f>
        <v>1.87797591488</v>
      </c>
      <c r="AB78" s="27" t="n">
        <f aca="false">IF(H78-E78&gt;=GWL,99,E78*(MAX(0,GWL-H78)*(GAM_S-GAM_W)+MAX(0,FL-MAX(H78,GWL))*GAM_D)/(GAM_W*PI()*E78^2/4))</f>
        <v>3.76859621322279</v>
      </c>
      <c r="AC78" s="27" t="n">
        <f aca="false">IF(I78-E78&gt;=GWL,99,E78*(MAX(0,GWL-I78)*(GAM_S-GAM_W)+MAX(0,FL-MAX(I78,GWL))*GAM_D)/(GAM_W*PI()*E78^2/4))</f>
        <v>3.79697219731032</v>
      </c>
    </row>
    <row r="79" customFormat="false" ht="15" hidden="false" customHeight="false" outlineLevel="0" collapsed="false">
      <c r="A79" s="25" t="s">
        <v>500</v>
      </c>
      <c r="B79" s="25" t="s">
        <v>518</v>
      </c>
      <c r="C79" s="25" t="s">
        <v>522</v>
      </c>
      <c r="D79" s="26" t="n">
        <v>9.99999999945399</v>
      </c>
      <c r="E79" s="26" t="n">
        <v>2.06960947668155</v>
      </c>
      <c r="F79" s="26" t="n">
        <v>-5.96776526990176</v>
      </c>
      <c r="G79" s="26" t="n">
        <v>-6.02301298522967</v>
      </c>
      <c r="H79" s="26" t="n">
        <v>-3.39815579322021</v>
      </c>
      <c r="I79" s="26" t="n">
        <v>-3.45340350854812</v>
      </c>
      <c r="J79" s="26" t="n">
        <v>10.75</v>
      </c>
      <c r="K79" s="27" t="n">
        <f aca="false">MIN(F79,G79)</f>
        <v>-6.02301298522967</v>
      </c>
      <c r="L79" s="27" t="n">
        <f aca="false">AVERAGE(F79,G79)</f>
        <v>-5.99538912756571</v>
      </c>
      <c r="M79" s="27" t="n">
        <f aca="false">MAX(0,NG-L79)</f>
        <v>5.29538912756571</v>
      </c>
      <c r="N79" s="27" t="n">
        <f aca="false">MAX(0,GWL-K79)</f>
        <v>4.52301298522967</v>
      </c>
      <c r="O79" s="27" t="n">
        <f aca="false">MAX(0,NG-MAX(K79,GWL))</f>
        <v>0.8</v>
      </c>
      <c r="P79" s="27" t="n">
        <f aca="false">E79/2+WS+SLOPE_A*O79+SLOPE_B*N79</f>
        <v>12.2808307088001</v>
      </c>
      <c r="Q79" s="28" t="str">
        <f aca="false">IF(AND(P79&lt;J79,N79&lt;=MAXOC),"Open cut","Shoring")</f>
        <v>Shoring</v>
      </c>
      <c r="R79" s="27" t="n">
        <f aca="false">IF(Q79="Shoring",D79,0)</f>
        <v>9.99999999945399</v>
      </c>
      <c r="S79" s="27" t="n">
        <f aca="false">MAX(0,GWL-L79)</f>
        <v>4.49538912756571</v>
      </c>
      <c r="T79" s="27" t="n">
        <f aca="false">MAX(0,NG-MAX(L79,GWL))</f>
        <v>0.8</v>
      </c>
      <c r="U79" s="27" t="n">
        <f aca="false">E79+2*WS</f>
        <v>4.06960947668155</v>
      </c>
      <c r="V79" s="27" t="n">
        <f aca="false">IF(Q79="Shoring",D79*M79*U79,0)</f>
        <v>215.501657750812</v>
      </c>
      <c r="W79" s="27" t="n">
        <f aca="false">IF(Q79="Open cut",D79*(U79*M79+SLOPE_B*S79^2+2*SLOPE_B*S79*T79+SLOPE_A*T79^2),0)</f>
        <v>0</v>
      </c>
      <c r="X79" s="27" t="n">
        <f aca="false">IF(M79&gt;0,D79*(E79+2*SLABOVH)*SLAB,0)</f>
        <v>15.3480473825697</v>
      </c>
      <c r="Y79" s="27" t="n">
        <f aca="false">IF(M79&gt;0,D79*PI()*E79^2/4,0)</f>
        <v>33.6408290446802</v>
      </c>
      <c r="Z79" s="27" t="n">
        <f aca="false">IF(H79-E79&gt;=GWL,99,E79*(MAX(0,GWL-H79)*(GAM_S-GAM_W)+MAX(0,NG-MAX(H79,GWL))*GAM_D)/(GAM_W*PI()*E79^2/4))</f>
        <v>1.87797591488</v>
      </c>
      <c r="AA79" s="27" t="n">
        <f aca="false">IF(I79-E79&gt;=GWL,99,E79*(MAX(0,GWL-I79)*(GAM_S-GAM_W)+MAX(0,NG-MAX(I79,GWL))*GAM_D)/(GAM_W*PI()*E79^2/4))</f>
        <v>1.90635189896752</v>
      </c>
      <c r="AB79" s="27" t="n">
        <f aca="false">IF(H79-E79&gt;=GWL,99,E79*(MAX(0,GWL-H79)*(GAM_S-GAM_W)+MAX(0,FL-MAX(H79,GWL))*GAM_D)/(GAM_W*PI()*E79^2/4))</f>
        <v>3.79697219731032</v>
      </c>
      <c r="AC79" s="27" t="n">
        <f aca="false">IF(I79-E79&gt;=GWL,99,E79*(MAX(0,GWL-I79)*(GAM_S-GAM_W)+MAX(0,FL-MAX(I79,GWL))*GAM_D)/(GAM_W*PI()*E79^2/4))</f>
        <v>3.82534818139784</v>
      </c>
    </row>
    <row r="80" customFormat="false" ht="15" hidden="false" customHeight="false" outlineLevel="0" collapsed="false">
      <c r="A80" s="25" t="s">
        <v>500</v>
      </c>
      <c r="B80" s="25" t="s">
        <v>518</v>
      </c>
      <c r="C80" s="25" t="s">
        <v>523</v>
      </c>
      <c r="D80" s="26" t="n">
        <v>10.0000000006432</v>
      </c>
      <c r="E80" s="26" t="n">
        <v>2.06960947668155</v>
      </c>
      <c r="F80" s="26" t="n">
        <v>-6.02301298522967</v>
      </c>
      <c r="G80" s="26" t="n">
        <v>-6.07826070055758</v>
      </c>
      <c r="H80" s="26" t="n">
        <v>-3.45340350854812</v>
      </c>
      <c r="I80" s="26" t="n">
        <v>-3.50865122387603</v>
      </c>
      <c r="J80" s="26" t="n">
        <v>10.68</v>
      </c>
      <c r="K80" s="27" t="n">
        <f aca="false">MIN(F80,G80)</f>
        <v>-6.07826070055758</v>
      </c>
      <c r="L80" s="27" t="n">
        <f aca="false">AVERAGE(F80,G80)</f>
        <v>-6.05063684289362</v>
      </c>
      <c r="M80" s="27" t="n">
        <f aca="false">MAX(0,NG-L80)</f>
        <v>5.35063684289362</v>
      </c>
      <c r="N80" s="27" t="n">
        <f aca="false">MAX(0,GWL-K80)</f>
        <v>4.57826070055758</v>
      </c>
      <c r="O80" s="27" t="n">
        <f aca="false">MAX(0,NG-MAX(K80,GWL))</f>
        <v>0.8</v>
      </c>
      <c r="P80" s="27" t="n">
        <f aca="false">E80/2+WS+SLOPE_A*O80+SLOPE_B*N80</f>
        <v>12.3913261394559</v>
      </c>
      <c r="Q80" s="28" t="str">
        <f aca="false">IF(AND(P80&lt;J80,N80&lt;=MAXOC),"Open cut","Shoring")</f>
        <v>Shoring</v>
      </c>
      <c r="R80" s="27" t="n">
        <f aca="false">IF(Q80="Shoring",D80,0)</f>
        <v>10.0000000006432</v>
      </c>
      <c r="S80" s="27" t="n">
        <f aca="false">MAX(0,GWL-L80)</f>
        <v>4.55063684289362</v>
      </c>
      <c r="T80" s="27" t="n">
        <f aca="false">MAX(0,NG-MAX(L80,GWL))</f>
        <v>0.8</v>
      </c>
      <c r="U80" s="27" t="n">
        <f aca="false">E80+2*WS</f>
        <v>4.06960947668155</v>
      </c>
      <c r="V80" s="27" t="n">
        <f aca="false">IF(Q80="Shoring",D80*M80*U80,0)</f>
        <v>217.750024035218</v>
      </c>
      <c r="W80" s="27" t="n">
        <f aca="false">IF(Q80="Open cut",D80*(U80*M80+SLOPE_B*S80^2+2*SLOPE_B*S80*T80+SLOPE_A*T80^2),0)</f>
        <v>0</v>
      </c>
      <c r="X80" s="27" t="n">
        <f aca="false">IF(M80&gt;0,D80*(E80+2*SLABOVH)*SLAB,0)</f>
        <v>15.3480473843949</v>
      </c>
      <c r="Y80" s="27" t="n">
        <f aca="false">IF(M80&gt;0,D80*PI()*E80^2/4,0)</f>
        <v>33.6408290486807</v>
      </c>
      <c r="Z80" s="27" t="n">
        <f aca="false">IF(H80-E80&gt;=GWL,99,E80*(MAX(0,GWL-H80)*(GAM_S-GAM_W)+MAX(0,NG-MAX(H80,GWL))*GAM_D)/(GAM_W*PI()*E80^2/4))</f>
        <v>1.90635189896752</v>
      </c>
      <c r="AA80" s="27" t="n">
        <f aca="false">IF(I80-E80&gt;=GWL,99,E80*(MAX(0,GWL-I80)*(GAM_S-GAM_W)+MAX(0,NG-MAX(I80,GWL))*GAM_D)/(GAM_W*PI()*E80^2/4))</f>
        <v>1.93472788305505</v>
      </c>
      <c r="AB80" s="27" t="n">
        <f aca="false">IF(H80-E80&gt;=GWL,99,E80*(MAX(0,GWL-H80)*(GAM_S-GAM_W)+MAX(0,FL-MAX(H80,GWL))*GAM_D)/(GAM_W*PI()*E80^2/4))</f>
        <v>3.82534818139784</v>
      </c>
      <c r="AC80" s="27" t="n">
        <f aca="false">IF(I80-E80&gt;=GWL,99,E80*(MAX(0,GWL-I80)*(GAM_S-GAM_W)+MAX(0,FL-MAX(I80,GWL))*GAM_D)/(GAM_W*PI()*E80^2/4))</f>
        <v>3.85372416548537</v>
      </c>
    </row>
    <row r="81" customFormat="false" ht="15" hidden="false" customHeight="false" outlineLevel="0" collapsed="false">
      <c r="A81" s="25" t="s">
        <v>500</v>
      </c>
      <c r="B81" s="25" t="s">
        <v>518</v>
      </c>
      <c r="C81" s="25" t="s">
        <v>524</v>
      </c>
      <c r="D81" s="26" t="n">
        <v>9.99999999935391</v>
      </c>
      <c r="E81" s="26" t="n">
        <v>2.06960947668155</v>
      </c>
      <c r="F81" s="26" t="n">
        <v>-6.07826070055758</v>
      </c>
      <c r="G81" s="26" t="n">
        <v>-6.13350841588548</v>
      </c>
      <c r="H81" s="26" t="n">
        <v>-3.50865122387603</v>
      </c>
      <c r="I81" s="26" t="n">
        <v>-3.56389893920394</v>
      </c>
      <c r="J81" s="26" t="n">
        <v>10.6</v>
      </c>
      <c r="K81" s="27" t="n">
        <f aca="false">MIN(F81,G81)</f>
        <v>-6.13350841588548</v>
      </c>
      <c r="L81" s="27" t="n">
        <f aca="false">AVERAGE(F81,G81)</f>
        <v>-6.10588455822153</v>
      </c>
      <c r="M81" s="27" t="n">
        <f aca="false">MAX(0,NG-L81)</f>
        <v>5.40588455822153</v>
      </c>
      <c r="N81" s="27" t="n">
        <f aca="false">MAX(0,GWL-K81)</f>
        <v>4.63350841588548</v>
      </c>
      <c r="O81" s="27" t="n">
        <f aca="false">MAX(0,NG-MAX(K81,GWL))</f>
        <v>0.8</v>
      </c>
      <c r="P81" s="27" t="n">
        <f aca="false">E81/2+WS+SLOPE_A*O81+SLOPE_B*N81</f>
        <v>12.5018215701117</v>
      </c>
      <c r="Q81" s="28" t="str">
        <f aca="false">IF(AND(P81&lt;J81,N81&lt;=MAXOC),"Open cut","Shoring")</f>
        <v>Shoring</v>
      </c>
      <c r="R81" s="27" t="n">
        <f aca="false">IF(Q81="Shoring",D81,0)</f>
        <v>9.99999999935391</v>
      </c>
      <c r="S81" s="27" t="n">
        <f aca="false">MAX(0,GWL-L81)</f>
        <v>4.60588455822153</v>
      </c>
      <c r="T81" s="27" t="n">
        <f aca="false">MAX(0,NG-MAX(L81,GWL))</f>
        <v>0.8</v>
      </c>
      <c r="U81" s="27" t="n">
        <f aca="false">E81+2*WS</f>
        <v>4.06960947668155</v>
      </c>
      <c r="V81" s="27" t="n">
        <f aca="false">IF(Q81="Shoring",D81*M81*U81,0)</f>
        <v>219.998390265634</v>
      </c>
      <c r="W81" s="27" t="n">
        <f aca="false">IF(Q81="Open cut",D81*(U81*M81+SLOPE_B*S81^2+2*SLOPE_B*S81*T81+SLOPE_A*T81^2),0)</f>
        <v>0</v>
      </c>
      <c r="X81" s="27" t="n">
        <f aca="false">IF(M81&gt;0,D81*(E81+2*SLABOVH)*SLAB,0)</f>
        <v>15.3480473824161</v>
      </c>
      <c r="Y81" s="27" t="n">
        <f aca="false">IF(M81&gt;0,D81*PI()*E81^2/4,0)</f>
        <v>33.6408290443435</v>
      </c>
      <c r="Z81" s="27" t="n">
        <f aca="false">IF(H81-E81&gt;=GWL,99,E81*(MAX(0,GWL-H81)*(GAM_S-GAM_W)+MAX(0,NG-MAX(H81,GWL))*GAM_D)/(GAM_W*PI()*E81^2/4))</f>
        <v>1.93472788305505</v>
      </c>
      <c r="AA81" s="27" t="n">
        <f aca="false">IF(I81-E81&gt;=GWL,99,E81*(MAX(0,GWL-I81)*(GAM_S-GAM_W)+MAX(0,NG-MAX(I81,GWL))*GAM_D)/(GAM_W*PI()*E81^2/4))</f>
        <v>1.96310386714258</v>
      </c>
      <c r="AB81" s="27" t="n">
        <f aca="false">IF(H81-E81&gt;=GWL,99,E81*(MAX(0,GWL-H81)*(GAM_S-GAM_W)+MAX(0,FL-MAX(H81,GWL))*GAM_D)/(GAM_W*PI()*E81^2/4))</f>
        <v>3.85372416548537</v>
      </c>
      <c r="AC81" s="27" t="n">
        <f aca="false">IF(I81-E81&gt;=GWL,99,E81*(MAX(0,GWL-I81)*(GAM_S-GAM_W)+MAX(0,FL-MAX(I81,GWL))*GAM_D)/(GAM_W*PI()*E81^2/4))</f>
        <v>3.8821001495729</v>
      </c>
    </row>
    <row r="82" customFormat="false" ht="15" hidden="false" customHeight="false" outlineLevel="0" collapsed="false">
      <c r="A82" s="25" t="s">
        <v>500</v>
      </c>
      <c r="B82" s="25" t="s">
        <v>518</v>
      </c>
      <c r="C82" s="25" t="s">
        <v>525</v>
      </c>
      <c r="D82" s="26" t="n">
        <v>6.20000000015692</v>
      </c>
      <c r="E82" s="26" t="n">
        <v>2.06960947668155</v>
      </c>
      <c r="F82" s="26" t="n">
        <v>-6.13350841588548</v>
      </c>
      <c r="G82" s="26" t="n">
        <v>-6.16776199938879</v>
      </c>
      <c r="H82" s="26" t="n">
        <v>-3.56389893920394</v>
      </c>
      <c r="I82" s="26" t="n">
        <v>-3.59815252270724</v>
      </c>
      <c r="J82" s="26" t="n">
        <v>10.56</v>
      </c>
      <c r="K82" s="27" t="n">
        <f aca="false">MIN(F82,G82)</f>
        <v>-6.16776199938879</v>
      </c>
      <c r="L82" s="27" t="n">
        <f aca="false">AVERAGE(F82,G82)</f>
        <v>-6.15063520763714</v>
      </c>
      <c r="M82" s="27" t="n">
        <f aca="false">MAX(0,NG-L82)</f>
        <v>5.45063520763714</v>
      </c>
      <c r="N82" s="27" t="n">
        <f aca="false">MAX(0,GWL-K82)</f>
        <v>4.66776199938879</v>
      </c>
      <c r="O82" s="27" t="n">
        <f aca="false">MAX(0,NG-MAX(K82,GWL))</f>
        <v>0.8</v>
      </c>
      <c r="P82" s="27" t="n">
        <f aca="false">E82/2+WS+SLOPE_A*O82+SLOPE_B*N82</f>
        <v>12.5703287371183</v>
      </c>
      <c r="Q82" s="28" t="str">
        <f aca="false">IF(AND(P82&lt;J82,N82&lt;=MAXOC),"Open cut","Shoring")</f>
        <v>Shoring</v>
      </c>
      <c r="R82" s="27" t="n">
        <f aca="false">IF(Q82="Shoring",D82,0)</f>
        <v>6.20000000015692</v>
      </c>
      <c r="S82" s="27" t="n">
        <f aca="false">MAX(0,GWL-L82)</f>
        <v>4.65063520763714</v>
      </c>
      <c r="T82" s="27" t="n">
        <f aca="false">MAX(0,NG-MAX(L82,GWL))</f>
        <v>0.8</v>
      </c>
      <c r="U82" s="27" t="n">
        <f aca="false">E82+2*WS</f>
        <v>4.06960947668155</v>
      </c>
      <c r="V82" s="27" t="n">
        <f aca="false">IF(Q82="Shoring",D82*M82*U82,0)</f>
        <v>137.528131512073</v>
      </c>
      <c r="W82" s="27" t="n">
        <f aca="false">IF(Q82="Open cut",D82*(U82*M82+SLOPE_B*S82^2+2*SLOPE_B*S82*T82+SLOPE_A*T82^2),0)</f>
        <v>0</v>
      </c>
      <c r="X82" s="27" t="n">
        <f aca="false">IF(M82&gt;0,D82*(E82+2*SLABOVH)*SLAB,0)</f>
        <v>9.51578937795365</v>
      </c>
      <c r="Y82" s="27" t="n">
        <f aca="false">IF(M82&gt;0,D82*PI()*E82^2/4,0)</f>
        <v>20.8573140093685</v>
      </c>
      <c r="Z82" s="27" t="n">
        <f aca="false">IF(H82-E82&gt;=GWL,99,E82*(MAX(0,GWL-H82)*(GAM_S-GAM_W)+MAX(0,NG-MAX(H82,GWL))*GAM_D)/(GAM_W*PI()*E82^2/4))</f>
        <v>1.96310386714258</v>
      </c>
      <c r="AA82" s="27" t="n">
        <f aca="false">IF(I82-E82&gt;=GWL,99,E82*(MAX(0,GWL-I82)*(GAM_S-GAM_W)+MAX(0,NG-MAX(I82,GWL))*GAM_D)/(GAM_W*PI()*E82^2/4))</f>
        <v>1.98069697727684</v>
      </c>
      <c r="AB82" s="27" t="n">
        <f aca="false">IF(H82-E82&gt;=GWL,99,E82*(MAX(0,GWL-H82)*(GAM_S-GAM_W)+MAX(0,FL-MAX(H82,GWL))*GAM_D)/(GAM_W*PI()*E82^2/4))</f>
        <v>3.8821001495729</v>
      </c>
      <c r="AC82" s="27" t="n">
        <f aca="false">IF(I82-E82&gt;=GWL,99,E82*(MAX(0,GWL-I82)*(GAM_S-GAM_W)+MAX(0,FL-MAX(I82,GWL))*GAM_D)/(GAM_W*PI()*E82^2/4))</f>
        <v>3.89969325970716</v>
      </c>
    </row>
    <row r="83" customFormat="false" ht="15" hidden="false" customHeight="false" outlineLevel="0" collapsed="false">
      <c r="A83" s="25" t="s">
        <v>500</v>
      </c>
      <c r="B83" s="25" t="s">
        <v>526</v>
      </c>
      <c r="C83" s="25" t="s">
        <v>527</v>
      </c>
      <c r="D83" s="26" t="n">
        <v>3.80000000048624</v>
      </c>
      <c r="E83" s="26" t="n">
        <v>2.06960947668155</v>
      </c>
      <c r="F83" s="26" t="n">
        <v>-6.16776199938879</v>
      </c>
      <c r="G83" s="26" t="n">
        <v>-6.18875613121339</v>
      </c>
      <c r="H83" s="26" t="n">
        <v>-3.59815252270724</v>
      </c>
      <c r="I83" s="26" t="n">
        <v>-3.61914665453184</v>
      </c>
      <c r="J83" s="26" t="n">
        <v>10.53</v>
      </c>
      <c r="K83" s="27" t="n">
        <f aca="false">MIN(F83,G83)</f>
        <v>-6.18875613121339</v>
      </c>
      <c r="L83" s="27" t="n">
        <f aca="false">AVERAGE(F83,G83)</f>
        <v>-6.17825906530109</v>
      </c>
      <c r="M83" s="27" t="n">
        <f aca="false">MAX(0,NG-L83)</f>
        <v>5.47825906530109</v>
      </c>
      <c r="N83" s="27" t="n">
        <f aca="false">MAX(0,GWL-K83)</f>
        <v>4.68875613121339</v>
      </c>
      <c r="O83" s="27" t="n">
        <f aca="false">MAX(0,NG-MAX(K83,GWL))</f>
        <v>0.8</v>
      </c>
      <c r="P83" s="27" t="n">
        <f aca="false">E83/2+WS+SLOPE_A*O83+SLOPE_B*N83</f>
        <v>12.6123170007676</v>
      </c>
      <c r="Q83" s="28" t="str">
        <f aca="false">IF(AND(P83&lt;J83,N83&lt;=MAXOC),"Open cut","Shoring")</f>
        <v>Shoring</v>
      </c>
      <c r="R83" s="27" t="n">
        <f aca="false">IF(Q83="Shoring",D83,0)</f>
        <v>3.80000000048624</v>
      </c>
      <c r="S83" s="27" t="n">
        <f aca="false">MAX(0,GWL-L83)</f>
        <v>4.67825906530109</v>
      </c>
      <c r="T83" s="27" t="n">
        <f aca="false">MAX(0,NG-MAX(L83,GWL))</f>
        <v>0.8</v>
      </c>
      <c r="U83" s="27" t="n">
        <f aca="false">E83+2*WS</f>
        <v>4.06960947668155</v>
      </c>
      <c r="V83" s="27" t="n">
        <f aca="false">IF(Q83="Shoring",D83*M83*U83,0)</f>
        <v>84.7186250407309</v>
      </c>
      <c r="W83" s="27" t="n">
        <f aca="false">IF(Q83="Open cut",D83*(U83*M83+SLOPE_B*S83^2+2*SLOPE_B*S83*T83+SLOPE_A*T83^2),0)</f>
        <v>0</v>
      </c>
      <c r="X83" s="27" t="n">
        <f aca="false">IF(M83&gt;0,D83*(E83+2*SLABOVH)*SLAB,0)</f>
        <v>5.83225800644123</v>
      </c>
      <c r="Y83" s="27" t="n">
        <f aca="false">IF(M83&gt;0,D83*PI()*E83^2/4,0)</f>
        <v>12.7835150393122</v>
      </c>
      <c r="Z83" s="27" t="n">
        <f aca="false">IF(H83-E83&gt;=GWL,99,E83*(MAX(0,GWL-H83)*(GAM_S-GAM_W)+MAX(0,NG-MAX(H83,GWL))*GAM_D)/(GAM_W*PI()*E83^2/4))</f>
        <v>1.98069697727684</v>
      </c>
      <c r="AA83" s="27" t="n">
        <f aca="false">IF(I83-E83&gt;=GWL,99,E83*(MAX(0,GWL-I83)*(GAM_S-GAM_W)+MAX(0,NG-MAX(I83,GWL))*GAM_D)/(GAM_W*PI()*E83^2/4))</f>
        <v>1.99147985123011</v>
      </c>
      <c r="AB83" s="27" t="n">
        <f aca="false">IF(H83-E83&gt;=GWL,99,E83*(MAX(0,GWL-H83)*(GAM_S-GAM_W)+MAX(0,FL-MAX(H83,GWL))*GAM_D)/(GAM_W*PI()*E83^2/4))</f>
        <v>3.89969325970716</v>
      </c>
      <c r="AC83" s="27" t="n">
        <f aca="false">IF(I83-E83&gt;=GWL,99,E83*(MAX(0,GWL-I83)*(GAM_S-GAM_W)+MAX(0,FL-MAX(I83,GWL))*GAM_D)/(GAM_W*PI()*E83^2/4))</f>
        <v>3.91047613366043</v>
      </c>
    </row>
    <row r="84" customFormat="false" ht="15" hidden="false" customHeight="false" outlineLevel="0" collapsed="false">
      <c r="A84" s="25" t="s">
        <v>500</v>
      </c>
      <c r="B84" s="25" t="s">
        <v>526</v>
      </c>
      <c r="C84" s="25" t="s">
        <v>528</v>
      </c>
      <c r="D84" s="26" t="n">
        <v>9.99999999935391</v>
      </c>
      <c r="E84" s="26" t="n">
        <v>2.06960947668155</v>
      </c>
      <c r="F84" s="26" t="n">
        <v>-6.18875613121339</v>
      </c>
      <c r="G84" s="26" t="n">
        <v>-6.2440038465413</v>
      </c>
      <c r="H84" s="26" t="n">
        <v>-3.61914665453184</v>
      </c>
      <c r="I84" s="26" t="n">
        <v>-3.67439436985975</v>
      </c>
      <c r="J84" s="26" t="n">
        <v>10.45</v>
      </c>
      <c r="K84" s="27" t="n">
        <f aca="false">MIN(F84,G84)</f>
        <v>-6.2440038465413</v>
      </c>
      <c r="L84" s="27" t="n">
        <f aca="false">AVERAGE(F84,G84)</f>
        <v>-6.21637998887735</v>
      </c>
      <c r="M84" s="27" t="n">
        <f aca="false">MAX(0,NG-L84)</f>
        <v>5.51637998887735</v>
      </c>
      <c r="N84" s="27" t="n">
        <f aca="false">MAX(0,GWL-K84)</f>
        <v>4.7440038465413</v>
      </c>
      <c r="O84" s="27" t="n">
        <f aca="false">MAX(0,NG-MAX(K84,GWL))</f>
        <v>0.8</v>
      </c>
      <c r="P84" s="27" t="n">
        <f aca="false">E84/2+WS+SLOPE_A*O84+SLOPE_B*N84</f>
        <v>12.7228124314234</v>
      </c>
      <c r="Q84" s="28" t="str">
        <f aca="false">IF(AND(P84&lt;J84,N84&lt;=MAXOC),"Open cut","Shoring")</f>
        <v>Shoring</v>
      </c>
      <c r="R84" s="27" t="n">
        <f aca="false">IF(Q84="Shoring",D84,0)</f>
        <v>9.99999999935391</v>
      </c>
      <c r="S84" s="27" t="n">
        <f aca="false">MAX(0,GWL-L84)</f>
        <v>4.71637998887735</v>
      </c>
      <c r="T84" s="27" t="n">
        <f aca="false">MAX(0,NG-MAX(L84,GWL))</f>
        <v>0.8</v>
      </c>
      <c r="U84" s="27" t="n">
        <f aca="false">E84+2*WS</f>
        <v>4.06960947668155</v>
      </c>
      <c r="V84" s="27" t="n">
        <f aca="false">IF(Q84="Shoring",D84*M84*U84,0)</f>
        <v>224.495122782613</v>
      </c>
      <c r="W84" s="27" t="n">
        <f aca="false">IF(Q84="Open cut",D84*(U84*M84+SLOPE_B*S84^2+2*SLOPE_B*S84*T84+SLOPE_A*T84^2),0)</f>
        <v>0</v>
      </c>
      <c r="X84" s="27" t="n">
        <f aca="false">IF(M84&gt;0,D84*(E84+2*SLABOVH)*SLAB,0)</f>
        <v>15.3480473824161</v>
      </c>
      <c r="Y84" s="27" t="n">
        <f aca="false">IF(M84&gt;0,D84*PI()*E84^2/4,0)</f>
        <v>33.6408290443435</v>
      </c>
      <c r="Z84" s="27" t="n">
        <f aca="false">IF(H84-E84&gt;=GWL,99,E84*(MAX(0,GWL-H84)*(GAM_S-GAM_W)+MAX(0,NG-MAX(H84,GWL))*GAM_D)/(GAM_W*PI()*E84^2/4))</f>
        <v>1.99147985123011</v>
      </c>
      <c r="AA84" s="27" t="n">
        <f aca="false">IF(I84-E84&gt;=GWL,99,E84*(MAX(0,GWL-I84)*(GAM_S-GAM_W)+MAX(0,NG-MAX(I84,GWL))*GAM_D)/(GAM_W*PI()*E84^2/4))</f>
        <v>2.01985583531763</v>
      </c>
      <c r="AB84" s="27" t="n">
        <f aca="false">IF(H84-E84&gt;=GWL,99,E84*(MAX(0,GWL-H84)*(GAM_S-GAM_W)+MAX(0,FL-MAX(H84,GWL))*GAM_D)/(GAM_W*PI()*E84^2/4))</f>
        <v>3.91047613366043</v>
      </c>
      <c r="AC84" s="27" t="n">
        <f aca="false">IF(I84-E84&gt;=GWL,99,E84*(MAX(0,GWL-I84)*(GAM_S-GAM_W)+MAX(0,FL-MAX(I84,GWL))*GAM_D)/(GAM_W*PI()*E84^2/4))</f>
        <v>3.93885211774795</v>
      </c>
    </row>
    <row r="85" customFormat="false" ht="15" hidden="false" customHeight="false" outlineLevel="0" collapsed="false">
      <c r="A85" s="25" t="s">
        <v>500</v>
      </c>
      <c r="B85" s="25" t="s">
        <v>526</v>
      </c>
      <c r="C85" s="25" t="s">
        <v>529</v>
      </c>
      <c r="D85" s="26" t="n">
        <v>10.0000000006432</v>
      </c>
      <c r="E85" s="26" t="n">
        <v>2.06960947668155</v>
      </c>
      <c r="F85" s="26" t="n">
        <v>-6.2440038465413</v>
      </c>
      <c r="G85" s="26" t="n">
        <v>-6.29925156186921</v>
      </c>
      <c r="H85" s="26" t="n">
        <v>-3.67439436985975</v>
      </c>
      <c r="I85" s="26" t="n">
        <v>-3.72964208518766</v>
      </c>
      <c r="J85" s="26" t="n">
        <v>10.3</v>
      </c>
      <c r="K85" s="27" t="n">
        <f aca="false">MIN(F85,G85)</f>
        <v>-6.29925156186921</v>
      </c>
      <c r="L85" s="27" t="n">
        <f aca="false">AVERAGE(F85,G85)</f>
        <v>-6.27162770420526</v>
      </c>
      <c r="M85" s="27" t="n">
        <f aca="false">MAX(0,NG-L85)</f>
        <v>5.57162770420526</v>
      </c>
      <c r="N85" s="27" t="n">
        <f aca="false">MAX(0,GWL-K85)</f>
        <v>4.79925156186921</v>
      </c>
      <c r="O85" s="27" t="n">
        <f aca="false">MAX(0,NG-MAX(K85,GWL))</f>
        <v>0.8</v>
      </c>
      <c r="P85" s="27" t="n">
        <f aca="false">E85/2+WS+SLOPE_A*O85+SLOPE_B*N85</f>
        <v>12.8333078620792</v>
      </c>
      <c r="Q85" s="28" t="str">
        <f aca="false">IF(AND(P85&lt;J85,N85&lt;=MAXOC),"Open cut","Shoring")</f>
        <v>Shoring</v>
      </c>
      <c r="R85" s="27" t="n">
        <f aca="false">IF(Q85="Shoring",D85,0)</f>
        <v>10.0000000006432</v>
      </c>
      <c r="S85" s="27" t="n">
        <f aca="false">MAX(0,GWL-L85)</f>
        <v>4.77162770420526</v>
      </c>
      <c r="T85" s="27" t="n">
        <f aca="false">MAX(0,NG-MAX(L85,GWL))</f>
        <v>0.8</v>
      </c>
      <c r="U85" s="27" t="n">
        <f aca="false">E85+2*WS</f>
        <v>4.06960947668155</v>
      </c>
      <c r="V85" s="27" t="n">
        <f aca="false">IF(Q85="Shoring",D85*M85*U85,0)</f>
        <v>226.743489070335</v>
      </c>
      <c r="W85" s="27" t="n">
        <f aca="false">IF(Q85="Open cut",D85*(U85*M85+SLOPE_B*S85^2+2*SLOPE_B*S85*T85+SLOPE_A*T85^2),0)</f>
        <v>0</v>
      </c>
      <c r="X85" s="27" t="n">
        <f aca="false">IF(M85&gt;0,D85*(E85+2*SLABOVH)*SLAB,0)</f>
        <v>15.3480473843949</v>
      </c>
      <c r="Y85" s="27" t="n">
        <f aca="false">IF(M85&gt;0,D85*PI()*E85^2/4,0)</f>
        <v>33.6408290486807</v>
      </c>
      <c r="Z85" s="27" t="n">
        <f aca="false">IF(H85-E85&gt;=GWL,99,E85*(MAX(0,GWL-H85)*(GAM_S-GAM_W)+MAX(0,NG-MAX(H85,GWL))*GAM_D)/(GAM_W*PI()*E85^2/4))</f>
        <v>2.01985583531763</v>
      </c>
      <c r="AA85" s="27" t="n">
        <f aca="false">IF(I85-E85&gt;=GWL,99,E85*(MAX(0,GWL-I85)*(GAM_S-GAM_W)+MAX(0,NG-MAX(I85,GWL))*GAM_D)/(GAM_W*PI()*E85^2/4))</f>
        <v>2.04823181940516</v>
      </c>
      <c r="AB85" s="27" t="n">
        <f aca="false">IF(H85-E85&gt;=GWL,99,E85*(MAX(0,GWL-H85)*(GAM_S-GAM_W)+MAX(0,FL-MAX(H85,GWL))*GAM_D)/(GAM_W*PI()*E85^2/4))</f>
        <v>3.93885211774795</v>
      </c>
      <c r="AC85" s="27" t="n">
        <f aca="false">IF(I85-E85&gt;=GWL,99,E85*(MAX(0,GWL-I85)*(GAM_S-GAM_W)+MAX(0,FL-MAX(I85,GWL))*GAM_D)/(GAM_W*PI()*E85^2/4))</f>
        <v>3.96722810183548</v>
      </c>
    </row>
    <row r="86" customFormat="false" ht="15" hidden="false" customHeight="false" outlineLevel="0" collapsed="false">
      <c r="A86" s="25" t="s">
        <v>500</v>
      </c>
      <c r="B86" s="25" t="s">
        <v>526</v>
      </c>
      <c r="C86" s="25" t="s">
        <v>530</v>
      </c>
      <c r="D86" s="26" t="n">
        <v>9.99999999935391</v>
      </c>
      <c r="E86" s="26" t="n">
        <v>2.06960947668155</v>
      </c>
      <c r="F86" s="26" t="n">
        <v>-6.29925156186921</v>
      </c>
      <c r="G86" s="26" t="n">
        <v>-6.35449927719712</v>
      </c>
      <c r="H86" s="26" t="n">
        <v>-3.72964208518766</v>
      </c>
      <c r="I86" s="26" t="n">
        <v>-3.78488980051557</v>
      </c>
      <c r="J86" s="26" t="n">
        <v>9.31</v>
      </c>
      <c r="K86" s="27" t="n">
        <f aca="false">MIN(F86,G86)</f>
        <v>-6.35449927719712</v>
      </c>
      <c r="L86" s="27" t="n">
        <f aca="false">AVERAGE(F86,G86)</f>
        <v>-6.32687541953316</v>
      </c>
      <c r="M86" s="27" t="n">
        <f aca="false">MAX(0,NG-L86)</f>
        <v>5.62687541953316</v>
      </c>
      <c r="N86" s="27" t="n">
        <f aca="false">MAX(0,GWL-K86)</f>
        <v>4.85449927719712</v>
      </c>
      <c r="O86" s="27" t="n">
        <f aca="false">MAX(0,NG-MAX(K86,GWL))</f>
        <v>0.8</v>
      </c>
      <c r="P86" s="27" t="n">
        <f aca="false">E86/2+WS+SLOPE_A*O86+SLOPE_B*N86</f>
        <v>12.943803292735</v>
      </c>
      <c r="Q86" s="28" t="str">
        <f aca="false">IF(AND(P86&lt;J86,N86&lt;=MAXOC),"Open cut","Shoring")</f>
        <v>Shoring</v>
      </c>
      <c r="R86" s="27" t="n">
        <f aca="false">IF(Q86="Shoring",D86,0)</f>
        <v>9.99999999935391</v>
      </c>
      <c r="S86" s="27" t="n">
        <f aca="false">MAX(0,GWL-L86)</f>
        <v>4.82687541953316</v>
      </c>
      <c r="T86" s="27" t="n">
        <f aca="false">MAX(0,NG-MAX(L86,GWL))</f>
        <v>0.8</v>
      </c>
      <c r="U86" s="27" t="n">
        <f aca="false">E86+2*WS</f>
        <v>4.06960947668155</v>
      </c>
      <c r="V86" s="27" t="n">
        <f aca="false">IF(Q86="Shoring",D86*M86*U86,0)</f>
        <v>228.991855299591</v>
      </c>
      <c r="W86" s="27" t="n">
        <f aca="false">IF(Q86="Open cut",D86*(U86*M86+SLOPE_B*S86^2+2*SLOPE_B*S86*T86+SLOPE_A*T86^2),0)</f>
        <v>0</v>
      </c>
      <c r="X86" s="27" t="n">
        <f aca="false">IF(M86&gt;0,D86*(E86+2*SLABOVH)*SLAB,0)</f>
        <v>15.3480473824161</v>
      </c>
      <c r="Y86" s="27" t="n">
        <f aca="false">IF(M86&gt;0,D86*PI()*E86^2/4,0)</f>
        <v>33.6408290443435</v>
      </c>
      <c r="Z86" s="27" t="n">
        <f aca="false">IF(H86-E86&gt;=GWL,99,E86*(MAX(0,GWL-H86)*(GAM_S-GAM_W)+MAX(0,NG-MAX(H86,GWL))*GAM_D)/(GAM_W*PI()*E86^2/4))</f>
        <v>2.04823181940516</v>
      </c>
      <c r="AA86" s="27" t="n">
        <f aca="false">IF(I86-E86&gt;=GWL,99,E86*(MAX(0,GWL-I86)*(GAM_S-GAM_W)+MAX(0,NG-MAX(I86,GWL))*GAM_D)/(GAM_W*PI()*E86^2/4))</f>
        <v>2.07660780349269</v>
      </c>
      <c r="AB86" s="27" t="n">
        <f aca="false">IF(H86-E86&gt;=GWL,99,E86*(MAX(0,GWL-H86)*(GAM_S-GAM_W)+MAX(0,FL-MAX(H86,GWL))*GAM_D)/(GAM_W*PI()*E86^2/4))</f>
        <v>3.96722810183548</v>
      </c>
      <c r="AC86" s="27" t="n">
        <f aca="false">IF(I86-E86&gt;=GWL,99,E86*(MAX(0,GWL-I86)*(GAM_S-GAM_W)+MAX(0,FL-MAX(I86,GWL))*GAM_D)/(GAM_W*PI()*E86^2/4))</f>
        <v>3.99560408592301</v>
      </c>
    </row>
    <row r="87" customFormat="false" ht="15" hidden="false" customHeight="false" outlineLevel="0" collapsed="false">
      <c r="A87" s="25" t="s">
        <v>500</v>
      </c>
      <c r="B87" s="25" t="s">
        <v>526</v>
      </c>
      <c r="C87" s="25" t="s">
        <v>531</v>
      </c>
      <c r="D87" s="26" t="n">
        <v>10.0000000001675</v>
      </c>
      <c r="E87" s="26" t="n">
        <v>2.06960947668155</v>
      </c>
      <c r="F87" s="26" t="n">
        <v>-6.35449927719712</v>
      </c>
      <c r="G87" s="26" t="n">
        <v>-6.40974699252503</v>
      </c>
      <c r="H87" s="26" t="n">
        <v>-3.78488980051557</v>
      </c>
      <c r="I87" s="26" t="n">
        <v>-3.84013751584348</v>
      </c>
      <c r="J87" s="26" t="n">
        <v>9.23</v>
      </c>
      <c r="K87" s="27" t="n">
        <f aca="false">MIN(F87,G87)</f>
        <v>-6.40974699252503</v>
      </c>
      <c r="L87" s="27" t="n">
        <f aca="false">AVERAGE(F87,G87)</f>
        <v>-6.38212313486107</v>
      </c>
      <c r="M87" s="27" t="n">
        <f aca="false">MAX(0,NG-L87)</f>
        <v>5.68212313486107</v>
      </c>
      <c r="N87" s="27" t="n">
        <f aca="false">MAX(0,GWL-K87)</f>
        <v>4.90974699252503</v>
      </c>
      <c r="O87" s="27" t="n">
        <f aca="false">MAX(0,NG-MAX(K87,GWL))</f>
        <v>0.8</v>
      </c>
      <c r="P87" s="27" t="n">
        <f aca="false">E87/2+WS+SLOPE_A*O87+SLOPE_B*N87</f>
        <v>13.0542987233908</v>
      </c>
      <c r="Q87" s="28" t="str">
        <f aca="false">IF(AND(P87&lt;J87,N87&lt;=MAXOC),"Open cut","Shoring")</f>
        <v>Shoring</v>
      </c>
      <c r="R87" s="27" t="n">
        <f aca="false">IF(Q87="Shoring",D87,0)</f>
        <v>10.0000000001675</v>
      </c>
      <c r="S87" s="27" t="n">
        <f aca="false">MAX(0,GWL-L87)</f>
        <v>4.88212313486107</v>
      </c>
      <c r="T87" s="27" t="n">
        <f aca="false">MAX(0,NG-MAX(L87,GWL))</f>
        <v>0.8</v>
      </c>
      <c r="U87" s="27" t="n">
        <f aca="false">E87+2*WS</f>
        <v>4.06960947668155</v>
      </c>
      <c r="V87" s="27" t="n">
        <f aca="false">IF(Q87="Shoring",D87*M87*U87,0)</f>
        <v>231.240221576894</v>
      </c>
      <c r="W87" s="27" t="n">
        <f aca="false">IF(Q87="Open cut",D87*(U87*M87+SLOPE_B*S87^2+2*SLOPE_B*S87*T87+SLOPE_A*T87^2),0)</f>
        <v>0</v>
      </c>
      <c r="X87" s="27" t="n">
        <f aca="false">IF(M87&gt;0,D87*(E87+2*SLABOVH)*SLAB,0)</f>
        <v>15.3480473836648</v>
      </c>
      <c r="Y87" s="27" t="n">
        <f aca="false">IF(M87&gt;0,D87*PI()*E87^2/4,0)</f>
        <v>33.6408290470805</v>
      </c>
      <c r="Z87" s="27" t="n">
        <f aca="false">IF(H87-E87&gt;=GWL,99,E87*(MAX(0,GWL-H87)*(GAM_S-GAM_W)+MAX(0,NG-MAX(H87,GWL))*GAM_D)/(GAM_W*PI()*E87^2/4))</f>
        <v>2.07660780349269</v>
      </c>
      <c r="AA87" s="27" t="n">
        <f aca="false">IF(I87-E87&gt;=GWL,99,E87*(MAX(0,GWL-I87)*(GAM_S-GAM_W)+MAX(0,NG-MAX(I87,GWL))*GAM_D)/(GAM_W*PI()*E87^2/4))</f>
        <v>2.10498378758021</v>
      </c>
      <c r="AB87" s="27" t="n">
        <f aca="false">IF(H87-E87&gt;=GWL,99,E87*(MAX(0,GWL-H87)*(GAM_S-GAM_W)+MAX(0,FL-MAX(H87,GWL))*GAM_D)/(GAM_W*PI()*E87^2/4))</f>
        <v>3.99560408592301</v>
      </c>
      <c r="AC87" s="27" t="n">
        <f aca="false">IF(I87-E87&gt;=GWL,99,E87*(MAX(0,GWL-I87)*(GAM_S-GAM_W)+MAX(0,FL-MAX(I87,GWL))*GAM_D)/(GAM_W*PI()*E87^2/4))</f>
        <v>4.02398007001053</v>
      </c>
    </row>
    <row r="88" customFormat="false" ht="15" hidden="false" customHeight="false" outlineLevel="0" collapsed="false">
      <c r="A88" s="25" t="s">
        <v>500</v>
      </c>
      <c r="B88" s="25" t="s">
        <v>526</v>
      </c>
      <c r="C88" s="25" t="s">
        <v>532</v>
      </c>
      <c r="D88" s="26" t="n">
        <v>9.99999999992966</v>
      </c>
      <c r="E88" s="26" t="n">
        <v>2.06960947668155</v>
      </c>
      <c r="F88" s="26" t="n">
        <v>-6.40974699252503</v>
      </c>
      <c r="G88" s="26" t="n">
        <v>-6.46499470785294</v>
      </c>
      <c r="H88" s="26" t="n">
        <v>-3.84013751584348</v>
      </c>
      <c r="I88" s="26" t="n">
        <v>-3.89538523117139</v>
      </c>
      <c r="J88" s="26" t="n">
        <v>9.16</v>
      </c>
      <c r="K88" s="27" t="n">
        <f aca="false">MIN(F88,G88)</f>
        <v>-6.46499470785294</v>
      </c>
      <c r="L88" s="27" t="n">
        <f aca="false">AVERAGE(F88,G88)</f>
        <v>-6.43737085018898</v>
      </c>
      <c r="M88" s="27" t="n">
        <f aca="false">MAX(0,NG-L88)</f>
        <v>5.73737085018898</v>
      </c>
      <c r="N88" s="27" t="n">
        <f aca="false">MAX(0,GWL-K88)</f>
        <v>4.96499470785294</v>
      </c>
      <c r="O88" s="27" t="n">
        <f aca="false">MAX(0,NG-MAX(K88,GWL))</f>
        <v>0.8</v>
      </c>
      <c r="P88" s="27" t="n">
        <f aca="false">E88/2+WS+SLOPE_A*O88+SLOPE_B*N88</f>
        <v>13.1647941540466</v>
      </c>
      <c r="Q88" s="28" t="str">
        <f aca="false">IF(AND(P88&lt;J88,N88&lt;=MAXOC),"Open cut","Shoring")</f>
        <v>Shoring</v>
      </c>
      <c r="R88" s="27" t="n">
        <f aca="false">IF(Q88="Shoring",D88,0)</f>
        <v>9.99999999992966</v>
      </c>
      <c r="S88" s="27" t="n">
        <f aca="false">MAX(0,GWL-L88)</f>
        <v>4.93737085018898</v>
      </c>
      <c r="T88" s="27" t="n">
        <f aca="false">MAX(0,NG-MAX(L88,GWL))</f>
        <v>0.8</v>
      </c>
      <c r="U88" s="27" t="n">
        <f aca="false">E88+2*WS</f>
        <v>4.06960947668155</v>
      </c>
      <c r="V88" s="27" t="n">
        <f aca="false">IF(Q88="Shoring",D88*M88*U88,0)</f>
        <v>233.488587830013</v>
      </c>
      <c r="W88" s="27" t="n">
        <f aca="false">IF(Q88="Open cut",D88*(U88*M88+SLOPE_B*S88^2+2*SLOPE_B*S88*T88+SLOPE_A*T88^2),0)</f>
        <v>0</v>
      </c>
      <c r="X88" s="27" t="n">
        <f aca="false">IF(M88&gt;0,D88*(E88+2*SLABOVH)*SLAB,0)</f>
        <v>15.3480473832998</v>
      </c>
      <c r="Y88" s="27" t="n">
        <f aca="false">IF(M88&gt;0,D88*PI()*E88^2/4,0)</f>
        <v>33.6408290462804</v>
      </c>
      <c r="Z88" s="27" t="n">
        <f aca="false">IF(H88-E88&gt;=GWL,99,E88*(MAX(0,GWL-H88)*(GAM_S-GAM_W)+MAX(0,NG-MAX(H88,GWL))*GAM_D)/(GAM_W*PI()*E88^2/4))</f>
        <v>2.10498378758021</v>
      </c>
      <c r="AA88" s="27" t="n">
        <f aca="false">IF(I88-E88&gt;=GWL,99,E88*(MAX(0,GWL-I88)*(GAM_S-GAM_W)+MAX(0,NG-MAX(I88,GWL))*GAM_D)/(GAM_W*PI()*E88^2/4))</f>
        <v>2.13335977166774</v>
      </c>
      <c r="AB88" s="27" t="n">
        <f aca="false">IF(H88-E88&gt;=GWL,99,E88*(MAX(0,GWL-H88)*(GAM_S-GAM_W)+MAX(0,FL-MAX(H88,GWL))*GAM_D)/(GAM_W*PI()*E88^2/4))</f>
        <v>4.02398007001053</v>
      </c>
      <c r="AC88" s="27" t="n">
        <f aca="false">IF(I88-E88&gt;=GWL,99,E88*(MAX(0,GWL-I88)*(GAM_S-GAM_W)+MAX(0,FL-MAX(I88,GWL))*GAM_D)/(GAM_W*PI()*E88^2/4))</f>
        <v>4.05235605409806</v>
      </c>
    </row>
    <row r="89" customFormat="false" ht="15" hidden="false" customHeight="false" outlineLevel="0" collapsed="false">
      <c r="A89" s="25" t="s">
        <v>500</v>
      </c>
      <c r="B89" s="25" t="s">
        <v>526</v>
      </c>
      <c r="C89" s="25" t="s">
        <v>533</v>
      </c>
      <c r="D89" s="26" t="n">
        <v>10.0000000000674</v>
      </c>
      <c r="E89" s="26" t="n">
        <v>2.06960947668155</v>
      </c>
      <c r="F89" s="26" t="n">
        <v>-6.46499470785294</v>
      </c>
      <c r="G89" s="26" t="n">
        <v>-6.52024242318085</v>
      </c>
      <c r="H89" s="26" t="n">
        <v>-3.89538523117139</v>
      </c>
      <c r="I89" s="26" t="n">
        <v>-3.9506329464993</v>
      </c>
      <c r="J89" s="26" t="n">
        <v>9.09</v>
      </c>
      <c r="K89" s="27" t="n">
        <f aca="false">MIN(F89,G89)</f>
        <v>-6.52024242318085</v>
      </c>
      <c r="L89" s="27" t="n">
        <f aca="false">AVERAGE(F89,G89)</f>
        <v>-6.49261856551689</v>
      </c>
      <c r="M89" s="27" t="n">
        <f aca="false">MAX(0,NG-L89)</f>
        <v>5.79261856551689</v>
      </c>
      <c r="N89" s="27" t="n">
        <f aca="false">MAX(0,GWL-K89)</f>
        <v>5.02024242318085</v>
      </c>
      <c r="O89" s="27" t="n">
        <f aca="false">MAX(0,NG-MAX(K89,GWL))</f>
        <v>0.8</v>
      </c>
      <c r="P89" s="27" t="n">
        <f aca="false">E89/2+WS+SLOPE_A*O89+SLOPE_B*N89</f>
        <v>13.2752895847025</v>
      </c>
      <c r="Q89" s="28" t="str">
        <f aca="false">IF(AND(P89&lt;J89,N89&lt;=MAXOC),"Open cut","Shoring")</f>
        <v>Shoring</v>
      </c>
      <c r="R89" s="27" t="n">
        <f aca="false">IF(Q89="Shoring",D89,0)</f>
        <v>10.0000000000674</v>
      </c>
      <c r="S89" s="27" t="n">
        <f aca="false">MAX(0,GWL-L89)</f>
        <v>4.99261856551689</v>
      </c>
      <c r="T89" s="27" t="n">
        <f aca="false">MAX(0,NG-MAX(L89,GWL))</f>
        <v>0.8</v>
      </c>
      <c r="U89" s="27" t="n">
        <f aca="false">E89+2*WS</f>
        <v>4.06960947668155</v>
      </c>
      <c r="V89" s="27" t="n">
        <f aca="false">IF(Q89="Shoring",D89*M89*U89,0)</f>
        <v>235.736954091879</v>
      </c>
      <c r="W89" s="27" t="n">
        <f aca="false">IF(Q89="Open cut",D89*(U89*M89+SLOPE_B*S89^2+2*SLOPE_B*S89*T89+SLOPE_A*T89^2),0)</f>
        <v>0</v>
      </c>
      <c r="X89" s="27" t="n">
        <f aca="false">IF(M89&gt;0,D89*(E89+2*SLABOVH)*SLAB,0)</f>
        <v>15.3480473835112</v>
      </c>
      <c r="Y89" s="27" t="n">
        <f aca="false">IF(M89&gt;0,D89*PI()*E89^2/4,0)</f>
        <v>33.6408290467438</v>
      </c>
      <c r="Z89" s="27" t="n">
        <f aca="false">IF(H89-E89&gt;=GWL,99,E89*(MAX(0,GWL-H89)*(GAM_S-GAM_W)+MAX(0,NG-MAX(H89,GWL))*GAM_D)/(GAM_W*PI()*E89^2/4))</f>
        <v>2.13335977166774</v>
      </c>
      <c r="AA89" s="27" t="n">
        <f aca="false">IF(I89-E89&gt;=GWL,99,E89*(MAX(0,GWL-I89)*(GAM_S-GAM_W)+MAX(0,NG-MAX(I89,GWL))*GAM_D)/(GAM_W*PI()*E89^2/4))</f>
        <v>2.16173575575527</v>
      </c>
      <c r="AB89" s="27" t="n">
        <f aca="false">IF(H89-E89&gt;=GWL,99,E89*(MAX(0,GWL-H89)*(GAM_S-GAM_W)+MAX(0,FL-MAX(H89,GWL))*GAM_D)/(GAM_W*PI()*E89^2/4))</f>
        <v>4.05235605409806</v>
      </c>
      <c r="AC89" s="27" t="n">
        <f aca="false">IF(I89-E89&gt;=GWL,99,E89*(MAX(0,GWL-I89)*(GAM_S-GAM_W)+MAX(0,FL-MAX(I89,GWL))*GAM_D)/(GAM_W*PI()*E89^2/4))</f>
        <v>4.08073203818559</v>
      </c>
    </row>
    <row r="90" customFormat="false" ht="15" hidden="false" customHeight="false" outlineLevel="0" collapsed="false">
      <c r="A90" s="25" t="s">
        <v>500</v>
      </c>
      <c r="B90" s="25" t="s">
        <v>526</v>
      </c>
      <c r="C90" s="25" t="s">
        <v>534</v>
      </c>
      <c r="D90" s="26" t="n">
        <v>10.0000000001675</v>
      </c>
      <c r="E90" s="26" t="n">
        <v>2.06960947668155</v>
      </c>
      <c r="F90" s="26" t="n">
        <v>-6.52024242318085</v>
      </c>
      <c r="G90" s="26" t="n">
        <v>-6.57549013850875</v>
      </c>
      <c r="H90" s="26" t="n">
        <v>-3.9506329464993</v>
      </c>
      <c r="I90" s="26" t="n">
        <v>-4.0058806618272</v>
      </c>
      <c r="J90" s="26" t="n">
        <v>9.01</v>
      </c>
      <c r="K90" s="27" t="n">
        <f aca="false">MIN(F90,G90)</f>
        <v>-6.57549013850875</v>
      </c>
      <c r="L90" s="27" t="n">
        <f aca="false">AVERAGE(F90,G90)</f>
        <v>-6.5478662808448</v>
      </c>
      <c r="M90" s="27" t="n">
        <f aca="false">MAX(0,NG-L90)</f>
        <v>5.8478662808448</v>
      </c>
      <c r="N90" s="27" t="n">
        <f aca="false">MAX(0,GWL-K90)</f>
        <v>5.07549013850875</v>
      </c>
      <c r="O90" s="27" t="n">
        <f aca="false">MAX(0,NG-MAX(K90,GWL))</f>
        <v>0.8</v>
      </c>
      <c r="P90" s="27" t="n">
        <f aca="false">E90/2+WS+SLOPE_A*O90+SLOPE_B*N90</f>
        <v>13.3857850153583</v>
      </c>
      <c r="Q90" s="28" t="str">
        <f aca="false">IF(AND(P90&lt;J90,N90&lt;=MAXOC),"Open cut","Shoring")</f>
        <v>Shoring</v>
      </c>
      <c r="R90" s="27" t="n">
        <f aca="false">IF(Q90="Shoring",D90,0)</f>
        <v>10.0000000001675</v>
      </c>
      <c r="S90" s="27" t="n">
        <f aca="false">MAX(0,GWL-L90)</f>
        <v>5.0478662808448</v>
      </c>
      <c r="T90" s="27" t="n">
        <f aca="false">MAX(0,NG-MAX(L90,GWL))</f>
        <v>0.8</v>
      </c>
      <c r="U90" s="27" t="n">
        <f aca="false">E90+2*WS</f>
        <v>4.06960947668155</v>
      </c>
      <c r="V90" s="27" t="n">
        <f aca="false">IF(Q90="Shoring",D90*M90*U90,0)</f>
        <v>237.985320352911</v>
      </c>
      <c r="W90" s="27" t="n">
        <f aca="false">IF(Q90="Open cut",D90*(U90*M90+SLOPE_B*S90^2+2*SLOPE_B*S90*T90+SLOPE_A*T90^2),0)</f>
        <v>0</v>
      </c>
      <c r="X90" s="27" t="n">
        <f aca="false">IF(M90&gt;0,D90*(E90+2*SLABOVH)*SLAB,0)</f>
        <v>15.3480473836648</v>
      </c>
      <c r="Y90" s="27" t="n">
        <f aca="false">IF(M90&gt;0,D90*PI()*E90^2/4,0)</f>
        <v>33.6408290470805</v>
      </c>
      <c r="Z90" s="27" t="n">
        <f aca="false">IF(H90-E90&gt;=GWL,99,E90*(MAX(0,GWL-H90)*(GAM_S-GAM_W)+MAX(0,NG-MAX(H90,GWL))*GAM_D)/(GAM_W*PI()*E90^2/4))</f>
        <v>2.16173575575527</v>
      </c>
      <c r="AA90" s="27" t="n">
        <f aca="false">IF(I90-E90&gt;=GWL,99,E90*(MAX(0,GWL-I90)*(GAM_S-GAM_W)+MAX(0,NG-MAX(I90,GWL))*GAM_D)/(GAM_W*PI()*E90^2/4))</f>
        <v>2.1901117398428</v>
      </c>
      <c r="AB90" s="27" t="n">
        <f aca="false">IF(H90-E90&gt;=GWL,99,E90*(MAX(0,GWL-H90)*(GAM_S-GAM_W)+MAX(0,FL-MAX(H90,GWL))*GAM_D)/(GAM_W*PI()*E90^2/4))</f>
        <v>4.08073203818559</v>
      </c>
      <c r="AC90" s="27" t="n">
        <f aca="false">IF(I90-E90&gt;=GWL,99,E90*(MAX(0,GWL-I90)*(GAM_S-GAM_W)+MAX(0,FL-MAX(I90,GWL))*GAM_D)/(GAM_W*PI()*E90^2/4))</f>
        <v>4.10910802227312</v>
      </c>
    </row>
    <row r="91" customFormat="false" ht="15" hidden="false" customHeight="false" outlineLevel="0" collapsed="false">
      <c r="A91" s="25" t="s">
        <v>500</v>
      </c>
      <c r="B91" s="25" t="s">
        <v>526</v>
      </c>
      <c r="C91" s="25" t="s">
        <v>535</v>
      </c>
      <c r="D91" s="26" t="n">
        <v>9.99999999982958</v>
      </c>
      <c r="E91" s="26" t="n">
        <v>2.06960947668155</v>
      </c>
      <c r="F91" s="26" t="n">
        <v>-6.57549013850875</v>
      </c>
      <c r="G91" s="26" t="n">
        <v>-6.63073785383666</v>
      </c>
      <c r="H91" s="26" t="n">
        <v>-4.0058806618272</v>
      </c>
      <c r="I91" s="26" t="n">
        <v>-4.06112837715511</v>
      </c>
      <c r="J91" s="26" t="n">
        <v>8.94</v>
      </c>
      <c r="K91" s="27" t="n">
        <f aca="false">MIN(F91,G91)</f>
        <v>-6.63073785383666</v>
      </c>
      <c r="L91" s="27" t="n">
        <f aca="false">AVERAGE(F91,G91)</f>
        <v>-6.60311399617271</v>
      </c>
      <c r="M91" s="27" t="n">
        <f aca="false">MAX(0,NG-L91)</f>
        <v>5.90311399617271</v>
      </c>
      <c r="N91" s="27" t="n">
        <f aca="false">MAX(0,GWL-K91)</f>
        <v>5.13073785383666</v>
      </c>
      <c r="O91" s="27" t="n">
        <f aca="false">MAX(0,NG-MAX(K91,GWL))</f>
        <v>0.8</v>
      </c>
      <c r="P91" s="27" t="n">
        <f aca="false">E91/2+WS+SLOPE_A*O91+SLOPE_B*N91</f>
        <v>13.4962804460141</v>
      </c>
      <c r="Q91" s="28" t="str">
        <f aca="false">IF(AND(P91&lt;J91,N91&lt;=MAXOC),"Open cut","Shoring")</f>
        <v>Shoring</v>
      </c>
      <c r="R91" s="27" t="n">
        <f aca="false">IF(Q91="Shoring",D91,0)</f>
        <v>9.99999999982958</v>
      </c>
      <c r="S91" s="27" t="n">
        <f aca="false">MAX(0,GWL-L91)</f>
        <v>5.10311399617271</v>
      </c>
      <c r="T91" s="27" t="n">
        <f aca="false">MAX(0,NG-MAX(L91,GWL))</f>
        <v>0.8</v>
      </c>
      <c r="U91" s="27" t="n">
        <f aca="false">E91+2*WS</f>
        <v>4.06960947668155</v>
      </c>
      <c r="V91" s="27" t="n">
        <f aca="false">IF(Q91="Shoring",D91*M91*U91,0)</f>
        <v>240.233686603465</v>
      </c>
      <c r="W91" s="27" t="n">
        <f aca="false">IF(Q91="Open cut",D91*(U91*M91+SLOPE_B*S91^2+2*SLOPE_B*S91*T91+SLOPE_A*T91^2),0)</f>
        <v>0</v>
      </c>
      <c r="X91" s="27" t="n">
        <f aca="false">IF(M91&gt;0,D91*(E91+2*SLABOVH)*SLAB,0)</f>
        <v>15.3480473831462</v>
      </c>
      <c r="Y91" s="27" t="n">
        <f aca="false">IF(M91&gt;0,D91*PI()*E91^2/4,0)</f>
        <v>33.6408290459437</v>
      </c>
      <c r="Z91" s="27" t="n">
        <f aca="false">IF(H91-E91&gt;=GWL,99,E91*(MAX(0,GWL-H91)*(GAM_S-GAM_W)+MAX(0,NG-MAX(H91,GWL))*GAM_D)/(GAM_W*PI()*E91^2/4))</f>
        <v>2.1901117398428</v>
      </c>
      <c r="AA91" s="27" t="n">
        <f aca="false">IF(I91-E91&gt;=GWL,99,E91*(MAX(0,GWL-I91)*(GAM_S-GAM_W)+MAX(0,NG-MAX(I91,GWL))*GAM_D)/(GAM_W*PI()*E91^2/4))</f>
        <v>2.21848772393032</v>
      </c>
      <c r="AB91" s="27" t="n">
        <f aca="false">IF(H91-E91&gt;=GWL,99,E91*(MAX(0,GWL-H91)*(GAM_S-GAM_W)+MAX(0,FL-MAX(H91,GWL))*GAM_D)/(GAM_W*PI()*E91^2/4))</f>
        <v>4.10910802227312</v>
      </c>
      <c r="AC91" s="27" t="n">
        <f aca="false">IF(I91-E91&gt;=GWL,99,E91*(MAX(0,GWL-I91)*(GAM_S-GAM_W)+MAX(0,FL-MAX(I91,GWL))*GAM_D)/(GAM_W*PI()*E91^2/4))</f>
        <v>4.13748400636064</v>
      </c>
    </row>
    <row r="92" customFormat="false" ht="15" hidden="false" customHeight="false" outlineLevel="0" collapsed="false">
      <c r="A92" s="25" t="s">
        <v>500</v>
      </c>
      <c r="B92" s="25" t="s">
        <v>526</v>
      </c>
      <c r="C92" s="25" t="s">
        <v>536</v>
      </c>
      <c r="D92" s="26" t="n">
        <v>10.0000000001675</v>
      </c>
      <c r="E92" s="26" t="n">
        <v>2.06960947668155</v>
      </c>
      <c r="F92" s="26" t="n">
        <v>-6.63073785383666</v>
      </c>
      <c r="G92" s="26" t="n">
        <v>-6.68598556916457</v>
      </c>
      <c r="H92" s="26" t="n">
        <v>-4.06112837715511</v>
      </c>
      <c r="I92" s="26" t="n">
        <v>-4.11637609248302</v>
      </c>
      <c r="J92" s="26" t="n">
        <v>8.91</v>
      </c>
      <c r="K92" s="27" t="n">
        <f aca="false">MIN(F92,G92)</f>
        <v>-6.68598556916457</v>
      </c>
      <c r="L92" s="27" t="n">
        <f aca="false">AVERAGE(F92,G92)</f>
        <v>-6.65836171150062</v>
      </c>
      <c r="M92" s="27" t="n">
        <f aca="false">MAX(0,NG-L92)</f>
        <v>5.95836171150062</v>
      </c>
      <c r="N92" s="27" t="n">
        <f aca="false">MAX(0,GWL-K92)</f>
        <v>5.18598556916457</v>
      </c>
      <c r="O92" s="27" t="n">
        <f aca="false">MAX(0,NG-MAX(K92,GWL))</f>
        <v>0.8</v>
      </c>
      <c r="P92" s="27" t="n">
        <f aca="false">E92/2+WS+SLOPE_A*O92+SLOPE_B*N92</f>
        <v>13.6067758766699</v>
      </c>
      <c r="Q92" s="28" t="str">
        <f aca="false">IF(AND(P92&lt;J92,N92&lt;=MAXOC),"Open cut","Shoring")</f>
        <v>Shoring</v>
      </c>
      <c r="R92" s="27" t="n">
        <f aca="false">IF(Q92="Shoring",D92,0)</f>
        <v>10.0000000001675</v>
      </c>
      <c r="S92" s="27" t="n">
        <f aca="false">MAX(0,GWL-L92)</f>
        <v>5.15836171150062</v>
      </c>
      <c r="T92" s="27" t="n">
        <f aca="false">MAX(0,NG-MAX(L92,GWL))</f>
        <v>0.8</v>
      </c>
      <c r="U92" s="27" t="n">
        <f aca="false">E92+2*WS</f>
        <v>4.06960947668155</v>
      </c>
      <c r="V92" s="27" t="n">
        <f aca="false">IF(Q92="Shoring",D92*M92*U92,0)</f>
        <v>242.482052870256</v>
      </c>
      <c r="W92" s="27" t="n">
        <f aca="false">IF(Q92="Open cut",D92*(U92*M92+SLOPE_B*S92^2+2*SLOPE_B*S92*T92+SLOPE_A*T92^2),0)</f>
        <v>0</v>
      </c>
      <c r="X92" s="27" t="n">
        <f aca="false">IF(M92&gt;0,D92*(E92+2*SLABOVH)*SLAB,0)</f>
        <v>15.3480473836648</v>
      </c>
      <c r="Y92" s="27" t="n">
        <f aca="false">IF(M92&gt;0,D92*PI()*E92^2/4,0)</f>
        <v>33.6408290470805</v>
      </c>
      <c r="Z92" s="27" t="n">
        <f aca="false">IF(H92-E92&gt;=GWL,99,E92*(MAX(0,GWL-H92)*(GAM_S-GAM_W)+MAX(0,NG-MAX(H92,GWL))*GAM_D)/(GAM_W*PI()*E92^2/4))</f>
        <v>2.21848772393032</v>
      </c>
      <c r="AA92" s="27" t="n">
        <f aca="false">IF(I92-E92&gt;=GWL,99,E92*(MAX(0,GWL-I92)*(GAM_S-GAM_W)+MAX(0,NG-MAX(I92,GWL))*GAM_D)/(GAM_W*PI()*E92^2/4))</f>
        <v>2.24686370801785</v>
      </c>
      <c r="AB92" s="27" t="n">
        <f aca="false">IF(H92-E92&gt;=GWL,99,E92*(MAX(0,GWL-H92)*(GAM_S-GAM_W)+MAX(0,FL-MAX(H92,GWL))*GAM_D)/(GAM_W*PI()*E92^2/4))</f>
        <v>4.13748400636064</v>
      </c>
      <c r="AC92" s="27" t="n">
        <f aca="false">IF(I92-E92&gt;=GWL,99,E92*(MAX(0,GWL-I92)*(GAM_S-GAM_W)+MAX(0,FL-MAX(I92,GWL))*GAM_D)/(GAM_W*PI()*E92^2/4))</f>
        <v>4.16585999044817</v>
      </c>
    </row>
    <row r="93" customFormat="false" ht="15" hidden="false" customHeight="false" outlineLevel="0" collapsed="false">
      <c r="A93" s="25" t="s">
        <v>500</v>
      </c>
      <c r="B93" s="25" t="s">
        <v>526</v>
      </c>
      <c r="C93" s="25" t="s">
        <v>537</v>
      </c>
      <c r="D93" s="26" t="n">
        <v>5.21635492162376</v>
      </c>
      <c r="E93" s="26" t="n">
        <v>2.06960947668155</v>
      </c>
      <c r="F93" s="26" t="n">
        <v>-6.68598556916457</v>
      </c>
      <c r="G93" s="26" t="n">
        <v>-6.71480473834077</v>
      </c>
      <c r="H93" s="26" t="n">
        <v>-4.11637609248302</v>
      </c>
      <c r="I93" s="26" t="n">
        <v>-4.14519526165923</v>
      </c>
      <c r="J93" s="26" t="n">
        <v>9.8</v>
      </c>
      <c r="K93" s="27" t="n">
        <f aca="false">MIN(F93,G93)</f>
        <v>-6.71480473834077</v>
      </c>
      <c r="L93" s="27" t="n">
        <f aca="false">AVERAGE(F93,G93)</f>
        <v>-6.70039515375267</v>
      </c>
      <c r="M93" s="27" t="n">
        <f aca="false">MAX(0,NG-L93)</f>
        <v>6.00039515375267</v>
      </c>
      <c r="N93" s="27" t="n">
        <f aca="false">MAX(0,GWL-K93)</f>
        <v>5.21480473834077</v>
      </c>
      <c r="O93" s="27" t="n">
        <f aca="false">MAX(0,NG-MAX(K93,GWL))</f>
        <v>0.8</v>
      </c>
      <c r="P93" s="27" t="n">
        <f aca="false">E93/2+WS+SLOPE_A*O93+SLOPE_B*N93</f>
        <v>13.6644142150223</v>
      </c>
      <c r="Q93" s="28" t="str">
        <f aca="false">IF(AND(P93&lt;J93,N93&lt;=MAXOC),"Open cut","Shoring")</f>
        <v>Shoring</v>
      </c>
      <c r="R93" s="27" t="n">
        <f aca="false">IF(Q93="Shoring",D93,0)</f>
        <v>5.21635492162376</v>
      </c>
      <c r="S93" s="27" t="n">
        <f aca="false">MAX(0,GWL-L93)</f>
        <v>5.20039515375267</v>
      </c>
      <c r="T93" s="27" t="n">
        <f aca="false">MAX(0,NG-MAX(L93,GWL))</f>
        <v>0.8</v>
      </c>
      <c r="U93" s="27" t="n">
        <f aca="false">E93+2*WS</f>
        <v>4.06960947668155</v>
      </c>
      <c r="V93" s="27" t="n">
        <f aca="false">IF(Q93="Shoring",D93*M93*U93,0)</f>
        <v>127.379553068922</v>
      </c>
      <c r="W93" s="27" t="n">
        <f aca="false">IF(Q93="Open cut",D93*(U93*M93+SLOPE_B*S93^2+2*SLOPE_B*S93*T93+SLOPE_A*T93^2),0)</f>
        <v>0</v>
      </c>
      <c r="X93" s="27" t="n">
        <f aca="false">IF(M93&gt;0,D93*(E93+2*SLABOVH)*SLAB,0)</f>
        <v>8.00608625057536</v>
      </c>
      <c r="Y93" s="27" t="n">
        <f aca="false">IF(M93&gt;0,D93*PI()*E93^2/4,0)</f>
        <v>17.5482504164302</v>
      </c>
      <c r="Z93" s="27" t="n">
        <f aca="false">IF(H93-E93&gt;=GWL,99,E93*(MAX(0,GWL-H93)*(GAM_S-GAM_W)+MAX(0,NG-MAX(H93,GWL))*GAM_D)/(GAM_W*PI()*E93^2/4))</f>
        <v>2.24686370801785</v>
      </c>
      <c r="AA93" s="27" t="n">
        <f aca="false">IF(I93-E93&gt;=GWL,99,E93*(MAX(0,GWL-I93)*(GAM_S-GAM_W)+MAX(0,NG-MAX(I93,GWL))*GAM_D)/(GAM_W*PI()*E93^2/4))</f>
        <v>2.26166562844309</v>
      </c>
      <c r="AB93" s="27" t="n">
        <f aca="false">IF(H93-E93&gt;=GWL,99,E93*(MAX(0,GWL-H93)*(GAM_S-GAM_W)+MAX(0,FL-MAX(H93,GWL))*GAM_D)/(GAM_W*PI()*E93^2/4))</f>
        <v>4.16585999044817</v>
      </c>
      <c r="AC93" s="27" t="n">
        <f aca="false">IF(I93-E93&gt;=GWL,99,E93*(MAX(0,GWL-I93)*(GAM_S-GAM_W)+MAX(0,FL-MAX(I93,GWL))*GAM_D)/(GAM_W*PI()*E93^2/4))</f>
        <v>4.18066191087341</v>
      </c>
    </row>
    <row r="94" customFormat="false" ht="15" hidden="false" customHeight="false" outlineLevel="0" collapsed="false">
      <c r="A94" s="25" t="s">
        <v>500</v>
      </c>
      <c r="B94" s="25" t="s">
        <v>526</v>
      </c>
      <c r="C94" s="25" t="s">
        <v>538</v>
      </c>
      <c r="D94" s="26" t="n">
        <v>3.10002999698153</v>
      </c>
      <c r="E94" s="26" t="n">
        <v>2.06960947668155</v>
      </c>
      <c r="F94" s="26" t="n">
        <v>-6.71480473834077</v>
      </c>
      <c r="G94" s="26" t="n">
        <v>-6.71990473834078</v>
      </c>
      <c r="H94" s="26" t="n">
        <v>-4.14519526165923</v>
      </c>
      <c r="I94" s="26" t="n">
        <v>-4.15029526165923</v>
      </c>
      <c r="J94" s="26" t="n">
        <v>12.41</v>
      </c>
      <c r="K94" s="27" t="n">
        <f aca="false">MIN(F94,G94)</f>
        <v>-6.71990473834078</v>
      </c>
      <c r="L94" s="27" t="n">
        <f aca="false">AVERAGE(F94,G94)</f>
        <v>-6.71735473834078</v>
      </c>
      <c r="M94" s="27" t="n">
        <f aca="false">MAX(0,NG-L94)</f>
        <v>6.01735473834077</v>
      </c>
      <c r="N94" s="27" t="n">
        <f aca="false">MAX(0,GWL-K94)</f>
        <v>5.21990473834078</v>
      </c>
      <c r="O94" s="27" t="n">
        <f aca="false">MAX(0,NG-MAX(K94,GWL))</f>
        <v>0.8</v>
      </c>
      <c r="P94" s="27" t="n">
        <f aca="false">E94/2+WS+SLOPE_A*O94+SLOPE_B*N94</f>
        <v>13.6746142150223</v>
      </c>
      <c r="Q94" s="28" t="str">
        <f aca="false">IF(AND(P94&lt;J94,N94&lt;=MAXOC),"Open cut","Shoring")</f>
        <v>Shoring</v>
      </c>
      <c r="R94" s="27" t="n">
        <f aca="false">IF(Q94="Shoring",D94,0)</f>
        <v>3.10002999698153</v>
      </c>
      <c r="S94" s="27" t="n">
        <f aca="false">MAX(0,GWL-L94)</f>
        <v>5.21735473834078</v>
      </c>
      <c r="T94" s="27" t="n">
        <f aca="false">MAX(0,NG-MAX(L94,GWL))</f>
        <v>0.8</v>
      </c>
      <c r="U94" s="27" t="n">
        <f aca="false">E94+2*WS</f>
        <v>4.06960947668155</v>
      </c>
      <c r="V94" s="27" t="n">
        <f aca="false">IF(Q94="Shoring",D94*M94*U94,0)</f>
        <v>75.9144145644882</v>
      </c>
      <c r="W94" s="27" t="n">
        <f aca="false">IF(Q94="Open cut",D94*(U94*M94+SLOPE_B*S94^2+2*SLOPE_B*S94*T94+SLOPE_A*T94^2),0)</f>
        <v>0</v>
      </c>
      <c r="X94" s="27" t="n">
        <f aca="false">IF(M94&gt;0,D94*(E94+2*SLABOVH)*SLAB,0)</f>
        <v>4.75794072836579</v>
      </c>
      <c r="Y94" s="27" t="n">
        <f aca="false">IF(M94&gt;0,D94*PI()*E94^2/4,0)</f>
        <v>10.428757916753</v>
      </c>
      <c r="Z94" s="27" t="n">
        <f aca="false">IF(H94-E94&gt;=GWL,99,E94*(MAX(0,GWL-H94)*(GAM_S-GAM_W)+MAX(0,NG-MAX(H94,GWL))*GAM_D)/(GAM_W*PI()*E94^2/4))</f>
        <v>2.26166562844309</v>
      </c>
      <c r="AA94" s="27" t="n">
        <f aca="false">IF(I94-E94&gt;=GWL,99,E94*(MAX(0,GWL-I94)*(GAM_S-GAM_W)+MAX(0,NG-MAX(I94,GWL))*GAM_D)/(GAM_W*PI()*E94^2/4))</f>
        <v>2.2642850583686</v>
      </c>
      <c r="AB94" s="27" t="n">
        <f aca="false">IF(H94-E94&gt;=GWL,99,E94*(MAX(0,GWL-H94)*(GAM_S-GAM_W)+MAX(0,FL-MAX(H94,GWL))*GAM_D)/(GAM_W*PI()*E94^2/4))</f>
        <v>4.18066191087341</v>
      </c>
      <c r="AC94" s="27" t="n">
        <f aca="false">IF(I94-E94&gt;=GWL,99,E94*(MAX(0,GWL-I94)*(GAM_S-GAM_W)+MAX(0,FL-MAX(I94,GWL))*GAM_D)/(GAM_W*PI()*E94^2/4))</f>
        <v>4.18328134079892</v>
      </c>
    </row>
    <row r="95" customFormat="false" ht="15" hidden="false" customHeight="false" outlineLevel="0" collapsed="false">
      <c r="A95" s="25" t="s">
        <v>500</v>
      </c>
      <c r="B95" s="25" t="s">
        <v>526</v>
      </c>
      <c r="C95" s="25" t="s">
        <v>539</v>
      </c>
      <c r="D95" s="26" t="n">
        <v>1.68361508121319</v>
      </c>
      <c r="E95" s="26" t="n">
        <v>2.06959976412667</v>
      </c>
      <c r="F95" s="26" t="n">
        <v>-6.71989988206334</v>
      </c>
      <c r="G95" s="26" t="n">
        <v>-6.72267336752273</v>
      </c>
      <c r="H95" s="26" t="n">
        <v>-4.15030011793666</v>
      </c>
      <c r="I95" s="26" t="n">
        <v>-4.15307360339606</v>
      </c>
      <c r="J95" s="26" t="n">
        <v>13.64</v>
      </c>
      <c r="K95" s="27" t="n">
        <f aca="false">MIN(F95,G95)</f>
        <v>-6.72267336752273</v>
      </c>
      <c r="L95" s="27" t="n">
        <f aca="false">AVERAGE(F95,G95)</f>
        <v>-6.72128662479303</v>
      </c>
      <c r="M95" s="27" t="n">
        <f aca="false">MAX(0,NG-L95)</f>
        <v>6.02128662479303</v>
      </c>
      <c r="N95" s="27" t="n">
        <f aca="false">MAX(0,GWL-K95)</f>
        <v>5.22267336752273</v>
      </c>
      <c r="O95" s="27" t="n">
        <f aca="false">MAX(0,NG-MAX(K95,GWL))</f>
        <v>0.8</v>
      </c>
      <c r="P95" s="27" t="n">
        <f aca="false">E95/2+WS+SLOPE_A*O95+SLOPE_B*N95</f>
        <v>13.6801466171088</v>
      </c>
      <c r="Q95" s="28" t="str">
        <f aca="false">IF(AND(P95&lt;J95,N95&lt;=MAXOC),"Open cut","Shoring")</f>
        <v>Shoring</v>
      </c>
      <c r="R95" s="27" t="n">
        <f aca="false">IF(Q95="Shoring",D95,0)</f>
        <v>1.68361508121319</v>
      </c>
      <c r="S95" s="27" t="n">
        <f aca="false">MAX(0,GWL-L95)</f>
        <v>5.22128662479303</v>
      </c>
      <c r="T95" s="27" t="n">
        <f aca="false">MAX(0,NG-MAX(L95,GWL))</f>
        <v>0.8</v>
      </c>
      <c r="U95" s="27" t="n">
        <f aca="false">E95+2*WS</f>
        <v>4.06959976412667</v>
      </c>
      <c r="V95" s="27" t="n">
        <f aca="false">IF(Q95="Shoring",D95*M95*U95,0)</f>
        <v>41.2556855043612</v>
      </c>
      <c r="W95" s="27" t="n">
        <f aca="false">IF(Q95="Open cut",D95*(U95*M95+SLOPE_B*S95^2+2*SLOPE_B*S95*T95+SLOPE_A*T95^2),0)</f>
        <v>0</v>
      </c>
      <c r="X95" s="27" t="n">
        <f aca="false">IF(M95&gt;0,D95*(E95+2*SLABOVH)*SLAB,0)</f>
        <v>2.58401222808605</v>
      </c>
      <c r="Y95" s="27" t="n">
        <f aca="false">IF(M95&gt;0,D95*PI()*E95^2/4,0)</f>
        <v>5.66376755289652</v>
      </c>
      <c r="Z95" s="27" t="n">
        <f aca="false">IF(H95-E95&gt;=GWL,99,E95*(MAX(0,GWL-H95)*(GAM_S-GAM_W)+MAX(0,NG-MAX(H95,GWL))*GAM_D)/(GAM_W*PI()*E95^2/4))</f>
        <v>2.26429817883672</v>
      </c>
      <c r="AA95" s="27" t="n">
        <f aca="false">IF(I95-E95&gt;=GWL,99,E95*(MAX(0,GWL-I95)*(GAM_S-GAM_W)+MAX(0,NG-MAX(I95,GWL))*GAM_D)/(GAM_W*PI()*E95^2/4))</f>
        <v>2.26572268568073</v>
      </c>
      <c r="AB95" s="27" t="n">
        <f aca="false">IF(H95-E95&gt;=GWL,99,E95*(MAX(0,GWL-H95)*(GAM_S-GAM_W)+MAX(0,FL-MAX(H95,GWL))*GAM_D)/(GAM_W*PI()*E95^2/4))</f>
        <v>4.18330346704536</v>
      </c>
      <c r="AC95" s="27" t="n">
        <f aca="false">IF(I95-E95&gt;=GWL,99,E95*(MAX(0,GWL-I95)*(GAM_S-GAM_W)+MAX(0,FL-MAX(I95,GWL))*GAM_D)/(GAM_W*PI()*E95^2/4))</f>
        <v>4.18472797388938</v>
      </c>
    </row>
    <row r="96" customFormat="false" ht="15" hidden="false" customHeight="false" outlineLevel="0" collapsed="false">
      <c r="A96" s="25" t="s">
        <v>500</v>
      </c>
      <c r="B96" s="25" t="s">
        <v>526</v>
      </c>
      <c r="C96" s="25" t="s">
        <v>540</v>
      </c>
      <c r="D96" s="26" t="n">
        <v>1.39407491841907</v>
      </c>
      <c r="E96" s="26" t="n">
        <v>2.06959976412667</v>
      </c>
      <c r="F96" s="26" t="n">
        <v>-6.72267336752273</v>
      </c>
      <c r="G96" s="26" t="n">
        <v>-6.72496988206334</v>
      </c>
      <c r="H96" s="26" t="n">
        <v>-4.15307360339606</v>
      </c>
      <c r="I96" s="26" t="n">
        <v>-4.15537011793666</v>
      </c>
      <c r="J96" s="26" t="n">
        <v>12.92</v>
      </c>
      <c r="K96" s="27" t="n">
        <f aca="false">MIN(F96,G96)</f>
        <v>-6.72496988206334</v>
      </c>
      <c r="L96" s="27" t="n">
        <f aca="false">AVERAGE(F96,G96)</f>
        <v>-6.72382162479303</v>
      </c>
      <c r="M96" s="27" t="n">
        <f aca="false">MAX(0,NG-L96)</f>
        <v>6.02382162479303</v>
      </c>
      <c r="N96" s="27" t="n">
        <f aca="false">MAX(0,GWL-K96)</f>
        <v>5.22496988206334</v>
      </c>
      <c r="O96" s="27" t="n">
        <f aca="false">MAX(0,NG-MAX(K96,GWL))</f>
        <v>0.8</v>
      </c>
      <c r="P96" s="27" t="n">
        <f aca="false">E96/2+WS+SLOPE_A*O96+SLOPE_B*N96</f>
        <v>13.68473964619</v>
      </c>
      <c r="Q96" s="28" t="str">
        <f aca="false">IF(AND(P96&lt;J96,N96&lt;=MAXOC),"Open cut","Shoring")</f>
        <v>Shoring</v>
      </c>
      <c r="R96" s="27" t="n">
        <f aca="false">IF(Q96="Shoring",D96,0)</f>
        <v>1.39407491841907</v>
      </c>
      <c r="S96" s="27" t="n">
        <f aca="false">MAX(0,GWL-L96)</f>
        <v>5.22382162479303</v>
      </c>
      <c r="T96" s="27" t="n">
        <f aca="false">MAX(0,NG-MAX(L96,GWL))</f>
        <v>0.8</v>
      </c>
      <c r="U96" s="27" t="n">
        <f aca="false">E96+2*WS</f>
        <v>4.06959976412667</v>
      </c>
      <c r="V96" s="27" t="n">
        <f aca="false">IF(Q96="Shoring",D96*M96*U96,0)</f>
        <v>34.1751096211885</v>
      </c>
      <c r="W96" s="27" t="n">
        <f aca="false">IF(Q96="Open cut",D96*(U96*M96+SLOPE_B*S96^2+2*SLOPE_B*S96*T96+SLOPE_A*T96^2),0)</f>
        <v>0</v>
      </c>
      <c r="X96" s="27" t="n">
        <f aca="false">IF(M96&gt;0,D96*(E96+2*SLABOVH)*SLAB,0)</f>
        <v>2.13962602037704</v>
      </c>
      <c r="Y96" s="27" t="n">
        <f aca="false">IF(M96&gt;0,D96*PI()*E96^2/4,0)</f>
        <v>4.68973958320643</v>
      </c>
      <c r="Z96" s="27" t="n">
        <f aca="false">IF(H96-E96&gt;=GWL,99,E96*(MAX(0,GWL-H96)*(GAM_S-GAM_W)+MAX(0,NG-MAX(H96,GWL))*GAM_D)/(GAM_W*PI()*E96^2/4))</f>
        <v>2.26572268568073</v>
      </c>
      <c r="AA96" s="27" t="n">
        <f aca="false">IF(I96-E96&gt;=GWL,99,E96*(MAX(0,GWL-I96)*(GAM_S-GAM_W)+MAX(0,NG-MAX(I96,GWL))*GAM_D)/(GAM_W*PI()*E96^2/4))</f>
        <v>2.26690221257149</v>
      </c>
      <c r="AB96" s="27" t="n">
        <f aca="false">IF(H96-E96&gt;=GWL,99,E96*(MAX(0,GWL-H96)*(GAM_S-GAM_W)+MAX(0,FL-MAX(H96,GWL))*GAM_D)/(GAM_W*PI()*E96^2/4))</f>
        <v>4.18472797388938</v>
      </c>
      <c r="AC96" s="27" t="n">
        <f aca="false">IF(I96-E96&gt;=GWL,99,E96*(MAX(0,GWL-I96)*(GAM_S-GAM_W)+MAX(0,FL-MAX(I96,GWL))*GAM_D)/(GAM_W*PI()*E96^2/4))</f>
        <v>4.18590750078013</v>
      </c>
    </row>
    <row r="97" customFormat="false" ht="15" hidden="false" customHeight="false" outlineLevel="0" collapsed="false">
      <c r="A97" s="25" t="s">
        <v>500</v>
      </c>
      <c r="B97" s="25" t="s">
        <v>541</v>
      </c>
      <c r="C97" s="25" t="s">
        <v>542</v>
      </c>
      <c r="D97" s="26" t="n">
        <v>5.96785999962656</v>
      </c>
      <c r="E97" s="26" t="n">
        <v>2.06959976412667</v>
      </c>
      <c r="F97" s="26" t="n">
        <v>-6.72496988206334</v>
      </c>
      <c r="G97" s="26" t="n">
        <v>-6.73479988206334</v>
      </c>
      <c r="H97" s="26" t="n">
        <v>-4.15537011793666</v>
      </c>
      <c r="I97" s="26" t="n">
        <v>-4.16520011793666</v>
      </c>
      <c r="J97" s="26" t="n">
        <v>11.31</v>
      </c>
      <c r="K97" s="27" t="n">
        <f aca="false">MIN(F97,G97)</f>
        <v>-6.73479988206334</v>
      </c>
      <c r="L97" s="27" t="n">
        <f aca="false">AVERAGE(F97,G97)</f>
        <v>-6.72988488206334</v>
      </c>
      <c r="M97" s="27" t="n">
        <f aca="false">MAX(0,NG-L97)</f>
        <v>6.02988488206334</v>
      </c>
      <c r="N97" s="27" t="n">
        <f aca="false">MAX(0,GWL-K97)</f>
        <v>5.23479988206334</v>
      </c>
      <c r="O97" s="27" t="n">
        <f aca="false">MAX(0,NG-MAX(K97,GWL))</f>
        <v>0.8</v>
      </c>
      <c r="P97" s="27" t="n">
        <f aca="false">E97/2+WS+SLOPE_A*O97+SLOPE_B*N97</f>
        <v>13.70439964619</v>
      </c>
      <c r="Q97" s="28" t="str">
        <f aca="false">IF(AND(P97&lt;J97,N97&lt;=MAXOC),"Open cut","Shoring")</f>
        <v>Shoring</v>
      </c>
      <c r="R97" s="27" t="n">
        <f aca="false">IF(Q97="Shoring",D97,0)</f>
        <v>5.96785999962656</v>
      </c>
      <c r="S97" s="27" t="n">
        <f aca="false">MAX(0,GWL-L97)</f>
        <v>5.22988488206334</v>
      </c>
      <c r="T97" s="27" t="n">
        <f aca="false">MAX(0,NG-MAX(L97,GWL))</f>
        <v>0.8</v>
      </c>
      <c r="U97" s="27" t="n">
        <f aca="false">E97+2*WS</f>
        <v>4.06959976412667</v>
      </c>
      <c r="V97" s="27" t="n">
        <f aca="false">IF(Q97="Shoring",D97*M97*U97,0)</f>
        <v>146.446618083839</v>
      </c>
      <c r="W97" s="27" t="n">
        <f aca="false">IF(Q97="Open cut",D97*(U97*M97+SLOPE_B*S97^2+2*SLOPE_B*S97*T97+SLOPE_A*T97^2),0)</f>
        <v>0</v>
      </c>
      <c r="X97" s="27" t="n">
        <f aca="false">IF(M97&gt;0,D97*(E97+2*SLABOVH)*SLAB,0)</f>
        <v>9.15947082359735</v>
      </c>
      <c r="Y97" s="27" t="n">
        <f aca="false">IF(M97&gt;0,D97*PI()*E97^2/4,0)</f>
        <v>20.076187368052</v>
      </c>
      <c r="Z97" s="27" t="n">
        <f aca="false">IF(H97-E97&gt;=GWL,99,E97*(MAX(0,GWL-H97)*(GAM_S-GAM_W)+MAX(0,NG-MAX(H97,GWL))*GAM_D)/(GAM_W*PI()*E97^2/4))</f>
        <v>2.26690221257149</v>
      </c>
      <c r="AA97" s="27" t="n">
        <f aca="false">IF(I97-E97&gt;=GWL,99,E97*(MAX(0,GWL-I97)*(GAM_S-GAM_W)+MAX(0,NG-MAX(I97,GWL))*GAM_D)/(GAM_W*PI()*E97^2/4))</f>
        <v>2.27195105904343</v>
      </c>
      <c r="AB97" s="27" t="n">
        <f aca="false">IF(H97-E97&gt;=GWL,99,E97*(MAX(0,GWL-H97)*(GAM_S-GAM_W)+MAX(0,FL-MAX(H97,GWL))*GAM_D)/(GAM_W*PI()*E97^2/4))</f>
        <v>4.18590750078013</v>
      </c>
      <c r="AC97" s="27" t="n">
        <f aca="false">IF(I97-E97&gt;=GWL,99,E97*(MAX(0,GWL-I97)*(GAM_S-GAM_W)+MAX(0,FL-MAX(I97,GWL))*GAM_D)/(GAM_W*PI()*E97^2/4))</f>
        <v>4.19095634725208</v>
      </c>
    </row>
    <row r="98" customFormat="false" ht="15" hidden="false" customHeight="false" outlineLevel="0" collapsed="false">
      <c r="A98" s="25" t="s">
        <v>543</v>
      </c>
      <c r="B98" s="25" t="s">
        <v>544</v>
      </c>
      <c r="C98" s="25" t="s">
        <v>545</v>
      </c>
      <c r="D98" s="26" t="n">
        <v>3.69071059187194</v>
      </c>
      <c r="E98" s="26" t="n">
        <v>1.55180099706517</v>
      </c>
      <c r="F98" s="26" t="n">
        <v>-5.09590049853259</v>
      </c>
      <c r="G98" s="26" t="n">
        <v>-5.09590049853259</v>
      </c>
      <c r="H98" s="26" t="n">
        <v>-3.04409950146741</v>
      </c>
      <c r="I98" s="26" t="n">
        <v>-3.04409950146741</v>
      </c>
      <c r="J98" s="26" t="n">
        <v>16.53</v>
      </c>
      <c r="K98" s="27" t="n">
        <f aca="false">MIN(F98,G98)</f>
        <v>-5.09590049853259</v>
      </c>
      <c r="L98" s="27" t="n">
        <f aca="false">AVERAGE(F98,G98)</f>
        <v>-5.09590049853259</v>
      </c>
      <c r="M98" s="27" t="n">
        <f aca="false">MAX(0,NG-L98)</f>
        <v>4.39590049853259</v>
      </c>
      <c r="N98" s="27" t="n">
        <f aca="false">MAX(0,GWL-K98)</f>
        <v>3.59590049853259</v>
      </c>
      <c r="O98" s="27" t="n">
        <f aca="false">MAX(0,NG-MAX(K98,GWL))</f>
        <v>0.8</v>
      </c>
      <c r="P98" s="27" t="n">
        <f aca="false">E98/2+WS+SLOPE_A*O98+SLOPE_B*N98</f>
        <v>10.1677014955978</v>
      </c>
      <c r="Q98" s="28" t="str">
        <f aca="false">IF(AND(P98&lt;J98,N98&lt;=MAXOC),"Open cut","Shoring")</f>
        <v>Shoring</v>
      </c>
      <c r="R98" s="27" t="n">
        <f aca="false">IF(Q98="Shoring",D98,0)</f>
        <v>3.69071059187194</v>
      </c>
      <c r="S98" s="27" t="n">
        <f aca="false">MAX(0,GWL-L98)</f>
        <v>3.59590049853259</v>
      </c>
      <c r="T98" s="27" t="n">
        <f aca="false">MAX(0,NG-MAX(L98,GWL))</f>
        <v>0.8</v>
      </c>
      <c r="U98" s="27" t="n">
        <f aca="false">E98+2*WS</f>
        <v>3.55180099706517</v>
      </c>
      <c r="V98" s="27" t="n">
        <f aca="false">IF(Q98="Shoring",D98*M98*U98,0)</f>
        <v>57.6244070542975</v>
      </c>
      <c r="W98" s="27" t="n">
        <f aca="false">IF(Q98="Open cut",D98*(U98*M98+SLOPE_B*S98^2+2*SLOPE_B*S98*T98+SLOPE_A*T98^2),0)</f>
        <v>0</v>
      </c>
      <c r="X98" s="27" t="n">
        <f aca="false">IF(M98&gt;0,D98*(E98+2*SLABOVH)*SLAB,0)</f>
        <v>4.70897948410891</v>
      </c>
      <c r="Y98" s="27" t="n">
        <f aca="false">IF(M98&gt;0,D98*PI()*E98^2/4,0)</f>
        <v>6.98026524356975</v>
      </c>
      <c r="Z98" s="27" t="n">
        <f aca="false">IF(H98-E98&gt;=GWL,99,E98*(MAX(0,GWL-H98)*(GAM_S-GAM_W)+MAX(0,NG-MAX(H98,GWL))*GAM_D)/(GAM_W*PI()*E98^2/4))</f>
        <v>2.26209550686802</v>
      </c>
      <c r="AA98" s="27" t="n">
        <f aca="false">IF(I98-E98&gt;=GWL,99,E98*(MAX(0,GWL-I98)*(GAM_S-GAM_W)+MAX(0,NG-MAX(I98,GWL))*GAM_D)/(GAM_W*PI()*E98^2/4))</f>
        <v>2.26209550686802</v>
      </c>
      <c r="AB98" s="27" t="n">
        <f aca="false">IF(H98-E98&gt;=GWL,99,E98*(MAX(0,GWL-H98)*(GAM_S-GAM_W)+MAX(0,FL-MAX(H98,GWL))*GAM_D)/(GAM_W*PI()*E98^2/4))</f>
        <v>4.82142682534613</v>
      </c>
      <c r="AC98" s="27" t="n">
        <f aca="false">IF(I98-E98&gt;=GWL,99,E98*(MAX(0,GWL-I98)*(GAM_S-GAM_W)+MAX(0,FL-MAX(I98,GWL))*GAM_D)/(GAM_W*PI()*E98^2/4))</f>
        <v>4.82142682534613</v>
      </c>
    </row>
    <row r="99" customFormat="false" ht="15" hidden="false" customHeight="false" outlineLevel="0" collapsed="false">
      <c r="A99" s="25" t="s">
        <v>543</v>
      </c>
      <c r="B99" s="25" t="s">
        <v>544</v>
      </c>
      <c r="C99" s="25" t="s">
        <v>546</v>
      </c>
      <c r="D99" s="26" t="n">
        <v>0.750000000143534</v>
      </c>
      <c r="E99" s="26" t="n">
        <v>2.04120726337557</v>
      </c>
      <c r="F99" s="26" t="n">
        <v>-5.34060363168779</v>
      </c>
      <c r="G99" s="26" t="n">
        <v>-5.34682363168778</v>
      </c>
      <c r="H99" s="26" t="n">
        <v>-2.79939636831222</v>
      </c>
      <c r="I99" s="26" t="n">
        <v>-2.80561636831222</v>
      </c>
      <c r="J99" s="26" t="n">
        <v>17.12</v>
      </c>
      <c r="K99" s="27" t="n">
        <f aca="false">MIN(F99,G99)</f>
        <v>-5.34682363168778</v>
      </c>
      <c r="L99" s="27" t="n">
        <f aca="false">AVERAGE(F99,G99)</f>
        <v>-5.34371363168779</v>
      </c>
      <c r="M99" s="27" t="n">
        <f aca="false">MAX(0,NG-L99)</f>
        <v>4.64371363168779</v>
      </c>
      <c r="N99" s="27" t="n">
        <f aca="false">MAX(0,GWL-K99)</f>
        <v>3.84682363168778</v>
      </c>
      <c r="O99" s="27" t="n">
        <f aca="false">MAX(0,NG-MAX(K99,GWL))</f>
        <v>0.8</v>
      </c>
      <c r="P99" s="27" t="n">
        <f aca="false">E99/2+WS+SLOPE_A*O99+SLOPE_B*N99</f>
        <v>10.9142508950634</v>
      </c>
      <c r="Q99" s="28" t="str">
        <f aca="false">IF(AND(P99&lt;J99,N99&lt;=MAXOC),"Open cut","Shoring")</f>
        <v>Shoring</v>
      </c>
      <c r="R99" s="27" t="n">
        <f aca="false">IF(Q99="Shoring",D99,0)</f>
        <v>0.750000000143534</v>
      </c>
      <c r="S99" s="27" t="n">
        <f aca="false">MAX(0,GWL-L99)</f>
        <v>3.84371363168779</v>
      </c>
      <c r="T99" s="27" t="n">
        <f aca="false">MAX(0,NG-MAX(L99,GWL))</f>
        <v>0.8</v>
      </c>
      <c r="U99" s="27" t="n">
        <f aca="false">E99+2*WS</f>
        <v>4.04120726337557</v>
      </c>
      <c r="V99" s="27" t="n">
        <f aca="false">IF(Q99="Shoring",D99*M99*U99,0)</f>
        <v>14.0746569457532</v>
      </c>
      <c r="W99" s="27" t="n">
        <f aca="false">IF(Q99="Open cut",D99*(U99*M99+SLOPE_B*S99^2+2*SLOPE_B*S99*T99+SLOPE_A*T99^2),0)</f>
        <v>0</v>
      </c>
      <c r="X99" s="27" t="n">
        <f aca="false">IF(M99&gt;0,D99*(E99+2*SLABOVH)*SLAB,0)</f>
        <v>1.1404527239841</v>
      </c>
      <c r="Y99" s="27" t="n">
        <f aca="false">IF(M99&gt;0,D99*PI()*E99^2/4,0)</f>
        <v>2.45428704485526</v>
      </c>
      <c r="Z99" s="27" t="n">
        <f aca="false">IF(H99-E99&gt;=GWL,99,E99*(MAX(0,GWL-H99)*(GAM_S-GAM_W)+MAX(0,NG-MAX(H99,GWL))*GAM_D)/(GAM_W*PI()*E99^2/4))</f>
        <v>1.59229669272595</v>
      </c>
      <c r="AA99" s="27" t="n">
        <f aca="false">IF(I99-E99&gt;=GWL,99,E99*(MAX(0,GWL-I99)*(GAM_S-GAM_W)+MAX(0,NG-MAX(I99,GWL))*GAM_D)/(GAM_W*PI()*E99^2/4))</f>
        <v>1.5955358220862</v>
      </c>
      <c r="AB99" s="27" t="n">
        <f aca="false">IF(H99-E99&gt;=GWL,99,E99*(MAX(0,GWL-H99)*(GAM_S-GAM_W)+MAX(0,FL-MAX(H99,GWL))*GAM_D)/(GAM_W*PI()*E99^2/4))</f>
        <v>3.53799469365634</v>
      </c>
      <c r="AC99" s="27" t="n">
        <f aca="false">IF(I99-E99&gt;=GWL,99,E99*(MAX(0,GWL-I99)*(GAM_S-GAM_W)+MAX(0,FL-MAX(I99,GWL))*GAM_D)/(GAM_W*PI()*E99^2/4))</f>
        <v>3.5412338230166</v>
      </c>
    </row>
    <row r="100" customFormat="false" ht="15" hidden="false" customHeight="false" outlineLevel="0" collapsed="false">
      <c r="A100" s="25" t="s">
        <v>543</v>
      </c>
      <c r="B100" s="25" t="s">
        <v>544</v>
      </c>
      <c r="C100" s="25" t="s">
        <v>547</v>
      </c>
      <c r="D100" s="26" t="n">
        <v>1.99985000014539</v>
      </c>
      <c r="E100" s="26" t="n">
        <v>2.04120726337557</v>
      </c>
      <c r="F100" s="26" t="n">
        <v>-5.34682363168778</v>
      </c>
      <c r="G100" s="26" t="n">
        <v>-5.36340363168779</v>
      </c>
      <c r="H100" s="26" t="n">
        <v>-2.80561636831222</v>
      </c>
      <c r="I100" s="26" t="n">
        <v>-2.82219636831222</v>
      </c>
      <c r="J100" s="26" t="n">
        <v>17.09</v>
      </c>
      <c r="K100" s="27" t="n">
        <f aca="false">MIN(F100,G100)</f>
        <v>-5.36340363168779</v>
      </c>
      <c r="L100" s="27" t="n">
        <f aca="false">AVERAGE(F100,G100)</f>
        <v>-5.35511363168778</v>
      </c>
      <c r="M100" s="27" t="n">
        <f aca="false">MAX(0,NG-L100)</f>
        <v>4.65511363168778</v>
      </c>
      <c r="N100" s="27" t="n">
        <f aca="false">MAX(0,GWL-K100)</f>
        <v>3.86340363168778</v>
      </c>
      <c r="O100" s="27" t="n">
        <f aca="false">MAX(0,NG-MAX(K100,GWL))</f>
        <v>0.8</v>
      </c>
      <c r="P100" s="27" t="n">
        <f aca="false">E100/2+WS+SLOPE_A*O100+SLOPE_B*N100</f>
        <v>10.9474108950634</v>
      </c>
      <c r="Q100" s="28" t="str">
        <f aca="false">IF(AND(P100&lt;J100,N100&lt;=MAXOC),"Open cut","Shoring")</f>
        <v>Shoring</v>
      </c>
      <c r="R100" s="27" t="n">
        <f aca="false">IF(Q100="Shoring",D100,0)</f>
        <v>1.99985000014539</v>
      </c>
      <c r="S100" s="27" t="n">
        <f aca="false">MAX(0,GWL-L100)</f>
        <v>3.85511363168778</v>
      </c>
      <c r="T100" s="27" t="n">
        <f aca="false">MAX(0,NG-MAX(L100,GWL))</f>
        <v>0.8</v>
      </c>
      <c r="U100" s="27" t="n">
        <f aca="false">E100+2*WS</f>
        <v>4.04120726337557</v>
      </c>
      <c r="V100" s="27" t="n">
        <f aca="false">IF(Q100="Shoring",D100*M100*U100,0)</f>
        <v>37.6217362013126</v>
      </c>
      <c r="W100" s="27" t="n">
        <f aca="false">IF(Q100="Open cut",D100*(U100*M100+SLOPE_B*S100^2+2*SLOPE_B*S100*T100+SLOPE_A*T100^2),0)</f>
        <v>0</v>
      </c>
      <c r="X100" s="27" t="n">
        <f aca="false">IF(M100&gt;0,D100*(E100+2*SLABOVH)*SLAB,0)</f>
        <v>3.04097917305189</v>
      </c>
      <c r="Y100" s="27" t="n">
        <f aca="false">IF(M100&gt;0,D100*PI()*E100^2/4,0)</f>
        <v>6.54427459476172</v>
      </c>
      <c r="Z100" s="27" t="n">
        <f aca="false">IF(H100-E100&gt;=GWL,99,E100*(MAX(0,GWL-H100)*(GAM_S-GAM_W)+MAX(0,NG-MAX(H100,GWL))*GAM_D)/(GAM_W*PI()*E100^2/4))</f>
        <v>1.5955358220862</v>
      </c>
      <c r="AA100" s="27" t="n">
        <f aca="false">IF(I100-E100&gt;=GWL,99,E100*(MAX(0,GWL-I100)*(GAM_S-GAM_W)+MAX(0,NG-MAX(I100,GWL))*GAM_D)/(GAM_W*PI()*E100^2/4))</f>
        <v>1.60417002864456</v>
      </c>
      <c r="AB100" s="27" t="n">
        <f aca="false">IF(H100-E100&gt;=GWL,99,E100*(MAX(0,GWL-H100)*(GAM_S-GAM_W)+MAX(0,FL-MAX(H100,GWL))*GAM_D)/(GAM_W*PI()*E100^2/4))</f>
        <v>3.5412338230166</v>
      </c>
      <c r="AC100" s="27" t="n">
        <f aca="false">IF(I100-E100&gt;=GWL,99,E100*(MAX(0,GWL-I100)*(GAM_S-GAM_W)+MAX(0,FL-MAX(I100,GWL))*GAM_D)/(GAM_W*PI()*E100^2/4))</f>
        <v>3.54986802957496</v>
      </c>
    </row>
    <row r="101" customFormat="false" ht="15" hidden="false" customHeight="false" outlineLevel="0" collapsed="false">
      <c r="A101" s="25" t="s">
        <v>543</v>
      </c>
      <c r="B101" s="25" t="s">
        <v>544</v>
      </c>
      <c r="C101" s="25" t="s">
        <v>548</v>
      </c>
      <c r="D101" s="26" t="n">
        <v>2.00012124258052</v>
      </c>
      <c r="E101" s="26" t="n">
        <v>2.04120006230099</v>
      </c>
      <c r="F101" s="26" t="n">
        <v>-5.36340003115049</v>
      </c>
      <c r="G101" s="26" t="n">
        <v>-5.37999003115049</v>
      </c>
      <c r="H101" s="26" t="n">
        <v>-2.82219996884951</v>
      </c>
      <c r="I101" s="26" t="n">
        <v>-2.83878996884951</v>
      </c>
      <c r="J101" s="26" t="n">
        <v>17.07</v>
      </c>
      <c r="K101" s="27" t="n">
        <f aca="false">MIN(F101,G101)</f>
        <v>-5.37999003115049</v>
      </c>
      <c r="L101" s="27" t="n">
        <f aca="false">AVERAGE(F101,G101)</f>
        <v>-5.37169503115049</v>
      </c>
      <c r="M101" s="27" t="n">
        <f aca="false">MAX(0,NG-L101)</f>
        <v>4.67169503115049</v>
      </c>
      <c r="N101" s="27" t="n">
        <f aca="false">MAX(0,GWL-K101)</f>
        <v>3.87999003115049</v>
      </c>
      <c r="O101" s="27" t="n">
        <f aca="false">MAX(0,NG-MAX(K101,GWL))</f>
        <v>0.8</v>
      </c>
      <c r="P101" s="27" t="n">
        <f aca="false">E101/2+WS+SLOPE_A*O101+SLOPE_B*N101</f>
        <v>10.9805800934515</v>
      </c>
      <c r="Q101" s="28" t="str">
        <f aca="false">IF(AND(P101&lt;J101,N101&lt;=MAXOC),"Open cut","Shoring")</f>
        <v>Shoring</v>
      </c>
      <c r="R101" s="27" t="n">
        <f aca="false">IF(Q101="Shoring",D101,0)</f>
        <v>2.00012124258052</v>
      </c>
      <c r="S101" s="27" t="n">
        <f aca="false">MAX(0,GWL-L101)</f>
        <v>3.87169503115049</v>
      </c>
      <c r="T101" s="27" t="n">
        <f aca="false">MAX(0,NG-MAX(L101,GWL))</f>
        <v>0.8</v>
      </c>
      <c r="U101" s="27" t="n">
        <f aca="false">E101+2*WS</f>
        <v>4.04120006230099</v>
      </c>
      <c r="V101" s="27" t="n">
        <f aca="false">IF(Q101="Shoring",D101*M101*U101,0)</f>
        <v>37.7607974713769</v>
      </c>
      <c r="W101" s="27" t="n">
        <f aca="false">IF(Q101="Open cut",D101*(U101*M101+SLOPE_B*S101^2+2*SLOPE_B*S101*T101+SLOPE_A*T101^2),0)</f>
        <v>0</v>
      </c>
      <c r="X101" s="27" t="n">
        <f aca="false">IF(M101&gt;0,D101*(E101+2*SLABOVH)*SLAB,0)</f>
        <v>3.04138442377271</v>
      </c>
      <c r="Y101" s="27" t="n">
        <f aca="false">IF(M101&gt;0,D101*PI()*E101^2/4,0)</f>
        <v>6.54511602319162</v>
      </c>
      <c r="Z101" s="27" t="n">
        <f aca="false">IF(H101-E101&gt;=GWL,99,E101*(MAX(0,GWL-H101)*(GAM_S-GAM_W)+MAX(0,NG-MAX(H101,GWL))*GAM_D)/(GAM_W*PI()*E101^2/4))</f>
        <v>1.60417756296064</v>
      </c>
      <c r="AA101" s="27" t="n">
        <f aca="false">IF(I101-E101&gt;=GWL,99,E101*(MAX(0,GWL-I101)*(GAM_S-GAM_W)+MAX(0,NG-MAX(I101,GWL))*GAM_D)/(GAM_W*PI()*E101^2/4))</f>
        <v>1.61281700760115</v>
      </c>
      <c r="AB101" s="27" t="n">
        <f aca="false">IF(H101-E101&gt;=GWL,99,E101*(MAX(0,GWL-H101)*(GAM_S-GAM_W)+MAX(0,FL-MAX(H101,GWL))*GAM_D)/(GAM_W*PI()*E101^2/4))</f>
        <v>3.54988242804741</v>
      </c>
      <c r="AC101" s="27" t="n">
        <f aca="false">IF(I101-E101&gt;=GWL,99,E101*(MAX(0,GWL-I101)*(GAM_S-GAM_W)+MAX(0,FL-MAX(I101,GWL))*GAM_D)/(GAM_W*PI()*E101^2/4))</f>
        <v>3.55852187268792</v>
      </c>
    </row>
    <row r="102" customFormat="false" ht="15" hidden="false" customHeight="false" outlineLevel="0" collapsed="false">
      <c r="A102" s="25" t="s">
        <v>543</v>
      </c>
      <c r="B102" s="25" t="s">
        <v>544</v>
      </c>
      <c r="C102" s="25" t="s">
        <v>549</v>
      </c>
      <c r="D102" s="26" t="n">
        <v>1.55931816520259</v>
      </c>
      <c r="E102" s="26" t="n">
        <v>2.04120006230099</v>
      </c>
      <c r="F102" s="26" t="n">
        <v>-5.37999003115049</v>
      </c>
      <c r="G102" s="26" t="n">
        <v>-5.39291995997035</v>
      </c>
      <c r="H102" s="26" t="n">
        <v>-2.83878996884951</v>
      </c>
      <c r="I102" s="26" t="n">
        <v>-2.85171989766936</v>
      </c>
      <c r="J102" s="26" t="n">
        <v>17.06</v>
      </c>
      <c r="K102" s="27" t="n">
        <f aca="false">MIN(F102,G102)</f>
        <v>-5.39291995997035</v>
      </c>
      <c r="L102" s="27" t="n">
        <f aca="false">AVERAGE(F102,G102)</f>
        <v>-5.38645499556042</v>
      </c>
      <c r="M102" s="27" t="n">
        <f aca="false">MAX(0,NG-L102)</f>
        <v>4.68645499556042</v>
      </c>
      <c r="N102" s="27" t="n">
        <f aca="false">MAX(0,GWL-K102)</f>
        <v>3.89291995997035</v>
      </c>
      <c r="O102" s="27" t="n">
        <f aca="false">MAX(0,NG-MAX(K102,GWL))</f>
        <v>0.8</v>
      </c>
      <c r="P102" s="27" t="n">
        <f aca="false">E102/2+WS+SLOPE_A*O102+SLOPE_B*N102</f>
        <v>11.0064399510912</v>
      </c>
      <c r="Q102" s="28" t="str">
        <f aca="false">IF(AND(P102&lt;J102,N102&lt;=MAXOC),"Open cut","Shoring")</f>
        <v>Shoring</v>
      </c>
      <c r="R102" s="27" t="n">
        <f aca="false">IF(Q102="Shoring",D102,0)</f>
        <v>1.55931816520259</v>
      </c>
      <c r="S102" s="27" t="n">
        <f aca="false">MAX(0,GWL-L102)</f>
        <v>3.88645499556042</v>
      </c>
      <c r="T102" s="27" t="n">
        <f aca="false">MAX(0,NG-MAX(L102,GWL))</f>
        <v>0.8</v>
      </c>
      <c r="U102" s="27" t="n">
        <f aca="false">E102+2*WS</f>
        <v>4.04120006230099</v>
      </c>
      <c r="V102" s="27" t="n">
        <f aca="false">IF(Q102="Shoring",D102*M102*U102,0)</f>
        <v>29.5317742606878</v>
      </c>
      <c r="W102" s="27" t="n">
        <f aca="false">IF(Q102="Open cut",D102*(U102*M102+SLOPE_B*S102^2+2*SLOPE_B*S102*T102+SLOPE_A*T102^2),0)</f>
        <v>0</v>
      </c>
      <c r="X102" s="27" t="n">
        <f aca="false">IF(M102&gt;0,D102*(E102+2*SLABOVH)*SLAB,0)</f>
        <v>2.37109925058059</v>
      </c>
      <c r="Y102" s="27" t="n">
        <f aca="false">IF(M102&gt;0,D102*PI()*E102^2/4,0)</f>
        <v>5.10264982494448</v>
      </c>
      <c r="Z102" s="27" t="n">
        <f aca="false">IF(H102-E102&gt;=GWL,99,E102*(MAX(0,GWL-H102)*(GAM_S-GAM_W)+MAX(0,NG-MAX(H102,GWL))*GAM_D)/(GAM_W*PI()*E102^2/4))</f>
        <v>1.61281700760115</v>
      </c>
      <c r="AA102" s="27" t="n">
        <f aca="false">IF(I102-E102&gt;=GWL,99,E102*(MAX(0,GWL-I102)*(GAM_S-GAM_W)+MAX(0,NG-MAX(I102,GWL))*GAM_D)/(GAM_W*PI()*E102^2/4))</f>
        <v>1.61955042557854</v>
      </c>
      <c r="AB102" s="27" t="n">
        <f aca="false">IF(H102-E102&gt;=GWL,99,E102*(MAX(0,GWL-H102)*(GAM_S-GAM_W)+MAX(0,FL-MAX(H102,GWL))*GAM_D)/(GAM_W*PI()*E102^2/4))</f>
        <v>3.55852187268792</v>
      </c>
      <c r="AC102" s="27" t="n">
        <f aca="false">IF(I102-E102&gt;=GWL,99,E102*(MAX(0,GWL-I102)*(GAM_S-GAM_W)+MAX(0,FL-MAX(I102,GWL))*GAM_D)/(GAM_W*PI()*E102^2/4))</f>
        <v>3.56525529066531</v>
      </c>
    </row>
    <row r="103" customFormat="false" ht="15" hidden="false" customHeight="false" outlineLevel="0" collapsed="false">
      <c r="A103" s="25" t="s">
        <v>543</v>
      </c>
      <c r="B103" s="25" t="s">
        <v>544</v>
      </c>
      <c r="C103" s="25" t="s">
        <v>550</v>
      </c>
      <c r="D103" s="26" t="n">
        <v>9.99999999967456</v>
      </c>
      <c r="E103" s="26" t="n">
        <v>2.04120006230099</v>
      </c>
      <c r="F103" s="26" t="n">
        <v>-5.39291995997035</v>
      </c>
      <c r="G103" s="26" t="n">
        <v>-5.47584036140769</v>
      </c>
      <c r="H103" s="26" t="n">
        <v>-2.85171989766936</v>
      </c>
      <c r="I103" s="26" t="n">
        <v>-2.9346402991067</v>
      </c>
      <c r="J103" s="26" t="n">
        <v>16.99</v>
      </c>
      <c r="K103" s="27" t="n">
        <f aca="false">MIN(F103,G103)</f>
        <v>-5.47584036140769</v>
      </c>
      <c r="L103" s="27" t="n">
        <f aca="false">AVERAGE(F103,G103)</f>
        <v>-5.43438016068902</v>
      </c>
      <c r="M103" s="27" t="n">
        <f aca="false">MAX(0,NG-L103)</f>
        <v>4.73438016068902</v>
      </c>
      <c r="N103" s="27" t="n">
        <f aca="false">MAX(0,GWL-K103)</f>
        <v>3.97584036140769</v>
      </c>
      <c r="O103" s="27" t="n">
        <f aca="false">MAX(0,NG-MAX(K103,GWL))</f>
        <v>0.8</v>
      </c>
      <c r="P103" s="27" t="n">
        <f aca="false">E103/2+WS+SLOPE_A*O103+SLOPE_B*N103</f>
        <v>11.1722807539659</v>
      </c>
      <c r="Q103" s="28" t="str">
        <f aca="false">IF(AND(P103&lt;J103,N103&lt;=MAXOC),"Open cut","Shoring")</f>
        <v>Shoring</v>
      </c>
      <c r="R103" s="27" t="n">
        <f aca="false">IF(Q103="Shoring",D103,0)</f>
        <v>9.99999999967456</v>
      </c>
      <c r="S103" s="27" t="n">
        <f aca="false">MAX(0,GWL-L103)</f>
        <v>3.93438016068902</v>
      </c>
      <c r="T103" s="27" t="n">
        <f aca="false">MAX(0,NG-MAX(L103,GWL))</f>
        <v>0.8</v>
      </c>
      <c r="U103" s="27" t="n">
        <f aca="false">E103+2*WS</f>
        <v>4.04120006230099</v>
      </c>
      <c r="V103" s="27" t="n">
        <f aca="false">IF(Q103="Shoring",D103*M103*U103,0)</f>
        <v>191.325773997104</v>
      </c>
      <c r="W103" s="27" t="n">
        <f aca="false">IF(Q103="Open cut",D103*(U103*M103+SLOPE_B*S103^2+2*SLOPE_B*S103*T103+SLOPE_A*T103^2),0)</f>
        <v>0</v>
      </c>
      <c r="X103" s="27" t="n">
        <f aca="false">IF(M103&gt;0,D103*(E103+2*SLABOVH)*SLAB,0)</f>
        <v>15.2060003110101</v>
      </c>
      <c r="Y103" s="27" t="n">
        <f aca="false">IF(M103&gt;0,D103*PI()*E103^2/4,0)</f>
        <v>32.7235963682592</v>
      </c>
      <c r="Z103" s="27" t="n">
        <f aca="false">IF(H103-E103&gt;=GWL,99,E103*(MAX(0,GWL-H103)*(GAM_S-GAM_W)+MAX(0,NG-MAX(H103,GWL))*GAM_D)/(GAM_W*PI()*E103^2/4))</f>
        <v>1.61955042557854</v>
      </c>
      <c r="AA103" s="27" t="n">
        <f aca="false">IF(I103-E103&gt;=GWL,99,E103*(MAX(0,GWL-I103)*(GAM_S-GAM_W)+MAX(0,NG-MAX(I103,GWL))*GAM_D)/(GAM_W*PI()*E103^2/4))</f>
        <v>1.66273223496893</v>
      </c>
      <c r="AB103" s="27" t="n">
        <f aca="false">IF(H103-E103&gt;=GWL,99,E103*(MAX(0,GWL-H103)*(GAM_S-GAM_W)+MAX(0,FL-MAX(H103,GWL))*GAM_D)/(GAM_W*PI()*E103^2/4))</f>
        <v>3.56525529066531</v>
      </c>
      <c r="AC103" s="27" t="n">
        <f aca="false">IF(I103-E103&gt;=GWL,99,E103*(MAX(0,GWL-I103)*(GAM_S-GAM_W)+MAX(0,FL-MAX(I103,GWL))*GAM_D)/(GAM_W*PI()*E103^2/4))</f>
        <v>3.6084371000557</v>
      </c>
    </row>
    <row r="104" customFormat="false" ht="15" hidden="false" customHeight="false" outlineLevel="0" collapsed="false">
      <c r="A104" s="25" t="s">
        <v>543</v>
      </c>
      <c r="B104" s="25" t="s">
        <v>544</v>
      </c>
      <c r="C104" s="25" t="s">
        <v>551</v>
      </c>
      <c r="D104" s="26" t="n">
        <v>10.0000000000126</v>
      </c>
      <c r="E104" s="26" t="n">
        <v>2.04120006230099</v>
      </c>
      <c r="F104" s="26" t="n">
        <v>-5.47584036140769</v>
      </c>
      <c r="G104" s="26" t="n">
        <v>-5.55876076284503</v>
      </c>
      <c r="H104" s="26" t="n">
        <v>-2.9346402991067</v>
      </c>
      <c r="I104" s="26" t="n">
        <v>-3.01756070054404</v>
      </c>
      <c r="J104" s="26" t="n">
        <v>16.49</v>
      </c>
      <c r="K104" s="27" t="n">
        <f aca="false">MIN(F104,G104)</f>
        <v>-5.55876076284503</v>
      </c>
      <c r="L104" s="27" t="n">
        <f aca="false">AVERAGE(F104,G104)</f>
        <v>-5.51730056212636</v>
      </c>
      <c r="M104" s="27" t="n">
        <f aca="false">MAX(0,NG-L104)</f>
        <v>4.81730056212636</v>
      </c>
      <c r="N104" s="27" t="n">
        <f aca="false">MAX(0,GWL-K104)</f>
        <v>4.05876076284503</v>
      </c>
      <c r="O104" s="27" t="n">
        <f aca="false">MAX(0,NG-MAX(K104,GWL))</f>
        <v>0.8</v>
      </c>
      <c r="P104" s="27" t="n">
        <f aca="false">E104/2+WS+SLOPE_A*O104+SLOPE_B*N104</f>
        <v>11.3381215568406</v>
      </c>
      <c r="Q104" s="28" t="str">
        <f aca="false">IF(AND(P104&lt;J104,N104&lt;=MAXOC),"Open cut","Shoring")</f>
        <v>Shoring</v>
      </c>
      <c r="R104" s="27" t="n">
        <f aca="false">IF(Q104="Shoring",D104,0)</f>
        <v>10.0000000000126</v>
      </c>
      <c r="S104" s="27" t="n">
        <f aca="false">MAX(0,GWL-L104)</f>
        <v>4.01730056212636</v>
      </c>
      <c r="T104" s="27" t="n">
        <f aca="false">MAX(0,NG-MAX(L104,GWL))</f>
        <v>0.8</v>
      </c>
      <c r="U104" s="27" t="n">
        <f aca="false">E104+2*WS</f>
        <v>4.04120006230099</v>
      </c>
      <c r="V104" s="27" t="n">
        <f aca="false">IF(Q104="Shoring",D104*M104*U104,0)</f>
        <v>194.676753318121</v>
      </c>
      <c r="W104" s="27" t="n">
        <f aca="false">IF(Q104="Open cut",D104*(U104*M104+SLOPE_B*S104^2+2*SLOPE_B*S104*T104+SLOPE_A*T104^2),0)</f>
        <v>0</v>
      </c>
      <c r="X104" s="27" t="n">
        <f aca="false">IF(M104&gt;0,D104*(E104+2*SLABOVH)*SLAB,0)</f>
        <v>15.2060003115241</v>
      </c>
      <c r="Y104" s="27" t="n">
        <f aca="false">IF(M104&gt;0,D104*PI()*E104^2/4,0)</f>
        <v>32.7235963693654</v>
      </c>
      <c r="Z104" s="27" t="n">
        <f aca="false">IF(H104-E104&gt;=GWL,99,E104*(MAX(0,GWL-H104)*(GAM_S-GAM_W)+MAX(0,NG-MAX(H104,GWL))*GAM_D)/(GAM_W*PI()*E104^2/4))</f>
        <v>1.66273223496893</v>
      </c>
      <c r="AA104" s="27" t="n">
        <f aca="false">IF(I104-E104&gt;=GWL,99,E104*(MAX(0,GWL-I104)*(GAM_S-GAM_W)+MAX(0,NG-MAX(I104,GWL))*GAM_D)/(GAM_W*PI()*E104^2/4))</f>
        <v>1.70591404435932</v>
      </c>
      <c r="AB104" s="27" t="n">
        <f aca="false">IF(H104-E104&gt;=GWL,99,E104*(MAX(0,GWL-H104)*(GAM_S-GAM_W)+MAX(0,FL-MAX(H104,GWL))*GAM_D)/(GAM_W*PI()*E104^2/4))</f>
        <v>3.6084371000557</v>
      </c>
      <c r="AC104" s="27" t="n">
        <f aca="false">IF(I104-E104&gt;=GWL,99,E104*(MAX(0,GWL-I104)*(GAM_S-GAM_W)+MAX(0,FL-MAX(I104,GWL))*GAM_D)/(GAM_W*PI()*E104^2/4))</f>
        <v>3.65161890944609</v>
      </c>
    </row>
    <row r="105" customFormat="false" ht="15" hidden="false" customHeight="false" outlineLevel="0" collapsed="false">
      <c r="A105" s="25" t="s">
        <v>543</v>
      </c>
      <c r="B105" s="25" t="s">
        <v>544</v>
      </c>
      <c r="C105" s="25" t="s">
        <v>552</v>
      </c>
      <c r="D105" s="26" t="n">
        <v>9.99999999991252</v>
      </c>
      <c r="E105" s="26" t="n">
        <v>2.04120006230099</v>
      </c>
      <c r="F105" s="26" t="n">
        <v>-5.55876076284503</v>
      </c>
      <c r="G105" s="26" t="n">
        <v>-5.64168116428237</v>
      </c>
      <c r="H105" s="26" t="n">
        <v>-3.01756070054404</v>
      </c>
      <c r="I105" s="26" t="n">
        <v>-3.10048110198138</v>
      </c>
      <c r="J105" s="26" t="n">
        <v>15.83</v>
      </c>
      <c r="K105" s="27" t="n">
        <f aca="false">MIN(F105,G105)</f>
        <v>-5.64168116428237</v>
      </c>
      <c r="L105" s="27" t="n">
        <f aca="false">AVERAGE(F105,G105)</f>
        <v>-5.6002209635637</v>
      </c>
      <c r="M105" s="27" t="n">
        <f aca="false">MAX(0,NG-L105)</f>
        <v>4.9002209635637</v>
      </c>
      <c r="N105" s="27" t="n">
        <f aca="false">MAX(0,GWL-K105)</f>
        <v>4.14168116428237</v>
      </c>
      <c r="O105" s="27" t="n">
        <f aca="false">MAX(0,NG-MAX(K105,GWL))</f>
        <v>0.8</v>
      </c>
      <c r="P105" s="27" t="n">
        <f aca="false">E105/2+WS+SLOPE_A*O105+SLOPE_B*N105</f>
        <v>11.5039623597152</v>
      </c>
      <c r="Q105" s="28" t="str">
        <f aca="false">IF(AND(P105&lt;J105,N105&lt;=MAXOC),"Open cut","Shoring")</f>
        <v>Shoring</v>
      </c>
      <c r="R105" s="27" t="n">
        <f aca="false">IF(Q105="Shoring",D105,0)</f>
        <v>9.99999999991252</v>
      </c>
      <c r="S105" s="27" t="n">
        <f aca="false">MAX(0,GWL-L105)</f>
        <v>4.1002209635637</v>
      </c>
      <c r="T105" s="27" t="n">
        <f aca="false">MAX(0,NG-MAX(L105,GWL))</f>
        <v>0.8</v>
      </c>
      <c r="U105" s="27" t="n">
        <f aca="false">E105+2*WS</f>
        <v>4.04120006230099</v>
      </c>
      <c r="V105" s="27" t="n">
        <f aca="false">IF(Q105="Shoring",D105*M105*U105,0)</f>
        <v>198.02773263069</v>
      </c>
      <c r="W105" s="27" t="n">
        <f aca="false">IF(Q105="Open cut",D105*(U105*M105+SLOPE_B*S105^2+2*SLOPE_B*S105*T105+SLOPE_A*T105^2),0)</f>
        <v>0</v>
      </c>
      <c r="X105" s="27" t="n">
        <f aca="false">IF(M105&gt;0,D105*(E105+2*SLABOVH)*SLAB,0)</f>
        <v>15.2060003113719</v>
      </c>
      <c r="Y105" s="27" t="n">
        <f aca="false">IF(M105&gt;0,D105*PI()*E105^2/4,0)</f>
        <v>32.7235963690379</v>
      </c>
      <c r="Z105" s="27" t="n">
        <f aca="false">IF(H105-E105&gt;=GWL,99,E105*(MAX(0,GWL-H105)*(GAM_S-GAM_W)+MAX(0,NG-MAX(H105,GWL))*GAM_D)/(GAM_W*PI()*E105^2/4))</f>
        <v>1.70591404435932</v>
      </c>
      <c r="AA105" s="27" t="n">
        <f aca="false">IF(I105-E105&gt;=GWL,99,E105*(MAX(0,GWL-I105)*(GAM_S-GAM_W)+MAX(0,NG-MAX(I105,GWL))*GAM_D)/(GAM_W*PI()*E105^2/4))</f>
        <v>1.74909585374971</v>
      </c>
      <c r="AB105" s="27" t="n">
        <f aca="false">IF(H105-E105&gt;=GWL,99,E105*(MAX(0,GWL-H105)*(GAM_S-GAM_W)+MAX(0,FL-MAX(H105,GWL))*GAM_D)/(GAM_W*PI()*E105^2/4))</f>
        <v>3.65161890944609</v>
      </c>
      <c r="AC105" s="27" t="n">
        <f aca="false">IF(I105-E105&gt;=GWL,99,E105*(MAX(0,GWL-I105)*(GAM_S-GAM_W)+MAX(0,FL-MAX(I105,GWL))*GAM_D)/(GAM_W*PI()*E105^2/4))</f>
        <v>3.69480071883648</v>
      </c>
    </row>
    <row r="106" customFormat="false" ht="15" hidden="false" customHeight="false" outlineLevel="0" collapsed="false">
      <c r="A106" s="25" t="s">
        <v>543</v>
      </c>
      <c r="B106" s="25" t="s">
        <v>544</v>
      </c>
      <c r="C106" s="25" t="s">
        <v>553</v>
      </c>
      <c r="D106" s="26" t="n">
        <v>9.99999999977463</v>
      </c>
      <c r="E106" s="26" t="n">
        <v>2.04120006230099</v>
      </c>
      <c r="F106" s="26" t="n">
        <v>-5.64168116428237</v>
      </c>
      <c r="G106" s="26" t="n">
        <v>-5.72460156571971</v>
      </c>
      <c r="H106" s="26" t="n">
        <v>-3.10048110198138</v>
      </c>
      <c r="I106" s="26" t="n">
        <v>-3.18340150341872</v>
      </c>
      <c r="J106" s="26" t="n">
        <v>15.76</v>
      </c>
      <c r="K106" s="27" t="n">
        <f aca="false">MIN(F106,G106)</f>
        <v>-5.72460156571971</v>
      </c>
      <c r="L106" s="27" t="n">
        <f aca="false">AVERAGE(F106,G106)</f>
        <v>-5.68314136500104</v>
      </c>
      <c r="M106" s="27" t="n">
        <f aca="false">MAX(0,NG-L106)</f>
        <v>4.98314136500104</v>
      </c>
      <c r="N106" s="27" t="n">
        <f aca="false">MAX(0,GWL-K106)</f>
        <v>4.22460156571971</v>
      </c>
      <c r="O106" s="27" t="n">
        <f aca="false">MAX(0,NG-MAX(K106,GWL))</f>
        <v>0.8</v>
      </c>
      <c r="P106" s="27" t="n">
        <f aca="false">E106/2+WS+SLOPE_A*O106+SLOPE_B*N106</f>
        <v>11.6698031625899</v>
      </c>
      <c r="Q106" s="28" t="str">
        <f aca="false">IF(AND(P106&lt;J106,N106&lt;=MAXOC),"Open cut","Shoring")</f>
        <v>Shoring</v>
      </c>
      <c r="R106" s="27" t="n">
        <f aca="false">IF(Q106="Shoring",D106,0)</f>
        <v>9.99999999977463</v>
      </c>
      <c r="S106" s="27" t="n">
        <f aca="false">MAX(0,GWL-L106)</f>
        <v>4.18314136500104</v>
      </c>
      <c r="T106" s="27" t="n">
        <f aca="false">MAX(0,NG-MAX(L106,GWL))</f>
        <v>0.8</v>
      </c>
      <c r="U106" s="27" t="n">
        <f aca="false">E106+2*WS</f>
        <v>4.04120006230099</v>
      </c>
      <c r="V106" s="27" t="n">
        <f aca="false">IF(Q106="Shoring",D106*M106*U106,0)</f>
        <v>201.37871194243</v>
      </c>
      <c r="W106" s="27" t="n">
        <f aca="false">IF(Q106="Open cut",D106*(U106*M106+SLOPE_B*S106^2+2*SLOPE_B*S106*T106+SLOPE_A*T106^2),0)</f>
        <v>0</v>
      </c>
      <c r="X106" s="27" t="n">
        <f aca="false">IF(M106&gt;0,D106*(E106+2*SLABOVH)*SLAB,0)</f>
        <v>15.2060003111622</v>
      </c>
      <c r="Y106" s="27" t="n">
        <f aca="false">IF(M106&gt;0,D106*PI()*E106^2/4,0)</f>
        <v>32.7235963685867</v>
      </c>
      <c r="Z106" s="27" t="n">
        <f aca="false">IF(H106-E106&gt;=GWL,99,E106*(MAX(0,GWL-H106)*(GAM_S-GAM_W)+MAX(0,NG-MAX(H106,GWL))*GAM_D)/(GAM_W*PI()*E106^2/4))</f>
        <v>1.74909585374971</v>
      </c>
      <c r="AA106" s="27" t="n">
        <f aca="false">IF(I106-E106&gt;=GWL,99,E106*(MAX(0,GWL-I106)*(GAM_S-GAM_W)+MAX(0,NG-MAX(I106,GWL))*GAM_D)/(GAM_W*PI()*E106^2/4))</f>
        <v>1.79227766314011</v>
      </c>
      <c r="AB106" s="27" t="n">
        <f aca="false">IF(H106-E106&gt;=GWL,99,E106*(MAX(0,GWL-H106)*(GAM_S-GAM_W)+MAX(0,FL-MAX(H106,GWL))*GAM_D)/(GAM_W*PI()*E106^2/4))</f>
        <v>3.69480071883648</v>
      </c>
      <c r="AC106" s="27" t="n">
        <f aca="false">IF(I106-E106&gt;=GWL,99,E106*(MAX(0,GWL-I106)*(GAM_S-GAM_W)+MAX(0,FL-MAX(I106,GWL))*GAM_D)/(GAM_W*PI()*E106^2/4))</f>
        <v>3.73798252822688</v>
      </c>
    </row>
    <row r="107" customFormat="false" ht="15" hidden="false" customHeight="false" outlineLevel="0" collapsed="false">
      <c r="A107" s="25" t="s">
        <v>543</v>
      </c>
      <c r="B107" s="25" t="s">
        <v>544</v>
      </c>
      <c r="C107" s="25" t="s">
        <v>554</v>
      </c>
      <c r="D107" s="26" t="n">
        <v>10.0000000003884</v>
      </c>
      <c r="E107" s="26" t="n">
        <v>2.04120006230099</v>
      </c>
      <c r="F107" s="26" t="n">
        <v>-5.72460156571971</v>
      </c>
      <c r="G107" s="26" t="n">
        <v>-5.80752196715704</v>
      </c>
      <c r="H107" s="26" t="n">
        <v>-3.18340150341872</v>
      </c>
      <c r="I107" s="26" t="n">
        <v>-3.26632190485606</v>
      </c>
      <c r="J107" s="26" t="n">
        <v>15.68</v>
      </c>
      <c r="K107" s="27" t="n">
        <f aca="false">MIN(F107,G107)</f>
        <v>-5.80752196715704</v>
      </c>
      <c r="L107" s="27" t="n">
        <f aca="false">AVERAGE(F107,G107)</f>
        <v>-5.76606176643837</v>
      </c>
      <c r="M107" s="27" t="n">
        <f aca="false">MAX(0,NG-L107)</f>
        <v>5.06606176643837</v>
      </c>
      <c r="N107" s="27" t="n">
        <f aca="false">MAX(0,GWL-K107)</f>
        <v>4.30752196715704</v>
      </c>
      <c r="O107" s="27" t="n">
        <f aca="false">MAX(0,NG-MAX(K107,GWL))</f>
        <v>0.8</v>
      </c>
      <c r="P107" s="27" t="n">
        <f aca="false">E107/2+WS+SLOPE_A*O107+SLOPE_B*N107</f>
        <v>11.8356439654646</v>
      </c>
      <c r="Q107" s="28" t="str">
        <f aca="false">IF(AND(P107&lt;J107,N107&lt;=MAXOC),"Open cut","Shoring")</f>
        <v>Shoring</v>
      </c>
      <c r="R107" s="27" t="n">
        <f aca="false">IF(Q107="Shoring",D107,0)</f>
        <v>10.0000000003884</v>
      </c>
      <c r="S107" s="27" t="n">
        <f aca="false">MAX(0,GWL-L107)</f>
        <v>4.26606176643837</v>
      </c>
      <c r="T107" s="27" t="n">
        <f aca="false">MAX(0,NG-MAX(L107,GWL))</f>
        <v>0.8</v>
      </c>
      <c r="U107" s="27" t="n">
        <f aca="false">E107+2*WS</f>
        <v>4.04120006230099</v>
      </c>
      <c r="V107" s="27" t="n">
        <f aca="false">IF(Q107="Shoring",D107*M107*U107,0)</f>
        <v>204.729691269467</v>
      </c>
      <c r="W107" s="27" t="n">
        <f aca="false">IF(Q107="Open cut",D107*(U107*M107+SLOPE_B*S107^2+2*SLOPE_B*S107*T107+SLOPE_A*T107^2),0)</f>
        <v>0</v>
      </c>
      <c r="X107" s="27" t="n">
        <f aca="false">IF(M107&gt;0,D107*(E107+2*SLABOVH)*SLAB,0)</f>
        <v>15.2060003120956</v>
      </c>
      <c r="Y107" s="27" t="n">
        <f aca="false">IF(M107&gt;0,D107*PI()*E107^2/4,0)</f>
        <v>32.7235963705953</v>
      </c>
      <c r="Z107" s="27" t="n">
        <f aca="false">IF(H107-E107&gt;=GWL,99,E107*(MAX(0,GWL-H107)*(GAM_S-GAM_W)+MAX(0,NG-MAX(H107,GWL))*GAM_D)/(GAM_W*PI()*E107^2/4))</f>
        <v>1.79227766314011</v>
      </c>
      <c r="AA107" s="27" t="n">
        <f aca="false">IF(I107-E107&gt;=GWL,99,E107*(MAX(0,GWL-I107)*(GAM_S-GAM_W)+MAX(0,NG-MAX(I107,GWL))*GAM_D)/(GAM_W*PI()*E107^2/4))</f>
        <v>1.8354594725305</v>
      </c>
      <c r="AB107" s="27" t="n">
        <f aca="false">IF(H107-E107&gt;=GWL,99,E107*(MAX(0,GWL-H107)*(GAM_S-GAM_W)+MAX(0,FL-MAX(H107,GWL))*GAM_D)/(GAM_W*PI()*E107^2/4))</f>
        <v>3.73798252822688</v>
      </c>
      <c r="AC107" s="27" t="n">
        <f aca="false">IF(I107-E107&gt;=GWL,99,E107*(MAX(0,GWL-I107)*(GAM_S-GAM_W)+MAX(0,FL-MAX(I107,GWL))*GAM_D)/(GAM_W*PI()*E107^2/4))</f>
        <v>3.78116433761727</v>
      </c>
    </row>
    <row r="108" customFormat="false" ht="15" hidden="false" customHeight="false" outlineLevel="0" collapsed="false">
      <c r="A108" s="25" t="s">
        <v>543</v>
      </c>
      <c r="B108" s="25" t="s">
        <v>544</v>
      </c>
      <c r="C108" s="25" t="s">
        <v>555</v>
      </c>
      <c r="D108" s="26" t="n">
        <v>6.0000000002255</v>
      </c>
      <c r="E108" s="26" t="n">
        <v>2.04120006230099</v>
      </c>
      <c r="F108" s="26" t="n">
        <v>-5.80752196715704</v>
      </c>
      <c r="G108" s="26" t="n">
        <v>-5.85727420801945</v>
      </c>
      <c r="H108" s="26" t="n">
        <v>-3.26632190485606</v>
      </c>
      <c r="I108" s="26" t="n">
        <v>-3.31607414571846</v>
      </c>
      <c r="J108" s="26" t="n">
        <v>15.63</v>
      </c>
      <c r="K108" s="27" t="n">
        <f aca="false">MIN(F108,G108)</f>
        <v>-5.85727420801945</v>
      </c>
      <c r="L108" s="27" t="n">
        <f aca="false">AVERAGE(F108,G108)</f>
        <v>-5.83239808758824</v>
      </c>
      <c r="M108" s="27" t="n">
        <f aca="false">MAX(0,NG-L108)</f>
        <v>5.13239808758824</v>
      </c>
      <c r="N108" s="27" t="n">
        <f aca="false">MAX(0,GWL-K108)</f>
        <v>4.35727420801945</v>
      </c>
      <c r="O108" s="27" t="n">
        <f aca="false">MAX(0,NG-MAX(K108,GWL))</f>
        <v>0.8</v>
      </c>
      <c r="P108" s="27" t="n">
        <f aca="false">E108/2+WS+SLOPE_A*O108+SLOPE_B*N108</f>
        <v>11.9351484471894</v>
      </c>
      <c r="Q108" s="28" t="str">
        <f aca="false">IF(AND(P108&lt;J108,N108&lt;=MAXOC),"Open cut","Shoring")</f>
        <v>Shoring</v>
      </c>
      <c r="R108" s="27" t="n">
        <f aca="false">IF(Q108="Shoring",D108,0)</f>
        <v>6.0000000002255</v>
      </c>
      <c r="S108" s="27" t="n">
        <f aca="false">MAX(0,GWL-L108)</f>
        <v>4.33239808758824</v>
      </c>
      <c r="T108" s="27" t="n">
        <f aca="false">MAX(0,NG-MAX(L108,GWL))</f>
        <v>0.8</v>
      </c>
      <c r="U108" s="27" t="n">
        <f aca="false">E108+2*WS</f>
        <v>4.04120006230099</v>
      </c>
      <c r="V108" s="27" t="n">
        <f aca="false">IF(Q108="Shoring",D108*M108*U108,0)</f>
        <v>124.446284832568</v>
      </c>
      <c r="W108" s="27" t="n">
        <f aca="false">IF(Q108="Open cut",D108*(U108*M108+SLOPE_B*S108^2+2*SLOPE_B*S108*T108+SLOPE_A*T108^2),0)</f>
        <v>0</v>
      </c>
      <c r="X108" s="27" t="n">
        <f aca="false">IF(M108&gt;0,D108*(E108+2*SLABOVH)*SLAB,0)</f>
        <v>9.12360018724586</v>
      </c>
      <c r="Y108" s="27" t="n">
        <f aca="false">IF(M108&gt;0,D108*PI()*E108^2/4,0)</f>
        <v>19.6341578223324</v>
      </c>
      <c r="Z108" s="27" t="n">
        <f aca="false">IF(H108-E108&gt;=GWL,99,E108*(MAX(0,GWL-H108)*(GAM_S-GAM_W)+MAX(0,NG-MAX(H108,GWL))*GAM_D)/(GAM_W*PI()*E108^2/4))</f>
        <v>1.8354594725305</v>
      </c>
      <c r="AA108" s="27" t="n">
        <f aca="false">IF(I108-E108&gt;=GWL,99,E108*(MAX(0,GWL-I108)*(GAM_S-GAM_W)+MAX(0,NG-MAX(I108,GWL))*GAM_D)/(GAM_W*PI()*E108^2/4))</f>
        <v>1.86136855816473</v>
      </c>
      <c r="AB108" s="27" t="n">
        <f aca="false">IF(H108-E108&gt;=GWL,99,E108*(MAX(0,GWL-H108)*(GAM_S-GAM_W)+MAX(0,FL-MAX(H108,GWL))*GAM_D)/(GAM_W*PI()*E108^2/4))</f>
        <v>3.78116433761727</v>
      </c>
      <c r="AC108" s="27" t="n">
        <f aca="false">IF(I108-E108&gt;=GWL,99,E108*(MAX(0,GWL-I108)*(GAM_S-GAM_W)+MAX(0,FL-MAX(I108,GWL))*GAM_D)/(GAM_W*PI()*E108^2/4))</f>
        <v>3.80707342325151</v>
      </c>
    </row>
    <row r="109" customFormat="false" ht="15" hidden="false" customHeight="false" outlineLevel="0" collapsed="false">
      <c r="A109" s="25" t="s">
        <v>543</v>
      </c>
      <c r="B109" s="25" t="s">
        <v>556</v>
      </c>
      <c r="C109" s="25" t="s">
        <v>557</v>
      </c>
      <c r="D109" s="26" t="n">
        <v>3.99999999954913</v>
      </c>
      <c r="E109" s="26" t="n">
        <v>2.04120006230099</v>
      </c>
      <c r="F109" s="26" t="n">
        <v>-5.85727420801945</v>
      </c>
      <c r="G109" s="26" t="n">
        <v>-5.89044236859438</v>
      </c>
      <c r="H109" s="26" t="n">
        <v>-3.31607414571846</v>
      </c>
      <c r="I109" s="26" t="n">
        <v>-3.34924230629339</v>
      </c>
      <c r="J109" s="26" t="n">
        <v>15.6</v>
      </c>
      <c r="K109" s="27" t="n">
        <f aca="false">MIN(F109,G109)</f>
        <v>-5.89044236859438</v>
      </c>
      <c r="L109" s="27" t="n">
        <f aca="false">AVERAGE(F109,G109)</f>
        <v>-5.87385828830691</v>
      </c>
      <c r="M109" s="27" t="n">
        <f aca="false">MAX(0,NG-L109)</f>
        <v>5.17385828830691</v>
      </c>
      <c r="N109" s="27" t="n">
        <f aca="false">MAX(0,GWL-K109)</f>
        <v>4.39044236859438</v>
      </c>
      <c r="O109" s="27" t="n">
        <f aca="false">MAX(0,NG-MAX(K109,GWL))</f>
        <v>0.8</v>
      </c>
      <c r="P109" s="27" t="n">
        <f aca="false">E109/2+WS+SLOPE_A*O109+SLOPE_B*N109</f>
        <v>12.0014847683393</v>
      </c>
      <c r="Q109" s="28" t="str">
        <f aca="false">IF(AND(P109&lt;J109,N109&lt;=MAXOC),"Open cut","Shoring")</f>
        <v>Shoring</v>
      </c>
      <c r="R109" s="27" t="n">
        <f aca="false">IF(Q109="Shoring",D109,0)</f>
        <v>3.99999999954913</v>
      </c>
      <c r="S109" s="27" t="n">
        <f aca="false">MAX(0,GWL-L109)</f>
        <v>4.37385828830691</v>
      </c>
      <c r="T109" s="27" t="n">
        <f aca="false">MAX(0,NG-MAX(L109,GWL))</f>
        <v>0.8</v>
      </c>
      <c r="U109" s="27" t="n">
        <f aca="false">E109+2*WS</f>
        <v>4.04120006230099</v>
      </c>
      <c r="V109" s="27" t="n">
        <f aca="false">IF(Q109="Shoring",D109*M109*U109,0)</f>
        <v>83.6343857387424</v>
      </c>
      <c r="W109" s="27" t="n">
        <f aca="false">IF(Q109="Open cut",D109*(U109*M109+SLOPE_B*S109^2+2*SLOPE_B*S109*T109+SLOPE_A*T109^2),0)</f>
        <v>0</v>
      </c>
      <c r="X109" s="27" t="n">
        <f aca="false">IF(M109&gt;0,D109*(E109+2*SLABOVH)*SLAB,0)</f>
        <v>6.08240012391638</v>
      </c>
      <c r="Y109" s="27" t="n">
        <f aca="false">IF(M109&gt;0,D109*PI()*E109^2/4,0)</f>
        <v>13.0894385462543</v>
      </c>
      <c r="Z109" s="27" t="n">
        <f aca="false">IF(H109-E109&gt;=GWL,99,E109*(MAX(0,GWL-H109)*(GAM_S-GAM_W)+MAX(0,NG-MAX(H109,GWL))*GAM_D)/(GAM_W*PI()*E109^2/4))</f>
        <v>1.86136855816473</v>
      </c>
      <c r="AA109" s="27" t="n">
        <f aca="false">IF(I109-E109&gt;=GWL,99,E109*(MAX(0,GWL-I109)*(GAM_S-GAM_W)+MAX(0,NG-MAX(I109,GWL))*GAM_D)/(GAM_W*PI()*E109^2/4))</f>
        <v>1.87864128192089</v>
      </c>
      <c r="AB109" s="27" t="n">
        <f aca="false">IF(H109-E109&gt;=GWL,99,E109*(MAX(0,GWL-H109)*(GAM_S-GAM_W)+MAX(0,FL-MAX(H109,GWL))*GAM_D)/(GAM_W*PI()*E109^2/4))</f>
        <v>3.80707342325151</v>
      </c>
      <c r="AC109" s="27" t="n">
        <f aca="false">IF(I109-E109&gt;=GWL,99,E109*(MAX(0,GWL-I109)*(GAM_S-GAM_W)+MAX(0,FL-MAX(I109,GWL))*GAM_D)/(GAM_W*PI()*E109^2/4))</f>
        <v>3.82434614700766</v>
      </c>
    </row>
    <row r="110" customFormat="false" ht="15" hidden="false" customHeight="false" outlineLevel="0" collapsed="false">
      <c r="A110" s="25" t="s">
        <v>543</v>
      </c>
      <c r="B110" s="25" t="s">
        <v>556</v>
      </c>
      <c r="C110" s="25" t="s">
        <v>558</v>
      </c>
      <c r="D110" s="26" t="n">
        <v>9.99999999991252</v>
      </c>
      <c r="E110" s="26" t="n">
        <v>2.04120006230099</v>
      </c>
      <c r="F110" s="26" t="n">
        <v>-5.89044236859438</v>
      </c>
      <c r="G110" s="26" t="n">
        <v>-5.97336277003172</v>
      </c>
      <c r="H110" s="26" t="n">
        <v>-3.34924230629339</v>
      </c>
      <c r="I110" s="26" t="n">
        <v>-3.43216270773073</v>
      </c>
      <c r="J110" s="26" t="n">
        <v>15.52</v>
      </c>
      <c r="K110" s="27" t="n">
        <f aca="false">MIN(F110,G110)</f>
        <v>-5.97336277003172</v>
      </c>
      <c r="L110" s="27" t="n">
        <f aca="false">AVERAGE(F110,G110)</f>
        <v>-5.93190256931305</v>
      </c>
      <c r="M110" s="27" t="n">
        <f aca="false">MAX(0,NG-L110)</f>
        <v>5.23190256931305</v>
      </c>
      <c r="N110" s="27" t="n">
        <f aca="false">MAX(0,GWL-K110)</f>
        <v>4.47336277003172</v>
      </c>
      <c r="O110" s="27" t="n">
        <f aca="false">MAX(0,NG-MAX(K110,GWL))</f>
        <v>0.8</v>
      </c>
      <c r="P110" s="27" t="n">
        <f aca="false">E110/2+WS+SLOPE_A*O110+SLOPE_B*N110</f>
        <v>12.1673255712139</v>
      </c>
      <c r="Q110" s="28" t="str">
        <f aca="false">IF(AND(P110&lt;J110,N110&lt;=MAXOC),"Open cut","Shoring")</f>
        <v>Shoring</v>
      </c>
      <c r="R110" s="27" t="n">
        <f aca="false">IF(Q110="Shoring",D110,0)</f>
        <v>9.99999999991252</v>
      </c>
      <c r="S110" s="27" t="n">
        <f aca="false">MAX(0,GWL-L110)</f>
        <v>4.43190256931305</v>
      </c>
      <c r="T110" s="27" t="n">
        <f aca="false">MAX(0,NG-MAX(L110,GWL))</f>
        <v>0.8</v>
      </c>
      <c r="U110" s="27" t="n">
        <f aca="false">E110+2*WS</f>
        <v>4.04120006230099</v>
      </c>
      <c r="V110" s="27" t="n">
        <f aca="false">IF(Q110="Shoring",D110*M110*U110,0)</f>
        <v>211.431649888756</v>
      </c>
      <c r="W110" s="27" t="n">
        <f aca="false">IF(Q110="Open cut",D110*(U110*M110+SLOPE_B*S110^2+2*SLOPE_B*S110*T110+SLOPE_A*T110^2),0)</f>
        <v>0</v>
      </c>
      <c r="X110" s="27" t="n">
        <f aca="false">IF(M110&gt;0,D110*(E110+2*SLABOVH)*SLAB,0)</f>
        <v>15.2060003113719</v>
      </c>
      <c r="Y110" s="27" t="n">
        <f aca="false">IF(M110&gt;0,D110*PI()*E110^2/4,0)</f>
        <v>32.7235963690379</v>
      </c>
      <c r="Z110" s="27" t="n">
        <f aca="false">IF(H110-E110&gt;=GWL,99,E110*(MAX(0,GWL-H110)*(GAM_S-GAM_W)+MAX(0,NG-MAX(H110,GWL))*GAM_D)/(GAM_W*PI()*E110^2/4))</f>
        <v>1.87864128192089</v>
      </c>
      <c r="AA110" s="27" t="n">
        <f aca="false">IF(I110-E110&gt;=GWL,99,E110*(MAX(0,GWL-I110)*(GAM_S-GAM_W)+MAX(0,NG-MAX(I110,GWL))*GAM_D)/(GAM_W*PI()*E110^2/4))</f>
        <v>1.92182309131128</v>
      </c>
      <c r="AB110" s="27" t="n">
        <f aca="false">IF(H110-E110&gt;=GWL,99,E110*(MAX(0,GWL-H110)*(GAM_S-GAM_W)+MAX(0,FL-MAX(H110,GWL))*GAM_D)/(GAM_W*PI()*E110^2/4))</f>
        <v>3.82434614700766</v>
      </c>
      <c r="AC110" s="27" t="n">
        <f aca="false">IF(I110-E110&gt;=GWL,99,E110*(MAX(0,GWL-I110)*(GAM_S-GAM_W)+MAX(0,FL-MAX(I110,GWL))*GAM_D)/(GAM_W*PI()*E110^2/4))</f>
        <v>3.86752795639806</v>
      </c>
    </row>
    <row r="111" customFormat="false" ht="15" hidden="false" customHeight="false" outlineLevel="0" collapsed="false">
      <c r="A111" s="25" t="s">
        <v>543</v>
      </c>
      <c r="B111" s="25" t="s">
        <v>556</v>
      </c>
      <c r="C111" s="25" t="s">
        <v>559</v>
      </c>
      <c r="D111" s="26" t="n">
        <v>1.99999999996249</v>
      </c>
      <c r="E111" s="26" t="n">
        <v>2.04120006230099</v>
      </c>
      <c r="F111" s="26" t="n">
        <v>-5.97336277003172</v>
      </c>
      <c r="G111" s="26" t="n">
        <v>-5.98994685031919</v>
      </c>
      <c r="H111" s="26" t="n">
        <v>-3.43216270773073</v>
      </c>
      <c r="I111" s="26" t="n">
        <v>-3.4487467880182</v>
      </c>
      <c r="J111" s="26" t="n">
        <v>15.51</v>
      </c>
      <c r="K111" s="27" t="n">
        <f aca="false">MIN(F111,G111)</f>
        <v>-5.98994685031919</v>
      </c>
      <c r="L111" s="27" t="n">
        <f aca="false">AVERAGE(F111,G111)</f>
        <v>-5.98165481017545</v>
      </c>
      <c r="M111" s="27" t="n">
        <f aca="false">MAX(0,NG-L111)</f>
        <v>5.28165481017545</v>
      </c>
      <c r="N111" s="27" t="n">
        <f aca="false">MAX(0,GWL-K111)</f>
        <v>4.48994685031919</v>
      </c>
      <c r="O111" s="27" t="n">
        <f aca="false">MAX(0,NG-MAX(K111,GWL))</f>
        <v>0.8</v>
      </c>
      <c r="P111" s="27" t="n">
        <f aca="false">E111/2+WS+SLOPE_A*O111+SLOPE_B*N111</f>
        <v>12.2004937317889</v>
      </c>
      <c r="Q111" s="28" t="str">
        <f aca="false">IF(AND(P111&lt;J111,N111&lt;=MAXOC),"Open cut","Shoring")</f>
        <v>Shoring</v>
      </c>
      <c r="R111" s="27" t="n">
        <f aca="false">IF(Q111="Shoring",D111,0)</f>
        <v>1.99999999996249</v>
      </c>
      <c r="S111" s="27" t="n">
        <f aca="false">MAX(0,GWL-L111)</f>
        <v>4.48165481017545</v>
      </c>
      <c r="T111" s="27" t="n">
        <f aca="false">MAX(0,NG-MAX(L111,GWL))</f>
        <v>0.8</v>
      </c>
      <c r="U111" s="27" t="n">
        <f aca="false">E111+2*WS</f>
        <v>4.04120006230099</v>
      </c>
      <c r="V111" s="27" t="n">
        <f aca="false">IF(Q111="Shoring",D111*M111*U111,0)</f>
        <v>42.6884474950661</v>
      </c>
      <c r="W111" s="27" t="n">
        <f aca="false">IF(Q111="Open cut",D111*(U111*M111+SLOPE_B*S111^2+2*SLOPE_B*S111*T111+SLOPE_A*T111^2),0)</f>
        <v>0</v>
      </c>
      <c r="X111" s="27" t="n">
        <f aca="false">IF(M111&gt;0,D111*(E111+2*SLABOVH)*SLAB,0)</f>
        <v>3.04120006224395</v>
      </c>
      <c r="Y111" s="27" t="n">
        <f aca="false">IF(M111&gt;0,D111*PI()*E111^2/4,0)</f>
        <v>6.5447192737421</v>
      </c>
      <c r="Z111" s="27" t="n">
        <f aca="false">IF(H111-E111&gt;=GWL,99,E111*(MAX(0,GWL-H111)*(GAM_S-GAM_W)+MAX(0,NG-MAX(H111,GWL))*GAM_D)/(GAM_W*PI()*E111^2/4))</f>
        <v>1.92182309131128</v>
      </c>
      <c r="AA111" s="27" t="n">
        <f aca="false">IF(I111-E111&gt;=GWL,99,E111*(MAX(0,GWL-I111)*(GAM_S-GAM_W)+MAX(0,NG-MAX(I111,GWL))*GAM_D)/(GAM_W*PI()*E111^2/4))</f>
        <v>1.93045945318936</v>
      </c>
      <c r="AB111" s="27" t="n">
        <f aca="false">IF(H111-E111&gt;=GWL,99,E111*(MAX(0,GWL-H111)*(GAM_S-GAM_W)+MAX(0,FL-MAX(H111,GWL))*GAM_D)/(GAM_W*PI()*E111^2/4))</f>
        <v>3.86752795639806</v>
      </c>
      <c r="AC111" s="27" t="n">
        <f aca="false">IF(I111-E111&gt;=GWL,99,E111*(MAX(0,GWL-I111)*(GAM_S-GAM_W)+MAX(0,FL-MAX(I111,GWL))*GAM_D)/(GAM_W*PI()*E111^2/4))</f>
        <v>3.87616431827613</v>
      </c>
    </row>
    <row r="112" customFormat="false" ht="15" hidden="false" customHeight="false" outlineLevel="0" collapsed="false">
      <c r="A112" s="25" t="s">
        <v>543</v>
      </c>
      <c r="B112" s="25" t="s">
        <v>560</v>
      </c>
      <c r="C112" s="25" t="s">
        <v>561</v>
      </c>
      <c r="D112" s="26" t="n">
        <v>8.00000000042595</v>
      </c>
      <c r="E112" s="26" t="n">
        <v>2.04120006230099</v>
      </c>
      <c r="F112" s="26" t="n">
        <v>-5.98994685031919</v>
      </c>
      <c r="G112" s="26" t="n">
        <v>-6.05628317146906</v>
      </c>
      <c r="H112" s="26" t="n">
        <v>-3.4487467880182</v>
      </c>
      <c r="I112" s="26" t="n">
        <v>-3.51508310916807</v>
      </c>
      <c r="J112" s="26" t="n">
        <v>14.94</v>
      </c>
      <c r="K112" s="27" t="n">
        <f aca="false">MIN(F112,G112)</f>
        <v>-6.05628317146906</v>
      </c>
      <c r="L112" s="27" t="n">
        <f aca="false">AVERAGE(F112,G112)</f>
        <v>-6.02311501089412</v>
      </c>
      <c r="M112" s="27" t="n">
        <f aca="false">MAX(0,NG-L112)</f>
        <v>5.32311501089412</v>
      </c>
      <c r="N112" s="27" t="n">
        <f aca="false">MAX(0,GWL-K112)</f>
        <v>4.55628317146906</v>
      </c>
      <c r="O112" s="27" t="n">
        <f aca="false">MAX(0,NG-MAX(K112,GWL))</f>
        <v>0.8</v>
      </c>
      <c r="P112" s="27" t="n">
        <f aca="false">E112/2+WS+SLOPE_A*O112+SLOPE_B*N112</f>
        <v>12.3331663740886</v>
      </c>
      <c r="Q112" s="28" t="str">
        <f aca="false">IF(AND(P112&lt;J112,N112&lt;=MAXOC),"Open cut","Shoring")</f>
        <v>Shoring</v>
      </c>
      <c r="R112" s="27" t="n">
        <f aca="false">IF(Q112="Shoring",D112,0)</f>
        <v>8.00000000042595</v>
      </c>
      <c r="S112" s="27" t="n">
        <f aca="false">MAX(0,GWL-L112)</f>
        <v>4.52311501089412</v>
      </c>
      <c r="T112" s="27" t="n">
        <f aca="false">MAX(0,NG-MAX(L112,GWL))</f>
        <v>0.8</v>
      </c>
      <c r="U112" s="27" t="n">
        <f aca="false">E112+2*WS</f>
        <v>4.04120006230099</v>
      </c>
      <c r="V112" s="27" t="n">
        <f aca="false">IF(Q112="Shoring",D112*M112*U112,0)</f>
        <v>172.094181718448</v>
      </c>
      <c r="W112" s="27" t="n">
        <f aca="false">IF(Q112="Open cut",D112*(U112*M112+SLOPE_B*S112^2+2*SLOPE_B*S112*T112+SLOPE_A*T112^2),0)</f>
        <v>0</v>
      </c>
      <c r="X112" s="27" t="n">
        <f aca="false">IF(M112&gt;0,D112*(E112+2*SLABOVH)*SLAB,0)</f>
        <v>12.1648002498517</v>
      </c>
      <c r="Y112" s="27" t="n">
        <f aca="false">IF(M112&gt;0,D112*PI()*E112^2/4,0)</f>
        <v>26.1788770968532</v>
      </c>
      <c r="Z112" s="27" t="n">
        <f aca="false">IF(H112-E112&gt;=GWL,99,E112*(MAX(0,GWL-H112)*(GAM_S-GAM_W)+MAX(0,NG-MAX(H112,GWL))*GAM_D)/(GAM_W*PI()*E112^2/4))</f>
        <v>1.93045945318936</v>
      </c>
      <c r="AA112" s="27" t="n">
        <f aca="false">IF(I112-E112&gt;=GWL,99,E112*(MAX(0,GWL-I112)*(GAM_S-GAM_W)+MAX(0,NG-MAX(I112,GWL))*GAM_D)/(GAM_W*PI()*E112^2/4))</f>
        <v>1.96500490070168</v>
      </c>
      <c r="AB112" s="27" t="n">
        <f aca="false">IF(H112-E112&gt;=GWL,99,E112*(MAX(0,GWL-H112)*(GAM_S-GAM_W)+MAX(0,FL-MAX(H112,GWL))*GAM_D)/(GAM_W*PI()*E112^2/4))</f>
        <v>3.87616431827613</v>
      </c>
      <c r="AC112" s="27" t="n">
        <f aca="false">IF(I112-E112&gt;=GWL,99,E112*(MAX(0,GWL-I112)*(GAM_S-GAM_W)+MAX(0,FL-MAX(I112,GWL))*GAM_D)/(GAM_W*PI()*E112^2/4))</f>
        <v>3.91070976578845</v>
      </c>
    </row>
    <row r="113" customFormat="false" ht="15" hidden="false" customHeight="false" outlineLevel="0" collapsed="false">
      <c r="A113" s="25" t="s">
        <v>543</v>
      </c>
      <c r="B113" s="25" t="s">
        <v>560</v>
      </c>
      <c r="C113" s="25" t="s">
        <v>562</v>
      </c>
      <c r="D113" s="26" t="n">
        <v>9.99999999977463</v>
      </c>
      <c r="E113" s="26" t="n">
        <v>2.04120006230099</v>
      </c>
      <c r="F113" s="26" t="n">
        <v>-6.05628317146906</v>
      </c>
      <c r="G113" s="26" t="n">
        <v>-6.1392035729064</v>
      </c>
      <c r="H113" s="26" t="n">
        <v>-3.51508310916807</v>
      </c>
      <c r="I113" s="26" t="n">
        <v>-3.59800351060541</v>
      </c>
      <c r="J113" s="26" t="n">
        <v>14.37</v>
      </c>
      <c r="K113" s="27" t="n">
        <f aca="false">MIN(F113,G113)</f>
        <v>-6.1392035729064</v>
      </c>
      <c r="L113" s="27" t="n">
        <f aca="false">AVERAGE(F113,G113)</f>
        <v>-6.09774337218773</v>
      </c>
      <c r="M113" s="27" t="n">
        <f aca="false">MAX(0,NG-L113)</f>
        <v>5.39774337218773</v>
      </c>
      <c r="N113" s="27" t="n">
        <f aca="false">MAX(0,GWL-K113)</f>
        <v>4.6392035729064</v>
      </c>
      <c r="O113" s="27" t="n">
        <f aca="false">MAX(0,NG-MAX(K113,GWL))</f>
        <v>0.8</v>
      </c>
      <c r="P113" s="27" t="n">
        <f aca="false">E113/2+WS+SLOPE_A*O113+SLOPE_B*N113</f>
        <v>12.4990071769633</v>
      </c>
      <c r="Q113" s="28" t="str">
        <f aca="false">IF(AND(P113&lt;J113,N113&lt;=MAXOC),"Open cut","Shoring")</f>
        <v>Shoring</v>
      </c>
      <c r="R113" s="27" t="n">
        <f aca="false">IF(Q113="Shoring",D113,0)</f>
        <v>9.99999999977463</v>
      </c>
      <c r="S113" s="27" t="n">
        <f aca="false">MAX(0,GWL-L113)</f>
        <v>4.59774337218773</v>
      </c>
      <c r="T113" s="27" t="n">
        <f aca="false">MAX(0,NG-MAX(L113,GWL))</f>
        <v>0.8</v>
      </c>
      <c r="U113" s="27" t="n">
        <f aca="false">E113+2*WS</f>
        <v>4.04120006230099</v>
      </c>
      <c r="V113" s="27" t="n">
        <f aca="false">IF(Q113="Shoring",D113*M113*U113,0)</f>
        <v>218.133608514782</v>
      </c>
      <c r="W113" s="27" t="n">
        <f aca="false">IF(Q113="Open cut",D113*(U113*M113+SLOPE_B*S113^2+2*SLOPE_B*S113*T113+SLOPE_A*T113^2),0)</f>
        <v>0</v>
      </c>
      <c r="X113" s="27" t="n">
        <f aca="false">IF(M113&gt;0,D113*(E113+2*SLABOVH)*SLAB,0)</f>
        <v>15.2060003111622</v>
      </c>
      <c r="Y113" s="27" t="n">
        <f aca="false">IF(M113&gt;0,D113*PI()*E113^2/4,0)</f>
        <v>32.7235963685867</v>
      </c>
      <c r="Z113" s="27" t="n">
        <f aca="false">IF(H113-E113&gt;=GWL,99,E113*(MAX(0,GWL-H113)*(GAM_S-GAM_W)+MAX(0,NG-MAX(H113,GWL))*GAM_D)/(GAM_W*PI()*E113^2/4))</f>
        <v>1.96500490070168</v>
      </c>
      <c r="AA113" s="27" t="n">
        <f aca="false">IF(I113-E113&gt;=GWL,99,E113*(MAX(0,GWL-I113)*(GAM_S-GAM_W)+MAX(0,NG-MAX(I113,GWL))*GAM_D)/(GAM_W*PI()*E113^2/4))</f>
        <v>2.00818671009207</v>
      </c>
      <c r="AB113" s="27" t="n">
        <f aca="false">IF(H113-E113&gt;=GWL,99,E113*(MAX(0,GWL-H113)*(GAM_S-GAM_W)+MAX(0,FL-MAX(H113,GWL))*GAM_D)/(GAM_W*PI()*E113^2/4))</f>
        <v>3.91070976578845</v>
      </c>
      <c r="AC113" s="27" t="n">
        <f aca="false">IF(I113-E113&gt;=GWL,99,E113*(MAX(0,GWL-I113)*(GAM_S-GAM_W)+MAX(0,FL-MAX(I113,GWL))*GAM_D)/(GAM_W*PI()*E113^2/4))</f>
        <v>3.95389157517884</v>
      </c>
    </row>
    <row r="114" customFormat="false" ht="15" hidden="false" customHeight="false" outlineLevel="0" collapsed="false">
      <c r="A114" s="25" t="s">
        <v>543</v>
      </c>
      <c r="B114" s="25" t="s">
        <v>560</v>
      </c>
      <c r="C114" s="25" t="s">
        <v>563</v>
      </c>
      <c r="D114" s="26" t="n">
        <v>9.99999999991252</v>
      </c>
      <c r="E114" s="26" t="n">
        <v>2.04120006230099</v>
      </c>
      <c r="F114" s="26" t="n">
        <v>-6.1392035729064</v>
      </c>
      <c r="G114" s="26" t="n">
        <v>-6.22212397434373</v>
      </c>
      <c r="H114" s="26" t="n">
        <v>-3.59800351060541</v>
      </c>
      <c r="I114" s="26" t="n">
        <v>-3.68092391204275</v>
      </c>
      <c r="J114" s="26" t="n">
        <v>14.29</v>
      </c>
      <c r="K114" s="27" t="n">
        <f aca="false">MIN(F114,G114)</f>
        <v>-6.22212397434373</v>
      </c>
      <c r="L114" s="27" t="n">
        <f aca="false">AVERAGE(F114,G114)</f>
        <v>-6.18066377362506</v>
      </c>
      <c r="M114" s="27" t="n">
        <f aca="false">MAX(0,NG-L114)</f>
        <v>5.48066377362506</v>
      </c>
      <c r="N114" s="27" t="n">
        <f aca="false">MAX(0,GWL-K114)</f>
        <v>4.72212397434373</v>
      </c>
      <c r="O114" s="27" t="n">
        <f aca="false">MAX(0,NG-MAX(K114,GWL))</f>
        <v>0.8</v>
      </c>
      <c r="P114" s="27" t="n">
        <f aca="false">E114/2+WS+SLOPE_A*O114+SLOPE_B*N114</f>
        <v>12.664847979838</v>
      </c>
      <c r="Q114" s="28" t="str">
        <f aca="false">IF(AND(P114&lt;J114,N114&lt;=MAXOC),"Open cut","Shoring")</f>
        <v>Shoring</v>
      </c>
      <c r="R114" s="27" t="n">
        <f aca="false">IF(Q114="Shoring",D114,0)</f>
        <v>9.99999999991252</v>
      </c>
      <c r="S114" s="27" t="n">
        <f aca="false">MAX(0,GWL-L114)</f>
        <v>4.68066377362506</v>
      </c>
      <c r="T114" s="27" t="n">
        <f aca="false">MAX(0,NG-MAX(L114,GWL))</f>
        <v>0.8</v>
      </c>
      <c r="U114" s="27" t="n">
        <f aca="false">E114+2*WS</f>
        <v>4.04120006230099</v>
      </c>
      <c r="V114" s="27" t="n">
        <f aca="false">IF(Q114="Shoring",D114*M114*U114,0)</f>
        <v>221.484587832306</v>
      </c>
      <c r="W114" s="27" t="n">
        <f aca="false">IF(Q114="Open cut",D114*(U114*M114+SLOPE_B*S114^2+2*SLOPE_B*S114*T114+SLOPE_A*T114^2),0)</f>
        <v>0</v>
      </c>
      <c r="X114" s="27" t="n">
        <f aca="false">IF(M114&gt;0,D114*(E114+2*SLABOVH)*SLAB,0)</f>
        <v>15.2060003113719</v>
      </c>
      <c r="Y114" s="27" t="n">
        <f aca="false">IF(M114&gt;0,D114*PI()*E114^2/4,0)</f>
        <v>32.7235963690379</v>
      </c>
      <c r="Z114" s="27" t="n">
        <f aca="false">IF(H114-E114&gt;=GWL,99,E114*(MAX(0,GWL-H114)*(GAM_S-GAM_W)+MAX(0,NG-MAX(H114,GWL))*GAM_D)/(GAM_W*PI()*E114^2/4))</f>
        <v>2.00818671009207</v>
      </c>
      <c r="AA114" s="27" t="n">
        <f aca="false">IF(I114-E114&gt;=GWL,99,E114*(MAX(0,GWL-I114)*(GAM_S-GAM_W)+MAX(0,NG-MAX(I114,GWL))*GAM_D)/(GAM_W*PI()*E114^2/4))</f>
        <v>2.05136851948246</v>
      </c>
      <c r="AB114" s="27" t="n">
        <f aca="false">IF(H114-E114&gt;=GWL,99,E114*(MAX(0,GWL-H114)*(GAM_S-GAM_W)+MAX(0,FL-MAX(H114,GWL))*GAM_D)/(GAM_W*PI()*E114^2/4))</f>
        <v>3.95389157517884</v>
      </c>
      <c r="AC114" s="27" t="n">
        <f aca="false">IF(I114-E114&gt;=GWL,99,E114*(MAX(0,GWL-I114)*(GAM_S-GAM_W)+MAX(0,FL-MAX(I114,GWL))*GAM_D)/(GAM_W*PI()*E114^2/4))</f>
        <v>3.99707338456923</v>
      </c>
    </row>
    <row r="115" customFormat="false" ht="15" hidden="false" customHeight="false" outlineLevel="0" collapsed="false">
      <c r="A115" s="25" t="s">
        <v>543</v>
      </c>
      <c r="B115" s="25" t="s">
        <v>560</v>
      </c>
      <c r="C115" s="25" t="s">
        <v>564</v>
      </c>
      <c r="D115" s="26" t="n">
        <v>10.0000000004885</v>
      </c>
      <c r="E115" s="26" t="n">
        <v>2.04120006230099</v>
      </c>
      <c r="F115" s="26" t="n">
        <v>-6.22212397434373</v>
      </c>
      <c r="G115" s="26" t="n">
        <v>-6.30504437578107</v>
      </c>
      <c r="H115" s="26" t="n">
        <v>-3.68092391204275</v>
      </c>
      <c r="I115" s="26" t="n">
        <v>-3.76384431348008</v>
      </c>
      <c r="J115" s="26" t="n">
        <v>14.22</v>
      </c>
      <c r="K115" s="27" t="n">
        <f aca="false">MIN(F115,G115)</f>
        <v>-6.30504437578107</v>
      </c>
      <c r="L115" s="27" t="n">
        <f aca="false">AVERAGE(F115,G115)</f>
        <v>-6.2635841750624</v>
      </c>
      <c r="M115" s="27" t="n">
        <f aca="false">MAX(0,NG-L115)</f>
        <v>5.5635841750624</v>
      </c>
      <c r="N115" s="27" t="n">
        <f aca="false">MAX(0,GWL-K115)</f>
        <v>4.80504437578107</v>
      </c>
      <c r="O115" s="27" t="n">
        <f aca="false">MAX(0,NG-MAX(K115,GWL))</f>
        <v>0.8</v>
      </c>
      <c r="P115" s="27" t="n">
        <f aca="false">E115/2+WS+SLOPE_A*O115+SLOPE_B*N115</f>
        <v>12.8306887827126</v>
      </c>
      <c r="Q115" s="28" t="str">
        <f aca="false">IF(AND(P115&lt;J115,N115&lt;=MAXOC),"Open cut","Shoring")</f>
        <v>Shoring</v>
      </c>
      <c r="R115" s="27" t="n">
        <f aca="false">IF(Q115="Shoring",D115,0)</f>
        <v>10.0000000004885</v>
      </c>
      <c r="S115" s="27" t="n">
        <f aca="false">MAX(0,GWL-L115)</f>
        <v>4.7635841750624</v>
      </c>
      <c r="T115" s="27" t="n">
        <f aca="false">MAX(0,NG-MAX(L115,GWL))</f>
        <v>0.8</v>
      </c>
      <c r="U115" s="27" t="n">
        <f aca="false">E115+2*WS</f>
        <v>4.04120006230099</v>
      </c>
      <c r="V115" s="27" t="n">
        <f aca="false">IF(Q115="Shoring",D115*M115*U115,0)</f>
        <v>224.835567159773</v>
      </c>
      <c r="W115" s="27" t="n">
        <f aca="false">IF(Q115="Open cut",D115*(U115*M115+SLOPE_B*S115^2+2*SLOPE_B*S115*T115+SLOPE_A*T115^2),0)</f>
        <v>0</v>
      </c>
      <c r="X115" s="27" t="n">
        <f aca="false">IF(M115&gt;0,D115*(E115+2*SLABOVH)*SLAB,0)</f>
        <v>15.2060003122478</v>
      </c>
      <c r="Y115" s="27" t="n">
        <f aca="false">IF(M115&gt;0,D115*PI()*E115^2/4,0)</f>
        <v>32.7235963709228</v>
      </c>
      <c r="Z115" s="27" t="n">
        <f aca="false">IF(H115-E115&gt;=GWL,99,E115*(MAX(0,GWL-H115)*(GAM_S-GAM_W)+MAX(0,NG-MAX(H115,GWL))*GAM_D)/(GAM_W*PI()*E115^2/4))</f>
        <v>2.05136851948246</v>
      </c>
      <c r="AA115" s="27" t="n">
        <f aca="false">IF(I115-E115&gt;=GWL,99,E115*(MAX(0,GWL-I115)*(GAM_S-GAM_W)+MAX(0,NG-MAX(I115,GWL))*GAM_D)/(GAM_W*PI()*E115^2/4))</f>
        <v>2.09455032887285</v>
      </c>
      <c r="AB115" s="27" t="n">
        <f aca="false">IF(H115-E115&gt;=GWL,99,E115*(MAX(0,GWL-H115)*(GAM_S-GAM_W)+MAX(0,FL-MAX(H115,GWL))*GAM_D)/(GAM_W*PI()*E115^2/4))</f>
        <v>3.99707338456923</v>
      </c>
      <c r="AC115" s="27" t="n">
        <f aca="false">IF(I115-E115&gt;=GWL,99,E115*(MAX(0,GWL-I115)*(GAM_S-GAM_W)+MAX(0,FL-MAX(I115,GWL))*GAM_D)/(GAM_W*PI()*E115^2/4))</f>
        <v>4.04025519395963</v>
      </c>
    </row>
    <row r="116" customFormat="false" ht="15" hidden="false" customHeight="false" outlineLevel="0" collapsed="false">
      <c r="A116" s="25" t="s">
        <v>543</v>
      </c>
      <c r="B116" s="25" t="s">
        <v>560</v>
      </c>
      <c r="C116" s="25" t="s">
        <v>565</v>
      </c>
      <c r="D116" s="26" t="n">
        <v>9.99999999967456</v>
      </c>
      <c r="E116" s="26" t="n">
        <v>2.04120006230099</v>
      </c>
      <c r="F116" s="26" t="n">
        <v>-6.30504437578107</v>
      </c>
      <c r="G116" s="26" t="n">
        <v>-6.38796477721841</v>
      </c>
      <c r="H116" s="26" t="n">
        <v>-3.76384431348008</v>
      </c>
      <c r="I116" s="26" t="n">
        <v>-3.84676471491742</v>
      </c>
      <c r="J116" s="26" t="n">
        <v>14.14</v>
      </c>
      <c r="K116" s="27" t="n">
        <f aca="false">MIN(F116,G116)</f>
        <v>-6.38796477721841</v>
      </c>
      <c r="L116" s="27" t="n">
        <f aca="false">AVERAGE(F116,G116)</f>
        <v>-6.34650457649974</v>
      </c>
      <c r="M116" s="27" t="n">
        <f aca="false">MAX(0,NG-L116)</f>
        <v>5.64650457649974</v>
      </c>
      <c r="N116" s="27" t="n">
        <f aca="false">MAX(0,GWL-K116)</f>
        <v>4.88796477721841</v>
      </c>
      <c r="O116" s="27" t="n">
        <f aca="false">MAX(0,NG-MAX(K116,GWL))</f>
        <v>0.8</v>
      </c>
      <c r="P116" s="27" t="n">
        <f aca="false">E116/2+WS+SLOPE_A*O116+SLOPE_B*N116</f>
        <v>12.9965295855873</v>
      </c>
      <c r="Q116" s="28" t="str">
        <f aca="false">IF(AND(P116&lt;J116,N116&lt;=MAXOC),"Open cut","Shoring")</f>
        <v>Shoring</v>
      </c>
      <c r="R116" s="27" t="n">
        <f aca="false">IF(Q116="Shoring",D116,0)</f>
        <v>9.99999999967456</v>
      </c>
      <c r="S116" s="27" t="n">
        <f aca="false">MAX(0,GWL-L116)</f>
        <v>4.84650457649974</v>
      </c>
      <c r="T116" s="27" t="n">
        <f aca="false">MAX(0,NG-MAX(L116,GWL))</f>
        <v>0.8</v>
      </c>
      <c r="U116" s="27" t="n">
        <f aca="false">E116+2*WS</f>
        <v>4.04120006230099</v>
      </c>
      <c r="V116" s="27" t="n">
        <f aca="false">IF(Q116="Shoring",D116*M116*U116,0)</f>
        <v>228.186546455909</v>
      </c>
      <c r="W116" s="27" t="n">
        <f aca="false">IF(Q116="Open cut",D116*(U116*M116+SLOPE_B*S116^2+2*SLOPE_B*S116*T116+SLOPE_A*T116^2),0)</f>
        <v>0</v>
      </c>
      <c r="X116" s="27" t="n">
        <f aca="false">IF(M116&gt;0,D116*(E116+2*SLABOVH)*SLAB,0)</f>
        <v>15.2060003110101</v>
      </c>
      <c r="Y116" s="27" t="n">
        <f aca="false">IF(M116&gt;0,D116*PI()*E116^2/4,0)</f>
        <v>32.7235963682592</v>
      </c>
      <c r="Z116" s="27" t="n">
        <f aca="false">IF(H116-E116&gt;=GWL,99,E116*(MAX(0,GWL-H116)*(GAM_S-GAM_W)+MAX(0,NG-MAX(H116,GWL))*GAM_D)/(GAM_W*PI()*E116^2/4))</f>
        <v>2.09455032887285</v>
      </c>
      <c r="AA116" s="27" t="n">
        <f aca="false">IF(I116-E116&gt;=GWL,99,E116*(MAX(0,GWL-I116)*(GAM_S-GAM_W)+MAX(0,NG-MAX(I116,GWL))*GAM_D)/(GAM_W*PI()*E116^2/4))</f>
        <v>2.13773213826325</v>
      </c>
      <c r="AB116" s="27" t="n">
        <f aca="false">IF(H116-E116&gt;=GWL,99,E116*(MAX(0,GWL-H116)*(GAM_S-GAM_W)+MAX(0,FL-MAX(H116,GWL))*GAM_D)/(GAM_W*PI()*E116^2/4))</f>
        <v>4.04025519395963</v>
      </c>
      <c r="AC116" s="27" t="n">
        <f aca="false">IF(I116-E116&gt;=GWL,99,E116*(MAX(0,GWL-I116)*(GAM_S-GAM_W)+MAX(0,FL-MAX(I116,GWL))*GAM_D)/(GAM_W*PI()*E116^2/4))</f>
        <v>4.08343700335002</v>
      </c>
    </row>
    <row r="117" customFormat="false" ht="15" hidden="false" customHeight="false" outlineLevel="0" collapsed="false">
      <c r="A117" s="25" t="s">
        <v>543</v>
      </c>
      <c r="B117" s="25" t="s">
        <v>560</v>
      </c>
      <c r="C117" s="25" t="s">
        <v>566</v>
      </c>
      <c r="D117" s="26" t="n">
        <v>9.99999999991252</v>
      </c>
      <c r="E117" s="26" t="n">
        <v>2.04120006230099</v>
      </c>
      <c r="F117" s="26" t="n">
        <v>-6.38796477721841</v>
      </c>
      <c r="G117" s="26" t="n">
        <v>-6.47088517865575</v>
      </c>
      <c r="H117" s="26" t="n">
        <v>-3.84676471491742</v>
      </c>
      <c r="I117" s="26" t="n">
        <v>-3.92968511635476</v>
      </c>
      <c r="J117" s="26" t="n">
        <v>14.06</v>
      </c>
      <c r="K117" s="27" t="n">
        <f aca="false">MIN(F117,G117)</f>
        <v>-6.47088517865575</v>
      </c>
      <c r="L117" s="27" t="n">
        <f aca="false">AVERAGE(F117,G117)</f>
        <v>-6.42942497793708</v>
      </c>
      <c r="M117" s="27" t="n">
        <f aca="false">MAX(0,NG-L117)</f>
        <v>5.72942497793708</v>
      </c>
      <c r="N117" s="27" t="n">
        <f aca="false">MAX(0,GWL-K117)</f>
        <v>4.97088517865575</v>
      </c>
      <c r="O117" s="27" t="n">
        <f aca="false">MAX(0,NG-MAX(K117,GWL))</f>
        <v>0.8</v>
      </c>
      <c r="P117" s="27" t="n">
        <f aca="false">E117/2+WS+SLOPE_A*O117+SLOPE_B*N117</f>
        <v>13.162370388462</v>
      </c>
      <c r="Q117" s="28" t="str">
        <f aca="false">IF(AND(P117&lt;J117,N117&lt;=MAXOC),"Open cut","Shoring")</f>
        <v>Shoring</v>
      </c>
      <c r="R117" s="27" t="n">
        <f aca="false">IF(Q117="Shoring",D117,0)</f>
        <v>9.99999999991252</v>
      </c>
      <c r="S117" s="27" t="n">
        <f aca="false">MAX(0,GWL-L117)</f>
        <v>4.92942497793708</v>
      </c>
      <c r="T117" s="27" t="n">
        <f aca="false">MAX(0,NG-MAX(L117,GWL))</f>
        <v>0.8</v>
      </c>
      <c r="U117" s="27" t="n">
        <f aca="false">E117+2*WS</f>
        <v>4.04120006230099</v>
      </c>
      <c r="V117" s="27" t="n">
        <f aca="false">IF(Q117="Shoring",D117*M117*U117,0)</f>
        <v>231.537525775856</v>
      </c>
      <c r="W117" s="27" t="n">
        <f aca="false">IF(Q117="Open cut",D117*(U117*M117+SLOPE_B*S117^2+2*SLOPE_B*S117*T117+SLOPE_A*T117^2),0)</f>
        <v>0</v>
      </c>
      <c r="X117" s="27" t="n">
        <f aca="false">IF(M117&gt;0,D117*(E117+2*SLABOVH)*SLAB,0)</f>
        <v>15.2060003113719</v>
      </c>
      <c r="Y117" s="27" t="n">
        <f aca="false">IF(M117&gt;0,D117*PI()*E117^2/4,0)</f>
        <v>32.7235963690379</v>
      </c>
      <c r="Z117" s="27" t="n">
        <f aca="false">IF(H117-E117&gt;=GWL,99,E117*(MAX(0,GWL-H117)*(GAM_S-GAM_W)+MAX(0,NG-MAX(H117,GWL))*GAM_D)/(GAM_W*PI()*E117^2/4))</f>
        <v>2.13773213826325</v>
      </c>
      <c r="AA117" s="27" t="n">
        <f aca="false">IF(I117-E117&gt;=GWL,99,E117*(MAX(0,GWL-I117)*(GAM_S-GAM_W)+MAX(0,NG-MAX(I117,GWL))*GAM_D)/(GAM_W*PI()*E117^2/4))</f>
        <v>2.18091394765364</v>
      </c>
      <c r="AB117" s="27" t="n">
        <f aca="false">IF(H117-E117&gt;=GWL,99,E117*(MAX(0,GWL-H117)*(GAM_S-GAM_W)+MAX(0,FL-MAX(H117,GWL))*GAM_D)/(GAM_W*PI()*E117^2/4))</f>
        <v>4.08343700335002</v>
      </c>
      <c r="AC117" s="27" t="n">
        <f aca="false">IF(I117-E117&gt;=GWL,99,E117*(MAX(0,GWL-I117)*(GAM_S-GAM_W)+MAX(0,FL-MAX(I117,GWL))*GAM_D)/(GAM_W*PI()*E117^2/4))</f>
        <v>4.12661881274041</v>
      </c>
    </row>
    <row r="118" customFormat="false" ht="15" hidden="false" customHeight="false" outlineLevel="0" collapsed="false">
      <c r="A118" s="25" t="s">
        <v>543</v>
      </c>
      <c r="B118" s="25" t="s">
        <v>560</v>
      </c>
      <c r="C118" s="25" t="s">
        <v>567</v>
      </c>
      <c r="D118" s="26" t="n">
        <v>10.0000000000126</v>
      </c>
      <c r="E118" s="26" t="n">
        <v>2.04120006230099</v>
      </c>
      <c r="F118" s="26" t="n">
        <v>-6.47088517865575</v>
      </c>
      <c r="G118" s="26" t="n">
        <v>-6.55380558009309</v>
      </c>
      <c r="H118" s="26" t="n">
        <v>-3.92968511635476</v>
      </c>
      <c r="I118" s="26" t="n">
        <v>-4.0126055177921</v>
      </c>
      <c r="J118" s="26" t="n">
        <v>13.99</v>
      </c>
      <c r="K118" s="27" t="n">
        <f aca="false">MIN(F118,G118)</f>
        <v>-6.55380558009309</v>
      </c>
      <c r="L118" s="27" t="n">
        <f aca="false">AVERAGE(F118,G118)</f>
        <v>-6.51234537937442</v>
      </c>
      <c r="M118" s="27" t="n">
        <f aca="false">MAX(0,NG-L118)</f>
        <v>5.81234537937442</v>
      </c>
      <c r="N118" s="27" t="n">
        <f aca="false">MAX(0,GWL-K118)</f>
        <v>5.05380558009309</v>
      </c>
      <c r="O118" s="27" t="n">
        <f aca="false">MAX(0,NG-MAX(K118,GWL))</f>
        <v>0.8</v>
      </c>
      <c r="P118" s="27" t="n">
        <f aca="false">E118/2+WS+SLOPE_A*O118+SLOPE_B*N118</f>
        <v>13.3282111913367</v>
      </c>
      <c r="Q118" s="28" t="str">
        <f aca="false">IF(AND(P118&lt;J118,N118&lt;=MAXOC),"Open cut","Shoring")</f>
        <v>Shoring</v>
      </c>
      <c r="R118" s="27" t="n">
        <f aca="false">IF(Q118="Shoring",D118,0)</f>
        <v>10.0000000000126</v>
      </c>
      <c r="S118" s="27" t="n">
        <f aca="false">MAX(0,GWL-L118)</f>
        <v>5.01234537937442</v>
      </c>
      <c r="T118" s="27" t="n">
        <f aca="false">MAX(0,NG-MAX(L118,GWL))</f>
        <v>0.8</v>
      </c>
      <c r="U118" s="27" t="n">
        <f aca="false">E118+2*WS</f>
        <v>4.04120006230099</v>
      </c>
      <c r="V118" s="27" t="n">
        <f aca="false">IF(Q118="Shoring",D118*M118*U118,0)</f>
        <v>234.888505092723</v>
      </c>
      <c r="W118" s="27" t="n">
        <f aca="false">IF(Q118="Open cut",D118*(U118*M118+SLOPE_B*S118^2+2*SLOPE_B*S118*T118+SLOPE_A*T118^2),0)</f>
        <v>0</v>
      </c>
      <c r="X118" s="27" t="n">
        <f aca="false">IF(M118&gt;0,D118*(E118+2*SLABOVH)*SLAB,0)</f>
        <v>15.2060003115241</v>
      </c>
      <c r="Y118" s="27" t="n">
        <f aca="false">IF(M118&gt;0,D118*PI()*E118^2/4,0)</f>
        <v>32.7235963693654</v>
      </c>
      <c r="Z118" s="27" t="n">
        <f aca="false">IF(H118-E118&gt;=GWL,99,E118*(MAX(0,GWL-H118)*(GAM_S-GAM_W)+MAX(0,NG-MAX(H118,GWL))*GAM_D)/(GAM_W*PI()*E118^2/4))</f>
        <v>2.18091394765364</v>
      </c>
      <c r="AA118" s="27" t="n">
        <f aca="false">IF(I118-E118&gt;=GWL,99,E118*(MAX(0,GWL-I118)*(GAM_S-GAM_W)+MAX(0,NG-MAX(I118,GWL))*GAM_D)/(GAM_W*PI()*E118^2/4))</f>
        <v>2.22409575704403</v>
      </c>
      <c r="AB118" s="27" t="n">
        <f aca="false">IF(H118-E118&gt;=GWL,99,E118*(MAX(0,GWL-H118)*(GAM_S-GAM_W)+MAX(0,FL-MAX(H118,GWL))*GAM_D)/(GAM_W*PI()*E118^2/4))</f>
        <v>4.12661881274041</v>
      </c>
      <c r="AC118" s="27" t="n">
        <f aca="false">IF(I118-E118&gt;=GWL,99,E118*(MAX(0,GWL-I118)*(GAM_S-GAM_W)+MAX(0,FL-MAX(I118,GWL))*GAM_D)/(GAM_W*PI()*E118^2/4))</f>
        <v>4.1698006221308</v>
      </c>
    </row>
    <row r="119" customFormat="false" ht="15" hidden="false" customHeight="false" outlineLevel="0" collapsed="false">
      <c r="A119" s="25" t="s">
        <v>543</v>
      </c>
      <c r="B119" s="25" t="s">
        <v>560</v>
      </c>
      <c r="C119" s="25" t="s">
        <v>568</v>
      </c>
      <c r="D119" s="26" t="n">
        <v>9.99999999967456</v>
      </c>
      <c r="E119" s="26" t="n">
        <v>2.04120006230099</v>
      </c>
      <c r="F119" s="26" t="n">
        <v>-6.55380558009309</v>
      </c>
      <c r="G119" s="26" t="n">
        <v>-6.63672598153042</v>
      </c>
      <c r="H119" s="26" t="n">
        <v>-4.0126055177921</v>
      </c>
      <c r="I119" s="26" t="n">
        <v>-4.09552591922944</v>
      </c>
      <c r="J119" s="26" t="n">
        <v>13.96</v>
      </c>
      <c r="K119" s="27" t="n">
        <f aca="false">MIN(F119,G119)</f>
        <v>-6.63672598153042</v>
      </c>
      <c r="L119" s="27" t="n">
        <f aca="false">AVERAGE(F119,G119)</f>
        <v>-6.59526578081175</v>
      </c>
      <c r="M119" s="27" t="n">
        <f aca="false">MAX(0,NG-L119)</f>
        <v>5.89526578081175</v>
      </c>
      <c r="N119" s="27" t="n">
        <f aca="false">MAX(0,GWL-K119)</f>
        <v>5.13672598153042</v>
      </c>
      <c r="O119" s="27" t="n">
        <f aca="false">MAX(0,NG-MAX(K119,GWL))</f>
        <v>0.8</v>
      </c>
      <c r="P119" s="27" t="n">
        <f aca="false">E119/2+WS+SLOPE_A*O119+SLOPE_B*N119</f>
        <v>13.4940519942113</v>
      </c>
      <c r="Q119" s="28" t="str">
        <f aca="false">IF(AND(P119&lt;J119,N119&lt;=MAXOC),"Open cut","Shoring")</f>
        <v>Shoring</v>
      </c>
      <c r="R119" s="27" t="n">
        <f aca="false">IF(Q119="Shoring",D119,0)</f>
        <v>9.99999999967456</v>
      </c>
      <c r="S119" s="27" t="n">
        <f aca="false">MAX(0,GWL-L119)</f>
        <v>5.09526578081175</v>
      </c>
      <c r="T119" s="27" t="n">
        <f aca="false">MAX(0,NG-MAX(L119,GWL))</f>
        <v>0.8</v>
      </c>
      <c r="U119" s="27" t="n">
        <f aca="false">E119+2*WS</f>
        <v>4.04120006230099</v>
      </c>
      <c r="V119" s="27" t="n">
        <f aca="false">IF(Q119="Shoring",D119*M119*U119,0)</f>
        <v>238.23948439922</v>
      </c>
      <c r="W119" s="27" t="n">
        <f aca="false">IF(Q119="Open cut",D119*(U119*M119+SLOPE_B*S119^2+2*SLOPE_B*S119*T119+SLOPE_A*T119^2),0)</f>
        <v>0</v>
      </c>
      <c r="X119" s="27" t="n">
        <f aca="false">IF(M119&gt;0,D119*(E119+2*SLABOVH)*SLAB,0)</f>
        <v>15.2060003110101</v>
      </c>
      <c r="Y119" s="27" t="n">
        <f aca="false">IF(M119&gt;0,D119*PI()*E119^2/4,0)</f>
        <v>32.7235963682592</v>
      </c>
      <c r="Z119" s="27" t="n">
        <f aca="false">IF(H119-E119&gt;=GWL,99,E119*(MAX(0,GWL-H119)*(GAM_S-GAM_W)+MAX(0,NG-MAX(H119,GWL))*GAM_D)/(GAM_W*PI()*E119^2/4))</f>
        <v>2.22409575704403</v>
      </c>
      <c r="AA119" s="27" t="n">
        <f aca="false">IF(I119-E119&gt;=GWL,99,E119*(MAX(0,GWL-I119)*(GAM_S-GAM_W)+MAX(0,NG-MAX(I119,GWL))*GAM_D)/(GAM_W*PI()*E119^2/4))</f>
        <v>2.26727756643442</v>
      </c>
      <c r="AB119" s="27" t="n">
        <f aca="false">IF(H119-E119&gt;=GWL,99,E119*(MAX(0,GWL-H119)*(GAM_S-GAM_W)+MAX(0,FL-MAX(H119,GWL))*GAM_D)/(GAM_W*PI()*E119^2/4))</f>
        <v>4.1698006221308</v>
      </c>
      <c r="AC119" s="27" t="n">
        <f aca="false">IF(I119-E119&gt;=GWL,99,E119*(MAX(0,GWL-I119)*(GAM_S-GAM_W)+MAX(0,FL-MAX(I119,GWL))*GAM_D)/(GAM_W*PI()*E119^2/4))</f>
        <v>4.2129824315212</v>
      </c>
    </row>
    <row r="120" customFormat="false" ht="15" hidden="false" customHeight="false" outlineLevel="0" collapsed="false">
      <c r="A120" s="25" t="s">
        <v>543</v>
      </c>
      <c r="B120" s="25" t="s">
        <v>560</v>
      </c>
      <c r="C120" s="25" t="s">
        <v>569</v>
      </c>
      <c r="D120" s="26" t="n">
        <v>8.10000000062378</v>
      </c>
      <c r="E120" s="26" t="n">
        <v>2.04120006230099</v>
      </c>
      <c r="F120" s="26" t="n">
        <v>-6.63672598153042</v>
      </c>
      <c r="G120" s="26" t="n">
        <v>-6.70389150669467</v>
      </c>
      <c r="H120" s="26" t="n">
        <v>-4.09552591922944</v>
      </c>
      <c r="I120" s="26" t="n">
        <v>-4.16269144439368</v>
      </c>
      <c r="J120" s="26" t="n">
        <v>14.52</v>
      </c>
      <c r="K120" s="27" t="n">
        <f aca="false">MIN(F120,G120)</f>
        <v>-6.70389150669467</v>
      </c>
      <c r="L120" s="27" t="n">
        <f aca="false">AVERAGE(F120,G120)</f>
        <v>-6.67030874411254</v>
      </c>
      <c r="M120" s="27" t="n">
        <f aca="false">MAX(0,NG-L120)</f>
        <v>5.97030874411254</v>
      </c>
      <c r="N120" s="27" t="n">
        <f aca="false">MAX(0,GWL-K120)</f>
        <v>5.20389150669467</v>
      </c>
      <c r="O120" s="27" t="n">
        <f aca="false">MAX(0,NG-MAX(K120,GWL))</f>
        <v>0.8</v>
      </c>
      <c r="P120" s="27" t="n">
        <f aca="false">E120/2+WS+SLOPE_A*O120+SLOPE_B*N120</f>
        <v>13.6283830445398</v>
      </c>
      <c r="Q120" s="28" t="str">
        <f aca="false">IF(AND(P120&lt;J120,N120&lt;=MAXOC),"Open cut","Shoring")</f>
        <v>Shoring</v>
      </c>
      <c r="R120" s="27" t="n">
        <f aca="false">IF(Q120="Shoring",D120,0)</f>
        <v>8.10000000062378</v>
      </c>
      <c r="S120" s="27" t="n">
        <f aca="false">MAX(0,GWL-L120)</f>
        <v>5.17030874411254</v>
      </c>
      <c r="T120" s="27" t="n">
        <f aca="false">MAX(0,NG-MAX(L120,GWL))</f>
        <v>0.8</v>
      </c>
      <c r="U120" s="27" t="n">
        <f aca="false">E120+2*WS</f>
        <v>4.04120006230099</v>
      </c>
      <c r="V120" s="27" t="n">
        <f aca="false">IF(Q120="Shoring",D120*M120*U120,0)</f>
        <v>195.430417771226</v>
      </c>
      <c r="W120" s="27" t="n">
        <f aca="false">IF(Q120="Open cut",D120*(U120*M120+SLOPE_B*S120^2+2*SLOPE_B*S120*T120+SLOPE_A*T120^2),0)</f>
        <v>0</v>
      </c>
      <c r="X120" s="27" t="n">
        <f aca="false">IF(M120&gt;0,D120*(E120+2*SLABOVH)*SLAB,0)</f>
        <v>12.3168602532675</v>
      </c>
      <c r="Y120" s="27" t="n">
        <f aca="false">IF(M120&gt;0,D120*PI()*E120^2/4,0)</f>
        <v>26.5061130611938</v>
      </c>
      <c r="Z120" s="27" t="n">
        <f aca="false">IF(H120-E120&gt;=GWL,99,E120*(MAX(0,GWL-H120)*(GAM_S-GAM_W)+MAX(0,NG-MAX(H120,GWL))*GAM_D)/(GAM_W*PI()*E120^2/4))</f>
        <v>2.26727756643442</v>
      </c>
      <c r="AA120" s="27" t="n">
        <f aca="false">IF(I120-E120&gt;=GWL,99,E120*(MAX(0,GWL-I120)*(GAM_S-GAM_W)+MAX(0,NG-MAX(I120,GWL))*GAM_D)/(GAM_W*PI()*E120^2/4))</f>
        <v>2.30225483204064</v>
      </c>
      <c r="AB120" s="27" t="n">
        <f aca="false">IF(H120-E120&gt;=GWL,99,E120*(MAX(0,GWL-H120)*(GAM_S-GAM_W)+MAX(0,FL-MAX(H120,GWL))*GAM_D)/(GAM_W*PI()*E120^2/4))</f>
        <v>4.2129824315212</v>
      </c>
      <c r="AC120" s="27" t="n">
        <f aca="false">IF(I120-E120&gt;=GWL,99,E120*(MAX(0,GWL-I120)*(GAM_S-GAM_W)+MAX(0,FL-MAX(I120,GWL))*GAM_D)/(GAM_W*PI()*E120^2/4))</f>
        <v>4.24795969712741</v>
      </c>
    </row>
    <row r="121" customFormat="false" ht="15" hidden="false" customHeight="false" outlineLevel="0" collapsed="false">
      <c r="A121" s="25" t="s">
        <v>543</v>
      </c>
      <c r="B121" s="25" t="s">
        <v>570</v>
      </c>
      <c r="C121" s="25" t="s">
        <v>571</v>
      </c>
      <c r="D121" s="26" t="n">
        <v>0.80903183480111</v>
      </c>
      <c r="E121" s="26" t="n">
        <v>2.04120006230099</v>
      </c>
      <c r="F121" s="26" t="n">
        <v>-6.70389150669467</v>
      </c>
      <c r="G121" s="26" t="n">
        <v>-6.71060003115049</v>
      </c>
      <c r="H121" s="26" t="n">
        <v>-4.16269144439368</v>
      </c>
      <c r="I121" s="26" t="n">
        <v>-4.16939996884951</v>
      </c>
      <c r="J121" s="26" t="n">
        <v>14.51</v>
      </c>
      <c r="K121" s="27" t="n">
        <f aca="false">MIN(F121,G121)</f>
        <v>-6.71060003115049</v>
      </c>
      <c r="L121" s="27" t="n">
        <f aca="false">AVERAGE(F121,G121)</f>
        <v>-6.70724576892258</v>
      </c>
      <c r="M121" s="27" t="n">
        <f aca="false">MAX(0,NG-L121)</f>
        <v>6.00724576892258</v>
      </c>
      <c r="N121" s="27" t="n">
        <f aca="false">MAX(0,GWL-K121)</f>
        <v>5.21060003115049</v>
      </c>
      <c r="O121" s="27" t="n">
        <f aca="false">MAX(0,NG-MAX(K121,GWL))</f>
        <v>0.8</v>
      </c>
      <c r="P121" s="27" t="n">
        <f aca="false">E121/2+WS+SLOPE_A*O121+SLOPE_B*N121</f>
        <v>13.6418000934515</v>
      </c>
      <c r="Q121" s="28" t="str">
        <f aca="false">IF(AND(P121&lt;J121,N121&lt;=MAXOC),"Open cut","Shoring")</f>
        <v>Shoring</v>
      </c>
      <c r="R121" s="27" t="n">
        <f aca="false">IF(Q121="Shoring",D121,0)</f>
        <v>0.80903183480111</v>
      </c>
      <c r="S121" s="27" t="n">
        <f aca="false">MAX(0,GWL-L121)</f>
        <v>5.20724576892258</v>
      </c>
      <c r="T121" s="27" t="n">
        <f aca="false">MAX(0,NG-MAX(L121,GWL))</f>
        <v>0.8</v>
      </c>
      <c r="U121" s="27" t="n">
        <f aca="false">E121+2*WS</f>
        <v>4.04120006230099</v>
      </c>
      <c r="V121" s="27" t="n">
        <f aca="false">IF(Q121="Shoring",D121*M121*U121,0)</f>
        <v>19.6404467552578</v>
      </c>
      <c r="W121" s="27" t="n">
        <f aca="false">IF(Q121="Open cut",D121*(U121*M121+SLOPE_B*S121^2+2*SLOPE_B*S121*T121+SLOPE_A*T121^2),0)</f>
        <v>0</v>
      </c>
      <c r="X121" s="27" t="n">
        <f aca="false">IF(M121&gt;0,D121*(E121+2*SLABOVH)*SLAB,0)</f>
        <v>1.23021383320031</v>
      </c>
      <c r="Y121" s="27" t="n">
        <f aca="false">IF(M121&gt;0,D121*PI()*E121^2/4,0)</f>
        <v>2.64744312119653</v>
      </c>
      <c r="Z121" s="27" t="n">
        <f aca="false">IF(H121-E121&gt;=GWL,99,E121*(MAX(0,GWL-H121)*(GAM_S-GAM_W)+MAX(0,NG-MAX(H121,GWL))*GAM_D)/(GAM_W*PI()*E121^2/4))</f>
        <v>2.30225483204064</v>
      </c>
      <c r="AA121" s="27" t="n">
        <f aca="false">IF(I121-E121&gt;=GWL,99,E121*(MAX(0,GWL-I121)*(GAM_S-GAM_W)+MAX(0,NG-MAX(I121,GWL))*GAM_D)/(GAM_W*PI()*E121^2/4))</f>
        <v>2.30574837789089</v>
      </c>
      <c r="AB121" s="27" t="n">
        <f aca="false">IF(H121-E121&gt;=GWL,99,E121*(MAX(0,GWL-H121)*(GAM_S-GAM_W)+MAX(0,FL-MAX(H121,GWL))*GAM_D)/(GAM_W*PI()*E121^2/4))</f>
        <v>4.24795969712741</v>
      </c>
      <c r="AC121" s="27" t="n">
        <f aca="false">IF(I121-E121&gt;=GWL,99,E121*(MAX(0,GWL-I121)*(GAM_S-GAM_W)+MAX(0,FL-MAX(I121,GWL))*GAM_D)/(GAM_W*PI()*E121^2/4))</f>
        <v>4.25145324297766</v>
      </c>
    </row>
    <row r="122" customFormat="false" ht="15" hidden="false" customHeight="false" outlineLevel="0" collapsed="false">
      <c r="A122" s="25" t="s">
        <v>543</v>
      </c>
      <c r="B122" s="25" t="s">
        <v>570</v>
      </c>
      <c r="C122" s="25" t="s">
        <v>572</v>
      </c>
      <c r="D122" s="26" t="n">
        <v>1.09096816460047</v>
      </c>
      <c r="E122" s="26" t="n">
        <v>2.04120006230099</v>
      </c>
      <c r="F122" s="26" t="n">
        <v>-6.71060003115049</v>
      </c>
      <c r="G122" s="26" t="n">
        <v>-6.71123581316548</v>
      </c>
      <c r="H122" s="26" t="n">
        <v>-4.16939996884951</v>
      </c>
      <c r="I122" s="26" t="n">
        <v>-4.17003575086449</v>
      </c>
      <c r="J122" s="26" t="n">
        <v>14.5</v>
      </c>
      <c r="K122" s="27" t="n">
        <f aca="false">MIN(F122,G122)</f>
        <v>-6.71123581316548</v>
      </c>
      <c r="L122" s="27" t="n">
        <f aca="false">AVERAGE(F122,G122)</f>
        <v>-6.71091792215799</v>
      </c>
      <c r="M122" s="27" t="n">
        <f aca="false">MAX(0,NG-L122)</f>
        <v>6.01091792215799</v>
      </c>
      <c r="N122" s="27" t="n">
        <f aca="false">MAX(0,GWL-K122)</f>
        <v>5.21123581316548</v>
      </c>
      <c r="O122" s="27" t="n">
        <f aca="false">MAX(0,NG-MAX(K122,GWL))</f>
        <v>0.8</v>
      </c>
      <c r="P122" s="27" t="n">
        <f aca="false">E122/2+WS+SLOPE_A*O122+SLOPE_B*N122</f>
        <v>13.6430716574814</v>
      </c>
      <c r="Q122" s="28" t="str">
        <f aca="false">IF(AND(P122&lt;J122,N122&lt;=MAXOC),"Open cut","Shoring")</f>
        <v>Shoring</v>
      </c>
      <c r="R122" s="27" t="n">
        <f aca="false">IF(Q122="Shoring",D122,0)</f>
        <v>1.09096816460047</v>
      </c>
      <c r="S122" s="27" t="n">
        <f aca="false">MAX(0,GWL-L122)</f>
        <v>5.21091792215799</v>
      </c>
      <c r="T122" s="27" t="n">
        <f aca="false">MAX(0,NG-MAX(L122,GWL))</f>
        <v>0.8</v>
      </c>
      <c r="U122" s="27" t="n">
        <f aca="false">E122+2*WS</f>
        <v>4.04120006230099</v>
      </c>
      <c r="V122" s="27" t="n">
        <f aca="false">IF(Q122="Shoring",D122*M122*U122,0)</f>
        <v>26.5010588487911</v>
      </c>
      <c r="W122" s="27" t="n">
        <f aca="false">IF(Q122="Open cut",D122*(U122*M122+SLOPE_B*S122^2+2*SLOPE_B*S122*T122+SLOPE_A*T122^2),0)</f>
        <v>0</v>
      </c>
      <c r="X122" s="27" t="n">
        <f aca="false">IF(M122&gt;0,D122*(E122+2*SLABOVH)*SLAB,0)</f>
        <v>1.65892622507566</v>
      </c>
      <c r="Y122" s="27" t="n">
        <f aca="false">IF(M122&gt;0,D122*PI()*E122^2/4,0)</f>
        <v>3.57004018701681</v>
      </c>
      <c r="Z122" s="27" t="n">
        <f aca="false">IF(H122-E122&gt;=GWL,99,E122*(MAX(0,GWL-H122)*(GAM_S-GAM_W)+MAX(0,NG-MAX(H122,GWL))*GAM_D)/(GAM_W*PI()*E122^2/4))</f>
        <v>2.30574837789089</v>
      </c>
      <c r="AA122" s="27" t="n">
        <f aca="false">IF(I122-E122&gt;=GWL,99,E122*(MAX(0,GWL-I122)*(GAM_S-GAM_W)+MAX(0,NG-MAX(I122,GWL))*GAM_D)/(GAM_W*PI()*E122^2/4))</f>
        <v>2.30607946912187</v>
      </c>
      <c r="AB122" s="27" t="n">
        <f aca="false">IF(H122-E122&gt;=GWL,99,E122*(MAX(0,GWL-H122)*(GAM_S-GAM_W)+MAX(0,FL-MAX(H122,GWL))*GAM_D)/(GAM_W*PI()*E122^2/4))</f>
        <v>4.25145324297766</v>
      </c>
      <c r="AC122" s="27" t="n">
        <f aca="false">IF(I122-E122&gt;=GWL,99,E122*(MAX(0,GWL-I122)*(GAM_S-GAM_W)+MAX(0,FL-MAX(I122,GWL))*GAM_D)/(GAM_W*PI()*E122^2/4))</f>
        <v>4.25178433420864</v>
      </c>
    </row>
    <row r="123" customFormat="false" ht="15" hidden="false" customHeight="false" outlineLevel="0" collapsed="false">
      <c r="A123" s="25" t="s">
        <v>543</v>
      </c>
      <c r="B123" s="25" t="s">
        <v>570</v>
      </c>
      <c r="C123" s="25" t="s">
        <v>573</v>
      </c>
      <c r="D123" s="26" t="n">
        <v>2.01489568768327</v>
      </c>
      <c r="E123" s="26" t="n">
        <v>2.04120006230099</v>
      </c>
      <c r="F123" s="26" t="n">
        <v>-6.71123581316548</v>
      </c>
      <c r="G123" s="26" t="n">
        <v>-6.71241003115049</v>
      </c>
      <c r="H123" s="26" t="n">
        <v>-4.17003575086449</v>
      </c>
      <c r="I123" s="26" t="n">
        <v>-4.17120996884951</v>
      </c>
      <c r="J123" s="26" t="n">
        <v>19.65</v>
      </c>
      <c r="K123" s="27" t="n">
        <f aca="false">MIN(F123,G123)</f>
        <v>-6.71241003115049</v>
      </c>
      <c r="L123" s="27" t="n">
        <f aca="false">AVERAGE(F123,G123)</f>
        <v>-6.71182292215799</v>
      </c>
      <c r="M123" s="27" t="n">
        <f aca="false">MAX(0,NG-L123)</f>
        <v>6.01182292215799</v>
      </c>
      <c r="N123" s="27" t="n">
        <f aca="false">MAX(0,GWL-K123)</f>
        <v>5.21241003115049</v>
      </c>
      <c r="O123" s="27" t="n">
        <f aca="false">MAX(0,NG-MAX(K123,GWL))</f>
        <v>0.8</v>
      </c>
      <c r="P123" s="27" t="n">
        <f aca="false">E123/2+WS+SLOPE_A*O123+SLOPE_B*N123</f>
        <v>13.6454200934515</v>
      </c>
      <c r="Q123" s="28" t="str">
        <f aca="false">IF(AND(P123&lt;J123,N123&lt;=MAXOC),"Open cut","Shoring")</f>
        <v>Shoring</v>
      </c>
      <c r="R123" s="27" t="n">
        <f aca="false">IF(Q123="Shoring",D123,0)</f>
        <v>2.01489568768327</v>
      </c>
      <c r="S123" s="27" t="n">
        <f aca="false">MAX(0,GWL-L123)</f>
        <v>5.21182292215799</v>
      </c>
      <c r="T123" s="27" t="n">
        <f aca="false">MAX(0,NG-MAX(L123,GWL))</f>
        <v>0.8</v>
      </c>
      <c r="U123" s="27" t="n">
        <f aca="false">E123+2*WS</f>
        <v>4.04120006230099</v>
      </c>
      <c r="V123" s="27" t="n">
        <f aca="false">IF(Q123="Shoring",D123*M123*U123,0)</f>
        <v>48.9518487570863</v>
      </c>
      <c r="W123" s="27" t="n">
        <f aca="false">IF(Q123="Open cut",D123*(U123*M123+SLOPE_B*S123^2+2*SLOPE_B*S123*T123+SLOPE_A*T123^2),0)</f>
        <v>0</v>
      </c>
      <c r="X123" s="27" t="n">
        <f aca="false">IF(M123&gt;0,D123*(E123+2*SLABOVH)*SLAB,0)</f>
        <v>3.06385044545617</v>
      </c>
      <c r="Y123" s="27" t="n">
        <f aca="false">IF(M123&gt;0,D123*PI()*E123^2/4,0)</f>
        <v>6.59346332100392</v>
      </c>
      <c r="Z123" s="27" t="n">
        <f aca="false">IF(H123-E123&gt;=GWL,99,E123*(MAX(0,GWL-H123)*(GAM_S-GAM_W)+MAX(0,NG-MAX(H123,GWL))*GAM_D)/(GAM_W*PI()*E123^2/4))</f>
        <v>2.30607946912187</v>
      </c>
      <c r="AA123" s="27" t="n">
        <f aca="false">IF(I123-E123&gt;=GWL,99,E123*(MAX(0,GWL-I123)*(GAM_S-GAM_W)+MAX(0,NG-MAX(I123,GWL))*GAM_D)/(GAM_W*PI()*E123^2/4))</f>
        <v>2.3066909574448</v>
      </c>
      <c r="AB123" s="27" t="n">
        <f aca="false">IF(H123-E123&gt;=GWL,99,E123*(MAX(0,GWL-H123)*(GAM_S-GAM_W)+MAX(0,FL-MAX(H123,GWL))*GAM_D)/(GAM_W*PI()*E123^2/4))</f>
        <v>4.25178433420864</v>
      </c>
      <c r="AC123" s="27" t="n">
        <f aca="false">IF(I123-E123&gt;=GWL,99,E123*(MAX(0,GWL-I123)*(GAM_S-GAM_W)+MAX(0,FL-MAX(I123,GWL))*GAM_D)/(GAM_W*PI()*E123^2/4))</f>
        <v>4.25239582253157</v>
      </c>
    </row>
    <row r="124" customFormat="false" ht="15" hidden="false" customHeight="false" outlineLevel="0" collapsed="false">
      <c r="A124" s="25" t="s">
        <v>543</v>
      </c>
      <c r="B124" s="25" t="s">
        <v>570</v>
      </c>
      <c r="C124" s="25" t="s">
        <v>574</v>
      </c>
      <c r="D124" s="26" t="n">
        <v>3.06548999988446</v>
      </c>
      <c r="E124" s="26" t="n">
        <v>2.06959883798015</v>
      </c>
      <c r="F124" s="26" t="n">
        <v>-6.72660941899007</v>
      </c>
      <c r="G124" s="26" t="n">
        <v>-6.72839941899007</v>
      </c>
      <c r="H124" s="26" t="n">
        <v>-4.15701058100993</v>
      </c>
      <c r="I124" s="26" t="n">
        <v>-4.15880058100993</v>
      </c>
      <c r="J124" s="26" t="n">
        <v>19.14</v>
      </c>
      <c r="K124" s="27" t="n">
        <f aca="false">MIN(F124,G124)</f>
        <v>-6.72839941899007</v>
      </c>
      <c r="L124" s="27" t="n">
        <f aca="false">AVERAGE(F124,G124)</f>
        <v>-6.72750441899007</v>
      </c>
      <c r="M124" s="27" t="n">
        <f aca="false">MAX(0,NG-L124)</f>
        <v>6.02750441899007</v>
      </c>
      <c r="N124" s="27" t="n">
        <f aca="false">MAX(0,GWL-K124)</f>
        <v>5.22839941899007</v>
      </c>
      <c r="O124" s="27" t="n">
        <f aca="false">MAX(0,NG-MAX(K124,GWL))</f>
        <v>0.8</v>
      </c>
      <c r="P124" s="27" t="n">
        <f aca="false">E124/2+WS+SLOPE_A*O124+SLOPE_B*N124</f>
        <v>13.6915982569702</v>
      </c>
      <c r="Q124" s="28" t="str">
        <f aca="false">IF(AND(P124&lt;J124,N124&lt;=MAXOC),"Open cut","Shoring")</f>
        <v>Shoring</v>
      </c>
      <c r="R124" s="27" t="n">
        <f aca="false">IF(Q124="Shoring",D124,0)</f>
        <v>3.06548999988446</v>
      </c>
      <c r="S124" s="27" t="n">
        <f aca="false">MAX(0,GWL-L124)</f>
        <v>5.22750441899007</v>
      </c>
      <c r="T124" s="27" t="n">
        <f aca="false">MAX(0,NG-MAX(L124,GWL))</f>
        <v>0.8</v>
      </c>
      <c r="U124" s="27" t="n">
        <f aca="false">E124+2*WS</f>
        <v>4.06959883798015</v>
      </c>
      <c r="V124" s="27" t="n">
        <f aca="false">IF(Q124="Shoring",D124*M124*U124,0)</f>
        <v>75.195013526396</v>
      </c>
      <c r="W124" s="27" t="n">
        <f aca="false">IF(Q124="Open cut",D124*(U124*M124+SLOPE_B*S124^2+2*SLOPE_B*S124*T124+SLOPE_A*T124^2),0)</f>
        <v>0</v>
      </c>
      <c r="X124" s="27" t="n">
        <f aca="false">IF(M124&gt;0,D124*(E124+2*SLABOVH)*SLAB,0)</f>
        <v>4.70491227074254</v>
      </c>
      <c r="Y124" s="27" t="n">
        <f aca="false">IF(M124&gt;0,D124*PI()*E124^2/4,0)</f>
        <v>10.3124564810662</v>
      </c>
      <c r="Z124" s="27" t="n">
        <f aca="false">IF(H124-E124&gt;=GWL,99,E124*(MAX(0,GWL-H124)*(GAM_S-GAM_W)+MAX(0,NG-MAX(H124,GWL))*GAM_D)/(GAM_W*PI()*E124^2/4))</f>
        <v>2.26774579566918</v>
      </c>
      <c r="AA124" s="27" t="n">
        <f aca="false">IF(I124-E124&gt;=GWL,99,E124*(MAX(0,GWL-I124)*(GAM_S-GAM_W)+MAX(0,NG-MAX(I124,GWL))*GAM_D)/(GAM_W*PI()*E124^2/4))</f>
        <v>2.26866516893765</v>
      </c>
      <c r="AB124" s="27" t="n">
        <f aca="false">IF(H124-E124&gt;=GWL,99,E124*(MAX(0,GWL-H124)*(GAM_S-GAM_W)+MAX(0,FL-MAX(H124,GWL))*GAM_D)/(GAM_W*PI()*E124^2/4))</f>
        <v>4.18675194263366</v>
      </c>
      <c r="AC124" s="27" t="n">
        <f aca="false">IF(I124-E124&gt;=GWL,99,E124*(MAX(0,GWL-I124)*(GAM_S-GAM_W)+MAX(0,FL-MAX(I124,GWL))*GAM_D)/(GAM_W*PI()*E124^2/4))</f>
        <v>4.18767131590213</v>
      </c>
    </row>
    <row r="125" customFormat="false" ht="15" hidden="false" customHeight="false" outlineLevel="0" collapsed="false">
      <c r="A125" s="25" t="s">
        <v>543</v>
      </c>
      <c r="B125" s="25" t="s">
        <v>575</v>
      </c>
      <c r="C125" s="25" t="s">
        <v>576</v>
      </c>
      <c r="D125" s="26" t="n">
        <v>4.91961431293006</v>
      </c>
      <c r="E125" s="26" t="n">
        <v>2.06959883798015</v>
      </c>
      <c r="F125" s="26" t="n">
        <v>-6.72839941899007</v>
      </c>
      <c r="G125" s="26" t="n">
        <v>-6.73126727239474</v>
      </c>
      <c r="H125" s="26" t="n">
        <v>-4.15880058100993</v>
      </c>
      <c r="I125" s="26" t="n">
        <v>-4.16166843441459</v>
      </c>
      <c r="J125" s="26" t="n">
        <v>16.76</v>
      </c>
      <c r="K125" s="27" t="n">
        <f aca="false">MIN(F125,G125)</f>
        <v>-6.73126727239474</v>
      </c>
      <c r="L125" s="27" t="n">
        <f aca="false">AVERAGE(F125,G125)</f>
        <v>-6.72983334569241</v>
      </c>
      <c r="M125" s="27" t="n">
        <f aca="false">MAX(0,NG-L125)</f>
        <v>6.02983334569241</v>
      </c>
      <c r="N125" s="27" t="n">
        <f aca="false">MAX(0,GWL-K125)</f>
        <v>5.23126727239474</v>
      </c>
      <c r="O125" s="27" t="n">
        <f aca="false">MAX(0,NG-MAX(K125,GWL))</f>
        <v>0.8</v>
      </c>
      <c r="P125" s="27" t="n">
        <f aca="false">E125/2+WS+SLOPE_A*O125+SLOPE_B*N125</f>
        <v>13.6973339637795</v>
      </c>
      <c r="Q125" s="28" t="str">
        <f aca="false">IF(AND(P125&lt;J125,N125&lt;=MAXOC),"Open cut","Shoring")</f>
        <v>Shoring</v>
      </c>
      <c r="R125" s="27" t="n">
        <f aca="false">IF(Q125="Shoring",D125,0)</f>
        <v>4.91961431293006</v>
      </c>
      <c r="S125" s="27" t="n">
        <f aca="false">MAX(0,GWL-L125)</f>
        <v>5.22983334569241</v>
      </c>
      <c r="T125" s="27" t="n">
        <f aca="false">MAX(0,NG-MAX(L125,GWL))</f>
        <v>0.8</v>
      </c>
      <c r="U125" s="27" t="n">
        <f aca="false">E125+2*WS</f>
        <v>4.06959883798015</v>
      </c>
      <c r="V125" s="27" t="n">
        <f aca="false">IF(Q125="Shoring",D125*M125*U125,0)</f>
        <v>120.722429285991</v>
      </c>
      <c r="W125" s="27" t="n">
        <f aca="false">IF(Q125="Open cut",D125*(U125*M125+SLOPE_B*S125^2+2*SLOPE_B*S125*T125+SLOPE_A*T125^2),0)</f>
        <v>0</v>
      </c>
      <c r="X125" s="27" t="n">
        <f aca="false">IF(M125&gt;0,D125*(E125+2*SLABOVH)*SLAB,0)</f>
        <v>7.5506211891403</v>
      </c>
      <c r="Y125" s="27" t="n">
        <f aca="false">IF(M125&gt;0,D125*PI()*E125^2/4,0)</f>
        <v>16.5498202596107</v>
      </c>
      <c r="Z125" s="27" t="n">
        <f aca="false">IF(H125-E125&gt;=GWL,99,E125*(MAX(0,GWL-H125)*(GAM_S-GAM_W)+MAX(0,NG-MAX(H125,GWL))*GAM_D)/(GAM_W*PI()*E125^2/4))</f>
        <v>2.26866516893765</v>
      </c>
      <c r="AA125" s="27" t="n">
        <f aca="false">IF(I125-E125&gt;=GWL,99,E125*(MAX(0,GWL-I125)*(GAM_S-GAM_W)+MAX(0,NG-MAX(I125,GWL))*GAM_D)/(GAM_W*PI()*E125^2/4))</f>
        <v>2.27013814533884</v>
      </c>
      <c r="AB125" s="27" t="n">
        <f aca="false">IF(H125-E125&gt;=GWL,99,E125*(MAX(0,GWL-H125)*(GAM_S-GAM_W)+MAX(0,FL-MAX(H125,GWL))*GAM_D)/(GAM_W*PI()*E125^2/4))</f>
        <v>4.18767131590213</v>
      </c>
      <c r="AC125" s="27" t="n">
        <f aca="false">IF(I125-E125&gt;=GWL,99,E125*(MAX(0,GWL-I125)*(GAM_S-GAM_W)+MAX(0,FL-MAX(I125,GWL))*GAM_D)/(GAM_W*PI()*E125^2/4))</f>
        <v>4.18914429230332</v>
      </c>
    </row>
    <row r="126" customFormat="false" ht="15" hidden="false" customHeight="false" outlineLevel="0" collapsed="false">
      <c r="A126" s="25" t="s">
        <v>543</v>
      </c>
      <c r="B126" s="25" t="s">
        <v>575</v>
      </c>
      <c r="C126" s="25" t="s">
        <v>577</v>
      </c>
      <c r="D126" s="26" t="n">
        <v>6.05916568735955</v>
      </c>
      <c r="E126" s="26" t="n">
        <v>2.06959883798015</v>
      </c>
      <c r="F126" s="26" t="n">
        <v>-6.73126727239474</v>
      </c>
      <c r="G126" s="26" t="n">
        <v>-6.73479941899007</v>
      </c>
      <c r="H126" s="26" t="n">
        <v>-4.16166843441459</v>
      </c>
      <c r="I126" s="26" t="n">
        <v>-4.16520058100993</v>
      </c>
      <c r="J126" s="26" t="n">
        <v>15.41</v>
      </c>
      <c r="K126" s="27" t="n">
        <f aca="false">MIN(F126,G126)</f>
        <v>-6.73479941899007</v>
      </c>
      <c r="L126" s="27" t="n">
        <f aca="false">AVERAGE(F126,G126)</f>
        <v>-6.73303334569241</v>
      </c>
      <c r="M126" s="27" t="n">
        <f aca="false">MAX(0,NG-L126)</f>
        <v>6.03303334569241</v>
      </c>
      <c r="N126" s="27" t="n">
        <f aca="false">MAX(0,GWL-K126)</f>
        <v>5.23479941899007</v>
      </c>
      <c r="O126" s="27" t="n">
        <f aca="false">MAX(0,NG-MAX(K126,GWL))</f>
        <v>0.8</v>
      </c>
      <c r="P126" s="27" t="n">
        <f aca="false">E126/2+WS+SLOPE_A*O126+SLOPE_B*N126</f>
        <v>13.7043982569702</v>
      </c>
      <c r="Q126" s="28" t="str">
        <f aca="false">IF(AND(P126&lt;J126,N126&lt;=MAXOC),"Open cut","Shoring")</f>
        <v>Shoring</v>
      </c>
      <c r="R126" s="27" t="n">
        <f aca="false">IF(Q126="Shoring",D126,0)</f>
        <v>6.05916568735955</v>
      </c>
      <c r="S126" s="27" t="n">
        <f aca="false">MAX(0,GWL-L126)</f>
        <v>5.23303334569241</v>
      </c>
      <c r="T126" s="27" t="n">
        <f aca="false">MAX(0,NG-MAX(L126,GWL))</f>
        <v>0.8</v>
      </c>
      <c r="U126" s="27" t="n">
        <f aca="false">E126+2*WS</f>
        <v>4.06959883798015</v>
      </c>
      <c r="V126" s="27" t="n">
        <f aca="false">IF(Q126="Shoring",D126*M126*U126,0)</f>
        <v>148.764790423122</v>
      </c>
      <c r="W126" s="27" t="n">
        <f aca="false">IF(Q126="Open cut",D126*(U126*M126+SLOPE_B*S126^2+2*SLOPE_B*S126*T126+SLOPE_A*T126^2),0)</f>
        <v>0</v>
      </c>
      <c r="X126" s="27" t="n">
        <f aca="false">IF(M126&gt;0,D126*(E126+2*SLABOVH)*SLAB,0)</f>
        <v>9.29960397652403</v>
      </c>
      <c r="Y126" s="27" t="n">
        <f aca="false">IF(M126&gt;0,D126*PI()*E126^2/4,0)</f>
        <v>20.3833261451906</v>
      </c>
      <c r="Z126" s="27" t="n">
        <f aca="false">IF(H126-E126&gt;=GWL,99,E126*(MAX(0,GWL-H126)*(GAM_S-GAM_W)+MAX(0,NG-MAX(H126,GWL))*GAM_D)/(GAM_W*PI()*E126^2/4))</f>
        <v>2.27013814533884</v>
      </c>
      <c r="AA126" s="27" t="n">
        <f aca="false">IF(I126-E126&gt;=GWL,99,E126*(MAX(0,GWL-I126)*(GAM_S-GAM_W)+MAX(0,NG-MAX(I126,GWL))*GAM_D)/(GAM_W*PI()*E126^2/4))</f>
        <v>2.27195231358468</v>
      </c>
      <c r="AB126" s="27" t="n">
        <f aca="false">IF(H126-E126&gt;=GWL,99,E126*(MAX(0,GWL-H126)*(GAM_S-GAM_W)+MAX(0,FL-MAX(H126,GWL))*GAM_D)/(GAM_W*PI()*E126^2/4))</f>
        <v>4.18914429230332</v>
      </c>
      <c r="AC126" s="27" t="n">
        <f aca="false">IF(I126-E126&gt;=GWL,99,E126*(MAX(0,GWL-I126)*(GAM_S-GAM_W)+MAX(0,FL-MAX(I126,GWL))*GAM_D)/(GAM_W*PI()*E126^2/4))</f>
        <v>4.19095846054917</v>
      </c>
    </row>
    <row r="127" customFormat="false" ht="15" hidden="false" customHeight="false" outlineLevel="0" collapsed="false">
      <c r="A127" s="25" t="s">
        <v>578</v>
      </c>
      <c r="B127" s="25" t="s">
        <v>579</v>
      </c>
      <c r="C127" s="25" t="s">
        <v>580</v>
      </c>
      <c r="D127" s="26" t="n">
        <v>3.1319268622928</v>
      </c>
      <c r="E127" s="26" t="n">
        <v>1.53159751516421</v>
      </c>
      <c r="F127" s="26" t="n">
        <v>-5.0857987575821</v>
      </c>
      <c r="G127" s="26" t="n">
        <v>-5.0857987575821</v>
      </c>
      <c r="H127" s="26" t="n">
        <v>-3.0542012424179</v>
      </c>
      <c r="I127" s="26" t="n">
        <v>-3.0542012424179</v>
      </c>
      <c r="J127" s="26" t="n">
        <v>19.08</v>
      </c>
      <c r="K127" s="27" t="n">
        <f aca="false">MIN(F127,G127)</f>
        <v>-5.0857987575821</v>
      </c>
      <c r="L127" s="27" t="n">
        <f aca="false">AVERAGE(F127,G127)</f>
        <v>-5.0857987575821</v>
      </c>
      <c r="M127" s="27" t="n">
        <f aca="false">MAX(0,NG-L127)</f>
        <v>4.3857987575821</v>
      </c>
      <c r="N127" s="27" t="n">
        <f aca="false">MAX(0,GWL-K127)</f>
        <v>3.5857987575821</v>
      </c>
      <c r="O127" s="27" t="n">
        <f aca="false">MAX(0,NG-MAX(K127,GWL))</f>
        <v>0.8</v>
      </c>
      <c r="P127" s="27" t="n">
        <f aca="false">E127/2+WS+SLOPE_A*O127+SLOPE_B*N127</f>
        <v>10.1373962727463</v>
      </c>
      <c r="Q127" s="28" t="str">
        <f aca="false">IF(AND(P127&lt;J127,N127&lt;=MAXOC),"Open cut","Shoring")</f>
        <v>Shoring</v>
      </c>
      <c r="R127" s="27" t="n">
        <f aca="false">IF(Q127="Shoring",D127,0)</f>
        <v>3.1319268622928</v>
      </c>
      <c r="S127" s="27" t="n">
        <f aca="false">MAX(0,GWL-L127)</f>
        <v>3.5857987575821</v>
      </c>
      <c r="T127" s="27" t="n">
        <f aca="false">MAX(0,NG-MAX(L127,GWL))</f>
        <v>0.8</v>
      </c>
      <c r="U127" s="27" t="n">
        <f aca="false">E127+2*WS</f>
        <v>3.53159751516421</v>
      </c>
      <c r="V127" s="27" t="n">
        <f aca="false">IF(Q127="Shoring",D127*M127*U127,0)</f>
        <v>48.5100267932303</v>
      </c>
      <c r="W127" s="27" t="n">
        <f aca="false">IF(Q127="Open cut",D127*(U127*M127+SLOPE_B*S127^2+2*SLOPE_B*S127*T127+SLOPE_A*T127^2),0)</f>
        <v>0</v>
      </c>
      <c r="X127" s="27" t="n">
        <f aca="false">IF(M127&gt;0,D127*(E127+2*SLABOVH)*SLAB,0)</f>
        <v>3.96438913112824</v>
      </c>
      <c r="Y127" s="27" t="n">
        <f aca="false">IF(M127&gt;0,D127*PI()*E127^2/4,0)</f>
        <v>5.7701991076035</v>
      </c>
      <c r="Z127" s="27" t="n">
        <f aca="false">IF(H127-E127&gt;=GWL,99,E127*(MAX(0,GWL-H127)*(GAM_S-GAM_W)+MAX(0,NG-MAX(H127,GWL))*GAM_D)/(GAM_W*PI()*E127^2/4))</f>
        <v>2.29894601862586</v>
      </c>
      <c r="AA127" s="27" t="n">
        <f aca="false">IF(I127-E127&gt;=GWL,99,E127*(MAX(0,GWL-I127)*(GAM_S-GAM_W)+MAX(0,NG-MAX(I127,GWL))*GAM_D)/(GAM_W*PI()*E127^2/4))</f>
        <v>2.29894601862586</v>
      </c>
      <c r="AB127" s="27" t="n">
        <f aca="false">IF(H127-E127&gt;=GWL,99,E127*(MAX(0,GWL-H127)*(GAM_S-GAM_W)+MAX(0,FL-MAX(H127,GWL))*GAM_D)/(GAM_W*PI()*E127^2/4))</f>
        <v>4.89203777576981</v>
      </c>
      <c r="AC127" s="27" t="n">
        <f aca="false">IF(I127-E127&gt;=GWL,99,E127*(MAX(0,GWL-I127)*(GAM_S-GAM_W)+MAX(0,FL-MAX(I127,GWL))*GAM_D)/(GAM_W*PI()*E127^2/4))</f>
        <v>4.89203777576981</v>
      </c>
    </row>
    <row r="128" customFormat="false" ht="15" hidden="false" customHeight="false" outlineLevel="0" collapsed="false">
      <c r="A128" s="25" t="s">
        <v>578</v>
      </c>
      <c r="B128" s="25" t="s">
        <v>579</v>
      </c>
      <c r="C128" s="25" t="s">
        <v>581</v>
      </c>
      <c r="D128" s="26" t="n">
        <v>0.750000000098546</v>
      </c>
      <c r="E128" s="26" t="n">
        <v>2.04120474549887</v>
      </c>
      <c r="F128" s="26" t="n">
        <v>-5.34060237274944</v>
      </c>
      <c r="G128" s="26" t="n">
        <v>-5.39361237274944</v>
      </c>
      <c r="H128" s="26" t="n">
        <v>-2.79939762725056</v>
      </c>
      <c r="I128" s="26" t="n">
        <v>-2.85240762725056</v>
      </c>
      <c r="J128" s="26" t="n">
        <v>18.33</v>
      </c>
      <c r="K128" s="27" t="n">
        <f aca="false">MIN(F128,G128)</f>
        <v>-5.39361237274944</v>
      </c>
      <c r="L128" s="27" t="n">
        <f aca="false">AVERAGE(F128,G128)</f>
        <v>-5.36710737274944</v>
      </c>
      <c r="M128" s="27" t="n">
        <f aca="false">MAX(0,NG-L128)</f>
        <v>4.66710737274944</v>
      </c>
      <c r="N128" s="27" t="n">
        <f aca="false">MAX(0,GWL-K128)</f>
        <v>3.89361237274944</v>
      </c>
      <c r="O128" s="27" t="n">
        <f aca="false">MAX(0,NG-MAX(K128,GWL))</f>
        <v>0.8</v>
      </c>
      <c r="P128" s="27" t="n">
        <f aca="false">E128/2+WS+SLOPE_A*O128+SLOPE_B*N128</f>
        <v>11.0078271182483</v>
      </c>
      <c r="Q128" s="28" t="str">
        <f aca="false">IF(AND(P128&lt;J128,N128&lt;=MAXOC),"Open cut","Shoring")</f>
        <v>Shoring</v>
      </c>
      <c r="R128" s="27" t="n">
        <f aca="false">IF(Q128="Shoring",D128,0)</f>
        <v>0.750000000098546</v>
      </c>
      <c r="S128" s="27" t="n">
        <f aca="false">MAX(0,GWL-L128)</f>
        <v>3.86710737274944</v>
      </c>
      <c r="T128" s="27" t="n">
        <f aca="false">MAX(0,NG-MAX(L128,GWL))</f>
        <v>0.8</v>
      </c>
      <c r="U128" s="27" t="n">
        <f aca="false">E128+2*WS</f>
        <v>4.04120474549887</v>
      </c>
      <c r="V128" s="27" t="n">
        <f aca="false">IF(Q128="Shoring",D128*M128*U128,0)</f>
        <v>14.1455523487395</v>
      </c>
      <c r="W128" s="27" t="n">
        <f aca="false">IF(Q128="Open cut",D128*(U128*M128+SLOPE_B*S128^2+2*SLOPE_B*S128*T128+SLOPE_A*T128^2),0)</f>
        <v>0</v>
      </c>
      <c r="X128" s="27" t="n">
        <f aca="false">IF(M128&gt;0,D128*(E128+2*SLABOVH)*SLAB,0)</f>
        <v>1.14045177971193</v>
      </c>
      <c r="Y128" s="27" t="n">
        <f aca="false">IF(M128&gt;0,D128*PI()*E128^2/4,0)</f>
        <v>2.45428098987133</v>
      </c>
      <c r="Z128" s="27" t="n">
        <f aca="false">IF(H128-E128&gt;=GWL,99,E128*(MAX(0,GWL-H128)*(GAM_S-GAM_W)+MAX(0,NG-MAX(H128,GWL))*GAM_D)/(GAM_W*PI()*E128^2/4))</f>
        <v>1.5922993124694</v>
      </c>
      <c r="AA128" s="27" t="n">
        <f aca="false">IF(I128-E128&gt;=GWL,99,E128*(MAX(0,GWL-I128)*(GAM_S-GAM_W)+MAX(0,NG-MAX(I128,GWL))*GAM_D)/(GAM_W*PI()*E128^2/4))</f>
        <v>1.61990485253227</v>
      </c>
      <c r="AB128" s="27" t="n">
        <f aca="false">IF(H128-E128&gt;=GWL,99,E128*(MAX(0,GWL-H128)*(GAM_S-GAM_W)+MAX(0,FL-MAX(H128,GWL))*GAM_D)/(GAM_W*PI()*E128^2/4))</f>
        <v>3.53799971346655</v>
      </c>
      <c r="AC128" s="27" t="n">
        <f aca="false">IF(I128-E128&gt;=GWL,99,E128*(MAX(0,GWL-I128)*(GAM_S-GAM_W)+MAX(0,FL-MAX(I128,GWL))*GAM_D)/(GAM_W*PI()*E128^2/4))</f>
        <v>3.56560525352942</v>
      </c>
    </row>
    <row r="129" customFormat="false" ht="15" hidden="false" customHeight="false" outlineLevel="0" collapsed="false">
      <c r="A129" s="25" t="s">
        <v>578</v>
      </c>
      <c r="B129" s="25" t="s">
        <v>579</v>
      </c>
      <c r="C129" s="25" t="s">
        <v>582</v>
      </c>
      <c r="D129" s="26" t="n">
        <v>0.899980000077238</v>
      </c>
      <c r="E129" s="26" t="n">
        <v>2.04120474549887</v>
      </c>
      <c r="F129" s="26" t="n">
        <v>-5.39361237274944</v>
      </c>
      <c r="G129" s="26" t="n">
        <v>-5.45723237274944</v>
      </c>
      <c r="H129" s="26" t="n">
        <v>-2.85240762725056</v>
      </c>
      <c r="I129" s="26" t="n">
        <v>-2.91602762725056</v>
      </c>
      <c r="J129" s="26" t="n">
        <v>17.43</v>
      </c>
      <c r="K129" s="27" t="n">
        <f aca="false">MIN(F129,G129)</f>
        <v>-5.45723237274944</v>
      </c>
      <c r="L129" s="27" t="n">
        <f aca="false">AVERAGE(F129,G129)</f>
        <v>-5.42542237274944</v>
      </c>
      <c r="M129" s="27" t="n">
        <f aca="false">MAX(0,NG-L129)</f>
        <v>4.72542237274944</v>
      </c>
      <c r="N129" s="27" t="n">
        <f aca="false">MAX(0,GWL-K129)</f>
        <v>3.95723237274944</v>
      </c>
      <c r="O129" s="27" t="n">
        <f aca="false">MAX(0,NG-MAX(K129,GWL))</f>
        <v>0.8</v>
      </c>
      <c r="P129" s="27" t="n">
        <f aca="false">E129/2+WS+SLOPE_A*O129+SLOPE_B*N129</f>
        <v>11.1350671182483</v>
      </c>
      <c r="Q129" s="28" t="str">
        <f aca="false">IF(AND(P129&lt;J129,N129&lt;=MAXOC),"Open cut","Shoring")</f>
        <v>Shoring</v>
      </c>
      <c r="R129" s="27" t="n">
        <f aca="false">IF(Q129="Shoring",D129,0)</f>
        <v>0.899980000077238</v>
      </c>
      <c r="S129" s="27" t="n">
        <f aca="false">MAX(0,GWL-L129)</f>
        <v>3.92542237274944</v>
      </c>
      <c r="T129" s="27" t="n">
        <f aca="false">MAX(0,NG-MAX(L129,GWL))</f>
        <v>0.8</v>
      </c>
      <c r="U129" s="27" t="n">
        <f aca="false">E129+2*WS</f>
        <v>4.04120474549887</v>
      </c>
      <c r="V129" s="27" t="n">
        <f aca="false">IF(Q129="Shoring",D129*M129*U129,0)</f>
        <v>17.186377459006</v>
      </c>
      <c r="W129" s="27" t="n">
        <f aca="false">IF(Q129="Open cut",D129*(U129*M129+SLOPE_B*S129^2+2*SLOPE_B*S129*T129+SLOPE_A*T129^2),0)</f>
        <v>0</v>
      </c>
      <c r="X129" s="27" t="n">
        <f aca="false">IF(M129&gt;0,D129*(E129+2*SLABOVH)*SLAB,0)</f>
        <v>1.36851172354449</v>
      </c>
      <c r="Y129" s="27" t="n">
        <f aca="false">IF(M129&gt;0,D129*PI()*E129^2/4,0)</f>
        <v>2.94507174021832</v>
      </c>
      <c r="Z129" s="27" t="n">
        <f aca="false">IF(H129-E129&gt;=GWL,99,E129*(MAX(0,GWL-H129)*(GAM_S-GAM_W)+MAX(0,NG-MAX(H129,GWL))*GAM_D)/(GAM_W*PI()*E129^2/4))</f>
        <v>1.61990485253227</v>
      </c>
      <c r="AA129" s="27" t="n">
        <f aca="false">IF(I129-E129&gt;=GWL,99,E129*(MAX(0,GWL-I129)*(GAM_S-GAM_W)+MAX(0,NG-MAX(I129,GWL))*GAM_D)/(GAM_W*PI()*E129^2/4))</f>
        <v>1.65303566669562</v>
      </c>
      <c r="AB129" s="27" t="n">
        <f aca="false">IF(H129-E129&gt;=GWL,99,E129*(MAX(0,GWL-H129)*(GAM_S-GAM_W)+MAX(0,FL-MAX(H129,GWL))*GAM_D)/(GAM_W*PI()*E129^2/4))</f>
        <v>3.56560525352942</v>
      </c>
      <c r="AC129" s="27" t="n">
        <f aca="false">IF(I129-E129&gt;=GWL,99,E129*(MAX(0,GWL-I129)*(GAM_S-GAM_W)+MAX(0,FL-MAX(I129,GWL))*GAM_D)/(GAM_W*PI()*E129^2/4))</f>
        <v>3.59873606769278</v>
      </c>
    </row>
    <row r="130" customFormat="false" ht="15" hidden="false" customHeight="false" outlineLevel="0" collapsed="false">
      <c r="A130" s="25" t="s">
        <v>578</v>
      </c>
      <c r="B130" s="25" t="s">
        <v>579</v>
      </c>
      <c r="C130" s="25" t="s">
        <v>583</v>
      </c>
      <c r="D130" s="26" t="n">
        <v>0.900017566780009</v>
      </c>
      <c r="E130" s="26" t="n">
        <v>2.06959046689566</v>
      </c>
      <c r="F130" s="26" t="n">
        <v>-5.47142523344783</v>
      </c>
      <c r="G130" s="26" t="n">
        <v>-5.53504523344783</v>
      </c>
      <c r="H130" s="26" t="n">
        <v>-2.90183476655217</v>
      </c>
      <c r="I130" s="26" t="n">
        <v>-2.96545476655217</v>
      </c>
      <c r="J130" s="26" t="n">
        <v>16.65</v>
      </c>
      <c r="K130" s="27" t="n">
        <f aca="false">MIN(F130,G130)</f>
        <v>-5.53504523344783</v>
      </c>
      <c r="L130" s="27" t="n">
        <f aca="false">AVERAGE(F130,G130)</f>
        <v>-5.50323523344783</v>
      </c>
      <c r="M130" s="27" t="n">
        <f aca="false">MAX(0,NG-L130)</f>
        <v>4.80323523344783</v>
      </c>
      <c r="N130" s="27" t="n">
        <f aca="false">MAX(0,GWL-K130)</f>
        <v>4.03504523344783</v>
      </c>
      <c r="O130" s="27" t="n">
        <f aca="false">MAX(0,NG-MAX(K130,GWL))</f>
        <v>0.8</v>
      </c>
      <c r="P130" s="27" t="n">
        <f aca="false">E130/2+WS+SLOPE_A*O130+SLOPE_B*N130</f>
        <v>11.3048857003435</v>
      </c>
      <c r="Q130" s="28" t="str">
        <f aca="false">IF(AND(P130&lt;J130,N130&lt;=MAXOC),"Open cut","Shoring")</f>
        <v>Shoring</v>
      </c>
      <c r="R130" s="27" t="n">
        <f aca="false">IF(Q130="Shoring",D130,0)</f>
        <v>0.900017566780009</v>
      </c>
      <c r="S130" s="27" t="n">
        <f aca="false">MAX(0,GWL-L130)</f>
        <v>4.00323523344783</v>
      </c>
      <c r="T130" s="27" t="n">
        <f aca="false">MAX(0,NG-MAX(L130,GWL))</f>
        <v>0.8</v>
      </c>
      <c r="U130" s="27" t="n">
        <f aca="false">E130+2*WS</f>
        <v>4.06959046689566</v>
      </c>
      <c r="V130" s="27" t="n">
        <f aca="false">IF(Q130="Shoring",D130*M130*U130,0)</f>
        <v>17.5928236660347</v>
      </c>
      <c r="W130" s="27" t="n">
        <f aca="false">IF(Q130="Open cut",D130*(U130*M130+SLOPE_B*S130^2+2*SLOPE_B*S130*T130+SLOPE_A*T130^2),0)</f>
        <v>0</v>
      </c>
      <c r="X130" s="27" t="n">
        <f aca="false">IF(M130&gt;0,D130*(E130+2*SLABOVH)*SLAB,0)</f>
        <v>1.38134267151327</v>
      </c>
      <c r="Y130" s="27" t="n">
        <f aca="false">IF(M130&gt;0,D130*PI()*E130^2/4,0)</f>
        <v>3.02767808984082</v>
      </c>
      <c r="Z130" s="27" t="n">
        <f aca="false">IF(H130-E130&gt;=GWL,99,E130*(MAX(0,GWL-H130)*(GAM_S-GAM_W)+MAX(0,NG-MAX(H130,GWL))*GAM_D)/(GAM_W*PI()*E130^2/4))</f>
        <v>1.62307353884446</v>
      </c>
      <c r="AA130" s="27" t="n">
        <f aca="false">IF(I130-E130&gt;=GWL,99,E130*(MAX(0,GWL-I130)*(GAM_S-GAM_W)+MAX(0,NG-MAX(I130,GWL))*GAM_D)/(GAM_W*PI()*E130^2/4))</f>
        <v>1.65574994327047</v>
      </c>
      <c r="AB130" s="27" t="n">
        <f aca="false">IF(H130-E130&gt;=GWL,99,E130*(MAX(0,GWL-H130)*(GAM_S-GAM_W)+MAX(0,FL-MAX(H130,GWL))*GAM_D)/(GAM_W*PI()*E130^2/4))</f>
        <v>3.54208744780962</v>
      </c>
      <c r="AC130" s="27" t="n">
        <f aca="false">IF(I130-E130&gt;=GWL,99,E130*(MAX(0,GWL-I130)*(GAM_S-GAM_W)+MAX(0,FL-MAX(I130,GWL))*GAM_D)/(GAM_W*PI()*E130^2/4))</f>
        <v>3.57476385223562</v>
      </c>
    </row>
    <row r="131" customFormat="false" ht="15" hidden="false" customHeight="false" outlineLevel="0" collapsed="false">
      <c r="A131" s="25" t="s">
        <v>578</v>
      </c>
      <c r="B131" s="25" t="s">
        <v>579</v>
      </c>
      <c r="C131" s="25" t="s">
        <v>584</v>
      </c>
      <c r="D131" s="26" t="n">
        <v>2.82776999996078</v>
      </c>
      <c r="E131" s="26" t="n">
        <v>2.06959046689566</v>
      </c>
      <c r="F131" s="26" t="n">
        <v>-5.53504523344783</v>
      </c>
      <c r="G131" s="26" t="n">
        <v>-5.73492523344783</v>
      </c>
      <c r="H131" s="26" t="n">
        <v>-2.96545476655217</v>
      </c>
      <c r="I131" s="26" t="n">
        <v>-3.16533476655217</v>
      </c>
      <c r="J131" s="26" t="n">
        <v>21.34</v>
      </c>
      <c r="K131" s="27" t="n">
        <f aca="false">MIN(F131,G131)</f>
        <v>-5.73492523344783</v>
      </c>
      <c r="L131" s="27" t="n">
        <f aca="false">AVERAGE(F131,G131)</f>
        <v>-5.63498523344783</v>
      </c>
      <c r="M131" s="27" t="n">
        <f aca="false">MAX(0,NG-L131)</f>
        <v>4.93498523344783</v>
      </c>
      <c r="N131" s="27" t="n">
        <f aca="false">MAX(0,GWL-K131)</f>
        <v>4.23492523344783</v>
      </c>
      <c r="O131" s="27" t="n">
        <f aca="false">MAX(0,NG-MAX(K131,GWL))</f>
        <v>0.8</v>
      </c>
      <c r="P131" s="27" t="n">
        <f aca="false">E131/2+WS+SLOPE_A*O131+SLOPE_B*N131</f>
        <v>11.7046457003435</v>
      </c>
      <c r="Q131" s="28" t="str">
        <f aca="false">IF(AND(P131&lt;J131,N131&lt;=MAXOC),"Open cut","Shoring")</f>
        <v>Shoring</v>
      </c>
      <c r="R131" s="27" t="n">
        <f aca="false">IF(Q131="Shoring",D131,0)</f>
        <v>2.82776999996078</v>
      </c>
      <c r="S131" s="27" t="n">
        <f aca="false">MAX(0,GWL-L131)</f>
        <v>4.13498523344783</v>
      </c>
      <c r="T131" s="27" t="n">
        <f aca="false">MAX(0,NG-MAX(L131,GWL))</f>
        <v>0.8</v>
      </c>
      <c r="U131" s="27" t="n">
        <f aca="false">E131+2*WS</f>
        <v>4.06959046689566</v>
      </c>
      <c r="V131" s="27" t="n">
        <f aca="false">IF(Q131="Shoring",D131*M131*U131,0)</f>
        <v>56.7911479613314</v>
      </c>
      <c r="W131" s="27" t="n">
        <f aca="false">IF(Q131="Open cut",D131*(U131*M131+SLOPE_B*S131^2+2*SLOPE_B*S131*T131+SLOPE_A*T131^2),0)</f>
        <v>0</v>
      </c>
      <c r="X131" s="27" t="n">
        <f aca="false">IF(M131&gt;0,D131*(E131+2*SLABOVH)*SLAB,0)</f>
        <v>4.34004791722657</v>
      </c>
      <c r="Y131" s="27" t="n">
        <f aca="false">IF(M131&gt;0,D131*PI()*E131^2/4,0)</f>
        <v>9.51267796096598</v>
      </c>
      <c r="Z131" s="27" t="n">
        <f aca="false">IF(H131-E131&gt;=GWL,99,E131*(MAX(0,GWL-H131)*(GAM_S-GAM_W)+MAX(0,NG-MAX(H131,GWL))*GAM_D)/(GAM_W*PI()*E131^2/4))</f>
        <v>1.65574994327047</v>
      </c>
      <c r="AA131" s="27" t="n">
        <f aca="false">IF(I131-E131&gt;=GWL,99,E131*(MAX(0,GWL-I131)*(GAM_S-GAM_W)+MAX(0,NG-MAX(I131,GWL))*GAM_D)/(GAM_W*PI()*E131^2/4))</f>
        <v>1.75841199477423</v>
      </c>
      <c r="AB131" s="27" t="n">
        <f aca="false">IF(H131-E131&gt;=GWL,99,E131*(MAX(0,GWL-H131)*(GAM_S-GAM_W)+MAX(0,FL-MAX(H131,GWL))*GAM_D)/(GAM_W*PI()*E131^2/4))</f>
        <v>3.57476385223562</v>
      </c>
      <c r="AC131" s="27" t="n">
        <f aca="false">IF(I131-E131&gt;=GWL,99,E131*(MAX(0,GWL-I131)*(GAM_S-GAM_W)+MAX(0,FL-MAX(I131,GWL))*GAM_D)/(GAM_W*PI()*E131^2/4))</f>
        <v>3.67742590373939</v>
      </c>
    </row>
    <row r="132" customFormat="false" ht="15" hidden="false" customHeight="false" outlineLevel="0" collapsed="false">
      <c r="A132" s="25" t="s">
        <v>578</v>
      </c>
      <c r="B132" s="25" t="s">
        <v>579</v>
      </c>
      <c r="C132" s="25" t="s">
        <v>585</v>
      </c>
      <c r="D132" s="26" t="n">
        <v>0.899993716138057</v>
      </c>
      <c r="E132" s="26" t="n">
        <v>2.06959046689566</v>
      </c>
      <c r="F132" s="26" t="n">
        <v>-5.73492523344783</v>
      </c>
      <c r="G132" s="26" t="n">
        <v>-5.79854523344783</v>
      </c>
      <c r="H132" s="26" t="n">
        <v>-3.16533476655217</v>
      </c>
      <c r="I132" s="26" t="n">
        <v>-3.22895476655217</v>
      </c>
      <c r="J132" s="26" t="n">
        <v>23.13</v>
      </c>
      <c r="K132" s="27" t="n">
        <f aca="false">MIN(F132,G132)</f>
        <v>-5.79854523344783</v>
      </c>
      <c r="L132" s="27" t="n">
        <f aca="false">AVERAGE(F132,G132)</f>
        <v>-5.76673523344783</v>
      </c>
      <c r="M132" s="27" t="n">
        <f aca="false">MAX(0,NG-L132)</f>
        <v>5.06673523344783</v>
      </c>
      <c r="N132" s="27" t="n">
        <f aca="false">MAX(0,GWL-K132)</f>
        <v>4.29854523344783</v>
      </c>
      <c r="O132" s="27" t="n">
        <f aca="false">MAX(0,NG-MAX(K132,GWL))</f>
        <v>0.8</v>
      </c>
      <c r="P132" s="27" t="n">
        <f aca="false">E132/2+WS+SLOPE_A*O132+SLOPE_B*N132</f>
        <v>11.8318857003435</v>
      </c>
      <c r="Q132" s="28" t="str">
        <f aca="false">IF(AND(P132&lt;J132,N132&lt;=MAXOC),"Open cut","Shoring")</f>
        <v>Shoring</v>
      </c>
      <c r="R132" s="27" t="n">
        <f aca="false">IF(Q132="Shoring",D132,0)</f>
        <v>0.899993716138057</v>
      </c>
      <c r="S132" s="27" t="n">
        <f aca="false">MAX(0,GWL-L132)</f>
        <v>4.26673523344783</v>
      </c>
      <c r="T132" s="27" t="n">
        <f aca="false">MAX(0,NG-MAX(L132,GWL))</f>
        <v>0.8</v>
      </c>
      <c r="U132" s="27" t="n">
        <f aca="false">E132+2*WS</f>
        <v>4.06959046689566</v>
      </c>
      <c r="V132" s="27" t="n">
        <f aca="false">IF(Q132="Shoring",D132*M132*U132,0)</f>
        <v>18.5574540935649</v>
      </c>
      <c r="W132" s="27" t="n">
        <f aca="false">IF(Q132="Open cut",D132*(U132*M132+SLOPE_B*S132^2+2*SLOPE_B*S132*T132+SLOPE_A*T132^2),0)</f>
        <v>0</v>
      </c>
      <c r="X132" s="27" t="n">
        <f aca="false">IF(M132&gt;0,D132*(E132+2*SLABOVH)*SLAB,0)</f>
        <v>1.38130606566169</v>
      </c>
      <c r="Y132" s="27" t="n">
        <f aca="false">IF(M132&gt;0,D132*PI()*E132^2/4,0)</f>
        <v>3.02759785577792</v>
      </c>
      <c r="Z132" s="27" t="n">
        <f aca="false">IF(H132-E132&gt;=GWL,99,E132*(MAX(0,GWL-H132)*(GAM_S-GAM_W)+MAX(0,NG-MAX(H132,GWL))*GAM_D)/(GAM_W*PI()*E132^2/4))</f>
        <v>1.75841199477423</v>
      </c>
      <c r="AA132" s="27" t="n">
        <f aca="false">IF(I132-E132&gt;=GWL,99,E132*(MAX(0,GWL-I132)*(GAM_S-GAM_W)+MAX(0,NG-MAX(I132,GWL))*GAM_D)/(GAM_W*PI()*E132^2/4))</f>
        <v>1.79108839920023</v>
      </c>
      <c r="AB132" s="27" t="n">
        <f aca="false">IF(H132-E132&gt;=GWL,99,E132*(MAX(0,GWL-H132)*(GAM_S-GAM_W)+MAX(0,FL-MAX(H132,GWL))*GAM_D)/(GAM_W*PI()*E132^2/4))</f>
        <v>3.67742590373939</v>
      </c>
      <c r="AC132" s="27" t="n">
        <f aca="false">IF(I132-E132&gt;=GWL,99,E132*(MAX(0,GWL-I132)*(GAM_S-GAM_W)+MAX(0,FL-MAX(I132,GWL))*GAM_D)/(GAM_W*PI()*E132^2/4))</f>
        <v>3.71010230816539</v>
      </c>
    </row>
    <row r="133" customFormat="false" ht="15" hidden="false" customHeight="false" outlineLevel="0" collapsed="false">
      <c r="A133" s="25" t="s">
        <v>578</v>
      </c>
      <c r="B133" s="25" t="s">
        <v>579</v>
      </c>
      <c r="C133" s="25" t="s">
        <v>586</v>
      </c>
      <c r="D133" s="26" t="n">
        <v>0.59031185463717</v>
      </c>
      <c r="E133" s="26" t="n">
        <v>2.06959766203719</v>
      </c>
      <c r="F133" s="26" t="n">
        <v>-5.79854883101859</v>
      </c>
      <c r="G133" s="26" t="n">
        <v>-5.84027722134341</v>
      </c>
      <c r="H133" s="26" t="n">
        <v>-3.22895116898141</v>
      </c>
      <c r="I133" s="26" t="n">
        <v>-3.27067955930623</v>
      </c>
      <c r="J133" s="26" t="n">
        <v>23.39</v>
      </c>
      <c r="K133" s="27" t="n">
        <f aca="false">MIN(F133,G133)</f>
        <v>-5.84027722134341</v>
      </c>
      <c r="L133" s="27" t="n">
        <f aca="false">AVERAGE(F133,G133)</f>
        <v>-5.819413026181</v>
      </c>
      <c r="M133" s="27" t="n">
        <f aca="false">MAX(0,NG-L133)</f>
        <v>5.119413026181</v>
      </c>
      <c r="N133" s="27" t="n">
        <f aca="false">MAX(0,GWL-K133)</f>
        <v>4.34027722134341</v>
      </c>
      <c r="O133" s="27" t="n">
        <f aca="false">MAX(0,NG-MAX(K133,GWL))</f>
        <v>0.8</v>
      </c>
      <c r="P133" s="27" t="n">
        <f aca="false">E133/2+WS+SLOPE_A*O133+SLOPE_B*N133</f>
        <v>11.9153532737054</v>
      </c>
      <c r="Q133" s="28" t="str">
        <f aca="false">IF(AND(P133&lt;J133,N133&lt;=MAXOC),"Open cut","Shoring")</f>
        <v>Shoring</v>
      </c>
      <c r="R133" s="27" t="n">
        <f aca="false">IF(Q133="Shoring",D133,0)</f>
        <v>0.59031185463717</v>
      </c>
      <c r="S133" s="27" t="n">
        <f aca="false">MAX(0,GWL-L133)</f>
        <v>4.319413026181</v>
      </c>
      <c r="T133" s="27" t="n">
        <f aca="false">MAX(0,NG-MAX(L133,GWL))</f>
        <v>0.8</v>
      </c>
      <c r="U133" s="27" t="n">
        <f aca="false">E133+2*WS</f>
        <v>4.06959766203719</v>
      </c>
      <c r="V133" s="27" t="n">
        <f aca="false">IF(Q133="Shoring",D133*M133*U133,0)</f>
        <v>12.2985284209039</v>
      </c>
      <c r="W133" s="27" t="n">
        <f aca="false">IF(Q133="Open cut",D133*(U133*M133+SLOPE_B*S133^2+2*SLOPE_B*S133*T133+SLOPE_A*T133^2),0)</f>
        <v>0</v>
      </c>
      <c r="X133" s="27" t="n">
        <f aca="false">IF(M133&gt;0,D133*(E133+2*SLABOVH)*SLAB,0)</f>
        <v>0.906009944433547</v>
      </c>
      <c r="Y133" s="27" t="n">
        <f aca="false">IF(M133&gt;0,D133*PI()*E133^2/4,0)</f>
        <v>1.98583534558709</v>
      </c>
      <c r="Z133" s="27" t="n">
        <f aca="false">IF(H133-E133&gt;=GWL,99,E133*(MAX(0,GWL-H133)*(GAM_S-GAM_W)+MAX(0,NG-MAX(H133,GWL))*GAM_D)/(GAM_W*PI()*E133^2/4))</f>
        <v>1.79108032454887</v>
      </c>
      <c r="AA133" s="27" t="n">
        <f aca="false">IF(I133-E133&gt;=GWL,99,E133*(MAX(0,GWL-I133)*(GAM_S-GAM_W)+MAX(0,NG-MAX(I133,GWL))*GAM_D)/(GAM_W*PI()*E133^2/4))</f>
        <v>1.8125127203026</v>
      </c>
      <c r="AB133" s="27" t="n">
        <f aca="false">IF(H133-E133&gt;=GWL,99,E133*(MAX(0,GWL-H133)*(GAM_S-GAM_W)+MAX(0,FL-MAX(H133,GWL))*GAM_D)/(GAM_W*PI()*E133^2/4))</f>
        <v>3.71008756189039</v>
      </c>
      <c r="AC133" s="27" t="n">
        <f aca="false">IF(I133-E133&gt;=GWL,99,E133*(MAX(0,GWL-I133)*(GAM_S-GAM_W)+MAX(0,FL-MAX(I133,GWL))*GAM_D)/(GAM_W*PI()*E133^2/4))</f>
        <v>3.73151995764413</v>
      </c>
    </row>
    <row r="134" customFormat="false" ht="15" hidden="false" customHeight="false" outlineLevel="0" collapsed="false">
      <c r="A134" s="25" t="s">
        <v>578</v>
      </c>
      <c r="B134" s="25" t="s">
        <v>579</v>
      </c>
      <c r="C134" s="25" t="s">
        <v>587</v>
      </c>
      <c r="D134" s="26" t="n">
        <v>0.309690275419048</v>
      </c>
      <c r="E134" s="26" t="n">
        <v>2.06959766203719</v>
      </c>
      <c r="F134" s="26" t="n">
        <v>-5.84027722134341</v>
      </c>
      <c r="G134" s="26" t="n">
        <v>-5.86216883101859</v>
      </c>
      <c r="H134" s="26" t="n">
        <v>-3.27067955930623</v>
      </c>
      <c r="I134" s="26" t="n">
        <v>-3.29257116898141</v>
      </c>
      <c r="J134" s="26" t="n">
        <v>23.23</v>
      </c>
      <c r="K134" s="27" t="n">
        <f aca="false">MIN(F134,G134)</f>
        <v>-5.86216883101859</v>
      </c>
      <c r="L134" s="27" t="n">
        <f aca="false">AVERAGE(F134,G134)</f>
        <v>-5.851223026181</v>
      </c>
      <c r="M134" s="27" t="n">
        <f aca="false">MAX(0,NG-L134)</f>
        <v>5.151223026181</v>
      </c>
      <c r="N134" s="27" t="n">
        <f aca="false">MAX(0,GWL-K134)</f>
        <v>4.36216883101859</v>
      </c>
      <c r="O134" s="27" t="n">
        <f aca="false">MAX(0,NG-MAX(K134,GWL))</f>
        <v>0.8</v>
      </c>
      <c r="P134" s="27" t="n">
        <f aca="false">E134/2+WS+SLOPE_A*O134+SLOPE_B*N134</f>
        <v>11.9591364930558</v>
      </c>
      <c r="Q134" s="28" t="str">
        <f aca="false">IF(AND(P134&lt;J134,N134&lt;=MAXOC),"Open cut","Shoring")</f>
        <v>Shoring</v>
      </c>
      <c r="R134" s="27" t="n">
        <f aca="false">IF(Q134="Shoring",D134,0)</f>
        <v>0.309690275419048</v>
      </c>
      <c r="S134" s="27" t="n">
        <f aca="false">MAX(0,GWL-L134)</f>
        <v>4.351223026181</v>
      </c>
      <c r="T134" s="27" t="n">
        <f aca="false">MAX(0,NG-MAX(L134,GWL))</f>
        <v>0.8</v>
      </c>
      <c r="U134" s="27" t="n">
        <f aca="false">E134+2*WS</f>
        <v>4.06959766203719</v>
      </c>
      <c r="V134" s="27" t="n">
        <f aca="false">IF(Q134="Shoring",D134*M134*U134,0)</f>
        <v>6.49216272514734</v>
      </c>
      <c r="W134" s="27" t="n">
        <f aca="false">IF(Q134="Open cut",D134*(U134*M134+SLOPE_B*S134^2+2*SLOPE_B*S134*T134+SLOPE_A*T134^2),0)</f>
        <v>0</v>
      </c>
      <c r="X134" s="27" t="n">
        <f aca="false">IF(M134&gt;0,D134*(E134+2*SLABOVH)*SLAB,0)</f>
        <v>0.47531227269098</v>
      </c>
      <c r="Y134" s="27" t="n">
        <f aca="false">IF(M134&gt;0,D134*PI()*E134^2/4,0)</f>
        <v>1.04181186652561</v>
      </c>
      <c r="Z134" s="27" t="n">
        <f aca="false">IF(H134-E134&gt;=GWL,99,E134*(MAX(0,GWL-H134)*(GAM_S-GAM_W)+MAX(0,NG-MAX(H134,GWL))*GAM_D)/(GAM_W*PI()*E134^2/4))</f>
        <v>1.8125127203026</v>
      </c>
      <c r="AA134" s="27" t="n">
        <f aca="false">IF(I134-E134&gt;=GWL,99,E134*(MAX(0,GWL-I134)*(GAM_S-GAM_W)+MAX(0,NG-MAX(I134,GWL))*GAM_D)/(GAM_W*PI()*E134^2/4))</f>
        <v>1.82375661537242</v>
      </c>
      <c r="AB134" s="27" t="n">
        <f aca="false">IF(H134-E134&gt;=GWL,99,E134*(MAX(0,GWL-H134)*(GAM_S-GAM_W)+MAX(0,FL-MAX(H134,GWL))*GAM_D)/(GAM_W*PI()*E134^2/4))</f>
        <v>3.73151995764413</v>
      </c>
      <c r="AC134" s="27" t="n">
        <f aca="false">IF(I134-E134&gt;=GWL,99,E134*(MAX(0,GWL-I134)*(GAM_S-GAM_W)+MAX(0,FL-MAX(I134,GWL))*GAM_D)/(GAM_W*PI()*E134^2/4))</f>
        <v>3.74276385271395</v>
      </c>
    </row>
    <row r="135" customFormat="false" ht="15" hidden="false" customHeight="false" outlineLevel="0" collapsed="false">
      <c r="A135" s="25" t="s">
        <v>578</v>
      </c>
      <c r="B135" s="25" t="s">
        <v>588</v>
      </c>
      <c r="C135" s="25" t="s">
        <v>589</v>
      </c>
      <c r="D135" s="26" t="n">
        <v>0.330170000456831</v>
      </c>
      <c r="E135" s="26" t="n">
        <v>2.06959766203719</v>
      </c>
      <c r="F135" s="26" t="n">
        <v>-5.86216883101859</v>
      </c>
      <c r="G135" s="26" t="n">
        <v>-5.88550883101859</v>
      </c>
      <c r="H135" s="26" t="n">
        <v>-3.29257116898141</v>
      </c>
      <c r="I135" s="26" t="n">
        <v>-3.31591116898141</v>
      </c>
      <c r="J135" s="26" t="n">
        <v>23.06</v>
      </c>
      <c r="K135" s="27" t="n">
        <f aca="false">MIN(F135,G135)</f>
        <v>-5.88550883101859</v>
      </c>
      <c r="L135" s="27" t="n">
        <f aca="false">AVERAGE(F135,G135)</f>
        <v>-5.87383883101859</v>
      </c>
      <c r="M135" s="27" t="n">
        <f aca="false">MAX(0,NG-L135)</f>
        <v>5.17383883101859</v>
      </c>
      <c r="N135" s="27" t="n">
        <f aca="false">MAX(0,GWL-K135)</f>
        <v>4.38550883101859</v>
      </c>
      <c r="O135" s="27" t="n">
        <f aca="false">MAX(0,NG-MAX(K135,GWL))</f>
        <v>0.8</v>
      </c>
      <c r="P135" s="27" t="n">
        <f aca="false">E135/2+WS+SLOPE_A*O135+SLOPE_B*N135</f>
        <v>12.0058164930558</v>
      </c>
      <c r="Q135" s="28" t="str">
        <f aca="false">IF(AND(P135&lt;J135,N135&lt;=MAXOC),"Open cut","Shoring")</f>
        <v>Shoring</v>
      </c>
      <c r="R135" s="27" t="n">
        <f aca="false">IF(Q135="Shoring",D135,0)</f>
        <v>0.330170000456831</v>
      </c>
      <c r="S135" s="27" t="n">
        <f aca="false">MAX(0,GWL-L135)</f>
        <v>4.37383883101859</v>
      </c>
      <c r="T135" s="27" t="n">
        <f aca="false">MAX(0,NG-MAX(L135,GWL))</f>
        <v>0.8</v>
      </c>
      <c r="U135" s="27" t="n">
        <f aca="false">E135+2*WS</f>
        <v>4.06959766203719</v>
      </c>
      <c r="V135" s="27" t="n">
        <f aca="false">IF(Q135="Shoring",D135*M135*U135,0)</f>
        <v>6.95187543028381</v>
      </c>
      <c r="W135" s="27" t="n">
        <f aca="false">IF(Q135="Open cut",D135*(U135*M135+SLOPE_B*S135^2+2*SLOPE_B*S135*T135+SLOPE_A*T135^2),0)</f>
        <v>0</v>
      </c>
      <c r="X135" s="27" t="n">
        <f aca="false">IF(M135&gt;0,D135*(E135+2*SLABOVH)*SLAB,0)</f>
        <v>0.506744530738552</v>
      </c>
      <c r="Y135" s="27" t="n">
        <f aca="false">IF(M135&gt;0,D135*PI()*E135^2/4,0)</f>
        <v>1.11070657282103</v>
      </c>
      <c r="Z135" s="27" t="n">
        <f aca="false">IF(H135-E135&gt;=GWL,99,E135*(MAX(0,GWL-H135)*(GAM_S-GAM_W)+MAX(0,NG-MAX(H135,GWL))*GAM_D)/(GAM_W*PI()*E135^2/4))</f>
        <v>1.82375661537242</v>
      </c>
      <c r="AA135" s="27" t="n">
        <f aca="false">IF(I135-E135&gt;=GWL,99,E135*(MAX(0,GWL-I135)*(GAM_S-GAM_W)+MAX(0,NG-MAX(I135,GWL))*GAM_D)/(GAM_W*PI()*E135^2/4))</f>
        <v>1.83574442781854</v>
      </c>
      <c r="AB135" s="27" t="n">
        <f aca="false">IF(H135-E135&gt;=GWL,99,E135*(MAX(0,GWL-H135)*(GAM_S-GAM_W)+MAX(0,FL-MAX(H135,GWL))*GAM_D)/(GAM_W*PI()*E135^2/4))</f>
        <v>3.74276385271395</v>
      </c>
      <c r="AC135" s="27" t="n">
        <f aca="false">IF(I135-E135&gt;=GWL,99,E135*(MAX(0,GWL-I135)*(GAM_S-GAM_W)+MAX(0,FL-MAX(I135,GWL))*GAM_D)/(GAM_W*PI()*E135^2/4))</f>
        <v>3.75475166516006</v>
      </c>
    </row>
    <row r="136" customFormat="false" ht="15" hidden="false" customHeight="false" outlineLevel="0" collapsed="false">
      <c r="A136" s="25" t="s">
        <v>578</v>
      </c>
      <c r="B136" s="25" t="s">
        <v>588</v>
      </c>
      <c r="C136" s="25" t="s">
        <v>590</v>
      </c>
      <c r="D136" s="26" t="n">
        <v>9.36013972364167</v>
      </c>
      <c r="E136" s="26" t="n">
        <v>2.06959766200652</v>
      </c>
      <c r="F136" s="26" t="n">
        <v>-5.88550883100326</v>
      </c>
      <c r="G136" s="26" t="n">
        <v>-6.54713623155121</v>
      </c>
      <c r="H136" s="26" t="n">
        <v>-3.31591116899674</v>
      </c>
      <c r="I136" s="26" t="n">
        <v>-3.97753856954469</v>
      </c>
      <c r="J136" s="26" t="n">
        <v>19.94</v>
      </c>
      <c r="K136" s="27" t="n">
        <f aca="false">MIN(F136,G136)</f>
        <v>-6.54713623155121</v>
      </c>
      <c r="L136" s="27" t="n">
        <f aca="false">AVERAGE(F136,G136)</f>
        <v>-6.21632253127724</v>
      </c>
      <c r="M136" s="27" t="n">
        <f aca="false">MAX(0,NG-L136)</f>
        <v>5.51632253127724</v>
      </c>
      <c r="N136" s="27" t="n">
        <f aca="false">MAX(0,GWL-K136)</f>
        <v>5.04713623155121</v>
      </c>
      <c r="O136" s="27" t="n">
        <f aca="false">MAX(0,NG-MAX(K136,GWL))</f>
        <v>0.8</v>
      </c>
      <c r="P136" s="27" t="n">
        <f aca="false">E136/2+WS+SLOPE_A*O136+SLOPE_B*N136</f>
        <v>13.3290712941057</v>
      </c>
      <c r="Q136" s="28" t="str">
        <f aca="false">IF(AND(P136&lt;J136,N136&lt;=MAXOC),"Open cut","Shoring")</f>
        <v>Shoring</v>
      </c>
      <c r="R136" s="27" t="n">
        <f aca="false">IF(Q136="Shoring",D136,0)</f>
        <v>9.36013972364167</v>
      </c>
      <c r="S136" s="27" t="n">
        <f aca="false">MAX(0,GWL-L136)</f>
        <v>4.71632253127724</v>
      </c>
      <c r="T136" s="27" t="n">
        <f aca="false">MAX(0,NG-MAX(L136,GWL))</f>
        <v>0.8</v>
      </c>
      <c r="U136" s="27" t="n">
        <f aca="false">E136+2*WS</f>
        <v>4.06959766200652</v>
      </c>
      <c r="V136" s="27" t="n">
        <f aca="false">IF(Q136="Shoring",D136*M136*U136,0)</f>
        <v>210.127772950687</v>
      </c>
      <c r="W136" s="27" t="n">
        <f aca="false">IF(Q136="Open cut",D136*(U136*M136+SLOPE_B*S136^2+2*SLOPE_B*S136*T136+SLOPE_A*T136^2),0)</f>
        <v>0</v>
      </c>
      <c r="X136" s="27" t="n">
        <f aca="false">IF(M136&gt;0,D136*(E136+2*SLABOVH)*SLAB,0)</f>
        <v>14.3659315058724</v>
      </c>
      <c r="Y136" s="27" t="n">
        <f aca="false">IF(M136&gt;0,D136*PI()*E136^2/4,0)</f>
        <v>31.4879265193061</v>
      </c>
      <c r="Z136" s="27" t="n">
        <f aca="false">IF(H136-E136&gt;=GWL,99,E136*(MAX(0,GWL-H136)*(GAM_S-GAM_W)+MAX(0,NG-MAX(H136,GWL))*GAM_D)/(GAM_W*PI()*E136^2/4))</f>
        <v>1.83574442785362</v>
      </c>
      <c r="AA136" s="27" t="n">
        <f aca="false">IF(I136-E136&gt;=GWL,99,E136*(MAX(0,GWL-I136)*(GAM_S-GAM_W)+MAX(0,NG-MAX(I136,GWL))*GAM_D)/(GAM_W*PI()*E136^2/4))</f>
        <v>2.17556727220225</v>
      </c>
      <c r="AB136" s="27" t="n">
        <f aca="false">IF(H136-E136&gt;=GWL,99,E136*(MAX(0,GWL-H136)*(GAM_S-GAM_W)+MAX(0,FL-MAX(H136,GWL))*GAM_D)/(GAM_W*PI()*E136^2/4))</f>
        <v>3.75475166522357</v>
      </c>
      <c r="AC136" s="27" t="n">
        <f aca="false">IF(I136-E136&gt;=GWL,99,E136*(MAX(0,GWL-I136)*(GAM_S-GAM_W)+MAX(0,FL-MAX(I136,GWL))*GAM_D)/(GAM_W*PI()*E136^2/4))</f>
        <v>4.0945745095722</v>
      </c>
    </row>
    <row r="137" customFormat="false" ht="15" hidden="false" customHeight="false" outlineLevel="0" collapsed="false">
      <c r="A137" s="25" t="s">
        <v>578</v>
      </c>
      <c r="B137" s="25" t="s">
        <v>588</v>
      </c>
      <c r="C137" s="25" t="s">
        <v>591</v>
      </c>
      <c r="D137" s="26" t="n">
        <v>2.65489027622049</v>
      </c>
      <c r="E137" s="26" t="n">
        <v>2.06959766200652</v>
      </c>
      <c r="F137" s="26" t="n">
        <v>-6.54713623155121</v>
      </c>
      <c r="G137" s="26" t="n">
        <v>-6.73479883100326</v>
      </c>
      <c r="H137" s="26" t="n">
        <v>-3.97753856954469</v>
      </c>
      <c r="I137" s="26" t="n">
        <v>-4.16520116899674</v>
      </c>
      <c r="J137" s="26" t="n">
        <v>19.53</v>
      </c>
      <c r="K137" s="27" t="n">
        <f aca="false">MIN(F137,G137)</f>
        <v>-6.73479883100326</v>
      </c>
      <c r="L137" s="27" t="n">
        <f aca="false">AVERAGE(F137,G137)</f>
        <v>-6.64096753127724</v>
      </c>
      <c r="M137" s="27" t="n">
        <f aca="false">MAX(0,NG-L137)</f>
        <v>5.94096753127724</v>
      </c>
      <c r="N137" s="27" t="n">
        <f aca="false">MAX(0,GWL-K137)</f>
        <v>5.23479883100326</v>
      </c>
      <c r="O137" s="27" t="n">
        <f aca="false">MAX(0,NG-MAX(K137,GWL))</f>
        <v>0.8</v>
      </c>
      <c r="P137" s="27" t="n">
        <f aca="false">E137/2+WS+SLOPE_A*O137+SLOPE_B*N137</f>
        <v>13.7043964930098</v>
      </c>
      <c r="Q137" s="28" t="str">
        <f aca="false">IF(AND(P137&lt;J137,N137&lt;=MAXOC),"Open cut","Shoring")</f>
        <v>Shoring</v>
      </c>
      <c r="R137" s="27" t="n">
        <f aca="false">IF(Q137="Shoring",D137,0)</f>
        <v>2.65489027622049</v>
      </c>
      <c r="S137" s="27" t="n">
        <f aca="false">MAX(0,GWL-L137)</f>
        <v>5.14096753127724</v>
      </c>
      <c r="T137" s="27" t="n">
        <f aca="false">MAX(0,NG-MAX(L137,GWL))</f>
        <v>0.8</v>
      </c>
      <c r="U137" s="27" t="n">
        <f aca="false">E137+2*WS</f>
        <v>4.06959766200652</v>
      </c>
      <c r="V137" s="27" t="n">
        <f aca="false">IF(Q137="Shoring",D137*M137*U137,0)</f>
        <v>64.1882049825798</v>
      </c>
      <c r="W137" s="27" t="n">
        <f aca="false">IF(Q137="Open cut",D137*(U137*M137+SLOPE_B*S137^2+2*SLOPE_B*S137*T137+SLOPE_A*T137^2),0)</f>
        <v>0</v>
      </c>
      <c r="X137" s="27" t="n">
        <f aca="false">IF(M137&gt;0,D137*(E137+2*SLABOVH)*SLAB,0)</f>
        <v>4.07472249238513</v>
      </c>
      <c r="Y137" s="27" t="n">
        <f aca="false">IF(M137&gt;0,D137*PI()*E137^2/4,0)</f>
        <v>8.93116902125973</v>
      </c>
      <c r="Z137" s="27" t="n">
        <f aca="false">IF(H137-E137&gt;=GWL,99,E137*(MAX(0,GWL-H137)*(GAM_S-GAM_W)+MAX(0,NG-MAX(H137,GWL))*GAM_D)/(GAM_W*PI()*E137^2/4))</f>
        <v>2.17556727220225</v>
      </c>
      <c r="AA137" s="27" t="n">
        <f aca="false">IF(I137-E137&gt;=GWL,99,E137*(MAX(0,GWL-I137)*(GAM_S-GAM_W)+MAX(0,NG-MAX(I137,GWL))*GAM_D)/(GAM_W*PI()*E137^2/4))</f>
        <v>2.27195390653879</v>
      </c>
      <c r="AB137" s="27" t="n">
        <f aca="false">IF(H137-E137&gt;=GWL,99,E137*(MAX(0,GWL-H137)*(GAM_S-GAM_W)+MAX(0,FL-MAX(H137,GWL))*GAM_D)/(GAM_W*PI()*E137^2/4))</f>
        <v>4.0945745095722</v>
      </c>
      <c r="AC137" s="27" t="n">
        <f aca="false">IF(I137-E137&gt;=GWL,99,E137*(MAX(0,GWL-I137)*(GAM_S-GAM_W)+MAX(0,FL-MAX(I137,GWL))*GAM_D)/(GAM_W*PI()*E137^2/4))</f>
        <v>4.19096114390875</v>
      </c>
    </row>
    <row r="138" customFormat="false" ht="15" hidden="false" customHeight="false" outlineLevel="0" collapsed="false">
      <c r="A138" s="25" t="s">
        <v>592</v>
      </c>
      <c r="B138" s="25" t="s">
        <v>593</v>
      </c>
      <c r="C138" s="25" t="s">
        <v>594</v>
      </c>
      <c r="D138" s="26" t="n">
        <v>5.99999999987172</v>
      </c>
      <c r="E138" s="26" t="n">
        <v>2.27639231323138</v>
      </c>
      <c r="F138" s="26" t="n">
        <v>-3.63819615661569</v>
      </c>
      <c r="G138" s="26" t="n">
        <v>-3.66034860200654</v>
      </c>
      <c r="H138" s="26" t="n">
        <v>-0.861803843384309</v>
      </c>
      <c r="I138" s="26" t="n">
        <v>-0.883956288775159</v>
      </c>
      <c r="J138" s="26" t="n">
        <v>17.96</v>
      </c>
      <c r="K138" s="27" t="n">
        <f aca="false">MIN(F138,G138)</f>
        <v>-3.66034860200654</v>
      </c>
      <c r="L138" s="27" t="n">
        <f aca="false">AVERAGE(F138,G138)</f>
        <v>-3.64927237931112</v>
      </c>
      <c r="M138" s="27" t="n">
        <f aca="false">MAX(0,NG-L138)</f>
        <v>2.94927237931112</v>
      </c>
      <c r="N138" s="27" t="n">
        <f aca="false">MAX(0,GWL-K138)</f>
        <v>2.16034860200654</v>
      </c>
      <c r="O138" s="27" t="n">
        <f aca="false">MAX(0,NG-MAX(K138,GWL))</f>
        <v>0.8</v>
      </c>
      <c r="P138" s="27" t="n">
        <f aca="false">E138/2+WS+SLOPE_A*O138+SLOPE_B*N138</f>
        <v>7.65889336062877</v>
      </c>
      <c r="Q138" s="28" t="str">
        <f aca="false">IF(AND(P138&lt;J138,N138&lt;=MAXOC),"Open cut","Shoring")</f>
        <v>Open cut</v>
      </c>
      <c r="R138" s="27" t="n">
        <f aca="false">IF(Q138="Shoring",D138,0)</f>
        <v>0</v>
      </c>
      <c r="S138" s="27" t="n">
        <f aca="false">MAX(0,GWL-L138)</f>
        <v>2.14927237931112</v>
      </c>
      <c r="T138" s="27" t="n">
        <f aca="false">MAX(0,NG-MAX(L138,GWL))</f>
        <v>0.8</v>
      </c>
      <c r="U138" s="27" t="n">
        <f aca="false">E138+2*WS</f>
        <v>4.27639231323138</v>
      </c>
      <c r="V138" s="27" t="n">
        <f aca="false">IF(Q138="Shoring",D138*M138*U138,0)</f>
        <v>0</v>
      </c>
      <c r="W138" s="27" t="n">
        <f aca="false">IF(Q138="Open cut",D138*(U138*M138+SLOPE_B*S138^2+2*SLOPE_B*S138*T138+SLOPE_A*T138^2),0)</f>
        <v>178.131965199671</v>
      </c>
      <c r="X138" s="27" t="n">
        <f aca="false">IF(M138&gt;0,D138*(E138+2*SLABOVH)*SLAB,0)</f>
        <v>9.829176939484</v>
      </c>
      <c r="Y138" s="27" t="n">
        <f aca="false">IF(M138&gt;0,D138*PI()*E138^2/4,0)</f>
        <v>24.4194204541738</v>
      </c>
      <c r="Z138" s="27" t="n">
        <f aca="false">IF(H138-E138&gt;=GWL,99,E138*(MAX(0,GWL-H138)*(GAM_S-GAM_W)+MAX(0,NG-MAX(H138,GWL))*GAM_D)/(GAM_W*PI()*E138^2/4))</f>
        <v>0.166056293249781</v>
      </c>
      <c r="AA138" s="27" t="n">
        <f aca="false">IF(I138-E138&gt;=GWL,99,E138*(MAX(0,GWL-I138)*(GAM_S-GAM_W)+MAX(0,NG-MAX(I138,GWL))*GAM_D)/(GAM_W*PI()*E138^2/4))</f>
        <v>0.188790938429288</v>
      </c>
      <c r="AB138" s="27" t="n">
        <f aca="false">IF(H138-E138&gt;=GWL,99,E138*(MAX(0,GWL-H138)*(GAM_S-GAM_W)+MAX(0,FL-MAX(H138,GWL))*GAM_D)/(GAM_W*PI()*E138^2/4))</f>
        <v>1.91073486589736</v>
      </c>
      <c r="AC138" s="27" t="n">
        <f aca="false">IF(I138-E138&gt;=GWL,99,E138*(MAX(0,GWL-I138)*(GAM_S-GAM_W)+MAX(0,FL-MAX(I138,GWL))*GAM_D)/(GAM_W*PI()*E138^2/4))</f>
        <v>1.93346951107687</v>
      </c>
    </row>
    <row r="139" customFormat="false" ht="15" hidden="false" customHeight="false" outlineLevel="0" collapsed="false">
      <c r="A139" s="25" t="s">
        <v>592</v>
      </c>
      <c r="B139" s="25" t="s">
        <v>595</v>
      </c>
      <c r="C139" s="25" t="s">
        <v>596</v>
      </c>
      <c r="D139" s="26" t="n">
        <v>4.00000000066141</v>
      </c>
      <c r="E139" s="26" t="n">
        <v>2.27639231323138</v>
      </c>
      <c r="F139" s="26" t="n">
        <v>-3.66034860200654</v>
      </c>
      <c r="G139" s="26" t="n">
        <v>-3.67511689893378</v>
      </c>
      <c r="H139" s="26" t="n">
        <v>-0.883956288775159</v>
      </c>
      <c r="I139" s="26" t="n">
        <v>-0.898724585702391</v>
      </c>
      <c r="J139" s="26" t="n">
        <v>15.4</v>
      </c>
      <c r="K139" s="27" t="n">
        <f aca="false">MIN(F139,G139)</f>
        <v>-3.67511689893378</v>
      </c>
      <c r="L139" s="27" t="n">
        <f aca="false">AVERAGE(F139,G139)</f>
        <v>-3.66773275047016</v>
      </c>
      <c r="M139" s="27" t="n">
        <f aca="false">MAX(0,NG-L139)</f>
        <v>2.96773275047016</v>
      </c>
      <c r="N139" s="27" t="n">
        <f aca="false">MAX(0,GWL-K139)</f>
        <v>2.17511689893378</v>
      </c>
      <c r="O139" s="27" t="n">
        <f aca="false">MAX(0,NG-MAX(K139,GWL))</f>
        <v>0.8</v>
      </c>
      <c r="P139" s="27" t="n">
        <f aca="false">E139/2+WS+SLOPE_A*O139+SLOPE_B*N139</f>
        <v>7.68842995448324</v>
      </c>
      <c r="Q139" s="28" t="str">
        <f aca="false">IF(AND(P139&lt;J139,N139&lt;=MAXOC),"Open cut","Shoring")</f>
        <v>Open cut</v>
      </c>
      <c r="R139" s="27" t="n">
        <f aca="false">IF(Q139="Shoring",D139,0)</f>
        <v>0</v>
      </c>
      <c r="S139" s="27" t="n">
        <f aca="false">MAX(0,GWL-L139)</f>
        <v>2.16773275047016</v>
      </c>
      <c r="T139" s="27" t="n">
        <f aca="false">MAX(0,NG-MAX(L139,GWL))</f>
        <v>0.8</v>
      </c>
      <c r="U139" s="27" t="n">
        <f aca="false">E139+2*WS</f>
        <v>4.27639231323138</v>
      </c>
      <c r="V139" s="27" t="n">
        <f aca="false">IF(Q139="Shoring",D139*M139*U139,0)</f>
        <v>0</v>
      </c>
      <c r="W139" s="27" t="n">
        <f aca="false">IF(Q139="Open cut",D139*(U139*M139+SLOPE_B*S139^2+2*SLOPE_B*S139*T139+SLOPE_A*T139^2),0)</f>
        <v>119.944259532881</v>
      </c>
      <c r="X139" s="27" t="n">
        <f aca="false">IF(M139&gt;0,D139*(E139+2*SLABOVH)*SLAB,0)</f>
        <v>6.55278462754629</v>
      </c>
      <c r="Y139" s="27" t="n">
        <f aca="false">IF(M139&gt;0,D139*PI()*E139^2/4,0)</f>
        <v>16.2796136391558</v>
      </c>
      <c r="Z139" s="27" t="n">
        <f aca="false">IF(H139-E139&gt;=GWL,99,E139*(MAX(0,GWL-H139)*(GAM_S-GAM_W)+MAX(0,NG-MAX(H139,GWL))*GAM_D)/(GAM_W*PI()*E139^2/4))</f>
        <v>0.188790938429288</v>
      </c>
      <c r="AA139" s="27" t="n">
        <f aca="false">IF(I139-E139&gt;=GWL,99,E139*(MAX(0,GWL-I139)*(GAM_S-GAM_W)+MAX(0,NG-MAX(I139,GWL))*GAM_D)/(GAM_W*PI()*E139^2/4))</f>
        <v>0.203947368548959</v>
      </c>
      <c r="AB139" s="27" t="n">
        <f aca="false">IF(H139-E139&gt;=GWL,99,E139*(MAX(0,GWL-H139)*(GAM_S-GAM_W)+MAX(0,FL-MAX(H139,GWL))*GAM_D)/(GAM_W*PI()*E139^2/4))</f>
        <v>1.93346951107687</v>
      </c>
      <c r="AC139" s="27" t="n">
        <f aca="false">IF(I139-E139&gt;=GWL,99,E139*(MAX(0,GWL-I139)*(GAM_S-GAM_W)+MAX(0,FL-MAX(I139,GWL))*GAM_D)/(GAM_W*PI()*E139^2/4))</f>
        <v>1.94862594119654</v>
      </c>
    </row>
    <row r="140" customFormat="false" ht="15" hidden="false" customHeight="false" outlineLevel="0" collapsed="false">
      <c r="A140" s="25" t="s">
        <v>592</v>
      </c>
      <c r="B140" s="25" t="s">
        <v>595</v>
      </c>
      <c r="C140" s="25" t="s">
        <v>597</v>
      </c>
      <c r="D140" s="26" t="n">
        <v>9.9999999993835</v>
      </c>
      <c r="E140" s="26" t="n">
        <v>2.27639231323138</v>
      </c>
      <c r="F140" s="26" t="n">
        <v>-3.67511689893378</v>
      </c>
      <c r="G140" s="26" t="n">
        <v>-3.71203764125186</v>
      </c>
      <c r="H140" s="26" t="n">
        <v>-0.898724585702391</v>
      </c>
      <c r="I140" s="26" t="n">
        <v>-0.935645328020475</v>
      </c>
      <c r="J140" s="26" t="n">
        <v>12.71</v>
      </c>
      <c r="K140" s="27" t="n">
        <f aca="false">MIN(F140,G140)</f>
        <v>-3.71203764125186</v>
      </c>
      <c r="L140" s="27" t="n">
        <f aca="false">AVERAGE(F140,G140)</f>
        <v>-3.69357727009282</v>
      </c>
      <c r="M140" s="27" t="n">
        <f aca="false">MAX(0,NG-L140)</f>
        <v>2.99357727009282</v>
      </c>
      <c r="N140" s="27" t="n">
        <f aca="false">MAX(0,GWL-K140)</f>
        <v>2.21203764125186</v>
      </c>
      <c r="O140" s="27" t="n">
        <f aca="false">MAX(0,NG-MAX(K140,GWL))</f>
        <v>0.8</v>
      </c>
      <c r="P140" s="27" t="n">
        <f aca="false">E140/2+WS+SLOPE_A*O140+SLOPE_B*N140</f>
        <v>7.76227143911941</v>
      </c>
      <c r="Q140" s="28" t="str">
        <f aca="false">IF(AND(P140&lt;J140,N140&lt;=MAXOC),"Open cut","Shoring")</f>
        <v>Open cut</v>
      </c>
      <c r="R140" s="27" t="n">
        <f aca="false">IF(Q140="Shoring",D140,0)</f>
        <v>0</v>
      </c>
      <c r="S140" s="27" t="n">
        <f aca="false">MAX(0,GWL-L140)</f>
        <v>2.19357727009282</v>
      </c>
      <c r="T140" s="27" t="n">
        <f aca="false">MAX(0,NG-MAX(L140,GWL))</f>
        <v>0.8</v>
      </c>
      <c r="U140" s="27" t="n">
        <f aca="false">E140+2*WS</f>
        <v>4.27639231323138</v>
      </c>
      <c r="V140" s="27" t="n">
        <f aca="false">IF(Q140="Shoring",D140*M140*U140,0)</f>
        <v>0</v>
      </c>
      <c r="W140" s="27" t="n">
        <f aca="false">IF(Q140="Open cut",D140*(U140*M140+SLOPE_B*S140^2+2*SLOPE_B*S140*T140+SLOPE_A*T140^2),0)</f>
        <v>304.047205690474</v>
      </c>
      <c r="X140" s="27" t="n">
        <f aca="false">IF(M140&gt;0,D140*(E140+2*SLABOVH)*SLAB,0)</f>
        <v>16.381961565147</v>
      </c>
      <c r="Y140" s="27" t="n">
        <f aca="false">IF(M140&gt;0,D140*PI()*E140^2/4,0)</f>
        <v>40.6990340886508</v>
      </c>
      <c r="Z140" s="27" t="n">
        <f aca="false">IF(H140-E140&gt;=GWL,99,E140*(MAX(0,GWL-H140)*(GAM_S-GAM_W)+MAX(0,NG-MAX(H140,GWL))*GAM_D)/(GAM_W*PI()*E140^2/4))</f>
        <v>0.203947368548959</v>
      </c>
      <c r="AA140" s="27" t="n">
        <f aca="false">IF(I140-E140&gt;=GWL,99,E140*(MAX(0,GWL-I140)*(GAM_S-GAM_W)+MAX(0,NG-MAX(I140,GWL))*GAM_D)/(GAM_W*PI()*E140^2/4))</f>
        <v>0.241838443848137</v>
      </c>
      <c r="AB140" s="27" t="n">
        <f aca="false">IF(H140-E140&gt;=GWL,99,E140*(MAX(0,GWL-H140)*(GAM_S-GAM_W)+MAX(0,FL-MAX(H140,GWL))*GAM_D)/(GAM_W*PI()*E140^2/4))</f>
        <v>1.94862594119654</v>
      </c>
      <c r="AC140" s="27" t="n">
        <f aca="false">IF(I140-E140&gt;=GWL,99,E140*(MAX(0,GWL-I140)*(GAM_S-GAM_W)+MAX(0,FL-MAX(I140,GWL))*GAM_D)/(GAM_W*PI()*E140^2/4))</f>
        <v>1.98651701649572</v>
      </c>
    </row>
    <row r="141" customFormat="false" ht="15" hidden="false" customHeight="false" outlineLevel="0" collapsed="false">
      <c r="A141" s="25" t="s">
        <v>592</v>
      </c>
      <c r="B141" s="25" t="s">
        <v>595</v>
      </c>
      <c r="C141" s="25" t="s">
        <v>598</v>
      </c>
      <c r="D141" s="26" t="n">
        <v>10.0000000005331</v>
      </c>
      <c r="E141" s="26" t="n">
        <v>2.27639231323138</v>
      </c>
      <c r="F141" s="26" t="n">
        <v>-3.71203764125186</v>
      </c>
      <c r="G141" s="26" t="n">
        <v>-3.74895838356994</v>
      </c>
      <c r="H141" s="26" t="n">
        <v>-0.935645328020475</v>
      </c>
      <c r="I141" s="26" t="n">
        <v>-0.972566070338558</v>
      </c>
      <c r="J141" s="26" t="n">
        <v>12.78</v>
      </c>
      <c r="K141" s="27" t="n">
        <f aca="false">MIN(F141,G141)</f>
        <v>-3.74895838356994</v>
      </c>
      <c r="L141" s="27" t="n">
        <f aca="false">AVERAGE(F141,G141)</f>
        <v>-3.7304980124109</v>
      </c>
      <c r="M141" s="27" t="n">
        <f aca="false">MAX(0,NG-L141)</f>
        <v>3.0304980124109</v>
      </c>
      <c r="N141" s="27" t="n">
        <f aca="false">MAX(0,GWL-K141)</f>
        <v>2.24895838356994</v>
      </c>
      <c r="O141" s="27" t="n">
        <f aca="false">MAX(0,NG-MAX(K141,GWL))</f>
        <v>0.8</v>
      </c>
      <c r="P141" s="27" t="n">
        <f aca="false">E141/2+WS+SLOPE_A*O141+SLOPE_B*N141</f>
        <v>7.83611292375557</v>
      </c>
      <c r="Q141" s="28" t="str">
        <f aca="false">IF(AND(P141&lt;J141,N141&lt;=MAXOC),"Open cut","Shoring")</f>
        <v>Open cut</v>
      </c>
      <c r="R141" s="27" t="n">
        <f aca="false">IF(Q141="Shoring",D141,0)</f>
        <v>0</v>
      </c>
      <c r="S141" s="27" t="n">
        <f aca="false">MAX(0,GWL-L141)</f>
        <v>2.2304980124109</v>
      </c>
      <c r="T141" s="27" t="n">
        <f aca="false">MAX(0,NG-MAX(L141,GWL))</f>
        <v>0.8</v>
      </c>
      <c r="U141" s="27" t="n">
        <f aca="false">E141+2*WS</f>
        <v>4.27639231323138</v>
      </c>
      <c r="V141" s="27" t="n">
        <f aca="false">IF(Q141="Shoring",D141*M141*U141,0)</f>
        <v>0</v>
      </c>
      <c r="W141" s="27" t="n">
        <f aca="false">IF(Q141="Open cut",D141*(U141*M141+SLOPE_B*S141^2+2*SLOPE_B*S141*T141+SLOPE_A*T141^2),0)</f>
        <v>310.074348136429</v>
      </c>
      <c r="X141" s="27" t="n">
        <f aca="false">IF(M141&gt;0,D141*(E141+2*SLABOVH)*SLAB,0)</f>
        <v>16.3819615670303</v>
      </c>
      <c r="Y141" s="27" t="n">
        <f aca="false">IF(M141&gt;0,D141*PI()*E141^2/4,0)</f>
        <v>40.6990340933297</v>
      </c>
      <c r="Z141" s="27" t="n">
        <f aca="false">IF(H141-E141&gt;=GWL,99,E141*(MAX(0,GWL-H141)*(GAM_S-GAM_W)+MAX(0,NG-MAX(H141,GWL))*GAM_D)/(GAM_W*PI()*E141^2/4))</f>
        <v>0.241838443848137</v>
      </c>
      <c r="AA141" s="27" t="n">
        <f aca="false">IF(I141-E141&gt;=GWL,99,E141*(MAX(0,GWL-I141)*(GAM_S-GAM_W)+MAX(0,NG-MAX(I141,GWL))*GAM_D)/(GAM_W*PI()*E141^2/4))</f>
        <v>0.279729519147314</v>
      </c>
      <c r="AB141" s="27" t="n">
        <f aca="false">IF(H141-E141&gt;=GWL,99,E141*(MAX(0,GWL-H141)*(GAM_S-GAM_W)+MAX(0,FL-MAX(H141,GWL))*GAM_D)/(GAM_W*PI()*E141^2/4))</f>
        <v>1.98651701649572</v>
      </c>
      <c r="AC141" s="27" t="n">
        <f aca="false">IF(I141-E141&gt;=GWL,99,E141*(MAX(0,GWL-I141)*(GAM_S-GAM_W)+MAX(0,FL-MAX(I141,GWL))*GAM_D)/(GAM_W*PI()*E141^2/4))</f>
        <v>2.02440809179489</v>
      </c>
    </row>
    <row r="142" customFormat="false" ht="15" hidden="false" customHeight="false" outlineLevel="0" collapsed="false">
      <c r="A142" s="25" t="s">
        <v>592</v>
      </c>
      <c r="B142" s="25" t="s">
        <v>595</v>
      </c>
      <c r="C142" s="25" t="s">
        <v>599</v>
      </c>
      <c r="D142" s="26" t="n">
        <v>9.2489399992045</v>
      </c>
      <c r="E142" s="26" t="n">
        <v>2.27639231323138</v>
      </c>
      <c r="F142" s="26" t="n">
        <v>-3.74895838356994</v>
      </c>
      <c r="G142" s="26" t="n">
        <v>-3.78310615661569</v>
      </c>
      <c r="H142" s="26" t="n">
        <v>-0.972566070338558</v>
      </c>
      <c r="I142" s="26" t="n">
        <v>-1.00671384338431</v>
      </c>
      <c r="J142" s="26" t="n">
        <v>16.91</v>
      </c>
      <c r="K142" s="27" t="n">
        <f aca="false">MIN(F142,G142)</f>
        <v>-3.78310615661569</v>
      </c>
      <c r="L142" s="27" t="n">
        <f aca="false">AVERAGE(F142,G142)</f>
        <v>-3.76603227009282</v>
      </c>
      <c r="M142" s="27" t="n">
        <f aca="false">MAX(0,NG-L142)</f>
        <v>3.06603227009282</v>
      </c>
      <c r="N142" s="27" t="n">
        <f aca="false">MAX(0,GWL-K142)</f>
        <v>2.28310615661569</v>
      </c>
      <c r="O142" s="27" t="n">
        <f aca="false">MAX(0,NG-MAX(K142,GWL))</f>
        <v>0.8</v>
      </c>
      <c r="P142" s="27" t="n">
        <f aca="false">E142/2+WS+SLOPE_A*O142+SLOPE_B*N142</f>
        <v>7.90440846984707</v>
      </c>
      <c r="Q142" s="28" t="str">
        <f aca="false">IF(AND(P142&lt;J142,N142&lt;=MAXOC),"Open cut","Shoring")</f>
        <v>Open cut</v>
      </c>
      <c r="R142" s="27" t="n">
        <f aca="false">IF(Q142="Shoring",D142,0)</f>
        <v>0</v>
      </c>
      <c r="S142" s="27" t="n">
        <f aca="false">MAX(0,GWL-L142)</f>
        <v>2.26603227009282</v>
      </c>
      <c r="T142" s="27" t="n">
        <f aca="false">MAX(0,NG-MAX(L142,GWL))</f>
        <v>0.8</v>
      </c>
      <c r="U142" s="27" t="n">
        <f aca="false">E142+2*WS</f>
        <v>4.27639231323138</v>
      </c>
      <c r="V142" s="27" t="n">
        <f aca="false">IF(Q142="Shoring",D142*M142*U142,0)</f>
        <v>0</v>
      </c>
      <c r="W142" s="27" t="n">
        <f aca="false">IF(Q142="Open cut",D142*(U142*M142+SLOPE_B*S142^2+2*SLOPE_B*S142*T142+SLOPE_A*T142^2),0)</f>
        <v>292.198659249017</v>
      </c>
      <c r="X142" s="27" t="n">
        <f aca="false">IF(M142&gt;0,D142*(E142+2*SLABOVH)*SLAB,0)</f>
        <v>15.1515779594659</v>
      </c>
      <c r="Y142" s="27" t="n">
        <f aca="false">IF(M142&gt;0,D142*PI()*E142^2/4,0)</f>
        <v>37.6422924334716</v>
      </c>
      <c r="Z142" s="27" t="n">
        <f aca="false">IF(H142-E142&gt;=GWL,99,E142*(MAX(0,GWL-H142)*(GAM_S-GAM_W)+MAX(0,NG-MAX(H142,GWL))*GAM_D)/(GAM_W*PI()*E142^2/4))</f>
        <v>0.279729519147314</v>
      </c>
      <c r="AA142" s="27" t="n">
        <f aca="false">IF(I142-E142&gt;=GWL,99,E142*(MAX(0,GWL-I142)*(GAM_S-GAM_W)+MAX(0,NG-MAX(I142,GWL))*GAM_D)/(GAM_W*PI()*E142^2/4))</f>
        <v>0.314774747345287</v>
      </c>
      <c r="AB142" s="27" t="n">
        <f aca="false">IF(H142-E142&gt;=GWL,99,E142*(MAX(0,GWL-H142)*(GAM_S-GAM_W)+MAX(0,FL-MAX(H142,GWL))*GAM_D)/(GAM_W*PI()*E142^2/4))</f>
        <v>2.02440809179489</v>
      </c>
      <c r="AC142" s="27" t="n">
        <f aca="false">IF(I142-E142&gt;=GWL,99,E142*(MAX(0,GWL-I142)*(GAM_S-GAM_W)+MAX(0,FL-MAX(I142,GWL))*GAM_D)/(GAM_W*PI()*E142^2/4))</f>
        <v>2.05945331999287</v>
      </c>
    </row>
    <row r="143" customFormat="false" ht="15" hidden="false" customHeight="false" outlineLevel="0" collapsed="false">
      <c r="A143" s="25" t="s">
        <v>592</v>
      </c>
      <c r="B143" s="25" t="s">
        <v>595</v>
      </c>
      <c r="C143" s="25" t="s">
        <v>600</v>
      </c>
      <c r="D143" s="26" t="n">
        <v>0.751060000120543</v>
      </c>
      <c r="E143" s="26" t="n">
        <v>2.27639231323138</v>
      </c>
      <c r="F143" s="26" t="n">
        <v>-3.78310615661569</v>
      </c>
      <c r="G143" s="26" t="n">
        <v>-3.7858784438253</v>
      </c>
      <c r="H143" s="26" t="n">
        <v>-1.00671384338431</v>
      </c>
      <c r="I143" s="26" t="n">
        <v>-1.00948613059391</v>
      </c>
      <c r="J143" s="26" t="n">
        <v>23.62</v>
      </c>
      <c r="K143" s="27" t="n">
        <f aca="false">MIN(F143,G143)</f>
        <v>-3.7858784438253</v>
      </c>
      <c r="L143" s="27" t="n">
        <f aca="false">AVERAGE(F143,G143)</f>
        <v>-3.7844923002205</v>
      </c>
      <c r="M143" s="27" t="n">
        <f aca="false">MAX(0,NG-L143)</f>
        <v>3.08449230022049</v>
      </c>
      <c r="N143" s="27" t="n">
        <f aca="false">MAX(0,GWL-K143)</f>
        <v>2.2858784438253</v>
      </c>
      <c r="O143" s="27" t="n">
        <f aca="false">MAX(0,NG-MAX(K143,GWL))</f>
        <v>0.8</v>
      </c>
      <c r="P143" s="27" t="n">
        <f aca="false">E143/2+WS+SLOPE_A*O143+SLOPE_B*N143</f>
        <v>7.90995304426629</v>
      </c>
      <c r="Q143" s="28" t="str">
        <f aca="false">IF(AND(P143&lt;J143,N143&lt;=MAXOC),"Open cut","Shoring")</f>
        <v>Open cut</v>
      </c>
      <c r="R143" s="27" t="n">
        <f aca="false">IF(Q143="Shoring",D143,0)</f>
        <v>0</v>
      </c>
      <c r="S143" s="27" t="n">
        <f aca="false">MAX(0,GWL-L143)</f>
        <v>2.2844923002205</v>
      </c>
      <c r="T143" s="27" t="n">
        <f aca="false">MAX(0,NG-MAX(L143,GWL))</f>
        <v>0.8</v>
      </c>
      <c r="U143" s="27" t="n">
        <f aca="false">E143+2*WS</f>
        <v>4.27639231323138</v>
      </c>
      <c r="V143" s="27" t="n">
        <f aca="false">IF(Q143="Shoring",D143*M143*U143,0)</f>
        <v>0</v>
      </c>
      <c r="W143" s="27" t="n">
        <f aca="false">IF(Q143="Open cut",D143*(U143*M143+SLOPE_B*S143^2+2*SLOPE_B*S143*T143+SLOPE_A*T143^2),0)</f>
        <v>23.9578261069306</v>
      </c>
      <c r="X143" s="27" t="n">
        <f aca="false">IF(M143&gt;0,D143*(E143+2*SLABOVH)*SLAB,0)</f>
        <v>1.23038360558525</v>
      </c>
      <c r="Y143" s="27" t="n">
        <f aca="false">IF(M143&gt;0,D143*PI()*E143^2/4,0)</f>
        <v>3.05674165494125</v>
      </c>
      <c r="Z143" s="27" t="n">
        <f aca="false">IF(H143-E143&gt;=GWL,99,E143*(MAX(0,GWL-H143)*(GAM_S-GAM_W)+MAX(0,NG-MAX(H143,GWL))*GAM_D)/(GAM_W*PI()*E143^2/4))</f>
        <v>0.314774747345287</v>
      </c>
      <c r="AA143" s="27" t="n">
        <f aca="false">IF(I143-E143&gt;=GWL,99,E143*(MAX(0,GWL-I143)*(GAM_S-GAM_W)+MAX(0,NG-MAX(I143,GWL))*GAM_D)/(GAM_W*PI()*E143^2/4))</f>
        <v>0.317619894458125</v>
      </c>
      <c r="AB143" s="27" t="n">
        <f aca="false">IF(H143-E143&gt;=GWL,99,E143*(MAX(0,GWL-H143)*(GAM_S-GAM_W)+MAX(0,FL-MAX(H143,GWL))*GAM_D)/(GAM_W*PI()*E143^2/4))</f>
        <v>2.05945331999287</v>
      </c>
      <c r="AC143" s="27" t="n">
        <f aca="false">IF(I143-E143&gt;=GWL,99,E143*(MAX(0,GWL-I143)*(GAM_S-GAM_W)+MAX(0,FL-MAX(I143,GWL))*GAM_D)/(GAM_W*PI()*E143^2/4))</f>
        <v>2.06229846710571</v>
      </c>
    </row>
    <row r="144" customFormat="false" ht="15" hidden="false" customHeight="false" outlineLevel="0" collapsed="false">
      <c r="A144" s="25" t="s">
        <v>592</v>
      </c>
      <c r="B144" s="25" t="s">
        <v>595</v>
      </c>
      <c r="C144" s="25" t="s">
        <v>601</v>
      </c>
      <c r="D144" s="26" t="n">
        <v>2.64894955394855</v>
      </c>
      <c r="E144" s="26" t="n">
        <v>2.27639231323138</v>
      </c>
      <c r="F144" s="26" t="n">
        <v>-3.7858784438253</v>
      </c>
      <c r="G144" s="26" t="n">
        <v>-3.79565615661569</v>
      </c>
      <c r="H144" s="26" t="n">
        <v>-1.00948613059391</v>
      </c>
      <c r="I144" s="26" t="n">
        <v>-1.01926384338431</v>
      </c>
      <c r="J144" s="26" t="n">
        <v>24.24</v>
      </c>
      <c r="K144" s="27" t="n">
        <f aca="false">MIN(F144,G144)</f>
        <v>-3.79565615661569</v>
      </c>
      <c r="L144" s="27" t="n">
        <f aca="false">AVERAGE(F144,G144)</f>
        <v>-3.79076730022049</v>
      </c>
      <c r="M144" s="27" t="n">
        <f aca="false">MAX(0,NG-L144)</f>
        <v>3.09076730022049</v>
      </c>
      <c r="N144" s="27" t="n">
        <f aca="false">MAX(0,GWL-K144)</f>
        <v>2.29565615661569</v>
      </c>
      <c r="O144" s="27" t="n">
        <f aca="false">MAX(0,NG-MAX(K144,GWL))</f>
        <v>0.8</v>
      </c>
      <c r="P144" s="27" t="n">
        <f aca="false">E144/2+WS+SLOPE_A*O144+SLOPE_B*N144</f>
        <v>7.92950846984707</v>
      </c>
      <c r="Q144" s="28" t="str">
        <f aca="false">IF(AND(P144&lt;J144,N144&lt;=MAXOC),"Open cut","Shoring")</f>
        <v>Open cut</v>
      </c>
      <c r="R144" s="27" t="n">
        <f aca="false">IF(Q144="Shoring",D144,0)</f>
        <v>0</v>
      </c>
      <c r="S144" s="27" t="n">
        <f aca="false">MAX(0,GWL-L144)</f>
        <v>2.29076730022049</v>
      </c>
      <c r="T144" s="27" t="n">
        <f aca="false">MAX(0,NG-MAX(L144,GWL))</f>
        <v>0.8</v>
      </c>
      <c r="U144" s="27" t="n">
        <f aca="false">E144+2*WS</f>
        <v>4.27639231323138</v>
      </c>
      <c r="V144" s="27" t="n">
        <f aca="false">IF(Q144="Shoring",D144*M144*U144,0)</f>
        <v>0</v>
      </c>
      <c r="W144" s="27" t="n">
        <f aca="false">IF(Q144="Open cut",D144*(U144*M144+SLOPE_B*S144^2+2*SLOPE_B*S144*T144+SLOPE_A*T144^2),0)</f>
        <v>84.7743816676647</v>
      </c>
      <c r="X144" s="27" t="n">
        <f aca="false">IF(M144&gt;0,D144*(E144+2*SLABOVH)*SLAB,0)</f>
        <v>4.33949897834736</v>
      </c>
      <c r="Y144" s="27" t="n">
        <f aca="false">IF(M144&gt;0,D144*PI()*E144^2/4,0)</f>
        <v>10.7809688201915</v>
      </c>
      <c r="Z144" s="27" t="n">
        <f aca="false">IF(H144-E144&gt;=GWL,99,E144*(MAX(0,GWL-H144)*(GAM_S-GAM_W)+MAX(0,NG-MAX(H144,GWL))*GAM_D)/(GAM_W*PI()*E144^2/4))</f>
        <v>0.317619894458125</v>
      </c>
      <c r="AA144" s="27" t="n">
        <f aca="false">IF(I144-E144&gt;=GWL,99,E144*(MAX(0,GWL-I144)*(GAM_S-GAM_W)+MAX(0,NG-MAX(I144,GWL))*GAM_D)/(GAM_W*PI()*E144^2/4))</f>
        <v>0.327654580337479</v>
      </c>
      <c r="AB144" s="27" t="n">
        <f aca="false">IF(H144-E144&gt;=GWL,99,E144*(MAX(0,GWL-H144)*(GAM_S-GAM_W)+MAX(0,FL-MAX(H144,GWL))*GAM_D)/(GAM_W*PI()*E144^2/4))</f>
        <v>2.06229846710571</v>
      </c>
      <c r="AC144" s="27" t="n">
        <f aca="false">IF(I144-E144&gt;=GWL,99,E144*(MAX(0,GWL-I144)*(GAM_S-GAM_W)+MAX(0,FL-MAX(I144,GWL))*GAM_D)/(GAM_W*PI()*E144^2/4))</f>
        <v>2.07233315298506</v>
      </c>
    </row>
    <row r="145" customFormat="false" ht="15" hidden="false" customHeight="false" outlineLevel="0" collapsed="false">
      <c r="A145" s="25" t="s">
        <v>592</v>
      </c>
      <c r="B145" s="25" t="s">
        <v>595</v>
      </c>
      <c r="C145" s="25" t="s">
        <v>602</v>
      </c>
      <c r="D145" s="26" t="n">
        <v>3.39551556548547</v>
      </c>
      <c r="E145" s="26" t="n">
        <v>2.24900472632683</v>
      </c>
      <c r="F145" s="26" t="n">
        <v>-3.78196236316342</v>
      </c>
      <c r="G145" s="26" t="n">
        <v>-3.79450236316342</v>
      </c>
      <c r="H145" s="26" t="n">
        <v>-1.03295763683658</v>
      </c>
      <c r="I145" s="26" t="n">
        <v>-1.04549763683658</v>
      </c>
      <c r="J145" s="26" t="n">
        <v>24.91</v>
      </c>
      <c r="K145" s="27" t="n">
        <f aca="false">MIN(F145,G145)</f>
        <v>-3.79450236316342</v>
      </c>
      <c r="L145" s="27" t="n">
        <f aca="false">AVERAGE(F145,G145)</f>
        <v>-3.78823236316342</v>
      </c>
      <c r="M145" s="27" t="n">
        <f aca="false">MAX(0,NG-L145)</f>
        <v>3.08823236316342</v>
      </c>
      <c r="N145" s="27" t="n">
        <f aca="false">MAX(0,GWL-K145)</f>
        <v>2.29450236316342</v>
      </c>
      <c r="O145" s="27" t="n">
        <f aca="false">MAX(0,NG-MAX(K145,GWL))</f>
        <v>0.8</v>
      </c>
      <c r="P145" s="27" t="n">
        <f aca="false">E145/2+WS+SLOPE_A*O145+SLOPE_B*N145</f>
        <v>7.91350708949025</v>
      </c>
      <c r="Q145" s="28" t="str">
        <f aca="false">IF(AND(P145&lt;J145,N145&lt;=MAXOC),"Open cut","Shoring")</f>
        <v>Open cut</v>
      </c>
      <c r="R145" s="27" t="n">
        <f aca="false">IF(Q145="Shoring",D145,0)</f>
        <v>0</v>
      </c>
      <c r="S145" s="27" t="n">
        <f aca="false">MAX(0,GWL-L145)</f>
        <v>2.28823236316342</v>
      </c>
      <c r="T145" s="27" t="n">
        <f aca="false">MAX(0,NG-MAX(L145,GWL))</f>
        <v>0.8</v>
      </c>
      <c r="U145" s="27" t="n">
        <f aca="false">E145+2*WS</f>
        <v>4.24900472632683</v>
      </c>
      <c r="V145" s="27" t="n">
        <f aca="false">IF(Q145="Shoring",D145*M145*U145,0)</f>
        <v>0</v>
      </c>
      <c r="W145" s="27" t="n">
        <f aca="false">IF(Q145="Open cut",D145*(U145*M145+SLOPE_B*S145^2+2*SLOPE_B*S145*T145+SLOPE_A*T145^2),0)</f>
        <v>108.236378305422</v>
      </c>
      <c r="X145" s="27" t="n">
        <f aca="false">IF(M145&gt;0,D145*(E145+2*SLABOVH)*SLAB,0)</f>
        <v>5.51602306028931</v>
      </c>
      <c r="Y145" s="27" t="n">
        <f aca="false">IF(M145&gt;0,D145*PI()*E145^2/4,0)</f>
        <v>13.4888940436704</v>
      </c>
      <c r="Z145" s="27" t="n">
        <f aca="false">IF(H145-E145&gt;=GWL,99,E145*(MAX(0,GWL-H145)*(GAM_S-GAM_W)+MAX(0,NG-MAX(H145,GWL))*GAM_D)/(GAM_W*PI()*E145^2/4))</f>
        <v>0.345869470251553</v>
      </c>
      <c r="AA145" s="27" t="n">
        <f aca="false">IF(I145-E145&gt;=GWL,99,E145*(MAX(0,GWL-I145)*(GAM_S-GAM_W)+MAX(0,NG-MAX(I145,GWL))*GAM_D)/(GAM_W*PI()*E145^2/4))</f>
        <v>0.358895761518401</v>
      </c>
      <c r="AB145" s="27" t="n">
        <f aca="false">IF(H145-E145&gt;=GWL,99,E145*(MAX(0,GWL-H145)*(GAM_S-GAM_W)+MAX(0,FL-MAX(H145,GWL))*GAM_D)/(GAM_W*PI()*E145^2/4))</f>
        <v>2.1117941236519</v>
      </c>
      <c r="AC145" s="27" t="n">
        <f aca="false">IF(I145-E145&gt;=GWL,99,E145*(MAX(0,GWL-I145)*(GAM_S-GAM_W)+MAX(0,FL-MAX(I145,GWL))*GAM_D)/(GAM_W*PI()*E145^2/4))</f>
        <v>2.12482041491875</v>
      </c>
    </row>
    <row r="146" customFormat="false" ht="15" hidden="false" customHeight="false" outlineLevel="0" collapsed="false">
      <c r="A146" s="25" t="s">
        <v>592</v>
      </c>
      <c r="B146" s="25" t="s">
        <v>595</v>
      </c>
      <c r="C146" s="25" t="s">
        <v>603</v>
      </c>
      <c r="D146" s="26" t="n">
        <v>3.95553488017028</v>
      </c>
      <c r="E146" s="26" t="n">
        <v>2.24900472632683</v>
      </c>
      <c r="F146" s="26" t="n">
        <v>-3.79450236316342</v>
      </c>
      <c r="G146" s="26" t="n">
        <v>-3.80806813100479</v>
      </c>
      <c r="H146" s="26" t="n">
        <v>-1.04549763683658</v>
      </c>
      <c r="I146" s="26" t="n">
        <v>-1.05906340467796</v>
      </c>
      <c r="J146" s="26" t="n">
        <v>23.57</v>
      </c>
      <c r="K146" s="27" t="n">
        <f aca="false">MIN(F146,G146)</f>
        <v>-3.80806813100479</v>
      </c>
      <c r="L146" s="27" t="n">
        <f aca="false">AVERAGE(F146,G146)</f>
        <v>-3.8012852470841</v>
      </c>
      <c r="M146" s="27" t="n">
        <f aca="false">MAX(0,NG-L146)</f>
        <v>3.1012852470841</v>
      </c>
      <c r="N146" s="27" t="n">
        <f aca="false">MAX(0,GWL-K146)</f>
        <v>2.30806813100479</v>
      </c>
      <c r="O146" s="27" t="n">
        <f aca="false">MAX(0,NG-MAX(K146,GWL))</f>
        <v>0.8</v>
      </c>
      <c r="P146" s="27" t="n">
        <f aca="false">E146/2+WS+SLOPE_A*O146+SLOPE_B*N146</f>
        <v>7.940638625173</v>
      </c>
      <c r="Q146" s="28" t="str">
        <f aca="false">IF(AND(P146&lt;J146,N146&lt;=MAXOC),"Open cut","Shoring")</f>
        <v>Open cut</v>
      </c>
      <c r="R146" s="27" t="n">
        <f aca="false">IF(Q146="Shoring",D146,0)</f>
        <v>0</v>
      </c>
      <c r="S146" s="27" t="n">
        <f aca="false">MAX(0,GWL-L146)</f>
        <v>2.3012852470841</v>
      </c>
      <c r="T146" s="27" t="n">
        <f aca="false">MAX(0,NG-MAX(L146,GWL))</f>
        <v>0.8</v>
      </c>
      <c r="U146" s="27" t="n">
        <f aca="false">E146+2*WS</f>
        <v>4.24900472632683</v>
      </c>
      <c r="V146" s="27" t="n">
        <f aca="false">IF(Q146="Shoring",D146*M146*U146,0)</f>
        <v>0</v>
      </c>
      <c r="W146" s="27" t="n">
        <f aca="false">IF(Q146="Open cut",D146*(U146*M146+SLOPE_B*S146^2+2*SLOPE_B*S146*T146+SLOPE_A*T146^2),0)</f>
        <v>126.946231016988</v>
      </c>
      <c r="X146" s="27" t="n">
        <f aca="false">IF(M146&gt;0,D146*(E146+2*SLABOVH)*SLAB,0)</f>
        <v>6.42577576041195</v>
      </c>
      <c r="Y146" s="27" t="n">
        <f aca="false">IF(M146&gt;0,D146*PI()*E146^2/4,0)</f>
        <v>15.7136051523389</v>
      </c>
      <c r="Z146" s="27" t="n">
        <f aca="false">IF(H146-E146&gt;=GWL,99,E146*(MAX(0,GWL-H146)*(GAM_S-GAM_W)+MAX(0,NG-MAX(H146,GWL))*GAM_D)/(GAM_W*PI()*E146^2/4))</f>
        <v>0.358895761518401</v>
      </c>
      <c r="AA146" s="27" t="n">
        <f aca="false">IF(I146-E146&gt;=GWL,99,E146*(MAX(0,GWL-I146)*(GAM_S-GAM_W)+MAX(0,NG-MAX(I146,GWL))*GAM_D)/(GAM_W*PI()*E146^2/4))</f>
        <v>0.372987599090983</v>
      </c>
      <c r="AB146" s="27" t="n">
        <f aca="false">IF(H146-E146&gt;=GWL,99,E146*(MAX(0,GWL-H146)*(GAM_S-GAM_W)+MAX(0,FL-MAX(H146,GWL))*GAM_D)/(GAM_W*PI()*E146^2/4))</f>
        <v>2.12482041491875</v>
      </c>
      <c r="AC146" s="27" t="n">
        <f aca="false">IF(I146-E146&gt;=GWL,99,E146*(MAX(0,GWL-I146)*(GAM_S-GAM_W)+MAX(0,FL-MAX(I146,GWL))*GAM_D)/(GAM_W*PI()*E146^2/4))</f>
        <v>2.13891225249133</v>
      </c>
    </row>
    <row r="147" customFormat="false" ht="15" hidden="false" customHeight="false" outlineLevel="0" collapsed="false">
      <c r="A147" s="25" t="s">
        <v>592</v>
      </c>
      <c r="B147" s="25" t="s">
        <v>595</v>
      </c>
      <c r="C147" s="25" t="s">
        <v>604</v>
      </c>
      <c r="D147" s="26" t="n">
        <v>4.09999999971265</v>
      </c>
      <c r="E147" s="26" t="n">
        <v>2.24900472632683</v>
      </c>
      <c r="F147" s="26" t="n">
        <v>-3.80806813100479</v>
      </c>
      <c r="G147" s="26" t="n">
        <v>-3.82212935150506</v>
      </c>
      <c r="H147" s="26" t="n">
        <v>-1.05906340467796</v>
      </c>
      <c r="I147" s="26" t="n">
        <v>-1.07312462517822</v>
      </c>
      <c r="J147" s="26" t="n">
        <v>22.83</v>
      </c>
      <c r="K147" s="27" t="n">
        <f aca="false">MIN(F147,G147)</f>
        <v>-3.82212935150506</v>
      </c>
      <c r="L147" s="27" t="n">
        <f aca="false">AVERAGE(F147,G147)</f>
        <v>-3.81509874125493</v>
      </c>
      <c r="M147" s="27" t="n">
        <f aca="false">MAX(0,NG-L147)</f>
        <v>3.11509874125492</v>
      </c>
      <c r="N147" s="27" t="n">
        <f aca="false">MAX(0,GWL-K147)</f>
        <v>2.32212935150506</v>
      </c>
      <c r="O147" s="27" t="n">
        <f aca="false">MAX(0,NG-MAX(K147,GWL))</f>
        <v>0.8</v>
      </c>
      <c r="P147" s="27" t="n">
        <f aca="false">E147/2+WS+SLOPE_A*O147+SLOPE_B*N147</f>
        <v>7.96876106617353</v>
      </c>
      <c r="Q147" s="28" t="str">
        <f aca="false">IF(AND(P147&lt;J147,N147&lt;=MAXOC),"Open cut","Shoring")</f>
        <v>Open cut</v>
      </c>
      <c r="R147" s="27" t="n">
        <f aca="false">IF(Q147="Shoring",D147,0)</f>
        <v>0</v>
      </c>
      <c r="S147" s="27" t="n">
        <f aca="false">MAX(0,GWL-L147)</f>
        <v>2.31509874125493</v>
      </c>
      <c r="T147" s="27" t="n">
        <f aca="false">MAX(0,NG-MAX(L147,GWL))</f>
        <v>0.8</v>
      </c>
      <c r="U147" s="27" t="n">
        <f aca="false">E147+2*WS</f>
        <v>4.24900472632683</v>
      </c>
      <c r="V147" s="27" t="n">
        <f aca="false">IF(Q147="Shoring",D147*M147*U147,0)</f>
        <v>0</v>
      </c>
      <c r="W147" s="27" t="n">
        <f aca="false">IF(Q147="Open cut",D147*(U147*M147+SLOPE_B*S147^2+2*SLOPE_B*S147*T147+SLOPE_A*T147^2),0)</f>
        <v>132.527373392134</v>
      </c>
      <c r="X147" s="27" t="n">
        <f aca="false">IF(M147&gt;0,D147*(E147+2*SLABOVH)*SLAB,0)</f>
        <v>6.66045968850321</v>
      </c>
      <c r="Y147" s="27" t="n">
        <f aca="false">IF(M147&gt;0,D147*PI()*E147^2/4,0)</f>
        <v>16.287501708821</v>
      </c>
      <c r="Z147" s="27" t="n">
        <f aca="false">IF(H147-E147&gt;=GWL,99,E147*(MAX(0,GWL-H147)*(GAM_S-GAM_W)+MAX(0,NG-MAX(H147,GWL))*GAM_D)/(GAM_W*PI()*E147^2/4))</f>
        <v>0.372987599090983</v>
      </c>
      <c r="AA147" s="27" t="n">
        <f aca="false">IF(I147-E147&gt;=GWL,99,E147*(MAX(0,GWL-I147)*(GAM_S-GAM_W)+MAX(0,NG-MAX(I147,GWL))*GAM_D)/(GAM_W*PI()*E147^2/4))</f>
        <v>0.387594102584111</v>
      </c>
      <c r="AB147" s="27" t="n">
        <f aca="false">IF(H147-E147&gt;=GWL,99,E147*(MAX(0,GWL-H147)*(GAM_S-GAM_W)+MAX(0,FL-MAX(H147,GWL))*GAM_D)/(GAM_W*PI()*E147^2/4))</f>
        <v>2.13891225249133</v>
      </c>
      <c r="AC147" s="27" t="n">
        <f aca="false">IF(I147-E147&gt;=GWL,99,E147*(MAX(0,GWL-I147)*(GAM_S-GAM_W)+MAX(0,FL-MAX(I147,GWL))*GAM_D)/(GAM_W*PI()*E147^2/4))</f>
        <v>2.15351875598446</v>
      </c>
    </row>
    <row r="148" customFormat="false" ht="15" hidden="false" customHeight="false" outlineLevel="0" collapsed="false">
      <c r="A148" s="25" t="s">
        <v>592</v>
      </c>
      <c r="B148" s="25" t="s">
        <v>605</v>
      </c>
      <c r="C148" s="25" t="s">
        <v>606</v>
      </c>
      <c r="D148" s="26" t="n">
        <v>5.90000000041916</v>
      </c>
      <c r="E148" s="26" t="n">
        <v>2.24900472632683</v>
      </c>
      <c r="F148" s="26" t="n">
        <v>-3.82212935150506</v>
      </c>
      <c r="G148" s="26" t="n">
        <v>-3.84236379076154</v>
      </c>
      <c r="H148" s="26" t="n">
        <v>-1.07312462517822</v>
      </c>
      <c r="I148" s="26" t="n">
        <v>-1.0933590644347</v>
      </c>
      <c r="J148" s="26" t="n">
        <v>22.73</v>
      </c>
      <c r="K148" s="27" t="n">
        <f aca="false">MIN(F148,G148)</f>
        <v>-3.84236379076154</v>
      </c>
      <c r="L148" s="27" t="n">
        <f aca="false">AVERAGE(F148,G148)</f>
        <v>-3.8322465711333</v>
      </c>
      <c r="M148" s="27" t="n">
        <f aca="false">MAX(0,NG-L148)</f>
        <v>3.1322465711333</v>
      </c>
      <c r="N148" s="27" t="n">
        <f aca="false">MAX(0,GWL-K148)</f>
        <v>2.34236379076154</v>
      </c>
      <c r="O148" s="27" t="n">
        <f aca="false">MAX(0,NG-MAX(K148,GWL))</f>
        <v>0.8</v>
      </c>
      <c r="P148" s="27" t="n">
        <f aca="false">E148/2+WS+SLOPE_A*O148+SLOPE_B*N148</f>
        <v>8.00922994468649</v>
      </c>
      <c r="Q148" s="28" t="str">
        <f aca="false">IF(AND(P148&lt;J148,N148&lt;=MAXOC),"Open cut","Shoring")</f>
        <v>Open cut</v>
      </c>
      <c r="R148" s="27" t="n">
        <f aca="false">IF(Q148="Shoring",D148,0)</f>
        <v>0</v>
      </c>
      <c r="S148" s="27" t="n">
        <f aca="false">MAX(0,GWL-L148)</f>
        <v>2.3322465711333</v>
      </c>
      <c r="T148" s="27" t="n">
        <f aca="false">MAX(0,NG-MAX(L148,GWL))</f>
        <v>0.8</v>
      </c>
      <c r="U148" s="27" t="n">
        <f aca="false">E148+2*WS</f>
        <v>4.24900472632683</v>
      </c>
      <c r="V148" s="27" t="n">
        <f aca="false">IF(Q148="Shoring",D148*M148*U148,0)</f>
        <v>0</v>
      </c>
      <c r="W148" s="27" t="n">
        <f aca="false">IF(Q148="Open cut",D148*(U148*M148+SLOPE_B*S148^2+2*SLOPE_B*S148*T148+SLOPE_A*T148^2),0)</f>
        <v>192.404119145831</v>
      </c>
      <c r="X148" s="27" t="n">
        <f aca="false">IF(M148&gt;0,D148*(E148+2*SLABOVH)*SLAB,0)</f>
        <v>9.58456394334509</v>
      </c>
      <c r="Y148" s="27" t="n">
        <f aca="false">IF(M148&gt;0,D148*PI()*E148^2/4,0)</f>
        <v>23.4381122184404</v>
      </c>
      <c r="Z148" s="27" t="n">
        <f aca="false">IF(H148-E148&gt;=GWL,99,E148*(MAX(0,GWL-H148)*(GAM_S-GAM_W)+MAX(0,NG-MAX(H148,GWL))*GAM_D)/(GAM_W*PI()*E148^2/4))</f>
        <v>0.387594102584111</v>
      </c>
      <c r="AA148" s="27" t="n">
        <f aca="false">IF(I148-E148&gt;=GWL,99,E148*(MAX(0,GWL-I148)*(GAM_S-GAM_W)+MAX(0,NG-MAX(I148,GWL))*GAM_D)/(GAM_W*PI()*E148^2/4))</f>
        <v>0.408613217366905</v>
      </c>
      <c r="AB148" s="27" t="n">
        <f aca="false">IF(H148-E148&gt;=GWL,99,E148*(MAX(0,GWL-H148)*(GAM_S-GAM_W)+MAX(0,FL-MAX(H148,GWL))*GAM_D)/(GAM_W*PI()*E148^2/4))</f>
        <v>2.15351875598446</v>
      </c>
      <c r="AC148" s="27" t="n">
        <f aca="false">IF(I148-E148&gt;=GWL,99,E148*(MAX(0,GWL-I148)*(GAM_S-GAM_W)+MAX(0,FL-MAX(I148,GWL))*GAM_D)/(GAM_W*PI()*E148^2/4))</f>
        <v>2.17453787076725</v>
      </c>
    </row>
    <row r="149" customFormat="false" ht="15" hidden="false" customHeight="false" outlineLevel="0" collapsed="false">
      <c r="A149" s="25" t="s">
        <v>592</v>
      </c>
      <c r="B149" s="25" t="s">
        <v>605</v>
      </c>
      <c r="C149" s="25" t="s">
        <v>607</v>
      </c>
      <c r="D149" s="26" t="n">
        <v>10.0000000001318</v>
      </c>
      <c r="E149" s="26" t="n">
        <v>2.24900472632683</v>
      </c>
      <c r="F149" s="26" t="n">
        <v>-3.84236379076154</v>
      </c>
      <c r="G149" s="26" t="n">
        <v>-3.87665945051829</v>
      </c>
      <c r="H149" s="26" t="n">
        <v>-1.0933590644347</v>
      </c>
      <c r="I149" s="26" t="n">
        <v>-1.12765472419145</v>
      </c>
      <c r="J149" s="26" t="n">
        <v>23.04</v>
      </c>
      <c r="K149" s="27" t="n">
        <f aca="false">MIN(F149,G149)</f>
        <v>-3.87665945051829</v>
      </c>
      <c r="L149" s="27" t="n">
        <f aca="false">AVERAGE(F149,G149)</f>
        <v>-3.85951162063991</v>
      </c>
      <c r="M149" s="27" t="n">
        <f aca="false">MAX(0,NG-L149)</f>
        <v>3.15951162063991</v>
      </c>
      <c r="N149" s="27" t="n">
        <f aca="false">MAX(0,GWL-K149)</f>
        <v>2.37665945051829</v>
      </c>
      <c r="O149" s="27" t="n">
        <f aca="false">MAX(0,NG-MAX(K149,GWL))</f>
        <v>0.8</v>
      </c>
      <c r="P149" s="27" t="n">
        <f aca="false">E149/2+WS+SLOPE_A*O149+SLOPE_B*N149</f>
        <v>8.07782126419999</v>
      </c>
      <c r="Q149" s="28" t="str">
        <f aca="false">IF(AND(P149&lt;J149,N149&lt;=MAXOC),"Open cut","Shoring")</f>
        <v>Open cut</v>
      </c>
      <c r="R149" s="27" t="n">
        <f aca="false">IF(Q149="Shoring",D149,0)</f>
        <v>0</v>
      </c>
      <c r="S149" s="27" t="n">
        <f aca="false">MAX(0,GWL-L149)</f>
        <v>2.35951162063991</v>
      </c>
      <c r="T149" s="27" t="n">
        <f aca="false">MAX(0,NG-MAX(L149,GWL))</f>
        <v>0.8</v>
      </c>
      <c r="U149" s="27" t="n">
        <f aca="false">E149+2*WS</f>
        <v>4.24900472632683</v>
      </c>
      <c r="V149" s="27" t="n">
        <f aca="false">IF(Q149="Shoring",D149*M149*U149,0)</f>
        <v>0</v>
      </c>
      <c r="W149" s="27" t="n">
        <f aca="false">IF(Q149="Open cut",D149*(U149*M149+SLOPE_B*S149^2+2*SLOPE_B*S149*T149+SLOPE_A*T149^2),0)</f>
        <v>330.698071713367</v>
      </c>
      <c r="X149" s="27" t="n">
        <f aca="false">IF(M149&gt;0,D149*(E149+2*SLABOVH)*SLAB,0)</f>
        <v>16.2450236318483</v>
      </c>
      <c r="Y149" s="27" t="n">
        <f aca="false">IF(M149&gt;0,D149*PI()*E149^2/4,0)</f>
        <v>39.7256139272613</v>
      </c>
      <c r="Z149" s="27" t="n">
        <f aca="false">IF(H149-E149&gt;=GWL,99,E149*(MAX(0,GWL-H149)*(GAM_S-GAM_W)+MAX(0,NG-MAX(H149,GWL))*GAM_D)/(GAM_W*PI()*E149^2/4))</f>
        <v>0.408613217366905</v>
      </c>
      <c r="AA149" s="27" t="n">
        <f aca="false">IF(I149-E149&gt;=GWL,99,E149*(MAX(0,GWL-I149)*(GAM_S-GAM_W)+MAX(0,NG-MAX(I149,GWL))*GAM_D)/(GAM_W*PI()*E149^2/4))</f>
        <v>0.444238835642829</v>
      </c>
      <c r="AB149" s="27" t="n">
        <f aca="false">IF(H149-E149&gt;=GWL,99,E149*(MAX(0,GWL-H149)*(GAM_S-GAM_W)+MAX(0,FL-MAX(H149,GWL))*GAM_D)/(GAM_W*PI()*E149^2/4))</f>
        <v>2.17453787076725</v>
      </c>
      <c r="AC149" s="27" t="n">
        <f aca="false">IF(I149-E149&gt;=GWL,99,E149*(MAX(0,GWL-I149)*(GAM_S-GAM_W)+MAX(0,FL-MAX(I149,GWL))*GAM_D)/(GAM_W*PI()*E149^2/4))</f>
        <v>2.21016348904317</v>
      </c>
    </row>
    <row r="150" customFormat="false" ht="15" hidden="false" customHeight="false" outlineLevel="0" collapsed="false">
      <c r="A150" s="25" t="s">
        <v>592</v>
      </c>
      <c r="B150" s="25" t="s">
        <v>605</v>
      </c>
      <c r="C150" s="25" t="s">
        <v>608</v>
      </c>
      <c r="D150" s="26" t="n">
        <v>9.99999999966415</v>
      </c>
      <c r="E150" s="26" t="n">
        <v>2.24900472632683</v>
      </c>
      <c r="F150" s="26" t="n">
        <v>-3.87665945051829</v>
      </c>
      <c r="G150" s="26" t="n">
        <v>-3.91095511027503</v>
      </c>
      <c r="H150" s="26" t="n">
        <v>-1.12765472419145</v>
      </c>
      <c r="I150" s="26" t="n">
        <v>-1.1619503839482</v>
      </c>
      <c r="J150" s="26" t="n">
        <v>26.58</v>
      </c>
      <c r="K150" s="27" t="n">
        <f aca="false">MIN(F150,G150)</f>
        <v>-3.91095511027503</v>
      </c>
      <c r="L150" s="27" t="n">
        <f aca="false">AVERAGE(F150,G150)</f>
        <v>-3.89380728039666</v>
      </c>
      <c r="M150" s="27" t="n">
        <f aca="false">MAX(0,NG-L150)</f>
        <v>3.19380728039666</v>
      </c>
      <c r="N150" s="27" t="n">
        <f aca="false">MAX(0,GWL-K150)</f>
        <v>2.41095511027503</v>
      </c>
      <c r="O150" s="27" t="n">
        <f aca="false">MAX(0,NG-MAX(K150,GWL))</f>
        <v>0.8</v>
      </c>
      <c r="P150" s="27" t="n">
        <f aca="false">E150/2+WS+SLOPE_A*O150+SLOPE_B*N150</f>
        <v>8.14641258371348</v>
      </c>
      <c r="Q150" s="28" t="str">
        <f aca="false">IF(AND(P150&lt;J150,N150&lt;=MAXOC),"Open cut","Shoring")</f>
        <v>Open cut</v>
      </c>
      <c r="R150" s="27" t="n">
        <f aca="false">IF(Q150="Shoring",D150,0)</f>
        <v>0</v>
      </c>
      <c r="S150" s="27" t="n">
        <f aca="false">MAX(0,GWL-L150)</f>
        <v>2.39380728039666</v>
      </c>
      <c r="T150" s="27" t="n">
        <f aca="false">MAX(0,NG-MAX(L150,GWL))</f>
        <v>0.8</v>
      </c>
      <c r="U150" s="27" t="n">
        <f aca="false">E150+2*WS</f>
        <v>4.24900472632683</v>
      </c>
      <c r="V150" s="27" t="n">
        <f aca="false">IF(Q150="Shoring",D150*M150*U150,0)</f>
        <v>0</v>
      </c>
      <c r="W150" s="27" t="n">
        <f aca="false">IF(Q150="Open cut",D150*(U150*M150+SLOPE_B*S150^2+2*SLOPE_B*S150*T150+SLOPE_A*T150^2),0)</f>
        <v>336.513121168817</v>
      </c>
      <c r="X150" s="27" t="n">
        <f aca="false">IF(M150&gt;0,D150*(E150+2*SLABOVH)*SLAB,0)</f>
        <v>16.2450236310886</v>
      </c>
      <c r="Y150" s="27" t="n">
        <f aca="false">IF(M150&gt;0,D150*PI()*E150^2/4,0)</f>
        <v>39.7256139254035</v>
      </c>
      <c r="Z150" s="27" t="n">
        <f aca="false">IF(H150-E150&gt;=GWL,99,E150*(MAX(0,GWL-H150)*(GAM_S-GAM_W)+MAX(0,NG-MAX(H150,GWL))*GAM_D)/(GAM_W*PI()*E150^2/4))</f>
        <v>0.444238835642829</v>
      </c>
      <c r="AA150" s="27" t="n">
        <f aca="false">IF(I150-E150&gt;=GWL,99,E150*(MAX(0,GWL-I150)*(GAM_S-GAM_W)+MAX(0,NG-MAX(I150,GWL))*GAM_D)/(GAM_W*PI()*E150^2/4))</f>
        <v>0.479864453918751</v>
      </c>
      <c r="AB150" s="27" t="n">
        <f aca="false">IF(H150-E150&gt;=GWL,99,E150*(MAX(0,GWL-H150)*(GAM_S-GAM_W)+MAX(0,FL-MAX(H150,GWL))*GAM_D)/(GAM_W*PI()*E150^2/4))</f>
        <v>2.21016348904317</v>
      </c>
      <c r="AC150" s="27" t="n">
        <f aca="false">IF(I150-E150&gt;=GWL,99,E150*(MAX(0,GWL-I150)*(GAM_S-GAM_W)+MAX(0,FL-MAX(I150,GWL))*GAM_D)/(GAM_W*PI()*E150^2/4))</f>
        <v>2.2457891073191</v>
      </c>
    </row>
    <row r="151" customFormat="false" ht="15" hidden="false" customHeight="false" outlineLevel="0" collapsed="false">
      <c r="A151" s="25" t="s">
        <v>592</v>
      </c>
      <c r="B151" s="25" t="s">
        <v>605</v>
      </c>
      <c r="C151" s="25" t="s">
        <v>609</v>
      </c>
      <c r="D151" s="26" t="n">
        <v>10.0000000001318</v>
      </c>
      <c r="E151" s="26" t="n">
        <v>2.24900472632683</v>
      </c>
      <c r="F151" s="26" t="n">
        <v>-3.91095511027503</v>
      </c>
      <c r="G151" s="26" t="n">
        <v>-3.94525077003178</v>
      </c>
      <c r="H151" s="26" t="n">
        <v>-1.1619503839482</v>
      </c>
      <c r="I151" s="26" t="n">
        <v>-1.19624604370494</v>
      </c>
      <c r="J151" s="26" t="n">
        <v>45.94</v>
      </c>
      <c r="K151" s="27" t="n">
        <f aca="false">MIN(F151,G151)</f>
        <v>-3.94525077003178</v>
      </c>
      <c r="L151" s="27" t="n">
        <f aca="false">AVERAGE(F151,G151)</f>
        <v>-3.9281029401534</v>
      </c>
      <c r="M151" s="27" t="n">
        <f aca="false">MAX(0,NG-L151)</f>
        <v>3.2281029401534</v>
      </c>
      <c r="N151" s="27" t="n">
        <f aca="false">MAX(0,GWL-K151)</f>
        <v>2.44525077003178</v>
      </c>
      <c r="O151" s="27" t="n">
        <f aca="false">MAX(0,NG-MAX(K151,GWL))</f>
        <v>0.8</v>
      </c>
      <c r="P151" s="27" t="n">
        <f aca="false">E151/2+WS+SLOPE_A*O151+SLOPE_B*N151</f>
        <v>8.21500390322697</v>
      </c>
      <c r="Q151" s="28" t="str">
        <f aca="false">IF(AND(P151&lt;J151,N151&lt;=MAXOC),"Open cut","Shoring")</f>
        <v>Open cut</v>
      </c>
      <c r="R151" s="27" t="n">
        <f aca="false">IF(Q151="Shoring",D151,0)</f>
        <v>0</v>
      </c>
      <c r="S151" s="27" t="n">
        <f aca="false">MAX(0,GWL-L151)</f>
        <v>2.4281029401534</v>
      </c>
      <c r="T151" s="27" t="n">
        <f aca="false">MAX(0,NG-MAX(L151,GWL))</f>
        <v>0.8</v>
      </c>
      <c r="U151" s="27" t="n">
        <f aca="false">E151+2*WS</f>
        <v>4.24900472632683</v>
      </c>
      <c r="V151" s="27" t="n">
        <f aca="false">IF(Q151="Shoring",D151*M151*U151,0)</f>
        <v>0</v>
      </c>
      <c r="W151" s="27" t="n">
        <f aca="false">IF(Q151="Open cut",D151*(U151*M151+SLOPE_B*S151^2+2*SLOPE_B*S151*T151+SLOPE_A*T151^2),0)</f>
        <v>342.375218346868</v>
      </c>
      <c r="X151" s="27" t="n">
        <f aca="false">IF(M151&gt;0,D151*(E151+2*SLABOVH)*SLAB,0)</f>
        <v>16.2450236318483</v>
      </c>
      <c r="Y151" s="27" t="n">
        <f aca="false">IF(M151&gt;0,D151*PI()*E151^2/4,0)</f>
        <v>39.7256139272613</v>
      </c>
      <c r="Z151" s="27" t="n">
        <f aca="false">IF(H151-E151&gt;=GWL,99,E151*(MAX(0,GWL-H151)*(GAM_S-GAM_W)+MAX(0,NG-MAX(H151,GWL))*GAM_D)/(GAM_W*PI()*E151^2/4))</f>
        <v>0.479864453918751</v>
      </c>
      <c r="AA151" s="27" t="n">
        <f aca="false">IF(I151-E151&gt;=GWL,99,E151*(MAX(0,GWL-I151)*(GAM_S-GAM_W)+MAX(0,NG-MAX(I151,GWL))*GAM_D)/(GAM_W*PI()*E151^2/4))</f>
        <v>0.515490072194674</v>
      </c>
      <c r="AB151" s="27" t="n">
        <f aca="false">IF(H151-E151&gt;=GWL,99,E151*(MAX(0,GWL-H151)*(GAM_S-GAM_W)+MAX(0,FL-MAX(H151,GWL))*GAM_D)/(GAM_W*PI()*E151^2/4))</f>
        <v>2.2457891073191</v>
      </c>
      <c r="AC151" s="27" t="n">
        <f aca="false">IF(I151-E151&gt;=GWL,99,E151*(MAX(0,GWL-I151)*(GAM_S-GAM_W)+MAX(0,FL-MAX(I151,GWL))*GAM_D)/(GAM_W*PI()*E151^2/4))</f>
        <v>2.28141472559502</v>
      </c>
    </row>
    <row r="152" customFormat="false" ht="15" hidden="false" customHeight="false" outlineLevel="0" collapsed="false">
      <c r="A152" s="25" t="s">
        <v>592</v>
      </c>
      <c r="B152" s="25" t="s">
        <v>605</v>
      </c>
      <c r="C152" s="25" t="s">
        <v>610</v>
      </c>
      <c r="D152" s="26" t="n">
        <v>10.0000000001318</v>
      </c>
      <c r="E152" s="26" t="n">
        <v>2.24900472632683</v>
      </c>
      <c r="F152" s="26" t="n">
        <v>-3.94525077003178</v>
      </c>
      <c r="G152" s="26" t="n">
        <v>-3.97954642978853</v>
      </c>
      <c r="H152" s="26" t="n">
        <v>-1.19624604370494</v>
      </c>
      <c r="I152" s="26" t="n">
        <v>-1.23054170346169</v>
      </c>
      <c r="J152" s="26" t="n">
        <v>36.31</v>
      </c>
      <c r="K152" s="27" t="n">
        <f aca="false">MIN(F152,G152)</f>
        <v>-3.97954642978853</v>
      </c>
      <c r="L152" s="27" t="n">
        <f aca="false">AVERAGE(F152,G152)</f>
        <v>-3.96239859991015</v>
      </c>
      <c r="M152" s="27" t="n">
        <f aca="false">MAX(0,NG-L152)</f>
        <v>3.26239859991015</v>
      </c>
      <c r="N152" s="27" t="n">
        <f aca="false">MAX(0,GWL-K152)</f>
        <v>2.47954642978853</v>
      </c>
      <c r="O152" s="27" t="n">
        <f aca="false">MAX(0,NG-MAX(K152,GWL))</f>
        <v>0.8</v>
      </c>
      <c r="P152" s="27" t="n">
        <f aca="false">E152/2+WS+SLOPE_A*O152+SLOPE_B*N152</f>
        <v>8.28359522274047</v>
      </c>
      <c r="Q152" s="28" t="str">
        <f aca="false">IF(AND(P152&lt;J152,N152&lt;=MAXOC),"Open cut","Shoring")</f>
        <v>Open cut</v>
      </c>
      <c r="R152" s="27" t="n">
        <f aca="false">IF(Q152="Shoring",D152,0)</f>
        <v>0</v>
      </c>
      <c r="S152" s="27" t="n">
        <f aca="false">MAX(0,GWL-L152)</f>
        <v>2.46239859991015</v>
      </c>
      <c r="T152" s="27" t="n">
        <f aca="false">MAX(0,NG-MAX(L152,GWL))</f>
        <v>0.8</v>
      </c>
      <c r="U152" s="27" t="n">
        <f aca="false">E152+2*WS</f>
        <v>4.24900472632683</v>
      </c>
      <c r="V152" s="27" t="n">
        <f aca="false">IF(Q152="Shoring",D152*M152*U152,0)</f>
        <v>0</v>
      </c>
      <c r="W152" s="27" t="n">
        <f aca="false">IF(Q152="Open cut",D152*(U152*M152+SLOPE_B*S152^2+2*SLOPE_B*S152*T152+SLOPE_A*T152^2),0)</f>
        <v>348.284363200308</v>
      </c>
      <c r="X152" s="27" t="n">
        <f aca="false">IF(M152&gt;0,D152*(E152+2*SLABOVH)*SLAB,0)</f>
        <v>16.2450236318483</v>
      </c>
      <c r="Y152" s="27" t="n">
        <f aca="false">IF(M152&gt;0,D152*PI()*E152^2/4,0)</f>
        <v>39.7256139272613</v>
      </c>
      <c r="Z152" s="27" t="n">
        <f aca="false">IF(H152-E152&gt;=GWL,99,E152*(MAX(0,GWL-H152)*(GAM_S-GAM_W)+MAX(0,NG-MAX(H152,GWL))*GAM_D)/(GAM_W*PI()*E152^2/4))</f>
        <v>0.515490072194674</v>
      </c>
      <c r="AA152" s="27" t="n">
        <f aca="false">IF(I152-E152&gt;=GWL,99,E152*(MAX(0,GWL-I152)*(GAM_S-GAM_W)+MAX(0,NG-MAX(I152,GWL))*GAM_D)/(GAM_W*PI()*E152^2/4))</f>
        <v>0.551115690470597</v>
      </c>
      <c r="AB152" s="27" t="n">
        <f aca="false">IF(H152-E152&gt;=GWL,99,E152*(MAX(0,GWL-H152)*(GAM_S-GAM_W)+MAX(0,FL-MAX(H152,GWL))*GAM_D)/(GAM_W*PI()*E152^2/4))</f>
        <v>2.28141472559502</v>
      </c>
      <c r="AC152" s="27" t="n">
        <f aca="false">IF(I152-E152&gt;=GWL,99,E152*(MAX(0,GWL-I152)*(GAM_S-GAM_W)+MAX(0,FL-MAX(I152,GWL))*GAM_D)/(GAM_W*PI()*E152^2/4))</f>
        <v>2.31704034387094</v>
      </c>
    </row>
    <row r="153" customFormat="false" ht="15" hidden="false" customHeight="false" outlineLevel="0" collapsed="false">
      <c r="A153" s="25" t="s">
        <v>592</v>
      </c>
      <c r="B153" s="25" t="s">
        <v>605</v>
      </c>
      <c r="C153" s="25" t="s">
        <v>611</v>
      </c>
      <c r="D153" s="26" t="n">
        <v>9.99999999976483</v>
      </c>
      <c r="E153" s="26" t="n">
        <v>2.24900472632683</v>
      </c>
      <c r="F153" s="26" t="n">
        <v>-3.97954642978853</v>
      </c>
      <c r="G153" s="26" t="n">
        <v>-4.01384208954527</v>
      </c>
      <c r="H153" s="26" t="n">
        <v>-1.23054170346169</v>
      </c>
      <c r="I153" s="26" t="n">
        <v>-1.26483736321844</v>
      </c>
      <c r="J153" s="26" t="n">
        <v>26.81</v>
      </c>
      <c r="K153" s="27" t="n">
        <f aca="false">MIN(F153,G153)</f>
        <v>-4.01384208954527</v>
      </c>
      <c r="L153" s="27" t="n">
        <f aca="false">AVERAGE(F153,G153)</f>
        <v>-3.9966942596669</v>
      </c>
      <c r="M153" s="27" t="n">
        <f aca="false">MAX(0,NG-L153)</f>
        <v>3.2966942596669</v>
      </c>
      <c r="N153" s="27" t="n">
        <f aca="false">MAX(0,GWL-K153)</f>
        <v>2.51384208954527</v>
      </c>
      <c r="O153" s="27" t="n">
        <f aca="false">MAX(0,NG-MAX(K153,GWL))</f>
        <v>0.8</v>
      </c>
      <c r="P153" s="27" t="n">
        <f aca="false">E153/2+WS+SLOPE_A*O153+SLOPE_B*N153</f>
        <v>8.35218654225396</v>
      </c>
      <c r="Q153" s="28" t="str">
        <f aca="false">IF(AND(P153&lt;J153,N153&lt;=MAXOC),"Open cut","Shoring")</f>
        <v>Shoring</v>
      </c>
      <c r="R153" s="27" t="n">
        <f aca="false">IF(Q153="Shoring",D153,0)</f>
        <v>9.99999999976483</v>
      </c>
      <c r="S153" s="27" t="n">
        <f aca="false">MAX(0,GWL-L153)</f>
        <v>2.4966942596669</v>
      </c>
      <c r="T153" s="27" t="n">
        <f aca="false">MAX(0,NG-MAX(L153,GWL))</f>
        <v>0.8</v>
      </c>
      <c r="U153" s="27" t="n">
        <f aca="false">E153+2*WS</f>
        <v>4.24900472632683</v>
      </c>
      <c r="V153" s="27" t="n">
        <f aca="false">IF(Q153="Shoring",D153*M153*U153,0)</f>
        <v>140.076694902498</v>
      </c>
      <c r="W153" s="27" t="n">
        <f aca="false">IF(Q153="Open cut",D153*(U153*M153+SLOPE_B*S153^2+2*SLOPE_B*S153*T153+SLOPE_A*T153^2),0)</f>
        <v>0</v>
      </c>
      <c r="X153" s="27" t="n">
        <f aca="false">IF(M153&gt;0,D153*(E153+2*SLABOVH)*SLAB,0)</f>
        <v>16.2450236312521</v>
      </c>
      <c r="Y153" s="27" t="n">
        <f aca="false">IF(M153&gt;0,D153*PI()*E153^2/4,0)</f>
        <v>39.7256139258035</v>
      </c>
      <c r="Z153" s="27" t="n">
        <f aca="false">IF(H153-E153&gt;=GWL,99,E153*(MAX(0,GWL-H153)*(GAM_S-GAM_W)+MAX(0,NG-MAX(H153,GWL))*GAM_D)/(GAM_W*PI()*E153^2/4))</f>
        <v>0.551115690470597</v>
      </c>
      <c r="AA153" s="27" t="n">
        <f aca="false">IF(I153-E153&gt;=GWL,99,E153*(MAX(0,GWL-I153)*(GAM_S-GAM_W)+MAX(0,NG-MAX(I153,GWL))*GAM_D)/(GAM_W*PI()*E153^2/4))</f>
        <v>0.58674130874652</v>
      </c>
      <c r="AB153" s="27" t="n">
        <f aca="false">IF(H153-E153&gt;=GWL,99,E153*(MAX(0,GWL-H153)*(GAM_S-GAM_W)+MAX(0,FL-MAX(H153,GWL))*GAM_D)/(GAM_W*PI()*E153^2/4))</f>
        <v>2.31704034387094</v>
      </c>
      <c r="AC153" s="27" t="n">
        <f aca="false">IF(I153-E153&gt;=GWL,99,E153*(MAX(0,GWL-I153)*(GAM_S-GAM_W)+MAX(0,FL-MAX(I153,GWL))*GAM_D)/(GAM_W*PI()*E153^2/4))</f>
        <v>2.35266596214687</v>
      </c>
    </row>
    <row r="154" customFormat="false" ht="15" hidden="false" customHeight="false" outlineLevel="0" collapsed="false">
      <c r="A154" s="25" t="s">
        <v>592</v>
      </c>
      <c r="B154" s="25" t="s">
        <v>605</v>
      </c>
      <c r="C154" s="25" t="s">
        <v>612</v>
      </c>
      <c r="D154" s="26" t="n">
        <v>2.64764511971713</v>
      </c>
      <c r="E154" s="26" t="n">
        <v>2.24900472632683</v>
      </c>
      <c r="F154" s="26" t="n">
        <v>-4.01384208954527</v>
      </c>
      <c r="G154" s="26" t="n">
        <v>-4.02292236316342</v>
      </c>
      <c r="H154" s="26" t="n">
        <v>-1.26483736321844</v>
      </c>
      <c r="I154" s="26" t="n">
        <v>-1.27391763683658</v>
      </c>
      <c r="J154" s="26" t="n">
        <v>24.33</v>
      </c>
      <c r="K154" s="27" t="n">
        <f aca="false">MIN(F154,G154)</f>
        <v>-4.02292236316342</v>
      </c>
      <c r="L154" s="27" t="n">
        <f aca="false">AVERAGE(F154,G154)</f>
        <v>-4.01838222635434</v>
      </c>
      <c r="M154" s="27" t="n">
        <f aca="false">MAX(0,NG-L154)</f>
        <v>3.31838222635434</v>
      </c>
      <c r="N154" s="27" t="n">
        <f aca="false">MAX(0,GWL-K154)</f>
        <v>2.52292236316342</v>
      </c>
      <c r="O154" s="27" t="n">
        <f aca="false">MAX(0,NG-MAX(K154,GWL))</f>
        <v>0.8</v>
      </c>
      <c r="P154" s="27" t="n">
        <f aca="false">E154/2+WS+SLOPE_A*O154+SLOPE_B*N154</f>
        <v>8.37034708949025</v>
      </c>
      <c r="Q154" s="28" t="str">
        <f aca="false">IF(AND(P154&lt;J154,N154&lt;=MAXOC),"Open cut","Shoring")</f>
        <v>Shoring</v>
      </c>
      <c r="R154" s="27" t="n">
        <f aca="false">IF(Q154="Shoring",D154,0)</f>
        <v>2.64764511971713</v>
      </c>
      <c r="S154" s="27" t="n">
        <f aca="false">MAX(0,GWL-L154)</f>
        <v>2.51838222635434</v>
      </c>
      <c r="T154" s="27" t="n">
        <f aca="false">MAX(0,NG-MAX(L154,GWL))</f>
        <v>0.8</v>
      </c>
      <c r="U154" s="27" t="n">
        <f aca="false">E154+2*WS</f>
        <v>4.24900472632683</v>
      </c>
      <c r="V154" s="27" t="n">
        <f aca="false">IF(Q154="Shoring",D154*M154*U154,0)</f>
        <v>37.3313242811143</v>
      </c>
      <c r="W154" s="27" t="n">
        <f aca="false">IF(Q154="Open cut",D154*(U154*M154+SLOPE_B*S154^2+2*SLOPE_B*S154*T154+SLOPE_A*T154^2),0)</f>
        <v>0</v>
      </c>
      <c r="X154" s="27" t="n">
        <f aca="false">IF(M154&gt;0,D154*(E154+2*SLABOVH)*SLAB,0)</f>
        <v>4.30110575379857</v>
      </c>
      <c r="Y154" s="27" t="n">
        <f aca="false">IF(M154&gt;0,D154*PI()*E154^2/4,0)</f>
        <v>10.5179327840894</v>
      </c>
      <c r="Z154" s="27" t="n">
        <f aca="false">IF(H154-E154&gt;=GWL,99,E154*(MAX(0,GWL-H154)*(GAM_S-GAM_W)+MAX(0,NG-MAX(H154,GWL))*GAM_D)/(GAM_W*PI()*E154^2/4))</f>
        <v>0.58674130874652</v>
      </c>
      <c r="AA154" s="27" t="n">
        <f aca="false">IF(I154-E154&gt;=GWL,99,E154*(MAX(0,GWL-I154)*(GAM_S-GAM_W)+MAX(0,NG-MAX(I154,GWL))*GAM_D)/(GAM_W*PI()*E154^2/4))</f>
        <v>0.596173708182934</v>
      </c>
      <c r="AB154" s="27" t="n">
        <f aca="false">IF(H154-E154&gt;=GWL,99,E154*(MAX(0,GWL-H154)*(GAM_S-GAM_W)+MAX(0,FL-MAX(H154,GWL))*GAM_D)/(GAM_W*PI()*E154^2/4))</f>
        <v>2.35266596214687</v>
      </c>
      <c r="AC154" s="27" t="n">
        <f aca="false">IF(I154-E154&gt;=GWL,99,E154*(MAX(0,GWL-I154)*(GAM_S-GAM_W)+MAX(0,FL-MAX(I154,GWL))*GAM_D)/(GAM_W*PI()*E154^2/4))</f>
        <v>2.36209836158328</v>
      </c>
    </row>
    <row r="155" customFormat="false" ht="15" hidden="false" customHeight="false" outlineLevel="0" collapsed="false">
      <c r="A155" s="25" t="s">
        <v>592</v>
      </c>
      <c r="B155" s="25" t="s">
        <v>605</v>
      </c>
      <c r="C155" s="25" t="s">
        <v>613</v>
      </c>
      <c r="D155" s="26" t="n">
        <v>3.40040666388088</v>
      </c>
      <c r="E155" s="26" t="n">
        <v>2.24900472632683</v>
      </c>
      <c r="F155" s="26" t="n">
        <v>-4.02292236316342</v>
      </c>
      <c r="G155" s="26" t="n">
        <v>-4.03459236316342</v>
      </c>
      <c r="H155" s="26" t="n">
        <v>-1.27391763683658</v>
      </c>
      <c r="I155" s="26" t="n">
        <v>-1.28558763683658</v>
      </c>
      <c r="J155" s="26" t="n">
        <v>21.16</v>
      </c>
      <c r="K155" s="27" t="n">
        <f aca="false">MIN(F155,G155)</f>
        <v>-4.03459236316342</v>
      </c>
      <c r="L155" s="27" t="n">
        <f aca="false">AVERAGE(F155,G155)</f>
        <v>-4.02875736316342</v>
      </c>
      <c r="M155" s="27" t="n">
        <f aca="false">MAX(0,NG-L155)</f>
        <v>3.32875736316342</v>
      </c>
      <c r="N155" s="27" t="n">
        <f aca="false">MAX(0,GWL-K155)</f>
        <v>2.53459236316342</v>
      </c>
      <c r="O155" s="27" t="n">
        <f aca="false">MAX(0,NG-MAX(K155,GWL))</f>
        <v>0.8</v>
      </c>
      <c r="P155" s="27" t="n">
        <f aca="false">E155/2+WS+SLOPE_A*O155+SLOPE_B*N155</f>
        <v>8.39368708949025</v>
      </c>
      <c r="Q155" s="28" t="str">
        <f aca="false">IF(AND(P155&lt;J155,N155&lt;=MAXOC),"Open cut","Shoring")</f>
        <v>Shoring</v>
      </c>
      <c r="R155" s="27" t="n">
        <f aca="false">IF(Q155="Shoring",D155,0)</f>
        <v>3.40040666388088</v>
      </c>
      <c r="S155" s="27" t="n">
        <f aca="false">MAX(0,GWL-L155)</f>
        <v>2.52875736316342</v>
      </c>
      <c r="T155" s="27" t="n">
        <f aca="false">MAX(0,NG-MAX(L155,GWL))</f>
        <v>0.8</v>
      </c>
      <c r="U155" s="27" t="n">
        <f aca="false">E155+2*WS</f>
        <v>4.24900472632683</v>
      </c>
      <c r="V155" s="27" t="n">
        <f aca="false">IF(Q155="Shoring",D155*M155*U155,0)</f>
        <v>48.0950314297912</v>
      </c>
      <c r="W155" s="27" t="n">
        <f aca="false">IF(Q155="Open cut",D155*(U155*M155+SLOPE_B*S155^2+2*SLOPE_B*S155*T155+SLOPE_A*T155^2),0)</f>
        <v>0</v>
      </c>
      <c r="X155" s="27" t="n">
        <f aca="false">IF(M155&gt;0,D155*(E155+2*SLABOVH)*SLAB,0)</f>
        <v>5.52396866119112</v>
      </c>
      <c r="Y155" s="27" t="n">
        <f aca="false">IF(M155&gt;0,D155*PI()*E155^2/4,0)</f>
        <v>13.5083242323238</v>
      </c>
      <c r="Z155" s="27" t="n">
        <f aca="false">IF(H155-E155&gt;=GWL,99,E155*(MAX(0,GWL-H155)*(GAM_S-GAM_W)+MAX(0,NG-MAX(H155,GWL))*GAM_D)/(GAM_W*PI()*E155^2/4))</f>
        <v>0.596173708182934</v>
      </c>
      <c r="AA155" s="27" t="n">
        <f aca="false">IF(I155-E155&gt;=GWL,99,E155*(MAX(0,GWL-I155)*(GAM_S-GAM_W)+MAX(0,NG-MAX(I155,GWL))*GAM_D)/(GAM_W*PI()*E155^2/4))</f>
        <v>0.608296261538924</v>
      </c>
      <c r="AB155" s="27" t="n">
        <f aca="false">IF(H155-E155&gt;=GWL,99,E155*(MAX(0,GWL-H155)*(GAM_S-GAM_W)+MAX(0,FL-MAX(H155,GWL))*GAM_D)/(GAM_W*PI()*E155^2/4))</f>
        <v>2.36209836158328</v>
      </c>
      <c r="AC155" s="27" t="n">
        <f aca="false">IF(I155-E155&gt;=GWL,99,E155*(MAX(0,GWL-I155)*(GAM_S-GAM_W)+MAX(0,FL-MAX(I155,GWL))*GAM_D)/(GAM_W*PI()*E155^2/4))</f>
        <v>2.37422091493927</v>
      </c>
    </row>
    <row r="156" customFormat="false" ht="15" hidden="false" customHeight="false" outlineLevel="0" collapsed="false">
      <c r="A156" s="25" t="s">
        <v>592</v>
      </c>
      <c r="B156" s="25" t="s">
        <v>605</v>
      </c>
      <c r="C156" s="25" t="s">
        <v>614</v>
      </c>
      <c r="D156" s="26" t="n">
        <v>3.39602000032578</v>
      </c>
      <c r="E156" s="26" t="n">
        <v>2.24899483542118</v>
      </c>
      <c r="F156" s="26" t="n">
        <v>-4.03458741771059</v>
      </c>
      <c r="G156" s="26" t="n">
        <v>-4.04622741771059</v>
      </c>
      <c r="H156" s="26" t="n">
        <v>-1.28559258228941</v>
      </c>
      <c r="I156" s="26" t="n">
        <v>-1.29723258228941</v>
      </c>
      <c r="J156" s="26" t="n">
        <v>21.16</v>
      </c>
      <c r="K156" s="27" t="n">
        <f aca="false">MIN(F156,G156)</f>
        <v>-4.04622741771059</v>
      </c>
      <c r="L156" s="27" t="n">
        <f aca="false">AVERAGE(F156,G156)</f>
        <v>-4.04040741771059</v>
      </c>
      <c r="M156" s="27" t="n">
        <f aca="false">MAX(0,NG-L156)</f>
        <v>3.34040741771059</v>
      </c>
      <c r="N156" s="27" t="n">
        <f aca="false">MAX(0,GWL-K156)</f>
        <v>2.54622741771059</v>
      </c>
      <c r="O156" s="27" t="n">
        <f aca="false">MAX(0,NG-MAX(K156,GWL))</f>
        <v>0.8</v>
      </c>
      <c r="P156" s="27" t="n">
        <f aca="false">E156/2+WS+SLOPE_A*O156+SLOPE_B*N156</f>
        <v>8.41695225313177</v>
      </c>
      <c r="Q156" s="28" t="str">
        <f aca="false">IF(AND(P156&lt;J156,N156&lt;=MAXOC),"Open cut","Shoring")</f>
        <v>Shoring</v>
      </c>
      <c r="R156" s="27" t="n">
        <f aca="false">IF(Q156="Shoring",D156,0)</f>
        <v>3.39602000032578</v>
      </c>
      <c r="S156" s="27" t="n">
        <f aca="false">MAX(0,GWL-L156)</f>
        <v>2.54040741771059</v>
      </c>
      <c r="T156" s="27" t="n">
        <f aca="false">MAX(0,NG-MAX(L156,GWL))</f>
        <v>0.8</v>
      </c>
      <c r="U156" s="27" t="n">
        <f aca="false">E156+2*WS</f>
        <v>4.24899483542118</v>
      </c>
      <c r="V156" s="27" t="n">
        <f aca="false">IF(Q156="Shoring",D156*M156*U156,0)</f>
        <v>48.2009815212237</v>
      </c>
      <c r="W156" s="27" t="n">
        <f aca="false">IF(Q156="Open cut",D156*(U156*M156+SLOPE_B*S156^2+2*SLOPE_B*S156*T156+SLOPE_A*T156^2),0)</f>
        <v>0</v>
      </c>
      <c r="X156" s="27" t="n">
        <f aca="false">IF(M156&gt;0,D156*(E156+2*SLABOVH)*SLAB,0)</f>
        <v>5.51682572102275</v>
      </c>
      <c r="Y156" s="27" t="n">
        <f aca="false">IF(M156&gt;0,D156*PI()*E156^2/4,0)</f>
        <v>13.4907792789698</v>
      </c>
      <c r="Z156" s="27" t="n">
        <f aca="false">IF(H156-E156&gt;=GWL,99,E156*(MAX(0,GWL-H156)*(GAM_S-GAM_W)+MAX(0,NG-MAX(H156,GWL))*GAM_D)/(GAM_W*PI()*E156^2/4))</f>
        <v>0.608304074035082</v>
      </c>
      <c r="AA156" s="27" t="n">
        <f aca="false">IF(I156-E156&gt;=GWL,99,E156*(MAX(0,GWL-I156)*(GAM_S-GAM_W)+MAX(0,NG-MAX(I156,GWL))*GAM_D)/(GAM_W*PI()*E156^2/4))</f>
        <v>0.620395517191835</v>
      </c>
      <c r="AB156" s="27" t="n">
        <f aca="false">IF(H156-E156&gt;=GWL,99,E156*(MAX(0,GWL-H156)*(GAM_S-GAM_W)+MAX(0,FL-MAX(H156,GWL))*GAM_D)/(GAM_W*PI()*E156^2/4))</f>
        <v>2.37423649383572</v>
      </c>
      <c r="AC156" s="27" t="n">
        <f aca="false">IF(I156-E156&gt;=GWL,99,E156*(MAX(0,GWL-I156)*(GAM_S-GAM_W)+MAX(0,FL-MAX(I156,GWL))*GAM_D)/(GAM_W*PI()*E156^2/4))</f>
        <v>2.38632793699247</v>
      </c>
    </row>
    <row r="157" customFormat="false" ht="15" hidden="false" customHeight="false" outlineLevel="0" collapsed="false">
      <c r="A157" s="25" t="s">
        <v>592</v>
      </c>
      <c r="B157" s="25" t="s">
        <v>605</v>
      </c>
      <c r="C157" s="25" t="s">
        <v>615</v>
      </c>
      <c r="D157" s="26" t="n">
        <v>0.55592821661494</v>
      </c>
      <c r="E157" s="26" t="n">
        <v>2.24899483542118</v>
      </c>
      <c r="F157" s="26" t="n">
        <v>-4.04622741771059</v>
      </c>
      <c r="G157" s="26" t="n">
        <v>-4.0481341921024</v>
      </c>
      <c r="H157" s="26" t="n">
        <v>-1.29723258228941</v>
      </c>
      <c r="I157" s="26" t="n">
        <v>-1.29913935668122</v>
      </c>
      <c r="J157" s="26" t="n">
        <v>22.54</v>
      </c>
      <c r="K157" s="27" t="n">
        <f aca="false">MIN(F157,G157)</f>
        <v>-4.0481341921024</v>
      </c>
      <c r="L157" s="27" t="n">
        <f aca="false">AVERAGE(F157,G157)</f>
        <v>-4.04718080490649</v>
      </c>
      <c r="M157" s="27" t="n">
        <f aca="false">MAX(0,NG-L157)</f>
        <v>3.34718080490649</v>
      </c>
      <c r="N157" s="27" t="n">
        <f aca="false">MAX(0,GWL-K157)</f>
        <v>2.5481341921024</v>
      </c>
      <c r="O157" s="27" t="n">
        <f aca="false">MAX(0,NG-MAX(K157,GWL))</f>
        <v>0.8</v>
      </c>
      <c r="P157" s="27" t="n">
        <f aca="false">E157/2+WS+SLOPE_A*O157+SLOPE_B*N157</f>
        <v>8.42076580191539</v>
      </c>
      <c r="Q157" s="28" t="str">
        <f aca="false">IF(AND(P157&lt;J157,N157&lt;=MAXOC),"Open cut","Shoring")</f>
        <v>Shoring</v>
      </c>
      <c r="R157" s="27" t="n">
        <f aca="false">IF(Q157="Shoring",D157,0)</f>
        <v>0.55592821661494</v>
      </c>
      <c r="S157" s="27" t="n">
        <f aca="false">MAX(0,GWL-L157)</f>
        <v>2.54718080490649</v>
      </c>
      <c r="T157" s="27" t="n">
        <f aca="false">MAX(0,NG-MAX(L157,GWL))</f>
        <v>0.8</v>
      </c>
      <c r="U157" s="27" t="n">
        <f aca="false">E157+2*WS</f>
        <v>4.24899483542118</v>
      </c>
      <c r="V157" s="27" t="n">
        <f aca="false">IF(Q157="Shoring",D157*M157*U157,0)</f>
        <v>7.90649668366374</v>
      </c>
      <c r="W157" s="27" t="n">
        <f aca="false">IF(Q157="Open cut",D157*(U157*M157+SLOPE_B*S157^2+2*SLOPE_B*S157*T157+SLOPE_A*T157^2),0)</f>
        <v>0</v>
      </c>
      <c r="X157" s="27" t="n">
        <f aca="false">IF(M157&gt;0,D157*(E157+2*SLABOVH)*SLAB,0)</f>
        <v>0.903103952323424</v>
      </c>
      <c r="Y157" s="27" t="n">
        <f aca="false">IF(M157&gt;0,D157*PI()*E157^2/4,0)</f>
        <v>2.20843954528654</v>
      </c>
      <c r="Z157" s="27" t="n">
        <f aca="false">IF(H157-E157&gt;=GWL,99,E157*(MAX(0,GWL-H157)*(GAM_S-GAM_W)+MAX(0,NG-MAX(H157,GWL))*GAM_D)/(GAM_W*PI()*E157^2/4))</f>
        <v>0.620395517191835</v>
      </c>
      <c r="AA157" s="27" t="n">
        <f aca="false">IF(I157-E157&gt;=GWL,99,E157*(MAX(0,GWL-I157)*(GAM_S-GAM_W)+MAX(0,NG-MAX(I157,GWL))*GAM_D)/(GAM_W*PI()*E157^2/4))</f>
        <v>0.622376243495211</v>
      </c>
      <c r="AB157" s="27" t="n">
        <f aca="false">IF(H157-E157&gt;=GWL,99,E157*(MAX(0,GWL-H157)*(GAM_S-GAM_W)+MAX(0,FL-MAX(H157,GWL))*GAM_D)/(GAM_W*PI()*E157^2/4))</f>
        <v>2.38632793699247</v>
      </c>
      <c r="AC157" s="27" t="n">
        <f aca="false">IF(I157-E157&gt;=GWL,99,E157*(MAX(0,GWL-I157)*(GAM_S-GAM_W)+MAX(0,FL-MAX(I157,GWL))*GAM_D)/(GAM_W*PI()*E157^2/4))</f>
        <v>2.38830866329585</v>
      </c>
    </row>
    <row r="158" customFormat="false" ht="15" hidden="false" customHeight="false" outlineLevel="0" collapsed="false">
      <c r="A158" s="25" t="s">
        <v>592</v>
      </c>
      <c r="B158" s="25" t="s">
        <v>605</v>
      </c>
      <c r="C158" s="25" t="s">
        <v>616</v>
      </c>
      <c r="D158" s="26" t="n">
        <v>10.0000000006279</v>
      </c>
      <c r="E158" s="26" t="n">
        <v>2.24899483542118</v>
      </c>
      <c r="F158" s="26" t="n">
        <v>-4.0481341921024</v>
      </c>
      <c r="G158" s="26" t="n">
        <v>-4.08243312376997</v>
      </c>
      <c r="H158" s="26" t="n">
        <v>-1.29913935668122</v>
      </c>
      <c r="I158" s="26" t="n">
        <v>-1.33343828834879</v>
      </c>
      <c r="J158" s="26" t="n">
        <v>22.78</v>
      </c>
      <c r="K158" s="27" t="n">
        <f aca="false">MIN(F158,G158)</f>
        <v>-4.08243312376997</v>
      </c>
      <c r="L158" s="27" t="n">
        <f aca="false">AVERAGE(F158,G158)</f>
        <v>-4.06528365793619</v>
      </c>
      <c r="M158" s="27" t="n">
        <f aca="false">MAX(0,NG-L158)</f>
        <v>3.36528365793619</v>
      </c>
      <c r="N158" s="27" t="n">
        <f aca="false">MAX(0,GWL-K158)</f>
        <v>2.58243312376997</v>
      </c>
      <c r="O158" s="27" t="n">
        <f aca="false">MAX(0,NG-MAX(K158,GWL))</f>
        <v>0.8</v>
      </c>
      <c r="P158" s="27" t="n">
        <f aca="false">E158/2+WS+SLOPE_A*O158+SLOPE_B*N158</f>
        <v>8.48936366525054</v>
      </c>
      <c r="Q158" s="28" t="str">
        <f aca="false">IF(AND(P158&lt;J158,N158&lt;=MAXOC),"Open cut","Shoring")</f>
        <v>Shoring</v>
      </c>
      <c r="R158" s="27" t="n">
        <f aca="false">IF(Q158="Shoring",D158,0)</f>
        <v>10.0000000006279</v>
      </c>
      <c r="S158" s="27" t="n">
        <f aca="false">MAX(0,GWL-L158)</f>
        <v>2.56528365793619</v>
      </c>
      <c r="T158" s="27" t="n">
        <f aca="false">MAX(0,NG-MAX(L158,GWL))</f>
        <v>0.8</v>
      </c>
      <c r="U158" s="27" t="n">
        <f aca="false">E158+2*WS</f>
        <v>4.24899483542118</v>
      </c>
      <c r="V158" s="27" t="n">
        <f aca="false">IF(Q158="Shoring",D158*M158*U158,0)</f>
        <v>142.99072883196</v>
      </c>
      <c r="W158" s="27" t="n">
        <f aca="false">IF(Q158="Open cut",D158*(U158*M158+SLOPE_B*S158^2+2*SLOPE_B*S158*T158+SLOPE_A*T158^2),0)</f>
        <v>0</v>
      </c>
      <c r="X158" s="27" t="n">
        <f aca="false">IF(M158&gt;0,D158*(E158+2*SLABOVH)*SLAB,0)</f>
        <v>16.2449741781259</v>
      </c>
      <c r="Y158" s="27" t="n">
        <f aca="false">IF(M158&gt;0,D158*PI()*E158^2/4,0)</f>
        <v>39.7252645111709</v>
      </c>
      <c r="Z158" s="27" t="n">
        <f aca="false">IF(H158-E158&gt;=GWL,99,E158*(MAX(0,GWL-H158)*(GAM_S-GAM_W)+MAX(0,NG-MAX(H158,GWL))*GAM_D)/(GAM_W*PI()*E158^2/4))</f>
        <v>0.622376243495211</v>
      </c>
      <c r="AA158" s="27" t="n">
        <f aca="false">IF(I158-E158&gt;=GWL,99,E158*(MAX(0,GWL-I158)*(GAM_S-GAM_W)+MAX(0,NG-MAX(I158,GWL))*GAM_D)/(GAM_W*PI()*E158^2/4))</f>
        <v>0.65800541725774</v>
      </c>
      <c r="AB158" s="27" t="n">
        <f aca="false">IF(H158-E158&gt;=GWL,99,E158*(MAX(0,GWL-H158)*(GAM_S-GAM_W)+MAX(0,FL-MAX(H158,GWL))*GAM_D)/(GAM_W*PI()*E158^2/4))</f>
        <v>2.38830866329585</v>
      </c>
      <c r="AC158" s="27" t="n">
        <f aca="false">IF(I158-E158&gt;=GWL,99,E158*(MAX(0,GWL-I158)*(GAM_S-GAM_W)+MAX(0,FL-MAX(I158,GWL))*GAM_D)/(GAM_W*PI()*E158^2/4))</f>
        <v>2.42393783705837</v>
      </c>
    </row>
    <row r="159" customFormat="false" ht="15" hidden="false" customHeight="false" outlineLevel="0" collapsed="false">
      <c r="A159" s="25" t="s">
        <v>592</v>
      </c>
      <c r="B159" s="25" t="s">
        <v>605</v>
      </c>
      <c r="C159" s="25" t="s">
        <v>617</v>
      </c>
      <c r="D159" s="26" t="n">
        <v>2.55235178237004</v>
      </c>
      <c r="E159" s="26" t="n">
        <v>2.24899483542118</v>
      </c>
      <c r="F159" s="26" t="n">
        <v>-4.08243312376997</v>
      </c>
      <c r="G159" s="26" t="n">
        <v>-4.09118741771059</v>
      </c>
      <c r="H159" s="26" t="n">
        <v>-1.33343828834879</v>
      </c>
      <c r="I159" s="26" t="n">
        <v>-1.34219258228941</v>
      </c>
      <c r="J159" s="26" t="n">
        <v>27.9</v>
      </c>
      <c r="K159" s="27" t="n">
        <f aca="false">MIN(F159,G159)</f>
        <v>-4.09118741771059</v>
      </c>
      <c r="L159" s="27" t="n">
        <f aca="false">AVERAGE(F159,G159)</f>
        <v>-4.08681027074028</v>
      </c>
      <c r="M159" s="27" t="n">
        <f aca="false">MAX(0,NG-L159)</f>
        <v>3.38681027074028</v>
      </c>
      <c r="N159" s="27" t="n">
        <f aca="false">MAX(0,GWL-K159)</f>
        <v>2.59118741771059</v>
      </c>
      <c r="O159" s="27" t="n">
        <f aca="false">MAX(0,NG-MAX(K159,GWL))</f>
        <v>0.8</v>
      </c>
      <c r="P159" s="27" t="n">
        <f aca="false">E159/2+WS+SLOPE_A*O159+SLOPE_B*N159</f>
        <v>8.50687225313177</v>
      </c>
      <c r="Q159" s="28" t="str">
        <f aca="false">IF(AND(P159&lt;J159,N159&lt;=MAXOC),"Open cut","Shoring")</f>
        <v>Shoring</v>
      </c>
      <c r="R159" s="27" t="n">
        <f aca="false">IF(Q159="Shoring",D159,0)</f>
        <v>2.55235178237004</v>
      </c>
      <c r="S159" s="27" t="n">
        <f aca="false">MAX(0,GWL-L159)</f>
        <v>2.58681027074028</v>
      </c>
      <c r="T159" s="27" t="n">
        <f aca="false">MAX(0,NG-MAX(L159,GWL))</f>
        <v>0.8</v>
      </c>
      <c r="U159" s="27" t="n">
        <f aca="false">E159+2*WS</f>
        <v>4.24899483542118</v>
      </c>
      <c r="V159" s="27" t="n">
        <f aca="false">IF(Q159="Shoring",D159*M159*U159,0)</f>
        <v>36.7297187564997</v>
      </c>
      <c r="W159" s="27" t="n">
        <f aca="false">IF(Q159="Open cut",D159*(U159*M159+SLOPE_B*S159^2+2*SLOPE_B*S159*T159+SLOPE_A*T159^2),0)</f>
        <v>0</v>
      </c>
      <c r="X159" s="27" t="n">
        <f aca="false">IF(M159&gt;0,D159*(E159+2*SLABOVH)*SLAB,0)</f>
        <v>4.14628887954915</v>
      </c>
      <c r="Y159" s="27" t="n">
        <f aca="false">IF(M159&gt;0,D159*PI()*E159^2/4,0)</f>
        <v>10.1392849673842</v>
      </c>
      <c r="Z159" s="27" t="n">
        <f aca="false">IF(H159-E159&gt;=GWL,99,E159*(MAX(0,GWL-H159)*(GAM_S-GAM_W)+MAX(0,NG-MAX(H159,GWL))*GAM_D)/(GAM_W*PI()*E159^2/4))</f>
        <v>0.65800541725774</v>
      </c>
      <c r="AA159" s="27" t="n">
        <f aca="false">IF(I159-E159&gt;=GWL,99,E159*(MAX(0,GWL-I159)*(GAM_S-GAM_W)+MAX(0,NG-MAX(I159,GWL))*GAM_D)/(GAM_W*PI()*E159^2/4))</f>
        <v>0.66709923577668</v>
      </c>
      <c r="AB159" s="27" t="n">
        <f aca="false">IF(H159-E159&gt;=GWL,99,E159*(MAX(0,GWL-H159)*(GAM_S-GAM_W)+MAX(0,FL-MAX(H159,GWL))*GAM_D)/(GAM_W*PI()*E159^2/4))</f>
        <v>2.42393783705837</v>
      </c>
      <c r="AC159" s="27" t="n">
        <f aca="false">IF(I159-E159&gt;=GWL,99,E159*(MAX(0,GWL-I159)*(GAM_S-GAM_W)+MAX(0,FL-MAX(I159,GWL))*GAM_D)/(GAM_W*PI()*E159^2/4))</f>
        <v>2.43303165557731</v>
      </c>
    </row>
    <row r="160" customFormat="false" ht="15" hidden="false" customHeight="false" outlineLevel="0" collapsed="false">
      <c r="A160" s="25" t="s">
        <v>592</v>
      </c>
      <c r="B160" s="25" t="s">
        <v>605</v>
      </c>
      <c r="C160" s="25" t="s">
        <v>618</v>
      </c>
      <c r="D160" s="26" t="n">
        <v>3.39999214884842</v>
      </c>
      <c r="E160" s="26" t="n">
        <v>2.24899483542118</v>
      </c>
      <c r="F160" s="26" t="n">
        <v>-4.09118741771059</v>
      </c>
      <c r="G160" s="26" t="n">
        <v>-4.10284741771059</v>
      </c>
      <c r="H160" s="26" t="n">
        <v>-1.34219258228941</v>
      </c>
      <c r="I160" s="26" t="n">
        <v>-1.35385258228941</v>
      </c>
      <c r="J160" s="26" t="n">
        <v>29.4</v>
      </c>
      <c r="K160" s="27" t="n">
        <f aca="false">MIN(F160,G160)</f>
        <v>-4.10284741771059</v>
      </c>
      <c r="L160" s="27" t="n">
        <f aca="false">AVERAGE(F160,G160)</f>
        <v>-4.09701741771059</v>
      </c>
      <c r="M160" s="27" t="n">
        <f aca="false">MAX(0,NG-L160)</f>
        <v>3.39701741771059</v>
      </c>
      <c r="N160" s="27" t="n">
        <f aca="false">MAX(0,GWL-K160)</f>
        <v>2.60284741771059</v>
      </c>
      <c r="O160" s="27" t="n">
        <f aca="false">MAX(0,NG-MAX(K160,GWL))</f>
        <v>0.8</v>
      </c>
      <c r="P160" s="27" t="n">
        <f aca="false">E160/2+WS+SLOPE_A*O160+SLOPE_B*N160</f>
        <v>8.53019225313177</v>
      </c>
      <c r="Q160" s="28" t="str">
        <f aca="false">IF(AND(P160&lt;J160,N160&lt;=MAXOC),"Open cut","Shoring")</f>
        <v>Shoring</v>
      </c>
      <c r="R160" s="27" t="n">
        <f aca="false">IF(Q160="Shoring",D160,0)</f>
        <v>3.39999214884842</v>
      </c>
      <c r="S160" s="27" t="n">
        <f aca="false">MAX(0,GWL-L160)</f>
        <v>2.59701741771059</v>
      </c>
      <c r="T160" s="27" t="n">
        <f aca="false">MAX(0,NG-MAX(L160,GWL))</f>
        <v>0.8</v>
      </c>
      <c r="U160" s="27" t="n">
        <f aca="false">E160+2*WS</f>
        <v>4.24899483542118</v>
      </c>
      <c r="V160" s="27" t="n">
        <f aca="false">IF(Q160="Shoring",D160*M160*U160,0)</f>
        <v>49.0751788537284</v>
      </c>
      <c r="W160" s="27" t="n">
        <f aca="false">IF(Q160="Open cut",D160*(U160*M160+SLOPE_B*S160^2+2*SLOPE_B*S160*T160+SLOPE_A*T160^2),0)</f>
        <v>0</v>
      </c>
      <c r="X160" s="27" t="n">
        <f aca="false">IF(M160&gt;0,D160*(E160+2*SLABOVH)*SLAB,0)</f>
        <v>5.52327846604054</v>
      </c>
      <c r="Y160" s="27" t="n">
        <f aca="false">IF(M160&gt;0,D160*PI()*E160^2/4,0)</f>
        <v>13.5065587440428</v>
      </c>
      <c r="Z160" s="27" t="n">
        <f aca="false">IF(H160-E160&gt;=GWL,99,E160*(MAX(0,GWL-H160)*(GAM_S-GAM_W)+MAX(0,NG-MAX(H160,GWL))*GAM_D)/(GAM_W*PI()*E160^2/4))</f>
        <v>0.66709923577668</v>
      </c>
      <c r="AA160" s="27" t="n">
        <f aca="false">IF(I160-E160&gt;=GWL,99,E160*(MAX(0,GWL-I160)*(GAM_S-GAM_W)+MAX(0,NG-MAX(I160,GWL))*GAM_D)/(GAM_W*PI()*E160^2/4))</f>
        <v>0.67921145460896</v>
      </c>
      <c r="AB160" s="27" t="n">
        <f aca="false">IF(H160-E160&gt;=GWL,99,E160*(MAX(0,GWL-H160)*(GAM_S-GAM_W)+MAX(0,FL-MAX(H160,GWL))*GAM_D)/(GAM_W*PI()*E160^2/4))</f>
        <v>2.43303165557731</v>
      </c>
      <c r="AC160" s="27" t="n">
        <f aca="false">IF(I160-E160&gt;=GWL,99,E160*(MAX(0,GWL-I160)*(GAM_S-GAM_W)+MAX(0,FL-MAX(I160,GWL))*GAM_D)/(GAM_W*PI()*E160^2/4))</f>
        <v>2.44514387440959</v>
      </c>
    </row>
    <row r="161" customFormat="false" ht="15" hidden="false" customHeight="false" outlineLevel="0" collapsed="false">
      <c r="A161" s="25" t="s">
        <v>592</v>
      </c>
      <c r="B161" s="25" t="s">
        <v>605</v>
      </c>
      <c r="C161" s="25" t="s">
        <v>619</v>
      </c>
      <c r="D161" s="26" t="n">
        <v>3.39696999998423</v>
      </c>
      <c r="E161" s="26" t="n">
        <v>2.24900040237721</v>
      </c>
      <c r="F161" s="26" t="n">
        <v>-4.1028502011886</v>
      </c>
      <c r="G161" s="26" t="n">
        <v>-4.1145002011886</v>
      </c>
      <c r="H161" s="26" t="n">
        <v>-1.3538497988114</v>
      </c>
      <c r="I161" s="26" t="n">
        <v>-1.3654997988114</v>
      </c>
      <c r="J161" s="26" t="n">
        <v>99</v>
      </c>
      <c r="K161" s="27" t="n">
        <f aca="false">MIN(F161,G161)</f>
        <v>-4.1145002011886</v>
      </c>
      <c r="L161" s="27" t="n">
        <f aca="false">AVERAGE(F161,G161)</f>
        <v>-4.1086752011886</v>
      </c>
      <c r="M161" s="27" t="n">
        <f aca="false">MAX(0,NG-L161)</f>
        <v>3.4086752011886</v>
      </c>
      <c r="N161" s="27" t="n">
        <f aca="false">MAX(0,GWL-K161)</f>
        <v>2.6145002011886</v>
      </c>
      <c r="O161" s="27" t="n">
        <f aca="false">MAX(0,NG-MAX(K161,GWL))</f>
        <v>0.8</v>
      </c>
      <c r="P161" s="27" t="n">
        <f aca="false">E161/2+WS+SLOPE_A*O161+SLOPE_B*N161</f>
        <v>8.55350060356581</v>
      </c>
      <c r="Q161" s="28" t="str">
        <f aca="false">IF(AND(P161&lt;J161,N161&lt;=MAXOC),"Open cut","Shoring")</f>
        <v>Shoring</v>
      </c>
      <c r="R161" s="27" t="n">
        <f aca="false">IF(Q161="Shoring",D161,0)</f>
        <v>3.39696999998423</v>
      </c>
      <c r="S161" s="27" t="n">
        <f aca="false">MAX(0,GWL-L161)</f>
        <v>2.6086752011886</v>
      </c>
      <c r="T161" s="27" t="n">
        <f aca="false">MAX(0,NG-MAX(L161,GWL))</f>
        <v>0.8</v>
      </c>
      <c r="U161" s="27" t="n">
        <f aca="false">E161+2*WS</f>
        <v>4.24900040237721</v>
      </c>
      <c r="V161" s="27" t="n">
        <f aca="false">IF(Q161="Shoring",D161*M161*U161,0)</f>
        <v>49.1998869338384</v>
      </c>
      <c r="W161" s="27" t="n">
        <f aca="false">IF(Q161="Open cut",D161*(U161*M161+SLOPE_B*S161^2+2*SLOPE_B*S161*T161+SLOPE_A*T161^2),0)</f>
        <v>0</v>
      </c>
      <c r="X161" s="27" t="n">
        <f aca="false">IF(M161&gt;0,D161*(E161+2*SLABOVH)*SLAB,0)</f>
        <v>5.51837844840603</v>
      </c>
      <c r="Y161" s="27" t="n">
        <f aca="false">IF(M161&gt;0,D161*PI()*E161^2/4,0)</f>
        <v>13.4946199841883</v>
      </c>
      <c r="Z161" s="27" t="n">
        <f aca="false">IF(H161-E161&gt;=GWL,99,E161*(MAX(0,GWL-H161)*(GAM_S-GAM_W)+MAX(0,NG-MAX(H161,GWL))*GAM_D)/(GAM_W*PI()*E161^2/4))</f>
        <v>0.679206881930592</v>
      </c>
      <c r="AA161" s="27" t="n">
        <f aca="false">IF(I161-E161&gt;=GWL,99,E161*(MAX(0,GWL-I161)*(GAM_S-GAM_W)+MAX(0,NG-MAX(I161,GWL))*GAM_D)/(GAM_W*PI()*E161^2/4))</f>
        <v>0.691308682969417</v>
      </c>
      <c r="AB161" s="27" t="n">
        <f aca="false">IF(H161-E161&gt;=GWL,99,E161*(MAX(0,GWL-H161)*(GAM_S-GAM_W)+MAX(0,FL-MAX(H161,GWL))*GAM_D)/(GAM_W*PI()*E161^2/4))</f>
        <v>2.44513493051452</v>
      </c>
      <c r="AC161" s="27" t="n">
        <f aca="false">IF(I161-E161&gt;=GWL,99,E161*(MAX(0,GWL-I161)*(GAM_S-GAM_W)+MAX(0,FL-MAX(I161,GWL))*GAM_D)/(GAM_W*PI()*E161^2/4))</f>
        <v>2.45723673155335</v>
      </c>
    </row>
    <row r="162" customFormat="false" ht="15" hidden="false" customHeight="false" outlineLevel="0" collapsed="false">
      <c r="A162" s="25" t="s">
        <v>592</v>
      </c>
      <c r="B162" s="25" t="s">
        <v>605</v>
      </c>
      <c r="C162" s="25" t="s">
        <v>620</v>
      </c>
      <c r="D162" s="26" t="n">
        <v>0.650686068252957</v>
      </c>
      <c r="E162" s="26" t="n">
        <v>2.24900040237721</v>
      </c>
      <c r="F162" s="26" t="n">
        <v>-4.1145002011886</v>
      </c>
      <c r="G162" s="26" t="n">
        <v>-4.11453912524113</v>
      </c>
      <c r="H162" s="26" t="n">
        <v>-1.3654997988114</v>
      </c>
      <c r="I162" s="26" t="n">
        <v>-1.36553872286392</v>
      </c>
      <c r="J162" s="26" t="n">
        <v>99</v>
      </c>
      <c r="K162" s="27" t="n">
        <f aca="false">MIN(F162,G162)</f>
        <v>-4.11453912524113</v>
      </c>
      <c r="L162" s="27" t="n">
        <f aca="false">AVERAGE(F162,G162)</f>
        <v>-4.11451966321487</v>
      </c>
      <c r="M162" s="27" t="n">
        <f aca="false">MAX(0,NG-L162)</f>
        <v>3.41451966321487</v>
      </c>
      <c r="N162" s="27" t="n">
        <f aca="false">MAX(0,GWL-K162)</f>
        <v>2.61453912524113</v>
      </c>
      <c r="O162" s="27" t="n">
        <f aca="false">MAX(0,NG-MAX(K162,GWL))</f>
        <v>0.8</v>
      </c>
      <c r="P162" s="27" t="n">
        <f aca="false">E162/2+WS+SLOPE_A*O162+SLOPE_B*N162</f>
        <v>8.55357845167086</v>
      </c>
      <c r="Q162" s="28" t="str">
        <f aca="false">IF(AND(P162&lt;J162,N162&lt;=MAXOC),"Open cut","Shoring")</f>
        <v>Shoring</v>
      </c>
      <c r="R162" s="27" t="n">
        <f aca="false">IF(Q162="Shoring",D162,0)</f>
        <v>0.650686068252957</v>
      </c>
      <c r="S162" s="27" t="n">
        <f aca="false">MAX(0,GWL-L162)</f>
        <v>2.61451966321487</v>
      </c>
      <c r="T162" s="27" t="n">
        <f aca="false">MAX(0,NG-MAX(L162,GWL))</f>
        <v>0.8</v>
      </c>
      <c r="U162" s="27" t="n">
        <f aca="false">E162+2*WS</f>
        <v>4.24900040237721</v>
      </c>
      <c r="V162" s="27" t="n">
        <f aca="false">IF(Q162="Shoring",D162*M162*U162,0)</f>
        <v>9.44034570579534</v>
      </c>
      <c r="W162" s="27" t="n">
        <f aca="false">IF(Q162="Open cut",D162*(U162*M162+SLOPE_B*S162^2+2*SLOPE_B*S162*T162+SLOPE_A*T162^2),0)</f>
        <v>0</v>
      </c>
      <c r="X162" s="27" t="n">
        <f aca="false">IF(M162&gt;0,D162*(E162+2*SLABOVH)*SLAB,0)</f>
        <v>1.05703964878755</v>
      </c>
      <c r="Y162" s="27" t="n">
        <f aca="false">IF(M162&gt;0,D162*PI()*E162^2/4,0)</f>
        <v>2.58488041405135</v>
      </c>
      <c r="Z162" s="27" t="n">
        <f aca="false">IF(H162-E162&gt;=GWL,99,E162*(MAX(0,GWL-H162)*(GAM_S-GAM_W)+MAX(0,NG-MAX(H162,GWL))*GAM_D)/(GAM_W*PI()*E162^2/4))</f>
        <v>0.691308682969417</v>
      </c>
      <c r="AA162" s="27" t="n">
        <f aca="false">IF(I162-E162&gt;=GWL,99,E162*(MAX(0,GWL-I162)*(GAM_S-GAM_W)+MAX(0,NG-MAX(I162,GWL))*GAM_D)/(GAM_W*PI()*E162^2/4))</f>
        <v>0.691349116543602</v>
      </c>
      <c r="AB162" s="27" t="n">
        <f aca="false">IF(H162-E162&gt;=GWL,99,E162*(MAX(0,GWL-H162)*(GAM_S-GAM_W)+MAX(0,FL-MAX(H162,GWL))*GAM_D)/(GAM_W*PI()*E162^2/4))</f>
        <v>2.45723673155335</v>
      </c>
      <c r="AC162" s="27" t="n">
        <f aca="false">IF(I162-E162&gt;=GWL,99,E162*(MAX(0,GWL-I162)*(GAM_S-GAM_W)+MAX(0,FL-MAX(I162,GWL))*GAM_D)/(GAM_W*PI()*E162^2/4))</f>
        <v>2.45727716512753</v>
      </c>
    </row>
    <row r="163" customFormat="false" ht="15" hidden="false" customHeight="false" outlineLevel="0" collapsed="false">
      <c r="A163" s="25" t="s">
        <v>592</v>
      </c>
      <c r="B163" s="25" t="s">
        <v>605</v>
      </c>
      <c r="C163" s="25" t="s">
        <v>621</v>
      </c>
      <c r="D163" s="26" t="n">
        <v>10.0000000000266</v>
      </c>
      <c r="E163" s="26" t="n">
        <v>2.24900040237721</v>
      </c>
      <c r="F163" s="26" t="n">
        <v>-4.11453912524113</v>
      </c>
      <c r="G163" s="26" t="n">
        <v>-4.11513732542427</v>
      </c>
      <c r="H163" s="26" t="n">
        <v>-1.36553872286392</v>
      </c>
      <c r="I163" s="26" t="n">
        <v>-1.36613692304706</v>
      </c>
      <c r="J163" s="26" t="n">
        <v>21.54</v>
      </c>
      <c r="K163" s="27" t="n">
        <f aca="false">MIN(F163,G163)</f>
        <v>-4.11513732542427</v>
      </c>
      <c r="L163" s="27" t="n">
        <f aca="false">AVERAGE(F163,G163)</f>
        <v>-4.1148382253327</v>
      </c>
      <c r="M163" s="27" t="n">
        <f aca="false">MAX(0,NG-L163)</f>
        <v>3.4148382253327</v>
      </c>
      <c r="N163" s="27" t="n">
        <f aca="false">MAX(0,GWL-K163)</f>
        <v>2.61513732542427</v>
      </c>
      <c r="O163" s="27" t="n">
        <f aca="false">MAX(0,NG-MAX(K163,GWL))</f>
        <v>0.8</v>
      </c>
      <c r="P163" s="27" t="n">
        <f aca="false">E163/2+WS+SLOPE_A*O163+SLOPE_B*N163</f>
        <v>8.55477485203714</v>
      </c>
      <c r="Q163" s="28" t="str">
        <f aca="false">IF(AND(P163&lt;J163,N163&lt;=MAXOC),"Open cut","Shoring")</f>
        <v>Shoring</v>
      </c>
      <c r="R163" s="27" t="n">
        <f aca="false">IF(Q163="Shoring",D163,0)</f>
        <v>10.0000000000266</v>
      </c>
      <c r="S163" s="27" t="n">
        <f aca="false">MAX(0,GWL-L163)</f>
        <v>2.6148382253327</v>
      </c>
      <c r="T163" s="27" t="n">
        <f aca="false">MAX(0,NG-MAX(L163,GWL))</f>
        <v>0.8</v>
      </c>
      <c r="U163" s="27" t="n">
        <f aca="false">E163+2*WS</f>
        <v>4.24900040237721</v>
      </c>
      <c r="V163" s="27" t="n">
        <f aca="false">IF(Q163="Shoring",D163*M163*U163,0)</f>
        <v>145.096489935303</v>
      </c>
      <c r="W163" s="27" t="n">
        <f aca="false">IF(Q163="Open cut",D163*(U163*M163+SLOPE_B*S163^2+2*SLOPE_B*S163*T163+SLOPE_A*T163^2),0)</f>
        <v>0</v>
      </c>
      <c r="X163" s="27" t="n">
        <f aca="false">IF(M163&gt;0,D163*(E163+2*SLABOVH)*SLAB,0)</f>
        <v>16.2450020119293</v>
      </c>
      <c r="Y163" s="27" t="n">
        <f aca="false">IF(M163&gt;0,D163*PI()*E163^2/4,0)</f>
        <v>39.7254611735954</v>
      </c>
      <c r="Z163" s="27" t="n">
        <f aca="false">IF(H163-E163&gt;=GWL,99,E163*(MAX(0,GWL-H163)*(GAM_S-GAM_W)+MAX(0,NG-MAX(H163,GWL))*GAM_D)/(GAM_W*PI()*E163^2/4))</f>
        <v>0.691349116543602</v>
      </c>
      <c r="AA163" s="27" t="n">
        <f aca="false">IF(I163-E163&gt;=GWL,99,E163*(MAX(0,GWL-I163)*(GAM_S-GAM_W)+MAX(0,NG-MAX(I163,GWL))*GAM_D)/(GAM_W*PI()*E163^2/4))</f>
        <v>0.691970515650709</v>
      </c>
      <c r="AB163" s="27" t="n">
        <f aca="false">IF(H163-E163&gt;=GWL,99,E163*(MAX(0,GWL-H163)*(GAM_S-GAM_W)+MAX(0,FL-MAX(H163,GWL))*GAM_D)/(GAM_W*PI()*E163^2/4))</f>
        <v>2.45727716512753</v>
      </c>
      <c r="AC163" s="27" t="n">
        <f aca="false">IF(I163-E163&gt;=GWL,99,E163*(MAX(0,GWL-I163)*(GAM_S-GAM_W)+MAX(0,FL-MAX(I163,GWL))*GAM_D)/(GAM_W*PI()*E163^2/4))</f>
        <v>2.45789856423464</v>
      </c>
    </row>
    <row r="164" customFormat="false" ht="15" hidden="false" customHeight="false" outlineLevel="0" collapsed="false">
      <c r="A164" s="25" t="s">
        <v>592</v>
      </c>
      <c r="B164" s="25" t="s">
        <v>605</v>
      </c>
      <c r="C164" s="25" t="s">
        <v>622</v>
      </c>
      <c r="D164" s="26" t="n">
        <v>8.30000000008436</v>
      </c>
      <c r="E164" s="26" t="n">
        <v>2.24900040237721</v>
      </c>
      <c r="F164" s="26" t="n">
        <v>-4.11513732542427</v>
      </c>
      <c r="G164" s="26" t="n">
        <v>-4.11563383157628</v>
      </c>
      <c r="H164" s="26" t="n">
        <v>-1.36613692304706</v>
      </c>
      <c r="I164" s="26" t="n">
        <v>-1.36663342919907</v>
      </c>
      <c r="J164" s="26" t="n">
        <v>16.66</v>
      </c>
      <c r="K164" s="27" t="n">
        <f aca="false">MIN(F164,G164)</f>
        <v>-4.11563383157628</v>
      </c>
      <c r="L164" s="27" t="n">
        <f aca="false">AVERAGE(F164,G164)</f>
        <v>-4.11538557850028</v>
      </c>
      <c r="M164" s="27" t="n">
        <f aca="false">MAX(0,NG-L164)</f>
        <v>3.41538557850028</v>
      </c>
      <c r="N164" s="27" t="n">
        <f aca="false">MAX(0,GWL-K164)</f>
        <v>2.61563383157628</v>
      </c>
      <c r="O164" s="27" t="n">
        <f aca="false">MAX(0,NG-MAX(K164,GWL))</f>
        <v>0.8</v>
      </c>
      <c r="P164" s="27" t="n">
        <f aca="false">E164/2+WS+SLOPE_A*O164+SLOPE_B*N164</f>
        <v>8.55576786434116</v>
      </c>
      <c r="Q164" s="28" t="str">
        <f aca="false">IF(AND(P164&lt;J164,N164&lt;=MAXOC),"Open cut","Shoring")</f>
        <v>Shoring</v>
      </c>
      <c r="R164" s="27" t="n">
        <f aca="false">IF(Q164="Shoring",D164,0)</f>
        <v>8.30000000008436</v>
      </c>
      <c r="S164" s="27" t="n">
        <f aca="false">MAX(0,GWL-L164)</f>
        <v>2.61538557850028</v>
      </c>
      <c r="T164" s="27" t="n">
        <f aca="false">MAX(0,NG-MAX(L164,GWL))</f>
        <v>0.8</v>
      </c>
      <c r="U164" s="27" t="n">
        <f aca="false">E164+2*WS</f>
        <v>4.24900040237721</v>
      </c>
      <c r="V164" s="27" t="n">
        <f aca="false">IF(Q164="Shoring",D164*M164*U164,0)</f>
        <v>120.449389988988</v>
      </c>
      <c r="W164" s="27" t="n">
        <f aca="false">IF(Q164="Open cut",D164*(U164*M164+SLOPE_B*S164^2+2*SLOPE_B*S164*T164+SLOPE_A*T164^2),0)</f>
        <v>0</v>
      </c>
      <c r="X164" s="27" t="n">
        <f aca="false">IF(M164&gt;0,D164*(E164+2*SLABOVH)*SLAB,0)</f>
        <v>13.4833516700024</v>
      </c>
      <c r="Y164" s="27" t="n">
        <f aca="false">IF(M164&gt;0,D164*PI()*E164^2/4,0)</f>
        <v>32.9721327743315</v>
      </c>
      <c r="Z164" s="27" t="n">
        <f aca="false">IF(H164-E164&gt;=GWL,99,E164*(MAX(0,GWL-H164)*(GAM_S-GAM_W)+MAX(0,NG-MAX(H164,GWL))*GAM_D)/(GAM_W*PI()*E164^2/4))</f>
        <v>0.691970515650709</v>
      </c>
      <c r="AA164" s="27" t="n">
        <f aca="false">IF(I164-E164&gt;=GWL,99,E164*(MAX(0,GWL-I164)*(GAM_S-GAM_W)+MAX(0,NG-MAX(I164,GWL))*GAM_D)/(GAM_W*PI()*E164^2/4))</f>
        <v>0.692486276909608</v>
      </c>
      <c r="AB164" s="27" t="n">
        <f aca="false">IF(H164-E164&gt;=GWL,99,E164*(MAX(0,GWL-H164)*(GAM_S-GAM_W)+MAX(0,FL-MAX(H164,GWL))*GAM_D)/(GAM_W*PI()*E164^2/4))</f>
        <v>2.45789856423464</v>
      </c>
      <c r="AC164" s="27" t="n">
        <f aca="false">IF(I164-E164&gt;=GWL,99,E164*(MAX(0,GWL-I164)*(GAM_S-GAM_W)+MAX(0,FL-MAX(I164,GWL))*GAM_D)/(GAM_W*PI()*E164^2/4))</f>
        <v>2.45841432549354</v>
      </c>
    </row>
    <row r="165" customFormat="false" ht="15" hidden="false" customHeight="false" outlineLevel="0" collapsed="false">
      <c r="A165" s="25" t="s">
        <v>592</v>
      </c>
      <c r="B165" s="25" t="s">
        <v>623</v>
      </c>
      <c r="C165" s="25" t="s">
        <v>624</v>
      </c>
      <c r="D165" s="26" t="n">
        <v>1.69999999980911</v>
      </c>
      <c r="E165" s="26" t="n">
        <v>2.24900040237721</v>
      </c>
      <c r="F165" s="26" t="n">
        <v>-4.11563383157628</v>
      </c>
      <c r="G165" s="26" t="n">
        <v>-4.11573552560741</v>
      </c>
      <c r="H165" s="26" t="n">
        <v>-1.36663342919907</v>
      </c>
      <c r="I165" s="26" t="n">
        <v>-1.36673512323021</v>
      </c>
      <c r="J165" s="26" t="n">
        <v>15.78</v>
      </c>
      <c r="K165" s="27" t="n">
        <f aca="false">MIN(F165,G165)</f>
        <v>-4.11573552560741</v>
      </c>
      <c r="L165" s="27" t="n">
        <f aca="false">AVERAGE(F165,G165)</f>
        <v>-4.11568467859185</v>
      </c>
      <c r="M165" s="27" t="n">
        <f aca="false">MAX(0,NG-L165)</f>
        <v>3.41568467859185</v>
      </c>
      <c r="N165" s="27" t="n">
        <f aca="false">MAX(0,GWL-K165)</f>
        <v>2.61573552560741</v>
      </c>
      <c r="O165" s="27" t="n">
        <f aca="false">MAX(0,NG-MAX(K165,GWL))</f>
        <v>0.8</v>
      </c>
      <c r="P165" s="27" t="n">
        <f aca="false">E165/2+WS+SLOPE_A*O165+SLOPE_B*N165</f>
        <v>8.55597125240343</v>
      </c>
      <c r="Q165" s="28" t="str">
        <f aca="false">IF(AND(P165&lt;J165,N165&lt;=MAXOC),"Open cut","Shoring")</f>
        <v>Shoring</v>
      </c>
      <c r="R165" s="27" t="n">
        <f aca="false">IF(Q165="Shoring",D165,0)</f>
        <v>1.69999999980911</v>
      </c>
      <c r="S165" s="27" t="n">
        <f aca="false">MAX(0,GWL-L165)</f>
        <v>2.61568467859185</v>
      </c>
      <c r="T165" s="27" t="n">
        <f aca="false">MAX(0,NG-MAX(L165,GWL))</f>
        <v>0.8</v>
      </c>
      <c r="U165" s="27" t="n">
        <f aca="false">E165+2*WS</f>
        <v>4.24900040237721</v>
      </c>
      <c r="V165" s="27" t="n">
        <f aca="false">IF(Q165="Shoring",D165*M165*U165,0)</f>
        <v>24.6725174725713</v>
      </c>
      <c r="W165" s="27" t="n">
        <f aca="false">IF(Q165="Open cut",D165*(U165*M165+SLOPE_B*S165^2+2*SLOPE_B*S165*T165+SLOPE_A*T165^2),0)</f>
        <v>0</v>
      </c>
      <c r="X165" s="27" t="n">
        <f aca="false">IF(M165&gt;0,D165*(E165+2*SLABOVH)*SLAB,0)</f>
        <v>2.76165034171053</v>
      </c>
      <c r="Y165" s="27" t="n">
        <f aca="false">IF(M165&gt;0,D165*PI()*E165^2/4,0)</f>
        <v>6.75332839873494</v>
      </c>
      <c r="Z165" s="27" t="n">
        <f aca="false">IF(H165-E165&gt;=GWL,99,E165*(MAX(0,GWL-H165)*(GAM_S-GAM_W)+MAX(0,NG-MAX(H165,GWL))*GAM_D)/(GAM_W*PI()*E165^2/4))</f>
        <v>0.692486276909608</v>
      </c>
      <c r="AA165" s="27" t="n">
        <f aca="false">IF(I165-E165&gt;=GWL,99,E165*(MAX(0,GWL-I165)*(GAM_S-GAM_W)+MAX(0,NG-MAX(I165,GWL))*GAM_D)/(GAM_W*PI()*E165^2/4))</f>
        <v>0.692591914757817</v>
      </c>
      <c r="AB165" s="27" t="n">
        <f aca="false">IF(H165-E165&gt;=GWL,99,E165*(MAX(0,GWL-H165)*(GAM_S-GAM_W)+MAX(0,FL-MAX(H165,GWL))*GAM_D)/(GAM_W*PI()*E165^2/4))</f>
        <v>2.45841432549354</v>
      </c>
      <c r="AC165" s="27" t="n">
        <f aca="false">IF(I165-E165&gt;=GWL,99,E165*(MAX(0,GWL-I165)*(GAM_S-GAM_W)+MAX(0,FL-MAX(I165,GWL))*GAM_D)/(GAM_W*PI()*E165^2/4))</f>
        <v>2.45851996334175</v>
      </c>
    </row>
    <row r="166" customFormat="false" ht="15" hidden="false" customHeight="false" outlineLevel="0" collapsed="false">
      <c r="A166" s="25" t="s">
        <v>592</v>
      </c>
      <c r="B166" s="25" t="s">
        <v>623</v>
      </c>
      <c r="C166" s="25" t="s">
        <v>625</v>
      </c>
      <c r="D166" s="26" t="n">
        <v>10.0000000000266</v>
      </c>
      <c r="E166" s="26" t="n">
        <v>2.24900040237721</v>
      </c>
      <c r="F166" s="26" t="n">
        <v>-4.11573552560741</v>
      </c>
      <c r="G166" s="26" t="n">
        <v>-4.11633372579056</v>
      </c>
      <c r="H166" s="26" t="n">
        <v>-1.36673512323021</v>
      </c>
      <c r="I166" s="26" t="n">
        <v>-1.36733332341335</v>
      </c>
      <c r="J166" s="26" t="n">
        <v>11.7</v>
      </c>
      <c r="K166" s="27" t="n">
        <f aca="false">MIN(F166,G166)</f>
        <v>-4.11633372579056</v>
      </c>
      <c r="L166" s="27" t="n">
        <f aca="false">AVERAGE(F166,G166)</f>
        <v>-4.11603462569899</v>
      </c>
      <c r="M166" s="27" t="n">
        <f aca="false">MAX(0,NG-L166)</f>
        <v>3.41603462569899</v>
      </c>
      <c r="N166" s="27" t="n">
        <f aca="false">MAX(0,GWL-K166)</f>
        <v>2.61633372579056</v>
      </c>
      <c r="O166" s="27" t="n">
        <f aca="false">MAX(0,NG-MAX(K166,GWL))</f>
        <v>0.8</v>
      </c>
      <c r="P166" s="27" t="n">
        <f aca="false">E166/2+WS+SLOPE_A*O166+SLOPE_B*N166</f>
        <v>8.55716765276972</v>
      </c>
      <c r="Q166" s="28" t="str">
        <f aca="false">IF(AND(P166&lt;J166,N166&lt;=MAXOC),"Open cut","Shoring")</f>
        <v>Shoring</v>
      </c>
      <c r="R166" s="27" t="n">
        <f aca="false">IF(Q166="Shoring",D166,0)</f>
        <v>10.0000000000266</v>
      </c>
      <c r="S166" s="27" t="n">
        <f aca="false">MAX(0,GWL-L166)</f>
        <v>2.61603462569899</v>
      </c>
      <c r="T166" s="27" t="n">
        <f aca="false">MAX(0,NG-MAX(L166,GWL))</f>
        <v>0.8</v>
      </c>
      <c r="U166" s="27" t="n">
        <f aca="false">E166+2*WS</f>
        <v>4.24900040237721</v>
      </c>
      <c r="V166" s="27" t="n">
        <f aca="false">IF(Q166="Shoring",D166*M166*U166,0)</f>
        <v>145.147324991681</v>
      </c>
      <c r="W166" s="27" t="n">
        <f aca="false">IF(Q166="Open cut",D166*(U166*M166+SLOPE_B*S166^2+2*SLOPE_B*S166*T166+SLOPE_A*T166^2),0)</f>
        <v>0</v>
      </c>
      <c r="X166" s="27" t="n">
        <f aca="false">IF(M166&gt;0,D166*(E166+2*SLABOVH)*SLAB,0)</f>
        <v>16.2450020119293</v>
      </c>
      <c r="Y166" s="27" t="n">
        <f aca="false">IF(M166&gt;0,D166*PI()*E166^2/4,0)</f>
        <v>39.7254611735954</v>
      </c>
      <c r="Z166" s="27" t="n">
        <f aca="false">IF(H166-E166&gt;=GWL,99,E166*(MAX(0,GWL-H166)*(GAM_S-GAM_W)+MAX(0,NG-MAX(H166,GWL))*GAM_D)/(GAM_W*PI()*E166^2/4))</f>
        <v>0.692591914757817</v>
      </c>
      <c r="AA166" s="27" t="n">
        <f aca="false">IF(I166-E166&gt;=GWL,99,E166*(MAX(0,GWL-I166)*(GAM_S-GAM_W)+MAX(0,NG-MAX(I166,GWL))*GAM_D)/(GAM_W*PI()*E166^2/4))</f>
        <v>0.693213313864924</v>
      </c>
      <c r="AB166" s="27" t="n">
        <f aca="false">IF(H166-E166&gt;=GWL,99,E166*(MAX(0,GWL-H166)*(GAM_S-GAM_W)+MAX(0,FL-MAX(H166,GWL))*GAM_D)/(GAM_W*PI()*E166^2/4))</f>
        <v>2.45851996334175</v>
      </c>
      <c r="AC166" s="27" t="n">
        <f aca="false">IF(I166-E166&gt;=GWL,99,E166*(MAX(0,GWL-I166)*(GAM_S-GAM_W)+MAX(0,FL-MAX(I166,GWL))*GAM_D)/(GAM_W*PI()*E166^2/4))</f>
        <v>2.45914136244885</v>
      </c>
    </row>
    <row r="167" customFormat="false" ht="15" hidden="false" customHeight="false" outlineLevel="0" collapsed="false">
      <c r="A167" s="25" t="s">
        <v>592</v>
      </c>
      <c r="B167" s="25" t="s">
        <v>623</v>
      </c>
      <c r="C167" s="25" t="s">
        <v>626</v>
      </c>
      <c r="D167" s="26" t="n">
        <v>9.99999999989347</v>
      </c>
      <c r="E167" s="26" t="n">
        <v>2.24900040237721</v>
      </c>
      <c r="F167" s="26" t="n">
        <v>-4.11633372579056</v>
      </c>
      <c r="G167" s="26" t="n">
        <v>-4.1169319259737</v>
      </c>
      <c r="H167" s="26" t="n">
        <v>-1.36733332341335</v>
      </c>
      <c r="I167" s="26" t="n">
        <v>-1.3679315235965</v>
      </c>
      <c r="J167" s="26" t="n">
        <v>9.83</v>
      </c>
      <c r="K167" s="27" t="n">
        <f aca="false">MIN(F167,G167)</f>
        <v>-4.1169319259737</v>
      </c>
      <c r="L167" s="27" t="n">
        <f aca="false">AVERAGE(F167,G167)</f>
        <v>-4.11663282588213</v>
      </c>
      <c r="M167" s="27" t="n">
        <f aca="false">MAX(0,NG-L167)</f>
        <v>3.41663282588213</v>
      </c>
      <c r="N167" s="27" t="n">
        <f aca="false">MAX(0,GWL-K167)</f>
        <v>2.6169319259737</v>
      </c>
      <c r="O167" s="27" t="n">
        <f aca="false">MAX(0,NG-MAX(K167,GWL))</f>
        <v>0.8</v>
      </c>
      <c r="P167" s="27" t="n">
        <f aca="false">E167/2+WS+SLOPE_A*O167+SLOPE_B*N167</f>
        <v>8.55836405313601</v>
      </c>
      <c r="Q167" s="28" t="str">
        <f aca="false">IF(AND(P167&lt;J167,N167&lt;=MAXOC),"Open cut","Shoring")</f>
        <v>Shoring</v>
      </c>
      <c r="R167" s="27" t="n">
        <f aca="false">IF(Q167="Shoring",D167,0)</f>
        <v>9.99999999989347</v>
      </c>
      <c r="S167" s="27" t="n">
        <f aca="false">MAX(0,GWL-L167)</f>
        <v>2.61663282588213</v>
      </c>
      <c r="T167" s="27" t="n">
        <f aca="false">MAX(0,NG-MAX(L167,GWL))</f>
        <v>0.8</v>
      </c>
      <c r="U167" s="27" t="n">
        <f aca="false">E167+2*WS</f>
        <v>4.24900040237721</v>
      </c>
      <c r="V167" s="27" t="n">
        <f aca="false">IF(Q167="Shoring",D167*M167*U167,0)</f>
        <v>145.172742517937</v>
      </c>
      <c r="W167" s="27" t="n">
        <f aca="false">IF(Q167="Open cut",D167*(U167*M167+SLOPE_B*S167^2+2*SLOPE_B*S167*T167+SLOPE_A*T167^2),0)</f>
        <v>0</v>
      </c>
      <c r="X167" s="27" t="n">
        <f aca="false">IF(M167&gt;0,D167*(E167+2*SLABOVH)*SLAB,0)</f>
        <v>16.245002011713</v>
      </c>
      <c r="Y167" s="27" t="n">
        <f aca="false">IF(M167&gt;0,D167*PI()*E167^2/4,0)</f>
        <v>39.7254611730665</v>
      </c>
      <c r="Z167" s="27" t="n">
        <f aca="false">IF(H167-E167&gt;=GWL,99,E167*(MAX(0,GWL-H167)*(GAM_S-GAM_W)+MAX(0,NG-MAX(H167,GWL))*GAM_D)/(GAM_W*PI()*E167^2/4))</f>
        <v>0.693213313864924</v>
      </c>
      <c r="AA167" s="27" t="n">
        <f aca="false">IF(I167-E167&gt;=GWL,99,E167*(MAX(0,GWL-I167)*(GAM_S-GAM_W)+MAX(0,NG-MAX(I167,GWL))*GAM_D)/(GAM_W*PI()*E167^2/4))</f>
        <v>0.693834712972032</v>
      </c>
      <c r="AB167" s="27" t="n">
        <f aca="false">IF(H167-E167&gt;=GWL,99,E167*(MAX(0,GWL-H167)*(GAM_S-GAM_W)+MAX(0,FL-MAX(H167,GWL))*GAM_D)/(GAM_W*PI()*E167^2/4))</f>
        <v>2.45914136244885</v>
      </c>
      <c r="AC167" s="27" t="n">
        <f aca="false">IF(I167-E167&gt;=GWL,99,E167*(MAX(0,GWL-I167)*(GAM_S-GAM_W)+MAX(0,FL-MAX(I167,GWL))*GAM_D)/(GAM_W*PI()*E167^2/4))</f>
        <v>2.45976276155596</v>
      </c>
    </row>
    <row r="168" customFormat="false" ht="15" hidden="false" customHeight="false" outlineLevel="0" collapsed="false">
      <c r="A168" s="25" t="s">
        <v>592</v>
      </c>
      <c r="B168" s="25" t="s">
        <v>623</v>
      </c>
      <c r="C168" s="25" t="s">
        <v>627</v>
      </c>
      <c r="D168" s="26" t="n">
        <v>10.0000000001273</v>
      </c>
      <c r="E168" s="26" t="n">
        <v>2.24900040237721</v>
      </c>
      <c r="F168" s="26" t="n">
        <v>-4.1169319259737</v>
      </c>
      <c r="G168" s="26" t="n">
        <v>-4.11753012615685</v>
      </c>
      <c r="H168" s="26" t="n">
        <v>-1.3679315235965</v>
      </c>
      <c r="I168" s="26" t="n">
        <v>-1.36852972377964</v>
      </c>
      <c r="J168" s="26" t="n">
        <v>9.75</v>
      </c>
      <c r="K168" s="27" t="n">
        <f aca="false">MIN(F168,G168)</f>
        <v>-4.11753012615685</v>
      </c>
      <c r="L168" s="27" t="n">
        <f aca="false">AVERAGE(F168,G168)</f>
        <v>-4.11723102606528</v>
      </c>
      <c r="M168" s="27" t="n">
        <f aca="false">MAX(0,NG-L168)</f>
        <v>3.41723102606528</v>
      </c>
      <c r="N168" s="27" t="n">
        <f aca="false">MAX(0,GWL-K168)</f>
        <v>2.61753012615685</v>
      </c>
      <c r="O168" s="27" t="n">
        <f aca="false">MAX(0,NG-MAX(K168,GWL))</f>
        <v>0.8</v>
      </c>
      <c r="P168" s="27" t="n">
        <f aca="false">E168/2+WS+SLOPE_A*O168+SLOPE_B*N168</f>
        <v>8.5595604535023</v>
      </c>
      <c r="Q168" s="28" t="str">
        <f aca="false">IF(AND(P168&lt;J168,N168&lt;=MAXOC),"Open cut","Shoring")</f>
        <v>Shoring</v>
      </c>
      <c r="R168" s="27" t="n">
        <f aca="false">IF(Q168="Shoring",D168,0)</f>
        <v>10.0000000001273</v>
      </c>
      <c r="S168" s="27" t="n">
        <f aca="false">MAX(0,GWL-L168)</f>
        <v>2.61723102606528</v>
      </c>
      <c r="T168" s="27" t="n">
        <f aca="false">MAX(0,NG-MAX(L168,GWL))</f>
        <v>0.8</v>
      </c>
      <c r="U168" s="27" t="n">
        <f aca="false">E168+2*WS</f>
        <v>4.24900040237721</v>
      </c>
      <c r="V168" s="27" t="n">
        <f aca="false">IF(Q168="Shoring",D168*M168*U168,0)</f>
        <v>145.198160049521</v>
      </c>
      <c r="W168" s="27" t="n">
        <f aca="false">IF(Q168="Open cut",D168*(U168*M168+SLOPE_B*S168^2+2*SLOPE_B*S168*T168+SLOPE_A*T168^2),0)</f>
        <v>0</v>
      </c>
      <c r="X168" s="27" t="n">
        <f aca="false">IF(M168&gt;0,D168*(E168+2*SLABOVH)*SLAB,0)</f>
        <v>16.2450020120928</v>
      </c>
      <c r="Y168" s="27" t="n">
        <f aca="false">IF(M168&gt;0,D168*PI()*E168^2/4,0)</f>
        <v>39.7254611739954</v>
      </c>
      <c r="Z168" s="27" t="n">
        <f aca="false">IF(H168-E168&gt;=GWL,99,E168*(MAX(0,GWL-H168)*(GAM_S-GAM_W)+MAX(0,NG-MAX(H168,GWL))*GAM_D)/(GAM_W*PI()*E168^2/4))</f>
        <v>0.693834712972032</v>
      </c>
      <c r="AA168" s="27" t="n">
        <f aca="false">IF(I168-E168&gt;=GWL,99,E168*(MAX(0,GWL-I168)*(GAM_S-GAM_W)+MAX(0,NG-MAX(I168,GWL))*GAM_D)/(GAM_W*PI()*E168^2/4))</f>
        <v>0.69445611207914</v>
      </c>
      <c r="AB168" s="27" t="n">
        <f aca="false">IF(H168-E168&gt;=GWL,99,E168*(MAX(0,GWL-H168)*(GAM_S-GAM_W)+MAX(0,FL-MAX(H168,GWL))*GAM_D)/(GAM_W*PI()*E168^2/4))</f>
        <v>2.45976276155596</v>
      </c>
      <c r="AC168" s="27" t="n">
        <f aca="false">IF(I168-E168&gt;=GWL,99,E168*(MAX(0,GWL-I168)*(GAM_S-GAM_W)+MAX(0,FL-MAX(I168,GWL))*GAM_D)/(GAM_W*PI()*E168^2/4))</f>
        <v>2.46038416066307</v>
      </c>
    </row>
    <row r="169" customFormat="false" ht="15" hidden="false" customHeight="false" outlineLevel="0" collapsed="false">
      <c r="A169" s="25" t="s">
        <v>592</v>
      </c>
      <c r="B169" s="25" t="s">
        <v>623</v>
      </c>
      <c r="C169" s="25" t="s">
        <v>628</v>
      </c>
      <c r="D169" s="26" t="n">
        <v>9.9999999997928</v>
      </c>
      <c r="E169" s="26" t="n">
        <v>2.24900040237721</v>
      </c>
      <c r="F169" s="26" t="n">
        <v>-4.11753012615685</v>
      </c>
      <c r="G169" s="26" t="n">
        <v>-4.11812832633999</v>
      </c>
      <c r="H169" s="26" t="n">
        <v>-1.36852972377964</v>
      </c>
      <c r="I169" s="26" t="n">
        <v>-1.36912792396279</v>
      </c>
      <c r="J169" s="26" t="n">
        <v>10.48</v>
      </c>
      <c r="K169" s="27" t="n">
        <f aca="false">MIN(F169,G169)</f>
        <v>-4.11812832633999</v>
      </c>
      <c r="L169" s="27" t="n">
        <f aca="false">AVERAGE(F169,G169)</f>
        <v>-4.11782922624842</v>
      </c>
      <c r="M169" s="27" t="n">
        <f aca="false">MAX(0,NG-L169)</f>
        <v>3.41782922624842</v>
      </c>
      <c r="N169" s="27" t="n">
        <f aca="false">MAX(0,GWL-K169)</f>
        <v>2.61812832633999</v>
      </c>
      <c r="O169" s="27" t="n">
        <f aca="false">MAX(0,NG-MAX(K169,GWL))</f>
        <v>0.8</v>
      </c>
      <c r="P169" s="27" t="n">
        <f aca="false">E169/2+WS+SLOPE_A*O169+SLOPE_B*N169</f>
        <v>8.56075685386859</v>
      </c>
      <c r="Q169" s="28" t="str">
        <f aca="false">IF(AND(P169&lt;J169,N169&lt;=MAXOC),"Open cut","Shoring")</f>
        <v>Shoring</v>
      </c>
      <c r="R169" s="27" t="n">
        <f aca="false">IF(Q169="Shoring",D169,0)</f>
        <v>9.9999999997928</v>
      </c>
      <c r="S169" s="27" t="n">
        <f aca="false">MAX(0,GWL-L169)</f>
        <v>2.61782922624842</v>
      </c>
      <c r="T169" s="27" t="n">
        <f aca="false">MAX(0,NG-MAX(L169,GWL))</f>
        <v>0.8</v>
      </c>
      <c r="U169" s="27" t="n">
        <f aca="false">E169+2*WS</f>
        <v>4.24900040237721</v>
      </c>
      <c r="V169" s="27" t="n">
        <f aca="false">IF(Q169="Shoring",D169*M169*U169,0)</f>
        <v>145.223577572852</v>
      </c>
      <c r="W169" s="27" t="n">
        <f aca="false">IF(Q169="Open cut",D169*(U169*M169+SLOPE_B*S169^2+2*SLOPE_B*S169*T169+SLOPE_A*T169^2),0)</f>
        <v>0</v>
      </c>
      <c r="X169" s="27" t="n">
        <f aca="false">IF(M169&gt;0,D169*(E169+2*SLABOVH)*SLAB,0)</f>
        <v>16.2450020115494</v>
      </c>
      <c r="Y169" s="27" t="n">
        <f aca="false">IF(M169&gt;0,D169*PI()*E169^2/4,0)</f>
        <v>39.7254611726665</v>
      </c>
      <c r="Z169" s="27" t="n">
        <f aca="false">IF(H169-E169&gt;=GWL,99,E169*(MAX(0,GWL-H169)*(GAM_S-GAM_W)+MAX(0,NG-MAX(H169,GWL))*GAM_D)/(GAM_W*PI()*E169^2/4))</f>
        <v>0.69445611207914</v>
      </c>
      <c r="AA169" s="27" t="n">
        <f aca="false">IF(I169-E169&gt;=GWL,99,E169*(MAX(0,GWL-I169)*(GAM_S-GAM_W)+MAX(0,NG-MAX(I169,GWL))*GAM_D)/(GAM_W*PI()*E169^2/4))</f>
        <v>0.695077511186248</v>
      </c>
      <c r="AB169" s="27" t="n">
        <f aca="false">IF(H169-E169&gt;=GWL,99,E169*(MAX(0,GWL-H169)*(GAM_S-GAM_W)+MAX(0,FL-MAX(H169,GWL))*GAM_D)/(GAM_W*PI()*E169^2/4))</f>
        <v>2.46038416066307</v>
      </c>
      <c r="AC169" s="27" t="n">
        <f aca="false">IF(I169-E169&gt;=GWL,99,E169*(MAX(0,GWL-I169)*(GAM_S-GAM_W)+MAX(0,FL-MAX(I169,GWL))*GAM_D)/(GAM_W*PI()*E169^2/4))</f>
        <v>2.46100555977018</v>
      </c>
    </row>
    <row r="170" customFormat="false" ht="15" hidden="false" customHeight="false" outlineLevel="0" collapsed="false">
      <c r="A170" s="25" t="s">
        <v>592</v>
      </c>
      <c r="B170" s="25" t="s">
        <v>623</v>
      </c>
      <c r="C170" s="25" t="s">
        <v>629</v>
      </c>
      <c r="D170" s="26" t="n">
        <v>10.000000000595</v>
      </c>
      <c r="E170" s="26" t="n">
        <v>2.24900040237721</v>
      </c>
      <c r="F170" s="26" t="n">
        <v>-4.11812832633999</v>
      </c>
      <c r="G170" s="26" t="n">
        <v>-4.11872652652314</v>
      </c>
      <c r="H170" s="26" t="n">
        <v>-1.36912792396279</v>
      </c>
      <c r="I170" s="26" t="n">
        <v>-1.36972612414593</v>
      </c>
      <c r="J170" s="26" t="n">
        <v>13.55</v>
      </c>
      <c r="K170" s="27" t="n">
        <f aca="false">MIN(F170,G170)</f>
        <v>-4.11872652652314</v>
      </c>
      <c r="L170" s="27" t="n">
        <f aca="false">AVERAGE(F170,G170)</f>
        <v>-4.11842742643157</v>
      </c>
      <c r="M170" s="27" t="n">
        <f aca="false">MAX(0,NG-L170)</f>
        <v>3.41842742643157</v>
      </c>
      <c r="N170" s="27" t="n">
        <f aca="false">MAX(0,GWL-K170)</f>
        <v>2.61872652652314</v>
      </c>
      <c r="O170" s="27" t="n">
        <f aca="false">MAX(0,NG-MAX(K170,GWL))</f>
        <v>0.8</v>
      </c>
      <c r="P170" s="27" t="n">
        <f aca="false">E170/2+WS+SLOPE_A*O170+SLOPE_B*N170</f>
        <v>8.56195325423488</v>
      </c>
      <c r="Q170" s="28" t="str">
        <f aca="false">IF(AND(P170&lt;J170,N170&lt;=MAXOC),"Open cut","Shoring")</f>
        <v>Shoring</v>
      </c>
      <c r="R170" s="27" t="n">
        <f aca="false">IF(Q170="Shoring",D170,0)</f>
        <v>10.000000000595</v>
      </c>
      <c r="S170" s="27" t="n">
        <f aca="false">MAX(0,GWL-L170)</f>
        <v>2.61842742643157</v>
      </c>
      <c r="T170" s="27" t="n">
        <f aca="false">MAX(0,NG-MAX(L170,GWL))</f>
        <v>0.8</v>
      </c>
      <c r="U170" s="27" t="n">
        <f aca="false">E170+2*WS</f>
        <v>4.24900040237721</v>
      </c>
      <c r="V170" s="27" t="n">
        <f aca="false">IF(Q170="Shoring",D170*M170*U170,0)</f>
        <v>145.248995112692</v>
      </c>
      <c r="W170" s="27" t="n">
        <f aca="false">IF(Q170="Open cut",D170*(U170*M170+SLOPE_B*S170^2+2*SLOPE_B*S170*T170+SLOPE_A*T170^2),0)</f>
        <v>0</v>
      </c>
      <c r="X170" s="27" t="n">
        <f aca="false">IF(M170&gt;0,D170*(E170+2*SLABOVH)*SLAB,0)</f>
        <v>16.2450020128525</v>
      </c>
      <c r="Y170" s="27" t="n">
        <f aca="false">IF(M170&gt;0,D170*PI()*E170^2/4,0)</f>
        <v>39.7254611758532</v>
      </c>
      <c r="Z170" s="27" t="n">
        <f aca="false">IF(H170-E170&gt;=GWL,99,E170*(MAX(0,GWL-H170)*(GAM_S-GAM_W)+MAX(0,NG-MAX(H170,GWL))*GAM_D)/(GAM_W*PI()*E170^2/4))</f>
        <v>0.695077511186248</v>
      </c>
      <c r="AA170" s="27" t="n">
        <f aca="false">IF(I170-E170&gt;=GWL,99,E170*(MAX(0,GWL-I170)*(GAM_S-GAM_W)+MAX(0,NG-MAX(I170,GWL))*GAM_D)/(GAM_W*PI()*E170^2/4))</f>
        <v>0.695698910293356</v>
      </c>
      <c r="AB170" s="27" t="n">
        <f aca="false">IF(H170-E170&gt;=GWL,99,E170*(MAX(0,GWL-H170)*(GAM_S-GAM_W)+MAX(0,FL-MAX(H170,GWL))*GAM_D)/(GAM_W*PI()*E170^2/4))</f>
        <v>2.46100555977018</v>
      </c>
      <c r="AC170" s="27" t="n">
        <f aca="false">IF(I170-E170&gt;=GWL,99,E170*(MAX(0,GWL-I170)*(GAM_S-GAM_W)+MAX(0,FL-MAX(I170,GWL))*GAM_D)/(GAM_W*PI()*E170^2/4))</f>
        <v>2.46162695887729</v>
      </c>
    </row>
    <row r="171" customFormat="false" ht="15" hidden="false" customHeight="false" outlineLevel="0" collapsed="false">
      <c r="A171" s="25" t="s">
        <v>592</v>
      </c>
      <c r="B171" s="25" t="s">
        <v>623</v>
      </c>
      <c r="C171" s="25" t="s">
        <v>630</v>
      </c>
      <c r="D171" s="26" t="n">
        <v>9.99999999989347</v>
      </c>
      <c r="E171" s="26" t="n">
        <v>2.24900040237721</v>
      </c>
      <c r="F171" s="26" t="n">
        <v>-4.11872652652314</v>
      </c>
      <c r="G171" s="26" t="n">
        <v>-4.11932472670628</v>
      </c>
      <c r="H171" s="26" t="n">
        <v>-1.36972612414593</v>
      </c>
      <c r="I171" s="26" t="n">
        <v>-1.37032432432908</v>
      </c>
      <c r="J171" s="26" t="n">
        <v>18.55</v>
      </c>
      <c r="K171" s="27" t="n">
        <f aca="false">MIN(F171,G171)</f>
        <v>-4.11932472670628</v>
      </c>
      <c r="L171" s="27" t="n">
        <f aca="false">AVERAGE(F171,G171)</f>
        <v>-4.11902562661471</v>
      </c>
      <c r="M171" s="27" t="n">
        <f aca="false">MAX(0,NG-L171)</f>
        <v>3.41902562661471</v>
      </c>
      <c r="N171" s="27" t="n">
        <f aca="false">MAX(0,GWL-K171)</f>
        <v>2.61932472670628</v>
      </c>
      <c r="O171" s="27" t="n">
        <f aca="false">MAX(0,NG-MAX(K171,GWL))</f>
        <v>0.8</v>
      </c>
      <c r="P171" s="27" t="n">
        <f aca="false">E171/2+WS+SLOPE_A*O171+SLOPE_B*N171</f>
        <v>8.56314965460117</v>
      </c>
      <c r="Q171" s="28" t="str">
        <f aca="false">IF(AND(P171&lt;J171,N171&lt;=MAXOC),"Open cut","Shoring")</f>
        <v>Shoring</v>
      </c>
      <c r="R171" s="27" t="n">
        <f aca="false">IF(Q171="Shoring",D171,0)</f>
        <v>9.99999999989347</v>
      </c>
      <c r="S171" s="27" t="n">
        <f aca="false">MAX(0,GWL-L171)</f>
        <v>2.61902562661471</v>
      </c>
      <c r="T171" s="27" t="n">
        <f aca="false">MAX(0,NG-MAX(L171,GWL))</f>
        <v>0.8</v>
      </c>
      <c r="U171" s="27" t="n">
        <f aca="false">E171+2*WS</f>
        <v>4.24900040237721</v>
      </c>
      <c r="V171" s="27" t="n">
        <f aca="false">IF(Q171="Shoring",D171*M171*U171,0)</f>
        <v>145.274412630691</v>
      </c>
      <c r="W171" s="27" t="n">
        <f aca="false">IF(Q171="Open cut",D171*(U171*M171+SLOPE_B*S171^2+2*SLOPE_B*S171*T171+SLOPE_A*T171^2),0)</f>
        <v>0</v>
      </c>
      <c r="X171" s="27" t="n">
        <f aca="false">IF(M171&gt;0,D171*(E171+2*SLABOVH)*SLAB,0)</f>
        <v>16.245002011713</v>
      </c>
      <c r="Y171" s="27" t="n">
        <f aca="false">IF(M171&gt;0,D171*PI()*E171^2/4,0)</f>
        <v>39.7254611730665</v>
      </c>
      <c r="Z171" s="27" t="n">
        <f aca="false">IF(H171-E171&gt;=GWL,99,E171*(MAX(0,GWL-H171)*(GAM_S-GAM_W)+MAX(0,NG-MAX(H171,GWL))*GAM_D)/(GAM_W*PI()*E171^2/4))</f>
        <v>0.695698910293356</v>
      </c>
      <c r="AA171" s="27" t="n">
        <f aca="false">IF(I171-E171&gt;=GWL,99,E171*(MAX(0,GWL-I171)*(GAM_S-GAM_W)+MAX(0,NG-MAX(I171,GWL))*GAM_D)/(GAM_W*PI()*E171^2/4))</f>
        <v>0.696320309400464</v>
      </c>
      <c r="AB171" s="27" t="n">
        <f aca="false">IF(H171-E171&gt;=GWL,99,E171*(MAX(0,GWL-H171)*(GAM_S-GAM_W)+MAX(0,FL-MAX(H171,GWL))*GAM_D)/(GAM_W*PI()*E171^2/4))</f>
        <v>2.46162695887729</v>
      </c>
      <c r="AC171" s="27" t="n">
        <f aca="false">IF(I171-E171&gt;=GWL,99,E171*(MAX(0,GWL-I171)*(GAM_S-GAM_W)+MAX(0,FL-MAX(I171,GWL))*GAM_D)/(GAM_W*PI()*E171^2/4))</f>
        <v>2.46224835798439</v>
      </c>
    </row>
    <row r="172" customFormat="false" ht="15" hidden="false" customHeight="false" outlineLevel="0" collapsed="false">
      <c r="A172" s="25" t="s">
        <v>592</v>
      </c>
      <c r="B172" s="25" t="s">
        <v>623</v>
      </c>
      <c r="C172" s="25" t="s">
        <v>631</v>
      </c>
      <c r="D172" s="26" t="n">
        <v>9.9999999997928</v>
      </c>
      <c r="E172" s="26" t="n">
        <v>2.24900040237721</v>
      </c>
      <c r="F172" s="26" t="n">
        <v>-4.11932472670628</v>
      </c>
      <c r="G172" s="26" t="n">
        <v>-4.11992292688943</v>
      </c>
      <c r="H172" s="26" t="n">
        <v>-1.37032432432908</v>
      </c>
      <c r="I172" s="26" t="n">
        <v>-1.37092252451222</v>
      </c>
      <c r="J172" s="26" t="n">
        <v>15.21</v>
      </c>
      <c r="K172" s="27" t="n">
        <f aca="false">MIN(F172,G172)</f>
        <v>-4.11992292688943</v>
      </c>
      <c r="L172" s="27" t="n">
        <f aca="false">AVERAGE(F172,G172)</f>
        <v>-4.11962382679786</v>
      </c>
      <c r="M172" s="27" t="n">
        <f aca="false">MAX(0,NG-L172)</f>
        <v>3.41962382679785</v>
      </c>
      <c r="N172" s="27" t="n">
        <f aca="false">MAX(0,GWL-K172)</f>
        <v>2.61992292688943</v>
      </c>
      <c r="O172" s="27" t="n">
        <f aca="false">MAX(0,NG-MAX(K172,GWL))</f>
        <v>0.8</v>
      </c>
      <c r="P172" s="27" t="n">
        <f aca="false">E172/2+WS+SLOPE_A*O172+SLOPE_B*N172</f>
        <v>8.56434605496746</v>
      </c>
      <c r="Q172" s="28" t="str">
        <f aca="false">IF(AND(P172&lt;J172,N172&lt;=MAXOC),"Open cut","Shoring")</f>
        <v>Shoring</v>
      </c>
      <c r="R172" s="27" t="n">
        <f aca="false">IF(Q172="Shoring",D172,0)</f>
        <v>9.9999999997928</v>
      </c>
      <c r="S172" s="27" t="n">
        <f aca="false">MAX(0,GWL-L172)</f>
        <v>2.61962382679786</v>
      </c>
      <c r="T172" s="27" t="n">
        <f aca="false">MAX(0,NG-MAX(L172,GWL))</f>
        <v>0.8</v>
      </c>
      <c r="U172" s="27" t="n">
        <f aca="false">E172+2*WS</f>
        <v>4.24900040237721</v>
      </c>
      <c r="V172" s="27" t="n">
        <f aca="false">IF(Q172="Shoring",D172*M172*U172,0)</f>
        <v>145.299830157417</v>
      </c>
      <c r="W172" s="27" t="n">
        <f aca="false">IF(Q172="Open cut",D172*(U172*M172+SLOPE_B*S172^2+2*SLOPE_B*S172*T172+SLOPE_A*T172^2),0)</f>
        <v>0</v>
      </c>
      <c r="X172" s="27" t="n">
        <f aca="false">IF(M172&gt;0,D172*(E172+2*SLABOVH)*SLAB,0)</f>
        <v>16.2450020115494</v>
      </c>
      <c r="Y172" s="27" t="n">
        <f aca="false">IF(M172&gt;0,D172*PI()*E172^2/4,0)</f>
        <v>39.7254611726665</v>
      </c>
      <c r="Z172" s="27" t="n">
        <f aca="false">IF(H172-E172&gt;=GWL,99,E172*(MAX(0,GWL-H172)*(GAM_S-GAM_W)+MAX(0,NG-MAX(H172,GWL))*GAM_D)/(GAM_W*PI()*E172^2/4))</f>
        <v>0.696320309400464</v>
      </c>
      <c r="AA172" s="27" t="n">
        <f aca="false">IF(I172-E172&gt;=GWL,99,E172*(MAX(0,GWL-I172)*(GAM_S-GAM_W)+MAX(0,NG-MAX(I172,GWL))*GAM_D)/(GAM_W*PI()*E172^2/4))</f>
        <v>0.696941708507571</v>
      </c>
      <c r="AB172" s="27" t="n">
        <f aca="false">IF(H172-E172&gt;=GWL,99,E172*(MAX(0,GWL-H172)*(GAM_S-GAM_W)+MAX(0,FL-MAX(H172,GWL))*GAM_D)/(GAM_W*PI()*E172^2/4))</f>
        <v>2.46224835798439</v>
      </c>
      <c r="AC172" s="27" t="n">
        <f aca="false">IF(I172-E172&gt;=GWL,99,E172*(MAX(0,GWL-I172)*(GAM_S-GAM_W)+MAX(0,FL-MAX(I172,GWL))*GAM_D)/(GAM_W*PI()*E172^2/4))</f>
        <v>2.4628697570915</v>
      </c>
    </row>
    <row r="173" customFormat="false" ht="15" hidden="false" customHeight="false" outlineLevel="0" collapsed="false">
      <c r="A173" s="25" t="s">
        <v>592</v>
      </c>
      <c r="B173" s="25" t="s">
        <v>623</v>
      </c>
      <c r="C173" s="25" t="s">
        <v>632</v>
      </c>
      <c r="D173" s="26" t="n">
        <v>10.0000000001273</v>
      </c>
      <c r="E173" s="26" t="n">
        <v>2.24900040237721</v>
      </c>
      <c r="F173" s="26" t="n">
        <v>-4.11992292688943</v>
      </c>
      <c r="G173" s="26" t="n">
        <v>-4.12052112707257</v>
      </c>
      <c r="H173" s="26" t="n">
        <v>-1.37092252451222</v>
      </c>
      <c r="I173" s="26" t="n">
        <v>-1.37152072469537</v>
      </c>
      <c r="J173" s="26" t="n">
        <v>11.07</v>
      </c>
      <c r="K173" s="27" t="n">
        <f aca="false">MIN(F173,G173)</f>
        <v>-4.12052112707257</v>
      </c>
      <c r="L173" s="27" t="n">
        <f aca="false">AVERAGE(F173,G173)</f>
        <v>-4.120222026981</v>
      </c>
      <c r="M173" s="27" t="n">
        <f aca="false">MAX(0,NG-L173)</f>
        <v>3.420222026981</v>
      </c>
      <c r="N173" s="27" t="n">
        <f aca="false">MAX(0,GWL-K173)</f>
        <v>2.62052112707257</v>
      </c>
      <c r="O173" s="27" t="n">
        <f aca="false">MAX(0,NG-MAX(K173,GWL))</f>
        <v>0.8</v>
      </c>
      <c r="P173" s="27" t="n">
        <f aca="false">E173/2+WS+SLOPE_A*O173+SLOPE_B*N173</f>
        <v>8.56554245533375</v>
      </c>
      <c r="Q173" s="28" t="str">
        <f aca="false">IF(AND(P173&lt;J173,N173&lt;=MAXOC),"Open cut","Shoring")</f>
        <v>Shoring</v>
      </c>
      <c r="R173" s="27" t="n">
        <f aca="false">IF(Q173="Shoring",D173,0)</f>
        <v>10.0000000001273</v>
      </c>
      <c r="S173" s="27" t="n">
        <f aca="false">MAX(0,GWL-L173)</f>
        <v>2.620222026981</v>
      </c>
      <c r="T173" s="27" t="n">
        <f aca="false">MAX(0,NG-MAX(L173,GWL))</f>
        <v>0.8</v>
      </c>
      <c r="U173" s="27" t="n">
        <f aca="false">E173+2*WS</f>
        <v>4.24900040237721</v>
      </c>
      <c r="V173" s="27" t="n">
        <f aca="false">IF(Q173="Shoring",D173*M173*U173,0)</f>
        <v>145.325247690466</v>
      </c>
      <c r="W173" s="27" t="n">
        <f aca="false">IF(Q173="Open cut",D173*(U173*M173+SLOPE_B*S173^2+2*SLOPE_B*S173*T173+SLOPE_A*T173^2),0)</f>
        <v>0</v>
      </c>
      <c r="X173" s="27" t="n">
        <f aca="false">IF(M173&gt;0,D173*(E173+2*SLABOVH)*SLAB,0)</f>
        <v>16.2450020120928</v>
      </c>
      <c r="Y173" s="27" t="n">
        <f aca="false">IF(M173&gt;0,D173*PI()*E173^2/4,0)</f>
        <v>39.7254611739954</v>
      </c>
      <c r="Z173" s="27" t="n">
        <f aca="false">IF(H173-E173&gt;=GWL,99,E173*(MAX(0,GWL-H173)*(GAM_S-GAM_W)+MAX(0,NG-MAX(H173,GWL))*GAM_D)/(GAM_W*PI()*E173^2/4))</f>
        <v>0.696941708507571</v>
      </c>
      <c r="AA173" s="27" t="n">
        <f aca="false">IF(I173-E173&gt;=GWL,99,E173*(MAX(0,GWL-I173)*(GAM_S-GAM_W)+MAX(0,NG-MAX(I173,GWL))*GAM_D)/(GAM_W*PI()*E173^2/4))</f>
        <v>0.697563107614679</v>
      </c>
      <c r="AB173" s="27" t="n">
        <f aca="false">IF(H173-E173&gt;=GWL,99,E173*(MAX(0,GWL-H173)*(GAM_S-GAM_W)+MAX(0,FL-MAX(H173,GWL))*GAM_D)/(GAM_W*PI()*E173^2/4))</f>
        <v>2.4628697570915</v>
      </c>
      <c r="AC173" s="27" t="n">
        <f aca="false">IF(I173-E173&gt;=GWL,99,E173*(MAX(0,GWL-I173)*(GAM_S-GAM_W)+MAX(0,FL-MAX(I173,GWL))*GAM_D)/(GAM_W*PI()*E173^2/4))</f>
        <v>2.46349115619861</v>
      </c>
    </row>
    <row r="174" customFormat="false" ht="15" hidden="false" customHeight="false" outlineLevel="0" collapsed="false">
      <c r="A174" s="25" t="s">
        <v>592</v>
      </c>
      <c r="B174" s="25" t="s">
        <v>623</v>
      </c>
      <c r="C174" s="25" t="s">
        <v>633</v>
      </c>
      <c r="D174" s="26" t="n">
        <v>9.9999999997928</v>
      </c>
      <c r="E174" s="26" t="n">
        <v>2.24900040237721</v>
      </c>
      <c r="F174" s="26" t="n">
        <v>-4.12052112707257</v>
      </c>
      <c r="G174" s="26" t="n">
        <v>-4.12111932725572</v>
      </c>
      <c r="H174" s="26" t="n">
        <v>-1.37152072469537</v>
      </c>
      <c r="I174" s="26" t="n">
        <v>-1.37211892487851</v>
      </c>
      <c r="J174" s="26" t="n">
        <v>9.17</v>
      </c>
      <c r="K174" s="27" t="n">
        <f aca="false">MIN(F174,G174)</f>
        <v>-4.12111932725572</v>
      </c>
      <c r="L174" s="27" t="n">
        <f aca="false">AVERAGE(F174,G174)</f>
        <v>-4.12082022716414</v>
      </c>
      <c r="M174" s="27" t="n">
        <f aca="false">MAX(0,NG-L174)</f>
        <v>3.42082022716414</v>
      </c>
      <c r="N174" s="27" t="n">
        <f aca="false">MAX(0,GWL-K174)</f>
        <v>2.62111932725572</v>
      </c>
      <c r="O174" s="27" t="n">
        <f aca="false">MAX(0,NG-MAX(K174,GWL))</f>
        <v>0.8</v>
      </c>
      <c r="P174" s="27" t="n">
        <f aca="false">E174/2+WS+SLOPE_A*O174+SLOPE_B*N174</f>
        <v>8.56673885570004</v>
      </c>
      <c r="Q174" s="28" t="str">
        <f aca="false">IF(AND(P174&lt;J174,N174&lt;=MAXOC),"Open cut","Shoring")</f>
        <v>Shoring</v>
      </c>
      <c r="R174" s="27" t="n">
        <f aca="false">IF(Q174="Shoring",D174,0)</f>
        <v>9.9999999997928</v>
      </c>
      <c r="S174" s="27" t="n">
        <f aca="false">MAX(0,GWL-L174)</f>
        <v>2.62082022716414</v>
      </c>
      <c r="T174" s="27" t="n">
        <f aca="false">MAX(0,NG-MAX(L174,GWL))</f>
        <v>0.8</v>
      </c>
      <c r="U174" s="27" t="n">
        <f aca="false">E174+2*WS</f>
        <v>4.24900040237721</v>
      </c>
      <c r="V174" s="27" t="n">
        <f aca="false">IF(Q174="Shoring",D174*M174*U174,0)</f>
        <v>145.350665213794</v>
      </c>
      <c r="W174" s="27" t="n">
        <f aca="false">IF(Q174="Open cut",D174*(U174*M174+SLOPE_B*S174^2+2*SLOPE_B*S174*T174+SLOPE_A*T174^2),0)</f>
        <v>0</v>
      </c>
      <c r="X174" s="27" t="n">
        <f aca="false">IF(M174&gt;0,D174*(E174+2*SLABOVH)*SLAB,0)</f>
        <v>16.2450020115494</v>
      </c>
      <c r="Y174" s="27" t="n">
        <f aca="false">IF(M174&gt;0,D174*PI()*E174^2/4,0)</f>
        <v>39.7254611726665</v>
      </c>
      <c r="Z174" s="27" t="n">
        <f aca="false">IF(H174-E174&gt;=GWL,99,E174*(MAX(0,GWL-H174)*(GAM_S-GAM_W)+MAX(0,NG-MAX(H174,GWL))*GAM_D)/(GAM_W*PI()*E174^2/4))</f>
        <v>0.697563107614679</v>
      </c>
      <c r="AA174" s="27" t="n">
        <f aca="false">IF(I174-E174&gt;=GWL,99,E174*(MAX(0,GWL-I174)*(GAM_S-GAM_W)+MAX(0,NG-MAX(I174,GWL))*GAM_D)/(GAM_W*PI()*E174^2/4))</f>
        <v>0.698184506721787</v>
      </c>
      <c r="AB174" s="27" t="n">
        <f aca="false">IF(H174-E174&gt;=GWL,99,E174*(MAX(0,GWL-H174)*(GAM_S-GAM_W)+MAX(0,FL-MAX(H174,GWL))*GAM_D)/(GAM_W*PI()*E174^2/4))</f>
        <v>2.46349115619861</v>
      </c>
      <c r="AC174" s="27" t="n">
        <f aca="false">IF(I174-E174&gt;=GWL,99,E174*(MAX(0,GWL-I174)*(GAM_S-GAM_W)+MAX(0,FL-MAX(I174,GWL))*GAM_D)/(GAM_W*PI()*E174^2/4))</f>
        <v>2.46411255530572</v>
      </c>
    </row>
    <row r="175" customFormat="false" ht="15" hidden="false" customHeight="false" outlineLevel="0" collapsed="false">
      <c r="A175" s="25" t="s">
        <v>592</v>
      </c>
      <c r="B175" s="25" t="s">
        <v>623</v>
      </c>
      <c r="C175" s="25" t="s">
        <v>634</v>
      </c>
      <c r="D175" s="26" t="n">
        <v>10.0000000001273</v>
      </c>
      <c r="E175" s="26" t="n">
        <v>2.24900040237721</v>
      </c>
      <c r="F175" s="26" t="n">
        <v>-4.12111932725572</v>
      </c>
      <c r="G175" s="26" t="n">
        <v>-4.12171752743886</v>
      </c>
      <c r="H175" s="26" t="n">
        <v>-1.37211892487851</v>
      </c>
      <c r="I175" s="26" t="n">
        <v>-1.37271712506166</v>
      </c>
      <c r="J175" s="26" t="n">
        <v>9.09</v>
      </c>
      <c r="K175" s="27" t="n">
        <f aca="false">MIN(F175,G175)</f>
        <v>-4.12171752743886</v>
      </c>
      <c r="L175" s="27" t="n">
        <f aca="false">AVERAGE(F175,G175)</f>
        <v>-4.12141842734729</v>
      </c>
      <c r="M175" s="27" t="n">
        <f aca="false">MAX(0,NG-L175)</f>
        <v>3.42141842734729</v>
      </c>
      <c r="N175" s="27" t="n">
        <f aca="false">MAX(0,GWL-K175)</f>
        <v>2.62171752743886</v>
      </c>
      <c r="O175" s="27" t="n">
        <f aca="false">MAX(0,NG-MAX(K175,GWL))</f>
        <v>0.8</v>
      </c>
      <c r="P175" s="27" t="n">
        <f aca="false">E175/2+WS+SLOPE_A*O175+SLOPE_B*N175</f>
        <v>8.56793525606632</v>
      </c>
      <c r="Q175" s="28" t="str">
        <f aca="false">IF(AND(P175&lt;J175,N175&lt;=MAXOC),"Open cut","Shoring")</f>
        <v>Shoring</v>
      </c>
      <c r="R175" s="27" t="n">
        <f aca="false">IF(Q175="Shoring",D175,0)</f>
        <v>10.0000000001273</v>
      </c>
      <c r="S175" s="27" t="n">
        <f aca="false">MAX(0,GWL-L175)</f>
        <v>2.62141842734729</v>
      </c>
      <c r="T175" s="27" t="n">
        <f aca="false">MAX(0,NG-MAX(L175,GWL))</f>
        <v>0.8</v>
      </c>
      <c r="U175" s="27" t="n">
        <f aca="false">E175+2*WS</f>
        <v>4.24900040237721</v>
      </c>
      <c r="V175" s="27" t="n">
        <f aca="false">IF(Q175="Shoring",D175*M175*U175,0)</f>
        <v>145.376082746845</v>
      </c>
      <c r="W175" s="27" t="n">
        <f aca="false">IF(Q175="Open cut",D175*(U175*M175+SLOPE_B*S175^2+2*SLOPE_B*S175*T175+SLOPE_A*T175^2),0)</f>
        <v>0</v>
      </c>
      <c r="X175" s="27" t="n">
        <f aca="false">IF(M175&gt;0,D175*(E175+2*SLABOVH)*SLAB,0)</f>
        <v>16.2450020120928</v>
      </c>
      <c r="Y175" s="27" t="n">
        <f aca="false">IF(M175&gt;0,D175*PI()*E175^2/4,0)</f>
        <v>39.7254611739954</v>
      </c>
      <c r="Z175" s="27" t="n">
        <f aca="false">IF(H175-E175&gt;=GWL,99,E175*(MAX(0,GWL-H175)*(GAM_S-GAM_W)+MAX(0,NG-MAX(H175,GWL))*GAM_D)/(GAM_W*PI()*E175^2/4))</f>
        <v>0.698184506721787</v>
      </c>
      <c r="AA175" s="27" t="n">
        <f aca="false">IF(I175-E175&gt;=GWL,99,E175*(MAX(0,GWL-I175)*(GAM_S-GAM_W)+MAX(0,NG-MAX(I175,GWL))*GAM_D)/(GAM_W*PI()*E175^2/4))</f>
        <v>0.698805905828894</v>
      </c>
      <c r="AB175" s="27" t="n">
        <f aca="false">IF(H175-E175&gt;=GWL,99,E175*(MAX(0,GWL-H175)*(GAM_S-GAM_W)+MAX(0,FL-MAX(H175,GWL))*GAM_D)/(GAM_W*PI()*E175^2/4))</f>
        <v>2.46411255530572</v>
      </c>
      <c r="AC175" s="27" t="n">
        <f aca="false">IF(I175-E175&gt;=GWL,99,E175*(MAX(0,GWL-I175)*(GAM_S-GAM_W)+MAX(0,FL-MAX(I175,GWL))*GAM_D)/(GAM_W*PI()*E175^2/4))</f>
        <v>2.46473395441282</v>
      </c>
    </row>
    <row r="176" customFormat="false" ht="15" hidden="false" customHeight="false" outlineLevel="0" collapsed="false">
      <c r="A176" s="25" t="s">
        <v>592</v>
      </c>
      <c r="B176" s="25" t="s">
        <v>623</v>
      </c>
      <c r="C176" s="25" t="s">
        <v>635</v>
      </c>
      <c r="D176" s="26" t="n">
        <v>9.99999999989347</v>
      </c>
      <c r="E176" s="26" t="n">
        <v>2.24900040237721</v>
      </c>
      <c r="F176" s="26" t="n">
        <v>-4.12171752743886</v>
      </c>
      <c r="G176" s="26" t="n">
        <v>-4.12231572762201</v>
      </c>
      <c r="H176" s="26" t="n">
        <v>-1.37271712506166</v>
      </c>
      <c r="I176" s="26" t="n">
        <v>-1.3733153252448</v>
      </c>
      <c r="J176" s="26" t="n">
        <v>9.83</v>
      </c>
      <c r="K176" s="27" t="n">
        <f aca="false">MIN(F176,G176)</f>
        <v>-4.12231572762201</v>
      </c>
      <c r="L176" s="27" t="n">
        <f aca="false">AVERAGE(F176,G176)</f>
        <v>-4.12201662753043</v>
      </c>
      <c r="M176" s="27" t="n">
        <f aca="false">MAX(0,NG-L176)</f>
        <v>3.42201662753043</v>
      </c>
      <c r="N176" s="27" t="n">
        <f aca="false">MAX(0,GWL-K176)</f>
        <v>2.62231572762201</v>
      </c>
      <c r="O176" s="27" t="n">
        <f aca="false">MAX(0,NG-MAX(K176,GWL))</f>
        <v>0.8</v>
      </c>
      <c r="P176" s="27" t="n">
        <f aca="false">E176/2+WS+SLOPE_A*O176+SLOPE_B*N176</f>
        <v>8.56913165643261</v>
      </c>
      <c r="Q176" s="28" t="str">
        <f aca="false">IF(AND(P176&lt;J176,N176&lt;=MAXOC),"Open cut","Shoring")</f>
        <v>Shoring</v>
      </c>
      <c r="R176" s="27" t="n">
        <f aca="false">IF(Q176="Shoring",D176,0)</f>
        <v>9.99999999989347</v>
      </c>
      <c r="S176" s="27" t="n">
        <f aca="false">MAX(0,GWL-L176)</f>
        <v>2.62201662753043</v>
      </c>
      <c r="T176" s="27" t="n">
        <f aca="false">MAX(0,NG-MAX(L176,GWL))</f>
        <v>0.8</v>
      </c>
      <c r="U176" s="27" t="n">
        <f aca="false">E176+2*WS</f>
        <v>4.24900040237721</v>
      </c>
      <c r="V176" s="27" t="n">
        <f aca="false">IF(Q176="Shoring",D176*M176*U176,0)</f>
        <v>145.401500271634</v>
      </c>
      <c r="W176" s="27" t="n">
        <f aca="false">IF(Q176="Open cut",D176*(U176*M176+SLOPE_B*S176^2+2*SLOPE_B*S176*T176+SLOPE_A*T176^2),0)</f>
        <v>0</v>
      </c>
      <c r="X176" s="27" t="n">
        <f aca="false">IF(M176&gt;0,D176*(E176+2*SLABOVH)*SLAB,0)</f>
        <v>16.245002011713</v>
      </c>
      <c r="Y176" s="27" t="n">
        <f aca="false">IF(M176&gt;0,D176*PI()*E176^2/4,0)</f>
        <v>39.7254611730665</v>
      </c>
      <c r="Z176" s="27" t="n">
        <f aca="false">IF(H176-E176&gt;=GWL,99,E176*(MAX(0,GWL-H176)*(GAM_S-GAM_W)+MAX(0,NG-MAX(H176,GWL))*GAM_D)/(GAM_W*PI()*E176^2/4))</f>
        <v>0.698805905828894</v>
      </c>
      <c r="AA176" s="27" t="n">
        <f aca="false">IF(I176-E176&gt;=GWL,99,E176*(MAX(0,GWL-I176)*(GAM_S-GAM_W)+MAX(0,NG-MAX(I176,GWL))*GAM_D)/(GAM_W*PI()*E176^2/4))</f>
        <v>0.699427304936002</v>
      </c>
      <c r="AB176" s="27" t="n">
        <f aca="false">IF(H176-E176&gt;=GWL,99,E176*(MAX(0,GWL-H176)*(GAM_S-GAM_W)+MAX(0,FL-MAX(H176,GWL))*GAM_D)/(GAM_W*PI()*E176^2/4))</f>
        <v>2.46473395441282</v>
      </c>
      <c r="AC176" s="27" t="n">
        <f aca="false">IF(I176-E176&gt;=GWL,99,E176*(MAX(0,GWL-I176)*(GAM_S-GAM_W)+MAX(0,FL-MAX(I176,GWL))*GAM_D)/(GAM_W*PI()*E176^2/4))</f>
        <v>2.46535535351993</v>
      </c>
    </row>
    <row r="177" customFormat="false" ht="15" hidden="false" customHeight="false" outlineLevel="0" collapsed="false">
      <c r="A177" s="25" t="s">
        <v>592</v>
      </c>
      <c r="B177" s="25" t="s">
        <v>623</v>
      </c>
      <c r="C177" s="25" t="s">
        <v>636</v>
      </c>
      <c r="D177" s="26" t="n">
        <v>10.0000000000266</v>
      </c>
      <c r="E177" s="26" t="n">
        <v>2.24900040237721</v>
      </c>
      <c r="F177" s="26" t="n">
        <v>-4.12231572762201</v>
      </c>
      <c r="G177" s="26" t="n">
        <v>-4.12291392780515</v>
      </c>
      <c r="H177" s="26" t="n">
        <v>-1.3733153252448</v>
      </c>
      <c r="I177" s="26" t="n">
        <v>-1.37391352542794</v>
      </c>
      <c r="J177" s="26" t="n">
        <v>12.94</v>
      </c>
      <c r="K177" s="27" t="n">
        <f aca="false">MIN(F177,G177)</f>
        <v>-4.12291392780515</v>
      </c>
      <c r="L177" s="27" t="n">
        <f aca="false">AVERAGE(F177,G177)</f>
        <v>-4.12261482771358</v>
      </c>
      <c r="M177" s="27" t="n">
        <f aca="false">MAX(0,NG-L177)</f>
        <v>3.42261482771358</v>
      </c>
      <c r="N177" s="27" t="n">
        <f aca="false">MAX(0,GWL-K177)</f>
        <v>2.62291392780515</v>
      </c>
      <c r="O177" s="27" t="n">
        <f aca="false">MAX(0,NG-MAX(K177,GWL))</f>
        <v>0.8</v>
      </c>
      <c r="P177" s="27" t="n">
        <f aca="false">E177/2+WS+SLOPE_A*O177+SLOPE_B*N177</f>
        <v>8.57032805679891</v>
      </c>
      <c r="Q177" s="28" t="str">
        <f aca="false">IF(AND(P177&lt;J177,N177&lt;=MAXOC),"Open cut","Shoring")</f>
        <v>Shoring</v>
      </c>
      <c r="R177" s="27" t="n">
        <f aca="false">IF(Q177="Shoring",D177,0)</f>
        <v>10.0000000000266</v>
      </c>
      <c r="S177" s="27" t="n">
        <f aca="false">MAX(0,GWL-L177)</f>
        <v>2.62261482771358</v>
      </c>
      <c r="T177" s="27" t="n">
        <f aca="false">MAX(0,NG-MAX(L177,GWL))</f>
        <v>0.8</v>
      </c>
      <c r="U177" s="27" t="n">
        <f aca="false">E177+2*WS</f>
        <v>4.24900040237721</v>
      </c>
      <c r="V177" s="27" t="n">
        <f aca="false">IF(Q177="Shoring",D177*M177*U177,0)</f>
        <v>145.426917801759</v>
      </c>
      <c r="W177" s="27" t="n">
        <f aca="false">IF(Q177="Open cut",D177*(U177*M177+SLOPE_B*S177^2+2*SLOPE_B*S177*T177+SLOPE_A*T177^2),0)</f>
        <v>0</v>
      </c>
      <c r="X177" s="27" t="n">
        <f aca="false">IF(M177&gt;0,D177*(E177+2*SLABOVH)*SLAB,0)</f>
        <v>16.2450020119293</v>
      </c>
      <c r="Y177" s="27" t="n">
        <f aca="false">IF(M177&gt;0,D177*PI()*E177^2/4,0)</f>
        <v>39.7254611735954</v>
      </c>
      <c r="Z177" s="27" t="n">
        <f aca="false">IF(H177-E177&gt;=GWL,99,E177*(MAX(0,GWL-H177)*(GAM_S-GAM_W)+MAX(0,NG-MAX(H177,GWL))*GAM_D)/(GAM_W*PI()*E177^2/4))</f>
        <v>0.699427304936002</v>
      </c>
      <c r="AA177" s="27" t="n">
        <f aca="false">IF(I177-E177&gt;=GWL,99,E177*(MAX(0,GWL-I177)*(GAM_S-GAM_W)+MAX(0,NG-MAX(I177,GWL))*GAM_D)/(GAM_W*PI()*E177^2/4))</f>
        <v>0.700048704043109</v>
      </c>
      <c r="AB177" s="27" t="n">
        <f aca="false">IF(H177-E177&gt;=GWL,99,E177*(MAX(0,GWL-H177)*(GAM_S-GAM_W)+MAX(0,FL-MAX(H177,GWL))*GAM_D)/(GAM_W*PI()*E177^2/4))</f>
        <v>2.46535535351993</v>
      </c>
      <c r="AC177" s="27" t="n">
        <f aca="false">IF(I177-E177&gt;=GWL,99,E177*(MAX(0,GWL-I177)*(GAM_S-GAM_W)+MAX(0,FL-MAX(I177,GWL))*GAM_D)/(GAM_W*PI()*E177^2/4))</f>
        <v>2.46597675262704</v>
      </c>
    </row>
    <row r="178" customFormat="false" ht="15" hidden="false" customHeight="false" outlineLevel="0" collapsed="false">
      <c r="A178" s="25" t="s">
        <v>592</v>
      </c>
      <c r="B178" s="25" t="s">
        <v>623</v>
      </c>
      <c r="C178" s="25" t="s">
        <v>637</v>
      </c>
      <c r="D178" s="26" t="n">
        <v>1.49999999998077</v>
      </c>
      <c r="E178" s="26" t="n">
        <v>2.24900040237721</v>
      </c>
      <c r="F178" s="26" t="n">
        <v>-4.12291392780515</v>
      </c>
      <c r="G178" s="26" t="n">
        <v>-4.12300365783262</v>
      </c>
      <c r="H178" s="26" t="n">
        <v>-1.37391352542794</v>
      </c>
      <c r="I178" s="26" t="n">
        <v>-1.37400325545542</v>
      </c>
      <c r="J178" s="26" t="n">
        <v>18.02</v>
      </c>
      <c r="K178" s="27" t="n">
        <f aca="false">MIN(F178,G178)</f>
        <v>-4.12300365783262</v>
      </c>
      <c r="L178" s="27" t="n">
        <f aca="false">AVERAGE(F178,G178)</f>
        <v>-4.12295879281889</v>
      </c>
      <c r="M178" s="27" t="n">
        <f aca="false">MAX(0,NG-L178)</f>
        <v>3.42295879281889</v>
      </c>
      <c r="N178" s="27" t="n">
        <f aca="false">MAX(0,GWL-K178)</f>
        <v>2.62300365783262</v>
      </c>
      <c r="O178" s="27" t="n">
        <f aca="false">MAX(0,NG-MAX(K178,GWL))</f>
        <v>0.8</v>
      </c>
      <c r="P178" s="27" t="n">
        <f aca="false">E178/2+WS+SLOPE_A*O178+SLOPE_B*N178</f>
        <v>8.57050751685385</v>
      </c>
      <c r="Q178" s="28" t="str">
        <f aca="false">IF(AND(P178&lt;J178,N178&lt;=MAXOC),"Open cut","Shoring")</f>
        <v>Shoring</v>
      </c>
      <c r="R178" s="27" t="n">
        <f aca="false">IF(Q178="Shoring",D178,0)</f>
        <v>1.49999999998077</v>
      </c>
      <c r="S178" s="27" t="n">
        <f aca="false">MAX(0,GWL-L178)</f>
        <v>2.62295879281889</v>
      </c>
      <c r="T178" s="27" t="n">
        <f aca="false">MAX(0,NG-MAX(L178,GWL))</f>
        <v>0.8</v>
      </c>
      <c r="U178" s="27" t="n">
        <f aca="false">E178+2*WS</f>
        <v>4.24900040237721</v>
      </c>
      <c r="V178" s="27" t="n">
        <f aca="false">IF(Q178="Shoring",D178*M178*U178,0)</f>
        <v>21.8162299317324</v>
      </c>
      <c r="W178" s="27" t="n">
        <f aca="false">IF(Q178="Open cut",D178*(U178*M178+SLOPE_B*S178^2+2*SLOPE_B*S178*T178+SLOPE_A*T178^2),0)</f>
        <v>0</v>
      </c>
      <c r="X178" s="27" t="n">
        <f aca="false">IF(M178&gt;0,D178*(E178+2*SLABOVH)*SLAB,0)</f>
        <v>2.43675030175167</v>
      </c>
      <c r="Y178" s="27" t="n">
        <f aca="false">IF(M178&gt;0,D178*PI()*E178^2/4,0)</f>
        <v>5.95881917594706</v>
      </c>
      <c r="Z178" s="27" t="n">
        <f aca="false">IF(H178-E178&gt;=GWL,99,E178*(MAX(0,GWL-H178)*(GAM_S-GAM_W)+MAX(0,NG-MAX(H178,GWL))*GAM_D)/(GAM_W*PI()*E178^2/4))</f>
        <v>0.700048704043109</v>
      </c>
      <c r="AA178" s="27" t="n">
        <f aca="false">IF(I178-E178&gt;=GWL,99,E178*(MAX(0,GWL-I178)*(GAM_S-GAM_W)+MAX(0,NG-MAX(I178,GWL))*GAM_D)/(GAM_W*PI()*E178^2/4))</f>
        <v>0.700141913909176</v>
      </c>
      <c r="AB178" s="27" t="n">
        <f aca="false">IF(H178-E178&gt;=GWL,99,E178*(MAX(0,GWL-H178)*(GAM_S-GAM_W)+MAX(0,FL-MAX(H178,GWL))*GAM_D)/(GAM_W*PI()*E178^2/4))</f>
        <v>2.46597675262704</v>
      </c>
      <c r="AC178" s="27" t="n">
        <f aca="false">IF(I178-E178&gt;=GWL,99,E178*(MAX(0,GWL-I178)*(GAM_S-GAM_W)+MAX(0,FL-MAX(I178,GWL))*GAM_D)/(GAM_W*PI()*E178^2/4))</f>
        <v>2.46606996249311</v>
      </c>
    </row>
    <row r="179" customFormat="false" ht="15" hidden="false" customHeight="false" outlineLevel="0" collapsed="false">
      <c r="A179" s="25" t="s">
        <v>592</v>
      </c>
      <c r="B179" s="25" t="s">
        <v>638</v>
      </c>
      <c r="C179" s="25" t="s">
        <v>639</v>
      </c>
      <c r="D179" s="26" t="n">
        <v>8.4999999999127</v>
      </c>
      <c r="E179" s="26" t="n">
        <v>2.24900040237721</v>
      </c>
      <c r="F179" s="26" t="n">
        <v>-4.12300365783262</v>
      </c>
      <c r="G179" s="26" t="n">
        <v>-4.1235121279883</v>
      </c>
      <c r="H179" s="26" t="n">
        <v>-1.37400325545542</v>
      </c>
      <c r="I179" s="26" t="n">
        <v>-1.37451172561109</v>
      </c>
      <c r="J179" s="26" t="n">
        <v>18.91</v>
      </c>
      <c r="K179" s="27" t="n">
        <f aca="false">MIN(F179,G179)</f>
        <v>-4.1235121279883</v>
      </c>
      <c r="L179" s="27" t="n">
        <f aca="false">AVERAGE(F179,G179)</f>
        <v>-4.12325789291046</v>
      </c>
      <c r="M179" s="27" t="n">
        <f aca="false">MAX(0,NG-L179)</f>
        <v>3.42325789291046</v>
      </c>
      <c r="N179" s="27" t="n">
        <f aca="false">MAX(0,GWL-K179)</f>
        <v>2.6235121279883</v>
      </c>
      <c r="O179" s="27" t="n">
        <f aca="false">MAX(0,NG-MAX(K179,GWL))</f>
        <v>0.8</v>
      </c>
      <c r="P179" s="27" t="n">
        <f aca="false">E179/2+WS+SLOPE_A*O179+SLOPE_B*N179</f>
        <v>8.57152445716519</v>
      </c>
      <c r="Q179" s="28" t="str">
        <f aca="false">IF(AND(P179&lt;J179,N179&lt;=MAXOC),"Open cut","Shoring")</f>
        <v>Shoring</v>
      </c>
      <c r="R179" s="27" t="n">
        <f aca="false">IF(Q179="Shoring",D179,0)</f>
        <v>8.4999999999127</v>
      </c>
      <c r="S179" s="27" t="n">
        <f aca="false">MAX(0,GWL-L179)</f>
        <v>2.62325789291046</v>
      </c>
      <c r="T179" s="27" t="n">
        <f aca="false">MAX(0,NG-MAX(L179,GWL))</f>
        <v>0.8</v>
      </c>
      <c r="U179" s="27" t="n">
        <f aca="false">E179+2*WS</f>
        <v>4.24900040237721</v>
      </c>
      <c r="V179" s="27" t="n">
        <f aca="false">IF(Q179="Shoring",D179*M179*U179,0)</f>
        <v>123.636105396279</v>
      </c>
      <c r="W179" s="27" t="n">
        <f aca="false">IF(Q179="Open cut",D179*(U179*M179+SLOPE_B*S179^2+2*SLOPE_B*S179*T179+SLOPE_A*T179^2),0)</f>
        <v>0</v>
      </c>
      <c r="X179" s="27" t="n">
        <f aca="false">IF(M179&gt;0,D179*(E179+2*SLABOVH)*SLAB,0)</f>
        <v>13.8082517099613</v>
      </c>
      <c r="Y179" s="27" t="n">
        <f aca="false">IF(M179&gt;0,D179*PI()*E179^2/4,0)</f>
        <v>33.7666419971194</v>
      </c>
      <c r="Z179" s="27" t="n">
        <f aca="false">IF(H179-E179&gt;=GWL,99,E179*(MAX(0,GWL-H179)*(GAM_S-GAM_W)+MAX(0,NG-MAX(H179,GWL))*GAM_D)/(GAM_W*PI()*E179^2/4))</f>
        <v>0.700141913909176</v>
      </c>
      <c r="AA179" s="27" t="n">
        <f aca="false">IF(I179-E179&gt;=GWL,99,E179*(MAX(0,GWL-I179)*(GAM_S-GAM_W)+MAX(0,NG-MAX(I179,GWL))*GAM_D)/(GAM_W*PI()*E179^2/4))</f>
        <v>0.700670103150218</v>
      </c>
      <c r="AB179" s="27" t="n">
        <f aca="false">IF(H179-E179&gt;=GWL,99,E179*(MAX(0,GWL-H179)*(GAM_S-GAM_W)+MAX(0,FL-MAX(H179,GWL))*GAM_D)/(GAM_W*PI()*E179^2/4))</f>
        <v>2.46606996249311</v>
      </c>
      <c r="AC179" s="27" t="n">
        <f aca="false">IF(I179-E179&gt;=GWL,99,E179*(MAX(0,GWL-I179)*(GAM_S-GAM_W)+MAX(0,FL-MAX(I179,GWL))*GAM_D)/(GAM_W*PI()*E179^2/4))</f>
        <v>2.46659815173415</v>
      </c>
    </row>
    <row r="180" customFormat="false" ht="15" hidden="false" customHeight="false" outlineLevel="0" collapsed="false">
      <c r="A180" s="25" t="s">
        <v>592</v>
      </c>
      <c r="B180" s="25" t="s">
        <v>638</v>
      </c>
      <c r="C180" s="25" t="s">
        <v>640</v>
      </c>
      <c r="D180" s="26" t="n">
        <v>9.9999999997928</v>
      </c>
      <c r="E180" s="26" t="n">
        <v>2.24900040237721</v>
      </c>
      <c r="F180" s="26" t="n">
        <v>-4.1235121279883</v>
      </c>
      <c r="G180" s="26" t="n">
        <v>-4.12411032817144</v>
      </c>
      <c r="H180" s="26" t="n">
        <v>-1.37451172561109</v>
      </c>
      <c r="I180" s="26" t="n">
        <v>-1.37510992579423</v>
      </c>
      <c r="J180" s="26" t="n">
        <v>24.5</v>
      </c>
      <c r="K180" s="27" t="n">
        <f aca="false">MIN(F180,G180)</f>
        <v>-4.12411032817144</v>
      </c>
      <c r="L180" s="27" t="n">
        <f aca="false">AVERAGE(F180,G180)</f>
        <v>-4.12381122807987</v>
      </c>
      <c r="M180" s="27" t="n">
        <f aca="false">MAX(0,NG-L180)</f>
        <v>3.42381122807987</v>
      </c>
      <c r="N180" s="27" t="n">
        <f aca="false">MAX(0,GWL-K180)</f>
        <v>2.62411032817144</v>
      </c>
      <c r="O180" s="27" t="n">
        <f aca="false">MAX(0,NG-MAX(K180,GWL))</f>
        <v>0.8</v>
      </c>
      <c r="P180" s="27" t="n">
        <f aca="false">E180/2+WS+SLOPE_A*O180+SLOPE_B*N180</f>
        <v>8.57272085753148</v>
      </c>
      <c r="Q180" s="28" t="str">
        <f aca="false">IF(AND(P180&lt;J180,N180&lt;=MAXOC),"Open cut","Shoring")</f>
        <v>Shoring</v>
      </c>
      <c r="R180" s="27" t="n">
        <f aca="false">IF(Q180="Shoring",D180,0)</f>
        <v>9.9999999997928</v>
      </c>
      <c r="S180" s="27" t="n">
        <f aca="false">MAX(0,GWL-L180)</f>
        <v>2.62381122807987</v>
      </c>
      <c r="T180" s="27" t="n">
        <f aca="false">MAX(0,NG-MAX(L180,GWL))</f>
        <v>0.8</v>
      </c>
      <c r="U180" s="27" t="n">
        <f aca="false">E180+2*WS</f>
        <v>4.24900040237721</v>
      </c>
      <c r="V180" s="27" t="n">
        <f aca="false">IF(Q180="Shoring",D180*M180*U180,0)</f>
        <v>145.477752854735</v>
      </c>
      <c r="W180" s="27" t="n">
        <f aca="false">IF(Q180="Open cut",D180*(U180*M180+SLOPE_B*S180^2+2*SLOPE_B*S180*T180+SLOPE_A*T180^2),0)</f>
        <v>0</v>
      </c>
      <c r="X180" s="27" t="n">
        <f aca="false">IF(M180&gt;0,D180*(E180+2*SLABOVH)*SLAB,0)</f>
        <v>16.2450020115494</v>
      </c>
      <c r="Y180" s="27" t="n">
        <f aca="false">IF(M180&gt;0,D180*PI()*E180^2/4,0)</f>
        <v>39.7254611726665</v>
      </c>
      <c r="Z180" s="27" t="n">
        <f aca="false">IF(H180-E180&gt;=GWL,99,E180*(MAX(0,GWL-H180)*(GAM_S-GAM_W)+MAX(0,NG-MAX(H180,GWL))*GAM_D)/(GAM_W*PI()*E180^2/4))</f>
        <v>0.700670103150218</v>
      </c>
      <c r="AA180" s="27" t="n">
        <f aca="false">IF(I180-E180&gt;=GWL,99,E180*(MAX(0,GWL-I180)*(GAM_S-GAM_W)+MAX(0,NG-MAX(I180,GWL))*GAM_D)/(GAM_W*PI()*E180^2/4))</f>
        <v>0.701291502257325</v>
      </c>
      <c r="AB180" s="27" t="n">
        <f aca="false">IF(H180-E180&gt;=GWL,99,E180*(MAX(0,GWL-H180)*(GAM_S-GAM_W)+MAX(0,FL-MAX(H180,GWL))*GAM_D)/(GAM_W*PI()*E180^2/4))</f>
        <v>2.46659815173415</v>
      </c>
      <c r="AC180" s="27" t="n">
        <f aca="false">IF(I180-E180&gt;=GWL,99,E180*(MAX(0,GWL-I180)*(GAM_S-GAM_W)+MAX(0,FL-MAX(I180,GWL))*GAM_D)/(GAM_W*PI()*E180^2/4))</f>
        <v>2.46721955084126</v>
      </c>
    </row>
    <row r="181" customFormat="false" ht="15" hidden="false" customHeight="false" outlineLevel="0" collapsed="false">
      <c r="A181" s="25" t="s">
        <v>592</v>
      </c>
      <c r="B181" s="25" t="s">
        <v>638</v>
      </c>
      <c r="C181" s="25" t="s">
        <v>641</v>
      </c>
      <c r="D181" s="26" t="n">
        <v>6.5174339323814</v>
      </c>
      <c r="E181" s="26" t="n">
        <v>2.24900040237721</v>
      </c>
      <c r="F181" s="26" t="n">
        <v>-4.12411032817144</v>
      </c>
      <c r="G181" s="26" t="n">
        <v>-4.1245002011886</v>
      </c>
      <c r="H181" s="26" t="n">
        <v>-1.37510992579423</v>
      </c>
      <c r="I181" s="26" t="n">
        <v>-1.3754997988114</v>
      </c>
      <c r="J181" s="26" t="n">
        <v>99</v>
      </c>
      <c r="K181" s="27" t="n">
        <f aca="false">MIN(F181,G181)</f>
        <v>-4.1245002011886</v>
      </c>
      <c r="L181" s="27" t="n">
        <f aca="false">AVERAGE(F181,G181)</f>
        <v>-4.12430526468002</v>
      </c>
      <c r="M181" s="27" t="n">
        <f aca="false">MAX(0,NG-L181)</f>
        <v>3.42430526468002</v>
      </c>
      <c r="N181" s="27" t="n">
        <f aca="false">MAX(0,GWL-K181)</f>
        <v>2.6245002011886</v>
      </c>
      <c r="O181" s="27" t="n">
        <f aca="false">MAX(0,NG-MAX(K181,GWL))</f>
        <v>0.8</v>
      </c>
      <c r="P181" s="27" t="n">
        <f aca="false">E181/2+WS+SLOPE_A*O181+SLOPE_B*N181</f>
        <v>8.57350060356581</v>
      </c>
      <c r="Q181" s="28" t="str">
        <f aca="false">IF(AND(P181&lt;J181,N181&lt;=MAXOC),"Open cut","Shoring")</f>
        <v>Shoring</v>
      </c>
      <c r="R181" s="27" t="n">
        <f aca="false">IF(Q181="Shoring",D181,0)</f>
        <v>6.5174339323814</v>
      </c>
      <c r="S181" s="27" t="n">
        <f aca="false">MAX(0,GWL-L181)</f>
        <v>2.62430526468002</v>
      </c>
      <c r="T181" s="27" t="n">
        <f aca="false">MAX(0,NG-MAX(L181,GWL))</f>
        <v>0.8</v>
      </c>
      <c r="U181" s="27" t="n">
        <f aca="false">E181+2*WS</f>
        <v>4.24900040237721</v>
      </c>
      <c r="V181" s="27" t="n">
        <f aca="false">IF(Q181="Shoring",D181*M181*U181,0)</f>
        <v>94.827845435946</v>
      </c>
      <c r="W181" s="27" t="n">
        <f aca="false">IF(Q181="Open cut",D181*(U181*M181+SLOPE_B*S181^2+2*SLOPE_B*S181*T181+SLOPE_A*T181^2),0)</f>
        <v>0</v>
      </c>
      <c r="X181" s="27" t="n">
        <f aca="false">IF(M181&gt;0,D181*(E181+2*SLABOVH)*SLAB,0)</f>
        <v>10.587572734387</v>
      </c>
      <c r="Y181" s="27" t="n">
        <f aca="false">IF(M181&gt;0,D181*PI()*E181^2/4,0)</f>
        <v>25.8908068631601</v>
      </c>
      <c r="Z181" s="27" t="n">
        <f aca="false">IF(H181-E181&gt;=GWL,99,E181*(MAX(0,GWL-H181)*(GAM_S-GAM_W)+MAX(0,NG-MAX(H181,GWL))*GAM_D)/(GAM_W*PI()*E181^2/4))</f>
        <v>0.701291502257325</v>
      </c>
      <c r="AA181" s="27" t="n">
        <f aca="false">IF(I181-E181&gt;=GWL,99,E181*(MAX(0,GWL-I181)*(GAM_S-GAM_W)+MAX(0,NG-MAX(I181,GWL))*GAM_D)/(GAM_W*PI()*E181^2/4))</f>
        <v>0.701696495019911</v>
      </c>
      <c r="AB181" s="27" t="n">
        <f aca="false">IF(H181-E181&gt;=GWL,99,E181*(MAX(0,GWL-H181)*(GAM_S-GAM_W)+MAX(0,FL-MAX(H181,GWL))*GAM_D)/(GAM_W*PI()*E181^2/4))</f>
        <v>2.46721955084126</v>
      </c>
      <c r="AC181" s="27" t="n">
        <f aca="false">IF(I181-E181&gt;=GWL,99,E181*(MAX(0,GWL-I181)*(GAM_S-GAM_W)+MAX(0,FL-MAX(I181,GWL))*GAM_D)/(GAM_W*PI()*E181^2/4))</f>
        <v>2.46762454360384</v>
      </c>
    </row>
    <row r="182" customFormat="false" ht="15" hidden="false" customHeight="false" outlineLevel="0" collapsed="false">
      <c r="A182" s="25" t="s">
        <v>642</v>
      </c>
      <c r="B182" s="25" t="s">
        <v>643</v>
      </c>
      <c r="C182" s="25" t="s">
        <v>644</v>
      </c>
      <c r="D182" s="26" t="n">
        <v>8.85264000006808</v>
      </c>
      <c r="E182" s="26" t="n">
        <v>2.27637586492562</v>
      </c>
      <c r="F182" s="26" t="n">
        <v>-4.06818793246281</v>
      </c>
      <c r="G182" s="26" t="n">
        <v>-4.06818793246281</v>
      </c>
      <c r="H182" s="26" t="n">
        <v>-1.29181206753719</v>
      </c>
      <c r="I182" s="26" t="n">
        <v>-1.29181206753719</v>
      </c>
      <c r="J182" s="26" t="n">
        <v>18.37</v>
      </c>
      <c r="K182" s="27" t="n">
        <f aca="false">MIN(F182,G182)</f>
        <v>-4.06818793246281</v>
      </c>
      <c r="L182" s="27" t="n">
        <f aca="false">AVERAGE(F182,G182)</f>
        <v>-4.06818793246281</v>
      </c>
      <c r="M182" s="27" t="n">
        <f aca="false">MAX(0,NG-L182)</f>
        <v>3.36818793246281</v>
      </c>
      <c r="N182" s="27" t="n">
        <f aca="false">MAX(0,GWL-K182)</f>
        <v>2.56818793246281</v>
      </c>
      <c r="O182" s="27" t="n">
        <f aca="false">MAX(0,NG-MAX(K182,GWL))</f>
        <v>0.8</v>
      </c>
      <c r="P182" s="27" t="n">
        <f aca="false">E182/2+WS+SLOPE_A*O182+SLOPE_B*N182</f>
        <v>8.47456379738842</v>
      </c>
      <c r="Q182" s="28" t="str">
        <f aca="false">IF(AND(P182&lt;J182,N182&lt;=MAXOC),"Open cut","Shoring")</f>
        <v>Shoring</v>
      </c>
      <c r="R182" s="27" t="n">
        <f aca="false">IF(Q182="Shoring",D182,0)</f>
        <v>8.85264000006808</v>
      </c>
      <c r="S182" s="27" t="n">
        <f aca="false">MAX(0,GWL-L182)</f>
        <v>2.56818793246281</v>
      </c>
      <c r="T182" s="27" t="n">
        <f aca="false">MAX(0,NG-MAX(L182,GWL))</f>
        <v>0.8</v>
      </c>
      <c r="U182" s="27" t="n">
        <f aca="false">E182+2*WS</f>
        <v>4.27637586492562</v>
      </c>
      <c r="V182" s="27" t="n">
        <f aca="false">IF(Q182="Shoring",D182*M182*U182,0)</f>
        <v>127.510218213021</v>
      </c>
      <c r="W182" s="27" t="n">
        <f aca="false">IF(Q182="Open cut",D182*(U182*M182+SLOPE_B*S182^2+2*SLOPE_B*S182*T182+SLOPE_A*T182^2),0)</f>
        <v>0</v>
      </c>
      <c r="X182" s="27" t="n">
        <f aca="false">IF(M182&gt;0,D182*(E182+2*SLABOVH)*SLAB,0)</f>
        <v>14.5022880185491</v>
      </c>
      <c r="Y182" s="27" t="n">
        <f aca="false">IF(M182&gt;0,D182*PI()*E182^2/4,0)</f>
        <v>36.028869049745</v>
      </c>
      <c r="Z182" s="27" t="n">
        <f aca="false">IF(H182-E182&gt;=GWL,99,E182*(MAX(0,GWL-H182)*(GAM_S-GAM_W)+MAX(0,NG-MAX(H182,GWL))*GAM_D)/(GAM_W*PI()*E182^2/4))</f>
        <v>0.607370172889734</v>
      </c>
      <c r="AA182" s="27" t="n">
        <f aca="false">IF(I182-E182&gt;=GWL,99,E182*(MAX(0,GWL-I182)*(GAM_S-GAM_W)+MAX(0,NG-MAX(I182,GWL))*GAM_D)/(GAM_W*PI()*E182^2/4))</f>
        <v>0.607370172889734</v>
      </c>
      <c r="AB182" s="27" t="n">
        <f aca="false">IF(H182-E182&gt;=GWL,99,E182*(MAX(0,GWL-H182)*(GAM_S-GAM_W)+MAX(0,FL-MAX(H182,GWL))*GAM_D)/(GAM_W*PI()*E182^2/4))</f>
        <v>2.35206135198209</v>
      </c>
      <c r="AC182" s="27" t="n">
        <f aca="false">IF(I182-E182&gt;=GWL,99,E182*(MAX(0,GWL-I182)*(GAM_S-GAM_W)+MAX(0,FL-MAX(I182,GWL))*GAM_D)/(GAM_W*PI()*E182^2/4))</f>
        <v>2.35206135198209</v>
      </c>
    </row>
    <row r="183" customFormat="false" ht="15" hidden="false" customHeight="false" outlineLevel="0" collapsed="false">
      <c r="A183" s="25" t="s">
        <v>642</v>
      </c>
      <c r="B183" s="25" t="s">
        <v>643</v>
      </c>
      <c r="C183" s="25" t="s">
        <v>645</v>
      </c>
      <c r="D183" s="26" t="n">
        <v>1.14735999972741</v>
      </c>
      <c r="E183" s="26" t="n">
        <v>2.24900584852516</v>
      </c>
      <c r="F183" s="26" t="n">
        <v>-4.05450292426258</v>
      </c>
      <c r="G183" s="26" t="n">
        <v>-4.05450292426258</v>
      </c>
      <c r="H183" s="26" t="n">
        <v>-1.30549707573742</v>
      </c>
      <c r="I183" s="26" t="n">
        <v>-1.30549707573742</v>
      </c>
      <c r="J183" s="26" t="n">
        <v>18.22</v>
      </c>
      <c r="K183" s="27" t="n">
        <f aca="false">MIN(F183,G183)</f>
        <v>-4.05450292426258</v>
      </c>
      <c r="L183" s="27" t="n">
        <f aca="false">AVERAGE(F183,G183)</f>
        <v>-4.05450292426258</v>
      </c>
      <c r="M183" s="27" t="n">
        <f aca="false">MAX(0,NG-L183)</f>
        <v>3.35450292426258</v>
      </c>
      <c r="N183" s="27" t="n">
        <f aca="false">MAX(0,GWL-K183)</f>
        <v>2.55450292426258</v>
      </c>
      <c r="O183" s="27" t="n">
        <f aca="false">MAX(0,NG-MAX(K183,GWL))</f>
        <v>0.8</v>
      </c>
      <c r="P183" s="27" t="n">
        <f aca="false">E183/2+WS+SLOPE_A*O183+SLOPE_B*N183</f>
        <v>8.43350877278773</v>
      </c>
      <c r="Q183" s="28" t="str">
        <f aca="false">IF(AND(P183&lt;J183,N183&lt;=MAXOC),"Open cut","Shoring")</f>
        <v>Shoring</v>
      </c>
      <c r="R183" s="27" t="n">
        <f aca="false">IF(Q183="Shoring",D183,0)</f>
        <v>1.14735999972741</v>
      </c>
      <c r="S183" s="27" t="n">
        <f aca="false">MAX(0,GWL-L183)</f>
        <v>2.55450292426258</v>
      </c>
      <c r="T183" s="27" t="n">
        <f aca="false">MAX(0,NG-MAX(L183,GWL))</f>
        <v>0.8</v>
      </c>
      <c r="U183" s="27" t="n">
        <f aca="false">E183+2*WS</f>
        <v>4.24900584852516</v>
      </c>
      <c r="V183" s="27" t="n">
        <f aca="false">IF(Q183="Shoring",D183*M183*U183,0)</f>
        <v>16.3536692030977</v>
      </c>
      <c r="W183" s="27" t="n">
        <f aca="false">IF(Q183="Open cut",D183*(U183*M183+SLOPE_B*S183^2+2*SLOPE_B*S183*T183+SLOPE_A*T183^2),0)</f>
        <v>0</v>
      </c>
      <c r="X183" s="27" t="n">
        <f aca="false">IF(M183&gt;0,D183*(E183+2*SLABOVH)*SLAB,0)</f>
        <v>1.86388967473908</v>
      </c>
      <c r="Y183" s="27" t="n">
        <f aca="false">IF(M183&gt;0,D183*PI()*E183^2/4,0)</f>
        <v>4.55796258703546</v>
      </c>
      <c r="Z183" s="27" t="n">
        <f aca="false">IF(H183-E183&gt;=GWL,99,E183*(MAX(0,GWL-H183)*(GAM_S-GAM_W)+MAX(0,NG-MAX(H183,GWL))*GAM_D)/(GAM_W*PI()*E183^2/4))</f>
        <v>0.628977458865364</v>
      </c>
      <c r="AA183" s="27" t="n">
        <f aca="false">IF(I183-E183&gt;=GWL,99,E183*(MAX(0,GWL-I183)*(GAM_S-GAM_W)+MAX(0,NG-MAX(I183,GWL))*GAM_D)/(GAM_W*PI()*E183^2/4))</f>
        <v>0.628977458865364</v>
      </c>
      <c r="AB183" s="27" t="n">
        <f aca="false">IF(H183-E183&gt;=GWL,99,E183*(MAX(0,GWL-H183)*(GAM_S-GAM_W)+MAX(0,FL-MAX(H183,GWL))*GAM_D)/(GAM_W*PI()*E183^2/4))</f>
        <v>2.39490123111296</v>
      </c>
      <c r="AC183" s="27" t="n">
        <f aca="false">IF(I183-E183&gt;=GWL,99,E183*(MAX(0,GWL-I183)*(GAM_S-GAM_W)+MAX(0,FL-MAX(I183,GWL))*GAM_D)/(GAM_W*PI()*E183^2/4))</f>
        <v>2.39490123111296</v>
      </c>
    </row>
    <row r="184" customFormat="false" ht="15" hidden="false" customHeight="false" outlineLevel="0" collapsed="false">
      <c r="A184" s="25" t="s">
        <v>642</v>
      </c>
      <c r="B184" s="25" t="s">
        <v>643</v>
      </c>
      <c r="C184" s="25" t="s">
        <v>646</v>
      </c>
      <c r="D184" s="26" t="n">
        <v>0.27669662136517</v>
      </c>
      <c r="E184" s="26" t="n">
        <v>2.24900584852516</v>
      </c>
      <c r="F184" s="26" t="n">
        <v>-4.05450292426258</v>
      </c>
      <c r="G184" s="26" t="n">
        <v>-4.05450292426258</v>
      </c>
      <c r="H184" s="26" t="n">
        <v>-1.30549707573742</v>
      </c>
      <c r="I184" s="26" t="n">
        <v>-1.30549707573742</v>
      </c>
      <c r="J184" s="26" t="n">
        <v>18.2</v>
      </c>
      <c r="K184" s="27" t="n">
        <f aca="false">MIN(F184,G184)</f>
        <v>-4.05450292426258</v>
      </c>
      <c r="L184" s="27" t="n">
        <f aca="false">AVERAGE(F184,G184)</f>
        <v>-4.05450292426258</v>
      </c>
      <c r="M184" s="27" t="n">
        <f aca="false">MAX(0,NG-L184)</f>
        <v>3.35450292426258</v>
      </c>
      <c r="N184" s="27" t="n">
        <f aca="false">MAX(0,GWL-K184)</f>
        <v>2.55450292426258</v>
      </c>
      <c r="O184" s="27" t="n">
        <f aca="false">MAX(0,NG-MAX(K184,GWL))</f>
        <v>0.8</v>
      </c>
      <c r="P184" s="27" t="n">
        <f aca="false">E184/2+WS+SLOPE_A*O184+SLOPE_B*N184</f>
        <v>8.43350877278773</v>
      </c>
      <c r="Q184" s="28" t="str">
        <f aca="false">IF(AND(P184&lt;J184,N184&lt;=MAXOC),"Open cut","Shoring")</f>
        <v>Shoring</v>
      </c>
      <c r="R184" s="27" t="n">
        <f aca="false">IF(Q184="Shoring",D184,0)</f>
        <v>0.27669662136517</v>
      </c>
      <c r="S184" s="27" t="n">
        <f aca="false">MAX(0,GWL-L184)</f>
        <v>2.55450292426258</v>
      </c>
      <c r="T184" s="27" t="n">
        <f aca="false">MAX(0,NG-MAX(L184,GWL))</f>
        <v>0.8</v>
      </c>
      <c r="U184" s="27" t="n">
        <f aca="false">E184+2*WS</f>
        <v>4.24900584852516</v>
      </c>
      <c r="V184" s="27" t="n">
        <f aca="false">IF(Q184="Shoring",D184*M184*U184,0)</f>
        <v>3.9438406572443</v>
      </c>
      <c r="W184" s="27" t="n">
        <f aca="false">IF(Q184="Open cut",D184*(U184*M184+SLOPE_B*S184^2+2*SLOPE_B*S184*T184+SLOPE_A*T184^2),0)</f>
        <v>0</v>
      </c>
      <c r="X184" s="27" t="n">
        <f aca="false">IF(M184&gt;0,D184*(E184+2*SLABOVH)*SLAB,0)</f>
        <v>0.449494470541294</v>
      </c>
      <c r="Y184" s="27" t="n">
        <f aca="false">IF(M184&gt;0,D184*PI()*E184^2/4,0)</f>
        <v>1.09919541246095</v>
      </c>
      <c r="Z184" s="27" t="n">
        <f aca="false">IF(H184-E184&gt;=GWL,99,E184*(MAX(0,GWL-H184)*(GAM_S-GAM_W)+MAX(0,NG-MAX(H184,GWL))*GAM_D)/(GAM_W*PI()*E184^2/4))</f>
        <v>0.628977458865364</v>
      </c>
      <c r="AA184" s="27" t="n">
        <f aca="false">IF(I184-E184&gt;=GWL,99,E184*(MAX(0,GWL-I184)*(GAM_S-GAM_W)+MAX(0,NG-MAX(I184,GWL))*GAM_D)/(GAM_W*PI()*E184^2/4))</f>
        <v>0.628977458865364</v>
      </c>
      <c r="AB184" s="27" t="n">
        <f aca="false">IF(H184-E184&gt;=GWL,99,E184*(MAX(0,GWL-H184)*(GAM_S-GAM_W)+MAX(0,FL-MAX(H184,GWL))*GAM_D)/(GAM_W*PI()*E184^2/4))</f>
        <v>2.39490123111296</v>
      </c>
      <c r="AC184" s="27" t="n">
        <f aca="false">IF(I184-E184&gt;=GWL,99,E184*(MAX(0,GWL-I184)*(GAM_S-GAM_W)+MAX(0,FL-MAX(I184,GWL))*GAM_D)/(GAM_W*PI()*E184^2/4))</f>
        <v>2.39490123111296</v>
      </c>
    </row>
    <row r="185" customFormat="false" ht="15" hidden="false" customHeight="false" outlineLevel="0" collapsed="false">
      <c r="A185" s="25" t="s">
        <v>642</v>
      </c>
      <c r="B185" s="25" t="s">
        <v>643</v>
      </c>
      <c r="C185" s="25" t="s">
        <v>647</v>
      </c>
      <c r="D185" s="26" t="n">
        <v>2.79209237206621</v>
      </c>
      <c r="E185" s="26" t="n">
        <v>2.24899818601756</v>
      </c>
      <c r="F185" s="26" t="n">
        <v>-4.05449909300878</v>
      </c>
      <c r="G185" s="26" t="n">
        <v>-4.05449909300878</v>
      </c>
      <c r="H185" s="26" t="n">
        <v>-1.30550090699122</v>
      </c>
      <c r="I185" s="26" t="n">
        <v>-1.30550090699122</v>
      </c>
      <c r="J185" s="26" t="n">
        <v>16.16</v>
      </c>
      <c r="K185" s="27" t="n">
        <f aca="false">MIN(F185,G185)</f>
        <v>-4.05449909300878</v>
      </c>
      <c r="L185" s="27" t="n">
        <f aca="false">AVERAGE(F185,G185)</f>
        <v>-4.05449909300878</v>
      </c>
      <c r="M185" s="27" t="n">
        <f aca="false">MAX(0,NG-L185)</f>
        <v>3.35449909300878</v>
      </c>
      <c r="N185" s="27" t="n">
        <f aca="false">MAX(0,GWL-K185)</f>
        <v>2.55449909300878</v>
      </c>
      <c r="O185" s="27" t="n">
        <f aca="false">MAX(0,NG-MAX(K185,GWL))</f>
        <v>0.8</v>
      </c>
      <c r="P185" s="27" t="n">
        <f aca="false">E185/2+WS+SLOPE_A*O185+SLOPE_B*N185</f>
        <v>8.43349727902634</v>
      </c>
      <c r="Q185" s="28" t="str">
        <f aca="false">IF(AND(P185&lt;J185,N185&lt;=MAXOC),"Open cut","Shoring")</f>
        <v>Shoring</v>
      </c>
      <c r="R185" s="27" t="n">
        <f aca="false">IF(Q185="Shoring",D185,0)</f>
        <v>2.79209237206621</v>
      </c>
      <c r="S185" s="27" t="n">
        <f aca="false">MAX(0,GWL-L185)</f>
        <v>2.55449909300878</v>
      </c>
      <c r="T185" s="27" t="n">
        <f aca="false">MAX(0,NG-MAX(L185,GWL))</f>
        <v>0.8</v>
      </c>
      <c r="U185" s="27" t="n">
        <f aca="false">E185+2*WS</f>
        <v>4.24899818601756</v>
      </c>
      <c r="V185" s="27" t="n">
        <f aca="false">IF(Q185="Shoring",D185*M185*U185,0)</f>
        <v>39.7964200899759</v>
      </c>
      <c r="W185" s="27" t="n">
        <f aca="false">IF(Q185="Open cut",D185*(U185*M185+SLOPE_B*S185^2+2*SLOPE_B*S185*T185+SLOPE_A*T185^2),0)</f>
        <v>0</v>
      </c>
      <c r="X185" s="27" t="n">
        <f aca="false">IF(M185&gt;0,D185*(E185+2*SLABOVH)*SLAB,0)</f>
        <v>4.53575152601829</v>
      </c>
      <c r="Y185" s="27" t="n">
        <f aca="false">IF(M185&gt;0,D185*PI()*E185^2/4,0)</f>
        <v>11.0916938504688</v>
      </c>
      <c r="Z185" s="27" t="n">
        <f aca="false">IF(H185-E185&gt;=GWL,99,E185*(MAX(0,GWL-H185)*(GAM_S-GAM_W)+MAX(0,NG-MAX(H185,GWL))*GAM_D)/(GAM_W*PI()*E185^2/4))</f>
        <v>0.628983581677684</v>
      </c>
      <c r="AA185" s="27" t="n">
        <f aca="false">IF(I185-E185&gt;=GWL,99,E185*(MAX(0,GWL-I185)*(GAM_S-GAM_W)+MAX(0,NG-MAX(I185,GWL))*GAM_D)/(GAM_W*PI()*E185^2/4))</f>
        <v>0.628983581677684</v>
      </c>
      <c r="AB185" s="27" t="n">
        <f aca="false">IF(H185-E185&gt;=GWL,99,E185*(MAX(0,GWL-H185)*(GAM_S-GAM_W)+MAX(0,FL-MAX(H185,GWL))*GAM_D)/(GAM_W*PI()*E185^2/4))</f>
        <v>2.39491337056167</v>
      </c>
      <c r="AC185" s="27" t="n">
        <f aca="false">IF(I185-E185&gt;=GWL,99,E185*(MAX(0,GWL-I185)*(GAM_S-GAM_W)+MAX(0,FL-MAX(I185,GWL))*GAM_D)/(GAM_W*PI()*E185^2/4))</f>
        <v>2.39491337056167</v>
      </c>
    </row>
    <row r="186" customFormat="false" ht="15" hidden="false" customHeight="false" outlineLevel="0" collapsed="false">
      <c r="A186" s="25" t="s">
        <v>642</v>
      </c>
      <c r="B186" s="25" t="s">
        <v>643</v>
      </c>
      <c r="C186" s="25" t="s">
        <v>648</v>
      </c>
      <c r="D186" s="26" t="n">
        <v>1.42159355323172</v>
      </c>
      <c r="E186" s="26" t="n">
        <v>2.24900627247432</v>
      </c>
      <c r="F186" s="26" t="n">
        <v>-4.05450313623716</v>
      </c>
      <c r="G186" s="26" t="n">
        <v>-4.05450313623716</v>
      </c>
      <c r="H186" s="26" t="n">
        <v>-1.30549686376284</v>
      </c>
      <c r="I186" s="26" t="n">
        <v>-1.30549686376284</v>
      </c>
      <c r="J186" s="26" t="n">
        <v>14.74</v>
      </c>
      <c r="K186" s="27" t="n">
        <f aca="false">MIN(F186,G186)</f>
        <v>-4.05450313623716</v>
      </c>
      <c r="L186" s="27" t="n">
        <f aca="false">AVERAGE(F186,G186)</f>
        <v>-4.05450313623716</v>
      </c>
      <c r="M186" s="27" t="n">
        <f aca="false">MAX(0,NG-L186)</f>
        <v>3.35450313623716</v>
      </c>
      <c r="N186" s="27" t="n">
        <f aca="false">MAX(0,GWL-K186)</f>
        <v>2.55450313623716</v>
      </c>
      <c r="O186" s="27" t="n">
        <f aca="false">MAX(0,NG-MAX(K186,GWL))</f>
        <v>0.8</v>
      </c>
      <c r="P186" s="27" t="n">
        <f aca="false">E186/2+WS+SLOPE_A*O186+SLOPE_B*N186</f>
        <v>8.43350940871148</v>
      </c>
      <c r="Q186" s="28" t="str">
        <f aca="false">IF(AND(P186&lt;J186,N186&lt;=MAXOC),"Open cut","Shoring")</f>
        <v>Shoring</v>
      </c>
      <c r="R186" s="27" t="n">
        <f aca="false">IF(Q186="Shoring",D186,0)</f>
        <v>1.42159355323172</v>
      </c>
      <c r="S186" s="27" t="n">
        <f aca="false">MAX(0,GWL-L186)</f>
        <v>2.55450313623716</v>
      </c>
      <c r="T186" s="27" t="n">
        <f aca="false">MAX(0,NG-MAX(L186,GWL))</f>
        <v>0.8</v>
      </c>
      <c r="U186" s="27" t="n">
        <f aca="false">E186+2*WS</f>
        <v>4.24900627247432</v>
      </c>
      <c r="V186" s="27" t="n">
        <f aca="false">IF(Q186="Shoring",D186*M186*U186,0)</f>
        <v>20.2624063110405</v>
      </c>
      <c r="W186" s="27" t="n">
        <f aca="false">IF(Q186="Open cut",D186*(U186*M186+SLOPE_B*S186^2+2*SLOPE_B*S186*T186+SLOPE_A*T186^2),0)</f>
        <v>0</v>
      </c>
      <c r="X186" s="27" t="n">
        <f aca="false">IF(M186&gt;0,D186*(E186+2*SLABOVH)*SLAB,0)</f>
        <v>2.30938318567945</v>
      </c>
      <c r="Y186" s="27" t="n">
        <f aca="false">IF(M186&gt;0,D186*PI()*E186^2/4,0)</f>
        <v>5.64737543055817</v>
      </c>
      <c r="Z186" s="27" t="n">
        <f aca="false">IF(H186-E186&gt;=GWL,99,E186*(MAX(0,GWL-H186)*(GAM_S-GAM_W)+MAX(0,NG-MAX(H186,GWL))*GAM_D)/(GAM_W*PI()*E186^2/4))</f>
        <v>0.628977120105266</v>
      </c>
      <c r="AA186" s="27" t="n">
        <f aca="false">IF(I186-E186&gt;=GWL,99,E186*(MAX(0,GWL-I186)*(GAM_S-GAM_W)+MAX(0,NG-MAX(I186,GWL))*GAM_D)/(GAM_W*PI()*E186^2/4))</f>
        <v>0.628977120105266</v>
      </c>
      <c r="AB186" s="27" t="n">
        <f aca="false">IF(H186-E186&gt;=GWL,99,E186*(MAX(0,GWL-H186)*(GAM_S-GAM_W)+MAX(0,FL-MAX(H186,GWL))*GAM_D)/(GAM_W*PI()*E186^2/4))</f>
        <v>2.39490055946722</v>
      </c>
      <c r="AC186" s="27" t="n">
        <f aca="false">IF(I186-E186&gt;=GWL,99,E186*(MAX(0,GWL-I186)*(GAM_S-GAM_W)+MAX(0,FL-MAX(I186,GWL))*GAM_D)/(GAM_W*PI()*E186^2/4))</f>
        <v>2.39490055946722</v>
      </c>
    </row>
    <row r="187" customFormat="false" ht="15" hidden="false" customHeight="false" outlineLevel="0" collapsed="false">
      <c r="A187" s="25" t="s">
        <v>642</v>
      </c>
      <c r="B187" s="25" t="s">
        <v>643</v>
      </c>
      <c r="C187" s="25" t="s">
        <v>649</v>
      </c>
      <c r="D187" s="26" t="n">
        <v>5.50961745415765</v>
      </c>
      <c r="E187" s="26" t="n">
        <v>2.24899607869994</v>
      </c>
      <c r="F187" s="26" t="n">
        <v>-4.05449803934997</v>
      </c>
      <c r="G187" s="26" t="n">
        <v>-4.05449803934997</v>
      </c>
      <c r="H187" s="26" t="n">
        <v>-1.30550196065003</v>
      </c>
      <c r="I187" s="26" t="n">
        <v>-1.30550196065003</v>
      </c>
      <c r="J187" s="26" t="n">
        <v>9.24</v>
      </c>
      <c r="K187" s="27" t="n">
        <f aca="false">MIN(F187,G187)</f>
        <v>-4.05449803934997</v>
      </c>
      <c r="L187" s="27" t="n">
        <f aca="false">AVERAGE(F187,G187)</f>
        <v>-4.05449803934997</v>
      </c>
      <c r="M187" s="27" t="n">
        <f aca="false">MAX(0,NG-L187)</f>
        <v>3.35449803934997</v>
      </c>
      <c r="N187" s="27" t="n">
        <f aca="false">MAX(0,GWL-K187)</f>
        <v>2.55449803934997</v>
      </c>
      <c r="O187" s="27" t="n">
        <f aca="false">MAX(0,NG-MAX(K187,GWL))</f>
        <v>0.8</v>
      </c>
      <c r="P187" s="27" t="n">
        <f aca="false">E187/2+WS+SLOPE_A*O187+SLOPE_B*N187</f>
        <v>8.43349411804991</v>
      </c>
      <c r="Q187" s="28" t="str">
        <f aca="false">IF(AND(P187&lt;J187,N187&lt;=MAXOC),"Open cut","Shoring")</f>
        <v>Shoring</v>
      </c>
      <c r="R187" s="27" t="n">
        <f aca="false">IF(Q187="Shoring",D187,0)</f>
        <v>5.50961745415765</v>
      </c>
      <c r="S187" s="27" t="n">
        <f aca="false">MAX(0,GWL-L187)</f>
        <v>2.55449803934997</v>
      </c>
      <c r="T187" s="27" t="n">
        <f aca="false">MAX(0,NG-MAX(L187,GWL))</f>
        <v>0.8</v>
      </c>
      <c r="U187" s="27" t="n">
        <f aca="false">E187+2*WS</f>
        <v>4.24899607869994</v>
      </c>
      <c r="V187" s="27" t="n">
        <f aca="false">IF(Q187="Shoring",D187*M187*U187,0)</f>
        <v>78.529949552627</v>
      </c>
      <c r="W187" s="27" t="n">
        <f aca="false">IF(Q187="Open cut",D187*(U187*M187+SLOPE_B*S187^2+2*SLOPE_B*S187*T187+SLOPE_A*T187^2),0)</f>
        <v>0</v>
      </c>
      <c r="X187" s="27" t="n">
        <f aca="false">IF(M187&gt;0,D187*(E187+2*SLABOVH)*SLAB,0)</f>
        <v>8.95036275184748</v>
      </c>
      <c r="Y187" s="27" t="n">
        <f aca="false">IF(M187&gt;0,D187*PI()*E187^2/4,0)</f>
        <v>21.887125269859</v>
      </c>
      <c r="Z187" s="27" t="n">
        <f aca="false">IF(H187-E187&gt;=GWL,99,E187*(MAX(0,GWL-H187)*(GAM_S-GAM_W)+MAX(0,NG-MAX(H187,GWL))*GAM_D)/(GAM_W*PI()*E187^2/4))</f>
        <v>0.628985265560692</v>
      </c>
      <c r="AA187" s="27" t="n">
        <f aca="false">IF(I187-E187&gt;=GWL,99,E187*(MAX(0,GWL-I187)*(GAM_S-GAM_W)+MAX(0,NG-MAX(I187,GWL))*GAM_D)/(GAM_W*PI()*E187^2/4))</f>
        <v>0.628985265560692</v>
      </c>
      <c r="AB187" s="27" t="n">
        <f aca="false">IF(H187-E187&gt;=GWL,99,E187*(MAX(0,GWL-H187)*(GAM_S-GAM_W)+MAX(0,FL-MAX(H187,GWL))*GAM_D)/(GAM_W*PI()*E187^2/4))</f>
        <v>2.3949167091274</v>
      </c>
      <c r="AC187" s="27" t="n">
        <f aca="false">IF(I187-E187&gt;=GWL,99,E187*(MAX(0,GWL-I187)*(GAM_S-GAM_W)+MAX(0,FL-MAX(I187,GWL))*GAM_D)/(GAM_W*PI()*E187^2/4))</f>
        <v>2.3949167091274</v>
      </c>
    </row>
    <row r="188" customFormat="false" ht="15" hidden="false" customHeight="false" outlineLevel="0" collapsed="false">
      <c r="A188" s="25" t="s">
        <v>642</v>
      </c>
      <c r="B188" s="25" t="s">
        <v>643</v>
      </c>
      <c r="C188" s="25" t="s">
        <v>650</v>
      </c>
      <c r="D188" s="26" t="n">
        <v>1.18460867254847</v>
      </c>
      <c r="E188" s="26" t="n">
        <v>2.24899607869994</v>
      </c>
      <c r="F188" s="26" t="n">
        <v>-4.05449803934997</v>
      </c>
      <c r="G188" s="26" t="n">
        <v>-4.05449803934997</v>
      </c>
      <c r="H188" s="26" t="n">
        <v>-1.30550196065003</v>
      </c>
      <c r="I188" s="26" t="n">
        <v>-1.30550196065003</v>
      </c>
      <c r="J188" s="26" t="n">
        <v>8.05</v>
      </c>
      <c r="K188" s="27" t="n">
        <f aca="false">MIN(F188,G188)</f>
        <v>-4.05449803934997</v>
      </c>
      <c r="L188" s="27" t="n">
        <f aca="false">AVERAGE(F188,G188)</f>
        <v>-4.05449803934997</v>
      </c>
      <c r="M188" s="27" t="n">
        <f aca="false">MAX(0,NG-L188)</f>
        <v>3.35449803934997</v>
      </c>
      <c r="N188" s="27" t="n">
        <f aca="false">MAX(0,GWL-K188)</f>
        <v>2.55449803934997</v>
      </c>
      <c r="O188" s="27" t="n">
        <f aca="false">MAX(0,NG-MAX(K188,GWL))</f>
        <v>0.8</v>
      </c>
      <c r="P188" s="27" t="n">
        <f aca="false">E188/2+WS+SLOPE_A*O188+SLOPE_B*N188</f>
        <v>8.43349411804991</v>
      </c>
      <c r="Q188" s="28" t="str">
        <f aca="false">IF(AND(P188&lt;J188,N188&lt;=MAXOC),"Open cut","Shoring")</f>
        <v>Shoring</v>
      </c>
      <c r="R188" s="27" t="n">
        <f aca="false">IF(Q188="Shoring",D188,0)</f>
        <v>1.18460867254847</v>
      </c>
      <c r="S188" s="27" t="n">
        <f aca="false">MAX(0,GWL-L188)</f>
        <v>2.55449803934997</v>
      </c>
      <c r="T188" s="27" t="n">
        <f aca="false">MAX(0,NG-MAX(L188,GWL))</f>
        <v>0.8</v>
      </c>
      <c r="U188" s="27" t="n">
        <f aca="false">E188+2*WS</f>
        <v>4.24899607869994</v>
      </c>
      <c r="V188" s="27" t="n">
        <f aca="false">IF(Q188="Shoring",D188*M188*U188,0)</f>
        <v>16.8845223954044</v>
      </c>
      <c r="W188" s="27" t="n">
        <f aca="false">IF(Q188="Open cut",D188*(U188*M188+SLOPE_B*S188^2+2*SLOPE_B*S188*T188+SLOPE_A*T188^2),0)</f>
        <v>0</v>
      </c>
      <c r="X188" s="27" t="n">
        <f aca="false">IF(M188&gt;0,D188*(E188+2*SLABOVH)*SLAB,0)</f>
        <v>1.92439446595196</v>
      </c>
      <c r="Y188" s="27" t="n">
        <f aca="false">IF(M188&gt;0,D188*PI()*E188^2/4,0)</f>
        <v>4.70589448860269</v>
      </c>
      <c r="Z188" s="27" t="n">
        <f aca="false">IF(H188-E188&gt;=GWL,99,E188*(MAX(0,GWL-H188)*(GAM_S-GAM_W)+MAX(0,NG-MAX(H188,GWL))*GAM_D)/(GAM_W*PI()*E188^2/4))</f>
        <v>0.628985265560692</v>
      </c>
      <c r="AA188" s="27" t="n">
        <f aca="false">IF(I188-E188&gt;=GWL,99,E188*(MAX(0,GWL-I188)*(GAM_S-GAM_W)+MAX(0,NG-MAX(I188,GWL))*GAM_D)/(GAM_W*PI()*E188^2/4))</f>
        <v>0.628985265560692</v>
      </c>
      <c r="AB188" s="27" t="n">
        <f aca="false">IF(H188-E188&gt;=GWL,99,E188*(MAX(0,GWL-H188)*(GAM_S-GAM_W)+MAX(0,FL-MAX(H188,GWL))*GAM_D)/(GAM_W*PI()*E188^2/4))</f>
        <v>2.3949167091274</v>
      </c>
      <c r="AC188" s="27" t="n">
        <f aca="false">IF(I188-E188&gt;=GWL,99,E188*(MAX(0,GWL-I188)*(GAM_S-GAM_W)+MAX(0,FL-MAX(I188,GWL))*GAM_D)/(GAM_W*PI()*E188^2/4))</f>
        <v>2.3949167091274</v>
      </c>
    </row>
    <row r="189" customFormat="false" ht="15" hidden="false" customHeight="false" outlineLevel="0" collapsed="false">
      <c r="A189" s="25" t="s">
        <v>642</v>
      </c>
      <c r="B189" s="25" t="s">
        <v>651</v>
      </c>
      <c r="C189" s="25" t="s">
        <v>652</v>
      </c>
      <c r="D189" s="26" t="n">
        <v>8.81539132654636</v>
      </c>
      <c r="E189" s="26" t="n">
        <v>2.24899607836451</v>
      </c>
      <c r="F189" s="26" t="n">
        <v>-4.05449803918226</v>
      </c>
      <c r="G189" s="26" t="n">
        <v>-4.05449803918226</v>
      </c>
      <c r="H189" s="26" t="n">
        <v>-1.30550196081775</v>
      </c>
      <c r="I189" s="26" t="n">
        <v>-1.30550196081775</v>
      </c>
      <c r="J189" s="26" t="n">
        <v>0</v>
      </c>
      <c r="K189" s="27" t="n">
        <f aca="false">MIN(F189,G189)</f>
        <v>-4.05449803918226</v>
      </c>
      <c r="L189" s="27" t="n">
        <f aca="false">AVERAGE(F189,G189)</f>
        <v>-4.05449803918226</v>
      </c>
      <c r="M189" s="27" t="n">
        <f aca="false">MAX(0,NG-L189)</f>
        <v>3.35449803918226</v>
      </c>
      <c r="N189" s="27" t="n">
        <f aca="false">MAX(0,GWL-K189)</f>
        <v>2.55449803918226</v>
      </c>
      <c r="O189" s="27" t="n">
        <f aca="false">MAX(0,NG-MAX(K189,GWL))</f>
        <v>0.8</v>
      </c>
      <c r="P189" s="27" t="n">
        <f aca="false">E189/2+WS+SLOPE_A*O189+SLOPE_B*N189</f>
        <v>8.43349411754677</v>
      </c>
      <c r="Q189" s="28" t="str">
        <f aca="false">IF(AND(P189&lt;J189,N189&lt;=MAXOC),"Open cut","Shoring")</f>
        <v>Shoring</v>
      </c>
      <c r="R189" s="27" t="n">
        <f aca="false">IF(Q189="Shoring",D189,0)</f>
        <v>8.81539132654636</v>
      </c>
      <c r="S189" s="27" t="n">
        <f aca="false">MAX(0,GWL-L189)</f>
        <v>2.55449803918226</v>
      </c>
      <c r="T189" s="27" t="n">
        <f aca="false">MAX(0,NG-MAX(L189,GWL))</f>
        <v>0.8</v>
      </c>
      <c r="U189" s="27" t="n">
        <f aca="false">E189+2*WS</f>
        <v>4.24899607836451</v>
      </c>
      <c r="V189" s="27" t="n">
        <f aca="false">IF(Q189="Shoring",D189*M189*U189,0)</f>
        <v>125.64796772754</v>
      </c>
      <c r="W189" s="27" t="n">
        <f aca="false">IF(Q189="Open cut",D189*(U189*M189+SLOPE_B*S189^2+2*SLOPE_B*S189*T189+SLOPE_A*T189^2),0)</f>
        <v>0</v>
      </c>
      <c r="X189" s="27" t="n">
        <f aca="false">IF(M189&gt;0,D189*(E189+2*SLABOVH)*SLAB,0)</f>
        <v>14.3205859245988</v>
      </c>
      <c r="Y189" s="27" t="n">
        <f aca="false">IF(M189&gt;0,D189*PI()*E189^2/4,0)</f>
        <v>35.0194139275125</v>
      </c>
      <c r="Z189" s="27" t="n">
        <f aca="false">IF(H189-E189&gt;=GWL,99,E189*(MAX(0,GWL-H189)*(GAM_S-GAM_W)+MAX(0,NG-MAX(H189,GWL))*GAM_D)/(GAM_W*PI()*E189^2/4))</f>
        <v>0.628985265828724</v>
      </c>
      <c r="AA189" s="27" t="n">
        <f aca="false">IF(I189-E189&gt;=GWL,99,E189*(MAX(0,GWL-I189)*(GAM_S-GAM_W)+MAX(0,NG-MAX(I189,GWL))*GAM_D)/(GAM_W*PI()*E189^2/4))</f>
        <v>0.628985265828724</v>
      </c>
      <c r="AB189" s="27" t="n">
        <f aca="false">IF(H189-E189&gt;=GWL,99,E189*(MAX(0,GWL-H189)*(GAM_S-GAM_W)+MAX(0,FL-MAX(H189,GWL))*GAM_D)/(GAM_W*PI()*E189^2/4))</f>
        <v>2.39491670965882</v>
      </c>
      <c r="AC189" s="27" t="n">
        <f aca="false">IF(I189-E189&gt;=GWL,99,E189*(MAX(0,GWL-I189)*(GAM_S-GAM_W)+MAX(0,FL-MAX(I189,GWL))*GAM_D)/(GAM_W*PI()*E189^2/4))</f>
        <v>2.39491670965882</v>
      </c>
    </row>
    <row r="190" customFormat="false" ht="15" hidden="false" customHeight="false" outlineLevel="0" collapsed="false">
      <c r="A190" s="25" t="s">
        <v>642</v>
      </c>
      <c r="B190" s="25" t="s">
        <v>651</v>
      </c>
      <c r="C190" s="25" t="s">
        <v>653</v>
      </c>
      <c r="D190" s="26" t="n">
        <v>10.0000000003433</v>
      </c>
      <c r="E190" s="26" t="n">
        <v>2.24899607836451</v>
      </c>
      <c r="F190" s="26" t="n">
        <v>-4.05449803918226</v>
      </c>
      <c r="G190" s="26" t="n">
        <v>-4.05449803918226</v>
      </c>
      <c r="H190" s="26" t="n">
        <v>-1.30550196081775</v>
      </c>
      <c r="I190" s="26" t="n">
        <v>-1.30550196081775</v>
      </c>
      <c r="J190" s="26" t="n">
        <v>0</v>
      </c>
      <c r="K190" s="27" t="n">
        <f aca="false">MIN(F190,G190)</f>
        <v>-4.05449803918226</v>
      </c>
      <c r="L190" s="27" t="n">
        <f aca="false">AVERAGE(F190,G190)</f>
        <v>-4.05449803918226</v>
      </c>
      <c r="M190" s="27" t="n">
        <f aca="false">MAX(0,NG-L190)</f>
        <v>3.35449803918226</v>
      </c>
      <c r="N190" s="27" t="n">
        <f aca="false">MAX(0,GWL-K190)</f>
        <v>2.55449803918226</v>
      </c>
      <c r="O190" s="27" t="n">
        <f aca="false">MAX(0,NG-MAX(K190,GWL))</f>
        <v>0.8</v>
      </c>
      <c r="P190" s="27" t="n">
        <f aca="false">E190/2+WS+SLOPE_A*O190+SLOPE_B*N190</f>
        <v>8.43349411754677</v>
      </c>
      <c r="Q190" s="28" t="str">
        <f aca="false">IF(AND(P190&lt;J190,N190&lt;=MAXOC),"Open cut","Shoring")</f>
        <v>Shoring</v>
      </c>
      <c r="R190" s="27" t="n">
        <f aca="false">IF(Q190="Shoring",D190,0)</f>
        <v>10.0000000003433</v>
      </c>
      <c r="S190" s="27" t="n">
        <f aca="false">MAX(0,GWL-L190)</f>
        <v>2.55449803918226</v>
      </c>
      <c r="T190" s="27" t="n">
        <f aca="false">MAX(0,NG-MAX(L190,GWL))</f>
        <v>0.8</v>
      </c>
      <c r="U190" s="27" t="n">
        <f aca="false">E190+2*WS</f>
        <v>4.24899607836451</v>
      </c>
      <c r="V190" s="27" t="n">
        <f aca="false">IF(Q190="Shoring",D190*M190*U190,0)</f>
        <v>142.532490138562</v>
      </c>
      <c r="W190" s="27" t="n">
        <f aca="false">IF(Q190="Open cut",D190*(U190*M190+SLOPE_B*S190^2+2*SLOPE_B*S190*T190+SLOPE_A*T190^2),0)</f>
        <v>0</v>
      </c>
      <c r="X190" s="27" t="n">
        <f aca="false">IF(M190&gt;0,D190*(E190+2*SLABOVH)*SLAB,0)</f>
        <v>16.2449803923803</v>
      </c>
      <c r="Y190" s="27" t="n">
        <f aca="false">IF(M190&gt;0,D190*PI()*E190^2/4,0)</f>
        <v>39.7253084196711</v>
      </c>
      <c r="Z190" s="27" t="n">
        <f aca="false">IF(H190-E190&gt;=GWL,99,E190*(MAX(0,GWL-H190)*(GAM_S-GAM_W)+MAX(0,NG-MAX(H190,GWL))*GAM_D)/(GAM_W*PI()*E190^2/4))</f>
        <v>0.628985265828724</v>
      </c>
      <c r="AA190" s="27" t="n">
        <f aca="false">IF(I190-E190&gt;=GWL,99,E190*(MAX(0,GWL-I190)*(GAM_S-GAM_W)+MAX(0,NG-MAX(I190,GWL))*GAM_D)/(GAM_W*PI()*E190^2/4))</f>
        <v>0.628985265828724</v>
      </c>
      <c r="AB190" s="27" t="n">
        <f aca="false">IF(H190-E190&gt;=GWL,99,E190*(MAX(0,GWL-H190)*(GAM_S-GAM_W)+MAX(0,FL-MAX(H190,GWL))*GAM_D)/(GAM_W*PI()*E190^2/4))</f>
        <v>2.39491670965882</v>
      </c>
      <c r="AC190" s="27" t="n">
        <f aca="false">IF(I190-E190&gt;=GWL,99,E190*(MAX(0,GWL-I190)*(GAM_S-GAM_W)+MAX(0,FL-MAX(I190,GWL))*GAM_D)/(GAM_W*PI()*E190^2/4))</f>
        <v>2.39491670965882</v>
      </c>
    </row>
    <row r="191" customFormat="false" ht="15" hidden="false" customHeight="false" outlineLevel="0" collapsed="false">
      <c r="A191" s="25" t="s">
        <v>642</v>
      </c>
      <c r="B191" s="25" t="s">
        <v>651</v>
      </c>
      <c r="C191" s="25" t="s">
        <v>654</v>
      </c>
      <c r="D191" s="26" t="n">
        <v>9.1000000000615</v>
      </c>
      <c r="E191" s="26" t="n">
        <v>2.24899607836451</v>
      </c>
      <c r="F191" s="26" t="n">
        <v>-4.05449803918226</v>
      </c>
      <c r="G191" s="26" t="n">
        <v>-4.05449803918226</v>
      </c>
      <c r="H191" s="26" t="n">
        <v>-1.30550196081775</v>
      </c>
      <c r="I191" s="26" t="n">
        <v>-1.30550196081775</v>
      </c>
      <c r="J191" s="26" t="n">
        <v>6.87</v>
      </c>
      <c r="K191" s="27" t="n">
        <f aca="false">MIN(F191,G191)</f>
        <v>-4.05449803918226</v>
      </c>
      <c r="L191" s="27" t="n">
        <f aca="false">AVERAGE(F191,G191)</f>
        <v>-4.05449803918226</v>
      </c>
      <c r="M191" s="27" t="n">
        <f aca="false">MAX(0,NG-L191)</f>
        <v>3.35449803918226</v>
      </c>
      <c r="N191" s="27" t="n">
        <f aca="false">MAX(0,GWL-K191)</f>
        <v>2.55449803918226</v>
      </c>
      <c r="O191" s="27" t="n">
        <f aca="false">MAX(0,NG-MAX(K191,GWL))</f>
        <v>0.8</v>
      </c>
      <c r="P191" s="27" t="n">
        <f aca="false">E191/2+WS+SLOPE_A*O191+SLOPE_B*N191</f>
        <v>8.43349411754677</v>
      </c>
      <c r="Q191" s="28" t="str">
        <f aca="false">IF(AND(P191&lt;J191,N191&lt;=MAXOC),"Open cut","Shoring")</f>
        <v>Shoring</v>
      </c>
      <c r="R191" s="27" t="n">
        <f aca="false">IF(Q191="Shoring",D191,0)</f>
        <v>9.1000000000615</v>
      </c>
      <c r="S191" s="27" t="n">
        <f aca="false">MAX(0,GWL-L191)</f>
        <v>2.55449803918226</v>
      </c>
      <c r="T191" s="27" t="n">
        <f aca="false">MAX(0,NG-MAX(L191,GWL))</f>
        <v>0.8</v>
      </c>
      <c r="U191" s="27" t="n">
        <f aca="false">E191+2*WS</f>
        <v>4.24899607836451</v>
      </c>
      <c r="V191" s="27" t="n">
        <f aca="false">IF(Q191="Shoring",D191*M191*U191,0)</f>
        <v>129.704566022515</v>
      </c>
      <c r="W191" s="27" t="n">
        <f aca="false">IF(Q191="Open cut",D191*(U191*M191+SLOPE_B*S191^2+2*SLOPE_B*S191*T191+SLOPE_A*T191^2),0)</f>
        <v>0</v>
      </c>
      <c r="X191" s="27" t="n">
        <f aca="false">IF(M191&gt;0,D191*(E191+2*SLABOVH)*SLAB,0)</f>
        <v>14.7829321566584</v>
      </c>
      <c r="Y191" s="27" t="n">
        <f aca="false">IF(M191&gt;0,D191*PI()*E191^2/4,0)</f>
        <v>36.150030660904</v>
      </c>
      <c r="Z191" s="27" t="n">
        <f aca="false">IF(H191-E191&gt;=GWL,99,E191*(MAX(0,GWL-H191)*(GAM_S-GAM_W)+MAX(0,NG-MAX(H191,GWL))*GAM_D)/(GAM_W*PI()*E191^2/4))</f>
        <v>0.628985265828724</v>
      </c>
      <c r="AA191" s="27" t="n">
        <f aca="false">IF(I191-E191&gt;=GWL,99,E191*(MAX(0,GWL-I191)*(GAM_S-GAM_W)+MAX(0,NG-MAX(I191,GWL))*GAM_D)/(GAM_W*PI()*E191^2/4))</f>
        <v>0.628985265828724</v>
      </c>
      <c r="AB191" s="27" t="n">
        <f aca="false">IF(H191-E191&gt;=GWL,99,E191*(MAX(0,GWL-H191)*(GAM_S-GAM_W)+MAX(0,FL-MAX(H191,GWL))*GAM_D)/(GAM_W*PI()*E191^2/4))</f>
        <v>2.39491670965882</v>
      </c>
      <c r="AC191" s="27" t="n">
        <f aca="false">IF(I191-E191&gt;=GWL,99,E191*(MAX(0,GWL-I191)*(GAM_S-GAM_W)+MAX(0,FL-MAX(I191,GWL))*GAM_D)/(GAM_W*PI()*E191^2/4))</f>
        <v>2.39491670965882</v>
      </c>
    </row>
    <row r="192" customFormat="false" ht="15" hidden="false" customHeight="false" outlineLevel="0" collapsed="false">
      <c r="A192" s="25" t="s">
        <v>642</v>
      </c>
      <c r="B192" s="25" t="s">
        <v>655</v>
      </c>
      <c r="C192" s="25" t="s">
        <v>656</v>
      </c>
      <c r="D192" s="26" t="n">
        <v>0.899999999937564</v>
      </c>
      <c r="E192" s="26" t="n">
        <v>2.24899607836451</v>
      </c>
      <c r="F192" s="26" t="n">
        <v>-4.05449803918226</v>
      </c>
      <c r="G192" s="26" t="n">
        <v>-4.05449803918226</v>
      </c>
      <c r="H192" s="26" t="n">
        <v>-1.30550196081775</v>
      </c>
      <c r="I192" s="26" t="n">
        <v>-1.30550196081775</v>
      </c>
      <c r="J192" s="26" t="n">
        <v>15</v>
      </c>
      <c r="K192" s="27" t="n">
        <f aca="false">MIN(F192,G192)</f>
        <v>-4.05449803918226</v>
      </c>
      <c r="L192" s="27" t="n">
        <f aca="false">AVERAGE(F192,G192)</f>
        <v>-4.05449803918226</v>
      </c>
      <c r="M192" s="27" t="n">
        <f aca="false">MAX(0,NG-L192)</f>
        <v>3.35449803918226</v>
      </c>
      <c r="N192" s="27" t="n">
        <f aca="false">MAX(0,GWL-K192)</f>
        <v>2.55449803918226</v>
      </c>
      <c r="O192" s="27" t="n">
        <f aca="false">MAX(0,NG-MAX(K192,GWL))</f>
        <v>0.8</v>
      </c>
      <c r="P192" s="27" t="n">
        <f aca="false">E192/2+WS+SLOPE_A*O192+SLOPE_B*N192</f>
        <v>8.43349411754677</v>
      </c>
      <c r="Q192" s="28" t="str">
        <f aca="false">IF(AND(P192&lt;J192,N192&lt;=MAXOC),"Open cut","Shoring")</f>
        <v>Shoring</v>
      </c>
      <c r="R192" s="27" t="n">
        <f aca="false">IF(Q192="Shoring",D192,0)</f>
        <v>0.899999999937564</v>
      </c>
      <c r="S192" s="27" t="n">
        <f aca="false">MAX(0,GWL-L192)</f>
        <v>2.55449803918226</v>
      </c>
      <c r="T192" s="27" t="n">
        <f aca="false">MAX(0,NG-MAX(L192,GWL))</f>
        <v>0.8</v>
      </c>
      <c r="U192" s="27" t="n">
        <f aca="false">E192+2*WS</f>
        <v>4.24899607836451</v>
      </c>
      <c r="V192" s="27" t="n">
        <f aca="false">IF(Q192="Shoring",D192*M192*U192,0)</f>
        <v>12.8279241111402</v>
      </c>
      <c r="W192" s="27" t="n">
        <f aca="false">IF(Q192="Open cut",D192*(U192*M192+SLOPE_B*S192^2+2*SLOPE_B*S192*T192+SLOPE_A*T192^2),0)</f>
        <v>0</v>
      </c>
      <c r="X192" s="27" t="n">
        <f aca="false">IF(M192&gt;0,D192*(E192+2*SLABOVH)*SLAB,0)</f>
        <v>1.4620482351626</v>
      </c>
      <c r="Y192" s="27" t="n">
        <f aca="false">IF(M192&gt;0,D192*PI()*E192^2/4,0)</f>
        <v>3.57527775739963</v>
      </c>
      <c r="Z192" s="27" t="n">
        <f aca="false">IF(H192-E192&gt;=GWL,99,E192*(MAX(0,GWL-H192)*(GAM_S-GAM_W)+MAX(0,NG-MAX(H192,GWL))*GAM_D)/(GAM_W*PI()*E192^2/4))</f>
        <v>0.628985265828724</v>
      </c>
      <c r="AA192" s="27" t="n">
        <f aca="false">IF(I192-E192&gt;=GWL,99,E192*(MAX(0,GWL-I192)*(GAM_S-GAM_W)+MAX(0,NG-MAX(I192,GWL))*GAM_D)/(GAM_W*PI()*E192^2/4))</f>
        <v>0.628985265828724</v>
      </c>
      <c r="AB192" s="27" t="n">
        <f aca="false">IF(H192-E192&gt;=GWL,99,E192*(MAX(0,GWL-H192)*(GAM_S-GAM_W)+MAX(0,FL-MAX(H192,GWL))*GAM_D)/(GAM_W*PI()*E192^2/4))</f>
        <v>2.39491670965882</v>
      </c>
      <c r="AC192" s="27" t="n">
        <f aca="false">IF(I192-E192&gt;=GWL,99,E192*(MAX(0,GWL-I192)*(GAM_S-GAM_W)+MAX(0,FL-MAX(I192,GWL))*GAM_D)/(GAM_W*PI()*E192^2/4))</f>
        <v>2.39491670965882</v>
      </c>
    </row>
    <row r="193" customFormat="false" ht="15" hidden="false" customHeight="false" outlineLevel="0" collapsed="false">
      <c r="A193" s="25" t="s">
        <v>642</v>
      </c>
      <c r="B193" s="25" t="s">
        <v>655</v>
      </c>
      <c r="C193" s="25" t="s">
        <v>657</v>
      </c>
      <c r="D193" s="26" t="n">
        <v>0.34586867348188</v>
      </c>
      <c r="E193" s="26" t="n">
        <v>2.24899607836451</v>
      </c>
      <c r="F193" s="26" t="n">
        <v>-4.05449803918226</v>
      </c>
      <c r="G193" s="26" t="n">
        <v>-4.05449803918226</v>
      </c>
      <c r="H193" s="26" t="n">
        <v>-1.30550196081775</v>
      </c>
      <c r="I193" s="26" t="n">
        <v>-1.30550196081775</v>
      </c>
      <c r="J193" s="26" t="n">
        <v>15.86</v>
      </c>
      <c r="K193" s="27" t="n">
        <f aca="false">MIN(F193,G193)</f>
        <v>-4.05449803918226</v>
      </c>
      <c r="L193" s="27" t="n">
        <f aca="false">AVERAGE(F193,G193)</f>
        <v>-4.05449803918226</v>
      </c>
      <c r="M193" s="27" t="n">
        <f aca="false">MAX(0,NG-L193)</f>
        <v>3.35449803918226</v>
      </c>
      <c r="N193" s="27" t="n">
        <f aca="false">MAX(0,GWL-K193)</f>
        <v>2.55449803918226</v>
      </c>
      <c r="O193" s="27" t="n">
        <f aca="false">MAX(0,NG-MAX(K193,GWL))</f>
        <v>0.8</v>
      </c>
      <c r="P193" s="27" t="n">
        <f aca="false">E193/2+WS+SLOPE_A*O193+SLOPE_B*N193</f>
        <v>8.43349411754677</v>
      </c>
      <c r="Q193" s="28" t="str">
        <f aca="false">IF(AND(P193&lt;J193,N193&lt;=MAXOC),"Open cut","Shoring")</f>
        <v>Shoring</v>
      </c>
      <c r="R193" s="27" t="n">
        <f aca="false">IF(Q193="Shoring",D193,0)</f>
        <v>0.34586867348188</v>
      </c>
      <c r="S193" s="27" t="n">
        <f aca="false">MAX(0,GWL-L193)</f>
        <v>2.55449803918226</v>
      </c>
      <c r="T193" s="27" t="n">
        <f aca="false">MAX(0,NG-MAX(L193,GWL))</f>
        <v>0.8</v>
      </c>
      <c r="U193" s="27" t="n">
        <f aca="false">E193+2*WS</f>
        <v>4.24899607836451</v>
      </c>
      <c r="V193" s="27" t="n">
        <f aca="false">IF(Q193="Shoring",D193*M193*U193,0)</f>
        <v>4.92975232906011</v>
      </c>
      <c r="W193" s="27" t="n">
        <f aca="false">IF(Q193="Open cut",D193*(U193*M193+SLOPE_B*S193^2+2*SLOPE_B*S193*T193+SLOPE_A*T193^2),0)</f>
        <v>0</v>
      </c>
      <c r="X193" s="27" t="n">
        <f aca="false">IF(M193&gt;0,D193*(E193+2*SLABOVH)*SLAB,0)</f>
        <v>0.561862981885882</v>
      </c>
      <c r="Y193" s="27" t="n">
        <f aca="false">IF(M193&gt;0,D193*PI()*E193^2/4,0)</f>
        <v>1.37397397262985</v>
      </c>
      <c r="Z193" s="27" t="n">
        <f aca="false">IF(H193-E193&gt;=GWL,99,E193*(MAX(0,GWL-H193)*(GAM_S-GAM_W)+MAX(0,NG-MAX(H193,GWL))*GAM_D)/(GAM_W*PI()*E193^2/4))</f>
        <v>0.628985265828724</v>
      </c>
      <c r="AA193" s="27" t="n">
        <f aca="false">IF(I193-E193&gt;=GWL,99,E193*(MAX(0,GWL-I193)*(GAM_S-GAM_W)+MAX(0,NG-MAX(I193,GWL))*GAM_D)/(GAM_W*PI()*E193^2/4))</f>
        <v>0.628985265828724</v>
      </c>
      <c r="AB193" s="27" t="n">
        <f aca="false">IF(H193-E193&gt;=GWL,99,E193*(MAX(0,GWL-H193)*(GAM_S-GAM_W)+MAX(0,FL-MAX(H193,GWL))*GAM_D)/(GAM_W*PI()*E193^2/4))</f>
        <v>2.39491670965882</v>
      </c>
      <c r="AC193" s="27" t="n">
        <f aca="false">IF(I193-E193&gt;=GWL,99,E193*(MAX(0,GWL-I193)*(GAM_S-GAM_W)+MAX(0,FL-MAX(I193,GWL))*GAM_D)/(GAM_W*PI()*E193^2/4))</f>
        <v>2.39491670965882</v>
      </c>
    </row>
    <row r="194" customFormat="false" ht="15" hidden="false" customHeight="false" outlineLevel="0" collapsed="false">
      <c r="A194" s="25" t="s">
        <v>642</v>
      </c>
      <c r="B194" s="25" t="s">
        <v>655</v>
      </c>
      <c r="C194" s="25" t="s">
        <v>658</v>
      </c>
      <c r="D194" s="26" t="n">
        <v>3.39999513504505</v>
      </c>
      <c r="E194" s="26" t="n">
        <v>2.24899607836451</v>
      </c>
      <c r="F194" s="26" t="n">
        <v>-4.05449803918226</v>
      </c>
      <c r="G194" s="26" t="n">
        <v>-4.05449803918226</v>
      </c>
      <c r="H194" s="26" t="n">
        <v>-1.30550196081775</v>
      </c>
      <c r="I194" s="26" t="n">
        <v>-1.30550196081775</v>
      </c>
      <c r="J194" s="26" t="n">
        <v>16.19</v>
      </c>
      <c r="K194" s="27" t="n">
        <f aca="false">MIN(F194,G194)</f>
        <v>-4.05449803918226</v>
      </c>
      <c r="L194" s="27" t="n">
        <f aca="false">AVERAGE(F194,G194)</f>
        <v>-4.05449803918226</v>
      </c>
      <c r="M194" s="27" t="n">
        <f aca="false">MAX(0,NG-L194)</f>
        <v>3.35449803918226</v>
      </c>
      <c r="N194" s="27" t="n">
        <f aca="false">MAX(0,GWL-K194)</f>
        <v>2.55449803918226</v>
      </c>
      <c r="O194" s="27" t="n">
        <f aca="false">MAX(0,NG-MAX(K194,GWL))</f>
        <v>0.8</v>
      </c>
      <c r="P194" s="27" t="n">
        <f aca="false">E194/2+WS+SLOPE_A*O194+SLOPE_B*N194</f>
        <v>8.43349411754677</v>
      </c>
      <c r="Q194" s="28" t="str">
        <f aca="false">IF(AND(P194&lt;J194,N194&lt;=MAXOC),"Open cut","Shoring")</f>
        <v>Shoring</v>
      </c>
      <c r="R194" s="27" t="n">
        <f aca="false">IF(Q194="Shoring",D194,0)</f>
        <v>3.39999513504505</v>
      </c>
      <c r="S194" s="27" t="n">
        <f aca="false">MAX(0,GWL-L194)</f>
        <v>2.55449803918226</v>
      </c>
      <c r="T194" s="27" t="n">
        <f aca="false">MAX(0,NG-MAX(L194,GWL))</f>
        <v>0.8</v>
      </c>
      <c r="U194" s="27" t="n">
        <f aca="false">E194+2*WS</f>
        <v>4.24899607836451</v>
      </c>
      <c r="V194" s="27" t="n">
        <f aca="false">IF(Q194="Shoring",D194*M194*U194,0)</f>
        <v>48.460977304033</v>
      </c>
      <c r="W194" s="27" t="n">
        <f aca="false">IF(Q194="Open cut",D194*(U194*M194+SLOPE_B*S194^2+2*SLOPE_B*S194*T194+SLOPE_A*T194^2),0)</f>
        <v>0</v>
      </c>
      <c r="X194" s="27" t="n">
        <f aca="false">IF(M194&gt;0,D194*(E194+2*SLABOVH)*SLAB,0)</f>
        <v>5.5232854301099</v>
      </c>
      <c r="Y194" s="27" t="n">
        <f aca="false">IF(M194&gt;0,D194*PI()*E194^2/4,0)</f>
        <v>13.5065855360409</v>
      </c>
      <c r="Z194" s="27" t="n">
        <f aca="false">IF(H194-E194&gt;=GWL,99,E194*(MAX(0,GWL-H194)*(GAM_S-GAM_W)+MAX(0,NG-MAX(H194,GWL))*GAM_D)/(GAM_W*PI()*E194^2/4))</f>
        <v>0.628985265828724</v>
      </c>
      <c r="AA194" s="27" t="n">
        <f aca="false">IF(I194-E194&gt;=GWL,99,E194*(MAX(0,GWL-I194)*(GAM_S-GAM_W)+MAX(0,NG-MAX(I194,GWL))*GAM_D)/(GAM_W*PI()*E194^2/4))</f>
        <v>0.628985265828724</v>
      </c>
      <c r="AB194" s="27" t="n">
        <f aca="false">IF(H194-E194&gt;=GWL,99,E194*(MAX(0,GWL-H194)*(GAM_S-GAM_W)+MAX(0,FL-MAX(H194,GWL))*GAM_D)/(GAM_W*PI()*E194^2/4))</f>
        <v>2.39491670965882</v>
      </c>
      <c r="AC194" s="27" t="n">
        <f aca="false">IF(I194-E194&gt;=GWL,99,E194*(MAX(0,GWL-I194)*(GAM_S-GAM_W)+MAX(0,FL-MAX(I194,GWL))*GAM_D)/(GAM_W*PI()*E194^2/4))</f>
        <v>2.39491670965882</v>
      </c>
    </row>
    <row r="195" customFormat="false" ht="15" hidden="false" customHeight="false" outlineLevel="0" collapsed="false">
      <c r="A195" s="25" t="s">
        <v>642</v>
      </c>
      <c r="B195" s="25" t="s">
        <v>655</v>
      </c>
      <c r="C195" s="25" t="s">
        <v>659</v>
      </c>
      <c r="D195" s="26" t="n">
        <v>3.39982000037615</v>
      </c>
      <c r="E195" s="26" t="n">
        <v>2.24899607839835</v>
      </c>
      <c r="F195" s="26" t="n">
        <v>-4.05449803919917</v>
      </c>
      <c r="G195" s="26" t="n">
        <v>-4.05449803919917</v>
      </c>
      <c r="H195" s="26" t="n">
        <v>-1.30550196080083</v>
      </c>
      <c r="I195" s="26" t="n">
        <v>-1.30550196080083</v>
      </c>
      <c r="J195" s="26" t="n">
        <v>19.48</v>
      </c>
      <c r="K195" s="27" t="n">
        <f aca="false">MIN(F195,G195)</f>
        <v>-4.05449803919917</v>
      </c>
      <c r="L195" s="27" t="n">
        <f aca="false">AVERAGE(F195,G195)</f>
        <v>-4.05449803919917</v>
      </c>
      <c r="M195" s="27" t="n">
        <f aca="false">MAX(0,NG-L195)</f>
        <v>3.35449803919917</v>
      </c>
      <c r="N195" s="27" t="n">
        <f aca="false">MAX(0,GWL-K195)</f>
        <v>2.55449803919917</v>
      </c>
      <c r="O195" s="27" t="n">
        <f aca="false">MAX(0,NG-MAX(K195,GWL))</f>
        <v>0.8</v>
      </c>
      <c r="P195" s="27" t="n">
        <f aca="false">E195/2+WS+SLOPE_A*O195+SLOPE_B*N195</f>
        <v>8.43349411759752</v>
      </c>
      <c r="Q195" s="28" t="str">
        <f aca="false">IF(AND(P195&lt;J195,N195&lt;=MAXOC),"Open cut","Shoring")</f>
        <v>Shoring</v>
      </c>
      <c r="R195" s="27" t="n">
        <f aca="false">IF(Q195="Shoring",D195,0)</f>
        <v>3.39982000037615</v>
      </c>
      <c r="S195" s="27" t="n">
        <f aca="false">MAX(0,GWL-L195)</f>
        <v>2.55449803919917</v>
      </c>
      <c r="T195" s="27" t="n">
        <f aca="false">MAX(0,NG-MAX(L195,GWL))</f>
        <v>0.8</v>
      </c>
      <c r="U195" s="27" t="n">
        <f aca="false">E195+2*WS</f>
        <v>4.24899607839835</v>
      </c>
      <c r="V195" s="27" t="n">
        <f aca="false">IF(Q195="Shoring",D195*M195*U195,0)</f>
        <v>48.4584810666165</v>
      </c>
      <c r="W195" s="27" t="n">
        <f aca="false">IF(Q195="Open cut",D195*(U195*M195+SLOPE_B*S195^2+2*SLOPE_B*S195*T195+SLOPE_A*T195^2),0)</f>
        <v>0</v>
      </c>
      <c r="X195" s="27" t="n">
        <f aca="false">IF(M195&gt;0,D195*(E195+2*SLABOVH)*SLAB,0)</f>
        <v>5.52300092424119</v>
      </c>
      <c r="Y195" s="27" t="n">
        <f aca="false">IF(M195&gt;0,D195*PI()*E195^2/4,0)</f>
        <v>13.5058898085736</v>
      </c>
      <c r="Z195" s="27" t="n">
        <f aca="false">IF(H195-E195&gt;=GWL,99,E195*(MAX(0,GWL-H195)*(GAM_S-GAM_W)+MAX(0,NG-MAX(H195,GWL))*GAM_D)/(GAM_W*PI()*E195^2/4))</f>
        <v>0.628985265801686</v>
      </c>
      <c r="AA195" s="27" t="n">
        <f aca="false">IF(I195-E195&gt;=GWL,99,E195*(MAX(0,GWL-I195)*(GAM_S-GAM_W)+MAX(0,NG-MAX(I195,GWL))*GAM_D)/(GAM_W*PI()*E195^2/4))</f>
        <v>0.628985265801686</v>
      </c>
      <c r="AB195" s="27" t="n">
        <f aca="false">IF(H195-E195&gt;=GWL,99,E195*(MAX(0,GWL-H195)*(GAM_S-GAM_W)+MAX(0,FL-MAX(H195,GWL))*GAM_D)/(GAM_W*PI()*E195^2/4))</f>
        <v>2.39491670960521</v>
      </c>
      <c r="AC195" s="27" t="n">
        <f aca="false">IF(I195-E195&gt;=GWL,99,E195*(MAX(0,GWL-I195)*(GAM_S-GAM_W)+MAX(0,FL-MAX(I195,GWL))*GAM_D)/(GAM_W*PI()*E195^2/4))</f>
        <v>2.39491670960521</v>
      </c>
    </row>
    <row r="196" customFormat="false" ht="15" hidden="false" customHeight="false" outlineLevel="0" collapsed="false">
      <c r="A196" s="25" t="s">
        <v>642</v>
      </c>
      <c r="B196" s="25" t="s">
        <v>655</v>
      </c>
      <c r="C196" s="25" t="s">
        <v>660</v>
      </c>
      <c r="D196" s="26" t="n">
        <v>2.85431619131591</v>
      </c>
      <c r="E196" s="26" t="n">
        <v>2.24899607839835</v>
      </c>
      <c r="F196" s="26" t="n">
        <v>-4.05449803919917</v>
      </c>
      <c r="G196" s="26" t="n">
        <v>-4.05449803919917</v>
      </c>
      <c r="H196" s="26" t="n">
        <v>-1.30550196080083</v>
      </c>
      <c r="I196" s="26" t="n">
        <v>-1.30550196080083</v>
      </c>
      <c r="J196" s="26" t="n">
        <v>20.54</v>
      </c>
      <c r="K196" s="27" t="n">
        <f aca="false">MIN(F196,G196)</f>
        <v>-4.05449803919917</v>
      </c>
      <c r="L196" s="27" t="n">
        <f aca="false">AVERAGE(F196,G196)</f>
        <v>-4.05449803919917</v>
      </c>
      <c r="M196" s="27" t="n">
        <f aca="false">MAX(0,NG-L196)</f>
        <v>3.35449803919917</v>
      </c>
      <c r="N196" s="27" t="n">
        <f aca="false">MAX(0,GWL-K196)</f>
        <v>2.55449803919917</v>
      </c>
      <c r="O196" s="27" t="n">
        <f aca="false">MAX(0,NG-MAX(K196,GWL))</f>
        <v>0.8</v>
      </c>
      <c r="P196" s="27" t="n">
        <f aca="false">E196/2+WS+SLOPE_A*O196+SLOPE_B*N196</f>
        <v>8.43349411759752</v>
      </c>
      <c r="Q196" s="28" t="str">
        <f aca="false">IF(AND(P196&lt;J196,N196&lt;=MAXOC),"Open cut","Shoring")</f>
        <v>Shoring</v>
      </c>
      <c r="R196" s="27" t="n">
        <f aca="false">IF(Q196="Shoring",D196,0)</f>
        <v>2.85431619131591</v>
      </c>
      <c r="S196" s="27" t="n">
        <f aca="false">MAX(0,GWL-L196)</f>
        <v>2.55449803919917</v>
      </c>
      <c r="T196" s="27" t="n">
        <f aca="false">MAX(0,NG-MAX(L196,GWL))</f>
        <v>0.8</v>
      </c>
      <c r="U196" s="27" t="n">
        <f aca="false">E196+2*WS</f>
        <v>4.24899607839835</v>
      </c>
      <c r="V196" s="27" t="n">
        <f aca="false">IF(Q196="Shoring",D196*M196*U196,0)</f>
        <v>40.6832794382396</v>
      </c>
      <c r="W196" s="27" t="n">
        <f aca="false">IF(Q196="Open cut",D196*(U196*M196+SLOPE_B*S196^2+2*SLOPE_B*S196*T196+SLOPE_A*T196^2),0)</f>
        <v>0</v>
      </c>
      <c r="X196" s="27" t="n">
        <f aca="false">IF(M196&gt;0,D196*(E196+2*SLABOVH)*SLAB,0)</f>
        <v>4.63683105604715</v>
      </c>
      <c r="Y196" s="27" t="n">
        <f aca="false">IF(M196&gt;0,D196*PI()*E196^2/4,0)</f>
        <v>11.3388591026805</v>
      </c>
      <c r="Z196" s="27" t="n">
        <f aca="false">IF(H196-E196&gt;=GWL,99,E196*(MAX(0,GWL-H196)*(GAM_S-GAM_W)+MAX(0,NG-MAX(H196,GWL))*GAM_D)/(GAM_W*PI()*E196^2/4))</f>
        <v>0.628985265801686</v>
      </c>
      <c r="AA196" s="27" t="n">
        <f aca="false">IF(I196-E196&gt;=GWL,99,E196*(MAX(0,GWL-I196)*(GAM_S-GAM_W)+MAX(0,NG-MAX(I196,GWL))*GAM_D)/(GAM_W*PI()*E196^2/4))</f>
        <v>0.628985265801686</v>
      </c>
      <c r="AB196" s="27" t="n">
        <f aca="false">IF(H196-E196&gt;=GWL,99,E196*(MAX(0,GWL-H196)*(GAM_S-GAM_W)+MAX(0,FL-MAX(H196,GWL))*GAM_D)/(GAM_W*PI()*E196^2/4))</f>
        <v>2.39491670960521</v>
      </c>
      <c r="AC196" s="27" t="n">
        <f aca="false">IF(I196-E196&gt;=GWL,99,E196*(MAX(0,GWL-I196)*(GAM_S-GAM_W)+MAX(0,FL-MAX(I196,GWL))*GAM_D)/(GAM_W*PI()*E196^2/4))</f>
        <v>2.39491670960521</v>
      </c>
    </row>
    <row r="197" customFormat="false" ht="15" hidden="false" customHeight="false" outlineLevel="0" collapsed="false">
      <c r="A197" s="25" t="s">
        <v>642</v>
      </c>
      <c r="B197" s="25" t="s">
        <v>655</v>
      </c>
      <c r="C197" s="25" t="s">
        <v>661</v>
      </c>
      <c r="D197" s="26" t="n">
        <v>10.0000000000374</v>
      </c>
      <c r="E197" s="26" t="n">
        <v>2.24899607839835</v>
      </c>
      <c r="F197" s="26" t="n">
        <v>-4.05449803919917</v>
      </c>
      <c r="G197" s="26" t="n">
        <v>-4.05449803919917</v>
      </c>
      <c r="H197" s="26" t="n">
        <v>-1.30550196080083</v>
      </c>
      <c r="I197" s="26" t="n">
        <v>-1.30550196080083</v>
      </c>
      <c r="J197" s="26" t="n">
        <v>21.8</v>
      </c>
      <c r="K197" s="27" t="n">
        <f aca="false">MIN(F197,G197)</f>
        <v>-4.05449803919917</v>
      </c>
      <c r="L197" s="27" t="n">
        <f aca="false">AVERAGE(F197,G197)</f>
        <v>-4.05449803919917</v>
      </c>
      <c r="M197" s="27" t="n">
        <f aca="false">MAX(0,NG-L197)</f>
        <v>3.35449803919917</v>
      </c>
      <c r="N197" s="27" t="n">
        <f aca="false">MAX(0,GWL-K197)</f>
        <v>2.55449803919917</v>
      </c>
      <c r="O197" s="27" t="n">
        <f aca="false">MAX(0,NG-MAX(K197,GWL))</f>
        <v>0.8</v>
      </c>
      <c r="P197" s="27" t="n">
        <f aca="false">E197/2+WS+SLOPE_A*O197+SLOPE_B*N197</f>
        <v>8.43349411759752</v>
      </c>
      <c r="Q197" s="28" t="str">
        <f aca="false">IF(AND(P197&lt;J197,N197&lt;=MAXOC),"Open cut","Shoring")</f>
        <v>Shoring</v>
      </c>
      <c r="R197" s="27" t="n">
        <f aca="false">IF(Q197="Shoring",D197,0)</f>
        <v>10.0000000000374</v>
      </c>
      <c r="S197" s="27" t="n">
        <f aca="false">MAX(0,GWL-L197)</f>
        <v>2.55449803919917</v>
      </c>
      <c r="T197" s="27" t="n">
        <f aca="false">MAX(0,NG-MAX(L197,GWL))</f>
        <v>0.8</v>
      </c>
      <c r="U197" s="27" t="n">
        <f aca="false">E197+2*WS</f>
        <v>4.24899607839835</v>
      </c>
      <c r="V197" s="27" t="n">
        <f aca="false">IF(Q197="Shoring",D197*M197*U197,0)</f>
        <v>142.532490136056</v>
      </c>
      <c r="W197" s="27" t="n">
        <f aca="false">IF(Q197="Open cut",D197*(U197*M197+SLOPE_B*S197^2+2*SLOPE_B*S197*T197+SLOPE_A*T197^2),0)</f>
        <v>0</v>
      </c>
      <c r="X197" s="27" t="n">
        <f aca="false">IF(M197&gt;0,D197*(E197+2*SLABOVH)*SLAB,0)</f>
        <v>16.2449803920525</v>
      </c>
      <c r="Y197" s="27" t="n">
        <f aca="false">IF(M197&gt;0,D197*PI()*E197^2/4,0)</f>
        <v>39.7253084196513</v>
      </c>
      <c r="Z197" s="27" t="n">
        <f aca="false">IF(H197-E197&gt;=GWL,99,E197*(MAX(0,GWL-H197)*(GAM_S-GAM_W)+MAX(0,NG-MAX(H197,GWL))*GAM_D)/(GAM_W*PI()*E197^2/4))</f>
        <v>0.628985265801686</v>
      </c>
      <c r="AA197" s="27" t="n">
        <f aca="false">IF(I197-E197&gt;=GWL,99,E197*(MAX(0,GWL-I197)*(GAM_S-GAM_W)+MAX(0,NG-MAX(I197,GWL))*GAM_D)/(GAM_W*PI()*E197^2/4))</f>
        <v>0.628985265801686</v>
      </c>
      <c r="AB197" s="27" t="n">
        <f aca="false">IF(H197-E197&gt;=GWL,99,E197*(MAX(0,GWL-H197)*(GAM_S-GAM_W)+MAX(0,FL-MAX(H197,GWL))*GAM_D)/(GAM_W*PI()*E197^2/4))</f>
        <v>2.39491670960521</v>
      </c>
      <c r="AC197" s="27" t="n">
        <f aca="false">IF(I197-E197&gt;=GWL,99,E197*(MAX(0,GWL-I197)*(GAM_S-GAM_W)+MAX(0,FL-MAX(I197,GWL))*GAM_D)/(GAM_W*PI()*E197^2/4))</f>
        <v>2.39491670960521</v>
      </c>
    </row>
    <row r="198" customFormat="false" ht="15" hidden="false" customHeight="false" outlineLevel="0" collapsed="false">
      <c r="A198" s="25" t="s">
        <v>642</v>
      </c>
      <c r="B198" s="25" t="s">
        <v>655</v>
      </c>
      <c r="C198" s="25" t="s">
        <v>662</v>
      </c>
      <c r="D198" s="26" t="n">
        <v>10.0000000000374</v>
      </c>
      <c r="E198" s="26" t="n">
        <v>2.24899607839835</v>
      </c>
      <c r="F198" s="26" t="n">
        <v>-4.05449803919917</v>
      </c>
      <c r="G198" s="26" t="n">
        <v>-4.05449803919917</v>
      </c>
      <c r="H198" s="26" t="n">
        <v>-1.30550196080083</v>
      </c>
      <c r="I198" s="26" t="n">
        <v>-1.30550196080083</v>
      </c>
      <c r="J198" s="26" t="n">
        <v>99</v>
      </c>
      <c r="K198" s="27" t="n">
        <f aca="false">MIN(F198,G198)</f>
        <v>-4.05449803919917</v>
      </c>
      <c r="L198" s="27" t="n">
        <f aca="false">AVERAGE(F198,G198)</f>
        <v>-4.05449803919917</v>
      </c>
      <c r="M198" s="27" t="n">
        <f aca="false">MAX(0,NG-L198)</f>
        <v>3.35449803919917</v>
      </c>
      <c r="N198" s="27" t="n">
        <f aca="false">MAX(0,GWL-K198)</f>
        <v>2.55449803919917</v>
      </c>
      <c r="O198" s="27" t="n">
        <f aca="false">MAX(0,NG-MAX(K198,GWL))</f>
        <v>0.8</v>
      </c>
      <c r="P198" s="27" t="n">
        <f aca="false">E198/2+WS+SLOPE_A*O198+SLOPE_B*N198</f>
        <v>8.43349411759752</v>
      </c>
      <c r="Q198" s="28" t="str">
        <f aca="false">IF(AND(P198&lt;J198,N198&lt;=MAXOC),"Open cut","Shoring")</f>
        <v>Shoring</v>
      </c>
      <c r="R198" s="27" t="n">
        <f aca="false">IF(Q198="Shoring",D198,0)</f>
        <v>10.0000000000374</v>
      </c>
      <c r="S198" s="27" t="n">
        <f aca="false">MAX(0,GWL-L198)</f>
        <v>2.55449803919917</v>
      </c>
      <c r="T198" s="27" t="n">
        <f aca="false">MAX(0,NG-MAX(L198,GWL))</f>
        <v>0.8</v>
      </c>
      <c r="U198" s="27" t="n">
        <f aca="false">E198+2*WS</f>
        <v>4.24899607839835</v>
      </c>
      <c r="V198" s="27" t="n">
        <f aca="false">IF(Q198="Shoring",D198*M198*U198,0)</f>
        <v>142.532490136056</v>
      </c>
      <c r="W198" s="27" t="n">
        <f aca="false">IF(Q198="Open cut",D198*(U198*M198+SLOPE_B*S198^2+2*SLOPE_B*S198*T198+SLOPE_A*T198^2),0)</f>
        <v>0</v>
      </c>
      <c r="X198" s="27" t="n">
        <f aca="false">IF(M198&gt;0,D198*(E198+2*SLABOVH)*SLAB,0)</f>
        <v>16.2449803920525</v>
      </c>
      <c r="Y198" s="27" t="n">
        <f aca="false">IF(M198&gt;0,D198*PI()*E198^2/4,0)</f>
        <v>39.7253084196513</v>
      </c>
      <c r="Z198" s="27" t="n">
        <f aca="false">IF(H198-E198&gt;=GWL,99,E198*(MAX(0,GWL-H198)*(GAM_S-GAM_W)+MAX(0,NG-MAX(H198,GWL))*GAM_D)/(GAM_W*PI()*E198^2/4))</f>
        <v>0.628985265801686</v>
      </c>
      <c r="AA198" s="27" t="n">
        <f aca="false">IF(I198-E198&gt;=GWL,99,E198*(MAX(0,GWL-I198)*(GAM_S-GAM_W)+MAX(0,NG-MAX(I198,GWL))*GAM_D)/(GAM_W*PI()*E198^2/4))</f>
        <v>0.628985265801686</v>
      </c>
      <c r="AB198" s="27" t="n">
        <f aca="false">IF(H198-E198&gt;=GWL,99,E198*(MAX(0,GWL-H198)*(GAM_S-GAM_W)+MAX(0,FL-MAX(H198,GWL))*GAM_D)/(GAM_W*PI()*E198^2/4))</f>
        <v>2.39491670960521</v>
      </c>
      <c r="AC198" s="27" t="n">
        <f aca="false">IF(I198-E198&gt;=GWL,99,E198*(MAX(0,GWL-I198)*(GAM_S-GAM_W)+MAX(0,FL-MAX(I198,GWL))*GAM_D)/(GAM_W*PI()*E198^2/4))</f>
        <v>2.39491670960521</v>
      </c>
    </row>
    <row r="199" customFormat="false" ht="15" hidden="false" customHeight="false" outlineLevel="0" collapsed="false">
      <c r="A199" s="25" t="s">
        <v>642</v>
      </c>
      <c r="B199" s="25" t="s">
        <v>655</v>
      </c>
      <c r="C199" s="25" t="s">
        <v>663</v>
      </c>
      <c r="D199" s="26" t="n">
        <v>9.99999999993675</v>
      </c>
      <c r="E199" s="26" t="n">
        <v>2.24899607839835</v>
      </c>
      <c r="F199" s="26" t="n">
        <v>-4.05449803919917</v>
      </c>
      <c r="G199" s="26" t="n">
        <v>-4.05449803919917</v>
      </c>
      <c r="H199" s="26" t="n">
        <v>-1.30550196080083</v>
      </c>
      <c r="I199" s="26" t="n">
        <v>-1.30550196080083</v>
      </c>
      <c r="J199" s="26" t="n">
        <v>38.24</v>
      </c>
      <c r="K199" s="27" t="n">
        <f aca="false">MIN(F199,G199)</f>
        <v>-4.05449803919917</v>
      </c>
      <c r="L199" s="27" t="n">
        <f aca="false">AVERAGE(F199,G199)</f>
        <v>-4.05449803919917</v>
      </c>
      <c r="M199" s="27" t="n">
        <f aca="false">MAX(0,NG-L199)</f>
        <v>3.35449803919917</v>
      </c>
      <c r="N199" s="27" t="n">
        <f aca="false">MAX(0,GWL-K199)</f>
        <v>2.55449803919917</v>
      </c>
      <c r="O199" s="27" t="n">
        <f aca="false">MAX(0,NG-MAX(K199,GWL))</f>
        <v>0.8</v>
      </c>
      <c r="P199" s="27" t="n">
        <f aca="false">E199/2+WS+SLOPE_A*O199+SLOPE_B*N199</f>
        <v>8.43349411759752</v>
      </c>
      <c r="Q199" s="28" t="str">
        <f aca="false">IF(AND(P199&lt;J199,N199&lt;=MAXOC),"Open cut","Shoring")</f>
        <v>Shoring</v>
      </c>
      <c r="R199" s="27" t="n">
        <f aca="false">IF(Q199="Shoring",D199,0)</f>
        <v>9.99999999993675</v>
      </c>
      <c r="S199" s="27" t="n">
        <f aca="false">MAX(0,GWL-L199)</f>
        <v>2.55449803919917</v>
      </c>
      <c r="T199" s="27" t="n">
        <f aca="false">MAX(0,NG-MAX(L199,GWL))</f>
        <v>0.8</v>
      </c>
      <c r="U199" s="27" t="n">
        <f aca="false">E199+2*WS</f>
        <v>4.24899607839835</v>
      </c>
      <c r="V199" s="27" t="n">
        <f aca="false">IF(Q199="Shoring",D199*M199*U199,0)</f>
        <v>142.532490134621</v>
      </c>
      <c r="W199" s="27" t="n">
        <f aca="false">IF(Q199="Open cut",D199*(U199*M199+SLOPE_B*S199^2+2*SLOPE_B*S199*T199+SLOPE_A*T199^2),0)</f>
        <v>0</v>
      </c>
      <c r="X199" s="27" t="n">
        <f aca="false">IF(M199&gt;0,D199*(E199+2*SLABOVH)*SLAB,0)</f>
        <v>16.244980391889</v>
      </c>
      <c r="Y199" s="27" t="n">
        <f aca="false">IF(M199&gt;0,D199*PI()*E199^2/4,0)</f>
        <v>39.7253084192514</v>
      </c>
      <c r="Z199" s="27" t="n">
        <f aca="false">IF(H199-E199&gt;=GWL,99,E199*(MAX(0,GWL-H199)*(GAM_S-GAM_W)+MAX(0,NG-MAX(H199,GWL))*GAM_D)/(GAM_W*PI()*E199^2/4))</f>
        <v>0.628985265801686</v>
      </c>
      <c r="AA199" s="27" t="n">
        <f aca="false">IF(I199-E199&gt;=GWL,99,E199*(MAX(0,GWL-I199)*(GAM_S-GAM_W)+MAX(0,NG-MAX(I199,GWL))*GAM_D)/(GAM_W*PI()*E199^2/4))</f>
        <v>0.628985265801686</v>
      </c>
      <c r="AB199" s="27" t="n">
        <f aca="false">IF(H199-E199&gt;=GWL,99,E199*(MAX(0,GWL-H199)*(GAM_S-GAM_W)+MAX(0,FL-MAX(H199,GWL))*GAM_D)/(GAM_W*PI()*E199^2/4))</f>
        <v>2.39491670960521</v>
      </c>
      <c r="AC199" s="27" t="n">
        <f aca="false">IF(I199-E199&gt;=GWL,99,E199*(MAX(0,GWL-I199)*(GAM_S-GAM_W)+MAX(0,FL-MAX(I199,GWL))*GAM_D)/(GAM_W*PI()*E199^2/4))</f>
        <v>2.39491670960521</v>
      </c>
    </row>
    <row r="200" customFormat="false" ht="15" hidden="false" customHeight="false" outlineLevel="0" collapsed="false">
      <c r="A200" s="25" t="s">
        <v>642</v>
      </c>
      <c r="B200" s="25" t="s">
        <v>655</v>
      </c>
      <c r="C200" s="25" t="s">
        <v>664</v>
      </c>
      <c r="D200" s="26" t="n">
        <v>10.0000000000374</v>
      </c>
      <c r="E200" s="26" t="n">
        <v>2.24899607839835</v>
      </c>
      <c r="F200" s="26" t="n">
        <v>-4.05449803919917</v>
      </c>
      <c r="G200" s="26" t="n">
        <v>-4.05449803919917</v>
      </c>
      <c r="H200" s="26" t="n">
        <v>-1.30550196080083</v>
      </c>
      <c r="I200" s="26" t="n">
        <v>-1.30550196080083</v>
      </c>
      <c r="J200" s="26" t="n">
        <v>28.54</v>
      </c>
      <c r="K200" s="27" t="n">
        <f aca="false">MIN(F200,G200)</f>
        <v>-4.05449803919917</v>
      </c>
      <c r="L200" s="27" t="n">
        <f aca="false">AVERAGE(F200,G200)</f>
        <v>-4.05449803919917</v>
      </c>
      <c r="M200" s="27" t="n">
        <f aca="false">MAX(0,NG-L200)</f>
        <v>3.35449803919917</v>
      </c>
      <c r="N200" s="27" t="n">
        <f aca="false">MAX(0,GWL-K200)</f>
        <v>2.55449803919917</v>
      </c>
      <c r="O200" s="27" t="n">
        <f aca="false">MAX(0,NG-MAX(K200,GWL))</f>
        <v>0.8</v>
      </c>
      <c r="P200" s="27" t="n">
        <f aca="false">E200/2+WS+SLOPE_A*O200+SLOPE_B*N200</f>
        <v>8.43349411759752</v>
      </c>
      <c r="Q200" s="28" t="str">
        <f aca="false">IF(AND(P200&lt;J200,N200&lt;=MAXOC),"Open cut","Shoring")</f>
        <v>Shoring</v>
      </c>
      <c r="R200" s="27" t="n">
        <f aca="false">IF(Q200="Shoring",D200,0)</f>
        <v>10.0000000000374</v>
      </c>
      <c r="S200" s="27" t="n">
        <f aca="false">MAX(0,GWL-L200)</f>
        <v>2.55449803919917</v>
      </c>
      <c r="T200" s="27" t="n">
        <f aca="false">MAX(0,NG-MAX(L200,GWL))</f>
        <v>0.8</v>
      </c>
      <c r="U200" s="27" t="n">
        <f aca="false">E200+2*WS</f>
        <v>4.24899607839835</v>
      </c>
      <c r="V200" s="27" t="n">
        <f aca="false">IF(Q200="Shoring",D200*M200*U200,0)</f>
        <v>142.532490136056</v>
      </c>
      <c r="W200" s="27" t="n">
        <f aca="false">IF(Q200="Open cut",D200*(U200*M200+SLOPE_B*S200^2+2*SLOPE_B*S200*T200+SLOPE_A*T200^2),0)</f>
        <v>0</v>
      </c>
      <c r="X200" s="27" t="n">
        <f aca="false">IF(M200&gt;0,D200*(E200+2*SLABOVH)*SLAB,0)</f>
        <v>16.2449803920525</v>
      </c>
      <c r="Y200" s="27" t="n">
        <f aca="false">IF(M200&gt;0,D200*PI()*E200^2/4,0)</f>
        <v>39.7253084196513</v>
      </c>
      <c r="Z200" s="27" t="n">
        <f aca="false">IF(H200-E200&gt;=GWL,99,E200*(MAX(0,GWL-H200)*(GAM_S-GAM_W)+MAX(0,NG-MAX(H200,GWL))*GAM_D)/(GAM_W*PI()*E200^2/4))</f>
        <v>0.628985265801686</v>
      </c>
      <c r="AA200" s="27" t="n">
        <f aca="false">IF(I200-E200&gt;=GWL,99,E200*(MAX(0,GWL-I200)*(GAM_S-GAM_W)+MAX(0,NG-MAX(I200,GWL))*GAM_D)/(GAM_W*PI()*E200^2/4))</f>
        <v>0.628985265801686</v>
      </c>
      <c r="AB200" s="27" t="n">
        <f aca="false">IF(H200-E200&gt;=GWL,99,E200*(MAX(0,GWL-H200)*(GAM_S-GAM_W)+MAX(0,FL-MAX(H200,GWL))*GAM_D)/(GAM_W*PI()*E200^2/4))</f>
        <v>2.39491670960521</v>
      </c>
      <c r="AC200" s="27" t="n">
        <f aca="false">IF(I200-E200&gt;=GWL,99,E200*(MAX(0,GWL-I200)*(GAM_S-GAM_W)+MAX(0,FL-MAX(I200,GWL))*GAM_D)/(GAM_W*PI()*E200^2/4))</f>
        <v>2.39491670960521</v>
      </c>
    </row>
    <row r="201" customFormat="false" ht="15" hidden="false" customHeight="false" outlineLevel="0" collapsed="false">
      <c r="A201" s="25" t="s">
        <v>642</v>
      </c>
      <c r="B201" s="25" t="s">
        <v>655</v>
      </c>
      <c r="C201" s="25" t="s">
        <v>665</v>
      </c>
      <c r="D201" s="26" t="n">
        <v>9.39370538906437</v>
      </c>
      <c r="E201" s="26" t="n">
        <v>2.24899607839835</v>
      </c>
      <c r="F201" s="26" t="n">
        <v>-4.05449803919917</v>
      </c>
      <c r="G201" s="26" t="n">
        <v>-4.05449803919917</v>
      </c>
      <c r="H201" s="26" t="n">
        <v>-1.30550196080083</v>
      </c>
      <c r="I201" s="26" t="n">
        <v>-1.30550196080083</v>
      </c>
      <c r="J201" s="26" t="n">
        <v>19.53</v>
      </c>
      <c r="K201" s="27" t="n">
        <f aca="false">MIN(F201,G201)</f>
        <v>-4.05449803919917</v>
      </c>
      <c r="L201" s="27" t="n">
        <f aca="false">AVERAGE(F201,G201)</f>
        <v>-4.05449803919917</v>
      </c>
      <c r="M201" s="27" t="n">
        <f aca="false">MAX(0,NG-L201)</f>
        <v>3.35449803919917</v>
      </c>
      <c r="N201" s="27" t="n">
        <f aca="false">MAX(0,GWL-K201)</f>
        <v>2.55449803919917</v>
      </c>
      <c r="O201" s="27" t="n">
        <f aca="false">MAX(0,NG-MAX(K201,GWL))</f>
        <v>0.8</v>
      </c>
      <c r="P201" s="27" t="n">
        <f aca="false">E201/2+WS+SLOPE_A*O201+SLOPE_B*N201</f>
        <v>8.43349411759752</v>
      </c>
      <c r="Q201" s="28" t="str">
        <f aca="false">IF(AND(P201&lt;J201,N201&lt;=MAXOC),"Open cut","Shoring")</f>
        <v>Shoring</v>
      </c>
      <c r="R201" s="27" t="n">
        <f aca="false">IF(Q201="Shoring",D201,0)</f>
        <v>9.39370538906437</v>
      </c>
      <c r="S201" s="27" t="n">
        <f aca="false">MAX(0,GWL-L201)</f>
        <v>2.55449803919917</v>
      </c>
      <c r="T201" s="27" t="n">
        <f aca="false">MAX(0,NG-MAX(L201,GWL))</f>
        <v>0.8</v>
      </c>
      <c r="U201" s="27" t="n">
        <f aca="false">E201+2*WS</f>
        <v>4.24899607839835</v>
      </c>
      <c r="V201" s="27" t="n">
        <f aca="false">IF(Q201="Shoring",D201*M201*U201,0)</f>
        <v>133.890822070282</v>
      </c>
      <c r="W201" s="27" t="n">
        <f aca="false">IF(Q201="Open cut",D201*(U201*M201+SLOPE_B*S201^2+2*SLOPE_B*S201*T201+SLOPE_A*T201^2),0)</f>
        <v>0</v>
      </c>
      <c r="X201" s="27" t="n">
        <f aca="false">IF(M201&gt;0,D201*(E201+2*SLABOVH)*SLAB,0)</f>
        <v>15.2600559853498</v>
      </c>
      <c r="Y201" s="27" t="n">
        <f aca="false">IF(M201&gt;0,D201*PI()*E201^2/4,0)</f>
        <v>37.3167843782526</v>
      </c>
      <c r="Z201" s="27" t="n">
        <f aca="false">IF(H201-E201&gt;=GWL,99,E201*(MAX(0,GWL-H201)*(GAM_S-GAM_W)+MAX(0,NG-MAX(H201,GWL))*GAM_D)/(GAM_W*PI()*E201^2/4))</f>
        <v>0.628985265801686</v>
      </c>
      <c r="AA201" s="27" t="n">
        <f aca="false">IF(I201-E201&gt;=GWL,99,E201*(MAX(0,GWL-I201)*(GAM_S-GAM_W)+MAX(0,NG-MAX(I201,GWL))*GAM_D)/(GAM_W*PI()*E201^2/4))</f>
        <v>0.628985265801686</v>
      </c>
      <c r="AB201" s="27" t="n">
        <f aca="false">IF(H201-E201&gt;=GWL,99,E201*(MAX(0,GWL-H201)*(GAM_S-GAM_W)+MAX(0,FL-MAX(H201,GWL))*GAM_D)/(GAM_W*PI()*E201^2/4))</f>
        <v>2.39491670960521</v>
      </c>
      <c r="AC201" s="27" t="n">
        <f aca="false">IF(I201-E201&gt;=GWL,99,E201*(MAX(0,GWL-I201)*(GAM_S-GAM_W)+MAX(0,FL-MAX(I201,GWL))*GAM_D)/(GAM_W*PI()*E201^2/4))</f>
        <v>2.39491670960521</v>
      </c>
    </row>
    <row r="202" customFormat="false" ht="15" hidden="false" customHeight="false" outlineLevel="0" collapsed="false">
      <c r="A202" s="25" t="s">
        <v>642</v>
      </c>
      <c r="B202" s="25" t="s">
        <v>655</v>
      </c>
      <c r="C202" s="25" t="s">
        <v>666</v>
      </c>
      <c r="D202" s="26" t="n">
        <v>0.606294611282903</v>
      </c>
      <c r="E202" s="26" t="n">
        <v>2.24899562749711</v>
      </c>
      <c r="F202" s="26" t="n">
        <v>-4.05449781374855</v>
      </c>
      <c r="G202" s="26" t="n">
        <v>-4.05449781374855</v>
      </c>
      <c r="H202" s="26" t="n">
        <v>-1.30550218625145</v>
      </c>
      <c r="I202" s="26" t="n">
        <v>-1.30550218625145</v>
      </c>
      <c r="J202" s="26" t="n">
        <v>18.96</v>
      </c>
      <c r="K202" s="27" t="n">
        <f aca="false">MIN(F202,G202)</f>
        <v>-4.05449781374855</v>
      </c>
      <c r="L202" s="27" t="n">
        <f aca="false">AVERAGE(F202,G202)</f>
        <v>-4.05449781374855</v>
      </c>
      <c r="M202" s="27" t="n">
        <f aca="false">MAX(0,NG-L202)</f>
        <v>3.35449781374855</v>
      </c>
      <c r="N202" s="27" t="n">
        <f aca="false">MAX(0,GWL-K202)</f>
        <v>2.55449781374855</v>
      </c>
      <c r="O202" s="27" t="n">
        <f aca="false">MAX(0,NG-MAX(K202,GWL))</f>
        <v>0.8</v>
      </c>
      <c r="P202" s="27" t="n">
        <f aca="false">E202/2+WS+SLOPE_A*O202+SLOPE_B*N202</f>
        <v>8.43349344124566</v>
      </c>
      <c r="Q202" s="28" t="str">
        <f aca="false">IF(AND(P202&lt;J202,N202&lt;=MAXOC),"Open cut","Shoring")</f>
        <v>Shoring</v>
      </c>
      <c r="R202" s="27" t="n">
        <f aca="false">IF(Q202="Shoring",D202,0)</f>
        <v>0.606294611282903</v>
      </c>
      <c r="S202" s="27" t="n">
        <f aca="false">MAX(0,GWL-L202)</f>
        <v>2.55449781374855</v>
      </c>
      <c r="T202" s="27" t="n">
        <f aca="false">MAX(0,NG-MAX(L202,GWL))</f>
        <v>0.8</v>
      </c>
      <c r="U202" s="27" t="n">
        <f aca="false">E202+2*WS</f>
        <v>4.24899562749711</v>
      </c>
      <c r="V202" s="27" t="n">
        <f aca="false">IF(Q202="Shoring",D202*M202*U202,0)</f>
        <v>8.6416665723477</v>
      </c>
      <c r="W202" s="27" t="n">
        <f aca="false">IF(Q202="Open cut",D202*(U202*M202+SLOPE_B*S202^2+2*SLOPE_B*S202*T202+SLOPE_A*T202^2),0)</f>
        <v>0</v>
      </c>
      <c r="X202" s="27" t="n">
        <f aca="false">IF(M202&gt;0,D202*(E202+2*SLABOVH)*SLAB,0)</f>
        <v>0.984924270516604</v>
      </c>
      <c r="Y202" s="27" t="n">
        <f aca="false">IF(M202&gt;0,D202*PI()*E202^2/4,0)</f>
        <v>2.40852307685967</v>
      </c>
      <c r="Z202" s="27" t="n">
        <f aca="false">IF(H202-E202&gt;=GWL,99,E202*(MAX(0,GWL-H202)*(GAM_S-GAM_W)+MAX(0,NG-MAX(H202,GWL))*GAM_D)/(GAM_W*PI()*E202^2/4))</f>
        <v>0.628985626101337</v>
      </c>
      <c r="AA202" s="27" t="n">
        <f aca="false">IF(I202-E202&gt;=GWL,99,E202*(MAX(0,GWL-I202)*(GAM_S-GAM_W)+MAX(0,NG-MAX(I202,GWL))*GAM_D)/(GAM_W*PI()*E202^2/4))</f>
        <v>0.628985626101337</v>
      </c>
      <c r="AB202" s="27" t="n">
        <f aca="false">IF(H202-E202&gt;=GWL,99,E202*(MAX(0,GWL-H202)*(GAM_S-GAM_W)+MAX(0,FL-MAX(H202,GWL))*GAM_D)/(GAM_W*PI()*E202^2/4))</f>
        <v>2.39491742395654</v>
      </c>
      <c r="AC202" s="27" t="n">
        <f aca="false">IF(I202-E202&gt;=GWL,99,E202*(MAX(0,GWL-I202)*(GAM_S-GAM_W)+MAX(0,FL-MAX(I202,GWL))*GAM_D)/(GAM_W*PI()*E202^2/4))</f>
        <v>2.39491742395654</v>
      </c>
    </row>
    <row r="203" customFormat="false" ht="15" hidden="false" customHeight="false" outlineLevel="0" collapsed="false">
      <c r="A203" s="25" t="s">
        <v>642</v>
      </c>
      <c r="B203" s="25" t="s">
        <v>655</v>
      </c>
      <c r="C203" s="25" t="s">
        <v>667</v>
      </c>
      <c r="D203" s="26" t="n">
        <v>2.79371072785914</v>
      </c>
      <c r="E203" s="26" t="n">
        <v>2.24899562749711</v>
      </c>
      <c r="F203" s="26" t="n">
        <v>-4.05449781374855</v>
      </c>
      <c r="G203" s="26" t="n">
        <v>-4.05449781374855</v>
      </c>
      <c r="H203" s="26" t="n">
        <v>-1.30550218625145</v>
      </c>
      <c r="I203" s="26" t="n">
        <v>-1.30550218625145</v>
      </c>
      <c r="J203" s="26" t="n">
        <v>16.32</v>
      </c>
      <c r="K203" s="27" t="n">
        <f aca="false">MIN(F203,G203)</f>
        <v>-4.05449781374855</v>
      </c>
      <c r="L203" s="27" t="n">
        <f aca="false">AVERAGE(F203,G203)</f>
        <v>-4.05449781374855</v>
      </c>
      <c r="M203" s="27" t="n">
        <f aca="false">MAX(0,NG-L203)</f>
        <v>3.35449781374855</v>
      </c>
      <c r="N203" s="27" t="n">
        <f aca="false">MAX(0,GWL-K203)</f>
        <v>2.55449781374855</v>
      </c>
      <c r="O203" s="27" t="n">
        <f aca="false">MAX(0,NG-MAX(K203,GWL))</f>
        <v>0.8</v>
      </c>
      <c r="P203" s="27" t="n">
        <f aca="false">E203/2+WS+SLOPE_A*O203+SLOPE_B*N203</f>
        <v>8.43349344124566</v>
      </c>
      <c r="Q203" s="28" t="str">
        <f aca="false">IF(AND(P203&lt;J203,N203&lt;=MAXOC),"Open cut","Shoring")</f>
        <v>Shoring</v>
      </c>
      <c r="R203" s="27" t="n">
        <f aca="false">IF(Q203="Shoring",D203,0)</f>
        <v>2.79371072785914</v>
      </c>
      <c r="S203" s="27" t="n">
        <f aca="false">MAX(0,GWL-L203)</f>
        <v>2.55449781374855</v>
      </c>
      <c r="T203" s="27" t="n">
        <f aca="false">MAX(0,NG-MAX(L203,GWL))</f>
        <v>0.8</v>
      </c>
      <c r="U203" s="27" t="n">
        <f aca="false">E203+2*WS</f>
        <v>4.24899562749711</v>
      </c>
      <c r="V203" s="27" t="n">
        <f aca="false">IF(Q203="Shoring",D203*M203*U203,0)</f>
        <v>39.8194477741852</v>
      </c>
      <c r="W203" s="27" t="n">
        <f aca="false">IF(Q203="Open cut",D203*(U203*M203+SLOPE_B*S203^2+2*SLOPE_B*S203*T203+SLOPE_A*T203^2),0)</f>
        <v>0</v>
      </c>
      <c r="X203" s="27" t="n">
        <f aca="false">IF(M203&gt;0,D203*(E203+2*SLABOVH)*SLAB,0)</f>
        <v>4.53837696965305</v>
      </c>
      <c r="Y203" s="27" t="n">
        <f aca="false">IF(M203&gt;0,D203*PI()*E203^2/4,0)</f>
        <v>11.0980975797911</v>
      </c>
      <c r="Z203" s="27" t="n">
        <f aca="false">IF(H203-E203&gt;=GWL,99,E203*(MAX(0,GWL-H203)*(GAM_S-GAM_W)+MAX(0,NG-MAX(H203,GWL))*GAM_D)/(GAM_W*PI()*E203^2/4))</f>
        <v>0.628985626101337</v>
      </c>
      <c r="AA203" s="27" t="n">
        <f aca="false">IF(I203-E203&gt;=GWL,99,E203*(MAX(0,GWL-I203)*(GAM_S-GAM_W)+MAX(0,NG-MAX(I203,GWL))*GAM_D)/(GAM_W*PI()*E203^2/4))</f>
        <v>0.628985626101337</v>
      </c>
      <c r="AB203" s="27" t="n">
        <f aca="false">IF(H203-E203&gt;=GWL,99,E203*(MAX(0,GWL-H203)*(GAM_S-GAM_W)+MAX(0,FL-MAX(H203,GWL))*GAM_D)/(GAM_W*PI()*E203^2/4))</f>
        <v>2.39491742395654</v>
      </c>
      <c r="AC203" s="27" t="n">
        <f aca="false">IF(I203-E203&gt;=GWL,99,E203*(MAX(0,GWL-I203)*(GAM_S-GAM_W)+MAX(0,FL-MAX(I203,GWL))*GAM_D)/(GAM_W*PI()*E203^2/4))</f>
        <v>2.39491742395654</v>
      </c>
    </row>
    <row r="204" customFormat="false" ht="15" hidden="false" customHeight="false" outlineLevel="0" collapsed="false">
      <c r="A204" s="25" t="s">
        <v>642</v>
      </c>
      <c r="B204" s="25" t="s">
        <v>655</v>
      </c>
      <c r="C204" s="25" t="s">
        <v>668</v>
      </c>
      <c r="D204" s="26" t="n">
        <v>3.4000000004797</v>
      </c>
      <c r="E204" s="26" t="n">
        <v>2.24900036059475</v>
      </c>
      <c r="F204" s="26" t="n">
        <v>-4.05450018029738</v>
      </c>
      <c r="G204" s="26" t="n">
        <v>-4.05450018029738</v>
      </c>
      <c r="H204" s="26" t="n">
        <v>-1.30549981970262</v>
      </c>
      <c r="I204" s="26" t="n">
        <v>-1.30549981970262</v>
      </c>
      <c r="J204" s="26" t="n">
        <v>16.32</v>
      </c>
      <c r="K204" s="27" t="n">
        <f aca="false">MIN(F204,G204)</f>
        <v>-4.05450018029738</v>
      </c>
      <c r="L204" s="27" t="n">
        <f aca="false">AVERAGE(F204,G204)</f>
        <v>-4.05450018029738</v>
      </c>
      <c r="M204" s="27" t="n">
        <f aca="false">MAX(0,NG-L204)</f>
        <v>3.35450018029738</v>
      </c>
      <c r="N204" s="27" t="n">
        <f aca="false">MAX(0,GWL-K204)</f>
        <v>2.55450018029738</v>
      </c>
      <c r="O204" s="27" t="n">
        <f aca="false">MAX(0,NG-MAX(K204,GWL))</f>
        <v>0.8</v>
      </c>
      <c r="P204" s="27" t="n">
        <f aca="false">E204/2+WS+SLOPE_A*O204+SLOPE_B*N204</f>
        <v>8.43350054089213</v>
      </c>
      <c r="Q204" s="28" t="str">
        <f aca="false">IF(AND(P204&lt;J204,N204&lt;=MAXOC),"Open cut","Shoring")</f>
        <v>Shoring</v>
      </c>
      <c r="R204" s="27" t="n">
        <f aca="false">IF(Q204="Shoring",D204,0)</f>
        <v>3.4000000004797</v>
      </c>
      <c r="S204" s="27" t="n">
        <f aca="false">MAX(0,GWL-L204)</f>
        <v>2.55450018029738</v>
      </c>
      <c r="T204" s="27" t="n">
        <f aca="false">MAX(0,NG-MAX(L204,GWL))</f>
        <v>0.8</v>
      </c>
      <c r="U204" s="27" t="n">
        <f aca="false">E204+2*WS</f>
        <v>4.24900036059475</v>
      </c>
      <c r="V204" s="27" t="n">
        <f aca="false">IF(Q204="Shoring",D204*M204*U204,0)</f>
        <v>48.4611264242129</v>
      </c>
      <c r="W204" s="27" t="n">
        <f aca="false">IF(Q204="Open cut",D204*(U204*M204+SLOPE_B*S204^2+2*SLOPE_B*S204*T204+SLOPE_A*T204^2),0)</f>
        <v>0</v>
      </c>
      <c r="X204" s="27" t="n">
        <f aca="false">IF(M204&gt;0,D204*(E204+2*SLABOVH)*SLAB,0)</f>
        <v>5.52330061379035</v>
      </c>
      <c r="Y204" s="27" t="n">
        <f aca="false">IF(M204&gt;0,D204*PI()*E204^2/4,0)</f>
        <v>13.5066562990325</v>
      </c>
      <c r="Z204" s="27" t="n">
        <f aca="false">IF(H204-E204&gt;=GWL,99,E204*(MAX(0,GWL-H204)*(GAM_S-GAM_W)+MAX(0,NG-MAX(H204,GWL))*GAM_D)/(GAM_W*PI()*E204^2/4))</f>
        <v>0.62898184405324</v>
      </c>
      <c r="AA204" s="27" t="n">
        <f aca="false">IF(I204-E204&gt;=GWL,99,E204*(MAX(0,GWL-I204)*(GAM_S-GAM_W)+MAX(0,NG-MAX(I204,GWL))*GAM_D)/(GAM_W*PI()*E204^2/4))</f>
        <v>0.62898184405324</v>
      </c>
      <c r="AB204" s="27" t="n">
        <f aca="false">IF(H204-E204&gt;=GWL,99,E204*(MAX(0,GWL-H204)*(GAM_S-GAM_W)+MAX(0,FL-MAX(H204,GWL))*GAM_D)/(GAM_W*PI()*E204^2/4))</f>
        <v>2.39490992544499</v>
      </c>
      <c r="AC204" s="27" t="n">
        <f aca="false">IF(I204-E204&gt;=GWL,99,E204*(MAX(0,GWL-I204)*(GAM_S-GAM_W)+MAX(0,FL-MAX(I204,GWL))*GAM_D)/(GAM_W*PI()*E204^2/4))</f>
        <v>2.39490992544499</v>
      </c>
    </row>
    <row r="205" customFormat="false" ht="15" hidden="false" customHeight="false" outlineLevel="0" collapsed="false">
      <c r="A205" s="25" t="s">
        <v>642</v>
      </c>
      <c r="B205" s="25" t="s">
        <v>655</v>
      </c>
      <c r="C205" s="25" t="s">
        <v>669</v>
      </c>
      <c r="D205" s="26" t="n">
        <v>3.80628927198146</v>
      </c>
      <c r="E205" s="26" t="n">
        <v>2.24899191763638</v>
      </c>
      <c r="F205" s="26" t="n">
        <v>-4.05449595881819</v>
      </c>
      <c r="G205" s="26" t="n">
        <v>-4.06935449387806</v>
      </c>
      <c r="H205" s="26" t="n">
        <v>-1.30550404118181</v>
      </c>
      <c r="I205" s="26" t="n">
        <v>-1.32036257624168</v>
      </c>
      <c r="J205" s="26" t="n">
        <v>17.56</v>
      </c>
      <c r="K205" s="27" t="n">
        <f aca="false">MIN(F205,G205)</f>
        <v>-4.06935449387806</v>
      </c>
      <c r="L205" s="27" t="n">
        <f aca="false">AVERAGE(F205,G205)</f>
        <v>-4.06192522634812</v>
      </c>
      <c r="M205" s="27" t="n">
        <f aca="false">MAX(0,NG-L205)</f>
        <v>3.36192522634812</v>
      </c>
      <c r="N205" s="27" t="n">
        <f aca="false">MAX(0,GWL-K205)</f>
        <v>2.56935449387805</v>
      </c>
      <c r="O205" s="27" t="n">
        <f aca="false">MAX(0,NG-MAX(K205,GWL))</f>
        <v>0.8</v>
      </c>
      <c r="P205" s="27" t="n">
        <f aca="false">E205/2+WS+SLOPE_A*O205+SLOPE_B*N205</f>
        <v>8.4632049465743</v>
      </c>
      <c r="Q205" s="28" t="str">
        <f aca="false">IF(AND(P205&lt;J205,N205&lt;=MAXOC),"Open cut","Shoring")</f>
        <v>Shoring</v>
      </c>
      <c r="R205" s="27" t="n">
        <f aca="false">IF(Q205="Shoring",D205,0)</f>
        <v>3.80628927198146</v>
      </c>
      <c r="S205" s="27" t="n">
        <f aca="false">MAX(0,GWL-L205)</f>
        <v>2.56192522634812</v>
      </c>
      <c r="T205" s="27" t="n">
        <f aca="false">MAX(0,NG-MAX(L205,GWL))</f>
        <v>0.8</v>
      </c>
      <c r="U205" s="27" t="n">
        <f aca="false">E205+2*WS</f>
        <v>4.24899191763638</v>
      </c>
      <c r="V205" s="27" t="n">
        <f aca="false">IF(Q205="Shoring",D205*M205*U205,0)</f>
        <v>54.3720547840096</v>
      </c>
      <c r="W205" s="27" t="n">
        <f aca="false">IF(Q205="Open cut",D205*(U205*M205+SLOPE_B*S205^2+2*SLOPE_B*S205*T205+SLOPE_A*T205^2),0)</f>
        <v>0</v>
      </c>
      <c r="X205" s="27" t="n">
        <f aca="false">IF(M205&gt;0,D205*(E205+2*SLABOVH)*SLAB,0)</f>
        <v>6.18330154042691</v>
      </c>
      <c r="Y205" s="27" t="n">
        <f aca="false">IF(M205&gt;0,D205*PI()*E205^2/4,0)</f>
        <v>15.1205455785537</v>
      </c>
      <c r="Z205" s="27" t="n">
        <f aca="false">IF(H205-E205&gt;=GWL,99,E205*(MAX(0,GWL-H205)*(GAM_S-GAM_W)+MAX(0,NG-MAX(H205,GWL))*GAM_D)/(GAM_W*PI()*E205^2/4))</f>
        <v>0.628988590528744</v>
      </c>
      <c r="AA205" s="27" t="n">
        <f aca="false">IF(I205-E205&gt;=GWL,99,E205*(MAX(0,GWL-I205)*(GAM_S-GAM_W)+MAX(0,NG-MAX(I205,GWL))*GAM_D)/(GAM_W*PI()*E205^2/4))</f>
        <v>0.644423415714033</v>
      </c>
      <c r="AB205" s="27" t="n">
        <f aca="false">IF(H205-E205&gt;=GWL,99,E205*(MAX(0,GWL-H205)*(GAM_S-GAM_W)+MAX(0,FL-MAX(H205,GWL))*GAM_D)/(GAM_W*PI()*E205^2/4))</f>
        <v>2.3949233014051</v>
      </c>
      <c r="AC205" s="27" t="n">
        <f aca="false">IF(I205-E205&gt;=GWL,99,E205*(MAX(0,GWL-I205)*(GAM_S-GAM_W)+MAX(0,FL-MAX(I205,GWL))*GAM_D)/(GAM_W*PI()*E205^2/4))</f>
        <v>2.41035812659039</v>
      </c>
    </row>
    <row r="206" customFormat="false" ht="15" hidden="false" customHeight="false" outlineLevel="0" collapsed="false">
      <c r="A206" s="25" t="s">
        <v>642</v>
      </c>
      <c r="B206" s="25" t="s">
        <v>655</v>
      </c>
      <c r="C206" s="25" t="s">
        <v>670</v>
      </c>
      <c r="D206" s="26" t="n">
        <v>9.88848101832381</v>
      </c>
      <c r="E206" s="26" t="n">
        <v>2.24899191763638</v>
      </c>
      <c r="F206" s="26" t="n">
        <v>-4.06935449387806</v>
      </c>
      <c r="G206" s="26" t="n">
        <v>-4.10795595881819</v>
      </c>
      <c r="H206" s="26" t="n">
        <v>-1.32036257624168</v>
      </c>
      <c r="I206" s="26" t="n">
        <v>-1.35896404118181</v>
      </c>
      <c r="J206" s="26" t="n">
        <v>19.19</v>
      </c>
      <c r="K206" s="27" t="n">
        <f aca="false">MIN(F206,G206)</f>
        <v>-4.10795595881819</v>
      </c>
      <c r="L206" s="27" t="n">
        <f aca="false">AVERAGE(F206,G206)</f>
        <v>-4.08865522634812</v>
      </c>
      <c r="M206" s="27" t="n">
        <f aca="false">MAX(0,NG-L206)</f>
        <v>3.38865522634812</v>
      </c>
      <c r="N206" s="27" t="n">
        <f aca="false">MAX(0,GWL-K206)</f>
        <v>2.60795595881819</v>
      </c>
      <c r="O206" s="27" t="n">
        <f aca="false">MAX(0,NG-MAX(K206,GWL))</f>
        <v>0.8</v>
      </c>
      <c r="P206" s="27" t="n">
        <f aca="false">E206/2+WS+SLOPE_A*O206+SLOPE_B*N206</f>
        <v>8.54040787645457</v>
      </c>
      <c r="Q206" s="28" t="str">
        <f aca="false">IF(AND(P206&lt;J206,N206&lt;=MAXOC),"Open cut","Shoring")</f>
        <v>Shoring</v>
      </c>
      <c r="R206" s="27" t="n">
        <f aca="false">IF(Q206="Shoring",D206,0)</f>
        <v>9.88848101832381</v>
      </c>
      <c r="S206" s="27" t="n">
        <f aca="false">MAX(0,GWL-L206)</f>
        <v>2.58865522634812</v>
      </c>
      <c r="T206" s="27" t="n">
        <f aca="false">MAX(0,NG-MAX(L206,GWL))</f>
        <v>0.8</v>
      </c>
      <c r="U206" s="27" t="n">
        <f aca="false">E206+2*WS</f>
        <v>4.24899191763638</v>
      </c>
      <c r="V206" s="27" t="n">
        <f aca="false">IF(Q206="Shoring",D206*M206*U206,0)</f>
        <v>142.377995272395</v>
      </c>
      <c r="W206" s="27" t="n">
        <f aca="false">IF(Q206="Open cut",D206*(U206*M206+SLOPE_B*S206^2+2*SLOPE_B*S206*T206+SLOPE_A*T206^2),0)</f>
        <v>0</v>
      </c>
      <c r="X206" s="27" t="n">
        <f aca="false">IF(M206&gt;0,D206*(E206+2*SLABOVH)*SLAB,0)</f>
        <v>16.0637974531174</v>
      </c>
      <c r="Y206" s="27" t="n">
        <f aca="false">IF(M206&gt;0,D206*PI()*E206^2/4,0)</f>
        <v>39.2821504768061</v>
      </c>
      <c r="Z206" s="27" t="n">
        <f aca="false">IF(H206-E206&gt;=GWL,99,E206*(MAX(0,GWL-H206)*(GAM_S-GAM_W)+MAX(0,NG-MAX(H206,GWL))*GAM_D)/(GAM_W*PI()*E206^2/4))</f>
        <v>0.644423415714033</v>
      </c>
      <c r="AA206" s="27" t="n">
        <f aca="false">IF(I206-E206&gt;=GWL,99,E206*(MAX(0,GWL-I206)*(GAM_S-GAM_W)+MAX(0,NG-MAX(I206,GWL))*GAM_D)/(GAM_W*PI()*E206^2/4))</f>
        <v>0.684522043260185</v>
      </c>
      <c r="AB206" s="27" t="n">
        <f aca="false">IF(H206-E206&gt;=GWL,99,E206*(MAX(0,GWL-H206)*(GAM_S-GAM_W)+MAX(0,FL-MAX(H206,GWL))*GAM_D)/(GAM_W*PI()*E206^2/4))</f>
        <v>2.41035812659039</v>
      </c>
      <c r="AC206" s="27" t="n">
        <f aca="false">IF(I206-E206&gt;=GWL,99,E206*(MAX(0,GWL-I206)*(GAM_S-GAM_W)+MAX(0,FL-MAX(I206,GWL))*GAM_D)/(GAM_W*PI()*E206^2/4))</f>
        <v>2.45045675413654</v>
      </c>
    </row>
    <row r="207" customFormat="false" ht="15" hidden="false" customHeight="false" outlineLevel="0" collapsed="false">
      <c r="A207" s="25" t="s">
        <v>642</v>
      </c>
      <c r="B207" s="25" t="s">
        <v>655</v>
      </c>
      <c r="C207" s="25" t="s">
        <v>671</v>
      </c>
      <c r="D207" s="26" t="n">
        <v>0.111518982465991</v>
      </c>
      <c r="E207" s="26" t="n">
        <v>2.24899191763638</v>
      </c>
      <c r="F207" s="26" t="n">
        <v>-4.10795595881819</v>
      </c>
      <c r="G207" s="26" t="n">
        <v>-4.10839121084484</v>
      </c>
      <c r="H207" s="26" t="n">
        <v>-1.35896404118181</v>
      </c>
      <c r="I207" s="26" t="n">
        <v>-1.35939929320846</v>
      </c>
      <c r="J207" s="26" t="n">
        <v>24.48</v>
      </c>
      <c r="K207" s="27" t="n">
        <f aca="false">MIN(F207,G207)</f>
        <v>-4.10839121084484</v>
      </c>
      <c r="L207" s="27" t="n">
        <f aca="false">AVERAGE(F207,G207)</f>
        <v>-4.10817358483152</v>
      </c>
      <c r="M207" s="27" t="n">
        <f aca="false">MAX(0,NG-L207)</f>
        <v>3.40817358483151</v>
      </c>
      <c r="N207" s="27" t="n">
        <f aca="false">MAX(0,GWL-K207)</f>
        <v>2.60839121084484</v>
      </c>
      <c r="O207" s="27" t="n">
        <f aca="false">MAX(0,NG-MAX(K207,GWL))</f>
        <v>0.8</v>
      </c>
      <c r="P207" s="27" t="n">
        <f aca="false">E207/2+WS+SLOPE_A*O207+SLOPE_B*N207</f>
        <v>8.54127838050787</v>
      </c>
      <c r="Q207" s="28" t="str">
        <f aca="false">IF(AND(P207&lt;J207,N207&lt;=MAXOC),"Open cut","Shoring")</f>
        <v>Shoring</v>
      </c>
      <c r="R207" s="27" t="n">
        <f aca="false">IF(Q207="Shoring",D207,0)</f>
        <v>0.111518982465991</v>
      </c>
      <c r="S207" s="27" t="n">
        <f aca="false">MAX(0,GWL-L207)</f>
        <v>2.60817358483151</v>
      </c>
      <c r="T207" s="27" t="n">
        <f aca="false">MAX(0,NG-MAX(L207,GWL))</f>
        <v>0.8</v>
      </c>
      <c r="U207" s="27" t="n">
        <f aca="false">E207+2*WS</f>
        <v>4.24899191763638</v>
      </c>
      <c r="V207" s="27" t="n">
        <f aca="false">IF(Q207="Shoring",D207*M207*U207,0)</f>
        <v>1.6149400655904</v>
      </c>
      <c r="W207" s="27" t="n">
        <f aca="false">IF(Q207="Open cut",D207*(U207*M207+SLOPE_B*S207^2+2*SLOPE_B*S207*T207+SLOPE_A*T207^2),0)</f>
        <v>0</v>
      </c>
      <c r="X207" s="27" t="n">
        <f aca="false">IF(M207&gt;0,D207*(E207+2*SLABOVH)*SLAB,0)</f>
        <v>0.181162136347519</v>
      </c>
      <c r="Y207" s="27" t="n">
        <f aca="false">IF(M207&gt;0,D207*PI()*E207^2/4,0)</f>
        <v>0.443010958116997</v>
      </c>
      <c r="Z207" s="27" t="n">
        <f aca="false">IF(H207-E207&gt;=GWL,99,E207*(MAX(0,GWL-H207)*(GAM_S-GAM_W)+MAX(0,NG-MAX(H207,GWL))*GAM_D)/(GAM_W*PI()*E207^2/4))</f>
        <v>0.684522043260185</v>
      </c>
      <c r="AA207" s="27" t="n">
        <f aca="false">IF(I207-E207&gt;=GWL,99,E207*(MAX(0,GWL-I207)*(GAM_S-GAM_W)+MAX(0,NG-MAX(I207,GWL))*GAM_D)/(GAM_W*PI()*E207^2/4))</f>
        <v>0.684974176590681</v>
      </c>
      <c r="AB207" s="27" t="n">
        <f aca="false">IF(H207-E207&gt;=GWL,99,E207*(MAX(0,GWL-H207)*(GAM_S-GAM_W)+MAX(0,FL-MAX(H207,GWL))*GAM_D)/(GAM_W*PI()*E207^2/4))</f>
        <v>2.45045675413654</v>
      </c>
      <c r="AC207" s="27" t="n">
        <f aca="false">IF(I207-E207&gt;=GWL,99,E207*(MAX(0,GWL-I207)*(GAM_S-GAM_W)+MAX(0,FL-MAX(I207,GWL))*GAM_D)/(GAM_W*PI()*E207^2/4))</f>
        <v>2.45090888746703</v>
      </c>
    </row>
    <row r="208" customFormat="false" ht="15" hidden="false" customHeight="false" outlineLevel="0" collapsed="false">
      <c r="A208" s="25" t="s">
        <v>642</v>
      </c>
      <c r="B208" s="25" t="s">
        <v>655</v>
      </c>
      <c r="C208" s="25" t="s">
        <v>672</v>
      </c>
      <c r="D208" s="26" t="n">
        <v>3.28848101793206</v>
      </c>
      <c r="E208" s="26" t="n">
        <v>2.24899191763638</v>
      </c>
      <c r="F208" s="26" t="n">
        <v>-4.10839121084484</v>
      </c>
      <c r="G208" s="26" t="n">
        <v>-4.12122595881819</v>
      </c>
      <c r="H208" s="26" t="n">
        <v>-1.35939929320846</v>
      </c>
      <c r="I208" s="26" t="n">
        <v>-1.37223404118181</v>
      </c>
      <c r="J208" s="26" t="n">
        <v>24.55</v>
      </c>
      <c r="K208" s="27" t="n">
        <f aca="false">MIN(F208,G208)</f>
        <v>-4.12122595881819</v>
      </c>
      <c r="L208" s="27" t="n">
        <f aca="false">AVERAGE(F208,G208)</f>
        <v>-4.11480858483152</v>
      </c>
      <c r="M208" s="27" t="n">
        <f aca="false">MAX(0,NG-L208)</f>
        <v>3.41480858483151</v>
      </c>
      <c r="N208" s="27" t="n">
        <f aca="false">MAX(0,GWL-K208)</f>
        <v>2.62122595881819</v>
      </c>
      <c r="O208" s="27" t="n">
        <f aca="false">MAX(0,NG-MAX(K208,GWL))</f>
        <v>0.8</v>
      </c>
      <c r="P208" s="27" t="n">
        <f aca="false">E208/2+WS+SLOPE_A*O208+SLOPE_B*N208</f>
        <v>8.56694787645457</v>
      </c>
      <c r="Q208" s="28" t="str">
        <f aca="false">IF(AND(P208&lt;J208,N208&lt;=MAXOC),"Open cut","Shoring")</f>
        <v>Shoring</v>
      </c>
      <c r="R208" s="27" t="n">
        <f aca="false">IF(Q208="Shoring",D208,0)</f>
        <v>3.28848101793206</v>
      </c>
      <c r="S208" s="27" t="n">
        <f aca="false">MAX(0,GWL-L208)</f>
        <v>2.61480858483152</v>
      </c>
      <c r="T208" s="27" t="n">
        <f aca="false">MAX(0,NG-MAX(L208,GWL))</f>
        <v>0.8</v>
      </c>
      <c r="U208" s="27" t="n">
        <f aca="false">E208+2*WS</f>
        <v>4.24899191763638</v>
      </c>
      <c r="V208" s="27" t="n">
        <f aca="false">IF(Q208="Shoring",D208*M208*U208,0)</f>
        <v>47.7141958527501</v>
      </c>
      <c r="W208" s="27" t="n">
        <f aca="false">IF(Q208="Open cut",D208*(U208*M208+SLOPE_B*S208^2+2*SLOPE_B*S208*T208+SLOPE_A*T208^2),0)</f>
        <v>0</v>
      </c>
      <c r="X208" s="27" t="n">
        <f aca="false">IF(M208&gt;0,D208*(E208+2*SLABOVH)*SLAB,0)</f>
        <v>5.34212412428095</v>
      </c>
      <c r="Y208" s="27" t="n">
        <f aca="false">IF(M208&gt;0,D208*PI()*E208^2/4,0)</f>
        <v>13.0635439302714</v>
      </c>
      <c r="Z208" s="27" t="n">
        <f aca="false">IF(H208-E208&gt;=GWL,99,E208*(MAX(0,GWL-H208)*(GAM_S-GAM_W)+MAX(0,NG-MAX(H208,GWL))*GAM_D)/(GAM_W*PI()*E208^2/4))</f>
        <v>0.684974176590681</v>
      </c>
      <c r="AA208" s="27" t="n">
        <f aca="false">IF(I208-E208&gt;=GWL,99,E208*(MAX(0,GWL-I208)*(GAM_S-GAM_W)+MAX(0,NG-MAX(I208,GWL))*GAM_D)/(GAM_W*PI()*E208^2/4))</f>
        <v>0.698306721856261</v>
      </c>
      <c r="AB208" s="27" t="n">
        <f aca="false">IF(H208-E208&gt;=GWL,99,E208*(MAX(0,GWL-H208)*(GAM_S-GAM_W)+MAX(0,FL-MAX(H208,GWL))*GAM_D)/(GAM_W*PI()*E208^2/4))</f>
        <v>2.45090888746703</v>
      </c>
      <c r="AC208" s="27" t="n">
        <f aca="false">IF(I208-E208&gt;=GWL,99,E208*(MAX(0,GWL-I208)*(GAM_S-GAM_W)+MAX(0,FL-MAX(I208,GWL))*GAM_D)/(GAM_W*PI()*E208^2/4))</f>
        <v>2.46424143273261</v>
      </c>
    </row>
    <row r="209" customFormat="false" ht="15" hidden="false" customHeight="false" outlineLevel="0" collapsed="false">
      <c r="A209" s="25" t="s">
        <v>642</v>
      </c>
      <c r="B209" s="25" t="s">
        <v>655</v>
      </c>
      <c r="C209" s="25" t="s">
        <v>673</v>
      </c>
      <c r="D209" s="26" t="n">
        <v>3.39870105477617</v>
      </c>
      <c r="E209" s="26" t="n">
        <v>2.24900040254933</v>
      </c>
      <c r="F209" s="26" t="n">
        <v>-4.12123020127466</v>
      </c>
      <c r="G209" s="26" t="n">
        <v>-4.13450020127466</v>
      </c>
      <c r="H209" s="26" t="n">
        <v>-1.37222979872534</v>
      </c>
      <c r="I209" s="26" t="n">
        <v>-1.38549979872534</v>
      </c>
      <c r="J209" s="26" t="n">
        <v>24.03</v>
      </c>
      <c r="K209" s="27" t="n">
        <f aca="false">MIN(F209,G209)</f>
        <v>-4.13450020127466</v>
      </c>
      <c r="L209" s="27" t="n">
        <f aca="false">AVERAGE(F209,G209)</f>
        <v>-4.12786520127466</v>
      </c>
      <c r="M209" s="27" t="n">
        <f aca="false">MAX(0,NG-L209)</f>
        <v>3.42786520127466</v>
      </c>
      <c r="N209" s="27" t="n">
        <f aca="false">MAX(0,GWL-K209)</f>
        <v>2.63450020127466</v>
      </c>
      <c r="O209" s="27" t="n">
        <f aca="false">MAX(0,NG-MAX(K209,GWL))</f>
        <v>0.8</v>
      </c>
      <c r="P209" s="27" t="n">
        <f aca="false">E209/2+WS+SLOPE_A*O209+SLOPE_B*N209</f>
        <v>8.59350060382399</v>
      </c>
      <c r="Q209" s="28" t="str">
        <f aca="false">IF(AND(P209&lt;J209,N209&lt;=MAXOC),"Open cut","Shoring")</f>
        <v>Shoring</v>
      </c>
      <c r="R209" s="27" t="n">
        <f aca="false">IF(Q209="Shoring",D209,0)</f>
        <v>3.39870105477617</v>
      </c>
      <c r="S209" s="27" t="n">
        <f aca="false">MAX(0,GWL-L209)</f>
        <v>2.62786520127466</v>
      </c>
      <c r="T209" s="27" t="n">
        <f aca="false">MAX(0,NG-MAX(L209,GWL))</f>
        <v>0.8</v>
      </c>
      <c r="U209" s="27" t="n">
        <f aca="false">E209+2*WS</f>
        <v>4.24900040254933</v>
      </c>
      <c r="V209" s="27" t="n">
        <f aca="false">IF(Q209="Shoring",D209*M209*U209,0)</f>
        <v>49.5020829703524</v>
      </c>
      <c r="W209" s="27" t="n">
        <f aca="false">IF(Q209="Open cut",D209*(U209*M209+SLOPE_B*S209^2+2*SLOPE_B*S209*T209+SLOPE_A*T209^2),0)</f>
        <v>0</v>
      </c>
      <c r="X209" s="27" t="n">
        <f aca="false">IF(M209&gt;0,D209*(E209+2*SLABOVH)*SLAB,0)</f>
        <v>5.5211905475563</v>
      </c>
      <c r="Y209" s="27" t="n">
        <f aca="false">IF(M209&gt;0,D209*PI()*E209^2/4,0)</f>
        <v>13.5014966812475</v>
      </c>
      <c r="Z209" s="27" t="n">
        <f aca="false">IF(H209-E209&gt;=GWL,99,E209*(MAX(0,GWL-H209)*(GAM_S-GAM_W)+MAX(0,NG-MAX(H209,GWL))*GAM_D)/(GAM_W*PI()*E209^2/4))</f>
        <v>0.698299680336559</v>
      </c>
      <c r="AA209" s="27" t="n">
        <f aca="false">IF(I209-E209&gt;=GWL,99,E209*(MAX(0,GWL-I209)*(GAM_S-GAM_W)+MAX(0,NG-MAX(I209,GWL))*GAM_D)/(GAM_W*PI()*E209^2/4))</f>
        <v>0.712084306926509</v>
      </c>
      <c r="AB209" s="27" t="n">
        <f aca="false">IF(H209-E209&gt;=GWL,99,E209*(MAX(0,GWL-H209)*(GAM_S-GAM_W)+MAX(0,FL-MAX(H209,GWL))*GAM_D)/(GAM_W*PI()*E209^2/4))</f>
        <v>2.46422772878534</v>
      </c>
      <c r="AC209" s="27" t="n">
        <f aca="false">IF(I209-E209&gt;=GWL,99,E209*(MAX(0,GWL-I209)*(GAM_S-GAM_W)+MAX(0,FL-MAX(I209,GWL))*GAM_D)/(GAM_W*PI()*E209^2/4))</f>
        <v>2.47801235537529</v>
      </c>
    </row>
    <row r="210" customFormat="false" ht="15" hidden="false" customHeight="false" outlineLevel="0" collapsed="false">
      <c r="A210" s="25" t="s">
        <v>642</v>
      </c>
      <c r="B210" s="25" t="s">
        <v>655</v>
      </c>
      <c r="C210" s="25" t="s">
        <v>674</v>
      </c>
      <c r="D210" s="26" t="n">
        <v>3.31281792766965</v>
      </c>
      <c r="E210" s="26" t="n">
        <v>2.24900040254933</v>
      </c>
      <c r="F210" s="26" t="n">
        <v>-4.13450020127466</v>
      </c>
      <c r="G210" s="26" t="n">
        <v>-4.1342972348783</v>
      </c>
      <c r="H210" s="26" t="n">
        <v>-1.38549979872534</v>
      </c>
      <c r="I210" s="26" t="n">
        <v>-1.38529683232897</v>
      </c>
      <c r="J210" s="26" t="n">
        <v>21.62</v>
      </c>
      <c r="K210" s="27" t="n">
        <f aca="false">MIN(F210,G210)</f>
        <v>-4.13450020127466</v>
      </c>
      <c r="L210" s="27" t="n">
        <f aca="false">AVERAGE(F210,G210)</f>
        <v>-4.13439871807648</v>
      </c>
      <c r="M210" s="27" t="n">
        <f aca="false">MAX(0,NG-L210)</f>
        <v>3.43439871807648</v>
      </c>
      <c r="N210" s="27" t="n">
        <f aca="false">MAX(0,GWL-K210)</f>
        <v>2.63450020127466</v>
      </c>
      <c r="O210" s="27" t="n">
        <f aca="false">MAX(0,NG-MAX(K210,GWL))</f>
        <v>0.8</v>
      </c>
      <c r="P210" s="27" t="n">
        <f aca="false">E210/2+WS+SLOPE_A*O210+SLOPE_B*N210</f>
        <v>8.59350060382399</v>
      </c>
      <c r="Q210" s="28" t="str">
        <f aca="false">IF(AND(P210&lt;J210,N210&lt;=MAXOC),"Open cut","Shoring")</f>
        <v>Shoring</v>
      </c>
      <c r="R210" s="27" t="n">
        <f aca="false">IF(Q210="Shoring",D210,0)</f>
        <v>3.31281792766965</v>
      </c>
      <c r="S210" s="27" t="n">
        <f aca="false">MAX(0,GWL-L210)</f>
        <v>2.63439871807648</v>
      </c>
      <c r="T210" s="27" t="n">
        <f aca="false">MAX(0,NG-MAX(L210,GWL))</f>
        <v>0.8</v>
      </c>
      <c r="U210" s="27" t="n">
        <f aca="false">E210+2*WS</f>
        <v>4.24900040254933</v>
      </c>
      <c r="V210" s="27" t="n">
        <f aca="false">IF(Q210="Shoring",D210*M210*U210,0)</f>
        <v>48.3431620294161</v>
      </c>
      <c r="W210" s="27" t="n">
        <f aca="false">IF(Q210="Open cut",D210*(U210*M210+SLOPE_B*S210^2+2*SLOPE_B*S210*T210+SLOPE_A*T210^2),0)</f>
        <v>0</v>
      </c>
      <c r="X210" s="27" t="n">
        <f aca="false">IF(M210&gt;0,D210*(E210+2*SLABOVH)*SLAB,0)</f>
        <v>5.38167339028565</v>
      </c>
      <c r="Y210" s="27" t="n">
        <f aca="false">IF(M210&gt;0,D210*PI()*E210^2/4,0)</f>
        <v>13.1603219980625</v>
      </c>
      <c r="Z210" s="27" t="n">
        <f aca="false">IF(H210-E210&gt;=GWL,99,E210*(MAX(0,GWL-H210)*(GAM_S-GAM_W)+MAX(0,NG-MAX(H210,GWL))*GAM_D)/(GAM_W*PI()*E210^2/4))</f>
        <v>0.712084306926509</v>
      </c>
      <c r="AA210" s="27" t="n">
        <f aca="false">IF(I210-E210&gt;=GWL,99,E210*(MAX(0,GWL-I210)*(GAM_S-GAM_W)+MAX(0,NG-MAX(I210,GWL))*GAM_D)/(GAM_W*PI()*E210^2/4))</f>
        <v>0.711873469248723</v>
      </c>
      <c r="AB210" s="27" t="n">
        <f aca="false">IF(H210-E210&gt;=GWL,99,E210*(MAX(0,GWL-H210)*(GAM_S-GAM_W)+MAX(0,FL-MAX(H210,GWL))*GAM_D)/(GAM_W*PI()*E210^2/4))</f>
        <v>2.47801235537529</v>
      </c>
      <c r="AC210" s="27" t="n">
        <f aca="false">IF(I210-E210&gt;=GWL,99,E210*(MAX(0,GWL-I210)*(GAM_S-GAM_W)+MAX(0,FL-MAX(I210,GWL))*GAM_D)/(GAM_W*PI()*E210^2/4))</f>
        <v>2.4778015176975</v>
      </c>
    </row>
    <row r="211" customFormat="false" ht="15" hidden="false" customHeight="false" outlineLevel="0" collapsed="false">
      <c r="A211" s="25" t="s">
        <v>642</v>
      </c>
      <c r="B211" s="25" t="s">
        <v>655</v>
      </c>
      <c r="C211" s="25" t="s">
        <v>675</v>
      </c>
      <c r="D211" s="26" t="n">
        <v>7.39999999995806</v>
      </c>
      <c r="E211" s="26" t="n">
        <v>2.24900040254933</v>
      </c>
      <c r="F211" s="26" t="n">
        <v>-4.1342972348783</v>
      </c>
      <c r="G211" s="26" t="n">
        <v>-4.13384385912206</v>
      </c>
      <c r="H211" s="26" t="n">
        <v>-1.38529683232897</v>
      </c>
      <c r="I211" s="26" t="n">
        <v>-1.38484345657274</v>
      </c>
      <c r="J211" s="26" t="n">
        <v>16.65</v>
      </c>
      <c r="K211" s="27" t="n">
        <f aca="false">MIN(F211,G211)</f>
        <v>-4.1342972348783</v>
      </c>
      <c r="L211" s="27" t="n">
        <f aca="false">AVERAGE(F211,G211)</f>
        <v>-4.13407054700018</v>
      </c>
      <c r="M211" s="27" t="n">
        <f aca="false">MAX(0,NG-L211)</f>
        <v>3.43407054700018</v>
      </c>
      <c r="N211" s="27" t="n">
        <f aca="false">MAX(0,GWL-K211)</f>
        <v>2.6342972348783</v>
      </c>
      <c r="O211" s="27" t="n">
        <f aca="false">MAX(0,NG-MAX(K211,GWL))</f>
        <v>0.8</v>
      </c>
      <c r="P211" s="27" t="n">
        <f aca="false">E211/2+WS+SLOPE_A*O211+SLOPE_B*N211</f>
        <v>8.59309467103125</v>
      </c>
      <c r="Q211" s="28" t="str">
        <f aca="false">IF(AND(P211&lt;J211,N211&lt;=MAXOC),"Open cut","Shoring")</f>
        <v>Shoring</v>
      </c>
      <c r="R211" s="27" t="n">
        <f aca="false">IF(Q211="Shoring",D211,0)</f>
        <v>7.39999999995806</v>
      </c>
      <c r="S211" s="27" t="n">
        <f aca="false">MAX(0,GWL-L211)</f>
        <v>2.63407054700018</v>
      </c>
      <c r="T211" s="27" t="n">
        <f aca="false">MAX(0,NG-MAX(L211,GWL))</f>
        <v>0.8</v>
      </c>
      <c r="U211" s="27" t="n">
        <f aca="false">E211+2*WS</f>
        <v>4.24900040254933</v>
      </c>
      <c r="V211" s="27" t="n">
        <f aca="false">IF(Q211="Shoring",D211*M211*U211,0)</f>
        <v>107.976116810128</v>
      </c>
      <c r="W211" s="27" t="n">
        <f aca="false">IF(Q211="Open cut",D211*(U211*M211+SLOPE_B*S211^2+2*SLOPE_B*S211*T211+SLOPE_A*T211^2),0)</f>
        <v>0</v>
      </c>
      <c r="X211" s="27" t="n">
        <f aca="false">IF(M211&gt;0,D211*(E211+2*SLABOVH)*SLAB,0)</f>
        <v>12.0213014893644</v>
      </c>
      <c r="Y211" s="27" t="n">
        <f aca="false">IF(M211&gt;0,D211*PI()*E211^2/4,0)</f>
        <v>29.3968412727153</v>
      </c>
      <c r="Z211" s="27" t="n">
        <f aca="false">IF(H211-E211&gt;=GWL,99,E211*(MAX(0,GWL-H211)*(GAM_S-GAM_W)+MAX(0,NG-MAX(H211,GWL))*GAM_D)/(GAM_W*PI()*E211^2/4))</f>
        <v>0.711873469248723</v>
      </c>
      <c r="AA211" s="27" t="n">
        <f aca="false">IF(I211-E211&gt;=GWL,99,E211*(MAX(0,GWL-I211)*(GAM_S-GAM_W)+MAX(0,NG-MAX(I211,GWL))*GAM_D)/(GAM_W*PI()*E211^2/4))</f>
        <v>0.711402511034359</v>
      </c>
      <c r="AB211" s="27" t="n">
        <f aca="false">IF(H211-E211&gt;=GWL,99,E211*(MAX(0,GWL-H211)*(GAM_S-GAM_W)+MAX(0,FL-MAX(H211,GWL))*GAM_D)/(GAM_W*PI()*E211^2/4))</f>
        <v>2.4778015176975</v>
      </c>
      <c r="AC211" s="27" t="n">
        <f aca="false">IF(I211-E211&gt;=GWL,99,E211*(MAX(0,GWL-I211)*(GAM_S-GAM_W)+MAX(0,FL-MAX(I211,GWL))*GAM_D)/(GAM_W*PI()*E211^2/4))</f>
        <v>2.47733055948314</v>
      </c>
    </row>
    <row r="212" customFormat="false" ht="15" hidden="false" customHeight="false" outlineLevel="0" collapsed="false">
      <c r="A212" s="25" t="s">
        <v>642</v>
      </c>
      <c r="B212" s="25" t="s">
        <v>676</v>
      </c>
      <c r="C212" s="25" t="s">
        <v>677</v>
      </c>
      <c r="D212" s="26" t="n">
        <v>2.59999999971062</v>
      </c>
      <c r="E212" s="26" t="n">
        <v>2.24900040254933</v>
      </c>
      <c r="F212" s="26" t="n">
        <v>-4.13384385912206</v>
      </c>
      <c r="G212" s="26" t="n">
        <v>-4.13368456493744</v>
      </c>
      <c r="H212" s="26" t="n">
        <v>-1.38484345657274</v>
      </c>
      <c r="I212" s="26" t="n">
        <v>-1.38468416238812</v>
      </c>
      <c r="J212" s="26" t="n">
        <v>15.06</v>
      </c>
      <c r="K212" s="27" t="n">
        <f aca="false">MIN(F212,G212)</f>
        <v>-4.13384385912206</v>
      </c>
      <c r="L212" s="27" t="n">
        <f aca="false">AVERAGE(F212,G212)</f>
        <v>-4.13376421202975</v>
      </c>
      <c r="M212" s="27" t="n">
        <f aca="false">MAX(0,NG-L212)</f>
        <v>3.43376421202975</v>
      </c>
      <c r="N212" s="27" t="n">
        <f aca="false">MAX(0,GWL-K212)</f>
        <v>2.63384385912206</v>
      </c>
      <c r="O212" s="27" t="n">
        <f aca="false">MAX(0,NG-MAX(K212,GWL))</f>
        <v>0.8</v>
      </c>
      <c r="P212" s="27" t="n">
        <f aca="false">E212/2+WS+SLOPE_A*O212+SLOPE_B*N212</f>
        <v>8.59218791951879</v>
      </c>
      <c r="Q212" s="28" t="str">
        <f aca="false">IF(AND(P212&lt;J212,N212&lt;=MAXOC),"Open cut","Shoring")</f>
        <v>Shoring</v>
      </c>
      <c r="R212" s="27" t="n">
        <f aca="false">IF(Q212="Shoring",D212,0)</f>
        <v>2.59999999971062</v>
      </c>
      <c r="S212" s="27" t="n">
        <f aca="false">MAX(0,GWL-L212)</f>
        <v>2.63376421202975</v>
      </c>
      <c r="T212" s="27" t="n">
        <f aca="false">MAX(0,NG-MAX(L212,GWL))</f>
        <v>0.8</v>
      </c>
      <c r="U212" s="27" t="n">
        <f aca="false">E212+2*WS</f>
        <v>4.24900040254933</v>
      </c>
      <c r="V212" s="27" t="n">
        <f aca="false">IF(Q212="Shoring",D212*M212*U212,0)</f>
        <v>37.93417034563</v>
      </c>
      <c r="W212" s="27" t="n">
        <f aca="false">IF(Q212="Open cut",D212*(U212*M212+SLOPE_B*S212^2+2*SLOPE_B*S212*T212+SLOPE_A*T212^2),0)</f>
        <v>0</v>
      </c>
      <c r="X212" s="27" t="n">
        <f aca="false">IF(M212&gt;0,D212*(E212+2*SLABOVH)*SLAB,0)</f>
        <v>4.22370052284402</v>
      </c>
      <c r="Y212" s="27" t="n">
        <f aca="false">IF(M212&gt;0,D212*PI()*E212^2/4,0)</f>
        <v>10.3286199055387</v>
      </c>
      <c r="Z212" s="27" t="n">
        <f aca="false">IF(H212-E212&gt;=GWL,99,E212*(MAX(0,GWL-H212)*(GAM_S-GAM_W)+MAX(0,NG-MAX(H212,GWL))*GAM_D)/(GAM_W*PI()*E212^2/4))</f>
        <v>0.711402511034359</v>
      </c>
      <c r="AA212" s="27" t="n">
        <f aca="false">IF(I212-E212&gt;=GWL,99,E212*(MAX(0,GWL-I212)*(GAM_S-GAM_W)+MAX(0,NG-MAX(I212,GWL))*GAM_D)/(GAM_W*PI()*E212^2/4))</f>
        <v>0.711237039229313</v>
      </c>
      <c r="AB212" s="27" t="n">
        <f aca="false">IF(H212-E212&gt;=GWL,99,E212*(MAX(0,GWL-H212)*(GAM_S-GAM_W)+MAX(0,FL-MAX(H212,GWL))*GAM_D)/(GAM_W*PI()*E212^2/4))</f>
        <v>2.47733055948314</v>
      </c>
      <c r="AC212" s="27" t="n">
        <f aca="false">IF(I212-E212&gt;=GWL,99,E212*(MAX(0,GWL-I212)*(GAM_S-GAM_W)+MAX(0,FL-MAX(I212,GWL))*GAM_D)/(GAM_W*PI()*E212^2/4))</f>
        <v>2.47716508767809</v>
      </c>
    </row>
    <row r="213" customFormat="false" ht="15" hidden="false" customHeight="false" outlineLevel="0" collapsed="false">
      <c r="A213" s="25" t="s">
        <v>642</v>
      </c>
      <c r="B213" s="25" t="s">
        <v>676</v>
      </c>
      <c r="C213" s="25" t="s">
        <v>678</v>
      </c>
      <c r="D213" s="26" t="n">
        <v>9.99999999990251</v>
      </c>
      <c r="E213" s="26" t="n">
        <v>2.24900040254933</v>
      </c>
      <c r="F213" s="26" t="n">
        <v>-4.13368456493744</v>
      </c>
      <c r="G213" s="26" t="n">
        <v>-4.13307189499659</v>
      </c>
      <c r="H213" s="26" t="n">
        <v>-1.38468416238812</v>
      </c>
      <c r="I213" s="26" t="n">
        <v>-1.38407149244726</v>
      </c>
      <c r="J213" s="26" t="n">
        <v>10</v>
      </c>
      <c r="K213" s="27" t="n">
        <f aca="false">MIN(F213,G213)</f>
        <v>-4.13368456493744</v>
      </c>
      <c r="L213" s="27" t="n">
        <f aca="false">AVERAGE(F213,G213)</f>
        <v>-4.13337822996701</v>
      </c>
      <c r="M213" s="27" t="n">
        <f aca="false">MAX(0,NG-L213)</f>
        <v>3.43337822996701</v>
      </c>
      <c r="N213" s="27" t="n">
        <f aca="false">MAX(0,GWL-K213)</f>
        <v>2.63368456493744</v>
      </c>
      <c r="O213" s="27" t="n">
        <f aca="false">MAX(0,NG-MAX(K213,GWL))</f>
        <v>0.8</v>
      </c>
      <c r="P213" s="27" t="n">
        <f aca="false">E213/2+WS+SLOPE_A*O213+SLOPE_B*N213</f>
        <v>8.59186933114955</v>
      </c>
      <c r="Q213" s="28" t="str">
        <f aca="false">IF(AND(P213&lt;J213,N213&lt;=MAXOC),"Open cut","Shoring")</f>
        <v>Shoring</v>
      </c>
      <c r="R213" s="27" t="n">
        <f aca="false">IF(Q213="Shoring",D213,0)</f>
        <v>9.99999999990251</v>
      </c>
      <c r="S213" s="27" t="n">
        <f aca="false">MAX(0,GWL-L213)</f>
        <v>2.63337822996701</v>
      </c>
      <c r="T213" s="27" t="n">
        <f aca="false">MAX(0,NG-MAX(L213,GWL))</f>
        <v>0.8</v>
      </c>
      <c r="U213" s="27" t="n">
        <f aca="false">E213+2*WS</f>
        <v>4.24900040254933</v>
      </c>
      <c r="V213" s="27" t="n">
        <f aca="false">IF(Q213="Shoring",D213*M213*U213,0)</f>
        <v>145.884254810917</v>
      </c>
      <c r="W213" s="27" t="n">
        <f aca="false">IF(Q213="Open cut",D213*(U213*M213+SLOPE_B*S213^2+2*SLOPE_B*S213*T213+SLOPE_A*T213^2),0)</f>
        <v>0</v>
      </c>
      <c r="X213" s="27" t="n">
        <f aca="false">IF(M213&gt;0,D213*(E213+2*SLABOVH)*SLAB,0)</f>
        <v>16.2450020125883</v>
      </c>
      <c r="Y213" s="27" t="n">
        <f aca="false">IF(M213&gt;0,D213*PI()*E213^2/4,0)</f>
        <v>39.7254611791829</v>
      </c>
      <c r="Z213" s="27" t="n">
        <f aca="false">IF(H213-E213&gt;=GWL,99,E213*(MAX(0,GWL-H213)*(GAM_S-GAM_W)+MAX(0,NG-MAX(H213,GWL))*GAM_D)/(GAM_W*PI()*E213^2/4))</f>
        <v>0.711237039229313</v>
      </c>
      <c r="AA213" s="27" t="n">
        <f aca="false">IF(I213-E213&gt;=GWL,99,E213*(MAX(0,GWL-I213)*(GAM_S-GAM_W)+MAX(0,NG-MAX(I213,GWL))*GAM_D)/(GAM_W*PI()*E213^2/4))</f>
        <v>0.7106006092099</v>
      </c>
      <c r="AB213" s="27" t="n">
        <f aca="false">IF(H213-E213&gt;=GWL,99,E213*(MAX(0,GWL-H213)*(GAM_S-GAM_W)+MAX(0,FL-MAX(H213,GWL))*GAM_D)/(GAM_W*PI()*E213^2/4))</f>
        <v>2.47716508767809</v>
      </c>
      <c r="AC213" s="27" t="n">
        <f aca="false">IF(I213-E213&gt;=GWL,99,E213*(MAX(0,GWL-I213)*(GAM_S-GAM_W)+MAX(0,FL-MAX(I213,GWL))*GAM_D)/(GAM_W*PI()*E213^2/4))</f>
        <v>2.47652865765868</v>
      </c>
    </row>
    <row r="214" customFormat="false" ht="15" hidden="false" customHeight="false" outlineLevel="0" collapsed="false">
      <c r="A214" s="25" t="s">
        <v>642</v>
      </c>
      <c r="B214" s="25" t="s">
        <v>676</v>
      </c>
      <c r="C214" s="25" t="s">
        <v>679</v>
      </c>
      <c r="D214" s="26" t="n">
        <v>10.0000000003702</v>
      </c>
      <c r="E214" s="26" t="n">
        <v>2.24900040254933</v>
      </c>
      <c r="F214" s="26" t="n">
        <v>-4.13307189499659</v>
      </c>
      <c r="G214" s="26" t="n">
        <v>-4.13245922505573</v>
      </c>
      <c r="H214" s="26" t="n">
        <v>-1.38407149244726</v>
      </c>
      <c r="I214" s="26" t="n">
        <v>-1.3834588225064</v>
      </c>
      <c r="J214" s="26" t="n">
        <v>7.07</v>
      </c>
      <c r="K214" s="27" t="n">
        <f aca="false">MIN(F214,G214)</f>
        <v>-4.13307189499659</v>
      </c>
      <c r="L214" s="27" t="n">
        <f aca="false">AVERAGE(F214,G214)</f>
        <v>-4.13276556002616</v>
      </c>
      <c r="M214" s="27" t="n">
        <f aca="false">MAX(0,NG-L214)</f>
        <v>3.43276556002616</v>
      </c>
      <c r="N214" s="27" t="n">
        <f aca="false">MAX(0,GWL-K214)</f>
        <v>2.63307189499658</v>
      </c>
      <c r="O214" s="27" t="n">
        <f aca="false">MAX(0,NG-MAX(K214,GWL))</f>
        <v>0.8</v>
      </c>
      <c r="P214" s="27" t="n">
        <f aca="false">E214/2+WS+SLOPE_A*O214+SLOPE_B*N214</f>
        <v>8.59064399126783</v>
      </c>
      <c r="Q214" s="28" t="str">
        <f aca="false">IF(AND(P214&lt;J214,N214&lt;=MAXOC),"Open cut","Shoring")</f>
        <v>Shoring</v>
      </c>
      <c r="R214" s="27" t="n">
        <f aca="false">IF(Q214="Shoring",D214,0)</f>
        <v>10.0000000003702</v>
      </c>
      <c r="S214" s="27" t="n">
        <f aca="false">MAX(0,GWL-L214)</f>
        <v>2.63276556002616</v>
      </c>
      <c r="T214" s="27" t="n">
        <f aca="false">MAX(0,NG-MAX(L214,GWL))</f>
        <v>0.8</v>
      </c>
      <c r="U214" s="27" t="n">
        <f aca="false">E214+2*WS</f>
        <v>4.24900040254933</v>
      </c>
      <c r="V214" s="27" t="n">
        <f aca="false">IF(Q214="Shoring",D214*M214*U214,0)</f>
        <v>145.858222469485</v>
      </c>
      <c r="W214" s="27" t="n">
        <f aca="false">IF(Q214="Open cut",D214*(U214*M214+SLOPE_B*S214^2+2*SLOPE_B*S214*T214+SLOPE_A*T214^2),0)</f>
        <v>0</v>
      </c>
      <c r="X214" s="27" t="n">
        <f aca="false">IF(M214&gt;0,D214*(E214+2*SLABOVH)*SLAB,0)</f>
        <v>16.245002013348</v>
      </c>
      <c r="Y214" s="27" t="n">
        <f aca="false">IF(M214&gt;0,D214*PI()*E214^2/4,0)</f>
        <v>39.7254611810407</v>
      </c>
      <c r="Z214" s="27" t="n">
        <f aca="false">IF(H214-E214&gt;=GWL,99,E214*(MAX(0,GWL-H214)*(GAM_S-GAM_W)+MAX(0,NG-MAX(H214,GWL))*GAM_D)/(GAM_W*PI()*E214^2/4))</f>
        <v>0.7106006092099</v>
      </c>
      <c r="AA214" s="27" t="n">
        <f aca="false">IF(I214-E214&gt;=GWL,99,E214*(MAX(0,GWL-I214)*(GAM_S-GAM_W)+MAX(0,NG-MAX(I214,GWL))*GAM_D)/(GAM_W*PI()*E214^2/4))</f>
        <v>0.709964179190489</v>
      </c>
      <c r="AB214" s="27" t="n">
        <f aca="false">IF(H214-E214&gt;=GWL,99,E214*(MAX(0,GWL-H214)*(GAM_S-GAM_W)+MAX(0,FL-MAX(H214,GWL))*GAM_D)/(GAM_W*PI()*E214^2/4))</f>
        <v>2.47652865765868</v>
      </c>
      <c r="AC214" s="27" t="n">
        <f aca="false">IF(I214-E214&gt;=GWL,99,E214*(MAX(0,GWL-I214)*(GAM_S-GAM_W)+MAX(0,FL-MAX(I214,GWL))*GAM_D)/(GAM_W*PI()*E214^2/4))</f>
        <v>2.47589222763927</v>
      </c>
    </row>
    <row r="215" customFormat="false" ht="15" hidden="false" customHeight="false" outlineLevel="0" collapsed="false">
      <c r="A215" s="25" t="s">
        <v>642</v>
      </c>
      <c r="B215" s="25" t="s">
        <v>676</v>
      </c>
      <c r="C215" s="25" t="s">
        <v>680</v>
      </c>
      <c r="D215" s="26" t="n">
        <v>9.99999999990251</v>
      </c>
      <c r="E215" s="26" t="n">
        <v>2.24900040254933</v>
      </c>
      <c r="F215" s="26" t="n">
        <v>-4.13245922505573</v>
      </c>
      <c r="G215" s="26" t="n">
        <v>-4.13184655511487</v>
      </c>
      <c r="H215" s="26" t="n">
        <v>-1.3834588225064</v>
      </c>
      <c r="I215" s="26" t="n">
        <v>-1.38284615256555</v>
      </c>
      <c r="J215" s="26" t="n">
        <v>6.56</v>
      </c>
      <c r="K215" s="27" t="n">
        <f aca="false">MIN(F215,G215)</f>
        <v>-4.13245922505573</v>
      </c>
      <c r="L215" s="27" t="n">
        <f aca="false">AVERAGE(F215,G215)</f>
        <v>-4.1321528900853</v>
      </c>
      <c r="M215" s="27" t="n">
        <f aca="false">MAX(0,NG-L215)</f>
        <v>3.4321528900853</v>
      </c>
      <c r="N215" s="27" t="n">
        <f aca="false">MAX(0,GWL-K215)</f>
        <v>2.63245922505573</v>
      </c>
      <c r="O215" s="27" t="n">
        <f aca="false">MAX(0,NG-MAX(K215,GWL))</f>
        <v>0.8</v>
      </c>
      <c r="P215" s="27" t="n">
        <f aca="false">E215/2+WS+SLOPE_A*O215+SLOPE_B*N215</f>
        <v>8.58941865138612</v>
      </c>
      <c r="Q215" s="28" t="str">
        <f aca="false">IF(AND(P215&lt;J215,N215&lt;=MAXOC),"Open cut","Shoring")</f>
        <v>Shoring</v>
      </c>
      <c r="R215" s="27" t="n">
        <f aca="false">IF(Q215="Shoring",D215,0)</f>
        <v>9.99999999990251</v>
      </c>
      <c r="S215" s="27" t="n">
        <f aca="false">MAX(0,GWL-L215)</f>
        <v>2.6321528900853</v>
      </c>
      <c r="T215" s="27" t="n">
        <f aca="false">MAX(0,NG-MAX(L215,GWL))</f>
        <v>0.8</v>
      </c>
      <c r="U215" s="27" t="n">
        <f aca="false">E215+2*WS</f>
        <v>4.24900040254933</v>
      </c>
      <c r="V215" s="27" t="n">
        <f aca="false">IF(Q215="Shoring",D215*M215*U215,0)</f>
        <v>145.832190114411</v>
      </c>
      <c r="W215" s="27" t="n">
        <f aca="false">IF(Q215="Open cut",D215*(U215*M215+SLOPE_B*S215^2+2*SLOPE_B*S215*T215+SLOPE_A*T215^2),0)</f>
        <v>0</v>
      </c>
      <c r="X215" s="27" t="n">
        <f aca="false">IF(M215&gt;0,D215*(E215+2*SLABOVH)*SLAB,0)</f>
        <v>16.2450020125883</v>
      </c>
      <c r="Y215" s="27" t="n">
        <f aca="false">IF(M215&gt;0,D215*PI()*E215^2/4,0)</f>
        <v>39.7254611791829</v>
      </c>
      <c r="Z215" s="27" t="n">
        <f aca="false">IF(H215-E215&gt;=GWL,99,E215*(MAX(0,GWL-H215)*(GAM_S-GAM_W)+MAX(0,NG-MAX(H215,GWL))*GAM_D)/(GAM_W*PI()*E215^2/4))</f>
        <v>0.709964179190489</v>
      </c>
      <c r="AA215" s="27" t="n">
        <f aca="false">IF(I215-E215&gt;=GWL,99,E215*(MAX(0,GWL-I215)*(GAM_S-GAM_W)+MAX(0,NG-MAX(I215,GWL))*GAM_D)/(GAM_W*PI()*E215^2/4))</f>
        <v>0.709327749171078</v>
      </c>
      <c r="AB215" s="27" t="n">
        <f aca="false">IF(H215-E215&gt;=GWL,99,E215*(MAX(0,GWL-H215)*(GAM_S-GAM_W)+MAX(0,FL-MAX(H215,GWL))*GAM_D)/(GAM_W*PI()*E215^2/4))</f>
        <v>2.47589222763927</v>
      </c>
      <c r="AC215" s="27" t="n">
        <f aca="false">IF(I215-E215&gt;=GWL,99,E215*(MAX(0,GWL-I215)*(GAM_S-GAM_W)+MAX(0,FL-MAX(I215,GWL))*GAM_D)/(GAM_W*PI()*E215^2/4))</f>
        <v>2.47525579761986</v>
      </c>
    </row>
    <row r="216" customFormat="false" ht="15" hidden="false" customHeight="false" outlineLevel="0" collapsed="false">
      <c r="A216" s="25" t="s">
        <v>642</v>
      </c>
      <c r="B216" s="25" t="s">
        <v>676</v>
      </c>
      <c r="C216" s="25" t="s">
        <v>681</v>
      </c>
      <c r="D216" s="26" t="n">
        <v>9.99999999966868</v>
      </c>
      <c r="E216" s="26" t="n">
        <v>2.24900040254933</v>
      </c>
      <c r="F216" s="26" t="n">
        <v>-4.13184655511487</v>
      </c>
      <c r="G216" s="26" t="n">
        <v>-4.13123388517402</v>
      </c>
      <c r="H216" s="26" t="n">
        <v>-1.38284615256555</v>
      </c>
      <c r="I216" s="26" t="n">
        <v>-1.38223348262469</v>
      </c>
      <c r="J216" s="26" t="n">
        <v>6.78</v>
      </c>
      <c r="K216" s="27" t="n">
        <f aca="false">MIN(F216,G216)</f>
        <v>-4.13184655511487</v>
      </c>
      <c r="L216" s="27" t="n">
        <f aca="false">AVERAGE(F216,G216)</f>
        <v>-4.13154022014444</v>
      </c>
      <c r="M216" s="27" t="n">
        <f aca="false">MAX(0,NG-L216)</f>
        <v>3.43154022014444</v>
      </c>
      <c r="N216" s="27" t="n">
        <f aca="false">MAX(0,GWL-K216)</f>
        <v>2.63184655511487</v>
      </c>
      <c r="O216" s="27" t="n">
        <f aca="false">MAX(0,NG-MAX(K216,GWL))</f>
        <v>0.8</v>
      </c>
      <c r="P216" s="27" t="n">
        <f aca="false">E216/2+WS+SLOPE_A*O216+SLOPE_B*N216</f>
        <v>8.58819331150441</v>
      </c>
      <c r="Q216" s="28" t="str">
        <f aca="false">IF(AND(P216&lt;J216,N216&lt;=MAXOC),"Open cut","Shoring")</f>
        <v>Shoring</v>
      </c>
      <c r="R216" s="27" t="n">
        <f aca="false">IF(Q216="Shoring",D216,0)</f>
        <v>9.99999999966868</v>
      </c>
      <c r="S216" s="27" t="n">
        <f aca="false">MAX(0,GWL-L216)</f>
        <v>2.63154022014444</v>
      </c>
      <c r="T216" s="27" t="n">
        <f aca="false">MAX(0,NG-MAX(L216,GWL))</f>
        <v>0.8</v>
      </c>
      <c r="U216" s="27" t="n">
        <f aca="false">E216+2*WS</f>
        <v>4.24900040254933</v>
      </c>
      <c r="V216" s="27" t="n">
        <f aca="false">IF(Q216="Shoring",D216*M216*U216,0)</f>
        <v>145.806157762749</v>
      </c>
      <c r="W216" s="27" t="n">
        <f aca="false">IF(Q216="Open cut",D216*(U216*M216+SLOPE_B*S216^2+2*SLOPE_B*S216*T216+SLOPE_A*T216^2),0)</f>
        <v>0</v>
      </c>
      <c r="X216" s="27" t="n">
        <f aca="false">IF(M216&gt;0,D216*(E216+2*SLABOVH)*SLAB,0)</f>
        <v>16.2450020122084</v>
      </c>
      <c r="Y216" s="27" t="n">
        <f aca="false">IF(M216&gt;0,D216*PI()*E216^2/4,0)</f>
        <v>39.725461178254</v>
      </c>
      <c r="Z216" s="27" t="n">
        <f aca="false">IF(H216-E216&gt;=GWL,99,E216*(MAX(0,GWL-H216)*(GAM_S-GAM_W)+MAX(0,NG-MAX(H216,GWL))*GAM_D)/(GAM_W*PI()*E216^2/4))</f>
        <v>0.709327749171078</v>
      </c>
      <c r="AA216" s="27" t="n">
        <f aca="false">IF(I216-E216&gt;=GWL,99,E216*(MAX(0,GWL-I216)*(GAM_S-GAM_W)+MAX(0,NG-MAX(I216,GWL))*GAM_D)/(GAM_W*PI()*E216^2/4))</f>
        <v>0.708691319151667</v>
      </c>
      <c r="AB216" s="27" t="n">
        <f aca="false">IF(H216-E216&gt;=GWL,99,E216*(MAX(0,GWL-H216)*(GAM_S-GAM_W)+MAX(0,FL-MAX(H216,GWL))*GAM_D)/(GAM_W*PI()*E216^2/4))</f>
        <v>2.47525579761986</v>
      </c>
      <c r="AC216" s="27" t="n">
        <f aca="false">IF(I216-E216&gt;=GWL,99,E216*(MAX(0,GWL-I216)*(GAM_S-GAM_W)+MAX(0,FL-MAX(I216,GWL))*GAM_D)/(GAM_W*PI()*E216^2/4))</f>
        <v>2.47461936760045</v>
      </c>
    </row>
    <row r="217" customFormat="false" ht="15" hidden="false" customHeight="false" outlineLevel="0" collapsed="false">
      <c r="A217" s="25" t="s">
        <v>642</v>
      </c>
      <c r="B217" s="25" t="s">
        <v>676</v>
      </c>
      <c r="C217" s="25" t="s">
        <v>682</v>
      </c>
      <c r="D217" s="26" t="n">
        <v>9.99999999990251</v>
      </c>
      <c r="E217" s="26" t="n">
        <v>2.24900040254933</v>
      </c>
      <c r="F217" s="26" t="n">
        <v>-4.13123388517402</v>
      </c>
      <c r="G217" s="26" t="n">
        <v>-4.13062121523316</v>
      </c>
      <c r="H217" s="26" t="n">
        <v>-1.38223348262469</v>
      </c>
      <c r="I217" s="26" t="n">
        <v>-1.38162081268383</v>
      </c>
      <c r="J217" s="26" t="n">
        <v>9.21</v>
      </c>
      <c r="K217" s="27" t="n">
        <f aca="false">MIN(F217,G217)</f>
        <v>-4.13123388517402</v>
      </c>
      <c r="L217" s="27" t="n">
        <f aca="false">AVERAGE(F217,G217)</f>
        <v>-4.13092755020359</v>
      </c>
      <c r="M217" s="27" t="n">
        <f aca="false">MAX(0,NG-L217)</f>
        <v>3.43092755020359</v>
      </c>
      <c r="N217" s="27" t="n">
        <f aca="false">MAX(0,GWL-K217)</f>
        <v>2.63123388517402</v>
      </c>
      <c r="O217" s="27" t="n">
        <f aca="false">MAX(0,NG-MAX(K217,GWL))</f>
        <v>0.8</v>
      </c>
      <c r="P217" s="27" t="n">
        <f aca="false">E217/2+WS+SLOPE_A*O217+SLOPE_B*N217</f>
        <v>8.5869679716227</v>
      </c>
      <c r="Q217" s="28" t="str">
        <f aca="false">IF(AND(P217&lt;J217,N217&lt;=MAXOC),"Open cut","Shoring")</f>
        <v>Shoring</v>
      </c>
      <c r="R217" s="27" t="n">
        <f aca="false">IF(Q217="Shoring",D217,0)</f>
        <v>9.99999999990251</v>
      </c>
      <c r="S217" s="27" t="n">
        <f aca="false">MAX(0,GWL-L217)</f>
        <v>2.63092755020359</v>
      </c>
      <c r="T217" s="27" t="n">
        <f aca="false">MAX(0,NG-MAX(L217,GWL))</f>
        <v>0.8</v>
      </c>
      <c r="U217" s="27" t="n">
        <f aca="false">E217+2*WS</f>
        <v>4.24900040254933</v>
      </c>
      <c r="V217" s="27" t="n">
        <f aca="false">IF(Q217="Shoring",D217*M217*U217,0)</f>
        <v>145.780125417905</v>
      </c>
      <c r="W217" s="27" t="n">
        <f aca="false">IF(Q217="Open cut",D217*(U217*M217+SLOPE_B*S217^2+2*SLOPE_B*S217*T217+SLOPE_A*T217^2),0)</f>
        <v>0</v>
      </c>
      <c r="X217" s="27" t="n">
        <f aca="false">IF(M217&gt;0,D217*(E217+2*SLABOVH)*SLAB,0)</f>
        <v>16.2450020125883</v>
      </c>
      <c r="Y217" s="27" t="n">
        <f aca="false">IF(M217&gt;0,D217*PI()*E217^2/4,0)</f>
        <v>39.7254611791829</v>
      </c>
      <c r="Z217" s="27" t="n">
        <f aca="false">IF(H217-E217&gt;=GWL,99,E217*(MAX(0,GWL-H217)*(GAM_S-GAM_W)+MAX(0,NG-MAX(H217,GWL))*GAM_D)/(GAM_W*PI()*E217^2/4))</f>
        <v>0.708691319151667</v>
      </c>
      <c r="AA217" s="27" t="n">
        <f aca="false">IF(I217-E217&gt;=GWL,99,E217*(MAX(0,GWL-I217)*(GAM_S-GAM_W)+MAX(0,NG-MAX(I217,GWL))*GAM_D)/(GAM_W*PI()*E217^2/4))</f>
        <v>0.708054889132255</v>
      </c>
      <c r="AB217" s="27" t="n">
        <f aca="false">IF(H217-E217&gt;=GWL,99,E217*(MAX(0,GWL-H217)*(GAM_S-GAM_W)+MAX(0,FL-MAX(H217,GWL))*GAM_D)/(GAM_W*PI()*E217^2/4))</f>
        <v>2.47461936760045</v>
      </c>
      <c r="AC217" s="27" t="n">
        <f aca="false">IF(I217-E217&gt;=GWL,99,E217*(MAX(0,GWL-I217)*(GAM_S-GAM_W)+MAX(0,FL-MAX(I217,GWL))*GAM_D)/(GAM_W*PI()*E217^2/4))</f>
        <v>2.47398293758103</v>
      </c>
    </row>
    <row r="218" customFormat="false" ht="15" hidden="false" customHeight="false" outlineLevel="0" collapsed="false">
      <c r="A218" s="25" t="s">
        <v>642</v>
      </c>
      <c r="B218" s="25" t="s">
        <v>676</v>
      </c>
      <c r="C218" s="25" t="s">
        <v>683</v>
      </c>
      <c r="D218" s="26" t="n">
        <v>10.0000000003702</v>
      </c>
      <c r="E218" s="26" t="n">
        <v>2.24900040254933</v>
      </c>
      <c r="F218" s="26" t="n">
        <v>-4.13062121523316</v>
      </c>
      <c r="G218" s="26" t="n">
        <v>-4.1300085452923</v>
      </c>
      <c r="H218" s="26" t="n">
        <v>-1.38162081268383</v>
      </c>
      <c r="I218" s="26" t="n">
        <v>-1.38100814274298</v>
      </c>
      <c r="J218" s="26" t="n">
        <v>13.89</v>
      </c>
      <c r="K218" s="27" t="n">
        <f aca="false">MIN(F218,G218)</f>
        <v>-4.13062121523316</v>
      </c>
      <c r="L218" s="27" t="n">
        <f aca="false">AVERAGE(F218,G218)</f>
        <v>-4.13031488026273</v>
      </c>
      <c r="M218" s="27" t="n">
        <f aca="false">MAX(0,NG-L218)</f>
        <v>3.43031488026273</v>
      </c>
      <c r="N218" s="27" t="n">
        <f aca="false">MAX(0,GWL-K218)</f>
        <v>2.63062121523316</v>
      </c>
      <c r="O218" s="27" t="n">
        <f aca="false">MAX(0,NG-MAX(K218,GWL))</f>
        <v>0.8</v>
      </c>
      <c r="P218" s="27" t="n">
        <f aca="false">E218/2+WS+SLOPE_A*O218+SLOPE_B*N218</f>
        <v>8.58574263174098</v>
      </c>
      <c r="Q218" s="28" t="str">
        <f aca="false">IF(AND(P218&lt;J218,N218&lt;=MAXOC),"Open cut","Shoring")</f>
        <v>Shoring</v>
      </c>
      <c r="R218" s="27" t="n">
        <f aca="false">IF(Q218="Shoring",D218,0)</f>
        <v>10.0000000003702</v>
      </c>
      <c r="S218" s="27" t="n">
        <f aca="false">MAX(0,GWL-L218)</f>
        <v>2.63031488026273</v>
      </c>
      <c r="T218" s="27" t="n">
        <f aca="false">MAX(0,NG-MAX(L218,GWL))</f>
        <v>0.8</v>
      </c>
      <c r="U218" s="27" t="n">
        <f aca="false">E218+2*WS</f>
        <v>4.24900040254933</v>
      </c>
      <c r="V218" s="27" t="n">
        <f aca="false">IF(Q218="Shoring",D218*M218*U218,0)</f>
        <v>145.754093076468</v>
      </c>
      <c r="W218" s="27" t="n">
        <f aca="false">IF(Q218="Open cut",D218*(U218*M218+SLOPE_B*S218^2+2*SLOPE_B*S218*T218+SLOPE_A*T218^2),0)</f>
        <v>0</v>
      </c>
      <c r="X218" s="27" t="n">
        <f aca="false">IF(M218&gt;0,D218*(E218+2*SLABOVH)*SLAB,0)</f>
        <v>16.245002013348</v>
      </c>
      <c r="Y218" s="27" t="n">
        <f aca="false">IF(M218&gt;0,D218*PI()*E218^2/4,0)</f>
        <v>39.7254611810407</v>
      </c>
      <c r="Z218" s="27" t="n">
        <f aca="false">IF(H218-E218&gt;=GWL,99,E218*(MAX(0,GWL-H218)*(GAM_S-GAM_W)+MAX(0,NG-MAX(H218,GWL))*GAM_D)/(GAM_W*PI()*E218^2/4))</f>
        <v>0.708054889132255</v>
      </c>
      <c r="AA218" s="27" t="n">
        <f aca="false">IF(I218-E218&gt;=GWL,99,E218*(MAX(0,GWL-I218)*(GAM_S-GAM_W)+MAX(0,NG-MAX(I218,GWL))*GAM_D)/(GAM_W*PI()*E218^2/4))</f>
        <v>0.707418459112843</v>
      </c>
      <c r="AB218" s="27" t="n">
        <f aca="false">IF(H218-E218&gt;=GWL,99,E218*(MAX(0,GWL-H218)*(GAM_S-GAM_W)+MAX(0,FL-MAX(H218,GWL))*GAM_D)/(GAM_W*PI()*E218^2/4))</f>
        <v>2.47398293758103</v>
      </c>
      <c r="AC218" s="27" t="n">
        <f aca="false">IF(I218-E218&gt;=GWL,99,E218*(MAX(0,GWL-I218)*(GAM_S-GAM_W)+MAX(0,FL-MAX(I218,GWL))*GAM_D)/(GAM_W*PI()*E218^2/4))</f>
        <v>2.47334650756162</v>
      </c>
    </row>
    <row r="219" customFormat="false" ht="15" hidden="false" customHeight="false" outlineLevel="0" collapsed="false">
      <c r="A219" s="25" t="s">
        <v>642</v>
      </c>
      <c r="B219" s="25" t="s">
        <v>676</v>
      </c>
      <c r="C219" s="25" t="s">
        <v>684</v>
      </c>
      <c r="D219" s="26" t="n">
        <v>10.0000000000032</v>
      </c>
      <c r="E219" s="26" t="n">
        <v>2.24900040254933</v>
      </c>
      <c r="F219" s="26" t="n">
        <v>-4.1300085452923</v>
      </c>
      <c r="G219" s="26" t="n">
        <v>-4.12939587535145</v>
      </c>
      <c r="H219" s="26" t="n">
        <v>-1.38100814274298</v>
      </c>
      <c r="I219" s="26" t="n">
        <v>-1.38039547280212</v>
      </c>
      <c r="J219" s="26" t="n">
        <v>14.53</v>
      </c>
      <c r="K219" s="27" t="n">
        <f aca="false">MIN(F219,G219)</f>
        <v>-4.1300085452923</v>
      </c>
      <c r="L219" s="27" t="n">
        <f aca="false">AVERAGE(F219,G219)</f>
        <v>-4.12970221032188</v>
      </c>
      <c r="M219" s="27" t="n">
        <f aca="false">MAX(0,NG-L219)</f>
        <v>3.42970221032188</v>
      </c>
      <c r="N219" s="27" t="n">
        <f aca="false">MAX(0,GWL-K219)</f>
        <v>2.6300085452923</v>
      </c>
      <c r="O219" s="27" t="n">
        <f aca="false">MAX(0,NG-MAX(K219,GWL))</f>
        <v>0.8</v>
      </c>
      <c r="P219" s="27" t="n">
        <f aca="false">E219/2+WS+SLOPE_A*O219+SLOPE_B*N219</f>
        <v>8.58451729185927</v>
      </c>
      <c r="Q219" s="28" t="str">
        <f aca="false">IF(AND(P219&lt;J219,N219&lt;=MAXOC),"Open cut","Shoring")</f>
        <v>Shoring</v>
      </c>
      <c r="R219" s="27" t="n">
        <f aca="false">IF(Q219="Shoring",D219,0)</f>
        <v>10.0000000000032</v>
      </c>
      <c r="S219" s="27" t="n">
        <f aca="false">MAX(0,GWL-L219)</f>
        <v>2.62970221032188</v>
      </c>
      <c r="T219" s="27" t="n">
        <f aca="false">MAX(0,NG-MAX(L219,GWL))</f>
        <v>0.8</v>
      </c>
      <c r="U219" s="27" t="n">
        <f aca="false">E219+2*WS</f>
        <v>4.24900040254933</v>
      </c>
      <c r="V219" s="27" t="n">
        <f aca="false">IF(Q219="Shoring",D219*M219*U219,0)</f>
        <v>145.728060722866</v>
      </c>
      <c r="W219" s="27" t="n">
        <f aca="false">IF(Q219="Open cut",D219*(U219*M219+SLOPE_B*S219^2+2*SLOPE_B*S219*T219+SLOPE_A*T219^2),0)</f>
        <v>0</v>
      </c>
      <c r="X219" s="27" t="n">
        <f aca="false">IF(M219&gt;0,D219*(E219+2*SLABOVH)*SLAB,0)</f>
        <v>16.2450020127518</v>
      </c>
      <c r="Y219" s="27" t="n">
        <f aca="false">IF(M219&gt;0,D219*PI()*E219^2/4,0)</f>
        <v>39.7254611795828</v>
      </c>
      <c r="Z219" s="27" t="n">
        <f aca="false">IF(H219-E219&gt;=GWL,99,E219*(MAX(0,GWL-H219)*(GAM_S-GAM_W)+MAX(0,NG-MAX(H219,GWL))*GAM_D)/(GAM_W*PI()*E219^2/4))</f>
        <v>0.707418459112843</v>
      </c>
      <c r="AA219" s="27" t="n">
        <f aca="false">IF(I219-E219&gt;=GWL,99,E219*(MAX(0,GWL-I219)*(GAM_S-GAM_W)+MAX(0,NG-MAX(I219,GWL))*GAM_D)/(GAM_W*PI()*E219^2/4))</f>
        <v>0.706782029093432</v>
      </c>
      <c r="AB219" s="27" t="n">
        <f aca="false">IF(H219-E219&gt;=GWL,99,E219*(MAX(0,GWL-H219)*(GAM_S-GAM_W)+MAX(0,FL-MAX(H219,GWL))*GAM_D)/(GAM_W*PI()*E219^2/4))</f>
        <v>2.47334650756162</v>
      </c>
      <c r="AC219" s="27" t="n">
        <f aca="false">IF(I219-E219&gt;=GWL,99,E219*(MAX(0,GWL-I219)*(GAM_S-GAM_W)+MAX(0,FL-MAX(I219,GWL))*GAM_D)/(GAM_W*PI()*E219^2/4))</f>
        <v>2.47271007754221</v>
      </c>
    </row>
    <row r="220" customFormat="false" ht="15" hidden="false" customHeight="false" outlineLevel="0" collapsed="false">
      <c r="A220" s="25" t="s">
        <v>642</v>
      </c>
      <c r="B220" s="25" t="s">
        <v>676</v>
      </c>
      <c r="C220" s="25" t="s">
        <v>685</v>
      </c>
      <c r="D220" s="26" t="n">
        <v>9.99999999990251</v>
      </c>
      <c r="E220" s="26" t="n">
        <v>2.24900040254933</v>
      </c>
      <c r="F220" s="26" t="n">
        <v>-4.12939587535145</v>
      </c>
      <c r="G220" s="26" t="n">
        <v>-4.12878320541059</v>
      </c>
      <c r="H220" s="26" t="n">
        <v>-1.38039547280212</v>
      </c>
      <c r="I220" s="26" t="n">
        <v>-1.37978280286127</v>
      </c>
      <c r="J220" s="26" t="n">
        <v>9.4</v>
      </c>
      <c r="K220" s="27" t="n">
        <f aca="false">MIN(F220,G220)</f>
        <v>-4.12939587535145</v>
      </c>
      <c r="L220" s="27" t="n">
        <f aca="false">AVERAGE(F220,G220)</f>
        <v>-4.12908954038102</v>
      </c>
      <c r="M220" s="27" t="n">
        <f aca="false">MAX(0,NG-L220)</f>
        <v>3.42908954038102</v>
      </c>
      <c r="N220" s="27" t="n">
        <f aca="false">MAX(0,GWL-K220)</f>
        <v>2.62939587535145</v>
      </c>
      <c r="O220" s="27" t="n">
        <f aca="false">MAX(0,NG-MAX(K220,GWL))</f>
        <v>0.8</v>
      </c>
      <c r="P220" s="27" t="n">
        <f aca="false">E220/2+WS+SLOPE_A*O220+SLOPE_B*N220</f>
        <v>8.58329195197756</v>
      </c>
      <c r="Q220" s="28" t="str">
        <f aca="false">IF(AND(P220&lt;J220,N220&lt;=MAXOC),"Open cut","Shoring")</f>
        <v>Shoring</v>
      </c>
      <c r="R220" s="27" t="n">
        <f aca="false">IF(Q220="Shoring",D220,0)</f>
        <v>9.99999999990251</v>
      </c>
      <c r="S220" s="27" t="n">
        <f aca="false">MAX(0,GWL-L220)</f>
        <v>2.62908954038102</v>
      </c>
      <c r="T220" s="27" t="n">
        <f aca="false">MAX(0,NG-MAX(L220,GWL))</f>
        <v>0.8</v>
      </c>
      <c r="U220" s="27" t="n">
        <f aca="false">E220+2*WS</f>
        <v>4.24900040254933</v>
      </c>
      <c r="V220" s="27" t="n">
        <f aca="false">IF(Q220="Shoring",D220*M220*U220,0)</f>
        <v>145.702028373146</v>
      </c>
      <c r="W220" s="27" t="n">
        <f aca="false">IF(Q220="Open cut",D220*(U220*M220+SLOPE_B*S220^2+2*SLOPE_B*S220*T220+SLOPE_A*T220^2),0)</f>
        <v>0</v>
      </c>
      <c r="X220" s="27" t="n">
        <f aca="false">IF(M220&gt;0,D220*(E220+2*SLABOVH)*SLAB,0)</f>
        <v>16.2450020125883</v>
      </c>
      <c r="Y220" s="27" t="n">
        <f aca="false">IF(M220&gt;0,D220*PI()*E220^2/4,0)</f>
        <v>39.7254611791829</v>
      </c>
      <c r="Z220" s="27" t="n">
        <f aca="false">IF(H220-E220&gt;=GWL,99,E220*(MAX(0,GWL-H220)*(GAM_S-GAM_W)+MAX(0,NG-MAX(H220,GWL))*GAM_D)/(GAM_W*PI()*E220^2/4))</f>
        <v>0.706782029093432</v>
      </c>
      <c r="AA220" s="27" t="n">
        <f aca="false">IF(I220-E220&gt;=GWL,99,E220*(MAX(0,GWL-I220)*(GAM_S-GAM_W)+MAX(0,NG-MAX(I220,GWL))*GAM_D)/(GAM_W*PI()*E220^2/4))</f>
        <v>0.706145599074021</v>
      </c>
      <c r="AB220" s="27" t="n">
        <f aca="false">IF(H220-E220&gt;=GWL,99,E220*(MAX(0,GWL-H220)*(GAM_S-GAM_W)+MAX(0,FL-MAX(H220,GWL))*GAM_D)/(GAM_W*PI()*E220^2/4))</f>
        <v>2.47271007754221</v>
      </c>
      <c r="AC220" s="27" t="n">
        <f aca="false">IF(I220-E220&gt;=GWL,99,E220*(MAX(0,GWL-I220)*(GAM_S-GAM_W)+MAX(0,FL-MAX(I220,GWL))*GAM_D)/(GAM_W*PI()*E220^2/4))</f>
        <v>2.4720736475228</v>
      </c>
    </row>
    <row r="221" customFormat="false" ht="15" hidden="false" customHeight="false" outlineLevel="0" collapsed="false">
      <c r="A221" s="25" t="s">
        <v>642</v>
      </c>
      <c r="B221" s="25" t="s">
        <v>676</v>
      </c>
      <c r="C221" s="25" t="s">
        <v>686</v>
      </c>
      <c r="D221" s="26" t="n">
        <v>10.0000000001363</v>
      </c>
      <c r="E221" s="26" t="n">
        <v>2.24900040254933</v>
      </c>
      <c r="F221" s="26" t="n">
        <v>-4.12878320541059</v>
      </c>
      <c r="G221" s="26" t="n">
        <v>-4.12817053546974</v>
      </c>
      <c r="H221" s="26" t="n">
        <v>-1.37978280286127</v>
      </c>
      <c r="I221" s="26" t="n">
        <v>-1.37917013292041</v>
      </c>
      <c r="J221" s="26" t="n">
        <v>6.41</v>
      </c>
      <c r="K221" s="27" t="n">
        <f aca="false">MIN(F221,G221)</f>
        <v>-4.12878320541059</v>
      </c>
      <c r="L221" s="27" t="n">
        <f aca="false">AVERAGE(F221,G221)</f>
        <v>-4.12847687044016</v>
      </c>
      <c r="M221" s="27" t="n">
        <f aca="false">MAX(0,NG-L221)</f>
        <v>3.42847687044016</v>
      </c>
      <c r="N221" s="27" t="n">
        <f aca="false">MAX(0,GWL-K221)</f>
        <v>2.62878320541059</v>
      </c>
      <c r="O221" s="27" t="n">
        <f aca="false">MAX(0,NG-MAX(K221,GWL))</f>
        <v>0.8</v>
      </c>
      <c r="P221" s="27" t="n">
        <f aca="false">E221/2+WS+SLOPE_A*O221+SLOPE_B*N221</f>
        <v>8.58206661209585</v>
      </c>
      <c r="Q221" s="28" t="str">
        <f aca="false">IF(AND(P221&lt;J221,N221&lt;=MAXOC),"Open cut","Shoring")</f>
        <v>Shoring</v>
      </c>
      <c r="R221" s="27" t="n">
        <f aca="false">IF(Q221="Shoring",D221,0)</f>
        <v>10.0000000001363</v>
      </c>
      <c r="S221" s="27" t="n">
        <f aca="false">MAX(0,GWL-L221)</f>
        <v>2.62847687044016</v>
      </c>
      <c r="T221" s="27" t="n">
        <f aca="false">MAX(0,NG-MAX(L221,GWL))</f>
        <v>0.8</v>
      </c>
      <c r="U221" s="27" t="n">
        <f aca="false">E221+2*WS</f>
        <v>4.24900040254933</v>
      </c>
      <c r="V221" s="27" t="n">
        <f aca="false">IF(Q221="Shoring",D221*M221*U221,0)</f>
        <v>145.675996028299</v>
      </c>
      <c r="W221" s="27" t="n">
        <f aca="false">IF(Q221="Open cut",D221*(U221*M221+SLOPE_B*S221^2+2*SLOPE_B*S221*T221+SLOPE_A*T221^2),0)</f>
        <v>0</v>
      </c>
      <c r="X221" s="27" t="n">
        <f aca="false">IF(M221&gt;0,D221*(E221+2*SLABOVH)*SLAB,0)</f>
        <v>16.2450020129681</v>
      </c>
      <c r="Y221" s="27" t="n">
        <f aca="false">IF(M221&gt;0,D221*PI()*E221^2/4,0)</f>
        <v>39.7254611801118</v>
      </c>
      <c r="Z221" s="27" t="n">
        <f aca="false">IF(H221-E221&gt;=GWL,99,E221*(MAX(0,GWL-H221)*(GAM_S-GAM_W)+MAX(0,NG-MAX(H221,GWL))*GAM_D)/(GAM_W*PI()*E221^2/4))</f>
        <v>0.706145599074021</v>
      </c>
      <c r="AA221" s="27" t="n">
        <f aca="false">IF(I221-E221&gt;=GWL,99,E221*(MAX(0,GWL-I221)*(GAM_S-GAM_W)+MAX(0,NG-MAX(I221,GWL))*GAM_D)/(GAM_W*PI()*E221^2/4))</f>
        <v>0.70550916905461</v>
      </c>
      <c r="AB221" s="27" t="n">
        <f aca="false">IF(H221-E221&gt;=GWL,99,E221*(MAX(0,GWL-H221)*(GAM_S-GAM_W)+MAX(0,FL-MAX(H221,GWL))*GAM_D)/(GAM_W*PI()*E221^2/4))</f>
        <v>2.4720736475228</v>
      </c>
      <c r="AC221" s="27" t="n">
        <f aca="false">IF(I221-E221&gt;=GWL,99,E221*(MAX(0,GWL-I221)*(GAM_S-GAM_W)+MAX(0,FL-MAX(I221,GWL))*GAM_D)/(GAM_W*PI()*E221^2/4))</f>
        <v>2.47143721750339</v>
      </c>
    </row>
    <row r="222" customFormat="false" ht="15" hidden="false" customHeight="false" outlineLevel="0" collapsed="false">
      <c r="A222" s="25" t="s">
        <v>642</v>
      </c>
      <c r="B222" s="25" t="s">
        <v>676</v>
      </c>
      <c r="C222" s="25" t="s">
        <v>687</v>
      </c>
      <c r="D222" s="26" t="n">
        <v>9.99999999990251</v>
      </c>
      <c r="E222" s="26" t="n">
        <v>2.24900040254933</v>
      </c>
      <c r="F222" s="26" t="n">
        <v>-4.12817053546974</v>
      </c>
      <c r="G222" s="26" t="n">
        <v>-4.12755786552888</v>
      </c>
      <c r="H222" s="26" t="n">
        <v>-1.37917013292041</v>
      </c>
      <c r="I222" s="26" t="n">
        <v>-1.37855746297955</v>
      </c>
      <c r="J222" s="26" t="n">
        <v>5.9</v>
      </c>
      <c r="K222" s="27" t="n">
        <f aca="false">MIN(F222,G222)</f>
        <v>-4.12817053546974</v>
      </c>
      <c r="L222" s="27" t="n">
        <f aca="false">AVERAGE(F222,G222)</f>
        <v>-4.12786420049931</v>
      </c>
      <c r="M222" s="27" t="n">
        <f aca="false">MAX(0,NG-L222)</f>
        <v>3.42786420049931</v>
      </c>
      <c r="N222" s="27" t="n">
        <f aca="false">MAX(0,GWL-K222)</f>
        <v>2.62817053546974</v>
      </c>
      <c r="O222" s="27" t="n">
        <f aca="false">MAX(0,NG-MAX(K222,GWL))</f>
        <v>0.8</v>
      </c>
      <c r="P222" s="27" t="n">
        <f aca="false">E222/2+WS+SLOPE_A*O222+SLOPE_B*N222</f>
        <v>8.58084127221413</v>
      </c>
      <c r="Q222" s="28" t="str">
        <f aca="false">IF(AND(P222&lt;J222,N222&lt;=MAXOC),"Open cut","Shoring")</f>
        <v>Shoring</v>
      </c>
      <c r="R222" s="27" t="n">
        <f aca="false">IF(Q222="Shoring",D222,0)</f>
        <v>9.99999999990251</v>
      </c>
      <c r="S222" s="27" t="n">
        <f aca="false">MAX(0,GWL-L222)</f>
        <v>2.62786420049931</v>
      </c>
      <c r="T222" s="27" t="n">
        <f aca="false">MAX(0,NG-MAX(L222,GWL))</f>
        <v>0.8</v>
      </c>
      <c r="U222" s="27" t="n">
        <f aca="false">E222+2*WS</f>
        <v>4.24900040254933</v>
      </c>
      <c r="V222" s="27" t="n">
        <f aca="false">IF(Q222="Shoring",D222*M222*U222,0)</f>
        <v>145.64996367664</v>
      </c>
      <c r="W222" s="27" t="n">
        <f aca="false">IF(Q222="Open cut",D222*(U222*M222+SLOPE_B*S222^2+2*SLOPE_B*S222*T222+SLOPE_A*T222^2),0)</f>
        <v>0</v>
      </c>
      <c r="X222" s="27" t="n">
        <f aca="false">IF(M222&gt;0,D222*(E222+2*SLABOVH)*SLAB,0)</f>
        <v>16.2450020125883</v>
      </c>
      <c r="Y222" s="27" t="n">
        <f aca="false">IF(M222&gt;0,D222*PI()*E222^2/4,0)</f>
        <v>39.7254611791829</v>
      </c>
      <c r="Z222" s="27" t="n">
        <f aca="false">IF(H222-E222&gt;=GWL,99,E222*(MAX(0,GWL-H222)*(GAM_S-GAM_W)+MAX(0,NG-MAX(H222,GWL))*GAM_D)/(GAM_W*PI()*E222^2/4))</f>
        <v>0.70550916905461</v>
      </c>
      <c r="AA222" s="27" t="n">
        <f aca="false">IF(I222-E222&gt;=GWL,99,E222*(MAX(0,GWL-I222)*(GAM_S-GAM_W)+MAX(0,NG-MAX(I222,GWL))*GAM_D)/(GAM_W*PI()*E222^2/4))</f>
        <v>0.704872739035198</v>
      </c>
      <c r="AB222" s="27" t="n">
        <f aca="false">IF(H222-E222&gt;=GWL,99,E222*(MAX(0,GWL-H222)*(GAM_S-GAM_W)+MAX(0,FL-MAX(H222,GWL))*GAM_D)/(GAM_W*PI()*E222^2/4))</f>
        <v>2.47143721750339</v>
      </c>
      <c r="AC222" s="27" t="n">
        <f aca="false">IF(I222-E222&gt;=GWL,99,E222*(MAX(0,GWL-I222)*(GAM_S-GAM_W)+MAX(0,FL-MAX(I222,GWL))*GAM_D)/(GAM_W*PI()*E222^2/4))</f>
        <v>2.47080078748398</v>
      </c>
    </row>
    <row r="223" customFormat="false" ht="15" hidden="false" customHeight="false" outlineLevel="0" collapsed="false">
      <c r="A223" s="25" t="s">
        <v>642</v>
      </c>
      <c r="B223" s="25" t="s">
        <v>676</v>
      </c>
      <c r="C223" s="25" t="s">
        <v>688</v>
      </c>
      <c r="D223" s="26" t="n">
        <v>10.0000000003702</v>
      </c>
      <c r="E223" s="26" t="n">
        <v>2.24900040254933</v>
      </c>
      <c r="F223" s="26" t="n">
        <v>-4.12755786552888</v>
      </c>
      <c r="G223" s="26" t="n">
        <v>-4.12694519558802</v>
      </c>
      <c r="H223" s="26" t="n">
        <v>-1.37855746297955</v>
      </c>
      <c r="I223" s="26" t="n">
        <v>-1.3779447930387</v>
      </c>
      <c r="J223" s="26" t="n">
        <v>6.12</v>
      </c>
      <c r="K223" s="27" t="n">
        <f aca="false">MIN(F223,G223)</f>
        <v>-4.12755786552888</v>
      </c>
      <c r="L223" s="27" t="n">
        <f aca="false">AVERAGE(F223,G223)</f>
        <v>-4.12725153055845</v>
      </c>
      <c r="M223" s="27" t="n">
        <f aca="false">MAX(0,NG-L223)</f>
        <v>3.42725153055845</v>
      </c>
      <c r="N223" s="27" t="n">
        <f aca="false">MAX(0,GWL-K223)</f>
        <v>2.62755786552888</v>
      </c>
      <c r="O223" s="27" t="n">
        <f aca="false">MAX(0,NG-MAX(K223,GWL))</f>
        <v>0.8</v>
      </c>
      <c r="P223" s="27" t="n">
        <f aca="false">E223/2+WS+SLOPE_A*O223+SLOPE_B*N223</f>
        <v>8.57961593233242</v>
      </c>
      <c r="Q223" s="28" t="str">
        <f aca="false">IF(AND(P223&lt;J223,N223&lt;=MAXOC),"Open cut","Shoring")</f>
        <v>Shoring</v>
      </c>
      <c r="R223" s="27" t="n">
        <f aca="false">IF(Q223="Shoring",D223,0)</f>
        <v>10.0000000003702</v>
      </c>
      <c r="S223" s="27" t="n">
        <f aca="false">MAX(0,GWL-L223)</f>
        <v>2.62725153055845</v>
      </c>
      <c r="T223" s="27" t="n">
        <f aca="false">MAX(0,NG-MAX(L223,GWL))</f>
        <v>0.8</v>
      </c>
      <c r="U223" s="27" t="n">
        <f aca="false">E223+2*WS</f>
        <v>4.24900040254933</v>
      </c>
      <c r="V223" s="27" t="n">
        <f aca="false">IF(Q223="Shoring",D223*M223*U223,0)</f>
        <v>145.623931335197</v>
      </c>
      <c r="W223" s="27" t="n">
        <f aca="false">IF(Q223="Open cut",D223*(U223*M223+SLOPE_B*S223^2+2*SLOPE_B*S223*T223+SLOPE_A*T223^2),0)</f>
        <v>0</v>
      </c>
      <c r="X223" s="27" t="n">
        <f aca="false">IF(M223&gt;0,D223*(E223+2*SLABOVH)*SLAB,0)</f>
        <v>16.245002013348</v>
      </c>
      <c r="Y223" s="27" t="n">
        <f aca="false">IF(M223&gt;0,D223*PI()*E223^2/4,0)</f>
        <v>39.7254611810407</v>
      </c>
      <c r="Z223" s="27" t="n">
        <f aca="false">IF(H223-E223&gt;=GWL,99,E223*(MAX(0,GWL-H223)*(GAM_S-GAM_W)+MAX(0,NG-MAX(H223,GWL))*GAM_D)/(GAM_W*PI()*E223^2/4))</f>
        <v>0.704872739035198</v>
      </c>
      <c r="AA223" s="27" t="n">
        <f aca="false">IF(I223-E223&gt;=GWL,99,E223*(MAX(0,GWL-I223)*(GAM_S-GAM_W)+MAX(0,NG-MAX(I223,GWL))*GAM_D)/(GAM_W*PI()*E223^2/4))</f>
        <v>0.704236309015786</v>
      </c>
      <c r="AB223" s="27" t="n">
        <f aca="false">IF(H223-E223&gt;=GWL,99,E223*(MAX(0,GWL-H223)*(GAM_S-GAM_W)+MAX(0,FL-MAX(H223,GWL))*GAM_D)/(GAM_W*PI()*E223^2/4))</f>
        <v>2.47080078748398</v>
      </c>
      <c r="AC223" s="27" t="n">
        <f aca="false">IF(I223-E223&gt;=GWL,99,E223*(MAX(0,GWL-I223)*(GAM_S-GAM_W)+MAX(0,FL-MAX(I223,GWL))*GAM_D)/(GAM_W*PI()*E223^2/4))</f>
        <v>2.47016435746457</v>
      </c>
    </row>
    <row r="224" customFormat="false" ht="15" hidden="false" customHeight="false" outlineLevel="0" collapsed="false">
      <c r="A224" s="25" t="s">
        <v>642</v>
      </c>
      <c r="B224" s="25" t="s">
        <v>676</v>
      </c>
      <c r="C224" s="25" t="s">
        <v>689</v>
      </c>
      <c r="D224" s="26" t="n">
        <v>9.99999999990251</v>
      </c>
      <c r="E224" s="26" t="n">
        <v>2.24900040254933</v>
      </c>
      <c r="F224" s="26" t="n">
        <v>-4.12694519558802</v>
      </c>
      <c r="G224" s="26" t="n">
        <v>-4.12633252564717</v>
      </c>
      <c r="H224" s="26" t="n">
        <v>-1.3779447930387</v>
      </c>
      <c r="I224" s="26" t="n">
        <v>-1.37733212309784</v>
      </c>
      <c r="J224" s="26" t="n">
        <v>8.59</v>
      </c>
      <c r="K224" s="27" t="n">
        <f aca="false">MIN(F224,G224)</f>
        <v>-4.12694519558802</v>
      </c>
      <c r="L224" s="27" t="n">
        <f aca="false">AVERAGE(F224,G224)</f>
        <v>-4.12663886061759</v>
      </c>
      <c r="M224" s="27" t="n">
        <f aca="false">MAX(0,NG-L224)</f>
        <v>3.42663886061759</v>
      </c>
      <c r="N224" s="27" t="n">
        <f aca="false">MAX(0,GWL-K224)</f>
        <v>2.62694519558802</v>
      </c>
      <c r="O224" s="27" t="n">
        <f aca="false">MAX(0,NG-MAX(K224,GWL))</f>
        <v>0.8</v>
      </c>
      <c r="P224" s="27" t="n">
        <f aca="false">E224/2+WS+SLOPE_A*O224+SLOPE_B*N224</f>
        <v>8.57839059245071</v>
      </c>
      <c r="Q224" s="28" t="str">
        <f aca="false">IF(AND(P224&lt;J224,N224&lt;=MAXOC),"Open cut","Shoring")</f>
        <v>Shoring</v>
      </c>
      <c r="R224" s="27" t="n">
        <f aca="false">IF(Q224="Shoring",D224,0)</f>
        <v>9.99999999990251</v>
      </c>
      <c r="S224" s="27" t="n">
        <f aca="false">MAX(0,GWL-L224)</f>
        <v>2.62663886061759</v>
      </c>
      <c r="T224" s="27" t="n">
        <f aca="false">MAX(0,NG-MAX(L224,GWL))</f>
        <v>0.8</v>
      </c>
      <c r="U224" s="27" t="n">
        <f aca="false">E224+2*WS</f>
        <v>4.24900040254933</v>
      </c>
      <c r="V224" s="27" t="n">
        <f aca="false">IF(Q224="Shoring",D224*M224*U224,0)</f>
        <v>145.597898980134</v>
      </c>
      <c r="W224" s="27" t="n">
        <f aca="false">IF(Q224="Open cut",D224*(U224*M224+SLOPE_B*S224^2+2*SLOPE_B*S224*T224+SLOPE_A*T224^2),0)</f>
        <v>0</v>
      </c>
      <c r="X224" s="27" t="n">
        <f aca="false">IF(M224&gt;0,D224*(E224+2*SLABOVH)*SLAB,0)</f>
        <v>16.2450020125883</v>
      </c>
      <c r="Y224" s="27" t="n">
        <f aca="false">IF(M224&gt;0,D224*PI()*E224^2/4,0)</f>
        <v>39.7254611791829</v>
      </c>
      <c r="Z224" s="27" t="n">
        <f aca="false">IF(H224-E224&gt;=GWL,99,E224*(MAX(0,GWL-H224)*(GAM_S-GAM_W)+MAX(0,NG-MAX(H224,GWL))*GAM_D)/(GAM_W*PI()*E224^2/4))</f>
        <v>0.704236309015786</v>
      </c>
      <c r="AA224" s="27" t="n">
        <f aca="false">IF(I224-E224&gt;=GWL,99,E224*(MAX(0,GWL-I224)*(GAM_S-GAM_W)+MAX(0,NG-MAX(I224,GWL))*GAM_D)/(GAM_W*PI()*E224^2/4))</f>
        <v>0.703599878996375</v>
      </c>
      <c r="AB224" s="27" t="n">
        <f aca="false">IF(H224-E224&gt;=GWL,99,E224*(MAX(0,GWL-H224)*(GAM_S-GAM_W)+MAX(0,FL-MAX(H224,GWL))*GAM_D)/(GAM_W*PI()*E224^2/4))</f>
        <v>2.47016435746457</v>
      </c>
      <c r="AC224" s="27" t="n">
        <f aca="false">IF(I224-E224&gt;=GWL,99,E224*(MAX(0,GWL-I224)*(GAM_S-GAM_W)+MAX(0,FL-MAX(I224,GWL))*GAM_D)/(GAM_W*PI()*E224^2/4))</f>
        <v>2.46952792744516</v>
      </c>
    </row>
    <row r="225" customFormat="false" ht="15" hidden="false" customHeight="false" outlineLevel="0" collapsed="false">
      <c r="A225" s="25" t="s">
        <v>642</v>
      </c>
      <c r="B225" s="25" t="s">
        <v>676</v>
      </c>
      <c r="C225" s="25" t="s">
        <v>690</v>
      </c>
      <c r="D225" s="26" t="n">
        <v>7.79999999936569</v>
      </c>
      <c r="E225" s="26" t="n">
        <v>2.24900040254933</v>
      </c>
      <c r="F225" s="26" t="n">
        <v>-4.12633252564717</v>
      </c>
      <c r="G225" s="26" t="n">
        <v>-4.1258546430933</v>
      </c>
      <c r="H225" s="26" t="n">
        <v>-1.37733212309784</v>
      </c>
      <c r="I225" s="26" t="n">
        <v>-1.37685424054397</v>
      </c>
      <c r="J225" s="26" t="n">
        <v>13.34</v>
      </c>
      <c r="K225" s="27" t="n">
        <f aca="false">MIN(F225,G225)</f>
        <v>-4.12633252564717</v>
      </c>
      <c r="L225" s="27" t="n">
        <f aca="false">AVERAGE(F225,G225)</f>
        <v>-4.12609358437023</v>
      </c>
      <c r="M225" s="27" t="n">
        <f aca="false">MAX(0,NG-L225)</f>
        <v>3.42609358437023</v>
      </c>
      <c r="N225" s="27" t="n">
        <f aca="false">MAX(0,GWL-K225)</f>
        <v>2.62633252564717</v>
      </c>
      <c r="O225" s="27" t="n">
        <f aca="false">MAX(0,NG-MAX(K225,GWL))</f>
        <v>0.8</v>
      </c>
      <c r="P225" s="27" t="n">
        <f aca="false">E225/2+WS+SLOPE_A*O225+SLOPE_B*N225</f>
        <v>8.577165252569</v>
      </c>
      <c r="Q225" s="28" t="str">
        <f aca="false">IF(AND(P225&lt;J225,N225&lt;=MAXOC),"Open cut","Shoring")</f>
        <v>Shoring</v>
      </c>
      <c r="R225" s="27" t="n">
        <f aca="false">IF(Q225="Shoring",D225,0)</f>
        <v>7.79999999936569</v>
      </c>
      <c r="S225" s="27" t="n">
        <f aca="false">MAX(0,GWL-L225)</f>
        <v>2.62609358437023</v>
      </c>
      <c r="T225" s="27" t="n">
        <f aca="false">MAX(0,NG-MAX(L225,GWL))</f>
        <v>0.8</v>
      </c>
      <c r="U225" s="27" t="n">
        <f aca="false">E225+2*WS</f>
        <v>4.24900040254933</v>
      </c>
      <c r="V225" s="27" t="n">
        <f aca="false">IF(Q225="Shoring",D225*M225*U225,0)</f>
        <v>113.54828954022</v>
      </c>
      <c r="W225" s="27" t="n">
        <f aca="false">IF(Q225="Open cut",D225*(U225*M225+SLOPE_B*S225^2+2*SLOPE_B*S225*T225+SLOPE_A*T225^2),0)</f>
        <v>0</v>
      </c>
      <c r="X225" s="27" t="n">
        <f aca="false">IF(M225&gt;0,D225*(E225+2*SLABOVH)*SLAB,0)</f>
        <v>12.6711015689119</v>
      </c>
      <c r="Y225" s="27" t="n">
        <f aca="false">IF(M225&gt;0,D225*PI()*E225^2/4,0)</f>
        <v>30.9858597175449</v>
      </c>
      <c r="Z225" s="27" t="n">
        <f aca="false">IF(H225-E225&gt;=GWL,99,E225*(MAX(0,GWL-H225)*(GAM_S-GAM_W)+MAX(0,NG-MAX(H225,GWL))*GAM_D)/(GAM_W*PI()*E225^2/4))</f>
        <v>0.703599878996375</v>
      </c>
      <c r="AA225" s="27" t="n">
        <f aca="false">IF(I225-E225&gt;=GWL,99,E225*(MAX(0,GWL-I225)*(GAM_S-GAM_W)+MAX(0,NG-MAX(I225,GWL))*GAM_D)/(GAM_W*PI()*E225^2/4))</f>
        <v>0.703103463581235</v>
      </c>
      <c r="AB225" s="27" t="n">
        <f aca="false">IF(H225-E225&gt;=GWL,99,E225*(MAX(0,GWL-H225)*(GAM_S-GAM_W)+MAX(0,FL-MAX(H225,GWL))*GAM_D)/(GAM_W*PI()*E225^2/4))</f>
        <v>2.46952792744516</v>
      </c>
      <c r="AC225" s="27" t="n">
        <f aca="false">IF(I225-E225&gt;=GWL,99,E225*(MAX(0,GWL-I225)*(GAM_S-GAM_W)+MAX(0,FL-MAX(I225,GWL))*GAM_D)/(GAM_W*PI()*E225^2/4))</f>
        <v>2.46903151203002</v>
      </c>
    </row>
    <row r="226" customFormat="false" ht="15" hidden="false" customHeight="false" outlineLevel="0" collapsed="false">
      <c r="A226" s="25" t="s">
        <v>642</v>
      </c>
      <c r="B226" s="25" t="s">
        <v>691</v>
      </c>
      <c r="C226" s="25" t="s">
        <v>692</v>
      </c>
      <c r="D226" s="26" t="n">
        <v>2.20000000030299</v>
      </c>
      <c r="E226" s="26" t="n">
        <v>2.24900040254933</v>
      </c>
      <c r="F226" s="26" t="n">
        <v>-4.1258546430933</v>
      </c>
      <c r="G226" s="26" t="n">
        <v>-4.12571985570631</v>
      </c>
      <c r="H226" s="26" t="n">
        <v>-1.37685424054397</v>
      </c>
      <c r="I226" s="26" t="n">
        <v>-1.37671945315698</v>
      </c>
      <c r="J226" s="26" t="n">
        <v>18.2</v>
      </c>
      <c r="K226" s="27" t="n">
        <f aca="false">MIN(F226,G226)</f>
        <v>-4.1258546430933</v>
      </c>
      <c r="L226" s="27" t="n">
        <f aca="false">AVERAGE(F226,G226)</f>
        <v>-4.12578724939981</v>
      </c>
      <c r="M226" s="27" t="n">
        <f aca="false">MAX(0,NG-L226)</f>
        <v>3.4257872493998</v>
      </c>
      <c r="N226" s="27" t="n">
        <f aca="false">MAX(0,GWL-K226)</f>
        <v>2.6258546430933</v>
      </c>
      <c r="O226" s="27" t="n">
        <f aca="false">MAX(0,NG-MAX(K226,GWL))</f>
        <v>0.8</v>
      </c>
      <c r="P226" s="27" t="n">
        <f aca="false">E226/2+WS+SLOPE_A*O226+SLOPE_B*N226</f>
        <v>8.57620948746126</v>
      </c>
      <c r="Q226" s="28" t="str">
        <f aca="false">IF(AND(P226&lt;J226,N226&lt;=MAXOC),"Open cut","Shoring")</f>
        <v>Shoring</v>
      </c>
      <c r="R226" s="27" t="n">
        <f aca="false">IF(Q226="Shoring",D226,0)</f>
        <v>2.20000000030299</v>
      </c>
      <c r="S226" s="27" t="n">
        <f aca="false">MAX(0,GWL-L226)</f>
        <v>2.6257872493998</v>
      </c>
      <c r="T226" s="27" t="n">
        <f aca="false">MAX(0,NG-MAX(L226,GWL))</f>
        <v>0.8</v>
      </c>
      <c r="U226" s="27" t="n">
        <f aca="false">E226+2*WS</f>
        <v>4.24900040254933</v>
      </c>
      <c r="V226" s="27" t="n">
        <f aca="false">IF(Q226="Shoring",D226*M226*U226,0)</f>
        <v>32.0235770882562</v>
      </c>
      <c r="W226" s="27" t="n">
        <f aca="false">IF(Q226="Open cut",D226*(U226*M226+SLOPE_B*S226^2+2*SLOPE_B*S226*T226+SLOPE_A*T226^2),0)</f>
        <v>0</v>
      </c>
      <c r="X226" s="27" t="n">
        <f aca="false">IF(M226&gt;0,D226*(E226+2*SLABOVH)*SLAB,0)</f>
        <v>3.57390044329646</v>
      </c>
      <c r="Y226" s="27" t="n">
        <f aca="false">IF(M226&gt;0,D226*PI()*E226^2/4,0)</f>
        <v>8.73960146070907</v>
      </c>
      <c r="Z226" s="27" t="n">
        <f aca="false">IF(H226-E226&gt;=GWL,99,E226*(MAX(0,GWL-H226)*(GAM_S-GAM_W)+MAX(0,NG-MAX(H226,GWL))*GAM_D)/(GAM_W*PI()*E226^2/4))</f>
        <v>0.703103463581235</v>
      </c>
      <c r="AA226" s="27" t="n">
        <f aca="false">IF(I226-E226&gt;=GWL,99,E226*(MAX(0,GWL-I226)*(GAM_S-GAM_W)+MAX(0,NG-MAX(I226,GWL))*GAM_D)/(GAM_W*PI()*E226^2/4))</f>
        <v>0.702963448976964</v>
      </c>
      <c r="AB226" s="27" t="n">
        <f aca="false">IF(H226-E226&gt;=GWL,99,E226*(MAX(0,GWL-H226)*(GAM_S-GAM_W)+MAX(0,FL-MAX(H226,GWL))*GAM_D)/(GAM_W*PI()*E226^2/4))</f>
        <v>2.46903151203002</v>
      </c>
      <c r="AC226" s="27" t="n">
        <f aca="false">IF(I226-E226&gt;=GWL,99,E226*(MAX(0,GWL-I226)*(GAM_S-GAM_W)+MAX(0,FL-MAX(I226,GWL))*GAM_D)/(GAM_W*PI()*E226^2/4))</f>
        <v>2.46889149742574</v>
      </c>
    </row>
    <row r="227" customFormat="false" ht="15" hidden="false" customHeight="false" outlineLevel="0" collapsed="false">
      <c r="A227" s="25" t="s">
        <v>642</v>
      </c>
      <c r="B227" s="25" t="s">
        <v>691</v>
      </c>
      <c r="C227" s="25" t="s">
        <v>693</v>
      </c>
      <c r="D227" s="26" t="n">
        <v>9.99999999990251</v>
      </c>
      <c r="E227" s="26" t="n">
        <v>2.24900040254933</v>
      </c>
      <c r="F227" s="26" t="n">
        <v>-4.12571985570631</v>
      </c>
      <c r="G227" s="26" t="n">
        <v>-4.12510718576545</v>
      </c>
      <c r="H227" s="26" t="n">
        <v>-1.37671945315698</v>
      </c>
      <c r="I227" s="26" t="n">
        <v>-1.37610678321613</v>
      </c>
      <c r="J227" s="26" t="n">
        <v>19.71</v>
      </c>
      <c r="K227" s="27" t="n">
        <f aca="false">MIN(F227,G227)</f>
        <v>-4.12571985570631</v>
      </c>
      <c r="L227" s="27" t="n">
        <f aca="false">AVERAGE(F227,G227)</f>
        <v>-4.12541352073588</v>
      </c>
      <c r="M227" s="27" t="n">
        <f aca="false">MAX(0,NG-L227)</f>
        <v>3.42541352073588</v>
      </c>
      <c r="N227" s="27" t="n">
        <f aca="false">MAX(0,GWL-K227)</f>
        <v>2.62571985570631</v>
      </c>
      <c r="O227" s="27" t="n">
        <f aca="false">MAX(0,NG-MAX(K227,GWL))</f>
        <v>0.8</v>
      </c>
      <c r="P227" s="27" t="n">
        <f aca="false">E227/2+WS+SLOPE_A*O227+SLOPE_B*N227</f>
        <v>8.57593991268728</v>
      </c>
      <c r="Q227" s="28" t="str">
        <f aca="false">IF(AND(P227&lt;J227,N227&lt;=MAXOC),"Open cut","Shoring")</f>
        <v>Shoring</v>
      </c>
      <c r="R227" s="27" t="n">
        <f aca="false">IF(Q227="Shoring",D227,0)</f>
        <v>9.99999999990251</v>
      </c>
      <c r="S227" s="27" t="n">
        <f aca="false">MAX(0,GWL-L227)</f>
        <v>2.62541352073588</v>
      </c>
      <c r="T227" s="27" t="n">
        <f aca="false">MAX(0,NG-MAX(L227,GWL))</f>
        <v>0.8</v>
      </c>
      <c r="U227" s="27" t="n">
        <f aca="false">E227+2*WS</f>
        <v>4.24900040254933</v>
      </c>
      <c r="V227" s="27" t="n">
        <f aca="false">IF(Q227="Shoring",D227*M227*U227,0)</f>
        <v>145.545834283628</v>
      </c>
      <c r="W227" s="27" t="n">
        <f aca="false">IF(Q227="Open cut",D227*(U227*M227+SLOPE_B*S227^2+2*SLOPE_B*S227*T227+SLOPE_A*T227^2),0)</f>
        <v>0</v>
      </c>
      <c r="X227" s="27" t="n">
        <f aca="false">IF(M227&gt;0,D227*(E227+2*SLABOVH)*SLAB,0)</f>
        <v>16.2450020125883</v>
      </c>
      <c r="Y227" s="27" t="n">
        <f aca="false">IF(M227&gt;0,D227*PI()*E227^2/4,0)</f>
        <v>39.7254611791829</v>
      </c>
      <c r="Z227" s="27" t="n">
        <f aca="false">IF(H227-E227&gt;=GWL,99,E227*(MAX(0,GWL-H227)*(GAM_S-GAM_W)+MAX(0,NG-MAX(H227,GWL))*GAM_D)/(GAM_W*PI()*E227^2/4))</f>
        <v>0.702963448976964</v>
      </c>
      <c r="AA227" s="27" t="n">
        <f aca="false">IF(I227-E227&gt;=GWL,99,E227*(MAX(0,GWL-I227)*(GAM_S-GAM_W)+MAX(0,NG-MAX(I227,GWL))*GAM_D)/(GAM_W*PI()*E227^2/4))</f>
        <v>0.702327018957553</v>
      </c>
      <c r="AB227" s="27" t="n">
        <f aca="false">IF(H227-E227&gt;=GWL,99,E227*(MAX(0,GWL-H227)*(GAM_S-GAM_W)+MAX(0,FL-MAX(H227,GWL))*GAM_D)/(GAM_W*PI()*E227^2/4))</f>
        <v>2.46889149742574</v>
      </c>
      <c r="AC227" s="27" t="n">
        <f aca="false">IF(I227-E227&gt;=GWL,99,E227*(MAX(0,GWL-I227)*(GAM_S-GAM_W)+MAX(0,FL-MAX(I227,GWL))*GAM_D)/(GAM_W*PI()*E227^2/4))</f>
        <v>2.46825506740633</v>
      </c>
    </row>
    <row r="228" customFormat="false" ht="15" hidden="false" customHeight="false" outlineLevel="0" collapsed="false">
      <c r="A228" s="25" t="s">
        <v>642</v>
      </c>
      <c r="B228" s="25" t="s">
        <v>691</v>
      </c>
      <c r="C228" s="25" t="s">
        <v>694</v>
      </c>
      <c r="D228" s="26" t="n">
        <v>9.90720207284041</v>
      </c>
      <c r="E228" s="26" t="n">
        <v>2.24900040254933</v>
      </c>
      <c r="F228" s="26" t="n">
        <v>-4.12510718576545</v>
      </c>
      <c r="G228" s="26" t="n">
        <v>-4.12450020127466</v>
      </c>
      <c r="H228" s="26" t="n">
        <v>-1.37610678321613</v>
      </c>
      <c r="I228" s="26" t="n">
        <v>-1.37549979872534</v>
      </c>
      <c r="J228" s="26" t="n">
        <v>99</v>
      </c>
      <c r="K228" s="27" t="n">
        <f aca="false">MIN(F228,G228)</f>
        <v>-4.12510718576545</v>
      </c>
      <c r="L228" s="27" t="n">
        <f aca="false">AVERAGE(F228,G228)</f>
        <v>-4.12480369352006</v>
      </c>
      <c r="M228" s="27" t="n">
        <f aca="false">MAX(0,NG-L228)</f>
        <v>3.42480369352006</v>
      </c>
      <c r="N228" s="27" t="n">
        <f aca="false">MAX(0,GWL-K228)</f>
        <v>2.62510718576545</v>
      </c>
      <c r="O228" s="27" t="n">
        <f aca="false">MAX(0,NG-MAX(K228,GWL))</f>
        <v>0.8</v>
      </c>
      <c r="P228" s="27" t="n">
        <f aca="false">E228/2+WS+SLOPE_A*O228+SLOPE_B*N228</f>
        <v>8.57471457280557</v>
      </c>
      <c r="Q228" s="28" t="str">
        <f aca="false">IF(AND(P228&lt;J228,N228&lt;=MAXOC),"Open cut","Shoring")</f>
        <v>Shoring</v>
      </c>
      <c r="R228" s="27" t="n">
        <f aca="false">IF(Q228="Shoring",D228,0)</f>
        <v>9.90720207284041</v>
      </c>
      <c r="S228" s="27" t="n">
        <f aca="false">MAX(0,GWL-L228)</f>
        <v>2.62480369352006</v>
      </c>
      <c r="T228" s="27" t="n">
        <f aca="false">MAX(0,NG-MAX(L228,GWL))</f>
        <v>0.8</v>
      </c>
      <c r="U228" s="27" t="n">
        <f aca="false">E228+2*WS</f>
        <v>4.24900040254933</v>
      </c>
      <c r="V228" s="27" t="n">
        <f aca="false">IF(Q228="Shoring",D228*M228*U228,0)</f>
        <v>144.169528005269</v>
      </c>
      <c r="W228" s="27" t="n">
        <f aca="false">IF(Q228="Open cut",D228*(U228*M228+SLOPE_B*S228^2+2*SLOPE_B*S228*T228+SLOPE_A*T228^2),0)</f>
        <v>0</v>
      </c>
      <c r="X228" s="27" t="n">
        <f aca="false">IF(M228&gt;0,D228*(E228+2*SLABOVH)*SLAB,0)</f>
        <v>16.094251761398</v>
      </c>
      <c r="Y228" s="27" t="n">
        <f aca="false">IF(M228&gt;0,D228*PI()*E228^2/4,0)</f>
        <v>39.3568171342779</v>
      </c>
      <c r="Z228" s="27" t="n">
        <f aca="false">IF(H228-E228&gt;=GWL,99,E228*(MAX(0,GWL-H228)*(GAM_S-GAM_W)+MAX(0,NG-MAX(H228,GWL))*GAM_D)/(GAM_W*PI()*E228^2/4))</f>
        <v>0.702327018957553</v>
      </c>
      <c r="AA228" s="27" t="n">
        <f aca="false">IF(I228-E228&gt;=GWL,99,E228*(MAX(0,GWL-I228)*(GAM_S-GAM_W)+MAX(0,NG-MAX(I228,GWL))*GAM_D)/(GAM_W*PI()*E228^2/4))</f>
        <v>0.701696494876811</v>
      </c>
      <c r="AB228" s="27" t="n">
        <f aca="false">IF(H228-E228&gt;=GWL,99,E228*(MAX(0,GWL-H228)*(GAM_S-GAM_W)+MAX(0,FL-MAX(H228,GWL))*GAM_D)/(GAM_W*PI()*E228^2/4))</f>
        <v>2.46825506740633</v>
      </c>
      <c r="AC228" s="27" t="n">
        <f aca="false">IF(I228-E228&gt;=GWL,99,E228*(MAX(0,GWL-I228)*(GAM_S-GAM_W)+MAX(0,FL-MAX(I228,GWL))*GAM_D)/(GAM_W*PI()*E228^2/4))</f>
        <v>2.46762454332559</v>
      </c>
    </row>
    <row r="229" customFormat="false" ht="15" hidden="false" customHeight="false" outlineLevel="0" collapsed="false">
      <c r="A229" s="25" t="s">
        <v>695</v>
      </c>
      <c r="B229" s="25" t="s">
        <v>696</v>
      </c>
      <c r="C229" s="25" t="s">
        <v>697</v>
      </c>
      <c r="D229" s="26" t="n">
        <v>0.599999999509152</v>
      </c>
      <c r="E229" s="26" t="n">
        <v>2.04121465049115</v>
      </c>
      <c r="F229" s="26" t="n">
        <v>-3.21949732524557</v>
      </c>
      <c r="G229" s="26" t="n">
        <v>-3.22642732524557</v>
      </c>
      <c r="H229" s="26" t="n">
        <v>-0.678282674754428</v>
      </c>
      <c r="I229" s="26" t="n">
        <v>-0.685212674754427</v>
      </c>
      <c r="J229" s="26" t="n">
        <v>8.3</v>
      </c>
      <c r="K229" s="27" t="n">
        <f aca="false">MIN(F229,G229)</f>
        <v>-3.22642732524557</v>
      </c>
      <c r="L229" s="27" t="n">
        <f aca="false">AVERAGE(F229,G229)</f>
        <v>-3.22296232524557</v>
      </c>
      <c r="M229" s="27" t="n">
        <f aca="false">MAX(0,NG-L229)</f>
        <v>2.52296232524557</v>
      </c>
      <c r="N229" s="27" t="n">
        <f aca="false">MAX(0,GWL-K229)</f>
        <v>1.72642732524557</v>
      </c>
      <c r="O229" s="27" t="n">
        <f aca="false">MAX(0,NG-MAX(K229,GWL))</f>
        <v>0.8</v>
      </c>
      <c r="P229" s="27" t="n">
        <f aca="false">E229/2+WS+SLOPE_A*O229+SLOPE_B*N229</f>
        <v>6.67346197573672</v>
      </c>
      <c r="Q229" s="28" t="str">
        <f aca="false">IF(AND(P229&lt;J229,N229&lt;=MAXOC),"Open cut","Shoring")</f>
        <v>Open cut</v>
      </c>
      <c r="R229" s="27" t="n">
        <f aca="false">IF(Q229="Shoring",D229,0)</f>
        <v>0</v>
      </c>
      <c r="S229" s="27" t="n">
        <f aca="false">MAX(0,GWL-L229)</f>
        <v>1.72296232524557</v>
      </c>
      <c r="T229" s="27" t="n">
        <f aca="false">MAX(0,NG-MAX(L229,GWL))</f>
        <v>0.8</v>
      </c>
      <c r="U229" s="27" t="n">
        <f aca="false">E229+2*WS</f>
        <v>4.04121465049115</v>
      </c>
      <c r="V229" s="27" t="n">
        <f aca="false">IF(Q229="Shoring",D229*M229*U229,0)</f>
        <v>0</v>
      </c>
      <c r="W229" s="27" t="n">
        <f aca="false">IF(Q229="Open cut",D229*(U229*M229+SLOPE_B*S229^2+2*SLOPE_B*S229*T229+SLOPE_A*T229^2),0)</f>
        <v>13.5639060492857</v>
      </c>
      <c r="X229" s="27" t="n">
        <f aca="false">IF(M229&gt;0,D229*(E229+2*SLABOVH)*SLAB,0)</f>
        <v>0.912364394400957</v>
      </c>
      <c r="Y229" s="27" t="n">
        <f aca="false">IF(M229&gt;0,D229*PI()*E229^2/4,0)</f>
        <v>1.96344384520563</v>
      </c>
      <c r="Z229" s="27" t="n">
        <f aca="false">IF(H229-E229&gt;=GWL,99,E229*(MAX(0,GWL-H229)*(GAM_S-GAM_W)+MAX(0,NG-MAX(H229,GWL))*GAM_D)/(GAM_W*PI()*E229^2/4))</f>
        <v>0</v>
      </c>
      <c r="AA229" s="27" t="n">
        <f aca="false">IF(I229-E229&gt;=GWL,99,E229*(MAX(0,GWL-I229)*(GAM_S-GAM_W)+MAX(0,NG-MAX(I229,GWL))*GAM_D)/(GAM_W*PI()*E229^2/4))</f>
        <v>0</v>
      </c>
      <c r="AB229" s="27" t="n">
        <f aca="false">IF(H229-E229&gt;=GWL,99,E229*(MAX(0,GWL-H229)*(GAM_S-GAM_W)+MAX(0,FL-MAX(H229,GWL))*GAM_D)/(GAM_W*PI()*E229^2/4))</f>
        <v>1.92083495749089</v>
      </c>
      <c r="AC229" s="27" t="n">
        <f aca="false">IF(I229-E229&gt;=GWL,99,E229*(MAX(0,GWL-I229)*(GAM_S-GAM_W)+MAX(0,FL-MAX(I229,GWL))*GAM_D)/(GAM_W*PI()*E229^2/4))</f>
        <v>1.92876650946104</v>
      </c>
    </row>
    <row r="230" customFormat="false" ht="15" hidden="false" customHeight="false" outlineLevel="0" collapsed="false">
      <c r="A230" s="25" t="s">
        <v>695</v>
      </c>
      <c r="B230" s="25" t="s">
        <v>696</v>
      </c>
      <c r="C230" s="25" t="s">
        <v>698</v>
      </c>
      <c r="D230" s="26" t="n">
        <v>2.01451999950342</v>
      </c>
      <c r="E230" s="26" t="n">
        <v>2.04121465049115</v>
      </c>
      <c r="F230" s="26" t="n">
        <v>-3.22642732524557</v>
      </c>
      <c r="G230" s="26" t="n">
        <v>-3.24970732524557</v>
      </c>
      <c r="H230" s="26" t="n">
        <v>-0.685212674754427</v>
      </c>
      <c r="I230" s="26" t="n">
        <v>-0.708492674754428</v>
      </c>
      <c r="J230" s="26" t="n">
        <v>7.78</v>
      </c>
      <c r="K230" s="27" t="n">
        <f aca="false">MIN(F230,G230)</f>
        <v>-3.24970732524557</v>
      </c>
      <c r="L230" s="27" t="n">
        <f aca="false">AVERAGE(F230,G230)</f>
        <v>-3.23806732524557</v>
      </c>
      <c r="M230" s="27" t="n">
        <f aca="false">MAX(0,NG-L230)</f>
        <v>2.53806732524557</v>
      </c>
      <c r="N230" s="27" t="n">
        <f aca="false">MAX(0,GWL-K230)</f>
        <v>1.74970732524557</v>
      </c>
      <c r="O230" s="27" t="n">
        <f aca="false">MAX(0,NG-MAX(K230,GWL))</f>
        <v>0.8</v>
      </c>
      <c r="P230" s="27" t="n">
        <f aca="false">E230/2+WS+SLOPE_A*O230+SLOPE_B*N230</f>
        <v>6.72002197573672</v>
      </c>
      <c r="Q230" s="28" t="str">
        <f aca="false">IF(AND(P230&lt;J230,N230&lt;=MAXOC),"Open cut","Shoring")</f>
        <v>Open cut</v>
      </c>
      <c r="R230" s="27" t="n">
        <f aca="false">IF(Q230="Shoring",D230,0)</f>
        <v>0</v>
      </c>
      <c r="S230" s="27" t="n">
        <f aca="false">MAX(0,GWL-L230)</f>
        <v>1.73806732524557</v>
      </c>
      <c r="T230" s="27" t="n">
        <f aca="false">MAX(0,NG-MAX(L230,GWL))</f>
        <v>0.8</v>
      </c>
      <c r="U230" s="27" t="n">
        <f aca="false">E230+2*WS</f>
        <v>4.04121465049115</v>
      </c>
      <c r="V230" s="27" t="n">
        <f aca="false">IF(Q230="Shoring",D230*M230*U230,0)</f>
        <v>0</v>
      </c>
      <c r="W230" s="27" t="n">
        <f aca="false">IF(Q230="Open cut",D230*(U230*M230+SLOPE_B*S230^2+2*SLOPE_B*S230*T230+SLOPE_A*T230^2),0)</f>
        <v>45.9722455770706</v>
      </c>
      <c r="X230" s="27" t="n">
        <f aca="false">IF(M230&gt;0,D230*(E230+2*SLABOVH)*SLAB,0)</f>
        <v>3.06329386809861</v>
      </c>
      <c r="Y230" s="27" t="n">
        <f aca="false">IF(M230&gt;0,D230*PI()*E230^2/4,0)</f>
        <v>6.59232816217409</v>
      </c>
      <c r="Z230" s="27" t="n">
        <f aca="false">IF(H230-E230&gt;=GWL,99,E230*(MAX(0,GWL-H230)*(GAM_S-GAM_W)+MAX(0,NG-MAX(H230,GWL))*GAM_D)/(GAM_W*PI()*E230^2/4))</f>
        <v>0</v>
      </c>
      <c r="AA230" s="27" t="n">
        <f aca="false">IF(I230-E230&gt;=GWL,99,E230*(MAX(0,GWL-I230)*(GAM_S-GAM_W)+MAX(0,NG-MAX(I230,GWL))*GAM_D)/(GAM_W*PI()*E230^2/4))</f>
        <v>0.00972007087738774</v>
      </c>
      <c r="AB230" s="27" t="n">
        <f aca="false">IF(H230-E230&gt;=GWL,99,E230*(MAX(0,GWL-H230)*(GAM_S-GAM_W)+MAX(0,FL-MAX(H230,GWL))*GAM_D)/(GAM_W*PI()*E230^2/4))</f>
        <v>1.92876650946104</v>
      </c>
      <c r="AC230" s="27" t="n">
        <f aca="false">IF(I230-E230&gt;=GWL,99,E230*(MAX(0,GWL-I230)*(GAM_S-GAM_W)+MAX(0,FL-MAX(I230,GWL))*GAM_D)/(GAM_W*PI()*E230^2/4))</f>
        <v>1.95541103036508</v>
      </c>
    </row>
    <row r="231" customFormat="false" ht="15" hidden="false" customHeight="false" outlineLevel="0" collapsed="false">
      <c r="A231" s="25" t="s">
        <v>695</v>
      </c>
      <c r="B231" s="25" t="s">
        <v>696</v>
      </c>
      <c r="C231" s="25" t="s">
        <v>699</v>
      </c>
      <c r="D231" s="26" t="n">
        <v>1.97494515500533</v>
      </c>
      <c r="E231" s="26" t="n">
        <v>2.06961372078604</v>
      </c>
      <c r="F231" s="26" t="n">
        <v>-3.26390686039302</v>
      </c>
      <c r="G231" s="26" t="n">
        <v>-3.28672686039302</v>
      </c>
      <c r="H231" s="26" t="n">
        <v>-0.694293139606979</v>
      </c>
      <c r="I231" s="26" t="n">
        <v>-0.717113139606978</v>
      </c>
      <c r="J231" s="26" t="n">
        <v>7.78</v>
      </c>
      <c r="K231" s="27" t="n">
        <f aca="false">MIN(F231,G231)</f>
        <v>-3.28672686039302</v>
      </c>
      <c r="L231" s="27" t="n">
        <f aca="false">AVERAGE(F231,G231)</f>
        <v>-3.27531686039302</v>
      </c>
      <c r="M231" s="27" t="n">
        <f aca="false">MAX(0,NG-L231)</f>
        <v>2.57531686039302</v>
      </c>
      <c r="N231" s="27" t="n">
        <f aca="false">MAX(0,GWL-K231)</f>
        <v>1.78672686039302</v>
      </c>
      <c r="O231" s="27" t="n">
        <f aca="false">MAX(0,NG-MAX(K231,GWL))</f>
        <v>0.8</v>
      </c>
      <c r="P231" s="27" t="n">
        <f aca="false">E231/2+WS+SLOPE_A*O231+SLOPE_B*N231</f>
        <v>6.80826058117907</v>
      </c>
      <c r="Q231" s="28" t="str">
        <f aca="false">IF(AND(P231&lt;J231,N231&lt;=MAXOC),"Open cut","Shoring")</f>
        <v>Open cut</v>
      </c>
      <c r="R231" s="27" t="n">
        <f aca="false">IF(Q231="Shoring",D231,0)</f>
        <v>0</v>
      </c>
      <c r="S231" s="27" t="n">
        <f aca="false">MAX(0,GWL-L231)</f>
        <v>1.77531686039302</v>
      </c>
      <c r="T231" s="27" t="n">
        <f aca="false">MAX(0,NG-MAX(L231,GWL))</f>
        <v>0.8</v>
      </c>
      <c r="U231" s="27" t="n">
        <f aca="false">E231+2*WS</f>
        <v>4.06961372078604</v>
      </c>
      <c r="V231" s="27" t="n">
        <f aca="false">IF(Q231="Shoring",D231*M231*U231,0)</f>
        <v>0</v>
      </c>
      <c r="W231" s="27" t="n">
        <f aca="false">IF(Q231="Open cut",D231*(U231*M231+SLOPE_B*S231^2+2*SLOPE_B*S231*T231+SLOPE_A*T231^2),0)</f>
        <v>46.2632061720013</v>
      </c>
      <c r="X231" s="27" t="n">
        <f aca="false">IF(M231&gt;0,D231*(E231+2*SLABOVH)*SLAB,0)</f>
        <v>3.03115937280214</v>
      </c>
      <c r="Y231" s="27" t="n">
        <f aca="false">IF(M231&gt;0,D231*PI()*E231^2/4,0)</f>
        <v>6.64390648253205</v>
      </c>
      <c r="Z231" s="27" t="n">
        <f aca="false">IF(H231-E231&gt;=GWL,99,E231*(MAX(0,GWL-H231)*(GAM_S-GAM_W)+MAX(0,NG-MAX(H231,GWL))*GAM_D)/(GAM_W*PI()*E231^2/4))</f>
        <v>0</v>
      </c>
      <c r="AA231" s="27" t="n">
        <f aca="false">IF(I231-E231&gt;=GWL,99,E231*(MAX(0,GWL-I231)*(GAM_S-GAM_W)+MAX(0,NG-MAX(I231,GWL))*GAM_D)/(GAM_W*PI()*E231^2/4))</f>
        <v>0.0193176376130825</v>
      </c>
      <c r="AB231" s="27" t="n">
        <f aca="false">IF(H231-E231&gt;=GWL,99,E231*(MAX(0,GWL-H231)*(GAM_S-GAM_W)+MAX(0,FL-MAX(H231,GWL))*GAM_D)/(GAM_W*PI()*E231^2/4))</f>
        <v>1.91255033459278</v>
      </c>
      <c r="AC231" s="27" t="n">
        <f aca="false">IF(I231-E231&gt;=GWL,99,E231*(MAX(0,GWL-I231)*(GAM_S-GAM_W)+MAX(0,FL-MAX(I231,GWL))*GAM_D)/(GAM_W*PI()*E231^2/4))</f>
        <v>1.93830998480628</v>
      </c>
    </row>
    <row r="232" customFormat="false" ht="15" hidden="false" customHeight="false" outlineLevel="0" collapsed="false">
      <c r="A232" s="25" t="s">
        <v>695</v>
      </c>
      <c r="B232" s="25" t="s">
        <v>696</v>
      </c>
      <c r="C232" s="25" t="s">
        <v>700</v>
      </c>
      <c r="D232" s="26" t="n">
        <v>5.41053484558932</v>
      </c>
      <c r="E232" s="26" t="n">
        <v>2.06961372078604</v>
      </c>
      <c r="F232" s="26" t="n">
        <v>-3.28672686039302</v>
      </c>
      <c r="G232" s="26" t="n">
        <v>-3.34925425290941</v>
      </c>
      <c r="H232" s="26" t="n">
        <v>-0.717113139606978</v>
      </c>
      <c r="I232" s="26" t="n">
        <v>-0.779640532123364</v>
      </c>
      <c r="J232" s="26" t="n">
        <v>8.85</v>
      </c>
      <c r="K232" s="27" t="n">
        <f aca="false">MIN(F232,G232)</f>
        <v>-3.34925425290941</v>
      </c>
      <c r="L232" s="27" t="n">
        <f aca="false">AVERAGE(F232,G232)</f>
        <v>-3.31799055665121</v>
      </c>
      <c r="M232" s="27" t="n">
        <f aca="false">MAX(0,NG-L232)</f>
        <v>2.61799055665121</v>
      </c>
      <c r="N232" s="27" t="n">
        <f aca="false">MAX(0,GWL-K232)</f>
        <v>1.84925425290941</v>
      </c>
      <c r="O232" s="27" t="n">
        <f aca="false">MAX(0,NG-MAX(K232,GWL))</f>
        <v>0.8</v>
      </c>
      <c r="P232" s="27" t="n">
        <f aca="false">E232/2+WS+SLOPE_A*O232+SLOPE_B*N232</f>
        <v>6.93331536621183</v>
      </c>
      <c r="Q232" s="28" t="str">
        <f aca="false">IF(AND(P232&lt;J232,N232&lt;=MAXOC),"Open cut","Shoring")</f>
        <v>Open cut</v>
      </c>
      <c r="R232" s="27" t="n">
        <f aca="false">IF(Q232="Shoring",D232,0)</f>
        <v>0</v>
      </c>
      <c r="S232" s="27" t="n">
        <f aca="false">MAX(0,GWL-L232)</f>
        <v>1.81799055665121</v>
      </c>
      <c r="T232" s="27" t="n">
        <f aca="false">MAX(0,NG-MAX(L232,GWL))</f>
        <v>0.8</v>
      </c>
      <c r="U232" s="27" t="n">
        <f aca="false">E232+2*WS</f>
        <v>4.06961372078604</v>
      </c>
      <c r="V232" s="27" t="n">
        <f aca="false">IF(Q232="Shoring",D232*M232*U232,0)</f>
        <v>0</v>
      </c>
      <c r="W232" s="27" t="n">
        <f aca="false">IF(Q232="Open cut",D232*(U232*M232+SLOPE_B*S232^2+2*SLOPE_B*S232*T232+SLOPE_A*T232^2),0)</f>
        <v>130.079859088136</v>
      </c>
      <c r="X232" s="27" t="n">
        <f aca="false">IF(M232&gt;0,D232*(E232+2*SLABOVH)*SLAB,0)</f>
        <v>8.30412599940599</v>
      </c>
      <c r="Y232" s="27" t="n">
        <f aca="false">IF(M232&gt;0,D232*PI()*E232^2/4,0)</f>
        <v>18.2015624299599</v>
      </c>
      <c r="Z232" s="27" t="n">
        <f aca="false">IF(H232-E232&gt;=GWL,99,E232*(MAX(0,GWL-H232)*(GAM_S-GAM_W)+MAX(0,NG-MAX(H232,GWL))*GAM_D)/(GAM_W*PI()*E232^2/4))</f>
        <v>0.0193176376130825</v>
      </c>
      <c r="AA232" s="27" t="n">
        <f aca="false">IF(I232-E232&gt;=GWL,99,E232*(MAX(0,GWL-I232)*(GAM_S-GAM_W)+MAX(0,NG-MAX(I232,GWL))*GAM_D)/(GAM_W*PI()*E232^2/4))</f>
        <v>0.0898997480418403</v>
      </c>
      <c r="AB232" s="27" t="n">
        <f aca="false">IF(H232-E232&gt;=GWL,99,E232*(MAX(0,GWL-H232)*(GAM_S-GAM_W)+MAX(0,FL-MAX(H232,GWL))*GAM_D)/(GAM_W*PI()*E232^2/4))</f>
        <v>1.93830998480628</v>
      </c>
      <c r="AC232" s="27" t="n">
        <f aca="false">IF(I232-E232&gt;=GWL,99,E232*(MAX(0,GWL-I232)*(GAM_S-GAM_W)+MAX(0,FL-MAX(I232,GWL))*GAM_D)/(GAM_W*PI()*E232^2/4))</f>
        <v>2.00889209523504</v>
      </c>
    </row>
    <row r="233" customFormat="false" ht="15" hidden="false" customHeight="false" outlineLevel="0" collapsed="false">
      <c r="A233" s="25" t="s">
        <v>695</v>
      </c>
      <c r="B233" s="25" t="s">
        <v>696</v>
      </c>
      <c r="C233" s="25" t="s">
        <v>701</v>
      </c>
      <c r="D233" s="26" t="n">
        <v>4.7230675684388</v>
      </c>
      <c r="E233" s="26" t="n">
        <v>2.06961372078604</v>
      </c>
      <c r="F233" s="26" t="n">
        <v>-3.34925425290941</v>
      </c>
      <c r="G233" s="26" t="n">
        <v>-3.40383686039302</v>
      </c>
      <c r="H233" s="26" t="n">
        <v>-0.779640532123364</v>
      </c>
      <c r="I233" s="26" t="n">
        <v>-0.834223139606978</v>
      </c>
      <c r="J233" s="26" t="n">
        <v>12.13</v>
      </c>
      <c r="K233" s="27" t="n">
        <f aca="false">MIN(F233,G233)</f>
        <v>-3.40383686039302</v>
      </c>
      <c r="L233" s="27" t="n">
        <f aca="false">AVERAGE(F233,G233)</f>
        <v>-3.37654555665121</v>
      </c>
      <c r="M233" s="27" t="n">
        <f aca="false">MAX(0,NG-L233)</f>
        <v>2.67654555665121</v>
      </c>
      <c r="N233" s="27" t="n">
        <f aca="false">MAX(0,GWL-K233)</f>
        <v>1.90383686039302</v>
      </c>
      <c r="O233" s="27" t="n">
        <f aca="false">MAX(0,NG-MAX(K233,GWL))</f>
        <v>0.8</v>
      </c>
      <c r="P233" s="27" t="n">
        <f aca="false">E233/2+WS+SLOPE_A*O233+SLOPE_B*N233</f>
        <v>7.04248058117907</v>
      </c>
      <c r="Q233" s="28" t="str">
        <f aca="false">IF(AND(P233&lt;J233,N233&lt;=MAXOC),"Open cut","Shoring")</f>
        <v>Open cut</v>
      </c>
      <c r="R233" s="27" t="n">
        <f aca="false">IF(Q233="Shoring",D233,0)</f>
        <v>0</v>
      </c>
      <c r="S233" s="27" t="n">
        <f aca="false">MAX(0,GWL-L233)</f>
        <v>1.87654555665121</v>
      </c>
      <c r="T233" s="27" t="n">
        <f aca="false">MAX(0,NG-MAX(L233,GWL))</f>
        <v>0.8</v>
      </c>
      <c r="U233" s="27" t="n">
        <f aca="false">E233+2*WS</f>
        <v>4.06961372078604</v>
      </c>
      <c r="V233" s="27" t="n">
        <f aca="false">IF(Q233="Shoring",D233*M233*U233,0)</f>
        <v>0</v>
      </c>
      <c r="W233" s="27" t="n">
        <f aca="false">IF(Q233="Open cut",D233*(U233*M233+SLOPE_B*S233^2+2*SLOPE_B*S233*T233+SLOPE_A*T233^2),0)</f>
        <v>117.605793495667</v>
      </c>
      <c r="X233" s="27" t="n">
        <f aca="false">IF(M233&gt;0,D233*(E233+2*SLABOVH)*SLAB,0)</f>
        <v>7.24899650613966</v>
      </c>
      <c r="Y233" s="27" t="n">
        <f aca="false">IF(M233&gt;0,D233*PI()*E233^2/4,0)</f>
        <v>15.8888560301831</v>
      </c>
      <c r="Z233" s="27" t="n">
        <f aca="false">IF(H233-E233&gt;=GWL,99,E233*(MAX(0,GWL-H233)*(GAM_S-GAM_W)+MAX(0,NG-MAX(H233,GWL))*GAM_D)/(GAM_W*PI()*E233^2/4))</f>
        <v>0.0898997480418403</v>
      </c>
      <c r="AA233" s="27" t="n">
        <f aca="false">IF(I233-E233&gt;=GWL,99,E233*(MAX(0,GWL-I233)*(GAM_S-GAM_W)+MAX(0,NG-MAX(I233,GWL))*GAM_D)/(GAM_W*PI()*E233^2/4))</f>
        <v>0.151513633954139</v>
      </c>
      <c r="AB233" s="27" t="n">
        <f aca="false">IF(H233-E233&gt;=GWL,99,E233*(MAX(0,GWL-H233)*(GAM_S-GAM_W)+MAX(0,FL-MAX(H233,GWL))*GAM_D)/(GAM_W*PI()*E233^2/4))</f>
        <v>2.00889209523504</v>
      </c>
      <c r="AC233" s="27" t="n">
        <f aca="false">IF(I233-E233&gt;=GWL,99,E233*(MAX(0,GWL-I233)*(GAM_S-GAM_W)+MAX(0,FL-MAX(I233,GWL))*GAM_D)/(GAM_W*PI()*E233^2/4))</f>
        <v>2.07050598114733</v>
      </c>
    </row>
    <row r="234" customFormat="false" ht="15" hidden="false" customHeight="false" outlineLevel="0" collapsed="false">
      <c r="A234" s="25" t="s">
        <v>695</v>
      </c>
      <c r="B234" s="25" t="s">
        <v>696</v>
      </c>
      <c r="C234" s="25" t="s">
        <v>702</v>
      </c>
      <c r="D234" s="26" t="n">
        <v>3.54500758696643</v>
      </c>
      <c r="E234" s="26" t="n">
        <v>2.06961372078604</v>
      </c>
      <c r="F234" s="26" t="n">
        <v>-3.40383686039302</v>
      </c>
      <c r="G234" s="26" t="n">
        <v>-3.44480686039302</v>
      </c>
      <c r="H234" s="26" t="n">
        <v>-0.834223139606978</v>
      </c>
      <c r="I234" s="26" t="n">
        <v>-0.875193139606978</v>
      </c>
      <c r="J234" s="26" t="n">
        <v>14.86</v>
      </c>
      <c r="K234" s="27" t="n">
        <f aca="false">MIN(F234,G234)</f>
        <v>-3.44480686039302</v>
      </c>
      <c r="L234" s="27" t="n">
        <f aca="false">AVERAGE(F234,G234)</f>
        <v>-3.42432186039302</v>
      </c>
      <c r="M234" s="27" t="n">
        <f aca="false">MAX(0,NG-L234)</f>
        <v>2.72432186039302</v>
      </c>
      <c r="N234" s="27" t="n">
        <f aca="false">MAX(0,GWL-K234)</f>
        <v>1.94480686039302</v>
      </c>
      <c r="O234" s="27" t="n">
        <f aca="false">MAX(0,NG-MAX(K234,GWL))</f>
        <v>0.8</v>
      </c>
      <c r="P234" s="27" t="n">
        <f aca="false">E234/2+WS+SLOPE_A*O234+SLOPE_B*N234</f>
        <v>7.12442058117907</v>
      </c>
      <c r="Q234" s="28" t="str">
        <f aca="false">IF(AND(P234&lt;J234,N234&lt;=MAXOC),"Open cut","Shoring")</f>
        <v>Open cut</v>
      </c>
      <c r="R234" s="27" t="n">
        <f aca="false">IF(Q234="Shoring",D234,0)</f>
        <v>0</v>
      </c>
      <c r="S234" s="27" t="n">
        <f aca="false">MAX(0,GWL-L234)</f>
        <v>1.92432186039302</v>
      </c>
      <c r="T234" s="27" t="n">
        <f aca="false">MAX(0,NG-MAX(L234,GWL))</f>
        <v>0.8</v>
      </c>
      <c r="U234" s="27" t="n">
        <f aca="false">E234+2*WS</f>
        <v>4.06961372078604</v>
      </c>
      <c r="V234" s="27" t="n">
        <f aca="false">IF(Q234="Shoring",D234*M234*U234,0)</f>
        <v>0</v>
      </c>
      <c r="W234" s="27" t="n">
        <f aca="false">IF(Q234="Open cut",D234*(U234*M234+SLOPE_B*S234^2+2*SLOPE_B*S234*T234+SLOPE_A*T234^2),0)</f>
        <v>90.7904690384291</v>
      </c>
      <c r="X234" s="27" t="n">
        <f aca="false">IF(M234&gt;0,D234*(E234+2*SLABOVH)*SLAB,0)</f>
        <v>5.44090196462139</v>
      </c>
      <c r="Y234" s="27" t="n">
        <f aca="false">IF(M234&gt;0,D234*PI()*E234^2/4,0)</f>
        <v>11.9257483317849</v>
      </c>
      <c r="Z234" s="27" t="n">
        <f aca="false">IF(H234-E234&gt;=GWL,99,E234*(MAX(0,GWL-H234)*(GAM_S-GAM_W)+MAX(0,NG-MAX(H234,GWL))*GAM_D)/(GAM_W*PI()*E234^2/4))</f>
        <v>0.151513633954139</v>
      </c>
      <c r="AA234" s="27" t="n">
        <f aca="false">IF(I234-E234&gt;=GWL,99,E234*(MAX(0,GWL-I234)*(GAM_S-GAM_W)+MAX(0,NG-MAX(I234,GWL))*GAM_D)/(GAM_W*PI()*E234^2/4))</f>
        <v>0.197761349521495</v>
      </c>
      <c r="AB234" s="27" t="n">
        <f aca="false">IF(H234-E234&gt;=GWL,99,E234*(MAX(0,GWL-H234)*(GAM_S-GAM_W)+MAX(0,FL-MAX(H234,GWL))*GAM_D)/(GAM_W*PI()*E234^2/4))</f>
        <v>2.07050598114733</v>
      </c>
      <c r="AC234" s="27" t="n">
        <f aca="false">IF(I234-E234&gt;=GWL,99,E234*(MAX(0,GWL-I234)*(GAM_S-GAM_W)+MAX(0,FL-MAX(I234,GWL))*GAM_D)/(GAM_W*PI()*E234^2/4))</f>
        <v>2.11675369671469</v>
      </c>
    </row>
    <row r="235" customFormat="false" ht="15" hidden="false" customHeight="false" outlineLevel="0" collapsed="false">
      <c r="A235" s="25" t="s">
        <v>695</v>
      </c>
      <c r="B235" s="25" t="s">
        <v>696</v>
      </c>
      <c r="C235" s="25" t="s">
        <v>703</v>
      </c>
      <c r="D235" s="26" t="n">
        <v>1.73192484456329</v>
      </c>
      <c r="E235" s="26" t="n">
        <v>2.06961372078604</v>
      </c>
      <c r="F235" s="26" t="n">
        <v>-3.44480686039302</v>
      </c>
      <c r="G235" s="26" t="n">
        <v>-3.59655766544588</v>
      </c>
      <c r="H235" s="26" t="n">
        <v>-0.875193139606978</v>
      </c>
      <c r="I235" s="26" t="n">
        <v>-1.02694394465983</v>
      </c>
      <c r="J235" s="26" t="n">
        <v>14.48</v>
      </c>
      <c r="K235" s="27" t="n">
        <f aca="false">MIN(F235,G235)</f>
        <v>-3.59655766544588</v>
      </c>
      <c r="L235" s="27" t="n">
        <f aca="false">AVERAGE(F235,G235)</f>
        <v>-3.52068226291945</v>
      </c>
      <c r="M235" s="27" t="n">
        <f aca="false">MAX(0,NG-L235)</f>
        <v>2.82068226291945</v>
      </c>
      <c r="N235" s="27" t="n">
        <f aca="false">MAX(0,GWL-K235)</f>
        <v>2.09655766544588</v>
      </c>
      <c r="O235" s="27" t="n">
        <f aca="false">MAX(0,NG-MAX(K235,GWL))</f>
        <v>0.8</v>
      </c>
      <c r="P235" s="27" t="n">
        <f aca="false">E235/2+WS+SLOPE_A*O235+SLOPE_B*N235</f>
        <v>7.42792219128478</v>
      </c>
      <c r="Q235" s="28" t="str">
        <f aca="false">IF(AND(P235&lt;J235,N235&lt;=MAXOC),"Open cut","Shoring")</f>
        <v>Open cut</v>
      </c>
      <c r="R235" s="27" t="n">
        <f aca="false">IF(Q235="Shoring",D235,0)</f>
        <v>0</v>
      </c>
      <c r="S235" s="27" t="n">
        <f aca="false">MAX(0,GWL-L235)</f>
        <v>2.02068226291945</v>
      </c>
      <c r="T235" s="27" t="n">
        <f aca="false">MAX(0,NG-MAX(L235,GWL))</f>
        <v>0.8</v>
      </c>
      <c r="U235" s="27" t="n">
        <f aca="false">E235+2*WS</f>
        <v>4.06961372078604</v>
      </c>
      <c r="V235" s="27" t="n">
        <f aca="false">IF(Q235="Shoring",D235*M235*U235,0)</f>
        <v>0</v>
      </c>
      <c r="W235" s="27" t="n">
        <f aca="false">IF(Q235="Open cut",D235*(U235*M235+SLOPE_B*S235^2+2*SLOPE_B*S235*T235+SLOPE_A*T235^2),0)</f>
        <v>46.8859490772899</v>
      </c>
      <c r="X235" s="27" t="n">
        <f aca="false">IF(M235&gt;0,D235*(E235+2*SLABOVH)*SLAB,0)</f>
        <v>2.65817013312086</v>
      </c>
      <c r="Y235" s="27" t="n">
        <f aca="false">IF(M235&gt;0,D235*PI()*E235^2/4,0)</f>
        <v>5.8263626576614</v>
      </c>
      <c r="Z235" s="27" t="n">
        <f aca="false">IF(H235-E235&gt;=GWL,99,E235*(MAX(0,GWL-H235)*(GAM_S-GAM_W)+MAX(0,NG-MAX(H235,GWL))*GAM_D)/(GAM_W*PI()*E235^2/4))</f>
        <v>0.197761349521495</v>
      </c>
      <c r="AA235" s="27" t="n">
        <f aca="false">IF(I235-E235&gt;=GWL,99,E235*(MAX(0,GWL-I235)*(GAM_S-GAM_W)+MAX(0,NG-MAX(I235,GWL))*GAM_D)/(GAM_W*PI()*E235^2/4))</f>
        <v>0.369060545743162</v>
      </c>
      <c r="AB235" s="27" t="n">
        <f aca="false">IF(H235-E235&gt;=GWL,99,E235*(MAX(0,GWL-H235)*(GAM_S-GAM_W)+MAX(0,FL-MAX(H235,GWL))*GAM_D)/(GAM_W*PI()*E235^2/4))</f>
        <v>2.11675369671469</v>
      </c>
      <c r="AC235" s="27" t="n">
        <f aca="false">IF(I235-E235&gt;=GWL,99,E235*(MAX(0,GWL-I235)*(GAM_S-GAM_W)+MAX(0,FL-MAX(I235,GWL))*GAM_D)/(GAM_W*PI()*E235^2/4))</f>
        <v>2.28805289293636</v>
      </c>
    </row>
    <row r="236" customFormat="false" ht="15" hidden="false" customHeight="false" outlineLevel="0" collapsed="false">
      <c r="A236" s="25" t="s">
        <v>695</v>
      </c>
      <c r="B236" s="25" t="s">
        <v>696</v>
      </c>
      <c r="C236" s="25" t="s">
        <v>704</v>
      </c>
      <c r="D236" s="26" t="n">
        <v>0.234184612914459</v>
      </c>
      <c r="E236" s="26" t="n">
        <v>2.06961372078604</v>
      </c>
      <c r="F236" s="26" t="n">
        <v>-3.59655766544588</v>
      </c>
      <c r="G236" s="26" t="n">
        <v>-3.61707686039302</v>
      </c>
      <c r="H236" s="26" t="n">
        <v>-1.02694394465983</v>
      </c>
      <c r="I236" s="26" t="n">
        <v>-1.04746313960698</v>
      </c>
      <c r="J236" s="26" t="n">
        <v>14.44</v>
      </c>
      <c r="K236" s="27" t="n">
        <f aca="false">MIN(F236,G236)</f>
        <v>-3.61707686039302</v>
      </c>
      <c r="L236" s="27" t="n">
        <f aca="false">AVERAGE(F236,G236)</f>
        <v>-3.60681726291945</v>
      </c>
      <c r="M236" s="27" t="n">
        <f aca="false">MAX(0,NG-L236)</f>
        <v>2.90681726291945</v>
      </c>
      <c r="N236" s="27" t="n">
        <f aca="false">MAX(0,GWL-K236)</f>
        <v>2.11707686039302</v>
      </c>
      <c r="O236" s="27" t="n">
        <f aca="false">MAX(0,NG-MAX(K236,GWL))</f>
        <v>0.8</v>
      </c>
      <c r="P236" s="27" t="n">
        <f aca="false">E236/2+WS+SLOPE_A*O236+SLOPE_B*N236</f>
        <v>7.46896058117907</v>
      </c>
      <c r="Q236" s="28" t="str">
        <f aca="false">IF(AND(P236&lt;J236,N236&lt;=MAXOC),"Open cut","Shoring")</f>
        <v>Open cut</v>
      </c>
      <c r="R236" s="27" t="n">
        <f aca="false">IF(Q236="Shoring",D236,0)</f>
        <v>0</v>
      </c>
      <c r="S236" s="27" t="n">
        <f aca="false">MAX(0,GWL-L236)</f>
        <v>2.10681726291945</v>
      </c>
      <c r="T236" s="27" t="n">
        <f aca="false">MAX(0,NG-MAX(L236,GWL))</f>
        <v>0.8</v>
      </c>
      <c r="U236" s="27" t="n">
        <f aca="false">E236+2*WS</f>
        <v>4.06961372078604</v>
      </c>
      <c r="V236" s="27" t="n">
        <f aca="false">IF(Q236="Shoring",D236*M236*U236,0)</f>
        <v>0</v>
      </c>
      <c r="W236" s="27" t="n">
        <f aca="false">IF(Q236="Open cut",D236*(U236*M236+SLOPE_B*S236^2+2*SLOPE_B*S236*T236+SLOPE_A*T236^2),0)</f>
        <v>6.65290303911957</v>
      </c>
      <c r="X236" s="27" t="n">
        <f aca="false">IF(M236&gt;0,D236*(E236+2*SLABOVH)*SLAB,0)</f>
        <v>0.359428150499597</v>
      </c>
      <c r="Y236" s="27" t="n">
        <f aca="false">IF(M236&gt;0,D236*PI()*E236^2/4,0)</f>
        <v>0.787819683958483</v>
      </c>
      <c r="Z236" s="27" t="n">
        <f aca="false">IF(H236-E236&gt;=GWL,99,E236*(MAX(0,GWL-H236)*(GAM_S-GAM_W)+MAX(0,NG-MAX(H236,GWL))*GAM_D)/(GAM_W*PI()*E236^2/4))</f>
        <v>0.369060545743162</v>
      </c>
      <c r="AA236" s="27" t="n">
        <f aca="false">IF(I236-E236&gt;=GWL,99,E236*(MAX(0,GWL-I236)*(GAM_S-GAM_W)+MAX(0,NG-MAX(I236,GWL))*GAM_D)/(GAM_W*PI()*E236^2/4))</f>
        <v>0.392223003433831</v>
      </c>
      <c r="AB236" s="27" t="n">
        <f aca="false">IF(H236-E236&gt;=GWL,99,E236*(MAX(0,GWL-H236)*(GAM_S-GAM_W)+MAX(0,FL-MAX(H236,GWL))*GAM_D)/(GAM_W*PI()*E236^2/4))</f>
        <v>2.28805289293636</v>
      </c>
      <c r="AC236" s="27" t="n">
        <f aca="false">IF(I236-E236&gt;=GWL,99,E236*(MAX(0,GWL-I236)*(GAM_S-GAM_W)+MAX(0,FL-MAX(I236,GWL))*GAM_D)/(GAM_W*PI()*E236^2/4))</f>
        <v>2.31121535062703</v>
      </c>
    </row>
    <row r="237" customFormat="false" ht="15" hidden="false" customHeight="false" outlineLevel="0" collapsed="false">
      <c r="A237" s="25" t="s">
        <v>695</v>
      </c>
      <c r="B237" s="25" t="s">
        <v>705</v>
      </c>
      <c r="C237" s="25" t="s">
        <v>706</v>
      </c>
      <c r="D237" s="26" t="n">
        <v>2.02716999991118</v>
      </c>
      <c r="E237" s="26" t="n">
        <v>2.06959806440608</v>
      </c>
      <c r="F237" s="26" t="n">
        <v>-3.61706903220304</v>
      </c>
      <c r="G237" s="26" t="n">
        <v>-3.79468903220304</v>
      </c>
      <c r="H237" s="26" t="n">
        <v>-1.04747096779696</v>
      </c>
      <c r="I237" s="26" t="n">
        <v>-1.22509096779696</v>
      </c>
      <c r="J237" s="26" t="n">
        <v>12.87</v>
      </c>
      <c r="K237" s="27" t="n">
        <f aca="false">MIN(F237,G237)</f>
        <v>-3.79468903220304</v>
      </c>
      <c r="L237" s="27" t="n">
        <f aca="false">AVERAGE(F237,G237)</f>
        <v>-3.70587903220304</v>
      </c>
      <c r="M237" s="27" t="n">
        <f aca="false">MAX(0,NG-L237)</f>
        <v>3.00587903220304</v>
      </c>
      <c r="N237" s="27" t="n">
        <f aca="false">MAX(0,GWL-K237)</f>
        <v>2.29468903220304</v>
      </c>
      <c r="O237" s="27" t="n">
        <f aca="false">MAX(0,NG-MAX(K237,GWL))</f>
        <v>0.8</v>
      </c>
      <c r="P237" s="27" t="n">
        <f aca="false">E237/2+WS+SLOPE_A*O237+SLOPE_B*N237</f>
        <v>7.82417709660912</v>
      </c>
      <c r="Q237" s="28" t="str">
        <f aca="false">IF(AND(P237&lt;J237,N237&lt;=MAXOC),"Open cut","Shoring")</f>
        <v>Open cut</v>
      </c>
      <c r="R237" s="27" t="n">
        <f aca="false">IF(Q237="Shoring",D237,0)</f>
        <v>0</v>
      </c>
      <c r="S237" s="27" t="n">
        <f aca="false">MAX(0,GWL-L237)</f>
        <v>2.20587903220304</v>
      </c>
      <c r="T237" s="27" t="n">
        <f aca="false">MAX(0,NG-MAX(L237,GWL))</f>
        <v>0.8</v>
      </c>
      <c r="U237" s="27" t="n">
        <f aca="false">E237+2*WS</f>
        <v>4.06959806440608</v>
      </c>
      <c r="V237" s="27" t="n">
        <f aca="false">IF(Q237="Shoring",D237*M237*U237,0)</f>
        <v>0</v>
      </c>
      <c r="W237" s="27" t="n">
        <f aca="false">IF(Q237="Open cut",D237*(U237*M237+SLOPE_B*S237^2+2*SLOPE_B*S237*T237+SLOPE_A*T237^2),0)</f>
        <v>60.7813212712653</v>
      </c>
      <c r="X237" s="27" t="n">
        <f aca="false">IF(M237&gt;0,D237*(E237+2*SLABOVH)*SLAB,0)</f>
        <v>3.11129855397471</v>
      </c>
      <c r="Y237" s="27" t="n">
        <f aca="false">IF(M237&gt;0,D237*PI()*E237^2/4,0)</f>
        <v>6.8194927325783</v>
      </c>
      <c r="Z237" s="27" t="n">
        <f aca="false">IF(H237-E237&gt;=GWL,99,E237*(MAX(0,GWL-H237)*(GAM_S-GAM_W)+MAX(0,NG-MAX(H237,GWL))*GAM_D)/(GAM_W*PI()*E237^2/4))</f>
        <v>0.392234807252982</v>
      </c>
      <c r="AA237" s="27" t="n">
        <f aca="false">IF(I237-E237&gt;=GWL,99,E237*(MAX(0,GWL-I237)*(GAM_S-GAM_W)+MAX(0,NG-MAX(I237,GWL))*GAM_D)/(GAM_W*PI()*E237^2/4))</f>
        <v>0.592737159740125</v>
      </c>
      <c r="AB237" s="27" t="n">
        <f aca="false">IF(H237-E237&gt;=GWL,99,E237*(MAX(0,GWL-H237)*(GAM_S-GAM_W)+MAX(0,FL-MAX(H237,GWL))*GAM_D)/(GAM_W*PI()*E237^2/4))</f>
        <v>2.31124167150331</v>
      </c>
      <c r="AC237" s="27" t="n">
        <f aca="false">IF(I237-E237&gt;=GWL,99,E237*(MAX(0,GWL-I237)*(GAM_S-GAM_W)+MAX(0,FL-MAX(I237,GWL))*GAM_D)/(GAM_W*PI()*E237^2/4))</f>
        <v>2.51174402399045</v>
      </c>
    </row>
    <row r="238" customFormat="false" ht="15" hidden="false" customHeight="false" outlineLevel="0" collapsed="false">
      <c r="A238" s="25" t="s">
        <v>695</v>
      </c>
      <c r="B238" s="25" t="s">
        <v>705</v>
      </c>
      <c r="C238" s="25" t="s">
        <v>707</v>
      </c>
      <c r="D238" s="26" t="n">
        <v>2.79270034582618</v>
      </c>
      <c r="E238" s="26" t="n">
        <v>2.06959806440608</v>
      </c>
      <c r="F238" s="26" t="n">
        <v>-3.79468903220304</v>
      </c>
      <c r="G238" s="26" t="n">
        <v>-4.03937903220304</v>
      </c>
      <c r="H238" s="26" t="n">
        <v>-1.22509096779696</v>
      </c>
      <c r="I238" s="26" t="n">
        <v>-1.46978096779696</v>
      </c>
      <c r="J238" s="26" t="n">
        <v>10.95</v>
      </c>
      <c r="K238" s="27" t="n">
        <f aca="false">MIN(F238,G238)</f>
        <v>-4.03937903220304</v>
      </c>
      <c r="L238" s="27" t="n">
        <f aca="false">AVERAGE(F238,G238)</f>
        <v>-3.91703403220304</v>
      </c>
      <c r="M238" s="27" t="n">
        <f aca="false">MAX(0,NG-L238)</f>
        <v>3.21703403220304</v>
      </c>
      <c r="N238" s="27" t="n">
        <f aca="false">MAX(0,GWL-K238)</f>
        <v>2.53937903220304</v>
      </c>
      <c r="O238" s="27" t="n">
        <f aca="false">MAX(0,NG-MAX(K238,GWL))</f>
        <v>0.8</v>
      </c>
      <c r="P238" s="27" t="n">
        <f aca="false">E238/2+WS+SLOPE_A*O238+SLOPE_B*N238</f>
        <v>8.31355709660912</v>
      </c>
      <c r="Q238" s="28" t="str">
        <f aca="false">IF(AND(P238&lt;J238,N238&lt;=MAXOC),"Open cut","Shoring")</f>
        <v>Shoring</v>
      </c>
      <c r="R238" s="27" t="n">
        <f aca="false">IF(Q238="Shoring",D238,0)</f>
        <v>2.79270034582618</v>
      </c>
      <c r="S238" s="27" t="n">
        <f aca="false">MAX(0,GWL-L238)</f>
        <v>2.41703403220304</v>
      </c>
      <c r="T238" s="27" t="n">
        <f aca="false">MAX(0,NG-MAX(L238,GWL))</f>
        <v>0.8</v>
      </c>
      <c r="U238" s="27" t="n">
        <f aca="false">E238+2*WS</f>
        <v>4.06959806440608</v>
      </c>
      <c r="V238" s="27" t="n">
        <f aca="false">IF(Q238="Shoring",D238*M238*U238,0)</f>
        <v>36.5621319862628</v>
      </c>
      <c r="W238" s="27" t="n">
        <f aca="false">IF(Q238="Open cut",D238*(U238*M238+SLOPE_B*S238^2+2*SLOPE_B*S238*T238+SLOPE_A*T238^2),0)</f>
        <v>0</v>
      </c>
      <c r="X238" s="27" t="n">
        <f aca="false">IF(M238&gt;0,D238*(E238+2*SLABOVH)*SLAB,0)</f>
        <v>4.28623378800711</v>
      </c>
      <c r="Y238" s="27" t="n">
        <f aca="false">IF(M238&gt;0,D238*PI()*E238^2/4,0)</f>
        <v>9.39477188073273</v>
      </c>
      <c r="Z238" s="27" t="n">
        <f aca="false">IF(H238-E238&gt;=GWL,99,E238*(MAX(0,GWL-H238)*(GAM_S-GAM_W)+MAX(0,NG-MAX(H238,GWL))*GAM_D)/(GAM_W*PI()*E238^2/4))</f>
        <v>0.592737159740125</v>
      </c>
      <c r="AA238" s="27" t="n">
        <f aca="false">IF(I238-E238&gt;=GWL,99,E238*(MAX(0,GWL-I238)*(GAM_S-GAM_W)+MAX(0,NG-MAX(I238,GWL))*GAM_D)/(GAM_W*PI()*E238^2/4))</f>
        <v>0.868949977159779</v>
      </c>
      <c r="AB238" s="27" t="n">
        <f aca="false">IF(H238-E238&gt;=GWL,99,E238*(MAX(0,GWL-H238)*(GAM_S-GAM_W)+MAX(0,FL-MAX(H238,GWL))*GAM_D)/(GAM_W*PI()*E238^2/4))</f>
        <v>2.51174402399045</v>
      </c>
      <c r="AC238" s="27" t="n">
        <f aca="false">IF(I238-E238&gt;=GWL,99,E238*(MAX(0,GWL-I238)*(GAM_S-GAM_W)+MAX(0,FL-MAX(I238,GWL))*GAM_D)/(GAM_W*PI()*E238^2/4))</f>
        <v>2.7879568414101</v>
      </c>
    </row>
    <row r="239" customFormat="false" ht="15" hidden="false" customHeight="false" outlineLevel="0" collapsed="false">
      <c r="A239" s="25" t="s">
        <v>695</v>
      </c>
      <c r="B239" s="25" t="s">
        <v>705</v>
      </c>
      <c r="C239" s="25" t="s">
        <v>708</v>
      </c>
      <c r="D239" s="26" t="n">
        <v>4.94594504147137</v>
      </c>
      <c r="E239" s="26" t="n">
        <v>2.06959806440608</v>
      </c>
      <c r="F239" s="26" t="n">
        <v>-4.03937903220304</v>
      </c>
      <c r="G239" s="26" t="n">
        <v>-4.12722725474172</v>
      </c>
      <c r="H239" s="26" t="n">
        <v>-1.46978096779696</v>
      </c>
      <c r="I239" s="26" t="n">
        <v>-1.55762919033564</v>
      </c>
      <c r="J239" s="26" t="n">
        <v>8.78</v>
      </c>
      <c r="K239" s="27" t="n">
        <f aca="false">MIN(F239,G239)</f>
        <v>-4.12722725474172</v>
      </c>
      <c r="L239" s="27" t="n">
        <f aca="false">AVERAGE(F239,G239)</f>
        <v>-4.08330314347238</v>
      </c>
      <c r="M239" s="27" t="n">
        <f aca="false">MAX(0,NG-L239)</f>
        <v>3.38330314347238</v>
      </c>
      <c r="N239" s="27" t="n">
        <f aca="false">MAX(0,GWL-K239)</f>
        <v>2.62722725474172</v>
      </c>
      <c r="O239" s="27" t="n">
        <f aca="false">MAX(0,NG-MAX(K239,GWL))</f>
        <v>0.8</v>
      </c>
      <c r="P239" s="27" t="n">
        <f aca="false">E239/2+WS+SLOPE_A*O239+SLOPE_B*N239</f>
        <v>8.48925354168648</v>
      </c>
      <c r="Q239" s="28" t="str">
        <f aca="false">IF(AND(P239&lt;J239,N239&lt;=MAXOC),"Open cut","Shoring")</f>
        <v>Shoring</v>
      </c>
      <c r="R239" s="27" t="n">
        <f aca="false">IF(Q239="Shoring",D239,0)</f>
        <v>4.94594504147137</v>
      </c>
      <c r="S239" s="27" t="n">
        <f aca="false">MAX(0,GWL-L239)</f>
        <v>2.58330314347238</v>
      </c>
      <c r="T239" s="27" t="n">
        <f aca="false">MAX(0,NG-MAX(L239,GWL))</f>
        <v>0.8</v>
      </c>
      <c r="U239" s="27" t="n">
        <f aca="false">E239+2*WS</f>
        <v>4.06959806440608</v>
      </c>
      <c r="V239" s="27" t="n">
        <f aca="false">IF(Q239="Shoring",D239*M239*U239,0)</f>
        <v>68.0991539813668</v>
      </c>
      <c r="W239" s="27" t="n">
        <f aca="false">IF(Q239="Open cut",D239*(U239*M239+SLOPE_B*S239^2+2*SLOPE_B*S239*T239+SLOPE_A*T239^2),0)</f>
        <v>0</v>
      </c>
      <c r="X239" s="27" t="n">
        <f aca="false">IF(M239&gt;0,D239*(E239+2*SLABOVH)*SLAB,0)</f>
        <v>7.59103166297968</v>
      </c>
      <c r="Y239" s="27" t="n">
        <f aca="false">IF(M239&gt;0,D239*PI()*E239^2/4,0)</f>
        <v>16.6383856645094</v>
      </c>
      <c r="Z239" s="27" t="n">
        <f aca="false">IF(H239-E239&gt;=GWL,99,E239*(MAX(0,GWL-H239)*(GAM_S-GAM_W)+MAX(0,NG-MAX(H239,GWL))*GAM_D)/(GAM_W*PI()*E239^2/4))</f>
        <v>0.868949977159779</v>
      </c>
      <c r="AA239" s="27" t="n">
        <f aca="false">IF(I239-E239&gt;=GWL,99,E239*(MAX(0,GWL-I239)*(GAM_S-GAM_W)+MAX(0,NG-MAX(I239,GWL))*GAM_D)/(GAM_W*PI()*E239^2/4))</f>
        <v>0.932661359285478</v>
      </c>
      <c r="AB239" s="27" t="n">
        <f aca="false">IF(H239-E239&gt;=GWL,99,E239*(MAX(0,GWL-H239)*(GAM_S-GAM_W)+MAX(0,FL-MAX(H239,GWL))*GAM_D)/(GAM_W*PI()*E239^2/4))</f>
        <v>2.7879568414101</v>
      </c>
      <c r="AC239" s="27" t="n">
        <f aca="false">IF(I239-E239&gt;=GWL,99,E239*(MAX(0,GWL-I239)*(GAM_S-GAM_W)+MAX(0,FL-MAX(I239,GWL))*GAM_D)/(GAM_W*PI()*E239^2/4))</f>
        <v>2.8516682235358</v>
      </c>
    </row>
    <row r="240" customFormat="false" ht="15" hidden="false" customHeight="false" outlineLevel="0" collapsed="false">
      <c r="A240" s="25" t="s">
        <v>695</v>
      </c>
      <c r="B240" s="25" t="s">
        <v>705</v>
      </c>
      <c r="C240" s="25" t="s">
        <v>709</v>
      </c>
      <c r="D240" s="26" t="n">
        <v>9.99999999996788</v>
      </c>
      <c r="E240" s="26" t="n">
        <v>2.06959806440608</v>
      </c>
      <c r="F240" s="26" t="n">
        <v>-4.12722725474172</v>
      </c>
      <c r="G240" s="26" t="n">
        <v>-4.30484391202969</v>
      </c>
      <c r="H240" s="26" t="n">
        <v>-1.55762919033564</v>
      </c>
      <c r="I240" s="26" t="n">
        <v>-1.73524584762361</v>
      </c>
      <c r="J240" s="26" t="n">
        <v>8.53</v>
      </c>
      <c r="K240" s="27" t="n">
        <f aca="false">MIN(F240,G240)</f>
        <v>-4.30484391202969</v>
      </c>
      <c r="L240" s="27" t="n">
        <f aca="false">AVERAGE(F240,G240)</f>
        <v>-4.21603558338571</v>
      </c>
      <c r="M240" s="27" t="n">
        <f aca="false">MAX(0,NG-L240)</f>
        <v>3.51603558338571</v>
      </c>
      <c r="N240" s="27" t="n">
        <f aca="false">MAX(0,GWL-K240)</f>
        <v>2.80484391202969</v>
      </c>
      <c r="O240" s="27" t="n">
        <f aca="false">MAX(0,NG-MAX(K240,GWL))</f>
        <v>0.8</v>
      </c>
      <c r="P240" s="27" t="n">
        <f aca="false">E240/2+WS+SLOPE_A*O240+SLOPE_B*N240</f>
        <v>8.84448685626242</v>
      </c>
      <c r="Q240" s="28" t="str">
        <f aca="false">IF(AND(P240&lt;J240,N240&lt;=MAXOC),"Open cut","Shoring")</f>
        <v>Shoring</v>
      </c>
      <c r="R240" s="27" t="n">
        <f aca="false">IF(Q240="Shoring",D240,0)</f>
        <v>9.99999999996788</v>
      </c>
      <c r="S240" s="27" t="n">
        <f aca="false">MAX(0,GWL-L240)</f>
        <v>2.71603558338571</v>
      </c>
      <c r="T240" s="27" t="n">
        <f aca="false">MAX(0,NG-MAX(L240,GWL))</f>
        <v>0.8</v>
      </c>
      <c r="U240" s="27" t="n">
        <f aca="false">E240+2*WS</f>
        <v>4.06959806440608</v>
      </c>
      <c r="V240" s="27" t="n">
        <f aca="false">IF(Q240="Shoring",D240*M240*U240,0)</f>
        <v>143.088516044834</v>
      </c>
      <c r="W240" s="27" t="n">
        <f aca="false">IF(Q240="Open cut",D240*(U240*M240+SLOPE_B*S240^2+2*SLOPE_B*S240*T240+SLOPE_A*T240^2),0)</f>
        <v>0</v>
      </c>
      <c r="X240" s="27" t="n">
        <f aca="false">IF(M240&gt;0,D240*(E240+2*SLABOVH)*SLAB,0)</f>
        <v>15.3479903219811</v>
      </c>
      <c r="Y240" s="27" t="n">
        <f aca="false">IF(M240&gt;0,D240*PI()*E240^2/4,0)</f>
        <v>33.6404580417784</v>
      </c>
      <c r="Z240" s="27" t="n">
        <f aca="false">IF(H240-E240&gt;=GWL,99,E240*(MAX(0,GWL-H240)*(GAM_S-GAM_W)+MAX(0,NG-MAX(H240,GWL))*GAM_D)/(GAM_W*PI()*E240^2/4))</f>
        <v>0.932661359285478</v>
      </c>
      <c r="AA240" s="27" t="n">
        <f aca="false">IF(I240-E240&gt;=GWL,99,E240*(MAX(0,GWL-I240)*(GAM_S-GAM_W)+MAX(0,NG-MAX(I240,GWL))*GAM_D)/(GAM_W*PI()*E240^2/4))</f>
        <v>1.02388821279493</v>
      </c>
      <c r="AB240" s="27" t="n">
        <f aca="false">IF(H240-E240&gt;=GWL,99,E240*(MAX(0,GWL-H240)*(GAM_S-GAM_W)+MAX(0,FL-MAX(H240,GWL))*GAM_D)/(GAM_W*PI()*E240^2/4))</f>
        <v>2.8516682235358</v>
      </c>
      <c r="AC240" s="27" t="n">
        <f aca="false">IF(I240-E240&gt;=GWL,99,E240*(MAX(0,GWL-I240)*(GAM_S-GAM_W)+MAX(0,FL-MAX(I240,GWL))*GAM_D)/(GAM_W*PI()*E240^2/4))</f>
        <v>2.94289507704526</v>
      </c>
    </row>
    <row r="241" customFormat="false" ht="15" hidden="false" customHeight="false" outlineLevel="0" collapsed="false">
      <c r="A241" s="25" t="s">
        <v>695</v>
      </c>
      <c r="B241" s="25" t="s">
        <v>705</v>
      </c>
      <c r="C241" s="25" t="s">
        <v>710</v>
      </c>
      <c r="D241" s="26" t="n">
        <v>9.99999999986731</v>
      </c>
      <c r="E241" s="26" t="n">
        <v>2.06959806440608</v>
      </c>
      <c r="F241" s="26" t="n">
        <v>-4.30484391202969</v>
      </c>
      <c r="G241" s="26" t="n">
        <v>-4.48246056931767</v>
      </c>
      <c r="H241" s="26" t="n">
        <v>-1.73524584762361</v>
      </c>
      <c r="I241" s="26" t="n">
        <v>-1.91286250491159</v>
      </c>
      <c r="J241" s="26" t="n">
        <v>8.48</v>
      </c>
      <c r="K241" s="27" t="n">
        <f aca="false">MIN(F241,G241)</f>
        <v>-4.48246056931767</v>
      </c>
      <c r="L241" s="27" t="n">
        <f aca="false">AVERAGE(F241,G241)</f>
        <v>-4.39365224067368</v>
      </c>
      <c r="M241" s="27" t="n">
        <f aca="false">MAX(0,NG-L241)</f>
        <v>3.69365224067368</v>
      </c>
      <c r="N241" s="27" t="n">
        <f aca="false">MAX(0,GWL-K241)</f>
        <v>2.98246056931767</v>
      </c>
      <c r="O241" s="27" t="n">
        <f aca="false">MAX(0,NG-MAX(K241,GWL))</f>
        <v>0.8</v>
      </c>
      <c r="P241" s="27" t="n">
        <f aca="false">E241/2+WS+SLOPE_A*O241+SLOPE_B*N241</f>
        <v>9.19972017083837</v>
      </c>
      <c r="Q241" s="28" t="str">
        <f aca="false">IF(AND(P241&lt;J241,N241&lt;=MAXOC),"Open cut","Shoring")</f>
        <v>Shoring</v>
      </c>
      <c r="R241" s="27" t="n">
        <f aca="false">IF(Q241="Shoring",D241,0)</f>
        <v>9.99999999986731</v>
      </c>
      <c r="S241" s="27" t="n">
        <f aca="false">MAX(0,GWL-L241)</f>
        <v>2.89365224067368</v>
      </c>
      <c r="T241" s="27" t="n">
        <f aca="false">MAX(0,NG-MAX(L241,GWL))</f>
        <v>0.8</v>
      </c>
      <c r="U241" s="27" t="n">
        <f aca="false">E241+2*WS</f>
        <v>4.06959806440608</v>
      </c>
      <c r="V241" s="27" t="n">
        <f aca="false">IF(Q241="Shoring",D241*M241*U241,0)</f>
        <v>150.316800090353</v>
      </c>
      <c r="W241" s="27" t="n">
        <f aca="false">IF(Q241="Open cut",D241*(U241*M241+SLOPE_B*S241^2+2*SLOPE_B*S241*T241+SLOPE_A*T241^2),0)</f>
        <v>0</v>
      </c>
      <c r="X241" s="27" t="n">
        <f aca="false">IF(M241&gt;0,D241*(E241+2*SLABOVH)*SLAB,0)</f>
        <v>15.3479903218267</v>
      </c>
      <c r="Y241" s="27" t="n">
        <f aca="false">IF(M241&gt;0,D241*PI()*E241^2/4,0)</f>
        <v>33.6404580414401</v>
      </c>
      <c r="Z241" s="27" t="n">
        <f aca="false">IF(H241-E241&gt;=GWL,99,E241*(MAX(0,GWL-H241)*(GAM_S-GAM_W)+MAX(0,NG-MAX(H241,GWL))*GAM_D)/(GAM_W*PI()*E241^2/4))</f>
        <v>1.02388821279493</v>
      </c>
      <c r="AA241" s="27" t="n">
        <f aca="false">IF(I241-E241&gt;=GWL,99,E241*(MAX(0,GWL-I241)*(GAM_S-GAM_W)+MAX(0,NG-MAX(I241,GWL))*GAM_D)/(GAM_W*PI()*E241^2/4))</f>
        <v>1.11511506630439</v>
      </c>
      <c r="AB241" s="27" t="n">
        <f aca="false">IF(H241-E241&gt;=GWL,99,E241*(MAX(0,GWL-H241)*(GAM_S-GAM_W)+MAX(0,FL-MAX(H241,GWL))*GAM_D)/(GAM_W*PI()*E241^2/4))</f>
        <v>2.94289507704526</v>
      </c>
      <c r="AC241" s="27" t="n">
        <f aca="false">IF(I241-E241&gt;=GWL,99,E241*(MAX(0,GWL-I241)*(GAM_S-GAM_W)+MAX(0,FL-MAX(I241,GWL))*GAM_D)/(GAM_W*PI()*E241^2/4))</f>
        <v>3.03412193055471</v>
      </c>
    </row>
    <row r="242" customFormat="false" ht="15" hidden="false" customHeight="false" outlineLevel="0" collapsed="false">
      <c r="A242" s="25" t="s">
        <v>695</v>
      </c>
      <c r="B242" s="25" t="s">
        <v>705</v>
      </c>
      <c r="C242" s="25" t="s">
        <v>711</v>
      </c>
      <c r="D242" s="26" t="n">
        <v>5.5000000001214</v>
      </c>
      <c r="E242" s="26" t="n">
        <v>2.06959806440608</v>
      </c>
      <c r="F242" s="26" t="n">
        <v>-4.48246056931767</v>
      </c>
      <c r="G242" s="26" t="n">
        <v>-4.58014973082605</v>
      </c>
      <c r="H242" s="26" t="n">
        <v>-1.91286250491159</v>
      </c>
      <c r="I242" s="26" t="n">
        <v>-2.01055166641997</v>
      </c>
      <c r="J242" s="26" t="n">
        <v>8.45</v>
      </c>
      <c r="K242" s="27" t="n">
        <f aca="false">MIN(F242,G242)</f>
        <v>-4.58014973082605</v>
      </c>
      <c r="L242" s="27" t="n">
        <f aca="false">AVERAGE(F242,G242)</f>
        <v>-4.53130515007186</v>
      </c>
      <c r="M242" s="27" t="n">
        <f aca="false">MAX(0,NG-L242)</f>
        <v>3.83130515007186</v>
      </c>
      <c r="N242" s="27" t="n">
        <f aca="false">MAX(0,GWL-K242)</f>
        <v>3.08014973082605</v>
      </c>
      <c r="O242" s="27" t="n">
        <f aca="false">MAX(0,NG-MAX(K242,GWL))</f>
        <v>0.8</v>
      </c>
      <c r="P242" s="27" t="n">
        <f aca="false">E242/2+WS+SLOPE_A*O242+SLOPE_B*N242</f>
        <v>9.39509849385514</v>
      </c>
      <c r="Q242" s="28" t="str">
        <f aca="false">IF(AND(P242&lt;J242,N242&lt;=MAXOC),"Open cut","Shoring")</f>
        <v>Shoring</v>
      </c>
      <c r="R242" s="27" t="n">
        <f aca="false">IF(Q242="Shoring",D242,0)</f>
        <v>5.5000000001214</v>
      </c>
      <c r="S242" s="27" t="n">
        <f aca="false">MAX(0,GWL-L242)</f>
        <v>3.03130515007186</v>
      </c>
      <c r="T242" s="27" t="n">
        <f aca="false">MAX(0,NG-MAX(L242,GWL))</f>
        <v>0.8</v>
      </c>
      <c r="U242" s="27" t="n">
        <f aca="false">E242+2*WS</f>
        <v>4.06959806440608</v>
      </c>
      <c r="V242" s="27" t="n">
        <f aca="false">IF(Q242="Shoring",D242*M242*U242,0)</f>
        <v>85.755296127741</v>
      </c>
      <c r="W242" s="27" t="n">
        <f aca="false">IF(Q242="Open cut",D242*(U242*M242+SLOPE_B*S242^2+2*SLOPE_B*S242*T242+SLOPE_A*T242^2),0)</f>
        <v>0</v>
      </c>
      <c r="X242" s="27" t="n">
        <f aca="false">IF(M242&gt;0,D242*(E242+2*SLABOVH)*SLAB,0)</f>
        <v>8.44139467730305</v>
      </c>
      <c r="Y242" s="27" t="n">
        <f aca="false">IF(M242&gt;0,D242*PI()*E242^2/4,0)</f>
        <v>18.502251923446</v>
      </c>
      <c r="Z242" s="27" t="n">
        <f aca="false">IF(H242-E242&gt;=GWL,99,E242*(MAX(0,GWL-H242)*(GAM_S-GAM_W)+MAX(0,NG-MAX(H242,GWL))*GAM_D)/(GAM_W*PI()*E242^2/4))</f>
        <v>1.11511506630439</v>
      </c>
      <c r="AA242" s="27" t="n">
        <f aca="false">IF(I242-E242&gt;=GWL,99,E242*(MAX(0,GWL-I242)*(GAM_S-GAM_W)+MAX(0,NG-MAX(I242,GWL))*GAM_D)/(GAM_W*PI()*E242^2/4))</f>
        <v>1.16528983573459</v>
      </c>
      <c r="AB242" s="27" t="n">
        <f aca="false">IF(H242-E242&gt;=GWL,99,E242*(MAX(0,GWL-H242)*(GAM_S-GAM_W)+MAX(0,FL-MAX(H242,GWL))*GAM_D)/(GAM_W*PI()*E242^2/4))</f>
        <v>3.03412193055471</v>
      </c>
      <c r="AC242" s="27" t="n">
        <f aca="false">IF(I242-E242&gt;=GWL,99,E242*(MAX(0,GWL-I242)*(GAM_S-GAM_W)+MAX(0,FL-MAX(I242,GWL))*GAM_D)/(GAM_W*PI()*E242^2/4))</f>
        <v>3.08429669998491</v>
      </c>
    </row>
    <row r="243" customFormat="false" ht="15" hidden="false" customHeight="false" outlineLevel="0" collapsed="false">
      <c r="A243" s="25" t="s">
        <v>695</v>
      </c>
      <c r="B243" s="25" t="s">
        <v>712</v>
      </c>
      <c r="C243" s="25" t="s">
        <v>713</v>
      </c>
      <c r="D243" s="26" t="n">
        <v>4.49999999974591</v>
      </c>
      <c r="E243" s="26" t="n">
        <v>2.06959806440608</v>
      </c>
      <c r="F243" s="26" t="n">
        <v>-4.58014973082605</v>
      </c>
      <c r="G243" s="26" t="n">
        <v>-4.66007722660564</v>
      </c>
      <c r="H243" s="26" t="n">
        <v>-2.01055166641997</v>
      </c>
      <c r="I243" s="26" t="n">
        <v>-2.09047916219956</v>
      </c>
      <c r="J243" s="26" t="n">
        <v>8.43</v>
      </c>
      <c r="K243" s="27" t="n">
        <f aca="false">MIN(F243,G243)</f>
        <v>-4.66007722660564</v>
      </c>
      <c r="L243" s="27" t="n">
        <f aca="false">AVERAGE(F243,G243)</f>
        <v>-4.62011347871585</v>
      </c>
      <c r="M243" s="27" t="n">
        <f aca="false">MAX(0,NG-L243)</f>
        <v>3.92011347871585</v>
      </c>
      <c r="N243" s="27" t="n">
        <f aca="false">MAX(0,GWL-K243)</f>
        <v>3.16007722660564</v>
      </c>
      <c r="O243" s="27" t="n">
        <f aca="false">MAX(0,NG-MAX(K243,GWL))</f>
        <v>0.8</v>
      </c>
      <c r="P243" s="27" t="n">
        <f aca="false">E243/2+WS+SLOPE_A*O243+SLOPE_B*N243</f>
        <v>9.55495348541432</v>
      </c>
      <c r="Q243" s="28" t="str">
        <f aca="false">IF(AND(P243&lt;J243,N243&lt;=MAXOC),"Open cut","Shoring")</f>
        <v>Shoring</v>
      </c>
      <c r="R243" s="27" t="n">
        <f aca="false">IF(Q243="Shoring",D243,0)</f>
        <v>4.49999999974591</v>
      </c>
      <c r="S243" s="27" t="n">
        <f aca="false">MAX(0,GWL-L243)</f>
        <v>3.12011347871585</v>
      </c>
      <c r="T243" s="27" t="n">
        <f aca="false">MAX(0,NG-MAX(L243,GWL))</f>
        <v>0.8</v>
      </c>
      <c r="U243" s="27" t="n">
        <f aca="false">E243+2*WS</f>
        <v>4.06959806440608</v>
      </c>
      <c r="V243" s="27" t="n">
        <f aca="false">IF(Q243="Shoring",D243*M243*U243,0)</f>
        <v>71.7897880095003</v>
      </c>
      <c r="W243" s="27" t="n">
        <f aca="false">IF(Q243="Open cut",D243*(U243*M243+SLOPE_B*S243^2+2*SLOPE_B*S243*T243+SLOPE_A*T243^2),0)</f>
        <v>0</v>
      </c>
      <c r="X243" s="27" t="n">
        <f aca="false">IF(M243&gt;0,D243*(E243+2*SLABOVH)*SLAB,0)</f>
        <v>6.9065956445237</v>
      </c>
      <c r="Y243" s="27" t="n">
        <f aca="false">IF(M243&gt;0,D243*PI()*E243^2/4,0)</f>
        <v>15.1382061179942</v>
      </c>
      <c r="Z243" s="27" t="n">
        <f aca="false">IF(H243-E243&gt;=GWL,99,E243*(MAX(0,GWL-H243)*(GAM_S-GAM_W)+MAX(0,NG-MAX(H243,GWL))*GAM_D)/(GAM_W*PI()*E243^2/4))</f>
        <v>1.16528983573459</v>
      </c>
      <c r="AA243" s="27" t="n">
        <f aca="false">IF(I243-E243&gt;=GWL,99,E243*(MAX(0,GWL-I243)*(GAM_S-GAM_W)+MAX(0,NG-MAX(I243,GWL))*GAM_D)/(GAM_W*PI()*E243^2/4))</f>
        <v>1.20634191981384</v>
      </c>
      <c r="AB243" s="27" t="n">
        <f aca="false">IF(H243-E243&gt;=GWL,99,E243*(MAX(0,GWL-H243)*(GAM_S-GAM_W)+MAX(0,FL-MAX(H243,GWL))*GAM_D)/(GAM_W*PI()*E243^2/4))</f>
        <v>3.08429669998491</v>
      </c>
      <c r="AC243" s="27" t="n">
        <f aca="false">IF(I243-E243&gt;=GWL,99,E243*(MAX(0,GWL-I243)*(GAM_S-GAM_W)+MAX(0,FL-MAX(I243,GWL))*GAM_D)/(GAM_W*PI()*E243^2/4))</f>
        <v>3.12534878406417</v>
      </c>
    </row>
    <row r="244" customFormat="false" ht="15" hidden="false" customHeight="false" outlineLevel="0" collapsed="false">
      <c r="A244" s="25" t="s">
        <v>695</v>
      </c>
      <c r="B244" s="25" t="s">
        <v>712</v>
      </c>
      <c r="C244" s="25" t="s">
        <v>714</v>
      </c>
      <c r="D244" s="26" t="n">
        <v>10.0000000001019</v>
      </c>
      <c r="E244" s="26" t="n">
        <v>2.06959806440608</v>
      </c>
      <c r="F244" s="26" t="n">
        <v>-4.66007722660564</v>
      </c>
      <c r="G244" s="26" t="n">
        <v>-4.83769388389362</v>
      </c>
      <c r="H244" s="26" t="n">
        <v>-2.09047916219956</v>
      </c>
      <c r="I244" s="26" t="n">
        <v>-2.26809581948754</v>
      </c>
      <c r="J244" s="26" t="n">
        <v>8.44</v>
      </c>
      <c r="K244" s="27" t="n">
        <f aca="false">MIN(F244,G244)</f>
        <v>-4.83769388389362</v>
      </c>
      <c r="L244" s="27" t="n">
        <f aca="false">AVERAGE(F244,G244)</f>
        <v>-4.74888555524963</v>
      </c>
      <c r="M244" s="27" t="n">
        <f aca="false">MAX(0,NG-L244)</f>
        <v>4.04888555524963</v>
      </c>
      <c r="N244" s="27" t="n">
        <f aca="false">MAX(0,GWL-K244)</f>
        <v>3.33769388389362</v>
      </c>
      <c r="O244" s="27" t="n">
        <f aca="false">MAX(0,NG-MAX(K244,GWL))</f>
        <v>0.8</v>
      </c>
      <c r="P244" s="27" t="n">
        <f aca="false">E244/2+WS+SLOPE_A*O244+SLOPE_B*N244</f>
        <v>9.91018679999027</v>
      </c>
      <c r="Q244" s="28" t="str">
        <f aca="false">IF(AND(P244&lt;J244,N244&lt;=MAXOC),"Open cut","Shoring")</f>
        <v>Shoring</v>
      </c>
      <c r="R244" s="27" t="n">
        <f aca="false">IF(Q244="Shoring",D244,0)</f>
        <v>10.0000000001019</v>
      </c>
      <c r="S244" s="27" t="n">
        <f aca="false">MAX(0,GWL-L244)</f>
        <v>3.24888555524963</v>
      </c>
      <c r="T244" s="27" t="n">
        <f aca="false">MAX(0,NG-MAX(L244,GWL))</f>
        <v>0.8</v>
      </c>
      <c r="U244" s="27" t="n">
        <f aca="false">E244+2*WS</f>
        <v>4.06959806440608</v>
      </c>
      <c r="V244" s="27" t="n">
        <f aca="false">IF(Q244="Shoring",D244*M244*U244,0)</f>
        <v>164.773368188135</v>
      </c>
      <c r="W244" s="27" t="n">
        <f aca="false">IF(Q244="Open cut",D244*(U244*M244+SLOPE_B*S244^2+2*SLOPE_B*S244*T244+SLOPE_A*T244^2),0)</f>
        <v>0</v>
      </c>
      <c r="X244" s="27" t="n">
        <f aca="false">IF(M244&gt;0,D244*(E244+2*SLABOVH)*SLAB,0)</f>
        <v>15.3479903221868</v>
      </c>
      <c r="Y244" s="27" t="n">
        <f aca="false">IF(M244&gt;0,D244*PI()*E244^2/4,0)</f>
        <v>33.6404580422293</v>
      </c>
      <c r="Z244" s="27" t="n">
        <f aca="false">IF(H244-E244&gt;=GWL,99,E244*(MAX(0,GWL-H244)*(GAM_S-GAM_W)+MAX(0,NG-MAX(H244,GWL))*GAM_D)/(GAM_W*PI()*E244^2/4))</f>
        <v>1.20634191981384</v>
      </c>
      <c r="AA244" s="27" t="n">
        <f aca="false">IF(I244-E244&gt;=GWL,99,E244*(MAX(0,GWL-I244)*(GAM_S-GAM_W)+MAX(0,NG-MAX(I244,GWL))*GAM_D)/(GAM_W*PI()*E244^2/4))</f>
        <v>1.2975687733233</v>
      </c>
      <c r="AB244" s="27" t="n">
        <f aca="false">IF(H244-E244&gt;=GWL,99,E244*(MAX(0,GWL-H244)*(GAM_S-GAM_W)+MAX(0,FL-MAX(H244,GWL))*GAM_D)/(GAM_W*PI()*E244^2/4))</f>
        <v>3.12534878406417</v>
      </c>
      <c r="AC244" s="27" t="n">
        <f aca="false">IF(I244-E244&gt;=GWL,99,E244*(MAX(0,GWL-I244)*(GAM_S-GAM_W)+MAX(0,FL-MAX(I244,GWL))*GAM_D)/(GAM_W*PI()*E244^2/4))</f>
        <v>3.21657563757362</v>
      </c>
    </row>
    <row r="245" customFormat="false" ht="15" hidden="false" customHeight="false" outlineLevel="0" collapsed="false">
      <c r="A245" s="25" t="s">
        <v>695</v>
      </c>
      <c r="B245" s="25" t="s">
        <v>712</v>
      </c>
      <c r="C245" s="25" t="s">
        <v>715</v>
      </c>
      <c r="D245" s="26" t="n">
        <v>9.99999999996788</v>
      </c>
      <c r="E245" s="26" t="n">
        <v>2.06959806440608</v>
      </c>
      <c r="F245" s="26" t="n">
        <v>-4.83769388389362</v>
      </c>
      <c r="G245" s="26" t="n">
        <v>-5.01531054118159</v>
      </c>
      <c r="H245" s="26" t="n">
        <v>-2.26809581948754</v>
      </c>
      <c r="I245" s="26" t="n">
        <v>-2.44571247677551</v>
      </c>
      <c r="J245" s="26" t="n">
        <v>9.65</v>
      </c>
      <c r="K245" s="27" t="n">
        <f aca="false">MIN(F245,G245)</f>
        <v>-5.01531054118159</v>
      </c>
      <c r="L245" s="27" t="n">
        <f aca="false">AVERAGE(F245,G245)</f>
        <v>-4.9265022125376</v>
      </c>
      <c r="M245" s="27" t="n">
        <f aca="false">MAX(0,NG-L245)</f>
        <v>4.2265022125376</v>
      </c>
      <c r="N245" s="27" t="n">
        <f aca="false">MAX(0,GWL-K245)</f>
        <v>3.51531054118159</v>
      </c>
      <c r="O245" s="27" t="n">
        <f aca="false">MAX(0,NG-MAX(K245,GWL))</f>
        <v>0.8</v>
      </c>
      <c r="P245" s="27" t="n">
        <f aca="false">E245/2+WS+SLOPE_A*O245+SLOPE_B*N245</f>
        <v>10.2654201145662</v>
      </c>
      <c r="Q245" s="28" t="str">
        <f aca="false">IF(AND(P245&lt;J245,N245&lt;=MAXOC),"Open cut","Shoring")</f>
        <v>Shoring</v>
      </c>
      <c r="R245" s="27" t="n">
        <f aca="false">IF(Q245="Shoring",D245,0)</f>
        <v>9.99999999996788</v>
      </c>
      <c r="S245" s="27" t="n">
        <f aca="false">MAX(0,GWL-L245)</f>
        <v>3.4265022125376</v>
      </c>
      <c r="T245" s="27" t="n">
        <f aca="false">MAX(0,NG-MAX(L245,GWL))</f>
        <v>0.8</v>
      </c>
      <c r="U245" s="27" t="n">
        <f aca="false">E245+2*WS</f>
        <v>4.06959806440608</v>
      </c>
      <c r="V245" s="27" t="n">
        <f aca="false">IF(Q245="Shoring",D245*M245*U245,0)</f>
        <v>172.001652232958</v>
      </c>
      <c r="W245" s="27" t="n">
        <f aca="false">IF(Q245="Open cut",D245*(U245*M245+SLOPE_B*S245^2+2*SLOPE_B*S245*T245+SLOPE_A*T245^2),0)</f>
        <v>0</v>
      </c>
      <c r="X245" s="27" t="n">
        <f aca="false">IF(M245&gt;0,D245*(E245+2*SLABOVH)*SLAB,0)</f>
        <v>15.3479903219811</v>
      </c>
      <c r="Y245" s="27" t="n">
        <f aca="false">IF(M245&gt;0,D245*PI()*E245^2/4,0)</f>
        <v>33.6404580417784</v>
      </c>
      <c r="Z245" s="27" t="n">
        <f aca="false">IF(H245-E245&gt;=GWL,99,E245*(MAX(0,GWL-H245)*(GAM_S-GAM_W)+MAX(0,NG-MAX(H245,GWL))*GAM_D)/(GAM_W*PI()*E245^2/4))</f>
        <v>1.2975687733233</v>
      </c>
      <c r="AA245" s="27" t="n">
        <f aca="false">IF(I245-E245&gt;=GWL,99,E245*(MAX(0,GWL-I245)*(GAM_S-GAM_W)+MAX(0,NG-MAX(I245,GWL))*GAM_D)/(GAM_W*PI()*E245^2/4))</f>
        <v>1.38879562683275</v>
      </c>
      <c r="AB245" s="27" t="n">
        <f aca="false">IF(H245-E245&gt;=GWL,99,E245*(MAX(0,GWL-H245)*(GAM_S-GAM_W)+MAX(0,FL-MAX(H245,GWL))*GAM_D)/(GAM_W*PI()*E245^2/4))</f>
        <v>3.21657563757362</v>
      </c>
      <c r="AC245" s="27" t="n">
        <f aca="false">IF(I245-E245&gt;=GWL,99,E245*(MAX(0,GWL-I245)*(GAM_S-GAM_W)+MAX(0,FL-MAX(I245,GWL))*GAM_D)/(GAM_W*PI()*E245^2/4))</f>
        <v>3.30780249108308</v>
      </c>
    </row>
    <row r="246" customFormat="false" ht="15" hidden="false" customHeight="false" outlineLevel="0" collapsed="false">
      <c r="A246" s="25" t="s">
        <v>695</v>
      </c>
      <c r="B246" s="25" t="s">
        <v>712</v>
      </c>
      <c r="C246" s="25" t="s">
        <v>716</v>
      </c>
      <c r="D246" s="26" t="n">
        <v>0.727000000091206</v>
      </c>
      <c r="E246" s="26" t="n">
        <v>2.06959806440608</v>
      </c>
      <c r="F246" s="26" t="n">
        <v>-5.01531054118159</v>
      </c>
      <c r="G246" s="26" t="n">
        <v>-5.02822327216642</v>
      </c>
      <c r="H246" s="26" t="n">
        <v>-2.44571247677551</v>
      </c>
      <c r="I246" s="26" t="n">
        <v>-2.45862520776035</v>
      </c>
      <c r="J246" s="26" t="n">
        <v>9.65</v>
      </c>
      <c r="K246" s="27" t="n">
        <f aca="false">MIN(F246,G246)</f>
        <v>-5.02822327216642</v>
      </c>
      <c r="L246" s="27" t="n">
        <f aca="false">AVERAGE(F246,G246)</f>
        <v>-5.02176690667401</v>
      </c>
      <c r="M246" s="27" t="n">
        <f aca="false">MAX(0,NG-L246)</f>
        <v>4.32176690667401</v>
      </c>
      <c r="N246" s="27" t="n">
        <f aca="false">MAX(0,GWL-K246)</f>
        <v>3.52822327216642</v>
      </c>
      <c r="O246" s="27" t="n">
        <f aca="false">MAX(0,NG-MAX(K246,GWL))</f>
        <v>0.8</v>
      </c>
      <c r="P246" s="27" t="n">
        <f aca="false">E246/2+WS+SLOPE_A*O246+SLOPE_B*N246</f>
        <v>10.2912455765359</v>
      </c>
      <c r="Q246" s="28" t="str">
        <f aca="false">IF(AND(P246&lt;J246,N246&lt;=MAXOC),"Open cut","Shoring")</f>
        <v>Shoring</v>
      </c>
      <c r="R246" s="27" t="n">
        <f aca="false">IF(Q246="Shoring",D246,0)</f>
        <v>0.727000000091206</v>
      </c>
      <c r="S246" s="27" t="n">
        <f aca="false">MAX(0,GWL-L246)</f>
        <v>3.52176690667401</v>
      </c>
      <c r="T246" s="27" t="n">
        <f aca="false">MAX(0,NG-MAX(L246,GWL))</f>
        <v>0.8</v>
      </c>
      <c r="U246" s="27" t="n">
        <f aca="false">E246+2*WS</f>
        <v>4.06959806440608</v>
      </c>
      <c r="V246" s="27" t="n">
        <f aca="false">IF(Q246="Shoring",D246*M246*U246,0)</f>
        <v>12.7863700327863</v>
      </c>
      <c r="W246" s="27" t="n">
        <f aca="false">IF(Q246="Open cut",D246*(U246*M246+SLOPE_B*S246^2+2*SLOPE_B*S246*T246+SLOPE_A*T246^2),0)</f>
        <v>0</v>
      </c>
      <c r="X246" s="27" t="n">
        <f aca="false">IF(M246&gt;0,D246*(E246+2*SLABOVH)*SLAB,0)</f>
        <v>1.11579889655159</v>
      </c>
      <c r="Y246" s="27" t="n">
        <f aca="false">IF(M246&gt;0,D246*PI()*E246^2/4,0)</f>
        <v>2.44566129995197</v>
      </c>
      <c r="Z246" s="27" t="n">
        <f aca="false">IF(H246-E246&gt;=GWL,99,E246*(MAX(0,GWL-H246)*(GAM_S-GAM_W)+MAX(0,NG-MAX(H246,GWL))*GAM_D)/(GAM_W*PI()*E246^2/4))</f>
        <v>1.38879562683275</v>
      </c>
      <c r="AA246" s="27" t="n">
        <f aca="false">IF(I246-E246&gt;=GWL,99,E246*(MAX(0,GWL-I246)*(GAM_S-GAM_W)+MAX(0,NG-MAX(I246,GWL))*GAM_D)/(GAM_W*PI()*E246^2/4))</f>
        <v>1.39542781908289</v>
      </c>
      <c r="AB246" s="27" t="n">
        <f aca="false">IF(H246-E246&gt;=GWL,99,E246*(MAX(0,GWL-H246)*(GAM_S-GAM_W)+MAX(0,FL-MAX(H246,GWL))*GAM_D)/(GAM_W*PI()*E246^2/4))</f>
        <v>3.30780249108308</v>
      </c>
      <c r="AC246" s="27" t="n">
        <f aca="false">IF(I246-E246&gt;=GWL,99,E246*(MAX(0,GWL-I246)*(GAM_S-GAM_W)+MAX(0,FL-MAX(I246,GWL))*GAM_D)/(GAM_W*PI()*E246^2/4))</f>
        <v>3.31443468333321</v>
      </c>
    </row>
    <row r="247" customFormat="false" ht="15" hidden="false" customHeight="false" outlineLevel="0" collapsed="false">
      <c r="A247" s="25" t="s">
        <v>695</v>
      </c>
      <c r="B247" s="25" t="s">
        <v>717</v>
      </c>
      <c r="C247" s="25" t="s">
        <v>718</v>
      </c>
      <c r="D247" s="26" t="n">
        <v>6.00032461263704</v>
      </c>
      <c r="E247" s="26" t="n">
        <v>2.06959806440608</v>
      </c>
      <c r="F247" s="26" t="n">
        <v>-5.02822327216642</v>
      </c>
      <c r="G247" s="26" t="n">
        <v>-5.13479903220304</v>
      </c>
      <c r="H247" s="26" t="n">
        <v>-2.45862520776035</v>
      </c>
      <c r="I247" s="26" t="n">
        <v>-2.56520096779696</v>
      </c>
      <c r="J247" s="26" t="n">
        <v>9.67</v>
      </c>
      <c r="K247" s="27" t="n">
        <f aca="false">MIN(F247,G247)</f>
        <v>-5.13479903220304</v>
      </c>
      <c r="L247" s="27" t="n">
        <f aca="false">AVERAGE(F247,G247)</f>
        <v>-5.08151115218473</v>
      </c>
      <c r="M247" s="27" t="n">
        <f aca="false">MAX(0,NG-L247)</f>
        <v>4.38151115218473</v>
      </c>
      <c r="N247" s="27" t="n">
        <f aca="false">MAX(0,GWL-K247)</f>
        <v>3.63479903220304</v>
      </c>
      <c r="O247" s="27" t="n">
        <f aca="false">MAX(0,NG-MAX(K247,GWL))</f>
        <v>0.8</v>
      </c>
      <c r="P247" s="27" t="n">
        <f aca="false">E247/2+WS+SLOPE_A*O247+SLOPE_B*N247</f>
        <v>10.5043970966091</v>
      </c>
      <c r="Q247" s="28" t="str">
        <f aca="false">IF(AND(P247&lt;J247,N247&lt;=MAXOC),"Open cut","Shoring")</f>
        <v>Shoring</v>
      </c>
      <c r="R247" s="27" t="n">
        <f aca="false">IF(Q247="Shoring",D247,0)</f>
        <v>6.00032461263704</v>
      </c>
      <c r="S247" s="27" t="n">
        <f aca="false">MAX(0,GWL-L247)</f>
        <v>3.58151115218473</v>
      </c>
      <c r="T247" s="27" t="n">
        <f aca="false">MAX(0,NG-MAX(L247,GWL))</f>
        <v>0.8</v>
      </c>
      <c r="U247" s="27" t="n">
        <f aca="false">E247+2*WS</f>
        <v>4.06959806440608</v>
      </c>
      <c r="V247" s="27" t="n">
        <f aca="false">IF(Q247="Shoring",D247*M247*U247,0)</f>
        <v>106.991723989087</v>
      </c>
      <c r="W247" s="27" t="n">
        <f aca="false">IF(Q247="Open cut",D247*(U247*M247+SLOPE_B*S247^2+2*SLOPE_B*S247*T247+SLOPE_A*T247^2),0)</f>
        <v>0</v>
      </c>
      <c r="X247" s="27" t="n">
        <f aca="false">IF(M247&gt;0,D247*(E247+2*SLABOVH)*SLAB,0)</f>
        <v>9.2092924083794</v>
      </c>
      <c r="Y247" s="27" t="n">
        <f aca="false">IF(M247&gt;0,D247*PI()*E247^2/4,0)</f>
        <v>20.1853668369115</v>
      </c>
      <c r="Z247" s="27" t="n">
        <f aca="false">IF(H247-E247&gt;=GWL,99,E247*(MAX(0,GWL-H247)*(GAM_S-GAM_W)+MAX(0,NG-MAX(H247,GWL))*GAM_D)/(GAM_W*PI()*E247^2/4))</f>
        <v>1.39542781908289</v>
      </c>
      <c r="AA247" s="27" t="n">
        <f aca="false">IF(I247-E247&gt;=GWL,99,E247*(MAX(0,GWL-I247)*(GAM_S-GAM_W)+MAX(0,NG-MAX(I247,GWL))*GAM_D)/(GAM_W*PI()*E247^2/4))</f>
        <v>1.45016689252889</v>
      </c>
      <c r="AB247" s="27" t="n">
        <f aca="false">IF(H247-E247&gt;=GWL,99,E247*(MAX(0,GWL-H247)*(GAM_S-GAM_W)+MAX(0,FL-MAX(H247,GWL))*GAM_D)/(GAM_W*PI()*E247^2/4))</f>
        <v>3.31443468333321</v>
      </c>
      <c r="AC247" s="27" t="n">
        <f aca="false">IF(I247-E247&gt;=GWL,99,E247*(MAX(0,GWL-I247)*(GAM_S-GAM_W)+MAX(0,FL-MAX(I247,GWL))*GAM_D)/(GAM_W*PI()*E247^2/4))</f>
        <v>3.36917375677921</v>
      </c>
    </row>
    <row r="248" customFormat="false" ht="15" hidden="false" customHeight="false" outlineLevel="0" collapsed="false">
      <c r="A248" s="25" t="s">
        <v>719</v>
      </c>
      <c r="B248" s="25" t="s">
        <v>720</v>
      </c>
      <c r="C248" s="25" t="s">
        <v>721</v>
      </c>
      <c r="D248" s="26" t="n">
        <v>10.0000000006284</v>
      </c>
      <c r="E248" s="26" t="n">
        <v>1.19998864427831</v>
      </c>
      <c r="F248" s="26" t="n">
        <v>-2.49999432213915</v>
      </c>
      <c r="G248" s="26" t="n">
        <v>-2.49999432213915</v>
      </c>
      <c r="H248" s="26" t="n">
        <v>-0.800005677860847</v>
      </c>
      <c r="I248" s="26" t="n">
        <v>-0.800005677860847</v>
      </c>
      <c r="J248" s="26" t="n">
        <v>13.38</v>
      </c>
      <c r="K248" s="27" t="n">
        <f aca="false">MIN(F248,G248)</f>
        <v>-2.49999432213915</v>
      </c>
      <c r="L248" s="27" t="n">
        <f aca="false">AVERAGE(F248,G248)</f>
        <v>-2.49999432213915</v>
      </c>
      <c r="M248" s="27" t="n">
        <f aca="false">MAX(0,NG-L248)</f>
        <v>1.79999432213915</v>
      </c>
      <c r="N248" s="27" t="n">
        <f aca="false">MAX(0,GWL-K248)</f>
        <v>0.999994322139153</v>
      </c>
      <c r="O248" s="27" t="n">
        <f aca="false">MAX(0,NG-MAX(K248,GWL))</f>
        <v>0.8</v>
      </c>
      <c r="P248" s="27" t="n">
        <f aca="false">E248/2+WS+SLOPE_A*O248+SLOPE_B*N248</f>
        <v>4.79998296641746</v>
      </c>
      <c r="Q248" s="28" t="str">
        <f aca="false">IF(AND(P248&lt;J248,N248&lt;=MAXOC),"Open cut","Shoring")</f>
        <v>Open cut</v>
      </c>
      <c r="R248" s="27" t="n">
        <f aca="false">IF(Q248="Shoring",D248,0)</f>
        <v>0</v>
      </c>
      <c r="S248" s="27" t="n">
        <f aca="false">MAX(0,GWL-L248)</f>
        <v>0.999994322139153</v>
      </c>
      <c r="T248" s="27" t="n">
        <f aca="false">MAX(0,NG-MAX(L248,GWL))</f>
        <v>0.8</v>
      </c>
      <c r="U248" s="27" t="n">
        <f aca="false">E248+2*WS</f>
        <v>3.19998864427831</v>
      </c>
      <c r="V248" s="27" t="n">
        <f aca="false">IF(Q248="Shoring",D248*M248*U248,0)</f>
        <v>0</v>
      </c>
      <c r="W248" s="27" t="n">
        <f aca="false">IF(Q248="Open cut",D248*(U248*M248+SLOPE_B*S248^2+2*SLOPE_B*S248*T248+SLOPE_A*T248^2),0)</f>
        <v>119.199205108262</v>
      </c>
      <c r="X248" s="27" t="n">
        <f aca="false">IF(M248&gt;0,D248*(E248+2*SLABOVH)*SLAB,0)</f>
        <v>10.9999432220828</v>
      </c>
      <c r="Y248" s="27" t="n">
        <f aca="false">IF(M248&gt;0,D248*PI()*E248^2/4,0)</f>
        <v>11.3095195043357</v>
      </c>
      <c r="Z248" s="27" t="n">
        <f aca="false">IF(H248-E248&gt;=GWL,99,E248*(MAX(0,GWL-H248)*(GAM_S-GAM_W)+MAX(0,NG-MAX(H248,GWL))*GAM_D)/(GAM_W*PI()*E248^2/4))</f>
        <v>0.194697842063889</v>
      </c>
      <c r="AA248" s="27" t="n">
        <f aca="false">IF(I248-E248&gt;=GWL,99,E248*(MAX(0,GWL-I248)*(GAM_S-GAM_W)+MAX(0,NG-MAX(I248,GWL))*GAM_D)/(GAM_W*PI()*E248^2/4))</f>
        <v>0.194697842063889</v>
      </c>
      <c r="AB248" s="27" t="n">
        <f aca="false">IF(H248-E248&gt;=GWL,99,E248*(MAX(0,GWL-H248)*(GAM_S-GAM_W)+MAX(0,FL-MAX(H248,GWL))*GAM_D)/(GAM_W*PI()*E248^2/4))</f>
        <v>3.50437323838651</v>
      </c>
      <c r="AC248" s="27" t="n">
        <f aca="false">IF(I248-E248&gt;=GWL,99,E248*(MAX(0,GWL-I248)*(GAM_S-GAM_W)+MAX(0,FL-MAX(I248,GWL))*GAM_D)/(GAM_W*PI()*E248^2/4))</f>
        <v>3.50437323838651</v>
      </c>
    </row>
    <row r="249" customFormat="false" ht="15" hidden="false" customHeight="false" outlineLevel="0" collapsed="false">
      <c r="A249" s="25" t="s">
        <v>719</v>
      </c>
      <c r="B249" s="25" t="s">
        <v>720</v>
      </c>
      <c r="C249" s="25" t="s">
        <v>722</v>
      </c>
      <c r="D249" s="26" t="n">
        <v>6.68666999869035</v>
      </c>
      <c r="E249" s="26" t="n">
        <v>1.19998864427831</v>
      </c>
      <c r="F249" s="26" t="n">
        <v>-2.49999432213915</v>
      </c>
      <c r="G249" s="26" t="n">
        <v>-2.49999432213915</v>
      </c>
      <c r="H249" s="26" t="n">
        <v>-0.800005677860847</v>
      </c>
      <c r="I249" s="26" t="n">
        <v>-0.800005677860847</v>
      </c>
      <c r="J249" s="26" t="n">
        <v>20.05</v>
      </c>
      <c r="K249" s="27" t="n">
        <f aca="false">MIN(F249,G249)</f>
        <v>-2.49999432213915</v>
      </c>
      <c r="L249" s="27" t="n">
        <f aca="false">AVERAGE(F249,G249)</f>
        <v>-2.49999432213915</v>
      </c>
      <c r="M249" s="27" t="n">
        <f aca="false">MAX(0,NG-L249)</f>
        <v>1.79999432213915</v>
      </c>
      <c r="N249" s="27" t="n">
        <f aca="false">MAX(0,GWL-K249)</f>
        <v>0.999994322139153</v>
      </c>
      <c r="O249" s="27" t="n">
        <f aca="false">MAX(0,NG-MAX(K249,GWL))</f>
        <v>0.8</v>
      </c>
      <c r="P249" s="27" t="n">
        <f aca="false">E249/2+WS+SLOPE_A*O249+SLOPE_B*N249</f>
        <v>4.79998296641746</v>
      </c>
      <c r="Q249" s="28" t="str">
        <f aca="false">IF(AND(P249&lt;J249,N249&lt;=MAXOC),"Open cut","Shoring")</f>
        <v>Open cut</v>
      </c>
      <c r="R249" s="27" t="n">
        <f aca="false">IF(Q249="Shoring",D249,0)</f>
        <v>0</v>
      </c>
      <c r="S249" s="27" t="n">
        <f aca="false">MAX(0,GWL-L249)</f>
        <v>0.999994322139153</v>
      </c>
      <c r="T249" s="27" t="n">
        <f aca="false">MAX(0,NG-MAX(L249,GWL))</f>
        <v>0.8</v>
      </c>
      <c r="U249" s="27" t="n">
        <f aca="false">E249+2*WS</f>
        <v>3.19998864427831</v>
      </c>
      <c r="V249" s="27" t="n">
        <f aca="false">IF(Q249="Shoring",D249*M249*U249,0)</f>
        <v>0</v>
      </c>
      <c r="W249" s="27" t="n">
        <f aca="false">IF(Q249="Open cut",D249*(U249*M249+SLOPE_B*S249^2+2*SLOPE_B*S249*T249+SLOPE_A*T249^2),0)</f>
        <v>79.7045748615063</v>
      </c>
      <c r="X249" s="27" t="n">
        <f aca="false">IF(M249&gt;0,D249*(E249+2*SLABOVH)*SLAB,0)</f>
        <v>7.35529903257761</v>
      </c>
      <c r="Y249" s="27" t="n">
        <f aca="false">IF(M249&gt;0,D249*PI()*E249^2/4,0)</f>
        <v>7.56230247644923</v>
      </c>
      <c r="Z249" s="27" t="n">
        <f aca="false">IF(H249-E249&gt;=GWL,99,E249*(MAX(0,GWL-H249)*(GAM_S-GAM_W)+MAX(0,NG-MAX(H249,GWL))*GAM_D)/(GAM_W*PI()*E249^2/4))</f>
        <v>0.194697842063889</v>
      </c>
      <c r="AA249" s="27" t="n">
        <f aca="false">IF(I249-E249&gt;=GWL,99,E249*(MAX(0,GWL-I249)*(GAM_S-GAM_W)+MAX(0,NG-MAX(I249,GWL))*GAM_D)/(GAM_W*PI()*E249^2/4))</f>
        <v>0.194697842063889</v>
      </c>
      <c r="AB249" s="27" t="n">
        <f aca="false">IF(H249-E249&gt;=GWL,99,E249*(MAX(0,GWL-H249)*(GAM_S-GAM_W)+MAX(0,FL-MAX(H249,GWL))*GAM_D)/(GAM_W*PI()*E249^2/4))</f>
        <v>3.50437323838651</v>
      </c>
      <c r="AC249" s="27" t="n">
        <f aca="false">IF(I249-E249&gt;=GWL,99,E249*(MAX(0,GWL-I249)*(GAM_S-GAM_W)+MAX(0,FL-MAX(I249,GWL))*GAM_D)/(GAM_W*PI()*E249^2/4))</f>
        <v>3.50437323838651</v>
      </c>
    </row>
    <row r="250" customFormat="false" ht="15" hidden="false" customHeight="false" outlineLevel="0" collapsed="false">
      <c r="A250" s="25" t="s">
        <v>719</v>
      </c>
      <c r="B250" s="25" t="s">
        <v>720</v>
      </c>
      <c r="C250" s="25" t="s">
        <v>723</v>
      </c>
      <c r="D250" s="26" t="n">
        <v>1.00498519991898</v>
      </c>
      <c r="E250" s="26" t="n">
        <v>1.19999308883576</v>
      </c>
      <c r="F250" s="26" t="n">
        <v>-2.49999654441788</v>
      </c>
      <c r="G250" s="26" t="n">
        <v>-2.49983654441788</v>
      </c>
      <c r="H250" s="26" t="n">
        <v>-0.80000345558212</v>
      </c>
      <c r="I250" s="26" t="n">
        <v>-0.79984345558212</v>
      </c>
      <c r="J250" s="26" t="n">
        <v>20.62</v>
      </c>
      <c r="K250" s="27" t="n">
        <f aca="false">MIN(F250,G250)</f>
        <v>-2.49999654441788</v>
      </c>
      <c r="L250" s="27" t="n">
        <f aca="false">AVERAGE(F250,G250)</f>
        <v>-2.49991654441788</v>
      </c>
      <c r="M250" s="27" t="n">
        <f aca="false">MAX(0,NG-L250)</f>
        <v>1.79991654441788</v>
      </c>
      <c r="N250" s="27" t="n">
        <f aca="false">MAX(0,GWL-K250)</f>
        <v>0.99999654441788</v>
      </c>
      <c r="O250" s="27" t="n">
        <f aca="false">MAX(0,NG-MAX(K250,GWL))</f>
        <v>0.8</v>
      </c>
      <c r="P250" s="27" t="n">
        <f aca="false">E250/2+WS+SLOPE_A*O250+SLOPE_B*N250</f>
        <v>4.79998963325364</v>
      </c>
      <c r="Q250" s="28" t="str">
        <f aca="false">IF(AND(P250&lt;J250,N250&lt;=MAXOC),"Open cut","Shoring")</f>
        <v>Open cut</v>
      </c>
      <c r="R250" s="27" t="n">
        <f aca="false">IF(Q250="Shoring",D250,0)</f>
        <v>0</v>
      </c>
      <c r="S250" s="27" t="n">
        <f aca="false">MAX(0,GWL-L250)</f>
        <v>0.99991654441788</v>
      </c>
      <c r="T250" s="27" t="n">
        <f aca="false">MAX(0,NG-MAX(L250,GWL))</f>
        <v>0.8</v>
      </c>
      <c r="U250" s="27" t="n">
        <f aca="false">E250+2*WS</f>
        <v>3.19999308883576</v>
      </c>
      <c r="V250" s="27" t="n">
        <f aca="false">IF(Q250="Shoring",D250*M250*U250,0)</f>
        <v>0</v>
      </c>
      <c r="W250" s="27" t="n">
        <f aca="false">IF(Q250="Open cut",D250*(U250*M250+SLOPE_B*S250^2+2*SLOPE_B*S250*T250+SLOPE_A*T250^2),0)</f>
        <v>11.9785388306023</v>
      </c>
      <c r="X250" s="27" t="n">
        <f aca="false">IF(M250&gt;0,D250*(E250+2*SLABOVH)*SLAB,0)</f>
        <v>1.10548024710199</v>
      </c>
      <c r="Y250" s="27" t="n">
        <f aca="false">IF(M250&gt;0,D250*PI()*E250^2/4,0)</f>
        <v>1.13659839142813</v>
      </c>
      <c r="Z250" s="27" t="n">
        <f aca="false">IF(H250-E250&gt;=GWL,99,E250*(MAX(0,GWL-H250)*(GAM_S-GAM_W)+MAX(0,NG-MAX(H250,GWL))*GAM_D)/(GAM_W*PI()*E250^2/4))</f>
        <v>0.194692794471232</v>
      </c>
      <c r="AA250" s="27" t="n">
        <f aca="false">IF(I250-E250&gt;=GWL,99,E250*(MAX(0,GWL-I250)*(GAM_S-GAM_W)+MAX(0,NG-MAX(I250,GWL))*GAM_D)/(GAM_W*PI()*E250^2/4))</f>
        <v>0.194381296764137</v>
      </c>
      <c r="AB250" s="27" t="n">
        <f aca="false">IF(H250-E250&gt;=GWL,99,E250*(MAX(0,GWL-H250)*(GAM_S-GAM_W)+MAX(0,FL-MAX(H250,GWL))*GAM_D)/(GAM_W*PI()*E250^2/4))</f>
        <v>3.50435593235455</v>
      </c>
      <c r="AC250" s="27" t="n">
        <f aca="false">IF(I250-E250&gt;=GWL,99,E250*(MAX(0,GWL-I250)*(GAM_S-GAM_W)+MAX(0,FL-MAX(I250,GWL))*GAM_D)/(GAM_W*PI()*E250^2/4))</f>
        <v>3.50404443464745</v>
      </c>
    </row>
    <row r="251" customFormat="false" ht="15" hidden="false" customHeight="false" outlineLevel="0" collapsed="false">
      <c r="A251" s="25" t="s">
        <v>719</v>
      </c>
      <c r="B251" s="25" t="s">
        <v>720</v>
      </c>
      <c r="C251" s="25" t="s">
        <v>724</v>
      </c>
      <c r="D251" s="26" t="n">
        <v>1.00500288438861</v>
      </c>
      <c r="E251" s="26" t="n">
        <v>1.19999340268406</v>
      </c>
      <c r="F251" s="26" t="n">
        <v>-2.49983670134203</v>
      </c>
      <c r="G251" s="26" t="n">
        <v>-2.49966670134203</v>
      </c>
      <c r="H251" s="26" t="n">
        <v>-0.79984329865797</v>
      </c>
      <c r="I251" s="26" t="n">
        <v>-0.79967329865797</v>
      </c>
      <c r="J251" s="26" t="n">
        <v>19.89</v>
      </c>
      <c r="K251" s="27" t="n">
        <f aca="false">MIN(F251,G251)</f>
        <v>-2.49983670134203</v>
      </c>
      <c r="L251" s="27" t="n">
        <f aca="false">AVERAGE(F251,G251)</f>
        <v>-2.49975170134203</v>
      </c>
      <c r="M251" s="27" t="n">
        <f aca="false">MAX(0,NG-L251)</f>
        <v>1.79975170134203</v>
      </c>
      <c r="N251" s="27" t="n">
        <f aca="false">MAX(0,GWL-K251)</f>
        <v>0.99983670134203</v>
      </c>
      <c r="O251" s="27" t="n">
        <f aca="false">MAX(0,NG-MAX(K251,GWL))</f>
        <v>0.8</v>
      </c>
      <c r="P251" s="27" t="n">
        <f aca="false">E251/2+WS+SLOPE_A*O251+SLOPE_B*N251</f>
        <v>4.79967010402609</v>
      </c>
      <c r="Q251" s="28" t="str">
        <f aca="false">IF(AND(P251&lt;J251,N251&lt;=MAXOC),"Open cut","Shoring")</f>
        <v>Open cut</v>
      </c>
      <c r="R251" s="27" t="n">
        <f aca="false">IF(Q251="Shoring",D251,0)</f>
        <v>0</v>
      </c>
      <c r="S251" s="27" t="n">
        <f aca="false">MAX(0,GWL-L251)</f>
        <v>0.99975170134203</v>
      </c>
      <c r="T251" s="27" t="n">
        <f aca="false">MAX(0,NG-MAX(L251,GWL))</f>
        <v>0.8</v>
      </c>
      <c r="U251" s="27" t="n">
        <f aca="false">E251+2*WS</f>
        <v>3.19999340268406</v>
      </c>
      <c r="V251" s="27" t="n">
        <f aca="false">IF(Q251="Shoring",D251*M251*U251,0)</f>
        <v>0</v>
      </c>
      <c r="W251" s="27" t="n">
        <f aca="false">IF(Q251="Open cut",D251*(U251*M251+SLOPE_B*S251^2+2*SLOPE_B*S251*T251+SLOPE_A*T251^2),0)</f>
        <v>11.9770273478796</v>
      </c>
      <c r="X251" s="27" t="n">
        <f aca="false">IF(M251&gt;0,D251*(E251+2*SLABOVH)*SLAB,0)</f>
        <v>1.1054998576667</v>
      </c>
      <c r="Y251" s="27" t="n">
        <f aca="false">IF(M251&gt;0,D251*PI()*E251^2/4,0)</f>
        <v>1.13661898640813</v>
      </c>
      <c r="Z251" s="27" t="n">
        <f aca="false">IF(H251-E251&gt;=GWL,99,E251*(MAX(0,GWL-H251)*(GAM_S-GAM_W)+MAX(0,NG-MAX(H251,GWL))*GAM_D)/(GAM_W*PI()*E251^2/4))</f>
        <v>0.194380940415949</v>
      </c>
      <c r="AA251" s="27" t="n">
        <f aca="false">IF(I251-E251&gt;=GWL,99,E251*(MAX(0,GWL-I251)*(GAM_S-GAM_W)+MAX(0,NG-MAX(I251,GWL))*GAM_D)/(GAM_W*PI()*E251^2/4))</f>
        <v>0.194049974188722</v>
      </c>
      <c r="AB251" s="27" t="n">
        <f aca="false">IF(H251-E251&gt;=GWL,99,E251*(MAX(0,GWL-H251)*(GAM_S-GAM_W)+MAX(0,FL-MAX(H251,GWL))*GAM_D)/(GAM_W*PI()*E251^2/4))</f>
        <v>3.50404321268438</v>
      </c>
      <c r="AC251" s="27" t="n">
        <f aca="false">IF(I251-E251&gt;=GWL,99,E251*(MAX(0,GWL-I251)*(GAM_S-GAM_W)+MAX(0,FL-MAX(I251,GWL))*GAM_D)/(GAM_W*PI()*E251^2/4))</f>
        <v>3.50371224645715</v>
      </c>
    </row>
    <row r="252" customFormat="false" ht="15" hidden="false" customHeight="false" outlineLevel="0" collapsed="false">
      <c r="A252" s="25" t="s">
        <v>719</v>
      </c>
      <c r="B252" s="25" t="s">
        <v>725</v>
      </c>
      <c r="C252" s="25" t="s">
        <v>726</v>
      </c>
      <c r="D252" s="26" t="n">
        <v>1.30334191606526</v>
      </c>
      <c r="E252" s="26" t="n">
        <v>1.19999656597041</v>
      </c>
      <c r="F252" s="26" t="n">
        <v>-2.4996682829852</v>
      </c>
      <c r="G252" s="26" t="n">
        <v>-2.49945802518259</v>
      </c>
      <c r="H252" s="26" t="n">
        <v>-0.799671717014797</v>
      </c>
      <c r="I252" s="26" t="n">
        <v>-0.79946145921218</v>
      </c>
      <c r="J252" s="26" t="n">
        <v>18.95</v>
      </c>
      <c r="K252" s="27" t="n">
        <f aca="false">MIN(F252,G252)</f>
        <v>-2.4996682829852</v>
      </c>
      <c r="L252" s="27" t="n">
        <f aca="false">AVERAGE(F252,G252)</f>
        <v>-2.49956315408389</v>
      </c>
      <c r="M252" s="27" t="n">
        <f aca="false">MAX(0,NG-L252)</f>
        <v>1.79956315408389</v>
      </c>
      <c r="N252" s="27" t="n">
        <f aca="false">MAX(0,GWL-K252)</f>
        <v>0.999668282985203</v>
      </c>
      <c r="O252" s="27" t="n">
        <f aca="false">MAX(0,NG-MAX(K252,GWL))</f>
        <v>0.8</v>
      </c>
      <c r="P252" s="27" t="n">
        <f aca="false">E252/2+WS+SLOPE_A*O252+SLOPE_B*N252</f>
        <v>4.79933484895561</v>
      </c>
      <c r="Q252" s="28" t="str">
        <f aca="false">IF(AND(P252&lt;J252,N252&lt;=MAXOC),"Open cut","Shoring")</f>
        <v>Open cut</v>
      </c>
      <c r="R252" s="27" t="n">
        <f aca="false">IF(Q252="Shoring",D252,0)</f>
        <v>0</v>
      </c>
      <c r="S252" s="27" t="n">
        <f aca="false">MAX(0,GWL-L252)</f>
        <v>0.999563154083894</v>
      </c>
      <c r="T252" s="27" t="n">
        <f aca="false">MAX(0,NG-MAX(L252,GWL))</f>
        <v>0.8</v>
      </c>
      <c r="U252" s="27" t="n">
        <f aca="false">E252+2*WS</f>
        <v>3.19999656597041</v>
      </c>
      <c r="V252" s="27" t="n">
        <f aca="false">IF(Q252="Shoring",D252*M252*U252,0)</f>
        <v>0</v>
      </c>
      <c r="W252" s="27" t="n">
        <f aca="false">IF(Q252="Open cut",D252*(U252*M252+SLOPE_B*S252^2+2*SLOPE_B*S252*T252+SLOPE_A*T252^2),0)</f>
        <v>15.5299067428409</v>
      </c>
      <c r="X252" s="27" t="n">
        <f aca="false">IF(M252&gt;0,D252*(E252+2*SLABOVH)*SLAB,0)</f>
        <v>1.43367386981443</v>
      </c>
      <c r="Y252" s="27" t="n">
        <f aca="false">IF(M252&gt;0,D252*PI()*E252^2/4,0)</f>
        <v>1.47403654339405</v>
      </c>
      <c r="Z252" s="27" t="n">
        <f aca="false">IF(H252-E252&gt;=GWL,99,E252*(MAX(0,GWL-H252)*(GAM_S-GAM_W)+MAX(0,NG-MAX(H252,GWL))*GAM_D)/(GAM_W*PI()*E252^2/4))</f>
        <v>0.1940463834276</v>
      </c>
      <c r="AA252" s="27" t="n">
        <f aca="false">IF(I252-E252&gt;=GWL,99,E252*(MAX(0,GWL-I252)*(GAM_S-GAM_W)+MAX(0,NG-MAX(I252,GWL))*GAM_D)/(GAM_W*PI()*E252^2/4))</f>
        <v>0.193637041967382</v>
      </c>
      <c r="AB252" s="27" t="n">
        <f aca="false">IF(H252-E252&gt;=GWL,99,E252*(MAX(0,GWL-H252)*(GAM_S-GAM_W)+MAX(0,FL-MAX(H252,GWL))*GAM_D)/(GAM_W*PI()*E252^2/4))</f>
        <v>3.50369993116317</v>
      </c>
      <c r="AC252" s="27" t="n">
        <f aca="false">IF(I252-E252&gt;=GWL,99,E252*(MAX(0,GWL-I252)*(GAM_S-GAM_W)+MAX(0,FL-MAX(I252,GWL))*GAM_D)/(GAM_W*PI()*E252^2/4))</f>
        <v>3.50329058970295</v>
      </c>
    </row>
    <row r="253" customFormat="false" ht="15" hidden="false" customHeight="false" outlineLevel="0" collapsed="false">
      <c r="A253" s="25" t="s">
        <v>719</v>
      </c>
      <c r="B253" s="25" t="s">
        <v>725</v>
      </c>
      <c r="C253" s="25" t="s">
        <v>727</v>
      </c>
      <c r="D253" s="26" t="n">
        <v>10.0000000004598</v>
      </c>
      <c r="E253" s="26" t="n">
        <v>1.19999656597041</v>
      </c>
      <c r="F253" s="26" t="n">
        <v>-2.49945802518259</v>
      </c>
      <c r="G253" s="26" t="n">
        <v>-2.49784480458375</v>
      </c>
      <c r="H253" s="26" t="n">
        <v>-0.79946145921218</v>
      </c>
      <c r="I253" s="26" t="n">
        <v>-0.797848238613344</v>
      </c>
      <c r="J253" s="26" t="n">
        <v>12.42</v>
      </c>
      <c r="K253" s="27" t="n">
        <f aca="false">MIN(F253,G253)</f>
        <v>-2.49945802518259</v>
      </c>
      <c r="L253" s="27" t="n">
        <f aca="false">AVERAGE(F253,G253)</f>
        <v>-2.49865141488317</v>
      </c>
      <c r="M253" s="27" t="n">
        <f aca="false">MAX(0,NG-L253)</f>
        <v>1.79865141488317</v>
      </c>
      <c r="N253" s="27" t="n">
        <f aca="false">MAX(0,GWL-K253)</f>
        <v>0.999458025182586</v>
      </c>
      <c r="O253" s="27" t="n">
        <f aca="false">MAX(0,NG-MAX(K253,GWL))</f>
        <v>0.8</v>
      </c>
      <c r="P253" s="27" t="n">
        <f aca="false">E253/2+WS+SLOPE_A*O253+SLOPE_B*N253</f>
        <v>4.79891433335038</v>
      </c>
      <c r="Q253" s="28" t="str">
        <f aca="false">IF(AND(P253&lt;J253,N253&lt;=MAXOC),"Open cut","Shoring")</f>
        <v>Open cut</v>
      </c>
      <c r="R253" s="27" t="n">
        <f aca="false">IF(Q253="Shoring",D253,0)</f>
        <v>0</v>
      </c>
      <c r="S253" s="27" t="n">
        <f aca="false">MAX(0,GWL-L253)</f>
        <v>0.998651414883168</v>
      </c>
      <c r="T253" s="27" t="n">
        <f aca="false">MAX(0,NG-MAX(L253,GWL))</f>
        <v>0.8</v>
      </c>
      <c r="U253" s="27" t="n">
        <f aca="false">E253+2*WS</f>
        <v>3.19999656597041</v>
      </c>
      <c r="V253" s="27" t="n">
        <f aca="false">IF(Q253="Shoring",D253*M253*U253,0)</f>
        <v>0</v>
      </c>
      <c r="W253" s="27" t="n">
        <f aca="false">IF(Q253="Open cut",D253*(U253*M253+SLOPE_B*S253^2+2*SLOPE_B*S253*T253+SLOPE_A*T253^2),0)</f>
        <v>119.059721760738</v>
      </c>
      <c r="X253" s="27" t="n">
        <f aca="false">IF(M253&gt;0,D253*(E253+2*SLABOVH)*SLAB,0)</f>
        <v>10.9999828303578</v>
      </c>
      <c r="Y253" s="27" t="n">
        <f aca="false">IF(M253&gt;0,D253*PI()*E253^2/4,0)</f>
        <v>11.309668823603</v>
      </c>
      <c r="Z253" s="27" t="n">
        <f aca="false">IF(H253-E253&gt;=GWL,99,E253*(MAX(0,GWL-H253)*(GAM_S-GAM_W)+MAX(0,NG-MAX(H253,GWL))*GAM_D)/(GAM_W*PI()*E253^2/4))</f>
        <v>0.193637041967382</v>
      </c>
      <c r="AA253" s="27" t="n">
        <f aca="false">IF(I253-E253&gt;=GWL,99,E253*(MAX(0,GWL-I253)*(GAM_S-GAM_W)+MAX(0,NG-MAX(I253,GWL))*GAM_D)/(GAM_W*PI()*E253^2/4))</f>
        <v>0.190496335333135</v>
      </c>
      <c r="AB253" s="27" t="n">
        <f aca="false">IF(H253-E253&gt;=GWL,99,E253*(MAX(0,GWL-H253)*(GAM_S-GAM_W)+MAX(0,FL-MAX(H253,GWL))*GAM_D)/(GAM_W*PI()*E253^2/4))</f>
        <v>3.50329058970295</v>
      </c>
      <c r="AC253" s="27" t="n">
        <f aca="false">IF(I253-E253&gt;=GWL,99,E253*(MAX(0,GWL-I253)*(GAM_S-GAM_W)+MAX(0,FL-MAX(I253,GWL))*GAM_D)/(GAM_W*PI()*E253^2/4))</f>
        <v>3.50014988306871</v>
      </c>
    </row>
    <row r="254" customFormat="false" ht="15" hidden="false" customHeight="false" outlineLevel="0" collapsed="false">
      <c r="A254" s="25" t="s">
        <v>719</v>
      </c>
      <c r="B254" s="25" t="s">
        <v>725</v>
      </c>
      <c r="C254" s="25" t="s">
        <v>728</v>
      </c>
      <c r="D254" s="26" t="n">
        <v>9.99999999924581</v>
      </c>
      <c r="E254" s="26" t="n">
        <v>1.19999656597041</v>
      </c>
      <c r="F254" s="26" t="n">
        <v>-2.49784480458375</v>
      </c>
      <c r="G254" s="26" t="n">
        <v>-2.49623158398491</v>
      </c>
      <c r="H254" s="26" t="n">
        <v>-0.797848238613344</v>
      </c>
      <c r="I254" s="26" t="n">
        <v>-0.796235018014507</v>
      </c>
      <c r="J254" s="26" t="n">
        <v>7.49</v>
      </c>
      <c r="K254" s="27" t="n">
        <f aca="false">MIN(F254,G254)</f>
        <v>-2.49784480458375</v>
      </c>
      <c r="L254" s="27" t="n">
        <f aca="false">AVERAGE(F254,G254)</f>
        <v>-2.49703819428433</v>
      </c>
      <c r="M254" s="27" t="n">
        <f aca="false">MAX(0,NG-L254)</f>
        <v>1.79703819428433</v>
      </c>
      <c r="N254" s="27" t="n">
        <f aca="false">MAX(0,GWL-K254)</f>
        <v>0.997844804583749</v>
      </c>
      <c r="O254" s="27" t="n">
        <f aca="false">MAX(0,NG-MAX(K254,GWL))</f>
        <v>0.8</v>
      </c>
      <c r="P254" s="27" t="n">
        <f aca="false">E254/2+WS+SLOPE_A*O254+SLOPE_B*N254</f>
        <v>4.7956878921527</v>
      </c>
      <c r="Q254" s="28" t="str">
        <f aca="false">IF(AND(P254&lt;J254,N254&lt;=MAXOC),"Open cut","Shoring")</f>
        <v>Open cut</v>
      </c>
      <c r="R254" s="27" t="n">
        <f aca="false">IF(Q254="Shoring",D254,0)</f>
        <v>0</v>
      </c>
      <c r="S254" s="27" t="n">
        <f aca="false">MAX(0,GWL-L254)</f>
        <v>0.99703819428433</v>
      </c>
      <c r="T254" s="27" t="n">
        <f aca="false">MAX(0,NG-MAX(L254,GWL))</f>
        <v>0.8</v>
      </c>
      <c r="U254" s="27" t="n">
        <f aca="false">E254+2*WS</f>
        <v>3.19999656597041</v>
      </c>
      <c r="V254" s="27" t="n">
        <f aca="false">IF(Q254="Shoring",D254*M254*U254,0)</f>
        <v>0</v>
      </c>
      <c r="W254" s="27" t="n">
        <f aca="false">IF(Q254="Open cut",D254*(U254*M254+SLOPE_B*S254^2+2*SLOPE_B*S254*T254+SLOPE_A*T254^2),0)</f>
        <v>118.892085931642</v>
      </c>
      <c r="X254" s="27" t="n">
        <f aca="false">IF(M254&gt;0,D254*(E254+2*SLABOVH)*SLAB,0)</f>
        <v>10.9999828290224</v>
      </c>
      <c r="Y254" s="27" t="n">
        <f aca="false">IF(M254&gt;0,D254*PI()*E254^2/4,0)</f>
        <v>11.30966882223</v>
      </c>
      <c r="Z254" s="27" t="n">
        <f aca="false">IF(H254-E254&gt;=GWL,99,E254*(MAX(0,GWL-H254)*(GAM_S-GAM_W)+MAX(0,NG-MAX(H254,GWL))*GAM_D)/(GAM_W*PI()*E254^2/4))</f>
        <v>0.190496335333135</v>
      </c>
      <c r="AA254" s="27" t="n">
        <f aca="false">IF(I254-E254&gt;=GWL,99,E254*(MAX(0,GWL-I254)*(GAM_S-GAM_W)+MAX(0,NG-MAX(I254,GWL))*GAM_D)/(GAM_W*PI()*E254^2/4))</f>
        <v>0.187355628698887</v>
      </c>
      <c r="AB254" s="27" t="n">
        <f aca="false">IF(H254-E254&gt;=GWL,99,E254*(MAX(0,GWL-H254)*(GAM_S-GAM_W)+MAX(0,FL-MAX(H254,GWL))*GAM_D)/(GAM_W*PI()*E254^2/4))</f>
        <v>3.50014988306871</v>
      </c>
      <c r="AC254" s="27" t="n">
        <f aca="false">IF(I254-E254&gt;=GWL,99,E254*(MAX(0,GWL-I254)*(GAM_S-GAM_W)+MAX(0,FL-MAX(I254,GWL))*GAM_D)/(GAM_W*PI()*E254^2/4))</f>
        <v>3.49700917643446</v>
      </c>
    </row>
    <row r="255" customFormat="false" ht="15" hidden="false" customHeight="false" outlineLevel="0" collapsed="false">
      <c r="A255" s="25" t="s">
        <v>719</v>
      </c>
      <c r="B255" s="25" t="s">
        <v>725</v>
      </c>
      <c r="C255" s="25" t="s">
        <v>729</v>
      </c>
      <c r="D255" s="26" t="n">
        <v>0.206425580171897</v>
      </c>
      <c r="E255" s="26" t="n">
        <v>1.19999656597041</v>
      </c>
      <c r="F255" s="26" t="n">
        <v>-2.49623158398491</v>
      </c>
      <c r="G255" s="26" t="n">
        <v>-2.4961982829852</v>
      </c>
      <c r="H255" s="26" t="n">
        <v>-0.796235018014507</v>
      </c>
      <c r="I255" s="26" t="n">
        <v>-0.796201717014798</v>
      </c>
      <c r="J255" s="26" t="n">
        <v>7.41</v>
      </c>
      <c r="K255" s="27" t="n">
        <f aca="false">MIN(F255,G255)</f>
        <v>-2.49623158398491</v>
      </c>
      <c r="L255" s="27" t="n">
        <f aca="false">AVERAGE(F255,G255)</f>
        <v>-2.49621493348506</v>
      </c>
      <c r="M255" s="27" t="n">
        <f aca="false">MAX(0,NG-L255)</f>
        <v>1.79621493348506</v>
      </c>
      <c r="N255" s="27" t="n">
        <f aca="false">MAX(0,GWL-K255)</f>
        <v>0.996231583984911</v>
      </c>
      <c r="O255" s="27" t="n">
        <f aca="false">MAX(0,NG-MAX(K255,GWL))</f>
        <v>0.8</v>
      </c>
      <c r="P255" s="27" t="n">
        <f aca="false">E255/2+WS+SLOPE_A*O255+SLOPE_B*N255</f>
        <v>4.79246145095503</v>
      </c>
      <c r="Q255" s="28" t="str">
        <f aca="false">IF(AND(P255&lt;J255,N255&lt;=MAXOC),"Open cut","Shoring")</f>
        <v>Open cut</v>
      </c>
      <c r="R255" s="27" t="n">
        <f aca="false">IF(Q255="Shoring",D255,0)</f>
        <v>0</v>
      </c>
      <c r="S255" s="27" t="n">
        <f aca="false">MAX(0,GWL-L255)</f>
        <v>0.996214933485057</v>
      </c>
      <c r="T255" s="27" t="n">
        <f aca="false">MAX(0,NG-MAX(L255,GWL))</f>
        <v>0.8</v>
      </c>
      <c r="U255" s="27" t="n">
        <f aca="false">E255+2*WS</f>
        <v>3.19999656597041</v>
      </c>
      <c r="V255" s="27" t="n">
        <f aca="false">IF(Q255="Shoring",D255*M255*U255,0)</f>
        <v>0</v>
      </c>
      <c r="W255" s="27" t="n">
        <f aca="false">IF(Q255="Open cut",D255*(U255*M255+SLOPE_B*S255^2+2*SLOPE_B*S255*T255+SLOPE_A*T255^2),0)</f>
        <v>2.45247167783594</v>
      </c>
      <c r="X255" s="27" t="n">
        <f aca="false">IF(M255&gt;0,D255*(E255+2*SLABOVH)*SLAB,0)</f>
        <v>0.227067783753311</v>
      </c>
      <c r="Y255" s="27" t="n">
        <f aca="false">IF(M255&gt;0,D255*PI()*E255^2/4,0)</f>
        <v>0.233460494835692</v>
      </c>
      <c r="Z255" s="27" t="n">
        <f aca="false">IF(H255-E255&gt;=GWL,99,E255*(MAX(0,GWL-H255)*(GAM_S-GAM_W)+MAX(0,NG-MAX(H255,GWL))*GAM_D)/(GAM_W*PI()*E255^2/4))</f>
        <v>0.187355628698887</v>
      </c>
      <c r="AA255" s="27" t="n">
        <f aca="false">IF(I255-E255&gt;=GWL,99,E255*(MAX(0,GWL-I255)*(GAM_S-GAM_W)+MAX(0,NG-MAX(I255,GWL))*GAM_D)/(GAM_W*PI()*E255^2/4))</f>
        <v>0.187290796480164</v>
      </c>
      <c r="AB255" s="27" t="n">
        <f aca="false">IF(H255-E255&gt;=GWL,99,E255*(MAX(0,GWL-H255)*(GAM_S-GAM_W)+MAX(0,FL-MAX(H255,GWL))*GAM_D)/(GAM_W*PI()*E255^2/4))</f>
        <v>3.49700917643446</v>
      </c>
      <c r="AC255" s="27" t="n">
        <f aca="false">IF(I255-E255&gt;=GWL,99,E255*(MAX(0,GWL-I255)*(GAM_S-GAM_W)+MAX(0,FL-MAX(I255,GWL))*GAM_D)/(GAM_W*PI()*E255^2/4))</f>
        <v>3.49694434421573</v>
      </c>
    </row>
    <row r="256" customFormat="false" ht="15" hidden="false" customHeight="false" outlineLevel="0" collapsed="false">
      <c r="A256" s="25" t="s">
        <v>719</v>
      </c>
      <c r="B256" s="25" t="s">
        <v>725</v>
      </c>
      <c r="C256" s="25" t="s">
        <v>730</v>
      </c>
      <c r="D256" s="26" t="n">
        <v>1.00498999987986</v>
      </c>
      <c r="E256" s="26" t="n">
        <v>1.19999526468329</v>
      </c>
      <c r="F256" s="26" t="n">
        <v>-2.49619763234165</v>
      </c>
      <c r="G256" s="26" t="n">
        <v>-2.49602763234165</v>
      </c>
      <c r="H256" s="26" t="n">
        <v>-0.796202367658354</v>
      </c>
      <c r="I256" s="26" t="n">
        <v>-0.796032367658354</v>
      </c>
      <c r="J256" s="26" t="n">
        <v>7.03</v>
      </c>
      <c r="K256" s="27" t="n">
        <f aca="false">MIN(F256,G256)</f>
        <v>-2.49619763234165</v>
      </c>
      <c r="L256" s="27" t="n">
        <f aca="false">AVERAGE(F256,G256)</f>
        <v>-2.49611263234165</v>
      </c>
      <c r="M256" s="27" t="n">
        <f aca="false">MAX(0,NG-L256)</f>
        <v>1.79611263234165</v>
      </c>
      <c r="N256" s="27" t="n">
        <f aca="false">MAX(0,GWL-K256)</f>
        <v>0.996197632341647</v>
      </c>
      <c r="O256" s="27" t="n">
        <f aca="false">MAX(0,NG-MAX(K256,GWL))</f>
        <v>0.8</v>
      </c>
      <c r="P256" s="27" t="n">
        <f aca="false">E256/2+WS+SLOPE_A*O256+SLOPE_B*N256</f>
        <v>4.79239289702494</v>
      </c>
      <c r="Q256" s="28" t="str">
        <f aca="false">IF(AND(P256&lt;J256,N256&lt;=MAXOC),"Open cut","Shoring")</f>
        <v>Open cut</v>
      </c>
      <c r="R256" s="27" t="n">
        <f aca="false">IF(Q256="Shoring",D256,0)</f>
        <v>0</v>
      </c>
      <c r="S256" s="27" t="n">
        <f aca="false">MAX(0,GWL-L256)</f>
        <v>0.996112632341647</v>
      </c>
      <c r="T256" s="27" t="n">
        <f aca="false">MAX(0,NG-MAX(L256,GWL))</f>
        <v>0.8</v>
      </c>
      <c r="U256" s="27" t="n">
        <f aca="false">E256+2*WS</f>
        <v>3.19999526468329</v>
      </c>
      <c r="V256" s="27" t="n">
        <f aca="false">IF(Q256="Shoring",D256*M256*U256,0)</f>
        <v>0</v>
      </c>
      <c r="W256" s="27" t="n">
        <f aca="false">IF(Q256="Open cut",D256*(U256*M256+SLOPE_B*S256^2+2*SLOPE_B*S256*T256+SLOPE_A*T256^2),0)</f>
        <v>11.9388722625597</v>
      </c>
      <c r="X256" s="27" t="n">
        <f aca="false">IF(M256&gt;0,D256*(E256+2*SLABOVH)*SLAB,0)</f>
        <v>1.10548662039488</v>
      </c>
      <c r="Y256" s="27" t="n">
        <f aca="false">IF(M256&gt;0,D256*PI()*E256^2/4,0)</f>
        <v>1.13660794181531</v>
      </c>
      <c r="Z256" s="27" t="n">
        <f aca="false">IF(H256-E256&gt;=GWL,99,E256*(MAX(0,GWL-H256)*(GAM_S-GAM_W)+MAX(0,NG-MAX(H256,GWL))*GAM_D)/(GAM_W*PI()*E256^2/4))</f>
        <v>0.187292266290267</v>
      </c>
      <c r="AA256" s="27" t="n">
        <f aca="false">IF(I256-E256&gt;=GWL,99,E256*(MAX(0,GWL-I256)*(GAM_S-GAM_W)+MAX(0,NG-MAX(I256,GWL))*GAM_D)/(GAM_W*PI()*E256^2/4))</f>
        <v>0.186961300576591</v>
      </c>
      <c r="AB256" s="27" t="n">
        <f aca="false">IF(H256-E256&gt;=GWL,99,E256*(MAX(0,GWL-H256)*(GAM_S-GAM_W)+MAX(0,FL-MAX(H256,GWL))*GAM_D)/(GAM_W*PI()*E256^2/4))</f>
        <v>3.49694940304792</v>
      </c>
      <c r="AC256" s="27" t="n">
        <f aca="false">IF(I256-E256&gt;=GWL,99,E256*(MAX(0,GWL-I256)*(GAM_S-GAM_W)+MAX(0,FL-MAX(I256,GWL))*GAM_D)/(GAM_W*PI()*E256^2/4))</f>
        <v>3.49661843733425</v>
      </c>
    </row>
    <row r="257" customFormat="false" ht="15" hidden="false" customHeight="false" outlineLevel="0" collapsed="false">
      <c r="A257" s="25" t="s">
        <v>719</v>
      </c>
      <c r="B257" s="25" t="s">
        <v>725</v>
      </c>
      <c r="C257" s="25" t="s">
        <v>731</v>
      </c>
      <c r="D257" s="26" t="n">
        <v>1.00500140152505</v>
      </c>
      <c r="E257" s="26" t="n">
        <v>1.20000206929981</v>
      </c>
      <c r="F257" s="26" t="n">
        <v>-2.4960310346499</v>
      </c>
      <c r="G257" s="26" t="n">
        <v>-2.4958710346499</v>
      </c>
      <c r="H257" s="26" t="n">
        <v>-0.796028965350098</v>
      </c>
      <c r="I257" s="26" t="n">
        <v>-0.795868965350097</v>
      </c>
      <c r="J257" s="26" t="n">
        <v>6.6</v>
      </c>
      <c r="K257" s="27" t="n">
        <f aca="false">MIN(F257,G257)</f>
        <v>-2.4960310346499</v>
      </c>
      <c r="L257" s="27" t="n">
        <f aca="false">AVERAGE(F257,G257)</f>
        <v>-2.4959510346499</v>
      </c>
      <c r="M257" s="27" t="n">
        <f aca="false">MAX(0,NG-L257)</f>
        <v>1.7959510346499</v>
      </c>
      <c r="N257" s="27" t="n">
        <f aca="false">MAX(0,GWL-K257)</f>
        <v>0.996031034649903</v>
      </c>
      <c r="O257" s="27" t="n">
        <f aca="false">MAX(0,NG-MAX(K257,GWL))</f>
        <v>0.8</v>
      </c>
      <c r="P257" s="27" t="n">
        <f aca="false">E257/2+WS+SLOPE_A*O257+SLOPE_B*N257</f>
        <v>4.79206310394971</v>
      </c>
      <c r="Q257" s="28" t="str">
        <f aca="false">IF(AND(P257&lt;J257,N257&lt;=MAXOC),"Open cut","Shoring")</f>
        <v>Open cut</v>
      </c>
      <c r="R257" s="27" t="n">
        <f aca="false">IF(Q257="Shoring",D257,0)</f>
        <v>0</v>
      </c>
      <c r="S257" s="27" t="n">
        <f aca="false">MAX(0,GWL-L257)</f>
        <v>0.995951034649903</v>
      </c>
      <c r="T257" s="27" t="n">
        <f aca="false">MAX(0,NG-MAX(L257,GWL))</f>
        <v>0.8</v>
      </c>
      <c r="U257" s="27" t="n">
        <f aca="false">E257+2*WS</f>
        <v>3.20000206929981</v>
      </c>
      <c r="V257" s="27" t="n">
        <f aca="false">IF(Q257="Shoring",D257*M257*U257,0)</f>
        <v>0</v>
      </c>
      <c r="W257" s="27" t="n">
        <f aca="false">IF(Q257="Open cut",D257*(U257*M257+SLOPE_B*S257^2+2*SLOPE_B*S257*T257+SLOPE_A*T257^2),0)</f>
        <v>11.9373335484984</v>
      </c>
      <c r="X257" s="27" t="n">
        <f aca="false">IF(M257&gt;0,D257*(E257+2*SLABOVH)*SLAB,0)</f>
        <v>1.10550258150216</v>
      </c>
      <c r="Y257" s="27" t="n">
        <f aca="false">IF(M257&gt;0,D257*PI()*E257^2/4,0)</f>
        <v>1.13663372720606</v>
      </c>
      <c r="Z257" s="27" t="n">
        <f aca="false">IF(H257-E257&gt;=GWL,99,E257*(MAX(0,GWL-H257)*(GAM_S-GAM_W)+MAX(0,NG-MAX(H257,GWL))*GAM_D)/(GAM_W*PI()*E257^2/4))</f>
        <v>0.186953616641234</v>
      </c>
      <c r="AA257" s="27" t="n">
        <f aca="false">IF(I257-E257&gt;=GWL,99,E257*(MAX(0,GWL-I257)*(GAM_S-GAM_W)+MAX(0,NG-MAX(I257,GWL))*GAM_D)/(GAM_W*PI()*E257^2/4))</f>
        <v>0.186642121265296</v>
      </c>
      <c r="AB257" s="27" t="n">
        <f aca="false">IF(H257-E257&gt;=GWL,99,E257*(MAX(0,GWL-H257)*(GAM_S-GAM_W)+MAX(0,FL-MAX(H257,GWL))*GAM_D)/(GAM_W*PI()*E257^2/4))</f>
        <v>3.49659198597492</v>
      </c>
      <c r="AC257" s="27" t="n">
        <f aca="false">IF(I257-E257&gt;=GWL,99,E257*(MAX(0,GWL-I257)*(GAM_S-GAM_W)+MAX(0,FL-MAX(I257,GWL))*GAM_D)/(GAM_W*PI()*E257^2/4))</f>
        <v>3.49628049059898</v>
      </c>
    </row>
    <row r="258" customFormat="false" ht="15" hidden="false" customHeight="false" outlineLevel="0" collapsed="false">
      <c r="A258" s="25" t="s">
        <v>719</v>
      </c>
      <c r="B258" s="25" t="s">
        <v>725</v>
      </c>
      <c r="C258" s="25" t="s">
        <v>732</v>
      </c>
      <c r="D258" s="26" t="n">
        <v>7.78358301931497</v>
      </c>
      <c r="E258" s="26" t="n">
        <v>1.20000191357906</v>
      </c>
      <c r="F258" s="26" t="n">
        <v>-2.49587095678953</v>
      </c>
      <c r="G258" s="26" t="n">
        <v>-2.49461368695064</v>
      </c>
      <c r="H258" s="26" t="n">
        <v>-0.795869043210472</v>
      </c>
      <c r="I258" s="26" t="n">
        <v>-0.794611773371581</v>
      </c>
      <c r="J258" s="26" t="n">
        <v>4.07</v>
      </c>
      <c r="K258" s="27" t="n">
        <f aca="false">MIN(F258,G258)</f>
        <v>-2.49587095678953</v>
      </c>
      <c r="L258" s="27" t="n">
        <f aca="false">AVERAGE(F258,G258)</f>
        <v>-2.49524232187008</v>
      </c>
      <c r="M258" s="27" t="n">
        <f aca="false">MAX(0,NG-L258)</f>
        <v>1.79524232187008</v>
      </c>
      <c r="N258" s="27" t="n">
        <f aca="false">MAX(0,GWL-K258)</f>
        <v>0.995870956789528</v>
      </c>
      <c r="O258" s="27" t="n">
        <f aca="false">MAX(0,NG-MAX(K258,GWL))</f>
        <v>0.8</v>
      </c>
      <c r="P258" s="27" t="n">
        <f aca="false">E258/2+WS+SLOPE_A*O258+SLOPE_B*N258</f>
        <v>4.79174287036858</v>
      </c>
      <c r="Q258" s="28" t="str">
        <f aca="false">IF(AND(P258&lt;J258,N258&lt;=MAXOC),"Open cut","Shoring")</f>
        <v>Shoring</v>
      </c>
      <c r="R258" s="27" t="n">
        <f aca="false">IF(Q258="Shoring",D258,0)</f>
        <v>7.78358301931497</v>
      </c>
      <c r="S258" s="27" t="n">
        <f aca="false">MAX(0,GWL-L258)</f>
        <v>0.995242321870083</v>
      </c>
      <c r="T258" s="27" t="n">
        <f aca="false">MAX(0,NG-MAX(L258,GWL))</f>
        <v>0.8</v>
      </c>
      <c r="U258" s="27" t="n">
        <f aca="false">E258+2*WS</f>
        <v>3.20000191357906</v>
      </c>
      <c r="V258" s="27" t="n">
        <f aca="false">IF(Q258="Shoring",D258*M258*U258,0)</f>
        <v>44.7149632258427</v>
      </c>
      <c r="W258" s="27" t="n">
        <f aca="false">IF(Q258="Open cut",D258*(U258*M258+SLOPE_B*S258^2+2*SLOPE_B*S258*T258+SLOPE_A*T258^2),0)</f>
        <v>0</v>
      </c>
      <c r="X258" s="27" t="n">
        <f aca="false">IF(M258&gt;0,D258*(E258+2*SLABOVH)*SLAB,0)</f>
        <v>8.56194876849719</v>
      </c>
      <c r="Y258" s="27" t="n">
        <f aca="false">IF(M258&gt;0,D258*PI()*E258^2/4,0)</f>
        <v>8.8030530790472</v>
      </c>
      <c r="Z258" s="27" t="n">
        <f aca="false">IF(H258-E258&gt;=GWL,99,E258*(MAX(0,GWL-H258)*(GAM_S-GAM_W)+MAX(0,NG-MAX(H258,GWL))*GAM_D)/(GAM_W*PI()*E258^2/4))</f>
        <v>0.186642297067486</v>
      </c>
      <c r="AA258" s="27" t="n">
        <f aca="false">IF(I258-E258&gt;=GWL,99,E258*(MAX(0,GWL-I258)*(GAM_S-GAM_W)+MAX(0,NG-MAX(I258,GWL))*GAM_D)/(GAM_W*PI()*E258^2/4))</f>
        <v>0.184194585867855</v>
      </c>
      <c r="AB258" s="27" t="n">
        <f aca="false">IF(H258-E258&gt;=GWL,99,E258*(MAX(0,GWL-H258)*(GAM_S-GAM_W)+MAX(0,FL-MAX(H258,GWL))*GAM_D)/(GAM_W*PI()*E258^2/4))</f>
        <v>3.49628109588329</v>
      </c>
      <c r="AC258" s="27" t="n">
        <f aca="false">IF(I258-E258&gt;=GWL,99,E258*(MAX(0,GWL-I258)*(GAM_S-GAM_W)+MAX(0,FL-MAX(I258,GWL))*GAM_D)/(GAM_W*PI()*E258^2/4))</f>
        <v>3.49383338468366</v>
      </c>
    </row>
    <row r="259" customFormat="false" ht="15" hidden="false" customHeight="false" outlineLevel="0" collapsed="false">
      <c r="A259" s="25" t="s">
        <v>719</v>
      </c>
      <c r="B259" s="25" t="s">
        <v>725</v>
      </c>
      <c r="C259" s="25" t="s">
        <v>733</v>
      </c>
      <c r="D259" s="26" t="n">
        <v>9.99999999967645</v>
      </c>
      <c r="E259" s="26" t="n">
        <v>1.20000191357906</v>
      </c>
      <c r="F259" s="26" t="n">
        <v>-2.49461368695064</v>
      </c>
      <c r="G259" s="26" t="n">
        <v>-2.49299840278668</v>
      </c>
      <c r="H259" s="26" t="n">
        <v>-0.794611773371581</v>
      </c>
      <c r="I259" s="26" t="n">
        <v>-0.792996489207619</v>
      </c>
      <c r="J259" s="26" t="n">
        <v>3.26</v>
      </c>
      <c r="K259" s="27" t="n">
        <f aca="false">MIN(F259,G259)</f>
        <v>-2.49461368695064</v>
      </c>
      <c r="L259" s="27" t="n">
        <f aca="false">AVERAGE(F259,G259)</f>
        <v>-2.49380604486866</v>
      </c>
      <c r="M259" s="27" t="n">
        <f aca="false">MAX(0,NG-L259)</f>
        <v>1.79380604486866</v>
      </c>
      <c r="N259" s="27" t="n">
        <f aca="false">MAX(0,GWL-K259)</f>
        <v>0.994613686950637</v>
      </c>
      <c r="O259" s="27" t="n">
        <f aca="false">MAX(0,NG-MAX(K259,GWL))</f>
        <v>0.8</v>
      </c>
      <c r="P259" s="27" t="n">
        <f aca="false">E259/2+WS+SLOPE_A*O259+SLOPE_B*N259</f>
        <v>4.7892283306908</v>
      </c>
      <c r="Q259" s="28" t="str">
        <f aca="false">IF(AND(P259&lt;J259,N259&lt;=MAXOC),"Open cut","Shoring")</f>
        <v>Shoring</v>
      </c>
      <c r="R259" s="27" t="n">
        <f aca="false">IF(Q259="Shoring",D259,0)</f>
        <v>9.99999999967645</v>
      </c>
      <c r="S259" s="27" t="n">
        <f aca="false">MAX(0,GWL-L259)</f>
        <v>0.993806044868656</v>
      </c>
      <c r="T259" s="27" t="n">
        <f aca="false">MAX(0,NG-MAX(L259,GWL))</f>
        <v>0.8</v>
      </c>
      <c r="U259" s="27" t="n">
        <f aca="false">E259+2*WS</f>
        <v>3.20000191357906</v>
      </c>
      <c r="V259" s="27" t="n">
        <f aca="false">IF(Q259="Shoring",D259*M259*U259,0)</f>
        <v>57.4018277598366</v>
      </c>
      <c r="W259" s="27" t="n">
        <f aca="false">IF(Q259="Open cut",D259*(U259*M259+SLOPE_B*S259^2+2*SLOPE_B*S259*T259+SLOPE_A*T259^2),0)</f>
        <v>0</v>
      </c>
      <c r="X259" s="27" t="n">
        <f aca="false">IF(M259&gt;0,D259*(E259+2*SLABOVH)*SLAB,0)</f>
        <v>11.0000095675394</v>
      </c>
      <c r="Y259" s="27" t="n">
        <f aca="false">IF(M259&gt;0,D259*PI()*E259^2/4,0)</f>
        <v>11.3097696227015</v>
      </c>
      <c r="Z259" s="27" t="n">
        <f aca="false">IF(H259-E259&gt;=GWL,99,E259*(MAX(0,GWL-H259)*(GAM_S-GAM_W)+MAX(0,NG-MAX(H259,GWL))*GAM_D)/(GAM_W*PI()*E259^2/4))</f>
        <v>0.184194585867855</v>
      </c>
      <c r="AA259" s="27" t="n">
        <f aca="false">IF(I259-E259&gt;=GWL,99,E259*(MAX(0,GWL-I259)*(GAM_S-GAM_W)+MAX(0,NG-MAX(I259,GWL))*GAM_D)/(GAM_W*PI()*E259^2/4))</f>
        <v>0.181049875785407</v>
      </c>
      <c r="AB259" s="27" t="n">
        <f aca="false">IF(H259-E259&gt;=GWL,99,E259*(MAX(0,GWL-H259)*(GAM_S-GAM_W)+MAX(0,FL-MAX(H259,GWL))*GAM_D)/(GAM_W*PI()*E259^2/4))</f>
        <v>3.49383338468366</v>
      </c>
      <c r="AC259" s="27" t="n">
        <f aca="false">IF(I259-E259&gt;=GWL,99,E259*(MAX(0,GWL-I259)*(GAM_S-GAM_W)+MAX(0,FL-MAX(I259,GWL))*GAM_D)/(GAM_W*PI()*E259^2/4))</f>
        <v>3.49068867460121</v>
      </c>
    </row>
    <row r="260" customFormat="false" ht="15" hidden="false" customHeight="false" outlineLevel="0" collapsed="false">
      <c r="A260" s="25" t="s">
        <v>719</v>
      </c>
      <c r="B260" s="25" t="s">
        <v>725</v>
      </c>
      <c r="C260" s="25" t="s">
        <v>734</v>
      </c>
      <c r="D260" s="26" t="n">
        <v>10.0000000005061</v>
      </c>
      <c r="E260" s="26" t="n">
        <v>1.20000191357906</v>
      </c>
      <c r="F260" s="26" t="n">
        <v>-2.49299840278668</v>
      </c>
      <c r="G260" s="26" t="n">
        <v>-2.49138311862271</v>
      </c>
      <c r="H260" s="26" t="n">
        <v>-0.792996489207619</v>
      </c>
      <c r="I260" s="26" t="n">
        <v>-0.791381205043656</v>
      </c>
      <c r="J260" s="26" t="n">
        <v>3.37</v>
      </c>
      <c r="K260" s="27" t="n">
        <f aca="false">MIN(F260,G260)</f>
        <v>-2.49299840278668</v>
      </c>
      <c r="L260" s="27" t="n">
        <f aca="false">AVERAGE(F260,G260)</f>
        <v>-2.49219076070469</v>
      </c>
      <c r="M260" s="27" t="n">
        <f aca="false">MAX(0,NG-L260)</f>
        <v>1.79219076070469</v>
      </c>
      <c r="N260" s="27" t="n">
        <f aca="false">MAX(0,GWL-K260)</f>
        <v>0.992998402786675</v>
      </c>
      <c r="O260" s="27" t="n">
        <f aca="false">MAX(0,NG-MAX(K260,GWL))</f>
        <v>0.8</v>
      </c>
      <c r="P260" s="27" t="n">
        <f aca="false">E260/2+WS+SLOPE_A*O260+SLOPE_B*N260</f>
        <v>4.78599776236288</v>
      </c>
      <c r="Q260" s="28" t="str">
        <f aca="false">IF(AND(P260&lt;J260,N260&lt;=MAXOC),"Open cut","Shoring")</f>
        <v>Shoring</v>
      </c>
      <c r="R260" s="27" t="n">
        <f aca="false">IF(Q260="Shoring",D260,0)</f>
        <v>10.0000000005061</v>
      </c>
      <c r="S260" s="27" t="n">
        <f aca="false">MAX(0,GWL-L260)</f>
        <v>0.992190760704694</v>
      </c>
      <c r="T260" s="27" t="n">
        <f aca="false">MAX(0,NG-MAX(L260,GWL))</f>
        <v>0.8</v>
      </c>
      <c r="U260" s="27" t="n">
        <f aca="false">E260+2*WS</f>
        <v>3.20000191357906</v>
      </c>
      <c r="V260" s="27" t="n">
        <f aca="false">IF(Q260="Shoring",D260*M260*U260,0)</f>
        <v>57.3501386404399</v>
      </c>
      <c r="W260" s="27" t="n">
        <f aca="false">IF(Q260="Open cut",D260*(U260*M260+SLOPE_B*S260^2+2*SLOPE_B*S260*T260+SLOPE_A*T260^2),0)</f>
        <v>0</v>
      </c>
      <c r="X260" s="27" t="n">
        <f aca="false">IF(M260&gt;0,D260*(E260+2*SLABOVH)*SLAB,0)</f>
        <v>11.000009568452</v>
      </c>
      <c r="Y260" s="27" t="n">
        <f aca="false">IF(M260&gt;0,D260*PI()*E260^2/4,0)</f>
        <v>11.3097696236399</v>
      </c>
      <c r="Z260" s="27" t="n">
        <f aca="false">IF(H260-E260&gt;=GWL,99,E260*(MAX(0,GWL-H260)*(GAM_S-GAM_W)+MAX(0,NG-MAX(H260,GWL))*GAM_D)/(GAM_W*PI()*E260^2/4))</f>
        <v>0.181049875785407</v>
      </c>
      <c r="AA260" s="27" t="n">
        <f aca="false">IF(I260-E260&gt;=GWL,99,E260*(MAX(0,GWL-I260)*(GAM_S-GAM_W)+MAX(0,NG-MAX(I260,GWL))*GAM_D)/(GAM_W*PI()*E260^2/4))</f>
        <v>0.177905165702957</v>
      </c>
      <c r="AB260" s="27" t="n">
        <f aca="false">IF(H260-E260&gt;=GWL,99,E260*(MAX(0,GWL-H260)*(GAM_S-GAM_W)+MAX(0,FL-MAX(H260,GWL))*GAM_D)/(GAM_W*PI()*E260^2/4))</f>
        <v>3.49068867460121</v>
      </c>
      <c r="AC260" s="27" t="n">
        <f aca="false">IF(I260-E260&gt;=GWL,99,E260*(MAX(0,GWL-I260)*(GAM_S-GAM_W)+MAX(0,FL-MAX(I260,GWL))*GAM_D)/(GAM_W*PI()*E260^2/4))</f>
        <v>3.48754396451876</v>
      </c>
    </row>
    <row r="261" customFormat="false" ht="15" hidden="false" customHeight="false" outlineLevel="0" collapsed="false">
      <c r="A261" s="25" t="s">
        <v>719</v>
      </c>
      <c r="B261" s="25" t="s">
        <v>725</v>
      </c>
      <c r="C261" s="25" t="s">
        <v>735</v>
      </c>
      <c r="D261" s="26" t="n">
        <v>6.51378783115512</v>
      </c>
      <c r="E261" s="26" t="n">
        <v>1.20000191357906</v>
      </c>
      <c r="F261" s="26" t="n">
        <v>-2.49138311862271</v>
      </c>
      <c r="G261" s="26" t="n">
        <v>-2.49033095678953</v>
      </c>
      <c r="H261" s="26" t="n">
        <v>-0.791381205043656</v>
      </c>
      <c r="I261" s="26" t="n">
        <v>-0.790329043210472</v>
      </c>
      <c r="J261" s="26" t="n">
        <v>5.68</v>
      </c>
      <c r="K261" s="27" t="n">
        <f aca="false">MIN(F261,G261)</f>
        <v>-2.49138311862271</v>
      </c>
      <c r="L261" s="27" t="n">
        <f aca="false">AVERAGE(F261,G261)</f>
        <v>-2.49085703770612</v>
      </c>
      <c r="M261" s="27" t="n">
        <f aca="false">MAX(0,NG-L261)</f>
        <v>1.79085703770612</v>
      </c>
      <c r="N261" s="27" t="n">
        <f aca="false">MAX(0,GWL-K261)</f>
        <v>0.991383118622712</v>
      </c>
      <c r="O261" s="27" t="n">
        <f aca="false">MAX(0,NG-MAX(K261,GWL))</f>
        <v>0.8</v>
      </c>
      <c r="P261" s="27" t="n">
        <f aca="false">E261/2+WS+SLOPE_A*O261+SLOPE_B*N261</f>
        <v>4.78276719403495</v>
      </c>
      <c r="Q261" s="28" t="str">
        <f aca="false">IF(AND(P261&lt;J261,N261&lt;=MAXOC),"Open cut","Shoring")</f>
        <v>Open cut</v>
      </c>
      <c r="R261" s="27" t="n">
        <f aca="false">IF(Q261="Shoring",D261,0)</f>
        <v>0</v>
      </c>
      <c r="S261" s="27" t="n">
        <f aca="false">MAX(0,GWL-L261)</f>
        <v>0.99085703770612</v>
      </c>
      <c r="T261" s="27" t="n">
        <f aca="false">MAX(0,NG-MAX(L261,GWL))</f>
        <v>0.8</v>
      </c>
      <c r="U261" s="27" t="n">
        <f aca="false">E261+2*WS</f>
        <v>3.20000191357906</v>
      </c>
      <c r="V261" s="27" t="n">
        <f aca="false">IF(Q261="Shoring",D261*M261*U261,0)</f>
        <v>0</v>
      </c>
      <c r="W261" s="27" t="n">
        <f aca="false">IF(Q261="Open cut",D261*(U261*M261+SLOPE_B*S261^2+2*SLOPE_B*S261*T261+SLOPE_A*T261^2),0)</f>
        <v>77.0260870018804</v>
      </c>
      <c r="X261" s="27" t="n">
        <f aca="false">IF(M261&gt;0,D261*(E261+2*SLABOVH)*SLAB,0)</f>
        <v>7.16517284659462</v>
      </c>
      <c r="Y261" s="27" t="n">
        <f aca="false">IF(M261&gt;0,D261*PI()*E261^2/4,0)</f>
        <v>7.36694397439046</v>
      </c>
      <c r="Z261" s="27" t="n">
        <f aca="false">IF(H261-E261&gt;=GWL,99,E261*(MAX(0,GWL-H261)*(GAM_S-GAM_W)+MAX(0,NG-MAX(H261,GWL))*GAM_D)/(GAM_W*PI()*E261^2/4))</f>
        <v>0.177905165702957</v>
      </c>
      <c r="AA261" s="27" t="n">
        <f aca="false">IF(I261-E261&gt;=GWL,99,E261*(MAX(0,GWL-I261)*(GAM_S-GAM_W)+MAX(0,NG-MAX(I261,GWL))*GAM_D)/(GAM_W*PI()*E261^2/4))</f>
        <v>0.175856768276052</v>
      </c>
      <c r="AB261" s="27" t="n">
        <f aca="false">IF(H261-E261&gt;=GWL,99,E261*(MAX(0,GWL-H261)*(GAM_S-GAM_W)+MAX(0,FL-MAX(H261,GWL))*GAM_D)/(GAM_W*PI()*E261^2/4))</f>
        <v>3.48754396451876</v>
      </c>
      <c r="AC261" s="27" t="n">
        <f aca="false">IF(I261-E261&gt;=GWL,99,E261*(MAX(0,GWL-I261)*(GAM_S-GAM_W)+MAX(0,FL-MAX(I261,GWL))*GAM_D)/(GAM_W*PI()*E261^2/4))</f>
        <v>3.48549556709185</v>
      </c>
    </row>
    <row r="262" customFormat="false" ht="15" hidden="false" customHeight="false" outlineLevel="0" collapsed="false">
      <c r="A262" s="25" t="s">
        <v>719</v>
      </c>
      <c r="B262" s="25" t="s">
        <v>725</v>
      </c>
      <c r="C262" s="25" t="s">
        <v>736</v>
      </c>
      <c r="D262" s="26" t="n">
        <v>1.00509999946044</v>
      </c>
      <c r="E262" s="26" t="n">
        <v>1.20000191357906</v>
      </c>
      <c r="F262" s="26" t="n">
        <v>-2.49033095678953</v>
      </c>
      <c r="G262" s="26" t="n">
        <v>-2.49016095678953</v>
      </c>
      <c r="H262" s="26" t="n">
        <v>-0.790329043210472</v>
      </c>
      <c r="I262" s="26" t="n">
        <v>-0.790159043210472</v>
      </c>
      <c r="J262" s="26" t="n">
        <v>6.57</v>
      </c>
      <c r="K262" s="27" t="n">
        <f aca="false">MIN(F262,G262)</f>
        <v>-2.49033095678953</v>
      </c>
      <c r="L262" s="27" t="n">
        <f aca="false">AVERAGE(F262,G262)</f>
        <v>-2.49024595678953</v>
      </c>
      <c r="M262" s="27" t="n">
        <f aca="false">MAX(0,NG-L262)</f>
        <v>1.79024595678953</v>
      </c>
      <c r="N262" s="27" t="n">
        <f aca="false">MAX(0,GWL-K262)</f>
        <v>0.990330956789528</v>
      </c>
      <c r="O262" s="27" t="n">
        <f aca="false">MAX(0,NG-MAX(K262,GWL))</f>
        <v>0.8</v>
      </c>
      <c r="P262" s="27" t="n">
        <f aca="false">E262/2+WS+SLOPE_A*O262+SLOPE_B*N262</f>
        <v>4.78066287036859</v>
      </c>
      <c r="Q262" s="28" t="str">
        <f aca="false">IF(AND(P262&lt;J262,N262&lt;=MAXOC),"Open cut","Shoring")</f>
        <v>Open cut</v>
      </c>
      <c r="R262" s="27" t="n">
        <f aca="false">IF(Q262="Shoring",D262,0)</f>
        <v>0</v>
      </c>
      <c r="S262" s="27" t="n">
        <f aca="false">MAX(0,GWL-L262)</f>
        <v>0.990245956789528</v>
      </c>
      <c r="T262" s="27" t="n">
        <f aca="false">MAX(0,NG-MAX(L262,GWL))</f>
        <v>0.8</v>
      </c>
      <c r="U262" s="27" t="n">
        <f aca="false">E262+2*WS</f>
        <v>3.20000191357906</v>
      </c>
      <c r="V262" s="27" t="n">
        <f aca="false">IF(Q262="Shoring",D262*M262*U262,0)</f>
        <v>0</v>
      </c>
      <c r="W262" s="27" t="n">
        <f aca="false">IF(Q262="Open cut",D262*(U262*M262+SLOPE_B*S262^2+2*SLOPE_B*S262*T262+SLOPE_A*T262^2),0)</f>
        <v>11.8790272861907</v>
      </c>
      <c r="X262" s="27" t="n">
        <f aca="false">IF(M262&gt;0,D262*(E262+2*SLABOVH)*SLAB,0)</f>
        <v>1.10561096107564</v>
      </c>
      <c r="Y262" s="27" t="n">
        <f aca="false">IF(M262&gt;0,D262*PI()*E262^2/4,0)</f>
        <v>1.13674494420428</v>
      </c>
      <c r="Z262" s="27" t="n">
        <f aca="false">IF(H262-E262&gt;=GWL,99,E262*(MAX(0,GWL-H262)*(GAM_S-GAM_W)+MAX(0,NG-MAX(H262,GWL))*GAM_D)/(GAM_W*PI()*E262^2/4))</f>
        <v>0.175856768276052</v>
      </c>
      <c r="AA262" s="27" t="n">
        <f aca="false">IF(I262-E262&gt;=GWL,99,E262*(MAX(0,GWL-I262)*(GAM_S-GAM_W)+MAX(0,NG-MAX(I262,GWL))*GAM_D)/(GAM_W*PI()*E262^2/4))</f>
        <v>0.17552580439617</v>
      </c>
      <c r="AB262" s="27" t="n">
        <f aca="false">IF(H262-E262&gt;=GWL,99,E262*(MAX(0,GWL-H262)*(GAM_S-GAM_W)+MAX(0,FL-MAX(H262,GWL))*GAM_D)/(GAM_W*PI()*E262^2/4))</f>
        <v>3.48549556709185</v>
      </c>
      <c r="AC262" s="27" t="n">
        <f aca="false">IF(I262-E262&gt;=GWL,99,E262*(MAX(0,GWL-I262)*(GAM_S-GAM_W)+MAX(0,FL-MAX(I262,GWL))*GAM_D)/(GAM_W*PI()*E262^2/4))</f>
        <v>3.48516460321197</v>
      </c>
    </row>
    <row r="263" customFormat="false" ht="15" hidden="false" customHeight="false" outlineLevel="0" collapsed="false">
      <c r="A263" s="25" t="s">
        <v>719</v>
      </c>
      <c r="B263" s="25" t="s">
        <v>725</v>
      </c>
      <c r="C263" s="25" t="s">
        <v>737</v>
      </c>
      <c r="D263" s="26" t="n">
        <v>1.00485075779347</v>
      </c>
      <c r="E263" s="26" t="n">
        <v>1.19999410296162</v>
      </c>
      <c r="F263" s="26" t="n">
        <v>-2.49015705148081</v>
      </c>
      <c r="G263" s="26" t="n">
        <v>-2.48999705148081</v>
      </c>
      <c r="H263" s="26" t="n">
        <v>-0.79016294851919</v>
      </c>
      <c r="I263" s="26" t="n">
        <v>-0.790002948519189</v>
      </c>
      <c r="J263" s="26" t="n">
        <v>6.57</v>
      </c>
      <c r="K263" s="27" t="n">
        <f aca="false">MIN(F263,G263)</f>
        <v>-2.49015705148081</v>
      </c>
      <c r="L263" s="27" t="n">
        <f aca="false">AVERAGE(F263,G263)</f>
        <v>-2.49007705148081</v>
      </c>
      <c r="M263" s="27" t="n">
        <f aca="false">MAX(0,NG-L263)</f>
        <v>1.79007705148081</v>
      </c>
      <c r="N263" s="27" t="n">
        <f aca="false">MAX(0,GWL-K263)</f>
        <v>0.990157051480811</v>
      </c>
      <c r="O263" s="27" t="n">
        <f aca="false">MAX(0,NG-MAX(K263,GWL))</f>
        <v>0.8</v>
      </c>
      <c r="P263" s="27" t="n">
        <f aca="false">E263/2+WS+SLOPE_A*O263+SLOPE_B*N263</f>
        <v>4.78031115444243</v>
      </c>
      <c r="Q263" s="28" t="str">
        <f aca="false">IF(AND(P263&lt;J263,N263&lt;=MAXOC),"Open cut","Shoring")</f>
        <v>Open cut</v>
      </c>
      <c r="R263" s="27" t="n">
        <f aca="false">IF(Q263="Shoring",D263,0)</f>
        <v>0</v>
      </c>
      <c r="S263" s="27" t="n">
        <f aca="false">MAX(0,GWL-L263)</f>
        <v>0.990077051480811</v>
      </c>
      <c r="T263" s="27" t="n">
        <f aca="false">MAX(0,NG-MAX(L263,GWL))</f>
        <v>0.8</v>
      </c>
      <c r="U263" s="27" t="n">
        <f aca="false">E263+2*WS</f>
        <v>3.19999410296162</v>
      </c>
      <c r="V263" s="27" t="n">
        <f aca="false">IF(Q263="Shoring",D263*M263*U263,0)</f>
        <v>0</v>
      </c>
      <c r="W263" s="27" t="n">
        <f aca="false">IF(Q263="Open cut",D263*(U263*M263+SLOPE_B*S263^2+2*SLOPE_B*S263*T263+SLOPE_A*T263^2),0)</f>
        <v>11.8743090542871</v>
      </c>
      <c r="X263" s="27" t="n">
        <f aca="false">IF(M263&gt;0,D263*(E263+2*SLABOVH)*SLAB,0)</f>
        <v>1.10533287075108</v>
      </c>
      <c r="Y263" s="27" t="n">
        <f aca="false">IF(M263&gt;0,D263*PI()*E263^2/4,0)</f>
        <v>1.13644826356234</v>
      </c>
      <c r="Z263" s="27" t="n">
        <f aca="false">IF(H263-E263&gt;=GWL,99,E263*(MAX(0,GWL-H263)*(GAM_S-GAM_W)+MAX(0,NG-MAX(H263,GWL))*GAM_D)/(GAM_W*PI()*E263^2/4))</f>
        <v>0.175534549958059</v>
      </c>
      <c r="AA263" s="27" t="n">
        <f aca="false">IF(I263-E263&gt;=GWL,99,E263*(MAX(0,GWL-I263)*(GAM_S-GAM_W)+MAX(0,NG-MAX(I263,GWL))*GAM_D)/(GAM_W*PI()*E263^2/4))</f>
        <v>0.175223052514214</v>
      </c>
      <c r="AB263" s="27" t="n">
        <f aca="false">IF(H263-E263&gt;=GWL,99,E263*(MAX(0,GWL-H263)*(GAM_S-GAM_W)+MAX(0,FL-MAX(H263,GWL))*GAM_D)/(GAM_W*PI()*E263^2/4))</f>
        <v>3.48519489081515</v>
      </c>
      <c r="AC263" s="27" t="n">
        <f aca="false">IF(I263-E263&gt;=GWL,99,E263*(MAX(0,GWL-I263)*(GAM_S-GAM_W)+MAX(0,FL-MAX(I263,GWL))*GAM_D)/(GAM_W*PI()*E263^2/4))</f>
        <v>3.4848833933713</v>
      </c>
    </row>
    <row r="264" customFormat="false" ht="15" hidden="false" customHeight="false" outlineLevel="0" collapsed="false">
      <c r="A264" s="25" t="s">
        <v>719</v>
      </c>
      <c r="B264" s="25" t="s">
        <v>725</v>
      </c>
      <c r="C264" s="25" t="s">
        <v>738</v>
      </c>
      <c r="D264" s="26" t="n">
        <v>1.47626141072821</v>
      </c>
      <c r="E264" s="26" t="n">
        <v>1.19999410296162</v>
      </c>
      <c r="F264" s="26" t="n">
        <v>-2.48999705148081</v>
      </c>
      <c r="G264" s="26" t="n">
        <v>-2.48999705148081</v>
      </c>
      <c r="H264" s="26" t="n">
        <v>-0.790002948519189</v>
      </c>
      <c r="I264" s="26" t="n">
        <v>-0.790002948519189</v>
      </c>
      <c r="J264" s="26" t="n">
        <v>7.15</v>
      </c>
      <c r="K264" s="27" t="n">
        <f aca="false">MIN(F264,G264)</f>
        <v>-2.48999705148081</v>
      </c>
      <c r="L264" s="27" t="n">
        <f aca="false">AVERAGE(F264,G264)</f>
        <v>-2.48999705148081</v>
      </c>
      <c r="M264" s="27" t="n">
        <f aca="false">MAX(0,NG-L264)</f>
        <v>1.78999705148081</v>
      </c>
      <c r="N264" s="27" t="n">
        <f aca="false">MAX(0,GWL-K264)</f>
        <v>0.989997051480811</v>
      </c>
      <c r="O264" s="27" t="n">
        <f aca="false">MAX(0,NG-MAX(K264,GWL))</f>
        <v>0.8</v>
      </c>
      <c r="P264" s="27" t="n">
        <f aca="false">E264/2+WS+SLOPE_A*O264+SLOPE_B*N264</f>
        <v>4.77999115444243</v>
      </c>
      <c r="Q264" s="28" t="str">
        <f aca="false">IF(AND(P264&lt;J264,N264&lt;=MAXOC),"Open cut","Shoring")</f>
        <v>Open cut</v>
      </c>
      <c r="R264" s="27" t="n">
        <f aca="false">IF(Q264="Shoring",D264,0)</f>
        <v>0</v>
      </c>
      <c r="S264" s="27" t="n">
        <f aca="false">MAX(0,GWL-L264)</f>
        <v>0.989997051480811</v>
      </c>
      <c r="T264" s="27" t="n">
        <f aca="false">MAX(0,NG-MAX(L264,GWL))</f>
        <v>0.8</v>
      </c>
      <c r="U264" s="27" t="n">
        <f aca="false">E264+2*WS</f>
        <v>3.19999410296162</v>
      </c>
      <c r="V264" s="27" t="n">
        <f aca="false">IF(Q264="Shoring",D264*M264*U264,0)</f>
        <v>0</v>
      </c>
      <c r="W264" s="27" t="n">
        <f aca="false">IF(Q264="Open cut",D264*(U264*M264+SLOPE_B*S264^2+2*SLOPE_B*S264*T264+SLOPE_A*T264^2),0)</f>
        <v>17.4437394036738</v>
      </c>
      <c r="X264" s="27" t="n">
        <f aca="false">IF(M264&gt;0,D264*(E264+2*SLABOVH)*SLAB,0)</f>
        <v>1.62388319901594</v>
      </c>
      <c r="Y264" s="27" t="n">
        <f aca="false">IF(M264&gt;0,D264*PI()*E264^2/4,0)</f>
        <v>1.66959591140697</v>
      </c>
      <c r="Z264" s="27" t="n">
        <f aca="false">IF(H264-E264&gt;=GWL,99,E264*(MAX(0,GWL-H264)*(GAM_S-GAM_W)+MAX(0,NG-MAX(H264,GWL))*GAM_D)/(GAM_W*PI()*E264^2/4))</f>
        <v>0.175223052514214</v>
      </c>
      <c r="AA264" s="27" t="n">
        <f aca="false">IF(I264-E264&gt;=GWL,99,E264*(MAX(0,GWL-I264)*(GAM_S-GAM_W)+MAX(0,NG-MAX(I264,GWL))*GAM_D)/(GAM_W*PI()*E264^2/4))</f>
        <v>0.175223052514214</v>
      </c>
      <c r="AB264" s="27" t="n">
        <f aca="false">IF(H264-E264&gt;=GWL,99,E264*(MAX(0,GWL-H264)*(GAM_S-GAM_W)+MAX(0,FL-MAX(H264,GWL))*GAM_D)/(GAM_W*PI()*E264^2/4))</f>
        <v>3.4848833933713</v>
      </c>
      <c r="AC264" s="27" t="n">
        <f aca="false">IF(I264-E264&gt;=GWL,99,E264*(MAX(0,GWL-I264)*(GAM_S-GAM_W)+MAX(0,FL-MAX(I264,GWL))*GAM_D)/(GAM_W*PI()*E264^2/4))</f>
        <v>3.4848833933713</v>
      </c>
    </row>
    <row r="265" customFormat="false" ht="15" hidden="false" customHeight="false" outlineLevel="0" collapsed="false">
      <c r="A265" s="25" t="s">
        <v>719</v>
      </c>
      <c r="B265" s="25" t="s">
        <v>725</v>
      </c>
      <c r="C265" s="25" t="s">
        <v>739</v>
      </c>
      <c r="D265" s="26" t="n">
        <v>9.99999999999987</v>
      </c>
      <c r="E265" s="26" t="n">
        <v>1.19999410296162</v>
      </c>
      <c r="F265" s="26" t="n">
        <v>-2.48999705148081</v>
      </c>
      <c r="G265" s="26" t="n">
        <v>-2.48999705148081</v>
      </c>
      <c r="H265" s="26" t="n">
        <v>-0.790002948519189</v>
      </c>
      <c r="I265" s="26" t="n">
        <v>-0.790002948519189</v>
      </c>
      <c r="J265" s="26" t="n">
        <v>8.13</v>
      </c>
      <c r="K265" s="27" t="n">
        <f aca="false">MIN(F265,G265)</f>
        <v>-2.48999705148081</v>
      </c>
      <c r="L265" s="27" t="n">
        <f aca="false">AVERAGE(F265,G265)</f>
        <v>-2.48999705148081</v>
      </c>
      <c r="M265" s="27" t="n">
        <f aca="false">MAX(0,NG-L265)</f>
        <v>1.78999705148081</v>
      </c>
      <c r="N265" s="27" t="n">
        <f aca="false">MAX(0,GWL-K265)</f>
        <v>0.989997051480811</v>
      </c>
      <c r="O265" s="27" t="n">
        <f aca="false">MAX(0,NG-MAX(K265,GWL))</f>
        <v>0.8</v>
      </c>
      <c r="P265" s="27" t="n">
        <f aca="false">E265/2+WS+SLOPE_A*O265+SLOPE_B*N265</f>
        <v>4.77999115444243</v>
      </c>
      <c r="Q265" s="28" t="str">
        <f aca="false">IF(AND(P265&lt;J265,N265&lt;=MAXOC),"Open cut","Shoring")</f>
        <v>Open cut</v>
      </c>
      <c r="R265" s="27" t="n">
        <f aca="false">IF(Q265="Shoring",D265,0)</f>
        <v>0</v>
      </c>
      <c r="S265" s="27" t="n">
        <f aca="false">MAX(0,GWL-L265)</f>
        <v>0.989997051480811</v>
      </c>
      <c r="T265" s="27" t="n">
        <f aca="false">MAX(0,NG-MAX(L265,GWL))</f>
        <v>0.8</v>
      </c>
      <c r="U265" s="27" t="n">
        <f aca="false">E265+2*WS</f>
        <v>3.19999410296162</v>
      </c>
      <c r="V265" s="27" t="n">
        <f aca="false">IF(Q265="Shoring",D265*M265*U265,0)</f>
        <v>0</v>
      </c>
      <c r="W265" s="27" t="n">
        <f aca="false">IF(Q265="Open cut",D265*(U265*M265+SLOPE_B*S265^2+2*SLOPE_B*S265*T265+SLOPE_A*T265^2),0)</f>
        <v>118.161588976771</v>
      </c>
      <c r="X265" s="27" t="n">
        <f aca="false">IF(M265&gt;0,D265*(E265+2*SLABOVH)*SLAB,0)</f>
        <v>10.999970514808</v>
      </c>
      <c r="Y265" s="27" t="n">
        <f aca="false">IF(M265&gt;0,D265*PI()*E265^2/4,0)</f>
        <v>11.3096223966415</v>
      </c>
      <c r="Z265" s="27" t="n">
        <f aca="false">IF(H265-E265&gt;=GWL,99,E265*(MAX(0,GWL-H265)*(GAM_S-GAM_W)+MAX(0,NG-MAX(H265,GWL))*GAM_D)/(GAM_W*PI()*E265^2/4))</f>
        <v>0.175223052514214</v>
      </c>
      <c r="AA265" s="27" t="n">
        <f aca="false">IF(I265-E265&gt;=GWL,99,E265*(MAX(0,GWL-I265)*(GAM_S-GAM_W)+MAX(0,NG-MAX(I265,GWL))*GAM_D)/(GAM_W*PI()*E265^2/4))</f>
        <v>0.175223052514214</v>
      </c>
      <c r="AB265" s="27" t="n">
        <f aca="false">IF(H265-E265&gt;=GWL,99,E265*(MAX(0,GWL-H265)*(GAM_S-GAM_W)+MAX(0,FL-MAX(H265,GWL))*GAM_D)/(GAM_W*PI()*E265^2/4))</f>
        <v>3.4848833933713</v>
      </c>
      <c r="AC265" s="27" t="n">
        <f aca="false">IF(I265-E265&gt;=GWL,99,E265*(MAX(0,GWL-I265)*(GAM_S-GAM_W)+MAX(0,FL-MAX(I265,GWL))*GAM_D)/(GAM_W*PI()*E265^2/4))</f>
        <v>3.4848833933713</v>
      </c>
    </row>
    <row r="266" customFormat="false" ht="15" hidden="false" customHeight="false" outlineLevel="0" collapsed="false">
      <c r="A266" s="25" t="s">
        <v>719</v>
      </c>
      <c r="B266" s="25" t="s">
        <v>725</v>
      </c>
      <c r="C266" s="25" t="s">
        <v>740</v>
      </c>
      <c r="D266" s="26" t="n">
        <v>10.0000000001617</v>
      </c>
      <c r="E266" s="26" t="n">
        <v>1.19999410296162</v>
      </c>
      <c r="F266" s="26" t="n">
        <v>-2.48999705148081</v>
      </c>
      <c r="G266" s="26" t="n">
        <v>-2.48999705148081</v>
      </c>
      <c r="H266" s="26" t="n">
        <v>-0.790002948519189</v>
      </c>
      <c r="I266" s="26" t="n">
        <v>-0.790002948519189</v>
      </c>
      <c r="J266" s="26" t="n">
        <v>8.34</v>
      </c>
      <c r="K266" s="27" t="n">
        <f aca="false">MIN(F266,G266)</f>
        <v>-2.48999705148081</v>
      </c>
      <c r="L266" s="27" t="n">
        <f aca="false">AVERAGE(F266,G266)</f>
        <v>-2.48999705148081</v>
      </c>
      <c r="M266" s="27" t="n">
        <f aca="false">MAX(0,NG-L266)</f>
        <v>1.78999705148081</v>
      </c>
      <c r="N266" s="27" t="n">
        <f aca="false">MAX(0,GWL-K266)</f>
        <v>0.989997051480811</v>
      </c>
      <c r="O266" s="27" t="n">
        <f aca="false">MAX(0,NG-MAX(K266,GWL))</f>
        <v>0.8</v>
      </c>
      <c r="P266" s="27" t="n">
        <f aca="false">E266/2+WS+SLOPE_A*O266+SLOPE_B*N266</f>
        <v>4.77999115444243</v>
      </c>
      <c r="Q266" s="28" t="str">
        <f aca="false">IF(AND(P266&lt;J266,N266&lt;=MAXOC),"Open cut","Shoring")</f>
        <v>Open cut</v>
      </c>
      <c r="R266" s="27" t="n">
        <f aca="false">IF(Q266="Shoring",D266,0)</f>
        <v>0</v>
      </c>
      <c r="S266" s="27" t="n">
        <f aca="false">MAX(0,GWL-L266)</f>
        <v>0.989997051480811</v>
      </c>
      <c r="T266" s="27" t="n">
        <f aca="false">MAX(0,NG-MAX(L266,GWL))</f>
        <v>0.8</v>
      </c>
      <c r="U266" s="27" t="n">
        <f aca="false">E266+2*WS</f>
        <v>3.19999410296162</v>
      </c>
      <c r="V266" s="27" t="n">
        <f aca="false">IF(Q266="Shoring",D266*M266*U266,0)</f>
        <v>0</v>
      </c>
      <c r="W266" s="27" t="n">
        <f aca="false">IF(Q266="Open cut",D266*(U266*M266+SLOPE_B*S266^2+2*SLOPE_B*S266*T266+SLOPE_A*T266^2),0)</f>
        <v>118.161588978683</v>
      </c>
      <c r="X266" s="27" t="n">
        <f aca="false">IF(M266&gt;0,D266*(E266+2*SLABOVH)*SLAB,0)</f>
        <v>10.999970514986</v>
      </c>
      <c r="Y266" s="27" t="n">
        <f aca="false">IF(M266&gt;0,D266*PI()*E266^2/4,0)</f>
        <v>11.3096223968245</v>
      </c>
      <c r="Z266" s="27" t="n">
        <f aca="false">IF(H266-E266&gt;=GWL,99,E266*(MAX(0,GWL-H266)*(GAM_S-GAM_W)+MAX(0,NG-MAX(H266,GWL))*GAM_D)/(GAM_W*PI()*E266^2/4))</f>
        <v>0.175223052514214</v>
      </c>
      <c r="AA266" s="27" t="n">
        <f aca="false">IF(I266-E266&gt;=GWL,99,E266*(MAX(0,GWL-I266)*(GAM_S-GAM_W)+MAX(0,NG-MAX(I266,GWL))*GAM_D)/(GAM_W*PI()*E266^2/4))</f>
        <v>0.175223052514214</v>
      </c>
      <c r="AB266" s="27" t="n">
        <f aca="false">IF(H266-E266&gt;=GWL,99,E266*(MAX(0,GWL-H266)*(GAM_S-GAM_W)+MAX(0,FL-MAX(H266,GWL))*GAM_D)/(GAM_W*PI()*E266^2/4))</f>
        <v>3.4848833933713</v>
      </c>
      <c r="AC266" s="27" t="n">
        <f aca="false">IF(I266-E266&gt;=GWL,99,E266*(MAX(0,GWL-I266)*(GAM_S-GAM_W)+MAX(0,FL-MAX(I266,GWL))*GAM_D)/(GAM_W*PI()*E266^2/4))</f>
        <v>3.4848833933713</v>
      </c>
    </row>
    <row r="267" customFormat="false" ht="15" hidden="false" customHeight="false" outlineLevel="0" collapsed="false">
      <c r="A267" s="25" t="s">
        <v>719</v>
      </c>
      <c r="B267" s="25" t="s">
        <v>725</v>
      </c>
      <c r="C267" s="25" t="s">
        <v>741</v>
      </c>
      <c r="D267" s="26" t="n">
        <v>6.63343858932884</v>
      </c>
      <c r="E267" s="26" t="n">
        <v>1.19999410296162</v>
      </c>
      <c r="F267" s="26" t="n">
        <v>-2.48999705148081</v>
      </c>
      <c r="G267" s="26" t="n">
        <v>-2.48999705148081</v>
      </c>
      <c r="H267" s="26" t="n">
        <v>-0.790002948519189</v>
      </c>
      <c r="I267" s="26" t="n">
        <v>-0.790002948519189</v>
      </c>
      <c r="J267" s="26" t="n">
        <v>3.69</v>
      </c>
      <c r="K267" s="27" t="n">
        <f aca="false">MIN(F267,G267)</f>
        <v>-2.48999705148081</v>
      </c>
      <c r="L267" s="27" t="n">
        <f aca="false">AVERAGE(F267,G267)</f>
        <v>-2.48999705148081</v>
      </c>
      <c r="M267" s="27" t="n">
        <f aca="false">MAX(0,NG-L267)</f>
        <v>1.78999705148081</v>
      </c>
      <c r="N267" s="27" t="n">
        <f aca="false">MAX(0,GWL-K267)</f>
        <v>0.989997051480811</v>
      </c>
      <c r="O267" s="27" t="n">
        <f aca="false">MAX(0,NG-MAX(K267,GWL))</f>
        <v>0.8</v>
      </c>
      <c r="P267" s="27" t="n">
        <f aca="false">E267/2+WS+SLOPE_A*O267+SLOPE_B*N267</f>
        <v>4.77999115444243</v>
      </c>
      <c r="Q267" s="28" t="str">
        <f aca="false">IF(AND(P267&lt;J267,N267&lt;=MAXOC),"Open cut","Shoring")</f>
        <v>Shoring</v>
      </c>
      <c r="R267" s="27" t="n">
        <f aca="false">IF(Q267="Shoring",D267,0)</f>
        <v>6.63343858932884</v>
      </c>
      <c r="S267" s="27" t="n">
        <f aca="false">MAX(0,GWL-L267)</f>
        <v>0.989997051480811</v>
      </c>
      <c r="T267" s="27" t="n">
        <f aca="false">MAX(0,NG-MAX(L267,GWL))</f>
        <v>0.8</v>
      </c>
      <c r="U267" s="27" t="n">
        <f aca="false">E267+2*WS</f>
        <v>3.19999410296162</v>
      </c>
      <c r="V267" s="27" t="n">
        <f aca="false">IF(Q267="Shoring",D267*M267*U267,0)</f>
        <v>37.9962036309848</v>
      </c>
      <c r="W267" s="27" t="n">
        <f aca="false">IF(Q267="Open cut",D267*(U267*M267+SLOPE_B*S267^2+2*SLOPE_B*S267*T267+SLOPE_A*T267^2),0)</f>
        <v>0</v>
      </c>
      <c r="X267" s="27" t="n">
        <f aca="false">IF(M267&gt;0,D267*(E267+2*SLABOVH)*SLAB,0)</f>
        <v>7.29676288944075</v>
      </c>
      <c r="Y267" s="27" t="n">
        <f aca="false">IF(M267&gt;0,D267*PI()*E267^2/4,0)</f>
        <v>7.50216856366207</v>
      </c>
      <c r="Z267" s="27" t="n">
        <f aca="false">IF(H267-E267&gt;=GWL,99,E267*(MAX(0,GWL-H267)*(GAM_S-GAM_W)+MAX(0,NG-MAX(H267,GWL))*GAM_D)/(GAM_W*PI()*E267^2/4))</f>
        <v>0.175223052514214</v>
      </c>
      <c r="AA267" s="27" t="n">
        <f aca="false">IF(I267-E267&gt;=GWL,99,E267*(MAX(0,GWL-I267)*(GAM_S-GAM_W)+MAX(0,NG-MAX(I267,GWL))*GAM_D)/(GAM_W*PI()*E267^2/4))</f>
        <v>0.175223052514214</v>
      </c>
      <c r="AB267" s="27" t="n">
        <f aca="false">IF(H267-E267&gt;=GWL,99,E267*(MAX(0,GWL-H267)*(GAM_S-GAM_W)+MAX(0,FL-MAX(H267,GWL))*GAM_D)/(GAM_W*PI()*E267^2/4))</f>
        <v>3.4848833933713</v>
      </c>
      <c r="AC267" s="27" t="n">
        <f aca="false">IF(I267-E267&gt;=GWL,99,E267*(MAX(0,GWL-I267)*(GAM_S-GAM_W)+MAX(0,FL-MAX(I267,GWL))*GAM_D)/(GAM_W*PI()*E267^2/4))</f>
        <v>3.4848833933713</v>
      </c>
    </row>
    <row r="268" customFormat="false" ht="15" hidden="false" customHeight="false" outlineLevel="0" collapsed="false">
      <c r="A268" s="25" t="s">
        <v>719</v>
      </c>
      <c r="B268" s="25" t="s">
        <v>725</v>
      </c>
      <c r="C268" s="25" t="s">
        <v>742</v>
      </c>
      <c r="D268" s="26" t="n">
        <v>0.963266755253985</v>
      </c>
      <c r="E268" s="26" t="n">
        <v>1.19999410296162</v>
      </c>
      <c r="F268" s="26" t="n">
        <v>-2.48999705148081</v>
      </c>
      <c r="G268" s="26" t="n">
        <v>-2.48999705148081</v>
      </c>
      <c r="H268" s="26" t="n">
        <v>-0.790002948519189</v>
      </c>
      <c r="I268" s="26" t="n">
        <v>-0.790002948519189</v>
      </c>
      <c r="J268" s="26" t="n">
        <v>2.99</v>
      </c>
      <c r="K268" s="27" t="n">
        <f aca="false">MIN(F268,G268)</f>
        <v>-2.48999705148081</v>
      </c>
      <c r="L268" s="27" t="n">
        <f aca="false">AVERAGE(F268,G268)</f>
        <v>-2.48999705148081</v>
      </c>
      <c r="M268" s="27" t="n">
        <f aca="false">MAX(0,NG-L268)</f>
        <v>1.78999705148081</v>
      </c>
      <c r="N268" s="27" t="n">
        <f aca="false">MAX(0,GWL-K268)</f>
        <v>0.989997051480811</v>
      </c>
      <c r="O268" s="27" t="n">
        <f aca="false">MAX(0,NG-MAX(K268,GWL))</f>
        <v>0.8</v>
      </c>
      <c r="P268" s="27" t="n">
        <f aca="false">E268/2+WS+SLOPE_A*O268+SLOPE_B*N268</f>
        <v>4.77999115444243</v>
      </c>
      <c r="Q268" s="28" t="str">
        <f aca="false">IF(AND(P268&lt;J268,N268&lt;=MAXOC),"Open cut","Shoring")</f>
        <v>Shoring</v>
      </c>
      <c r="R268" s="27" t="n">
        <f aca="false">IF(Q268="Shoring",D268,0)</f>
        <v>0.963266755253985</v>
      </c>
      <c r="S268" s="27" t="n">
        <f aca="false">MAX(0,GWL-L268)</f>
        <v>0.989997051480811</v>
      </c>
      <c r="T268" s="27" t="n">
        <f aca="false">MAX(0,NG-MAX(L268,GWL))</f>
        <v>0.8</v>
      </c>
      <c r="U268" s="27" t="n">
        <f aca="false">E268+2*WS</f>
        <v>3.19999410296162</v>
      </c>
      <c r="V268" s="27" t="n">
        <f aca="false">IF(Q268="Shoring",D268*M268*U268,0)</f>
        <v>5.5175727174843</v>
      </c>
      <c r="W268" s="27" t="n">
        <f aca="false">IF(Q268="Open cut",D268*(U268*M268+SLOPE_B*S268^2+2*SLOPE_B*S268*T268+SLOPE_A*T268^2),0)</f>
        <v>0</v>
      </c>
      <c r="X268" s="27" t="n">
        <f aca="false">IF(M268&gt;0,D268*(E268+2*SLABOVH)*SLAB,0)</f>
        <v>1.05959059056887</v>
      </c>
      <c r="Y268" s="27" t="n">
        <f aca="false">IF(M268&gt;0,D268*PI()*E268^2/4,0)</f>
        <v>1.08941832691608</v>
      </c>
      <c r="Z268" s="27" t="n">
        <f aca="false">IF(H268-E268&gt;=GWL,99,E268*(MAX(0,GWL-H268)*(GAM_S-GAM_W)+MAX(0,NG-MAX(H268,GWL))*GAM_D)/(GAM_W*PI()*E268^2/4))</f>
        <v>0.175223052514214</v>
      </c>
      <c r="AA268" s="27" t="n">
        <f aca="false">IF(I268-E268&gt;=GWL,99,E268*(MAX(0,GWL-I268)*(GAM_S-GAM_W)+MAX(0,NG-MAX(I268,GWL))*GAM_D)/(GAM_W*PI()*E268^2/4))</f>
        <v>0.175223052514214</v>
      </c>
      <c r="AB268" s="27" t="n">
        <f aca="false">IF(H268-E268&gt;=GWL,99,E268*(MAX(0,GWL-H268)*(GAM_S-GAM_W)+MAX(0,FL-MAX(H268,GWL))*GAM_D)/(GAM_W*PI()*E268^2/4))</f>
        <v>3.4848833933713</v>
      </c>
      <c r="AC268" s="27" t="n">
        <f aca="false">IF(I268-E268&gt;=GWL,99,E268*(MAX(0,GWL-I268)*(GAM_S-GAM_W)+MAX(0,FL-MAX(I268,GWL))*GAM_D)/(GAM_W*PI()*E268^2/4))</f>
        <v>3.4848833933713</v>
      </c>
    </row>
    <row r="269" customFormat="false" ht="15" hidden="false" customHeight="false" outlineLevel="0" collapsed="false">
      <c r="A269" s="25" t="s">
        <v>719</v>
      </c>
      <c r="B269" s="25" t="s">
        <v>725</v>
      </c>
      <c r="C269" s="25" t="s">
        <v>743</v>
      </c>
      <c r="D269" s="26" t="n">
        <v>1.03493125369829</v>
      </c>
      <c r="E269" s="26" t="n">
        <v>1.20000283876879</v>
      </c>
      <c r="F269" s="26" t="n">
        <v>-2.4900014193844</v>
      </c>
      <c r="G269" s="26" t="n">
        <v>-2.4900014193844</v>
      </c>
      <c r="H269" s="26" t="n">
        <v>-0.789998580615604</v>
      </c>
      <c r="I269" s="26" t="n">
        <v>-0.789998580615604</v>
      </c>
      <c r="J269" s="26" t="n">
        <v>2.94</v>
      </c>
      <c r="K269" s="27" t="n">
        <f aca="false">MIN(F269,G269)</f>
        <v>-2.4900014193844</v>
      </c>
      <c r="L269" s="27" t="n">
        <f aca="false">AVERAGE(F269,G269)</f>
        <v>-2.4900014193844</v>
      </c>
      <c r="M269" s="27" t="n">
        <f aca="false">MAX(0,NG-L269)</f>
        <v>1.7900014193844</v>
      </c>
      <c r="N269" s="27" t="n">
        <f aca="false">MAX(0,GWL-K269)</f>
        <v>0.990001419384396</v>
      </c>
      <c r="O269" s="27" t="n">
        <f aca="false">MAX(0,NG-MAX(K269,GWL))</f>
        <v>0.8</v>
      </c>
      <c r="P269" s="27" t="n">
        <f aca="false">E269/2+WS+SLOPE_A*O269+SLOPE_B*N269</f>
        <v>4.78000425815319</v>
      </c>
      <c r="Q269" s="28" t="str">
        <f aca="false">IF(AND(P269&lt;J269,N269&lt;=MAXOC),"Open cut","Shoring")</f>
        <v>Shoring</v>
      </c>
      <c r="R269" s="27" t="n">
        <f aca="false">IF(Q269="Shoring",D269,0)</f>
        <v>1.03493125369829</v>
      </c>
      <c r="S269" s="27" t="n">
        <f aca="false">MAX(0,GWL-L269)</f>
        <v>0.990001419384396</v>
      </c>
      <c r="T269" s="27" t="n">
        <f aca="false">MAX(0,NG-MAX(L269,GWL))</f>
        <v>0.8</v>
      </c>
      <c r="U269" s="27" t="n">
        <f aca="false">E269+2*WS</f>
        <v>3.20000283876879</v>
      </c>
      <c r="V269" s="27" t="n">
        <f aca="false">IF(Q269="Shoring",D269*M269*U269,0)</f>
        <v>5.92809618077252</v>
      </c>
      <c r="W269" s="27" t="n">
        <f aca="false">IF(Q269="Open cut",D269*(U269*M269+SLOPE_B*S269^2+2*SLOPE_B*S269*T269+SLOPE_A*T269^2),0)</f>
        <v>0</v>
      </c>
      <c r="X269" s="27" t="n">
        <f aca="false">IF(M269&gt;0,D269*(E269+2*SLABOVH)*SLAB,0)</f>
        <v>1.13842584803339</v>
      </c>
      <c r="Y269" s="27" t="n">
        <f aca="false">IF(M269&gt;0,D269*PI()*E269^2/4,0)</f>
        <v>1.17048521036721</v>
      </c>
      <c r="Z269" s="27" t="n">
        <f aca="false">IF(H269-E269&gt;=GWL,99,E269*(MAX(0,GWL-H269)*(GAM_S-GAM_W)+MAX(0,NG-MAX(H269,GWL))*GAM_D)/(GAM_W*PI()*E269^2/4))</f>
        <v>0.17521327329096</v>
      </c>
      <c r="AA269" s="27" t="n">
        <f aca="false">IF(I269-E269&gt;=GWL,99,E269*(MAX(0,GWL-I269)*(GAM_S-GAM_W)+MAX(0,NG-MAX(I269,GWL))*GAM_D)/(GAM_W*PI()*E269^2/4))</f>
        <v>0.17521327329096</v>
      </c>
      <c r="AB269" s="27" t="n">
        <f aca="false">IF(H269-E269&gt;=GWL,99,E269*(MAX(0,GWL-H269)*(GAM_S-GAM_W)+MAX(0,FL-MAX(H269,GWL))*GAM_D)/(GAM_W*PI()*E269^2/4))</f>
        <v>3.48484952040959</v>
      </c>
      <c r="AC269" s="27" t="n">
        <f aca="false">IF(I269-E269&gt;=GWL,99,E269*(MAX(0,GWL-I269)*(GAM_S-GAM_W)+MAX(0,FL-MAX(I269,GWL))*GAM_D)/(GAM_W*PI()*E269^2/4))</f>
        <v>3.48484952040959</v>
      </c>
    </row>
    <row r="270" customFormat="false" ht="15" hidden="false" customHeight="false" outlineLevel="0" collapsed="false">
      <c r="A270" s="25" t="s">
        <v>719</v>
      </c>
      <c r="B270" s="25" t="s">
        <v>725</v>
      </c>
      <c r="C270" s="25" t="s">
        <v>744</v>
      </c>
      <c r="D270" s="26" t="n">
        <v>1.36836340192039</v>
      </c>
      <c r="E270" s="26" t="n">
        <v>1.20000283876879</v>
      </c>
      <c r="F270" s="26" t="n">
        <v>-2.4900014193844</v>
      </c>
      <c r="G270" s="26" t="n">
        <v>-2.49029624030391</v>
      </c>
      <c r="H270" s="26" t="n">
        <v>-0.789998580615604</v>
      </c>
      <c r="I270" s="26" t="n">
        <v>-0.79029340153512</v>
      </c>
      <c r="J270" s="26" t="n">
        <v>2.86</v>
      </c>
      <c r="K270" s="27" t="n">
        <f aca="false">MIN(F270,G270)</f>
        <v>-2.49029624030391</v>
      </c>
      <c r="L270" s="27" t="n">
        <f aca="false">AVERAGE(F270,G270)</f>
        <v>-2.49014882984415</v>
      </c>
      <c r="M270" s="27" t="n">
        <f aca="false">MAX(0,NG-L270)</f>
        <v>1.79014882984415</v>
      </c>
      <c r="N270" s="27" t="n">
        <f aca="false">MAX(0,GWL-K270)</f>
        <v>0.990296240303912</v>
      </c>
      <c r="O270" s="27" t="n">
        <f aca="false">MAX(0,NG-MAX(K270,GWL))</f>
        <v>0.8</v>
      </c>
      <c r="P270" s="27" t="n">
        <f aca="false">E270/2+WS+SLOPE_A*O270+SLOPE_B*N270</f>
        <v>4.78059389999222</v>
      </c>
      <c r="Q270" s="28" t="str">
        <f aca="false">IF(AND(P270&lt;J270,N270&lt;=MAXOC),"Open cut","Shoring")</f>
        <v>Shoring</v>
      </c>
      <c r="R270" s="27" t="n">
        <f aca="false">IF(Q270="Shoring",D270,0)</f>
        <v>1.36836340192039</v>
      </c>
      <c r="S270" s="27" t="n">
        <f aca="false">MAX(0,GWL-L270)</f>
        <v>0.990148829844154</v>
      </c>
      <c r="T270" s="27" t="n">
        <f aca="false">MAX(0,NG-MAX(L270,GWL))</f>
        <v>0.8</v>
      </c>
      <c r="U270" s="27" t="n">
        <f aca="false">E270+2*WS</f>
        <v>3.20000283876879</v>
      </c>
      <c r="V270" s="27" t="n">
        <f aca="false">IF(Q270="Shoring",D270*M270*U270,0)</f>
        <v>7.83864421057255</v>
      </c>
      <c r="W270" s="27" t="n">
        <f aca="false">IF(Q270="Open cut",D270*(U270*M270+SLOPE_B*S270^2+2*SLOPE_B*S270*T270+SLOPE_A*T270^2),0)</f>
        <v>0</v>
      </c>
      <c r="X270" s="27" t="n">
        <f aca="false">IF(M270&gt;0,D270*(E270+2*SLABOVH)*SLAB,0)</f>
        <v>1.50520168434609</v>
      </c>
      <c r="Y270" s="27" t="n">
        <f aca="false">IF(M270&gt;0,D270*PI()*E270^2/4,0)</f>
        <v>1.54758986998618</v>
      </c>
      <c r="Z270" s="27" t="n">
        <f aca="false">IF(H270-E270&gt;=GWL,99,E270*(MAX(0,GWL-H270)*(GAM_S-GAM_W)+MAX(0,NG-MAX(H270,GWL))*GAM_D)/(GAM_W*PI()*E270^2/4))</f>
        <v>0.17521327329096</v>
      </c>
      <c r="AA270" s="27" t="n">
        <f aca="false">IF(I270-E270&gt;=GWL,99,E270*(MAX(0,GWL-I270)*(GAM_S-GAM_W)+MAX(0,NG-MAX(I270,GWL))*GAM_D)/(GAM_W*PI()*E270^2/4))</f>
        <v>0.175787243880159</v>
      </c>
      <c r="AB270" s="27" t="n">
        <f aca="false">IF(H270-E270&gt;=GWL,99,E270*(MAX(0,GWL-H270)*(GAM_S-GAM_W)+MAX(0,FL-MAX(H270,GWL))*GAM_D)/(GAM_W*PI()*E270^2/4))</f>
        <v>3.48484952040959</v>
      </c>
      <c r="AC270" s="27" t="n">
        <f aca="false">IF(I270-E270&gt;=GWL,99,E270*(MAX(0,GWL-I270)*(GAM_S-GAM_W)+MAX(0,FL-MAX(I270,GWL))*GAM_D)/(GAM_W*PI()*E270^2/4))</f>
        <v>3.48542349099879</v>
      </c>
    </row>
    <row r="271" customFormat="false" ht="15" hidden="false" customHeight="false" outlineLevel="0" collapsed="false">
      <c r="A271" s="25" t="s">
        <v>719</v>
      </c>
      <c r="B271" s="25" t="s">
        <v>725</v>
      </c>
      <c r="C271" s="25" t="s">
        <v>745</v>
      </c>
      <c r="D271" s="26" t="n">
        <v>9.99999999991452</v>
      </c>
      <c r="E271" s="26" t="n">
        <v>1.20000283876879</v>
      </c>
      <c r="F271" s="26" t="n">
        <v>-2.49029624030391</v>
      </c>
      <c r="G271" s="26" t="n">
        <v>-2.49245079163938</v>
      </c>
      <c r="H271" s="26" t="n">
        <v>-0.79029340153512</v>
      </c>
      <c r="I271" s="26" t="n">
        <v>-0.792447952870592</v>
      </c>
      <c r="J271" s="26" t="n">
        <v>2.34</v>
      </c>
      <c r="K271" s="27" t="n">
        <f aca="false">MIN(F271,G271)</f>
        <v>-2.49245079163938</v>
      </c>
      <c r="L271" s="27" t="n">
        <f aca="false">AVERAGE(F271,G271)</f>
        <v>-2.49137351597165</v>
      </c>
      <c r="M271" s="27" t="n">
        <f aca="false">MAX(0,NG-L271)</f>
        <v>1.79137351597165</v>
      </c>
      <c r="N271" s="27" t="n">
        <f aca="false">MAX(0,GWL-K271)</f>
        <v>0.992450791639384</v>
      </c>
      <c r="O271" s="27" t="n">
        <f aca="false">MAX(0,NG-MAX(K271,GWL))</f>
        <v>0.8</v>
      </c>
      <c r="P271" s="27" t="n">
        <f aca="false">E271/2+WS+SLOPE_A*O271+SLOPE_B*N271</f>
        <v>4.78490300266316</v>
      </c>
      <c r="Q271" s="28" t="str">
        <f aca="false">IF(AND(P271&lt;J271,N271&lt;=MAXOC),"Open cut","Shoring")</f>
        <v>Shoring</v>
      </c>
      <c r="R271" s="27" t="n">
        <f aca="false">IF(Q271="Shoring",D271,0)</f>
        <v>9.99999999991452</v>
      </c>
      <c r="S271" s="27" t="n">
        <f aca="false">MAX(0,GWL-L271)</f>
        <v>0.991373515971648</v>
      </c>
      <c r="T271" s="27" t="n">
        <f aca="false">MAX(0,NG-MAX(L271,GWL))</f>
        <v>0.8</v>
      </c>
      <c r="U271" s="27" t="n">
        <f aca="false">E271+2*WS</f>
        <v>3.20000283876879</v>
      </c>
      <c r="V271" s="27" t="n">
        <f aca="false">IF(Q271="Shoring",D271*M271*U271,0)</f>
        <v>57.3240033635551</v>
      </c>
      <c r="W271" s="27" t="n">
        <f aca="false">IF(Q271="Open cut",D271*(U271*M271+SLOPE_B*S271^2+2*SLOPE_B*S271*T271+SLOPE_A*T271^2),0)</f>
        <v>0</v>
      </c>
      <c r="X271" s="27" t="n">
        <f aca="false">IF(M271&gt;0,D271*(E271+2*SLABOVH)*SLAB,0)</f>
        <v>11.0000141937499</v>
      </c>
      <c r="Y271" s="27" t="n">
        <f aca="false">IF(M271&gt;0,D271*PI()*E271^2/4,0)</f>
        <v>11.309787062421</v>
      </c>
      <c r="Z271" s="27" t="n">
        <f aca="false">IF(H271-E271&gt;=GWL,99,E271*(MAX(0,GWL-H271)*(GAM_S-GAM_W)+MAX(0,NG-MAX(H271,GWL))*GAM_D)/(GAM_W*PI()*E271^2/4))</f>
        <v>0.175787243880159</v>
      </c>
      <c r="AA271" s="27" t="n">
        <f aca="false">IF(I271-E271&gt;=GWL,99,E271*(MAX(0,GWL-I271)*(GAM_S-GAM_W)+MAX(0,NG-MAX(I271,GWL))*GAM_D)/(GAM_W*PI()*E271^2/4))</f>
        <v>0.179981821054369</v>
      </c>
      <c r="AB271" s="27" t="n">
        <f aca="false">IF(H271-E271&gt;=GWL,99,E271*(MAX(0,GWL-H271)*(GAM_S-GAM_W)+MAX(0,FL-MAX(H271,GWL))*GAM_D)/(GAM_W*PI()*E271^2/4))</f>
        <v>3.48542349099879</v>
      </c>
      <c r="AC271" s="27" t="n">
        <f aca="false">IF(I271-E271&gt;=GWL,99,E271*(MAX(0,GWL-I271)*(GAM_S-GAM_W)+MAX(0,FL-MAX(I271,GWL))*GAM_D)/(GAM_W*PI()*E271^2/4))</f>
        <v>3.489618068173</v>
      </c>
    </row>
    <row r="272" customFormat="false" ht="15" hidden="false" customHeight="false" outlineLevel="0" collapsed="false">
      <c r="A272" s="25" t="s">
        <v>719</v>
      </c>
      <c r="B272" s="25" t="s">
        <v>725</v>
      </c>
      <c r="C272" s="25" t="s">
        <v>746</v>
      </c>
      <c r="D272" s="26" t="n">
        <v>10.0000000002678</v>
      </c>
      <c r="E272" s="26" t="n">
        <v>1.20000283876879</v>
      </c>
      <c r="F272" s="26" t="n">
        <v>-2.49245079163938</v>
      </c>
      <c r="G272" s="26" t="n">
        <v>-2.49460534297486</v>
      </c>
      <c r="H272" s="26" t="n">
        <v>-0.792447952870592</v>
      </c>
      <c r="I272" s="26" t="n">
        <v>-0.794602504206064</v>
      </c>
      <c r="J272" s="26" t="n">
        <v>1.91</v>
      </c>
      <c r="K272" s="27" t="n">
        <f aca="false">MIN(F272,G272)</f>
        <v>-2.49460534297486</v>
      </c>
      <c r="L272" s="27" t="n">
        <f aca="false">AVERAGE(F272,G272)</f>
        <v>-2.49352806730712</v>
      </c>
      <c r="M272" s="27" t="n">
        <f aca="false">MAX(0,NG-L272)</f>
        <v>1.79352806730712</v>
      </c>
      <c r="N272" s="27" t="n">
        <f aca="false">MAX(0,GWL-K272)</f>
        <v>0.994605342974856</v>
      </c>
      <c r="O272" s="27" t="n">
        <f aca="false">MAX(0,NG-MAX(K272,GWL))</f>
        <v>0.8</v>
      </c>
      <c r="P272" s="27" t="n">
        <f aca="false">E272/2+WS+SLOPE_A*O272+SLOPE_B*N272</f>
        <v>4.78921210533411</v>
      </c>
      <c r="Q272" s="28" t="str">
        <f aca="false">IF(AND(P272&lt;J272,N272&lt;=MAXOC),"Open cut","Shoring")</f>
        <v>Shoring</v>
      </c>
      <c r="R272" s="27" t="n">
        <f aca="false">IF(Q272="Shoring",D272,0)</f>
        <v>10.0000000002678</v>
      </c>
      <c r="S272" s="27" t="n">
        <f aca="false">MAX(0,GWL-L272)</f>
        <v>0.99352806730712</v>
      </c>
      <c r="T272" s="27" t="n">
        <f aca="false">MAX(0,NG-MAX(L272,GWL))</f>
        <v>0.8</v>
      </c>
      <c r="U272" s="27" t="n">
        <f aca="false">E272+2*WS</f>
        <v>3.20000283876879</v>
      </c>
      <c r="V272" s="27" t="n">
        <f aca="false">IF(Q272="Shoring",D272*M272*U272,0)</f>
        <v>57.39294906948</v>
      </c>
      <c r="W272" s="27" t="n">
        <f aca="false">IF(Q272="Open cut",D272*(U272*M272+SLOPE_B*S272^2+2*SLOPE_B*S272*T272+SLOPE_A*T272^2),0)</f>
        <v>0</v>
      </c>
      <c r="X272" s="27" t="n">
        <f aca="false">IF(M272&gt;0,D272*(E272+2*SLABOVH)*SLAB,0)</f>
        <v>11.0000141941386</v>
      </c>
      <c r="Y272" s="27" t="n">
        <f aca="false">IF(M272&gt;0,D272*PI()*E272^2/4,0)</f>
        <v>11.3097870628205</v>
      </c>
      <c r="Z272" s="27" t="n">
        <f aca="false">IF(H272-E272&gt;=GWL,99,E272*(MAX(0,GWL-H272)*(GAM_S-GAM_W)+MAX(0,NG-MAX(H272,GWL))*GAM_D)/(GAM_W*PI()*E272^2/4))</f>
        <v>0.179981821054369</v>
      </c>
      <c r="AA272" s="27" t="n">
        <f aca="false">IF(I272-E272&gt;=GWL,99,E272*(MAX(0,GWL-I272)*(GAM_S-GAM_W)+MAX(0,NG-MAX(I272,GWL))*GAM_D)/(GAM_W*PI()*E272^2/4))</f>
        <v>0.184176398228578</v>
      </c>
      <c r="AB272" s="27" t="n">
        <f aca="false">IF(H272-E272&gt;=GWL,99,E272*(MAX(0,GWL-H272)*(GAM_S-GAM_W)+MAX(0,FL-MAX(H272,GWL))*GAM_D)/(GAM_W*PI()*E272^2/4))</f>
        <v>3.489618068173</v>
      </c>
      <c r="AC272" s="27" t="n">
        <f aca="false">IF(I272-E272&gt;=GWL,99,E272*(MAX(0,GWL-I272)*(GAM_S-GAM_W)+MAX(0,FL-MAX(I272,GWL))*GAM_D)/(GAM_W*PI()*E272^2/4))</f>
        <v>3.49381264534721</v>
      </c>
    </row>
    <row r="273" customFormat="false" ht="15" hidden="false" customHeight="false" outlineLevel="0" collapsed="false">
      <c r="A273" s="25" t="s">
        <v>719</v>
      </c>
      <c r="B273" s="25" t="s">
        <v>725</v>
      </c>
      <c r="C273" s="25" t="s">
        <v>747</v>
      </c>
      <c r="D273" s="26" t="n">
        <v>9.99999999991452</v>
      </c>
      <c r="E273" s="26" t="n">
        <v>1.20000283876879</v>
      </c>
      <c r="F273" s="26" t="n">
        <v>-2.49460534297486</v>
      </c>
      <c r="G273" s="26" t="n">
        <v>-2.49675989431033</v>
      </c>
      <c r="H273" s="26" t="n">
        <v>-0.794602504206064</v>
      </c>
      <c r="I273" s="26" t="n">
        <v>-0.796757055541536</v>
      </c>
      <c r="J273" s="26" t="n">
        <v>2.55</v>
      </c>
      <c r="K273" s="27" t="n">
        <f aca="false">MIN(F273,G273)</f>
        <v>-2.49675989431033</v>
      </c>
      <c r="L273" s="27" t="n">
        <f aca="false">AVERAGE(F273,G273)</f>
        <v>-2.49568261864259</v>
      </c>
      <c r="M273" s="27" t="n">
        <f aca="false">MAX(0,NG-L273)</f>
        <v>1.79568261864259</v>
      </c>
      <c r="N273" s="27" t="n">
        <f aca="false">MAX(0,GWL-K273)</f>
        <v>0.996759894310328</v>
      </c>
      <c r="O273" s="27" t="n">
        <f aca="false">MAX(0,NG-MAX(K273,GWL))</f>
        <v>0.8</v>
      </c>
      <c r="P273" s="27" t="n">
        <f aca="false">E273/2+WS+SLOPE_A*O273+SLOPE_B*N273</f>
        <v>4.79352120800505</v>
      </c>
      <c r="Q273" s="28" t="str">
        <f aca="false">IF(AND(P273&lt;J273,N273&lt;=MAXOC),"Open cut","Shoring")</f>
        <v>Shoring</v>
      </c>
      <c r="R273" s="27" t="n">
        <f aca="false">IF(Q273="Shoring",D273,0)</f>
        <v>9.99999999991452</v>
      </c>
      <c r="S273" s="27" t="n">
        <f aca="false">MAX(0,GWL-L273)</f>
        <v>0.995682618642592</v>
      </c>
      <c r="T273" s="27" t="n">
        <f aca="false">MAX(0,NG-MAX(L273,GWL))</f>
        <v>0.8</v>
      </c>
      <c r="U273" s="27" t="n">
        <f aca="false">E273+2*WS</f>
        <v>3.20000283876879</v>
      </c>
      <c r="V273" s="27" t="n">
        <f aca="false">IF(Q273="Shoring",D273*M273*U273,0)</f>
        <v>57.4618947713496</v>
      </c>
      <c r="W273" s="27" t="n">
        <f aca="false">IF(Q273="Open cut",D273*(U273*M273+SLOPE_B*S273^2+2*SLOPE_B*S273*T273+SLOPE_A*T273^2),0)</f>
        <v>0</v>
      </c>
      <c r="X273" s="27" t="n">
        <f aca="false">IF(M273&gt;0,D273*(E273+2*SLABOVH)*SLAB,0)</f>
        <v>11.0000141937499</v>
      </c>
      <c r="Y273" s="27" t="n">
        <f aca="false">IF(M273&gt;0,D273*PI()*E273^2/4,0)</f>
        <v>11.309787062421</v>
      </c>
      <c r="Z273" s="27" t="n">
        <f aca="false">IF(H273-E273&gt;=GWL,99,E273*(MAX(0,GWL-H273)*(GAM_S-GAM_W)+MAX(0,NG-MAX(H273,GWL))*GAM_D)/(GAM_W*PI()*E273^2/4))</f>
        <v>0.184176398228578</v>
      </c>
      <c r="AA273" s="27" t="n">
        <f aca="false">IF(I273-E273&gt;=GWL,99,E273*(MAX(0,GWL-I273)*(GAM_S-GAM_W)+MAX(0,NG-MAX(I273,GWL))*GAM_D)/(GAM_W*PI()*E273^2/4))</f>
        <v>0.188370975402788</v>
      </c>
      <c r="AB273" s="27" t="n">
        <f aca="false">IF(H273-E273&gt;=GWL,99,E273*(MAX(0,GWL-H273)*(GAM_S-GAM_W)+MAX(0,FL-MAX(H273,GWL))*GAM_D)/(GAM_W*PI()*E273^2/4))</f>
        <v>3.49381264534721</v>
      </c>
      <c r="AC273" s="27" t="n">
        <f aca="false">IF(I273-E273&gt;=GWL,99,E273*(MAX(0,GWL-I273)*(GAM_S-GAM_W)+MAX(0,FL-MAX(I273,GWL))*GAM_D)/(GAM_W*PI()*E273^2/4))</f>
        <v>3.49800722252142</v>
      </c>
    </row>
    <row r="274" customFormat="false" ht="15" hidden="false" customHeight="false" outlineLevel="0" collapsed="false">
      <c r="A274" s="25" t="s">
        <v>719</v>
      </c>
      <c r="B274" s="25" t="s">
        <v>725</v>
      </c>
      <c r="C274" s="25" t="s">
        <v>748</v>
      </c>
      <c r="D274" s="26" t="n">
        <v>1.35306627074392</v>
      </c>
      <c r="E274" s="26" t="n">
        <v>1.20000283876879</v>
      </c>
      <c r="F274" s="26" t="n">
        <v>-2.49675989431033</v>
      </c>
      <c r="G274" s="26" t="n">
        <v>-2.4970514193844</v>
      </c>
      <c r="H274" s="26" t="n">
        <v>-0.796757055541536</v>
      </c>
      <c r="I274" s="26" t="n">
        <v>-0.797048580615604</v>
      </c>
      <c r="J274" s="26" t="n">
        <v>11.84</v>
      </c>
      <c r="K274" s="27" t="n">
        <f aca="false">MIN(F274,G274)</f>
        <v>-2.4970514193844</v>
      </c>
      <c r="L274" s="27" t="n">
        <f aca="false">AVERAGE(F274,G274)</f>
        <v>-2.49690565684736</v>
      </c>
      <c r="M274" s="27" t="n">
        <f aca="false">MAX(0,NG-L274)</f>
        <v>1.79690565684736</v>
      </c>
      <c r="N274" s="27" t="n">
        <f aca="false">MAX(0,GWL-K274)</f>
        <v>0.997051419384396</v>
      </c>
      <c r="O274" s="27" t="n">
        <f aca="false">MAX(0,NG-MAX(K274,GWL))</f>
        <v>0.8</v>
      </c>
      <c r="P274" s="27" t="n">
        <f aca="false">E274/2+WS+SLOPE_A*O274+SLOPE_B*N274</f>
        <v>4.79410425815319</v>
      </c>
      <c r="Q274" s="28" t="str">
        <f aca="false">IF(AND(P274&lt;J274,N274&lt;=MAXOC),"Open cut","Shoring")</f>
        <v>Open cut</v>
      </c>
      <c r="R274" s="27" t="n">
        <f aca="false">IF(Q274="Shoring",D274,0)</f>
        <v>0</v>
      </c>
      <c r="S274" s="27" t="n">
        <f aca="false">MAX(0,GWL-L274)</f>
        <v>0.996905656847362</v>
      </c>
      <c r="T274" s="27" t="n">
        <f aca="false">MAX(0,NG-MAX(L274,GWL))</f>
        <v>0.8</v>
      </c>
      <c r="U274" s="27" t="n">
        <f aca="false">E274+2*WS</f>
        <v>3.20000283876879</v>
      </c>
      <c r="V274" s="27" t="n">
        <f aca="false">IF(Q274="Shoring",D274*M274*U274,0)</f>
        <v>0</v>
      </c>
      <c r="W274" s="27" t="n">
        <f aca="false">IF(Q274="Open cut",D274*(U274*M274+SLOPE_B*S274^2+2*SLOPE_B*S274*T274+SLOPE_A*T274^2),0)</f>
        <v>16.0850395063284</v>
      </c>
      <c r="X274" s="27" t="n">
        <f aca="false">IF(M274&gt;0,D274*(E274+2*SLABOVH)*SLAB,0)</f>
        <v>1.48837481833946</v>
      </c>
      <c r="Y274" s="27" t="n">
        <f aca="false">IF(M274&gt;0,D274*PI()*E274^2/4,0)</f>
        <v>1.53028914035885</v>
      </c>
      <c r="Z274" s="27" t="n">
        <f aca="false">IF(H274-E274&gt;=GWL,99,E274*(MAX(0,GWL-H274)*(GAM_S-GAM_W)+MAX(0,NG-MAX(H274,GWL))*GAM_D)/(GAM_W*PI()*E274^2/4))</f>
        <v>0.188370975402788</v>
      </c>
      <c r="AA274" s="27" t="n">
        <f aca="false">IF(I274-E274&gt;=GWL,99,E274*(MAX(0,GWL-I274)*(GAM_S-GAM_W)+MAX(0,NG-MAX(I274,GWL))*GAM_D)/(GAM_W*PI()*E274^2/4))</f>
        <v>0.188938529492246</v>
      </c>
      <c r="AB274" s="27" t="n">
        <f aca="false">IF(H274-E274&gt;=GWL,99,E274*(MAX(0,GWL-H274)*(GAM_S-GAM_W)+MAX(0,FL-MAX(H274,GWL))*GAM_D)/(GAM_W*PI()*E274^2/4))</f>
        <v>3.49800722252142</v>
      </c>
      <c r="AC274" s="27" t="n">
        <f aca="false">IF(I274-E274&gt;=GWL,99,E274*(MAX(0,GWL-I274)*(GAM_S-GAM_W)+MAX(0,FL-MAX(I274,GWL))*GAM_D)/(GAM_W*PI()*E274^2/4))</f>
        <v>3.49857477661088</v>
      </c>
    </row>
    <row r="275" customFormat="false" ht="15" hidden="false" customHeight="false" outlineLevel="0" collapsed="false">
      <c r="A275" s="25" t="s">
        <v>719</v>
      </c>
      <c r="B275" s="25" t="s">
        <v>725</v>
      </c>
      <c r="C275" s="25" t="s">
        <v>749</v>
      </c>
      <c r="D275" s="26" t="n">
        <v>0.210001050224814</v>
      </c>
      <c r="E275" s="26" t="n">
        <v>1.19998761133174</v>
      </c>
      <c r="F275" s="26" t="n">
        <v>-2.49704380566587</v>
      </c>
      <c r="G275" s="26" t="n">
        <v>-2.49708380566587</v>
      </c>
      <c r="H275" s="26" t="n">
        <v>-0.79705619433413</v>
      </c>
      <c r="I275" s="26" t="n">
        <v>-0.797096194334131</v>
      </c>
      <c r="J275" s="26" t="n">
        <v>13.18</v>
      </c>
      <c r="K275" s="27" t="n">
        <f aca="false">MIN(F275,G275)</f>
        <v>-2.49708380566587</v>
      </c>
      <c r="L275" s="27" t="n">
        <f aca="false">AVERAGE(F275,G275)</f>
        <v>-2.49706380566587</v>
      </c>
      <c r="M275" s="27" t="n">
        <f aca="false">MAX(0,NG-L275)</f>
        <v>1.79706380566587</v>
      </c>
      <c r="N275" s="27" t="n">
        <f aca="false">MAX(0,GWL-K275)</f>
        <v>0.99708380566587</v>
      </c>
      <c r="O275" s="27" t="n">
        <f aca="false">MAX(0,NG-MAX(K275,GWL))</f>
        <v>0.8</v>
      </c>
      <c r="P275" s="27" t="n">
        <f aca="false">E275/2+WS+SLOPE_A*O275+SLOPE_B*N275</f>
        <v>4.79416141699761</v>
      </c>
      <c r="Q275" s="28" t="str">
        <f aca="false">IF(AND(P275&lt;J275,N275&lt;=MAXOC),"Open cut","Shoring")</f>
        <v>Open cut</v>
      </c>
      <c r="R275" s="27" t="n">
        <f aca="false">IF(Q275="Shoring",D275,0)</f>
        <v>0</v>
      </c>
      <c r="S275" s="27" t="n">
        <f aca="false">MAX(0,GWL-L275)</f>
        <v>0.997063805665869</v>
      </c>
      <c r="T275" s="27" t="n">
        <f aca="false">MAX(0,NG-MAX(L275,GWL))</f>
        <v>0.8</v>
      </c>
      <c r="U275" s="27" t="n">
        <f aca="false">E275+2*WS</f>
        <v>3.19998761133174</v>
      </c>
      <c r="V275" s="27" t="n">
        <f aca="false">IF(Q275="Shoring",D275*M275*U275,0)</f>
        <v>0</v>
      </c>
      <c r="W275" s="27" t="n">
        <f aca="false">IF(Q275="Open cut",D275*(U275*M275+SLOPE_B*S275^2+2*SLOPE_B*S275*T275+SLOPE_A*T275^2),0)</f>
        <v>2.49679878382054</v>
      </c>
      <c r="X275" s="27" t="n">
        <f aca="false">IF(M275&gt;0,D275*(E275+2*SLABOVH)*SLAB,0)</f>
        <v>0.230999854430623</v>
      </c>
      <c r="Y275" s="27" t="n">
        <f aca="false">IF(M275&gt;0,D275*PI()*E275^2/4,0)</f>
        <v>0.237500688449661</v>
      </c>
      <c r="Z275" s="27" t="n">
        <f aca="false">IF(H275-E275&gt;=GWL,99,E275*(MAX(0,GWL-H275)*(GAM_S-GAM_W)+MAX(0,NG-MAX(H275,GWL))*GAM_D)/(GAM_W*PI()*E275^2/4))</f>
        <v>0.18895574997511</v>
      </c>
      <c r="AA275" s="27" t="n">
        <f aca="false">IF(I275-E275&gt;=GWL,99,E275*(MAX(0,GWL-I275)*(GAM_S-GAM_W)+MAX(0,NG-MAX(I275,GWL))*GAM_D)/(GAM_W*PI()*E275^2/4))</f>
        <v>0.189033624757352</v>
      </c>
      <c r="AB275" s="27" t="n">
        <f aca="false">IF(H275-E275&gt;=GWL,99,E275*(MAX(0,GWL-H275)*(GAM_S-GAM_W)+MAX(0,FL-MAX(H275,GWL))*GAM_D)/(GAM_W*PI()*E275^2/4))</f>
        <v>3.49863399525868</v>
      </c>
      <c r="AC275" s="27" t="n">
        <f aca="false">IF(I275-E275&gt;=GWL,99,E275*(MAX(0,GWL-I275)*(GAM_S-GAM_W)+MAX(0,FL-MAX(I275,GWL))*GAM_D)/(GAM_W*PI()*E275^2/4))</f>
        <v>3.49871187004092</v>
      </c>
    </row>
    <row r="276" customFormat="false" ht="15" hidden="false" customHeight="false" outlineLevel="0" collapsed="false">
      <c r="A276" s="25" t="s">
        <v>719</v>
      </c>
      <c r="B276" s="25" t="s">
        <v>725</v>
      </c>
      <c r="C276" s="25" t="s">
        <v>750</v>
      </c>
      <c r="D276" s="26" t="n">
        <v>0.200000000064826</v>
      </c>
      <c r="E276" s="26" t="n">
        <v>1.39998992508008</v>
      </c>
      <c r="F276" s="26" t="n">
        <v>-2.59708496254004</v>
      </c>
      <c r="G276" s="26" t="n">
        <v>-2.59713496254004</v>
      </c>
      <c r="H276" s="26" t="n">
        <v>-0.697095037459961</v>
      </c>
      <c r="I276" s="26" t="n">
        <v>-0.697145037459961</v>
      </c>
      <c r="J276" s="26" t="n">
        <v>13.39</v>
      </c>
      <c r="K276" s="27" t="n">
        <f aca="false">MIN(F276,G276)</f>
        <v>-2.59713496254004</v>
      </c>
      <c r="L276" s="27" t="n">
        <f aca="false">AVERAGE(F276,G276)</f>
        <v>-2.59710996254004</v>
      </c>
      <c r="M276" s="27" t="n">
        <f aca="false">MAX(0,NG-L276)</f>
        <v>1.89710996254004</v>
      </c>
      <c r="N276" s="27" t="n">
        <f aca="false">MAX(0,GWL-K276)</f>
        <v>1.09713496254004</v>
      </c>
      <c r="O276" s="27" t="n">
        <f aca="false">MAX(0,NG-MAX(K276,GWL))</f>
        <v>0.8</v>
      </c>
      <c r="P276" s="27" t="n">
        <f aca="false">E276/2+WS+SLOPE_A*O276+SLOPE_B*N276</f>
        <v>5.09426488762012</v>
      </c>
      <c r="Q276" s="28" t="str">
        <f aca="false">IF(AND(P276&lt;J276,N276&lt;=MAXOC),"Open cut","Shoring")</f>
        <v>Open cut</v>
      </c>
      <c r="R276" s="27" t="n">
        <f aca="false">IF(Q276="Shoring",D276,0)</f>
        <v>0</v>
      </c>
      <c r="S276" s="27" t="n">
        <f aca="false">MAX(0,GWL-L276)</f>
        <v>1.09710996254004</v>
      </c>
      <c r="T276" s="27" t="n">
        <f aca="false">MAX(0,NG-MAX(L276,GWL))</f>
        <v>0.8</v>
      </c>
      <c r="U276" s="27" t="n">
        <f aca="false">E276+2*WS</f>
        <v>3.39998992508008</v>
      </c>
      <c r="V276" s="27" t="n">
        <f aca="false">IF(Q276="Shoring",D276*M276*U276,0)</f>
        <v>0</v>
      </c>
      <c r="W276" s="27" t="n">
        <f aca="false">IF(Q276="Open cut",D276*(U276*M276+SLOPE_B*S276^2+2*SLOPE_B*S276*T276+SLOPE_A*T276^2),0)</f>
        <v>2.66564143673252</v>
      </c>
      <c r="X276" s="27" t="n">
        <f aca="false">IF(M276&gt;0,D276*(E276+2*SLABOVH)*SLAB,0)</f>
        <v>0.239998992585799</v>
      </c>
      <c r="Y276" s="27" t="n">
        <f aca="false">IF(M276&gt;0,D276*PI()*E276^2/4,0)</f>
        <v>0.307871648986317</v>
      </c>
      <c r="Z276" s="27" t="n">
        <f aca="false">IF(H276-E276&gt;=GWL,99,E276*(MAX(0,GWL-H276)*(GAM_S-GAM_W)+MAX(0,NG-MAX(H276,GWL))*GAM_D)/(GAM_W*PI()*E276^2/4))</f>
        <v>0</v>
      </c>
      <c r="AA276" s="27" t="n">
        <f aca="false">IF(I276-E276&gt;=GWL,99,E276*(MAX(0,GWL-I276)*(GAM_S-GAM_W)+MAX(0,NG-MAX(I276,GWL))*GAM_D)/(GAM_W*PI()*E276^2/4))</f>
        <v>0</v>
      </c>
      <c r="AB276" s="27" t="n">
        <f aca="false">IF(H276-E276&gt;=GWL,99,E276*(MAX(0,GWL-H276)*(GAM_S-GAM_W)+MAX(0,FL-MAX(H276,GWL))*GAM_D)/(GAM_W*PI()*E276^2/4))</f>
        <v>2.83201056744463</v>
      </c>
      <c r="AC276" s="27" t="n">
        <f aca="false">IF(I276-E276&gt;=GWL,99,E276*(MAX(0,GWL-I276)*(GAM_S-GAM_W)+MAX(0,FL-MAX(I276,GWL))*GAM_D)/(GAM_W*PI()*E276^2/4))</f>
        <v>2.83209400445036</v>
      </c>
    </row>
    <row r="277" customFormat="false" ht="15" hidden="false" customHeight="false" outlineLevel="0" collapsed="false">
      <c r="A277" s="25" t="s">
        <v>719</v>
      </c>
      <c r="B277" s="25" t="s">
        <v>725</v>
      </c>
      <c r="C277" s="25" t="s">
        <v>751</v>
      </c>
      <c r="D277" s="26" t="n">
        <v>8.23693267887032</v>
      </c>
      <c r="E277" s="26" t="n">
        <v>1.60000136251536</v>
      </c>
      <c r="F277" s="26" t="n">
        <v>-2.69714068125768</v>
      </c>
      <c r="G277" s="26" t="n">
        <v>-2.69891005295989</v>
      </c>
      <c r="H277" s="26" t="n">
        <v>-0.597139318742323</v>
      </c>
      <c r="I277" s="26" t="n">
        <v>-0.598908690444533</v>
      </c>
      <c r="J277" s="26" t="n">
        <v>13.58</v>
      </c>
      <c r="K277" s="27" t="n">
        <f aca="false">MIN(F277,G277)</f>
        <v>-2.69891005295989</v>
      </c>
      <c r="L277" s="27" t="n">
        <f aca="false">AVERAGE(F277,G277)</f>
        <v>-2.69802536710878</v>
      </c>
      <c r="M277" s="27" t="n">
        <f aca="false">MAX(0,NG-L277)</f>
        <v>1.99802536710878</v>
      </c>
      <c r="N277" s="27" t="n">
        <f aca="false">MAX(0,GWL-K277)</f>
        <v>1.19891005295989</v>
      </c>
      <c r="O277" s="27" t="n">
        <f aca="false">MAX(0,NG-MAX(K277,GWL))</f>
        <v>0.8</v>
      </c>
      <c r="P277" s="27" t="n">
        <f aca="false">E277/2+WS+SLOPE_A*O277+SLOPE_B*N277</f>
        <v>5.39782078717746</v>
      </c>
      <c r="Q277" s="28" t="str">
        <f aca="false">IF(AND(P277&lt;J277,N277&lt;=MAXOC),"Open cut","Shoring")</f>
        <v>Open cut</v>
      </c>
      <c r="R277" s="27" t="n">
        <f aca="false">IF(Q277="Shoring",D277,0)</f>
        <v>0</v>
      </c>
      <c r="S277" s="27" t="n">
        <f aca="false">MAX(0,GWL-L277)</f>
        <v>1.19802536710878</v>
      </c>
      <c r="T277" s="27" t="n">
        <f aca="false">MAX(0,NG-MAX(L277,GWL))</f>
        <v>0.8</v>
      </c>
      <c r="U277" s="27" t="n">
        <f aca="false">E277+2*WS</f>
        <v>3.60000136251536</v>
      </c>
      <c r="V277" s="27" t="n">
        <f aca="false">IF(Q277="Shoring",D277*M277*U277,0)</f>
        <v>0</v>
      </c>
      <c r="W277" s="27" t="n">
        <f aca="false">IF(Q277="Open cut",D277*(U277*M277+SLOPE_B*S277^2+2*SLOPE_B*S277*T277+SLOPE_A*T277^2),0)</f>
        <v>122.376971868799</v>
      </c>
      <c r="X277" s="27" t="n">
        <f aca="false">IF(M277&gt;0,D277*(E277+2*SLABOVH)*SLAB,0)</f>
        <v>10.708018094005</v>
      </c>
      <c r="Y277" s="27" t="n">
        <f aca="false">IF(M277&gt;0,D277*PI()*E277^2/4,0)</f>
        <v>16.5613640092686</v>
      </c>
      <c r="Z277" s="27" t="n">
        <f aca="false">IF(H277-E277&gt;=GWL,99,E277*(MAX(0,GWL-H277)*(GAM_S-GAM_W)+MAX(0,NG-MAX(H277,GWL))*GAM_D)/(GAM_W*PI()*E277^2/4))</f>
        <v>0</v>
      </c>
      <c r="AA277" s="27" t="n">
        <f aca="false">IF(I277-E277&gt;=GWL,99,E277*(MAX(0,GWL-I277)*(GAM_S-GAM_W)+MAX(0,NG-MAX(I277,GWL))*GAM_D)/(GAM_W*PI()*E277^2/4))</f>
        <v>0</v>
      </c>
      <c r="AB277" s="27" t="n">
        <f aca="false">IF(H277-E277&gt;=GWL,99,E277*(MAX(0,GWL-H277)*(GAM_S-GAM_W)+MAX(0,FL-MAX(H277,GWL))*GAM_D)/(GAM_W*PI()*E277^2/4))</f>
        <v>2.332040375423</v>
      </c>
      <c r="AC277" s="27" t="n">
        <f aca="false">IF(I277-E277&gt;=GWL,99,E277*(MAX(0,GWL-I277)*(GAM_S-GAM_W)+MAX(0,FL-MAX(I277,GWL))*GAM_D)/(GAM_W*PI()*E277^2/4))</f>
        <v>2.33462389847591</v>
      </c>
    </row>
    <row r="278" customFormat="false" ht="15" hidden="false" customHeight="false" outlineLevel="0" collapsed="false">
      <c r="A278" s="25" t="s">
        <v>719</v>
      </c>
      <c r="B278" s="25" t="s">
        <v>725</v>
      </c>
      <c r="C278" s="25" t="s">
        <v>752</v>
      </c>
      <c r="D278" s="26" t="n">
        <v>1.07364086415543</v>
      </c>
      <c r="E278" s="26" t="n">
        <v>1.60000136251536</v>
      </c>
      <c r="F278" s="26" t="n">
        <v>-2.69891005295989</v>
      </c>
      <c r="G278" s="26" t="n">
        <v>-2.69914068125768</v>
      </c>
      <c r="H278" s="26" t="n">
        <v>-0.598908690444533</v>
      </c>
      <c r="I278" s="26" t="n">
        <v>-0.599139318742323</v>
      </c>
      <c r="J278" s="26" t="n">
        <v>21.77</v>
      </c>
      <c r="K278" s="27" t="n">
        <f aca="false">MIN(F278,G278)</f>
        <v>-2.69914068125768</v>
      </c>
      <c r="L278" s="27" t="n">
        <f aca="false">AVERAGE(F278,G278)</f>
        <v>-2.69902536710878</v>
      </c>
      <c r="M278" s="27" t="n">
        <f aca="false">MAX(0,NG-L278)</f>
        <v>1.99902536710878</v>
      </c>
      <c r="N278" s="27" t="n">
        <f aca="false">MAX(0,GWL-K278)</f>
        <v>1.19914068125768</v>
      </c>
      <c r="O278" s="27" t="n">
        <f aca="false">MAX(0,NG-MAX(K278,GWL))</f>
        <v>0.8</v>
      </c>
      <c r="P278" s="27" t="n">
        <f aca="false">E278/2+WS+SLOPE_A*O278+SLOPE_B*N278</f>
        <v>5.39828204377303</v>
      </c>
      <c r="Q278" s="28" t="str">
        <f aca="false">IF(AND(P278&lt;J278,N278&lt;=MAXOC),"Open cut","Shoring")</f>
        <v>Open cut</v>
      </c>
      <c r="R278" s="27" t="n">
        <f aca="false">IF(Q278="Shoring",D278,0)</f>
        <v>0</v>
      </c>
      <c r="S278" s="27" t="n">
        <f aca="false">MAX(0,GWL-L278)</f>
        <v>1.19902536710878</v>
      </c>
      <c r="T278" s="27" t="n">
        <f aca="false">MAX(0,NG-MAX(L278,GWL))</f>
        <v>0.8</v>
      </c>
      <c r="U278" s="27" t="n">
        <f aca="false">E278+2*WS</f>
        <v>3.60000136251536</v>
      </c>
      <c r="V278" s="27" t="n">
        <f aca="false">IF(Q278="Shoring",D278*M278*U278,0)</f>
        <v>0</v>
      </c>
      <c r="W278" s="27" t="n">
        <f aca="false">IF(Q278="Open cut",D278*(U278*M278+SLOPE_B*S278^2+2*SLOPE_B*S278*T278+SLOPE_A*T278^2),0)</f>
        <v>15.9636427165193</v>
      </c>
      <c r="X278" s="27" t="n">
        <f aca="false">IF(M278&gt;0,D278*(E278+2*SLABOVH)*SLAB,0)</f>
        <v>1.39573385482814</v>
      </c>
      <c r="Y278" s="27" t="n">
        <f aca="false">IF(M278&gt;0,D278*PI()*E278^2/4,0)</f>
        <v>2.15868671746172</v>
      </c>
      <c r="Z278" s="27" t="n">
        <f aca="false">IF(H278-E278&gt;=GWL,99,E278*(MAX(0,GWL-H278)*(GAM_S-GAM_W)+MAX(0,NG-MAX(H278,GWL))*GAM_D)/(GAM_W*PI()*E278^2/4))</f>
        <v>0</v>
      </c>
      <c r="AA278" s="27" t="n">
        <f aca="false">IF(I278-E278&gt;=GWL,99,E278*(MAX(0,GWL-I278)*(GAM_S-GAM_W)+MAX(0,NG-MAX(I278,GWL))*GAM_D)/(GAM_W*PI()*E278^2/4))</f>
        <v>0</v>
      </c>
      <c r="AB278" s="27" t="n">
        <f aca="false">IF(H278-E278&gt;=GWL,99,E278*(MAX(0,GWL-H278)*(GAM_S-GAM_W)+MAX(0,FL-MAX(H278,GWL))*GAM_D)/(GAM_W*PI()*E278^2/4))</f>
        <v>2.33462389847591</v>
      </c>
      <c r="AC278" s="27" t="n">
        <f aca="false">IF(I278-E278&gt;=GWL,99,E278*(MAX(0,GWL-I278)*(GAM_S-GAM_W)+MAX(0,FL-MAX(I278,GWL))*GAM_D)/(GAM_W*PI()*E278^2/4))</f>
        <v>2.33496064712135</v>
      </c>
    </row>
    <row r="279" customFormat="false" ht="15" hidden="false" customHeight="false" outlineLevel="0" collapsed="false">
      <c r="A279" s="25" t="s">
        <v>719</v>
      </c>
      <c r="B279" s="25" t="s">
        <v>753</v>
      </c>
      <c r="C279" s="25" t="s">
        <v>754</v>
      </c>
      <c r="D279" s="26" t="n">
        <v>6.12635913571446</v>
      </c>
      <c r="E279" s="26" t="n">
        <v>1.60000136251536</v>
      </c>
      <c r="F279" s="26" t="n">
        <v>-2.69914068125768</v>
      </c>
      <c r="G279" s="26" t="n">
        <v>-2.69831122976341</v>
      </c>
      <c r="H279" s="26" t="n">
        <v>-0.599139318742323</v>
      </c>
      <c r="I279" s="26" t="n">
        <v>-0.598309867248052</v>
      </c>
      <c r="J279" s="26" t="n">
        <v>17.11</v>
      </c>
      <c r="K279" s="27" t="n">
        <f aca="false">MIN(F279,G279)</f>
        <v>-2.69914068125768</v>
      </c>
      <c r="L279" s="27" t="n">
        <f aca="false">AVERAGE(F279,G279)</f>
        <v>-2.69872595551054</v>
      </c>
      <c r="M279" s="27" t="n">
        <f aca="false">MAX(0,NG-L279)</f>
        <v>1.99872595551054</v>
      </c>
      <c r="N279" s="27" t="n">
        <f aca="false">MAX(0,GWL-K279)</f>
        <v>1.19914068125768</v>
      </c>
      <c r="O279" s="27" t="n">
        <f aca="false">MAX(0,NG-MAX(K279,GWL))</f>
        <v>0.8</v>
      </c>
      <c r="P279" s="27" t="n">
        <f aca="false">E279/2+WS+SLOPE_A*O279+SLOPE_B*N279</f>
        <v>5.39828204377303</v>
      </c>
      <c r="Q279" s="28" t="str">
        <f aca="false">IF(AND(P279&lt;J279,N279&lt;=MAXOC),"Open cut","Shoring")</f>
        <v>Open cut</v>
      </c>
      <c r="R279" s="27" t="n">
        <f aca="false">IF(Q279="Shoring",D279,0)</f>
        <v>0</v>
      </c>
      <c r="S279" s="27" t="n">
        <f aca="false">MAX(0,GWL-L279)</f>
        <v>1.19872595551054</v>
      </c>
      <c r="T279" s="27" t="n">
        <f aca="false">MAX(0,NG-MAX(L279,GWL))</f>
        <v>0.8</v>
      </c>
      <c r="U279" s="27" t="n">
        <f aca="false">E279+2*WS</f>
        <v>3.60000136251536</v>
      </c>
      <c r="V279" s="27" t="n">
        <f aca="false">IF(Q279="Shoring",D279*M279*U279,0)</f>
        <v>0</v>
      </c>
      <c r="W279" s="27" t="n">
        <f aca="false">IF(Q279="Open cut",D279*(U279*M279+SLOPE_B*S279^2+2*SLOPE_B*S279*T279+SLOPE_A*T279^2),0)</f>
        <v>91.0697195642664</v>
      </c>
      <c r="X279" s="27" t="n">
        <f aca="false">IF(M279&gt;0,D279*(E279+2*SLABOVH)*SLAB,0)</f>
        <v>7.96427105005799</v>
      </c>
      <c r="Y279" s="27" t="n">
        <f aca="false">IF(M279&gt;0,D279*PI()*E279^2/4,0)</f>
        <v>12.3177968855259</v>
      </c>
      <c r="Z279" s="27" t="n">
        <f aca="false">IF(H279-E279&gt;=GWL,99,E279*(MAX(0,GWL-H279)*(GAM_S-GAM_W)+MAX(0,NG-MAX(H279,GWL))*GAM_D)/(GAM_W*PI()*E279^2/4))</f>
        <v>0</v>
      </c>
      <c r="AA279" s="27" t="n">
        <f aca="false">IF(I279-E279&gt;=GWL,99,E279*(MAX(0,GWL-I279)*(GAM_S-GAM_W)+MAX(0,NG-MAX(I279,GWL))*GAM_D)/(GAM_W*PI()*E279^2/4))</f>
        <v>0</v>
      </c>
      <c r="AB279" s="27" t="n">
        <f aca="false">IF(H279-E279&gt;=GWL,99,E279*(MAX(0,GWL-H279)*(GAM_S-GAM_W)+MAX(0,FL-MAX(H279,GWL))*GAM_D)/(GAM_W*PI()*E279^2/4))</f>
        <v>2.33496064712135</v>
      </c>
      <c r="AC279" s="27" t="n">
        <f aca="false">IF(I279-E279&gt;=GWL,99,E279*(MAX(0,GWL-I279)*(GAM_S-GAM_W)+MAX(0,FL-MAX(I279,GWL))*GAM_D)/(GAM_W*PI()*E279^2/4))</f>
        <v>2.33374953525941</v>
      </c>
    </row>
    <row r="280" customFormat="false" ht="15" hidden="false" customHeight="false" outlineLevel="0" collapsed="false">
      <c r="A280" s="25" t="s">
        <v>719</v>
      </c>
      <c r="B280" s="25" t="s">
        <v>755</v>
      </c>
      <c r="C280" s="25" t="s">
        <v>756</v>
      </c>
      <c r="D280" s="26" t="n">
        <v>2.80000000053624</v>
      </c>
      <c r="E280" s="26" t="n">
        <v>1.60000136251536</v>
      </c>
      <c r="F280" s="26" t="n">
        <v>-2.69831122976341</v>
      </c>
      <c r="G280" s="26" t="n">
        <v>-2.69793213605827</v>
      </c>
      <c r="H280" s="26" t="n">
        <v>-0.598309867248052</v>
      </c>
      <c r="I280" s="26" t="n">
        <v>-0.59793077354291</v>
      </c>
      <c r="J280" s="26" t="n">
        <v>14.45</v>
      </c>
      <c r="K280" s="27" t="n">
        <f aca="false">MIN(F280,G280)</f>
        <v>-2.69831122976341</v>
      </c>
      <c r="L280" s="27" t="n">
        <f aca="false">AVERAGE(F280,G280)</f>
        <v>-2.69812168291084</v>
      </c>
      <c r="M280" s="27" t="n">
        <f aca="false">MAX(0,NG-L280)</f>
        <v>1.99812168291084</v>
      </c>
      <c r="N280" s="27" t="n">
        <f aca="false">MAX(0,GWL-K280)</f>
        <v>1.19831122976341</v>
      </c>
      <c r="O280" s="27" t="n">
        <f aca="false">MAX(0,NG-MAX(K280,GWL))</f>
        <v>0.8</v>
      </c>
      <c r="P280" s="27" t="n">
        <f aca="false">E280/2+WS+SLOPE_A*O280+SLOPE_B*N280</f>
        <v>5.39662314078449</v>
      </c>
      <c r="Q280" s="28" t="str">
        <f aca="false">IF(AND(P280&lt;J280,N280&lt;=MAXOC),"Open cut","Shoring")</f>
        <v>Open cut</v>
      </c>
      <c r="R280" s="27" t="n">
        <f aca="false">IF(Q280="Shoring",D280,0)</f>
        <v>0</v>
      </c>
      <c r="S280" s="27" t="n">
        <f aca="false">MAX(0,GWL-L280)</f>
        <v>1.19812168291084</v>
      </c>
      <c r="T280" s="27" t="n">
        <f aca="false">MAX(0,NG-MAX(L280,GWL))</f>
        <v>0.8</v>
      </c>
      <c r="U280" s="27" t="n">
        <f aca="false">E280+2*WS</f>
        <v>3.60000136251536</v>
      </c>
      <c r="V280" s="27" t="n">
        <f aca="false">IF(Q280="Shoring",D280*M280*U280,0)</f>
        <v>0</v>
      </c>
      <c r="W280" s="27" t="n">
        <f aca="false">IF(Q280="Open cut",D280*(U280*M280+SLOPE_B*S280^2+2*SLOPE_B*S280*T280+SLOPE_A*T280^2),0)</f>
        <v>41.6030196490521</v>
      </c>
      <c r="X280" s="27" t="n">
        <f aca="false">IF(M280&gt;0,D280*(E280+2*SLABOVH)*SLAB,0)</f>
        <v>3.6400019082186</v>
      </c>
      <c r="Y280" s="27" t="n">
        <f aca="false">IF(M280&gt;0,D280*PI()*E280^2/4,0)</f>
        <v>5.62974362456399</v>
      </c>
      <c r="Z280" s="27" t="n">
        <f aca="false">IF(H280-E280&gt;=GWL,99,E280*(MAX(0,GWL-H280)*(GAM_S-GAM_W)+MAX(0,NG-MAX(H280,GWL))*GAM_D)/(GAM_W*PI()*E280^2/4))</f>
        <v>0</v>
      </c>
      <c r="AA280" s="27" t="n">
        <f aca="false">IF(I280-E280&gt;=GWL,99,E280*(MAX(0,GWL-I280)*(GAM_S-GAM_W)+MAX(0,NG-MAX(I280,GWL))*GAM_D)/(GAM_W*PI()*E280^2/4))</f>
        <v>0</v>
      </c>
      <c r="AB280" s="27" t="n">
        <f aca="false">IF(H280-E280&gt;=GWL,99,E280*(MAX(0,GWL-H280)*(GAM_S-GAM_W)+MAX(0,FL-MAX(H280,GWL))*GAM_D)/(GAM_W*PI()*E280^2/4))</f>
        <v>2.33374953525941</v>
      </c>
      <c r="AC280" s="27" t="n">
        <f aca="false">IF(I280-E280&gt;=GWL,99,E280*(MAX(0,GWL-I280)*(GAM_S-GAM_W)+MAX(0,FL-MAX(I280,GWL))*GAM_D)/(GAM_W*PI()*E280^2/4))</f>
        <v>2.33319600695034</v>
      </c>
    </row>
    <row r="281" customFormat="false" ht="15" hidden="false" customHeight="false" outlineLevel="0" collapsed="false">
      <c r="A281" s="25" t="s">
        <v>719</v>
      </c>
      <c r="B281" s="25" t="s">
        <v>755</v>
      </c>
      <c r="C281" s="25" t="s">
        <v>757</v>
      </c>
      <c r="D281" s="26" t="n">
        <v>9.9999999995412</v>
      </c>
      <c r="E281" s="26" t="n">
        <v>1.60000136251536</v>
      </c>
      <c r="F281" s="26" t="n">
        <v>-2.69793213605827</v>
      </c>
      <c r="G281" s="26" t="n">
        <v>-2.69657822996847</v>
      </c>
      <c r="H281" s="26" t="n">
        <v>-0.59793077354291</v>
      </c>
      <c r="I281" s="26" t="n">
        <v>-0.596576867453119</v>
      </c>
      <c r="J281" s="26" t="n">
        <v>4.77</v>
      </c>
      <c r="K281" s="27" t="n">
        <f aca="false">MIN(F281,G281)</f>
        <v>-2.69793213605827</v>
      </c>
      <c r="L281" s="27" t="n">
        <f aca="false">AVERAGE(F281,G281)</f>
        <v>-2.69725518301337</v>
      </c>
      <c r="M281" s="27" t="n">
        <f aca="false">MAX(0,NG-L281)</f>
        <v>1.99725518301337</v>
      </c>
      <c r="N281" s="27" t="n">
        <f aca="false">MAX(0,GWL-K281)</f>
        <v>1.19793213605826</v>
      </c>
      <c r="O281" s="27" t="n">
        <f aca="false">MAX(0,NG-MAX(K281,GWL))</f>
        <v>0.8</v>
      </c>
      <c r="P281" s="27" t="n">
        <f aca="false">E281/2+WS+SLOPE_A*O281+SLOPE_B*N281</f>
        <v>5.39586495337421</v>
      </c>
      <c r="Q281" s="28" t="str">
        <f aca="false">IF(AND(P281&lt;J281,N281&lt;=MAXOC),"Open cut","Shoring")</f>
        <v>Shoring</v>
      </c>
      <c r="R281" s="27" t="n">
        <f aca="false">IF(Q281="Shoring",D281,0)</f>
        <v>9.9999999995412</v>
      </c>
      <c r="S281" s="27" t="n">
        <f aca="false">MAX(0,GWL-L281)</f>
        <v>1.19725518301337</v>
      </c>
      <c r="T281" s="27" t="n">
        <f aca="false">MAX(0,NG-MAX(L281,GWL))</f>
        <v>0.8</v>
      </c>
      <c r="U281" s="27" t="n">
        <f aca="false">E281+2*WS</f>
        <v>3.60000136251536</v>
      </c>
      <c r="V281" s="27" t="n">
        <f aca="false">IF(Q281="Shoring",D281*M281*U281,0)</f>
        <v>71.9012137980911</v>
      </c>
      <c r="W281" s="27" t="n">
        <f aca="false">IF(Q281="Open cut",D281*(U281*M281+SLOPE_B*S281^2+2*SLOPE_B*S281*T281+SLOPE_A*T281^2),0)</f>
        <v>0</v>
      </c>
      <c r="X281" s="27" t="n">
        <f aca="false">IF(M281&gt;0,D281*(E281+2*SLABOVH)*SLAB,0)</f>
        <v>13.0000068119803</v>
      </c>
      <c r="Y281" s="27" t="n">
        <f aca="false">IF(M281&gt;0,D281*PI()*E281^2/4,0)</f>
        <v>20.1062272258126</v>
      </c>
      <c r="Z281" s="27" t="n">
        <f aca="false">IF(H281-E281&gt;=GWL,99,E281*(MAX(0,GWL-H281)*(GAM_S-GAM_W)+MAX(0,NG-MAX(H281,GWL))*GAM_D)/(GAM_W*PI()*E281^2/4))</f>
        <v>0</v>
      </c>
      <c r="AA281" s="27" t="n">
        <f aca="false">IF(I281-E281&gt;=GWL,99,E281*(MAX(0,GWL-I281)*(GAM_S-GAM_W)+MAX(0,NG-MAX(I281,GWL))*GAM_D)/(GAM_W*PI()*E281^2/4))</f>
        <v>0</v>
      </c>
      <c r="AB281" s="27" t="n">
        <f aca="false">IF(H281-E281&gt;=GWL,99,E281*(MAX(0,GWL-H281)*(GAM_S-GAM_W)+MAX(0,FL-MAX(H281,GWL))*GAM_D)/(GAM_W*PI()*E281^2/4))</f>
        <v>2.33319600695034</v>
      </c>
      <c r="AC281" s="27" t="n">
        <f aca="false">IF(I281-E281&gt;=GWL,99,E281*(MAX(0,GWL-I281)*(GAM_S-GAM_W)+MAX(0,FL-MAX(I281,GWL))*GAM_D)/(GAM_W*PI()*E281^2/4))</f>
        <v>2.33121912013222</v>
      </c>
    </row>
    <row r="282" customFormat="false" ht="15" hidden="false" customHeight="false" outlineLevel="0" collapsed="false">
      <c r="A282" s="25" t="s">
        <v>719</v>
      </c>
      <c r="B282" s="25" t="s">
        <v>755</v>
      </c>
      <c r="C282" s="25" t="s">
        <v>758</v>
      </c>
      <c r="D282" s="26" t="n">
        <v>10.0000000003089</v>
      </c>
      <c r="E282" s="26" t="n">
        <v>1.60000136251536</v>
      </c>
      <c r="F282" s="26" t="n">
        <v>-2.69657822996847</v>
      </c>
      <c r="G282" s="26" t="n">
        <v>-2.69522432387868</v>
      </c>
      <c r="H282" s="26" t="n">
        <v>-0.596576867453119</v>
      </c>
      <c r="I282" s="26" t="n">
        <v>-0.595222961363325</v>
      </c>
      <c r="J282" s="26" t="n">
        <v>0</v>
      </c>
      <c r="K282" s="27" t="n">
        <f aca="false">MIN(F282,G282)</f>
        <v>-2.69657822996847</v>
      </c>
      <c r="L282" s="27" t="n">
        <f aca="false">AVERAGE(F282,G282)</f>
        <v>-2.69590127692358</v>
      </c>
      <c r="M282" s="27" t="n">
        <f aca="false">MAX(0,NG-L282)</f>
        <v>1.99590127692358</v>
      </c>
      <c r="N282" s="27" t="n">
        <f aca="false">MAX(0,GWL-K282)</f>
        <v>1.19657822996847</v>
      </c>
      <c r="O282" s="27" t="n">
        <f aca="false">MAX(0,NG-MAX(K282,GWL))</f>
        <v>0.8</v>
      </c>
      <c r="P282" s="27" t="n">
        <f aca="false">E282/2+WS+SLOPE_A*O282+SLOPE_B*N282</f>
        <v>5.39315714119463</v>
      </c>
      <c r="Q282" s="28" t="str">
        <f aca="false">IF(AND(P282&lt;J282,N282&lt;=MAXOC),"Open cut","Shoring")</f>
        <v>Shoring</v>
      </c>
      <c r="R282" s="27" t="n">
        <f aca="false">IF(Q282="Shoring",D282,0)</f>
        <v>10.0000000003089</v>
      </c>
      <c r="S282" s="27" t="n">
        <f aca="false">MAX(0,GWL-L282)</f>
        <v>1.19590127692358</v>
      </c>
      <c r="T282" s="27" t="n">
        <f aca="false">MAX(0,NG-MAX(L282,GWL))</f>
        <v>0.8</v>
      </c>
      <c r="U282" s="27" t="n">
        <f aca="false">E282+2*WS</f>
        <v>3.60000136251536</v>
      </c>
      <c r="V282" s="27" t="n">
        <f aca="false">IF(Q282="Shoring",D282*M282*U282,0)</f>
        <v>71.8524731659293</v>
      </c>
      <c r="W282" s="27" t="n">
        <f aca="false">IF(Q282="Open cut",D282*(U282*M282+SLOPE_B*S282^2+2*SLOPE_B*S282*T282+SLOPE_A*T282^2),0)</f>
        <v>0</v>
      </c>
      <c r="X282" s="27" t="n">
        <f aca="false">IF(M282&gt;0,D282*(E282+2*SLABOVH)*SLAB,0)</f>
        <v>13.0000068129783</v>
      </c>
      <c r="Y282" s="27" t="n">
        <f aca="false">IF(M282&gt;0,D282*PI()*E282^2/4,0)</f>
        <v>20.1062272273561</v>
      </c>
      <c r="Z282" s="27" t="n">
        <f aca="false">IF(H282-E282&gt;=GWL,99,E282*(MAX(0,GWL-H282)*(GAM_S-GAM_W)+MAX(0,NG-MAX(H282,GWL))*GAM_D)/(GAM_W*PI()*E282^2/4))</f>
        <v>0</v>
      </c>
      <c r="AA282" s="27" t="n">
        <f aca="false">IF(I282-E282&gt;=GWL,99,E282*(MAX(0,GWL-I282)*(GAM_S-GAM_W)+MAX(0,NG-MAX(I282,GWL))*GAM_D)/(GAM_W*PI()*E282^2/4))</f>
        <v>0</v>
      </c>
      <c r="AB282" s="27" t="n">
        <f aca="false">IF(H282-E282&gt;=GWL,99,E282*(MAX(0,GWL-H282)*(GAM_S-GAM_W)+MAX(0,FL-MAX(H282,GWL))*GAM_D)/(GAM_W*PI()*E282^2/4))</f>
        <v>2.33121912013222</v>
      </c>
      <c r="AC282" s="27" t="n">
        <f aca="false">IF(I282-E282&gt;=GWL,99,E282*(MAX(0,GWL-I282)*(GAM_S-GAM_W)+MAX(0,FL-MAX(I282,GWL))*GAM_D)/(GAM_W*PI()*E282^2/4))</f>
        <v>2.32924223331409</v>
      </c>
    </row>
    <row r="283" customFormat="false" ht="15" hidden="false" customHeight="false" outlineLevel="0" collapsed="false">
      <c r="A283" s="25" t="s">
        <v>719</v>
      </c>
      <c r="B283" s="25" t="s">
        <v>755</v>
      </c>
      <c r="C283" s="25" t="s">
        <v>759</v>
      </c>
      <c r="D283" s="26" t="n">
        <v>9.9999999995412</v>
      </c>
      <c r="E283" s="26" t="n">
        <v>1.60000136251536</v>
      </c>
      <c r="F283" s="26" t="n">
        <v>-2.69522432387868</v>
      </c>
      <c r="G283" s="26" t="n">
        <v>-2.69387041778889</v>
      </c>
      <c r="H283" s="26" t="n">
        <v>-0.595222961363325</v>
      </c>
      <c r="I283" s="26" t="n">
        <v>-0.593869055273533</v>
      </c>
      <c r="J283" s="26" t="n">
        <v>3.6</v>
      </c>
      <c r="K283" s="27" t="n">
        <f aca="false">MIN(F283,G283)</f>
        <v>-2.69522432387868</v>
      </c>
      <c r="L283" s="27" t="n">
        <f aca="false">AVERAGE(F283,G283)</f>
        <v>-2.69454737083378</v>
      </c>
      <c r="M283" s="27" t="n">
        <f aca="false">MAX(0,NG-L283)</f>
        <v>1.99454737083378</v>
      </c>
      <c r="N283" s="27" t="n">
        <f aca="false">MAX(0,GWL-K283)</f>
        <v>1.19522432387868</v>
      </c>
      <c r="O283" s="27" t="n">
        <f aca="false">MAX(0,NG-MAX(K283,GWL))</f>
        <v>0.8</v>
      </c>
      <c r="P283" s="27" t="n">
        <f aca="false">E283/2+WS+SLOPE_A*O283+SLOPE_B*N283</f>
        <v>5.39044932901504</v>
      </c>
      <c r="Q283" s="28" t="str">
        <f aca="false">IF(AND(P283&lt;J283,N283&lt;=MAXOC),"Open cut","Shoring")</f>
        <v>Shoring</v>
      </c>
      <c r="R283" s="27" t="n">
        <f aca="false">IF(Q283="Shoring",D283,0)</f>
        <v>9.9999999995412</v>
      </c>
      <c r="S283" s="27" t="n">
        <f aca="false">MAX(0,GWL-L283)</f>
        <v>1.19454737083378</v>
      </c>
      <c r="T283" s="27" t="n">
        <f aca="false">MAX(0,NG-MAX(L283,GWL))</f>
        <v>0.8</v>
      </c>
      <c r="U283" s="27" t="n">
        <f aca="false">E283+2*WS</f>
        <v>3.60000136251536</v>
      </c>
      <c r="V283" s="27" t="n">
        <f aca="false">IF(Q283="Shoring",D283*M283*U283,0)</f>
        <v>71.8037325227361</v>
      </c>
      <c r="W283" s="27" t="n">
        <f aca="false">IF(Q283="Open cut",D283*(U283*M283+SLOPE_B*S283^2+2*SLOPE_B*S283*T283+SLOPE_A*T283^2),0)</f>
        <v>0</v>
      </c>
      <c r="X283" s="27" t="n">
        <f aca="false">IF(M283&gt;0,D283*(E283+2*SLABOVH)*SLAB,0)</f>
        <v>13.0000068119803</v>
      </c>
      <c r="Y283" s="27" t="n">
        <f aca="false">IF(M283&gt;0,D283*PI()*E283^2/4,0)</f>
        <v>20.1062272258126</v>
      </c>
      <c r="Z283" s="27" t="n">
        <f aca="false">IF(H283-E283&gt;=GWL,99,E283*(MAX(0,GWL-H283)*(GAM_S-GAM_W)+MAX(0,NG-MAX(H283,GWL))*GAM_D)/(GAM_W*PI()*E283^2/4))</f>
        <v>0</v>
      </c>
      <c r="AA283" s="27" t="n">
        <f aca="false">IF(I283-E283&gt;=GWL,99,E283*(MAX(0,GWL-I283)*(GAM_S-GAM_W)+MAX(0,NG-MAX(I283,GWL))*GAM_D)/(GAM_W*PI()*E283^2/4))</f>
        <v>0</v>
      </c>
      <c r="AB283" s="27" t="n">
        <f aca="false">IF(H283-E283&gt;=GWL,99,E283*(MAX(0,GWL-H283)*(GAM_S-GAM_W)+MAX(0,FL-MAX(H283,GWL))*GAM_D)/(GAM_W*PI()*E283^2/4))</f>
        <v>2.32924223331409</v>
      </c>
      <c r="AC283" s="27" t="n">
        <f aca="false">IF(I283-E283&gt;=GWL,99,E283*(MAX(0,GWL-I283)*(GAM_S-GAM_W)+MAX(0,FL-MAX(I283,GWL))*GAM_D)/(GAM_W*PI()*E283^2/4))</f>
        <v>2.32726534649597</v>
      </c>
    </row>
    <row r="284" customFormat="false" ht="15" hidden="false" customHeight="false" outlineLevel="0" collapsed="false">
      <c r="A284" s="25" t="s">
        <v>719</v>
      </c>
      <c r="B284" s="25" t="s">
        <v>755</v>
      </c>
      <c r="C284" s="25" t="s">
        <v>760</v>
      </c>
      <c r="D284" s="26" t="n">
        <v>0.884378408149701</v>
      </c>
      <c r="E284" s="26" t="n">
        <v>1.60000136251536</v>
      </c>
      <c r="F284" s="26" t="n">
        <v>-2.69387041778889</v>
      </c>
      <c r="G284" s="26" t="n">
        <v>-2.69375068125768</v>
      </c>
      <c r="H284" s="26" t="n">
        <v>-0.593869055273533</v>
      </c>
      <c r="I284" s="26" t="n">
        <v>-0.593749318742323</v>
      </c>
      <c r="J284" s="26" t="n">
        <v>8.35</v>
      </c>
      <c r="K284" s="27" t="n">
        <f aca="false">MIN(F284,G284)</f>
        <v>-2.69387041778889</v>
      </c>
      <c r="L284" s="27" t="n">
        <f aca="false">AVERAGE(F284,G284)</f>
        <v>-2.69381054952328</v>
      </c>
      <c r="M284" s="27" t="n">
        <f aca="false">MAX(0,NG-L284)</f>
        <v>1.99381054952328</v>
      </c>
      <c r="N284" s="27" t="n">
        <f aca="false">MAX(0,GWL-K284)</f>
        <v>1.19387041778889</v>
      </c>
      <c r="O284" s="27" t="n">
        <f aca="false">MAX(0,NG-MAX(K284,GWL))</f>
        <v>0.8</v>
      </c>
      <c r="P284" s="27" t="n">
        <f aca="false">E284/2+WS+SLOPE_A*O284+SLOPE_B*N284</f>
        <v>5.38774151683545</v>
      </c>
      <c r="Q284" s="28" t="str">
        <f aca="false">IF(AND(P284&lt;J284,N284&lt;=MAXOC),"Open cut","Shoring")</f>
        <v>Open cut</v>
      </c>
      <c r="R284" s="27" t="n">
        <f aca="false">IF(Q284="Shoring",D284,0)</f>
        <v>0</v>
      </c>
      <c r="S284" s="27" t="n">
        <f aca="false">MAX(0,GWL-L284)</f>
        <v>1.19381054952328</v>
      </c>
      <c r="T284" s="27" t="n">
        <f aca="false">MAX(0,NG-MAX(L284,GWL))</f>
        <v>0.8</v>
      </c>
      <c r="U284" s="27" t="n">
        <f aca="false">E284+2*WS</f>
        <v>3.60000136251536</v>
      </c>
      <c r="V284" s="27" t="n">
        <f aca="false">IF(Q284="Shoring",D284*M284*U284,0)</f>
        <v>0</v>
      </c>
      <c r="W284" s="27" t="n">
        <f aca="false">IF(Q284="Open cut",D284*(U284*M284+SLOPE_B*S284^2+2*SLOPE_B*S284*T284+SLOPE_A*T284^2),0)</f>
        <v>13.0961246058232</v>
      </c>
      <c r="X284" s="27" t="n">
        <f aca="false">IF(M284&gt;0,D284*(E284+2*SLABOVH)*SLAB,0)</f>
        <v>1.14969253308419</v>
      </c>
      <c r="Y284" s="27" t="n">
        <f aca="false">IF(M284&gt;0,D284*PI()*E284^2/4,0)</f>
        <v>1.77815132286762</v>
      </c>
      <c r="Z284" s="27" t="n">
        <f aca="false">IF(H284-E284&gt;=GWL,99,E284*(MAX(0,GWL-H284)*(GAM_S-GAM_W)+MAX(0,NG-MAX(H284,GWL))*GAM_D)/(GAM_W*PI()*E284^2/4))</f>
        <v>0</v>
      </c>
      <c r="AA284" s="27" t="n">
        <f aca="false">IF(I284-E284&gt;=GWL,99,E284*(MAX(0,GWL-I284)*(GAM_S-GAM_W)+MAX(0,NG-MAX(I284,GWL))*GAM_D)/(GAM_W*PI()*E284^2/4))</f>
        <v>0</v>
      </c>
      <c r="AB284" s="27" t="n">
        <f aca="false">IF(H284-E284&gt;=GWL,99,E284*(MAX(0,GWL-H284)*(GAM_S-GAM_W)+MAX(0,FL-MAX(H284,GWL))*GAM_D)/(GAM_W*PI()*E284^2/4))</f>
        <v>2.32726534649597</v>
      </c>
      <c r="AC284" s="27" t="n">
        <f aca="false">IF(I284-E284&gt;=GWL,99,E284*(MAX(0,GWL-I284)*(GAM_S-GAM_W)+MAX(0,FL-MAX(I284,GWL))*GAM_D)/(GAM_W*PI()*E284^2/4))</f>
        <v>2.3270905148943</v>
      </c>
    </row>
    <row r="285" customFormat="false" ht="15" hidden="false" customHeight="false" outlineLevel="0" collapsed="false">
      <c r="A285" s="25" t="s">
        <v>719</v>
      </c>
      <c r="B285" s="25" t="s">
        <v>755</v>
      </c>
      <c r="C285" s="25" t="s">
        <v>761</v>
      </c>
      <c r="D285" s="26" t="n">
        <v>9.11562159184186</v>
      </c>
      <c r="E285" s="26" t="n">
        <v>1.5999971855766</v>
      </c>
      <c r="F285" s="26" t="n">
        <v>-2.6937485927883</v>
      </c>
      <c r="G285" s="26" t="n">
        <v>-2.69251579244748</v>
      </c>
      <c r="H285" s="26" t="n">
        <v>-0.593751407211702</v>
      </c>
      <c r="I285" s="26" t="n">
        <v>-0.592518606870881</v>
      </c>
      <c r="J285" s="26" t="n">
        <v>8.43</v>
      </c>
      <c r="K285" s="27" t="n">
        <f aca="false">MIN(F285,G285)</f>
        <v>-2.6937485927883</v>
      </c>
      <c r="L285" s="27" t="n">
        <f aca="false">AVERAGE(F285,G285)</f>
        <v>-2.69313219261789</v>
      </c>
      <c r="M285" s="27" t="n">
        <f aca="false">MAX(0,NG-L285)</f>
        <v>1.99313219261789</v>
      </c>
      <c r="N285" s="27" t="n">
        <f aca="false">MAX(0,GWL-K285)</f>
        <v>1.1937485927883</v>
      </c>
      <c r="O285" s="27" t="n">
        <f aca="false">MAX(0,NG-MAX(K285,GWL))</f>
        <v>0.8</v>
      </c>
      <c r="P285" s="27" t="n">
        <f aca="false">E285/2+WS+SLOPE_A*O285+SLOPE_B*N285</f>
        <v>5.38749577836489</v>
      </c>
      <c r="Q285" s="28" t="str">
        <f aca="false">IF(AND(P285&lt;J285,N285&lt;=MAXOC),"Open cut","Shoring")</f>
        <v>Open cut</v>
      </c>
      <c r="R285" s="27" t="n">
        <f aca="false">IF(Q285="Shoring",D285,0)</f>
        <v>0</v>
      </c>
      <c r="S285" s="27" t="n">
        <f aca="false">MAX(0,GWL-L285)</f>
        <v>1.19313219261789</v>
      </c>
      <c r="T285" s="27" t="n">
        <f aca="false">MAX(0,NG-MAX(L285,GWL))</f>
        <v>0.8</v>
      </c>
      <c r="U285" s="27" t="n">
        <f aca="false">E285+2*WS</f>
        <v>3.5999971855766</v>
      </c>
      <c r="V285" s="27" t="n">
        <f aca="false">IF(Q285="Shoring",D285*M285*U285,0)</f>
        <v>0</v>
      </c>
      <c r="W285" s="27" t="n">
        <f aca="false">IF(Q285="Open cut",D285*(U285*M285+SLOPE_B*S285^2+2*SLOPE_B*S285*T285+SLOPE_A*T285^2),0)</f>
        <v>134.915047795541</v>
      </c>
      <c r="X285" s="27" t="n">
        <f aca="false">IF(M285&gt;0,D285*(E285+2*SLABOVH)*SLAB,0)</f>
        <v>11.850295241785</v>
      </c>
      <c r="Y285" s="27" t="n">
        <f aca="false">IF(M285&gt;0,D285*PI()*E285^2/4,0)</f>
        <v>18.3279802099936</v>
      </c>
      <c r="Z285" s="27" t="n">
        <f aca="false">IF(H285-E285&gt;=GWL,99,E285*(MAX(0,GWL-H285)*(GAM_S-GAM_W)+MAX(0,NG-MAX(H285,GWL))*GAM_D)/(GAM_W*PI()*E285^2/4))</f>
        <v>0</v>
      </c>
      <c r="AA285" s="27" t="n">
        <f aca="false">IF(I285-E285&gt;=GWL,99,E285*(MAX(0,GWL-I285)*(GAM_S-GAM_W)+MAX(0,NG-MAX(I285,GWL))*GAM_D)/(GAM_W*PI()*E285^2/4))</f>
        <v>0</v>
      </c>
      <c r="AB285" s="27" t="n">
        <f aca="false">IF(H285-E285&gt;=GWL,99,E285*(MAX(0,GWL-H285)*(GAM_S-GAM_W)+MAX(0,FL-MAX(H285,GWL))*GAM_D)/(GAM_W*PI()*E285^2/4))</f>
        <v>2.32709963943356</v>
      </c>
      <c r="AC285" s="27" t="n">
        <f aca="false">IF(I285-E285&gt;=GWL,99,E285*(MAX(0,GWL-I285)*(GAM_S-GAM_W)+MAX(0,FL-MAX(I285,GWL))*GAM_D)/(GAM_W*PI()*E285^2/4))</f>
        <v>2.32529957876184</v>
      </c>
    </row>
    <row r="286" customFormat="false" ht="15" hidden="false" customHeight="false" outlineLevel="0" collapsed="false">
      <c r="A286" s="25" t="s">
        <v>719</v>
      </c>
      <c r="B286" s="25" t="s">
        <v>755</v>
      </c>
      <c r="C286" s="25" t="s">
        <v>762</v>
      </c>
      <c r="D286" s="26" t="n">
        <v>10.0000000001691</v>
      </c>
      <c r="E286" s="26" t="n">
        <v>1.5999971855766</v>
      </c>
      <c r="F286" s="26" t="n">
        <v>-2.69251579244748</v>
      </c>
      <c r="G286" s="26" t="n">
        <v>-2.69116338841407</v>
      </c>
      <c r="H286" s="26" t="n">
        <v>-0.592518606870881</v>
      </c>
      <c r="I286" s="26" t="n">
        <v>-0.591166202837471</v>
      </c>
      <c r="J286" s="26" t="n">
        <v>10.38</v>
      </c>
      <c r="K286" s="27" t="n">
        <f aca="false">MIN(F286,G286)</f>
        <v>-2.69251579244748</v>
      </c>
      <c r="L286" s="27" t="n">
        <f aca="false">AVERAGE(F286,G286)</f>
        <v>-2.69183959043077</v>
      </c>
      <c r="M286" s="27" t="n">
        <f aca="false">MAX(0,NG-L286)</f>
        <v>1.99183959043077</v>
      </c>
      <c r="N286" s="27" t="n">
        <f aca="false">MAX(0,GWL-K286)</f>
        <v>1.19251579244748</v>
      </c>
      <c r="O286" s="27" t="n">
        <f aca="false">MAX(0,NG-MAX(K286,GWL))</f>
        <v>0.8</v>
      </c>
      <c r="P286" s="27" t="n">
        <f aca="false">E286/2+WS+SLOPE_A*O286+SLOPE_B*N286</f>
        <v>5.38503017768325</v>
      </c>
      <c r="Q286" s="28" t="str">
        <f aca="false">IF(AND(P286&lt;J286,N286&lt;=MAXOC),"Open cut","Shoring")</f>
        <v>Open cut</v>
      </c>
      <c r="R286" s="27" t="n">
        <f aca="false">IF(Q286="Shoring",D286,0)</f>
        <v>0</v>
      </c>
      <c r="S286" s="27" t="n">
        <f aca="false">MAX(0,GWL-L286)</f>
        <v>1.19183959043077</v>
      </c>
      <c r="T286" s="27" t="n">
        <f aca="false">MAX(0,NG-MAX(L286,GWL))</f>
        <v>0.8</v>
      </c>
      <c r="U286" s="27" t="n">
        <f aca="false">E286+2*WS</f>
        <v>3.5999971855766</v>
      </c>
      <c r="V286" s="27" t="n">
        <f aca="false">IF(Q286="Shoring",D286*M286*U286,0)</f>
        <v>0</v>
      </c>
      <c r="W286" s="27" t="n">
        <f aca="false">IF(Q286="Open cut",D286*(U286*M286+SLOPE_B*S286^2+2*SLOPE_B*S286*T286+SLOPE_A*T286^2),0)</f>
        <v>147.854668279357</v>
      </c>
      <c r="X286" s="27" t="n">
        <f aca="false">IF(M286&gt;0,D286*(E286+2*SLABOVH)*SLAB,0)</f>
        <v>12.9999859281028</v>
      </c>
      <c r="Y286" s="27" t="n">
        <f aca="false">IF(M286&gt;0,D286*PI()*E286^2/4,0)</f>
        <v>20.1061222492018</v>
      </c>
      <c r="Z286" s="27" t="n">
        <f aca="false">IF(H286-E286&gt;=GWL,99,E286*(MAX(0,GWL-H286)*(GAM_S-GAM_W)+MAX(0,NG-MAX(H286,GWL))*GAM_D)/(GAM_W*PI()*E286^2/4))</f>
        <v>0</v>
      </c>
      <c r="AA286" s="27" t="n">
        <f aca="false">IF(I286-E286&gt;=GWL,99,E286*(MAX(0,GWL-I286)*(GAM_S-GAM_W)+MAX(0,NG-MAX(I286,GWL))*GAM_D)/(GAM_W*PI()*E286^2/4))</f>
        <v>0</v>
      </c>
      <c r="AB286" s="27" t="n">
        <f aca="false">IF(H286-E286&gt;=GWL,99,E286*(MAX(0,GWL-H286)*(GAM_S-GAM_W)+MAX(0,FL-MAX(H286,GWL))*GAM_D)/(GAM_W*PI()*E286^2/4))</f>
        <v>2.32529957876184</v>
      </c>
      <c r="AC286" s="27" t="n">
        <f aca="false">IF(I286-E286&gt;=GWL,99,E286*(MAX(0,GWL-I286)*(GAM_S-GAM_W)+MAX(0,FL-MAX(I286,GWL))*GAM_D)/(GAM_W*PI()*E286^2/4))</f>
        <v>2.32332487999497</v>
      </c>
    </row>
    <row r="287" customFormat="false" ht="15" hidden="false" customHeight="false" outlineLevel="0" collapsed="false">
      <c r="A287" s="25" t="s">
        <v>719</v>
      </c>
      <c r="B287" s="25" t="s">
        <v>755</v>
      </c>
      <c r="C287" s="25" t="s">
        <v>763</v>
      </c>
      <c r="D287" s="26" t="n">
        <v>8.61277840825056</v>
      </c>
      <c r="E287" s="26" t="n">
        <v>1.5999971855766</v>
      </c>
      <c r="F287" s="26" t="n">
        <v>-2.69116338841407</v>
      </c>
      <c r="G287" s="26" t="n">
        <v>-2.6899985927883</v>
      </c>
      <c r="H287" s="26" t="n">
        <v>-0.591166202837471</v>
      </c>
      <c r="I287" s="26" t="n">
        <v>-0.590001407211702</v>
      </c>
      <c r="J287" s="26" t="n">
        <v>9.91</v>
      </c>
      <c r="K287" s="27" t="n">
        <f aca="false">MIN(F287,G287)</f>
        <v>-2.69116338841407</v>
      </c>
      <c r="L287" s="27" t="n">
        <f aca="false">AVERAGE(F287,G287)</f>
        <v>-2.69058099060118</v>
      </c>
      <c r="M287" s="27" t="n">
        <f aca="false">MAX(0,NG-L287)</f>
        <v>1.99058099060118</v>
      </c>
      <c r="N287" s="27" t="n">
        <f aca="false">MAX(0,GWL-K287)</f>
        <v>1.19116338841407</v>
      </c>
      <c r="O287" s="27" t="n">
        <f aca="false">MAX(0,NG-MAX(K287,GWL))</f>
        <v>0.8</v>
      </c>
      <c r="P287" s="27" t="n">
        <f aca="false">E287/2+WS+SLOPE_A*O287+SLOPE_B*N287</f>
        <v>5.38232536961643</v>
      </c>
      <c r="Q287" s="28" t="str">
        <f aca="false">IF(AND(P287&lt;J287,N287&lt;=MAXOC),"Open cut","Shoring")</f>
        <v>Open cut</v>
      </c>
      <c r="R287" s="27" t="n">
        <f aca="false">IF(Q287="Shoring",D287,0)</f>
        <v>0</v>
      </c>
      <c r="S287" s="27" t="n">
        <f aca="false">MAX(0,GWL-L287)</f>
        <v>1.19058099060118</v>
      </c>
      <c r="T287" s="27" t="n">
        <f aca="false">MAX(0,NG-MAX(L287,GWL))</f>
        <v>0.8</v>
      </c>
      <c r="U287" s="27" t="n">
        <f aca="false">E287+2*WS</f>
        <v>3.5999971855766</v>
      </c>
      <c r="V287" s="27" t="n">
        <f aca="false">IF(Q287="Shoring",D287*M287*U287,0)</f>
        <v>0</v>
      </c>
      <c r="W287" s="27" t="n">
        <f aca="false">IF(Q287="Open cut",D287*(U287*M287+SLOPE_B*S287^2+2*SLOPE_B*S287*T287+SLOPE_A*T287^2),0)</f>
        <v>127.218586122496</v>
      </c>
      <c r="X287" s="27" t="n">
        <f aca="false">IF(M287&gt;0,D287*(E287+2*SLABOVH)*SLAB,0)</f>
        <v>11.1965998107232</v>
      </c>
      <c r="Y287" s="27" t="n">
        <f aca="false">IF(M287&gt;0,D287*PI()*E287^2/4,0)</f>
        <v>17.3169575578643</v>
      </c>
      <c r="Z287" s="27" t="n">
        <f aca="false">IF(H287-E287&gt;=GWL,99,E287*(MAX(0,GWL-H287)*(GAM_S-GAM_W)+MAX(0,NG-MAX(H287,GWL))*GAM_D)/(GAM_W*PI()*E287^2/4))</f>
        <v>0</v>
      </c>
      <c r="AA287" s="27" t="n">
        <f aca="false">IF(I287-E287&gt;=GWL,99,E287*(MAX(0,GWL-I287)*(GAM_S-GAM_W)+MAX(0,NG-MAX(I287,GWL))*GAM_D)/(GAM_W*PI()*E287^2/4))</f>
        <v>0</v>
      </c>
      <c r="AB287" s="27" t="n">
        <f aca="false">IF(H287-E287&gt;=GWL,99,E287*(MAX(0,GWL-H287)*(GAM_S-GAM_W)+MAX(0,FL-MAX(H287,GWL))*GAM_D)/(GAM_W*PI()*E287^2/4))</f>
        <v>2.32332487999497</v>
      </c>
      <c r="AC287" s="27" t="n">
        <f aca="false">IF(I287-E287&gt;=GWL,99,E287*(MAX(0,GWL-I287)*(GAM_S-GAM_W)+MAX(0,FL-MAX(I287,GWL))*GAM_D)/(GAM_W*PI()*E287^2/4))</f>
        <v>2.32162411570483</v>
      </c>
    </row>
    <row r="288" customFormat="false" ht="15" hidden="false" customHeight="false" outlineLevel="0" collapsed="false">
      <c r="A288" s="25" t="s">
        <v>719</v>
      </c>
      <c r="B288" s="25" t="s">
        <v>755</v>
      </c>
      <c r="C288" s="25" t="s">
        <v>764</v>
      </c>
      <c r="D288" s="26" t="n">
        <v>1.38722159191855</v>
      </c>
      <c r="E288" s="26" t="n">
        <v>1.5999971855766</v>
      </c>
      <c r="F288" s="26" t="n">
        <v>-2.6899985927883</v>
      </c>
      <c r="G288" s="26" t="n">
        <v>-2.70602799384781</v>
      </c>
      <c r="H288" s="26" t="n">
        <v>-0.590001407211702</v>
      </c>
      <c r="I288" s="26" t="n">
        <v>-0.606030808271213</v>
      </c>
      <c r="J288" s="26" t="n">
        <v>8.52</v>
      </c>
      <c r="K288" s="27" t="n">
        <f aca="false">MIN(F288,G288)</f>
        <v>-2.70602799384781</v>
      </c>
      <c r="L288" s="27" t="n">
        <f aca="false">AVERAGE(F288,G288)</f>
        <v>-2.69801329331805</v>
      </c>
      <c r="M288" s="27" t="n">
        <f aca="false">MAX(0,NG-L288)</f>
        <v>1.99801329331805</v>
      </c>
      <c r="N288" s="27" t="n">
        <f aca="false">MAX(0,GWL-K288)</f>
        <v>1.20602799384781</v>
      </c>
      <c r="O288" s="27" t="n">
        <f aca="false">MAX(0,NG-MAX(K288,GWL))</f>
        <v>0.8</v>
      </c>
      <c r="P288" s="27" t="n">
        <f aca="false">E288/2+WS+SLOPE_A*O288+SLOPE_B*N288</f>
        <v>5.41205458048392</v>
      </c>
      <c r="Q288" s="28" t="str">
        <f aca="false">IF(AND(P288&lt;J288,N288&lt;=MAXOC),"Open cut","Shoring")</f>
        <v>Open cut</v>
      </c>
      <c r="R288" s="27" t="n">
        <f aca="false">IF(Q288="Shoring",D288,0)</f>
        <v>0</v>
      </c>
      <c r="S288" s="27" t="n">
        <f aca="false">MAX(0,GWL-L288)</f>
        <v>1.19801329331805</v>
      </c>
      <c r="T288" s="27" t="n">
        <f aca="false">MAX(0,NG-MAX(L288,GWL))</f>
        <v>0.8</v>
      </c>
      <c r="U288" s="27" t="n">
        <f aca="false">E288+2*WS</f>
        <v>3.5999971855766</v>
      </c>
      <c r="V288" s="27" t="n">
        <f aca="false">IF(Q288="Shoring",D288*M288*U288,0)</f>
        <v>0</v>
      </c>
      <c r="W288" s="27" t="n">
        <f aca="false">IF(Q288="Open cut",D288*(U288*M288+SLOPE_B*S288^2+2*SLOPE_B*S288*T288+SLOPE_A*T288^2),0)</f>
        <v>20.6098908098739</v>
      </c>
      <c r="X288" s="27" t="n">
        <f aca="false">IF(M288&gt;0,D288*(E288+2*SLABOVH)*SLAB,0)</f>
        <v>1.80338611737966</v>
      </c>
      <c r="Y288" s="27" t="n">
        <f aca="false">IF(M288&gt;0,D288*PI()*E288^2/4,0)</f>
        <v>2.7891646913375</v>
      </c>
      <c r="Z288" s="27" t="n">
        <f aca="false">IF(H288-E288&gt;=GWL,99,E288*(MAX(0,GWL-H288)*(GAM_S-GAM_W)+MAX(0,NG-MAX(H288,GWL))*GAM_D)/(GAM_W*PI()*E288^2/4))</f>
        <v>0</v>
      </c>
      <c r="AA288" s="27" t="n">
        <f aca="false">IF(I288-E288&gt;=GWL,99,E288*(MAX(0,GWL-I288)*(GAM_S-GAM_W)+MAX(0,NG-MAX(I288,GWL))*GAM_D)/(GAM_W*PI()*E288^2/4))</f>
        <v>0</v>
      </c>
      <c r="AB288" s="27" t="n">
        <f aca="false">IF(H288-E288&gt;=GWL,99,E288*(MAX(0,GWL-H288)*(GAM_S-GAM_W)+MAX(0,FL-MAX(H288,GWL))*GAM_D)/(GAM_W*PI()*E288^2/4))</f>
        <v>2.32162411570483</v>
      </c>
      <c r="AC288" s="27" t="n">
        <f aca="false">IF(I288-E288&gt;=GWL,99,E288*(MAX(0,GWL-I288)*(GAM_S-GAM_W)+MAX(0,FL-MAX(I288,GWL))*GAM_D)/(GAM_W*PI()*E288^2/4))</f>
        <v>2.34502927993379</v>
      </c>
    </row>
    <row r="289" customFormat="false" ht="15" hidden="false" customHeight="false" outlineLevel="0" collapsed="false">
      <c r="A289" s="25" t="s">
        <v>719</v>
      </c>
      <c r="B289" s="25" t="s">
        <v>755</v>
      </c>
      <c r="C289" s="25" t="s">
        <v>765</v>
      </c>
      <c r="D289" s="26" t="n">
        <v>1.06279155072199</v>
      </c>
      <c r="E289" s="26" t="n">
        <v>1.5999971855766</v>
      </c>
      <c r="F289" s="26" t="n">
        <v>-2.70602799384781</v>
      </c>
      <c r="G289" s="26" t="n">
        <v>-2.7183085927883</v>
      </c>
      <c r="H289" s="26" t="n">
        <v>-0.606030808271213</v>
      </c>
      <c r="I289" s="26" t="n">
        <v>-0.618311407211702</v>
      </c>
      <c r="J289" s="26" t="n">
        <v>7.47</v>
      </c>
      <c r="K289" s="27" t="n">
        <f aca="false">MIN(F289,G289)</f>
        <v>-2.7183085927883</v>
      </c>
      <c r="L289" s="27" t="n">
        <f aca="false">AVERAGE(F289,G289)</f>
        <v>-2.71216829331805</v>
      </c>
      <c r="M289" s="27" t="n">
        <f aca="false">MAX(0,NG-L289)</f>
        <v>2.01216829331805</v>
      </c>
      <c r="N289" s="27" t="n">
        <f aca="false">MAX(0,GWL-K289)</f>
        <v>1.2183085927883</v>
      </c>
      <c r="O289" s="27" t="n">
        <f aca="false">MAX(0,NG-MAX(K289,GWL))</f>
        <v>0.8</v>
      </c>
      <c r="P289" s="27" t="n">
        <f aca="false">E289/2+WS+SLOPE_A*O289+SLOPE_B*N289</f>
        <v>5.43661577836489</v>
      </c>
      <c r="Q289" s="28" t="str">
        <f aca="false">IF(AND(P289&lt;J289,N289&lt;=MAXOC),"Open cut","Shoring")</f>
        <v>Open cut</v>
      </c>
      <c r="R289" s="27" t="n">
        <f aca="false">IF(Q289="Shoring",D289,0)</f>
        <v>0</v>
      </c>
      <c r="S289" s="27" t="n">
        <f aca="false">MAX(0,GWL-L289)</f>
        <v>1.21216829331805</v>
      </c>
      <c r="T289" s="27" t="n">
        <f aca="false">MAX(0,NG-MAX(L289,GWL))</f>
        <v>0.8</v>
      </c>
      <c r="U289" s="27" t="n">
        <f aca="false">E289+2*WS</f>
        <v>3.5999971855766</v>
      </c>
      <c r="V289" s="27" t="n">
        <f aca="false">IF(Q289="Shoring",D289*M289*U289,0)</f>
        <v>0</v>
      </c>
      <c r="W289" s="27" t="n">
        <f aca="false">IF(Q289="Open cut",D289*(U289*M289+SLOPE_B*S289^2+2*SLOPE_B*S289*T289+SLOPE_A*T289^2),0)</f>
        <v>15.9646623537099</v>
      </c>
      <c r="X289" s="27" t="n">
        <f aca="false">IF(M289&gt;0,D289*(E289+2*SLABOVH)*SLAB,0)</f>
        <v>1.38162752036588</v>
      </c>
      <c r="Y289" s="27" t="n">
        <f aca="false">IF(M289&gt;0,D289*PI()*E289^2/4,0)</f>
        <v>2.13686168438737</v>
      </c>
      <c r="Z289" s="27" t="n">
        <f aca="false">IF(H289-E289&gt;=GWL,99,E289*(MAX(0,GWL-H289)*(GAM_S-GAM_W)+MAX(0,NG-MAX(H289,GWL))*GAM_D)/(GAM_W*PI()*E289^2/4))</f>
        <v>0</v>
      </c>
      <c r="AA289" s="27" t="n">
        <f aca="false">IF(I289-E289&gt;=GWL,99,E289*(MAX(0,GWL-I289)*(GAM_S-GAM_W)+MAX(0,NG-MAX(I289,GWL))*GAM_D)/(GAM_W*PI()*E289^2/4))</f>
        <v>0</v>
      </c>
      <c r="AB289" s="27" t="n">
        <f aca="false">IF(H289-E289&gt;=GWL,99,E289*(MAX(0,GWL-H289)*(GAM_S-GAM_W)+MAX(0,FL-MAX(H289,GWL))*GAM_D)/(GAM_W*PI()*E289^2/4))</f>
        <v>2.34502927993379</v>
      </c>
      <c r="AC289" s="27" t="n">
        <f aca="false">IF(I289-E289&gt;=GWL,99,E289*(MAX(0,GWL-I289)*(GAM_S-GAM_W)+MAX(0,FL-MAX(I289,GWL))*GAM_D)/(GAM_W*PI()*E289^2/4))</f>
        <v>2.36296066950755</v>
      </c>
    </row>
    <row r="290" customFormat="false" ht="15" hidden="false" customHeight="false" outlineLevel="0" collapsed="false">
      <c r="A290" s="25" t="s">
        <v>719</v>
      </c>
      <c r="B290" s="25" t="s">
        <v>755</v>
      </c>
      <c r="C290" s="25" t="s">
        <v>766</v>
      </c>
      <c r="D290" s="26" t="n">
        <v>1.23720844895847</v>
      </c>
      <c r="E290" s="26" t="n">
        <v>1.59999854371355</v>
      </c>
      <c r="F290" s="26" t="n">
        <v>-2.71830927185677</v>
      </c>
      <c r="G290" s="26" t="n">
        <v>-2.73260656836079</v>
      </c>
      <c r="H290" s="26" t="n">
        <v>-0.618310728143227</v>
      </c>
      <c r="I290" s="26" t="n">
        <v>-0.632608024647241</v>
      </c>
      <c r="J290" s="26" t="n">
        <v>7.47</v>
      </c>
      <c r="K290" s="27" t="n">
        <f aca="false">MIN(F290,G290)</f>
        <v>-2.73260656836079</v>
      </c>
      <c r="L290" s="27" t="n">
        <f aca="false">AVERAGE(F290,G290)</f>
        <v>-2.72545792010878</v>
      </c>
      <c r="M290" s="27" t="n">
        <f aca="false">MAX(0,NG-L290)</f>
        <v>2.02545792010878</v>
      </c>
      <c r="N290" s="27" t="n">
        <f aca="false">MAX(0,GWL-K290)</f>
        <v>1.23260656836079</v>
      </c>
      <c r="O290" s="27" t="n">
        <f aca="false">MAX(0,NG-MAX(K290,GWL))</f>
        <v>0.8</v>
      </c>
      <c r="P290" s="27" t="n">
        <f aca="false">E290/2+WS+SLOPE_A*O290+SLOPE_B*N290</f>
        <v>5.46521240857835</v>
      </c>
      <c r="Q290" s="28" t="str">
        <f aca="false">IF(AND(P290&lt;J290,N290&lt;=MAXOC),"Open cut","Shoring")</f>
        <v>Open cut</v>
      </c>
      <c r="R290" s="27" t="n">
        <f aca="false">IF(Q290="Shoring",D290,0)</f>
        <v>0</v>
      </c>
      <c r="S290" s="27" t="n">
        <f aca="false">MAX(0,GWL-L290)</f>
        <v>1.22545792010878</v>
      </c>
      <c r="T290" s="27" t="n">
        <f aca="false">MAX(0,NG-MAX(L290,GWL))</f>
        <v>0.8</v>
      </c>
      <c r="U290" s="27" t="n">
        <f aca="false">E290+2*WS</f>
        <v>3.59999854371355</v>
      </c>
      <c r="V290" s="27" t="n">
        <f aca="false">IF(Q290="Shoring",D290*M290*U290,0)</f>
        <v>0</v>
      </c>
      <c r="W290" s="27" t="n">
        <f aca="false">IF(Q290="Open cut",D290*(U290*M290+SLOPE_B*S290^2+2*SLOPE_B*S290*T290+SLOPE_A*T290^2),0)</f>
        <v>18.7766240995377</v>
      </c>
      <c r="X290" s="27" t="n">
        <f aca="false">IF(M290&gt;0,D290*(E290+2*SLABOVH)*SLAB,0)</f>
        <v>1.60837008278105</v>
      </c>
      <c r="Y290" s="27" t="n">
        <f aca="false">IF(M290&gt;0,D290*PI()*E290^2/4,0)</f>
        <v>2.48755065525348</v>
      </c>
      <c r="Z290" s="27" t="n">
        <f aca="false">IF(H290-E290&gt;=GWL,99,E290*(MAX(0,GWL-H290)*(GAM_S-GAM_W)+MAX(0,NG-MAX(H290,GWL))*GAM_D)/(GAM_W*PI()*E290^2/4))</f>
        <v>0</v>
      </c>
      <c r="AA290" s="27" t="n">
        <f aca="false">IF(I290-E290&gt;=GWL,99,E290*(MAX(0,GWL-I290)*(GAM_S-GAM_W)+MAX(0,NG-MAX(I290,GWL))*GAM_D)/(GAM_W*PI()*E290^2/4))</f>
        <v>0</v>
      </c>
      <c r="AB290" s="27" t="n">
        <f aca="false">IF(H290-E290&gt;=GWL,99,E290*(MAX(0,GWL-H290)*(GAM_S-GAM_W)+MAX(0,FL-MAX(H290,GWL))*GAM_D)/(GAM_W*PI()*E290^2/4))</f>
        <v>2.36295767220663</v>
      </c>
      <c r="AC290" s="27" t="n">
        <f aca="false">IF(I290-E290&gt;=GWL,99,E290*(MAX(0,GWL-I290)*(GAM_S-GAM_W)+MAX(0,FL-MAX(I290,GWL))*GAM_D)/(GAM_W*PI()*E290^2/4))</f>
        <v>2.38383370415677</v>
      </c>
    </row>
    <row r="291" customFormat="false" ht="15" hidden="false" customHeight="false" outlineLevel="0" collapsed="false">
      <c r="A291" s="25" t="s">
        <v>719</v>
      </c>
      <c r="B291" s="25" t="s">
        <v>767</v>
      </c>
      <c r="C291" s="25" t="s">
        <v>768</v>
      </c>
      <c r="D291" s="26" t="n">
        <v>1.21258135472496</v>
      </c>
      <c r="E291" s="26" t="n">
        <v>1.59999854371355</v>
      </c>
      <c r="F291" s="26" t="n">
        <v>-2.73260656836079</v>
      </c>
      <c r="G291" s="26" t="n">
        <v>-2.74661927185677</v>
      </c>
      <c r="H291" s="26" t="n">
        <v>-0.632608024647241</v>
      </c>
      <c r="I291" s="26" t="n">
        <v>-0.646620728143227</v>
      </c>
      <c r="J291" s="26" t="n">
        <v>7.63</v>
      </c>
      <c r="K291" s="27" t="n">
        <f aca="false">MIN(F291,G291)</f>
        <v>-2.74661927185677</v>
      </c>
      <c r="L291" s="27" t="n">
        <f aca="false">AVERAGE(F291,G291)</f>
        <v>-2.73961292010878</v>
      </c>
      <c r="M291" s="27" t="n">
        <f aca="false">MAX(0,NG-L291)</f>
        <v>2.03961292010878</v>
      </c>
      <c r="N291" s="27" t="n">
        <f aca="false">MAX(0,GWL-K291)</f>
        <v>1.24661927185677</v>
      </c>
      <c r="O291" s="27" t="n">
        <f aca="false">MAX(0,NG-MAX(K291,GWL))</f>
        <v>0.8</v>
      </c>
      <c r="P291" s="27" t="n">
        <f aca="false">E291/2+WS+SLOPE_A*O291+SLOPE_B*N291</f>
        <v>5.49323781557032</v>
      </c>
      <c r="Q291" s="28" t="str">
        <f aca="false">IF(AND(P291&lt;J291,N291&lt;=MAXOC),"Open cut","Shoring")</f>
        <v>Open cut</v>
      </c>
      <c r="R291" s="27" t="n">
        <f aca="false">IF(Q291="Shoring",D291,0)</f>
        <v>0</v>
      </c>
      <c r="S291" s="27" t="n">
        <f aca="false">MAX(0,GWL-L291)</f>
        <v>1.23961292010878</v>
      </c>
      <c r="T291" s="27" t="n">
        <f aca="false">MAX(0,NG-MAX(L291,GWL))</f>
        <v>0.8</v>
      </c>
      <c r="U291" s="27" t="n">
        <f aca="false">E291+2*WS</f>
        <v>3.59999854371355</v>
      </c>
      <c r="V291" s="27" t="n">
        <f aca="false">IF(Q291="Shoring",D291*M291*U291,0)</f>
        <v>0</v>
      </c>
      <c r="W291" s="27" t="n">
        <f aca="false">IF(Q291="Open cut",D291*(U291*M291+SLOPE_B*S291^2+2*SLOPE_B*S291*T291+SLOPE_A*T291^2),0)</f>
        <v>18.6042055864159</v>
      </c>
      <c r="X291" s="27" t="n">
        <f aca="false">IF(M291&gt;0,D291*(E291+2*SLABOVH)*SLAB,0)</f>
        <v>1.57635487820954</v>
      </c>
      <c r="Y291" s="27" t="n">
        <f aca="false">IF(M291&gt;0,D291*PI()*E291^2/4,0)</f>
        <v>2.43803503446288</v>
      </c>
      <c r="Z291" s="27" t="n">
        <f aca="false">IF(H291-E291&gt;=GWL,99,E291*(MAX(0,GWL-H291)*(GAM_S-GAM_W)+MAX(0,NG-MAX(H291,GWL))*GAM_D)/(GAM_W*PI()*E291^2/4))</f>
        <v>0</v>
      </c>
      <c r="AA291" s="27" t="n">
        <f aca="false">IF(I291-E291&gt;=GWL,99,E291*(MAX(0,GWL-I291)*(GAM_S-GAM_W)+MAX(0,NG-MAX(I291,GWL))*GAM_D)/(GAM_W*PI()*E291^2/4))</f>
        <v>0</v>
      </c>
      <c r="AB291" s="27" t="n">
        <f aca="false">IF(H291-E291&gt;=GWL,99,E291*(MAX(0,GWL-H291)*(GAM_S-GAM_W)+MAX(0,FL-MAX(H291,GWL))*GAM_D)/(GAM_W*PI()*E291^2/4))</f>
        <v>2.38383370415677</v>
      </c>
      <c r="AC291" s="27" t="n">
        <f aca="false">IF(I291-E291&gt;=GWL,99,E291*(MAX(0,GWL-I291)*(GAM_S-GAM_W)+MAX(0,FL-MAX(I291,GWL))*GAM_D)/(GAM_W*PI()*E291^2/4))</f>
        <v>2.40429419092138</v>
      </c>
    </row>
    <row r="292" customFormat="false" ht="15" hidden="false" customHeight="false" outlineLevel="0" collapsed="false">
      <c r="A292" s="25" t="s">
        <v>719</v>
      </c>
      <c r="B292" s="25" t="s">
        <v>767</v>
      </c>
      <c r="C292" s="25" t="s">
        <v>769</v>
      </c>
      <c r="D292" s="26" t="n">
        <v>6.48741864573822</v>
      </c>
      <c r="E292" s="26" t="n">
        <v>1.59999854371355</v>
      </c>
      <c r="F292" s="26" t="n">
        <v>-2.74661927185677</v>
      </c>
      <c r="G292" s="26" t="n">
        <v>-2.8215906336136</v>
      </c>
      <c r="H292" s="26" t="n">
        <v>-0.646620728143227</v>
      </c>
      <c r="I292" s="26" t="n">
        <v>-0.721592089900053</v>
      </c>
      <c r="J292" s="26" t="n">
        <v>7.97</v>
      </c>
      <c r="K292" s="27" t="n">
        <f aca="false">MIN(F292,G292)</f>
        <v>-2.8215906336136</v>
      </c>
      <c r="L292" s="27" t="n">
        <f aca="false">AVERAGE(F292,G292)</f>
        <v>-2.78410495273519</v>
      </c>
      <c r="M292" s="27" t="n">
        <f aca="false">MAX(0,NG-L292)</f>
        <v>2.08410495273519</v>
      </c>
      <c r="N292" s="27" t="n">
        <f aca="false">MAX(0,GWL-K292)</f>
        <v>1.3215906336136</v>
      </c>
      <c r="O292" s="27" t="n">
        <f aca="false">MAX(0,NG-MAX(K292,GWL))</f>
        <v>0.8</v>
      </c>
      <c r="P292" s="27" t="n">
        <f aca="false">E292/2+WS+SLOPE_A*O292+SLOPE_B*N292</f>
        <v>5.64318053908397</v>
      </c>
      <c r="Q292" s="28" t="str">
        <f aca="false">IF(AND(P292&lt;J292,N292&lt;=MAXOC),"Open cut","Shoring")</f>
        <v>Open cut</v>
      </c>
      <c r="R292" s="27" t="n">
        <f aca="false">IF(Q292="Shoring",D292,0)</f>
        <v>0</v>
      </c>
      <c r="S292" s="27" t="n">
        <f aca="false">MAX(0,GWL-L292)</f>
        <v>1.28410495273519</v>
      </c>
      <c r="T292" s="27" t="n">
        <f aca="false">MAX(0,NG-MAX(L292,GWL))</f>
        <v>0.8</v>
      </c>
      <c r="U292" s="27" t="n">
        <f aca="false">E292+2*WS</f>
        <v>3.59999854371355</v>
      </c>
      <c r="V292" s="27" t="n">
        <f aca="false">IF(Q292="Shoring",D292*M292*U292,0)</f>
        <v>0</v>
      </c>
      <c r="W292" s="27" t="n">
        <f aca="false">IF(Q292="Open cut",D292*(U292*M292+SLOPE_B*S292^2+2*SLOPE_B*S292*T292+SLOPE_A*T292^2),0)</f>
        <v>102.95378797432</v>
      </c>
      <c r="X292" s="27" t="n">
        <f aca="false">IF(M292&gt;0,D292*(E292+2*SLABOVH)*SLAB,0)</f>
        <v>8.43363951568974</v>
      </c>
      <c r="Y292" s="27" t="n">
        <f aca="false">IF(M292&gt;0,D292*PI()*E292^2/4,0)</f>
        <v>13.0437053810094</v>
      </c>
      <c r="Z292" s="27" t="n">
        <f aca="false">IF(H292-E292&gt;=GWL,99,E292*(MAX(0,GWL-H292)*(GAM_S-GAM_W)+MAX(0,NG-MAX(H292,GWL))*GAM_D)/(GAM_W*PI()*E292^2/4))</f>
        <v>0</v>
      </c>
      <c r="AA292" s="27" t="n">
        <f aca="false">IF(I292-E292&gt;=GWL,99,E292*(MAX(0,GWL-I292)*(GAM_S-GAM_W)+MAX(0,NG-MAX(I292,GWL))*GAM_D)/(GAM_W*PI()*E292^2/4))</f>
        <v>0.0315274400651381</v>
      </c>
      <c r="AB292" s="27" t="n">
        <f aca="false">IF(H292-E292&gt;=GWL,99,E292*(MAX(0,GWL-H292)*(GAM_S-GAM_W)+MAX(0,FL-MAX(H292,GWL))*GAM_D)/(GAM_W*PI()*E292^2/4))</f>
        <v>2.40429419092138</v>
      </c>
      <c r="AC292" s="27" t="n">
        <f aca="false">IF(I292-E292&gt;=GWL,99,E292*(MAX(0,GWL-I292)*(GAM_S-GAM_W)+MAX(0,FL-MAX(I292,GWL))*GAM_D)/(GAM_W*PI()*E292^2/4))</f>
        <v>2.51376275674021</v>
      </c>
    </row>
    <row r="293" customFormat="false" ht="15" hidden="false" customHeight="false" outlineLevel="0" collapsed="false">
      <c r="A293" s="25" t="s">
        <v>719</v>
      </c>
      <c r="B293" s="25" t="s">
        <v>767</v>
      </c>
      <c r="C293" s="25" t="s">
        <v>770</v>
      </c>
      <c r="D293" s="26" t="n">
        <v>10.0000000000678</v>
      </c>
      <c r="E293" s="26" t="n">
        <v>1.59999854371355</v>
      </c>
      <c r="F293" s="26" t="n">
        <v>-2.8215906336136</v>
      </c>
      <c r="G293" s="26" t="n">
        <v>-2.93715487549705</v>
      </c>
      <c r="H293" s="26" t="n">
        <v>-0.721592089900053</v>
      </c>
      <c r="I293" s="26" t="n">
        <v>-0.837156331783499</v>
      </c>
      <c r="J293" s="26" t="n">
        <v>10.38</v>
      </c>
      <c r="K293" s="27" t="n">
        <f aca="false">MIN(F293,G293)</f>
        <v>-2.93715487549705</v>
      </c>
      <c r="L293" s="27" t="n">
        <f aca="false">AVERAGE(F293,G293)</f>
        <v>-2.87937275455532</v>
      </c>
      <c r="M293" s="27" t="n">
        <f aca="false">MAX(0,NG-L293)</f>
        <v>2.17937275455532</v>
      </c>
      <c r="N293" s="27" t="n">
        <f aca="false">MAX(0,GWL-K293)</f>
        <v>1.43715487549705</v>
      </c>
      <c r="O293" s="27" t="n">
        <f aca="false">MAX(0,NG-MAX(K293,GWL))</f>
        <v>0.8</v>
      </c>
      <c r="P293" s="27" t="n">
        <f aca="false">E293/2+WS+SLOPE_A*O293+SLOPE_B*N293</f>
        <v>5.87430902285086</v>
      </c>
      <c r="Q293" s="28" t="str">
        <f aca="false">IF(AND(P293&lt;J293,N293&lt;=MAXOC),"Open cut","Shoring")</f>
        <v>Open cut</v>
      </c>
      <c r="R293" s="27" t="n">
        <f aca="false">IF(Q293="Shoring",D293,0)</f>
        <v>0</v>
      </c>
      <c r="S293" s="27" t="n">
        <f aca="false">MAX(0,GWL-L293)</f>
        <v>1.37937275455532</v>
      </c>
      <c r="T293" s="27" t="n">
        <f aca="false">MAX(0,NG-MAX(L293,GWL))</f>
        <v>0.8</v>
      </c>
      <c r="U293" s="27" t="n">
        <f aca="false">E293+2*WS</f>
        <v>3.59999854371355</v>
      </c>
      <c r="V293" s="27" t="n">
        <f aca="false">IF(Q293="Shoring",D293*M293*U293,0)</f>
        <v>0</v>
      </c>
      <c r="W293" s="27" t="n">
        <f aca="false">IF(Q293="Open cut",D293*(U293*M293+SLOPE_B*S293^2+2*SLOPE_B*S293*T293+SLOPE_A*T293^2),0)</f>
        <v>170.250699493197</v>
      </c>
      <c r="X293" s="27" t="n">
        <f aca="false">IF(M293&gt;0,D293*(E293+2*SLABOVH)*SLAB,0)</f>
        <v>12.9999927186559</v>
      </c>
      <c r="Y293" s="27" t="n">
        <f aca="false">IF(M293&gt;0,D293*PI()*E293^2/4,0)</f>
        <v>20.1061563826571</v>
      </c>
      <c r="Z293" s="27" t="n">
        <f aca="false">IF(H293-E293&gt;=GWL,99,E293*(MAX(0,GWL-H293)*(GAM_S-GAM_W)+MAX(0,NG-MAX(H293,GWL))*GAM_D)/(GAM_W*PI()*E293^2/4))</f>
        <v>0.0315274400651381</v>
      </c>
      <c r="AA293" s="27" t="n">
        <f aca="false">IF(I293-E293&gt;=GWL,99,E293*(MAX(0,GWL-I293)*(GAM_S-GAM_W)+MAX(0,NG-MAX(I293,GWL))*GAM_D)/(GAM_W*PI()*E293^2/4))</f>
        <v>0.20026722979918</v>
      </c>
      <c r="AB293" s="27" t="n">
        <f aca="false">IF(H293-E293&gt;=GWL,99,E293*(MAX(0,GWL-H293)*(GAM_S-GAM_W)+MAX(0,FL-MAX(H293,GWL))*GAM_D)/(GAM_W*PI()*E293^2/4))</f>
        <v>2.51376275674021</v>
      </c>
      <c r="AC293" s="27" t="n">
        <f aca="false">IF(I293-E293&gt;=GWL,99,E293*(MAX(0,GWL-I293)*(GAM_S-GAM_W)+MAX(0,FL-MAX(I293,GWL))*GAM_D)/(GAM_W*PI()*E293^2/4))</f>
        <v>2.68250254647425</v>
      </c>
    </row>
    <row r="294" customFormat="false" ht="15" hidden="false" customHeight="false" outlineLevel="0" collapsed="false">
      <c r="A294" s="25" t="s">
        <v>719</v>
      </c>
      <c r="B294" s="25" t="s">
        <v>767</v>
      </c>
      <c r="C294" s="25" t="s">
        <v>771</v>
      </c>
      <c r="D294" s="26" t="n">
        <v>2.6863323678361</v>
      </c>
      <c r="E294" s="26" t="n">
        <v>1.59999854371355</v>
      </c>
      <c r="F294" s="26" t="n">
        <v>-2.93715487549705</v>
      </c>
      <c r="G294" s="26" t="n">
        <v>-2.96819927185677</v>
      </c>
      <c r="H294" s="26" t="n">
        <v>-0.837156331783499</v>
      </c>
      <c r="I294" s="26" t="n">
        <v>-0.868200728143227</v>
      </c>
      <c r="J294" s="26" t="n">
        <v>9.34</v>
      </c>
      <c r="K294" s="27" t="n">
        <f aca="false">MIN(F294,G294)</f>
        <v>-2.96819927185677</v>
      </c>
      <c r="L294" s="27" t="n">
        <f aca="false">AVERAGE(F294,G294)</f>
        <v>-2.95267707367691</v>
      </c>
      <c r="M294" s="27" t="n">
        <f aca="false">MAX(0,NG-L294)</f>
        <v>2.25267707367691</v>
      </c>
      <c r="N294" s="27" t="n">
        <f aca="false">MAX(0,GWL-K294)</f>
        <v>1.46819927185677</v>
      </c>
      <c r="O294" s="27" t="n">
        <f aca="false">MAX(0,NG-MAX(K294,GWL))</f>
        <v>0.8</v>
      </c>
      <c r="P294" s="27" t="n">
        <f aca="false">E294/2+WS+SLOPE_A*O294+SLOPE_B*N294</f>
        <v>5.93639781557032</v>
      </c>
      <c r="Q294" s="28" t="str">
        <f aca="false">IF(AND(P294&lt;J294,N294&lt;=MAXOC),"Open cut","Shoring")</f>
        <v>Open cut</v>
      </c>
      <c r="R294" s="27" t="n">
        <f aca="false">IF(Q294="Shoring",D294,0)</f>
        <v>0</v>
      </c>
      <c r="S294" s="27" t="n">
        <f aca="false">MAX(0,GWL-L294)</f>
        <v>1.45267707367691</v>
      </c>
      <c r="T294" s="27" t="n">
        <f aca="false">MAX(0,NG-MAX(L294,GWL))</f>
        <v>0.8</v>
      </c>
      <c r="U294" s="27" t="n">
        <f aca="false">E294+2*WS</f>
        <v>3.59999854371355</v>
      </c>
      <c r="V294" s="27" t="n">
        <f aca="false">IF(Q294="Shoring",D294*M294*U294,0)</f>
        <v>0</v>
      </c>
      <c r="W294" s="27" t="n">
        <f aca="false">IF(Q294="Open cut",D294*(U294*M294+SLOPE_B*S294^2+2*SLOPE_B*S294*T294+SLOPE_A*T294^2),0)</f>
        <v>48.1894237597127</v>
      </c>
      <c r="X294" s="27" t="n">
        <f aca="false">IF(M294&gt;0,D294*(E294+2*SLABOVH)*SLAB,0)</f>
        <v>3.49223012215221</v>
      </c>
      <c r="Y294" s="27" t="n">
        <f aca="false">IF(M294&gt;0,D294*PI()*E294^2/4,0)</f>
        <v>5.40118186831398</v>
      </c>
      <c r="Z294" s="27" t="n">
        <f aca="false">IF(H294-E294&gt;=GWL,99,E294*(MAX(0,GWL-H294)*(GAM_S-GAM_W)+MAX(0,NG-MAX(H294,GWL))*GAM_D)/(GAM_W*PI()*E294^2/4))</f>
        <v>0.20026722979918</v>
      </c>
      <c r="AA294" s="27" t="n">
        <f aca="false">IF(I294-E294&gt;=GWL,99,E294*(MAX(0,GWL-I294)*(GAM_S-GAM_W)+MAX(0,NG-MAX(I294,GWL))*GAM_D)/(GAM_W*PI()*E294^2/4))</f>
        <v>0.245596345698577</v>
      </c>
      <c r="AB294" s="27" t="n">
        <f aca="false">IF(H294-E294&gt;=GWL,99,E294*(MAX(0,GWL-H294)*(GAM_S-GAM_W)+MAX(0,FL-MAX(H294,GWL))*GAM_D)/(GAM_W*PI()*E294^2/4))</f>
        <v>2.68250254647425</v>
      </c>
      <c r="AC294" s="27" t="n">
        <f aca="false">IF(I294-E294&gt;=GWL,99,E294*(MAX(0,GWL-I294)*(GAM_S-GAM_W)+MAX(0,FL-MAX(I294,GWL))*GAM_D)/(GAM_W*PI()*E294^2/4))</f>
        <v>2.72783166237365</v>
      </c>
    </row>
    <row r="295" customFormat="false" ht="15" hidden="false" customHeight="false" outlineLevel="0" collapsed="false">
      <c r="A295" s="25" t="s">
        <v>719</v>
      </c>
      <c r="B295" s="25" t="s">
        <v>767</v>
      </c>
      <c r="C295" s="25" t="s">
        <v>772</v>
      </c>
      <c r="D295" s="26" t="n">
        <v>0.655001525599742</v>
      </c>
      <c r="E295" s="26" t="n">
        <v>1.59999854377689</v>
      </c>
      <c r="F295" s="26" t="n">
        <v>-2.96819927188845</v>
      </c>
      <c r="G295" s="26" t="n">
        <v>-2.97576927188845</v>
      </c>
      <c r="H295" s="26" t="n">
        <v>-0.868200728111553</v>
      </c>
      <c r="I295" s="26" t="n">
        <v>-0.875770728111553</v>
      </c>
      <c r="J295" s="26" t="n">
        <v>9.11</v>
      </c>
      <c r="K295" s="27" t="n">
        <f aca="false">MIN(F295,G295)</f>
        <v>-2.97576927188845</v>
      </c>
      <c r="L295" s="27" t="n">
        <f aca="false">AVERAGE(F295,G295)</f>
        <v>-2.97198427188845</v>
      </c>
      <c r="M295" s="27" t="n">
        <f aca="false">MAX(0,NG-L295)</f>
        <v>2.27198427188845</v>
      </c>
      <c r="N295" s="27" t="n">
        <f aca="false">MAX(0,GWL-K295)</f>
        <v>1.47576927188845</v>
      </c>
      <c r="O295" s="27" t="n">
        <f aca="false">MAX(0,NG-MAX(K295,GWL))</f>
        <v>0.8</v>
      </c>
      <c r="P295" s="27" t="n">
        <f aca="false">E295/2+WS+SLOPE_A*O295+SLOPE_B*N295</f>
        <v>5.95153781566534</v>
      </c>
      <c r="Q295" s="28" t="str">
        <f aca="false">IF(AND(P295&lt;J295,N295&lt;=MAXOC),"Open cut","Shoring")</f>
        <v>Open cut</v>
      </c>
      <c r="R295" s="27" t="n">
        <f aca="false">IF(Q295="Shoring",D295,0)</f>
        <v>0</v>
      </c>
      <c r="S295" s="27" t="n">
        <f aca="false">MAX(0,GWL-L295)</f>
        <v>1.47198427188845</v>
      </c>
      <c r="T295" s="27" t="n">
        <f aca="false">MAX(0,NG-MAX(L295,GWL))</f>
        <v>0.8</v>
      </c>
      <c r="U295" s="27" t="n">
        <f aca="false">E295+2*WS</f>
        <v>3.59999854377689</v>
      </c>
      <c r="V295" s="27" t="n">
        <f aca="false">IF(Q295="Shoring",D295*M295*U295,0)</f>
        <v>0</v>
      </c>
      <c r="W295" s="27" t="n">
        <f aca="false">IF(Q295="Open cut",D295*(U295*M295+SLOPE_B*S295^2+2*SLOPE_B*S295*T295+SLOPE_A*T295^2),0)</f>
        <v>11.9098699025</v>
      </c>
      <c r="X295" s="27" t="n">
        <f aca="false">IF(M295&gt;0,D295*(E295+2*SLABOVH)*SLAB,0)</f>
        <v>0.851501506365486</v>
      </c>
      <c r="Y295" s="27" t="n">
        <f aca="false">IF(M295&gt;0,D295*PI()*E295^2/4,0)</f>
        <v>1.31695631055409</v>
      </c>
      <c r="Z295" s="27" t="n">
        <f aca="false">IF(H295-E295&gt;=GWL,99,E295*(MAX(0,GWL-H295)*(GAM_S-GAM_W)+MAX(0,NG-MAX(H295,GWL))*GAM_D)/(GAM_W*PI()*E295^2/4))</f>
        <v>0.245596345642605</v>
      </c>
      <c r="AA295" s="27" t="n">
        <f aca="false">IF(I295-E295&gt;=GWL,99,E295*(MAX(0,GWL-I295)*(GAM_S-GAM_W)+MAX(0,NG-MAX(I295,GWL))*GAM_D)/(GAM_W*PI()*E295^2/4))</f>
        <v>0.256649593493479</v>
      </c>
      <c r="AB295" s="27" t="n">
        <f aca="false">IF(H295-E295&gt;=GWL,99,E295*(MAX(0,GWL-H295)*(GAM_S-GAM_W)+MAX(0,FL-MAX(H295,GWL))*GAM_D)/(GAM_W*PI()*E295^2/4))</f>
        <v>2.7278316622194</v>
      </c>
      <c r="AC295" s="27" t="n">
        <f aca="false">IF(I295-E295&gt;=GWL,99,E295*(MAX(0,GWL-I295)*(GAM_S-GAM_W)+MAX(0,FL-MAX(I295,GWL))*GAM_D)/(GAM_W*PI()*E295^2/4))</f>
        <v>2.73888491007028</v>
      </c>
    </row>
    <row r="296" customFormat="false" ht="15" hidden="false" customHeight="false" outlineLevel="0" collapsed="false">
      <c r="A296" s="25" t="s">
        <v>719</v>
      </c>
      <c r="B296" s="25" t="s">
        <v>767</v>
      </c>
      <c r="C296" s="25" t="s">
        <v>773</v>
      </c>
      <c r="D296" s="26" t="n">
        <v>1.99999666576316</v>
      </c>
      <c r="E296" s="26" t="n">
        <v>1.65520301315899</v>
      </c>
      <c r="F296" s="26" t="n">
        <v>-3.00337150657949</v>
      </c>
      <c r="G296" s="26" t="n">
        <v>-3.02649150657949</v>
      </c>
      <c r="H296" s="26" t="n">
        <v>-0.848168493420506</v>
      </c>
      <c r="I296" s="26" t="n">
        <v>-0.871288493420506</v>
      </c>
      <c r="J296" s="26" t="n">
        <v>8.47</v>
      </c>
      <c r="K296" s="27" t="n">
        <f aca="false">MIN(F296,G296)</f>
        <v>-3.02649150657949</v>
      </c>
      <c r="L296" s="27" t="n">
        <f aca="false">AVERAGE(F296,G296)</f>
        <v>-3.01493150657949</v>
      </c>
      <c r="M296" s="27" t="n">
        <f aca="false">MAX(0,NG-L296)</f>
        <v>2.31493150657949</v>
      </c>
      <c r="N296" s="27" t="n">
        <f aca="false">MAX(0,GWL-K296)</f>
        <v>1.52649150657949</v>
      </c>
      <c r="O296" s="27" t="n">
        <f aca="false">MAX(0,NG-MAX(K296,GWL))</f>
        <v>0.8</v>
      </c>
      <c r="P296" s="27" t="n">
        <f aca="false">E296/2+WS+SLOPE_A*O296+SLOPE_B*N296</f>
        <v>6.08058451973848</v>
      </c>
      <c r="Q296" s="28" t="str">
        <f aca="false">IF(AND(P296&lt;J296,N296&lt;=MAXOC),"Open cut","Shoring")</f>
        <v>Open cut</v>
      </c>
      <c r="R296" s="27" t="n">
        <f aca="false">IF(Q296="Shoring",D296,0)</f>
        <v>0</v>
      </c>
      <c r="S296" s="27" t="n">
        <f aca="false">MAX(0,GWL-L296)</f>
        <v>1.51493150657949</v>
      </c>
      <c r="T296" s="27" t="n">
        <f aca="false">MAX(0,NG-MAX(L296,GWL))</f>
        <v>0.8</v>
      </c>
      <c r="U296" s="27" t="n">
        <f aca="false">E296+2*WS</f>
        <v>3.65520301315899</v>
      </c>
      <c r="V296" s="27" t="n">
        <f aca="false">IF(Q296="Shoring",D296*M296*U296,0)</f>
        <v>0</v>
      </c>
      <c r="W296" s="27" t="n">
        <f aca="false">IF(Q296="Open cut",D296*(U296*M296+SLOPE_B*S296^2+2*SLOPE_B*S296*T296+SLOPE_A*T296^2),0)</f>
        <v>37.7186578752556</v>
      </c>
      <c r="X296" s="27" t="n">
        <f aca="false">IF(M296&gt;0,D296*(E296+2*SLABOVH)*SLAB,0)</f>
        <v>2.65519858662114</v>
      </c>
      <c r="Y296" s="27" t="n">
        <f aca="false">IF(M296&gt;0,D296*PI()*E296^2/4,0)</f>
        <v>4.30349883287846</v>
      </c>
      <c r="Z296" s="27" t="n">
        <f aca="false">IF(H296-E296&gt;=GWL,99,E296*(MAX(0,GWL-H296)*(GAM_S-GAM_W)+MAX(0,NG-MAX(H296,GWL))*GAM_D)/(GAM_W*PI()*E296^2/4))</f>
        <v>0.209130903195246</v>
      </c>
      <c r="AA296" s="27" t="n">
        <f aca="false">IF(I296-E296&gt;=GWL,99,E296*(MAX(0,GWL-I296)*(GAM_S-GAM_W)+MAX(0,NG-MAX(I296,GWL))*GAM_D)/(GAM_W*PI()*E296^2/4))</f>
        <v>0.241763390509211</v>
      </c>
      <c r="AB296" s="27" t="n">
        <f aca="false">IF(H296-E296&gt;=GWL,99,E296*(MAX(0,GWL-H296)*(GAM_S-GAM_W)+MAX(0,FL-MAX(H296,GWL))*GAM_D)/(GAM_W*PI()*E296^2/4))</f>
        <v>2.60857849981037</v>
      </c>
      <c r="AC296" s="27" t="n">
        <f aca="false">IF(I296-E296&gt;=GWL,99,E296*(MAX(0,GWL-I296)*(GAM_S-GAM_W)+MAX(0,FL-MAX(I296,GWL))*GAM_D)/(GAM_W*PI()*E296^2/4))</f>
        <v>2.64121098712434</v>
      </c>
    </row>
    <row r="297" customFormat="false" ht="15" hidden="false" customHeight="false" outlineLevel="0" collapsed="false">
      <c r="A297" s="25" t="s">
        <v>719</v>
      </c>
      <c r="B297" s="25" t="s">
        <v>774</v>
      </c>
      <c r="C297" s="25" t="s">
        <v>775</v>
      </c>
      <c r="D297" s="26" t="n">
        <v>5.15378000005016</v>
      </c>
      <c r="E297" s="26" t="n">
        <v>1.20000108810357</v>
      </c>
      <c r="F297" s="26" t="n">
        <v>-2.50000054405179</v>
      </c>
      <c r="G297" s="26" t="n">
        <v>-2.50000054405179</v>
      </c>
      <c r="H297" s="26" t="n">
        <v>-0.799999455948213</v>
      </c>
      <c r="I297" s="26" t="n">
        <v>-0.799999455948213</v>
      </c>
      <c r="J297" s="26" t="n">
        <v>19.07</v>
      </c>
      <c r="K297" s="27" t="n">
        <f aca="false">MIN(F297,G297)</f>
        <v>-2.50000054405179</v>
      </c>
      <c r="L297" s="27" t="n">
        <f aca="false">AVERAGE(F297,G297)</f>
        <v>-2.50000054405179</v>
      </c>
      <c r="M297" s="27" t="n">
        <f aca="false">MAX(0,NG-L297)</f>
        <v>1.80000054405179</v>
      </c>
      <c r="N297" s="27" t="n">
        <f aca="false">MAX(0,GWL-K297)</f>
        <v>1.00000054405179</v>
      </c>
      <c r="O297" s="27" t="n">
        <f aca="false">MAX(0,NG-MAX(K297,GWL))</f>
        <v>0.8</v>
      </c>
      <c r="P297" s="27" t="n">
        <f aca="false">E297/2+WS+SLOPE_A*O297+SLOPE_B*N297</f>
        <v>4.80000163215536</v>
      </c>
      <c r="Q297" s="28" t="str">
        <f aca="false">IF(AND(P297&lt;J297,N297&lt;=MAXOC),"Open cut","Shoring")</f>
        <v>Open cut</v>
      </c>
      <c r="R297" s="27" t="n">
        <f aca="false">IF(Q297="Shoring",D297,0)</f>
        <v>0</v>
      </c>
      <c r="S297" s="27" t="n">
        <f aca="false">MAX(0,GWL-L297)</f>
        <v>1.00000054405179</v>
      </c>
      <c r="T297" s="27" t="n">
        <f aca="false">MAX(0,NG-MAX(L297,GWL))</f>
        <v>0.8</v>
      </c>
      <c r="U297" s="27" t="n">
        <f aca="false">E297+2*WS</f>
        <v>3.20000108810357</v>
      </c>
      <c r="V297" s="27" t="n">
        <f aca="false">IF(Q297="Shoring",D297*M297*U297,0)</f>
        <v>0</v>
      </c>
      <c r="W297" s="27" t="n">
        <f aca="false">IF(Q297="Open cut",D297*(U297*M297+SLOPE_B*S297^2+2*SLOPE_B*S297*T297+SLOPE_A*T297^2),0)</f>
        <v>61.4330968555291</v>
      </c>
      <c r="X297" s="27" t="n">
        <f aca="false">IF(M297&gt;0,D297*(E297+2*SLABOVH)*SLAB,0)</f>
        <v>5.6691608039784</v>
      </c>
      <c r="Y297" s="27" t="n">
        <f aca="false">IF(M297&gt;0,D297*PI()*E297^2/4,0)</f>
        <v>5.82879842964151</v>
      </c>
      <c r="Z297" s="27" t="n">
        <f aca="false">IF(H297-E297&gt;=GWL,99,E297*(MAX(0,GWL-H297)*(GAM_S-GAM_W)+MAX(0,NG-MAX(H297,GWL))*GAM_D)/(GAM_W*PI()*E297^2/4))</f>
        <v>0.194683709961199</v>
      </c>
      <c r="AA297" s="27" t="n">
        <f aca="false">IF(I297-E297&gt;=GWL,99,E297*(MAX(0,GWL-I297)*(GAM_S-GAM_W)+MAX(0,NG-MAX(I297,GWL))*GAM_D)/(GAM_W*PI()*E297^2/4))</f>
        <v>0.194683709961199</v>
      </c>
      <c r="AB297" s="27" t="n">
        <f aca="false">IF(H297-E297&gt;=GWL,99,E297*(MAX(0,GWL-H297)*(GAM_S-GAM_W)+MAX(0,FL-MAX(H297,GWL))*GAM_D)/(GAM_W*PI()*E297^2/4))</f>
        <v>3.50432478546301</v>
      </c>
      <c r="AC297" s="27" t="n">
        <f aca="false">IF(I297-E297&gt;=GWL,99,E297*(MAX(0,GWL-I297)*(GAM_S-GAM_W)+MAX(0,FL-MAX(I297,GWL))*GAM_D)/(GAM_W*PI()*E297^2/4))</f>
        <v>3.50432478546301</v>
      </c>
    </row>
    <row r="298" customFormat="false" ht="15" hidden="false" customHeight="false" outlineLevel="0" collapsed="false">
      <c r="A298" s="25" t="s">
        <v>719</v>
      </c>
      <c r="B298" s="25" t="s">
        <v>774</v>
      </c>
      <c r="C298" s="25" t="s">
        <v>776</v>
      </c>
      <c r="D298" s="26" t="n">
        <v>0.102009423446772</v>
      </c>
      <c r="E298" s="26" t="n">
        <v>1.20000108810357</v>
      </c>
      <c r="F298" s="26" t="n">
        <v>-2.50000054405179</v>
      </c>
      <c r="G298" s="26" t="n">
        <v>-2.50000054405179</v>
      </c>
      <c r="H298" s="26" t="n">
        <v>-0.799999455948213</v>
      </c>
      <c r="I298" s="26" t="n">
        <v>-0.799999455948213</v>
      </c>
      <c r="J298" s="26" t="n">
        <v>19.02</v>
      </c>
      <c r="K298" s="27" t="n">
        <f aca="false">MIN(F298,G298)</f>
        <v>-2.50000054405179</v>
      </c>
      <c r="L298" s="27" t="n">
        <f aca="false">AVERAGE(F298,G298)</f>
        <v>-2.50000054405179</v>
      </c>
      <c r="M298" s="27" t="n">
        <f aca="false">MAX(0,NG-L298)</f>
        <v>1.80000054405179</v>
      </c>
      <c r="N298" s="27" t="n">
        <f aca="false">MAX(0,GWL-K298)</f>
        <v>1.00000054405179</v>
      </c>
      <c r="O298" s="27" t="n">
        <f aca="false">MAX(0,NG-MAX(K298,GWL))</f>
        <v>0.8</v>
      </c>
      <c r="P298" s="27" t="n">
        <f aca="false">E298/2+WS+SLOPE_A*O298+SLOPE_B*N298</f>
        <v>4.80000163215536</v>
      </c>
      <c r="Q298" s="28" t="str">
        <f aca="false">IF(AND(P298&lt;J298,N298&lt;=MAXOC),"Open cut","Shoring")</f>
        <v>Open cut</v>
      </c>
      <c r="R298" s="27" t="n">
        <f aca="false">IF(Q298="Shoring",D298,0)</f>
        <v>0</v>
      </c>
      <c r="S298" s="27" t="n">
        <f aca="false">MAX(0,GWL-L298)</f>
        <v>1.00000054405179</v>
      </c>
      <c r="T298" s="27" t="n">
        <f aca="false">MAX(0,NG-MAX(L298,GWL))</f>
        <v>0.8</v>
      </c>
      <c r="U298" s="27" t="n">
        <f aca="false">E298+2*WS</f>
        <v>3.20000108810357</v>
      </c>
      <c r="V298" s="27" t="n">
        <f aca="false">IF(Q298="Shoring",D298*M298*U298,0)</f>
        <v>0</v>
      </c>
      <c r="W298" s="27" t="n">
        <f aca="false">IF(Q298="Open cut",D298*(U298*M298+SLOPE_B*S298^2+2*SLOPE_B*S298*T298+SLOPE_A*T298^2),0)</f>
        <v>1.21595310446337</v>
      </c>
      <c r="X298" s="27" t="n">
        <f aca="false">IF(M298&gt;0,D298*(E298+2*SLABOVH)*SLAB,0)</f>
        <v>0.112210421289858</v>
      </c>
      <c r="Y298" s="27" t="n">
        <f aca="false">IF(M298&gt;0,D298*PI()*E298^2/4,0)</f>
        <v>0.115370149131199</v>
      </c>
      <c r="Z298" s="27" t="n">
        <f aca="false">IF(H298-E298&gt;=GWL,99,E298*(MAX(0,GWL-H298)*(GAM_S-GAM_W)+MAX(0,NG-MAX(H298,GWL))*GAM_D)/(GAM_W*PI()*E298^2/4))</f>
        <v>0.194683709961199</v>
      </c>
      <c r="AA298" s="27" t="n">
        <f aca="false">IF(I298-E298&gt;=GWL,99,E298*(MAX(0,GWL-I298)*(GAM_S-GAM_W)+MAX(0,NG-MAX(I298,GWL))*GAM_D)/(GAM_W*PI()*E298^2/4))</f>
        <v>0.194683709961199</v>
      </c>
      <c r="AB298" s="27" t="n">
        <f aca="false">IF(H298-E298&gt;=GWL,99,E298*(MAX(0,GWL-H298)*(GAM_S-GAM_W)+MAX(0,FL-MAX(H298,GWL))*GAM_D)/(GAM_W*PI()*E298^2/4))</f>
        <v>3.50432478546301</v>
      </c>
      <c r="AC298" s="27" t="n">
        <f aca="false">IF(I298-E298&gt;=GWL,99,E298*(MAX(0,GWL-I298)*(GAM_S-GAM_W)+MAX(0,FL-MAX(I298,GWL))*GAM_D)/(GAM_W*PI()*E298^2/4))</f>
        <v>3.50432478546301</v>
      </c>
    </row>
    <row r="299" customFormat="false" ht="15" hidden="false" customHeight="false" outlineLevel="0" collapsed="false">
      <c r="A299" s="25" t="s">
        <v>719</v>
      </c>
      <c r="B299" s="25" t="s">
        <v>774</v>
      </c>
      <c r="C299" s="25" t="s">
        <v>777</v>
      </c>
      <c r="D299" s="26" t="n">
        <v>0.101964489804179</v>
      </c>
      <c r="E299" s="26" t="n">
        <v>1.20000108810357</v>
      </c>
      <c r="F299" s="26" t="n">
        <v>-2.50000054405179</v>
      </c>
      <c r="G299" s="26" t="n">
        <v>-2.50000054405179</v>
      </c>
      <c r="H299" s="26" t="n">
        <v>-0.799999455948213</v>
      </c>
      <c r="I299" s="26" t="n">
        <v>-0.799999455948213</v>
      </c>
      <c r="J299" s="26" t="n">
        <v>18.97</v>
      </c>
      <c r="K299" s="27" t="n">
        <f aca="false">MIN(F299,G299)</f>
        <v>-2.50000054405179</v>
      </c>
      <c r="L299" s="27" t="n">
        <f aca="false">AVERAGE(F299,G299)</f>
        <v>-2.50000054405179</v>
      </c>
      <c r="M299" s="27" t="n">
        <f aca="false">MAX(0,NG-L299)</f>
        <v>1.80000054405179</v>
      </c>
      <c r="N299" s="27" t="n">
        <f aca="false">MAX(0,GWL-K299)</f>
        <v>1.00000054405179</v>
      </c>
      <c r="O299" s="27" t="n">
        <f aca="false">MAX(0,NG-MAX(K299,GWL))</f>
        <v>0.8</v>
      </c>
      <c r="P299" s="27" t="n">
        <f aca="false">E299/2+WS+SLOPE_A*O299+SLOPE_B*N299</f>
        <v>4.80000163215536</v>
      </c>
      <c r="Q299" s="28" t="str">
        <f aca="false">IF(AND(P299&lt;J299,N299&lt;=MAXOC),"Open cut","Shoring")</f>
        <v>Open cut</v>
      </c>
      <c r="R299" s="27" t="n">
        <f aca="false">IF(Q299="Shoring",D299,0)</f>
        <v>0</v>
      </c>
      <c r="S299" s="27" t="n">
        <f aca="false">MAX(0,GWL-L299)</f>
        <v>1.00000054405179</v>
      </c>
      <c r="T299" s="27" t="n">
        <f aca="false">MAX(0,NG-MAX(L299,GWL))</f>
        <v>0.8</v>
      </c>
      <c r="U299" s="27" t="n">
        <f aca="false">E299+2*WS</f>
        <v>3.20000108810357</v>
      </c>
      <c r="V299" s="27" t="n">
        <f aca="false">IF(Q299="Shoring",D299*M299*U299,0)</f>
        <v>0</v>
      </c>
      <c r="W299" s="27" t="n">
        <f aca="false">IF(Q299="Open cut",D299*(U299*M299+SLOPE_B*S299^2+2*SLOPE_B*S299*T299+SLOPE_A*T299^2),0)</f>
        <v>1.21541749510141</v>
      </c>
      <c r="X299" s="27" t="n">
        <f aca="false">IF(M299&gt;0,D299*(E299+2*SLABOVH)*SLAB,0)</f>
        <v>0.112160994258559</v>
      </c>
      <c r="Y299" s="27" t="n">
        <f aca="false">IF(M299&gt;0,D299*PI()*E299^2/4,0)</f>
        <v>0.11531933028651</v>
      </c>
      <c r="Z299" s="27" t="n">
        <f aca="false">IF(H299-E299&gt;=GWL,99,E299*(MAX(0,GWL-H299)*(GAM_S-GAM_W)+MAX(0,NG-MAX(H299,GWL))*GAM_D)/(GAM_W*PI()*E299^2/4))</f>
        <v>0.194683709961199</v>
      </c>
      <c r="AA299" s="27" t="n">
        <f aca="false">IF(I299-E299&gt;=GWL,99,E299*(MAX(0,GWL-I299)*(GAM_S-GAM_W)+MAX(0,NG-MAX(I299,GWL))*GAM_D)/(GAM_W*PI()*E299^2/4))</f>
        <v>0.194683709961199</v>
      </c>
      <c r="AB299" s="27" t="n">
        <f aca="false">IF(H299-E299&gt;=GWL,99,E299*(MAX(0,GWL-H299)*(GAM_S-GAM_W)+MAX(0,FL-MAX(H299,GWL))*GAM_D)/(GAM_W*PI()*E299^2/4))</f>
        <v>3.50432478546301</v>
      </c>
      <c r="AC299" s="27" t="n">
        <f aca="false">IF(I299-E299&gt;=GWL,99,E299*(MAX(0,GWL-I299)*(GAM_S-GAM_W)+MAX(0,FL-MAX(I299,GWL))*GAM_D)/(GAM_W*PI()*E299^2/4))</f>
        <v>3.50432478546301</v>
      </c>
    </row>
    <row r="300" customFormat="false" ht="15" hidden="false" customHeight="false" outlineLevel="0" collapsed="false">
      <c r="A300" s="25" t="s">
        <v>719</v>
      </c>
      <c r="B300" s="25" t="s">
        <v>778</v>
      </c>
      <c r="C300" s="25" t="s">
        <v>779</v>
      </c>
      <c r="D300" s="26" t="n">
        <v>4.64224608680287</v>
      </c>
      <c r="E300" s="26" t="n">
        <v>1.1999958083824</v>
      </c>
      <c r="F300" s="26" t="n">
        <v>-2.4999979041912</v>
      </c>
      <c r="G300" s="26" t="n">
        <v>-2.4999979041912</v>
      </c>
      <c r="H300" s="26" t="n">
        <v>-0.800002095808802</v>
      </c>
      <c r="I300" s="26" t="n">
        <v>-0.800002095808802</v>
      </c>
      <c r="J300" s="26" t="n">
        <v>17.61</v>
      </c>
      <c r="K300" s="27" t="n">
        <f aca="false">MIN(F300,G300)</f>
        <v>-2.4999979041912</v>
      </c>
      <c r="L300" s="27" t="n">
        <f aca="false">AVERAGE(F300,G300)</f>
        <v>-2.4999979041912</v>
      </c>
      <c r="M300" s="27" t="n">
        <f aca="false">MAX(0,NG-L300)</f>
        <v>1.7999979041912</v>
      </c>
      <c r="N300" s="27" t="n">
        <f aca="false">MAX(0,GWL-K300)</f>
        <v>0.999997904191198</v>
      </c>
      <c r="O300" s="27" t="n">
        <f aca="false">MAX(0,NG-MAX(K300,GWL))</f>
        <v>0.8</v>
      </c>
      <c r="P300" s="27" t="n">
        <f aca="false">E300/2+WS+SLOPE_A*O300+SLOPE_B*N300</f>
        <v>4.79999371257359</v>
      </c>
      <c r="Q300" s="28" t="str">
        <f aca="false">IF(AND(P300&lt;J300,N300&lt;=MAXOC),"Open cut","Shoring")</f>
        <v>Open cut</v>
      </c>
      <c r="R300" s="27" t="n">
        <f aca="false">IF(Q300="Shoring",D300,0)</f>
        <v>0</v>
      </c>
      <c r="S300" s="27" t="n">
        <f aca="false">MAX(0,GWL-L300)</f>
        <v>0.999997904191198</v>
      </c>
      <c r="T300" s="27" t="n">
        <f aca="false">MAX(0,NG-MAX(L300,GWL))</f>
        <v>0.8</v>
      </c>
      <c r="U300" s="27" t="n">
        <f aca="false">E300+2*WS</f>
        <v>3.1999958083824</v>
      </c>
      <c r="V300" s="27" t="n">
        <f aca="false">IF(Q300="Shoring",D300*M300*U300,0)</f>
        <v>0</v>
      </c>
      <c r="W300" s="27" t="n">
        <f aca="false">IF(Q300="Open cut",D300*(U300*M300+SLOPE_B*S300^2+2*SLOPE_B*S300*T300+SLOPE_A*T300^2),0)</f>
        <v>55.3354371451289</v>
      </c>
      <c r="X300" s="27" t="n">
        <f aca="false">IF(M300&gt;0,D300*(E300+2*SLABOVH)*SLAB,0)</f>
        <v>5.10646096622295</v>
      </c>
      <c r="Y300" s="27" t="n">
        <f aca="false">IF(M300&gt;0,D300*PI()*E300^2/4,0)</f>
        <v>5.25021995450129</v>
      </c>
      <c r="Z300" s="27" t="n">
        <f aca="false">IF(H300-E300&gt;=GWL,99,E300*(MAX(0,GWL-H300)*(GAM_S-GAM_W)+MAX(0,NG-MAX(H300,GWL))*GAM_D)/(GAM_W*PI()*E300^2/4))</f>
        <v>0.194689705956386</v>
      </c>
      <c r="AA300" s="27" t="n">
        <f aca="false">IF(I300-E300&gt;=GWL,99,E300*(MAX(0,GWL-I300)*(GAM_S-GAM_W)+MAX(0,NG-MAX(I300,GWL))*GAM_D)/(GAM_W*PI()*E300^2/4))</f>
        <v>0.194689705956386</v>
      </c>
      <c r="AB300" s="27" t="n">
        <f aca="false">IF(H300-E300&gt;=GWL,99,E300*(MAX(0,GWL-H300)*(GAM_S-GAM_W)+MAX(0,FL-MAX(H300,GWL))*GAM_D)/(GAM_W*PI()*E300^2/4))</f>
        <v>3.50434534316079</v>
      </c>
      <c r="AC300" s="27" t="n">
        <f aca="false">IF(I300-E300&gt;=GWL,99,E300*(MAX(0,GWL-I300)*(GAM_S-GAM_W)+MAX(0,FL-MAX(I300,GWL))*GAM_D)/(GAM_W*PI()*E300^2/4))</f>
        <v>3.50434534316079</v>
      </c>
    </row>
    <row r="301" customFormat="false" ht="15" hidden="false" customHeight="false" outlineLevel="0" collapsed="false">
      <c r="A301" s="25" t="s">
        <v>719</v>
      </c>
      <c r="B301" s="25" t="s">
        <v>778</v>
      </c>
      <c r="C301" s="25" t="s">
        <v>780</v>
      </c>
      <c r="D301" s="26" t="n">
        <v>5.38607053097626</v>
      </c>
      <c r="E301" s="26" t="n">
        <v>1.1999958083824</v>
      </c>
      <c r="F301" s="26" t="n">
        <v>-2.4999979041912</v>
      </c>
      <c r="G301" s="26" t="n">
        <v>-2.4999979041912</v>
      </c>
      <c r="H301" s="26" t="n">
        <v>-0.800002095808802</v>
      </c>
      <c r="I301" s="26" t="n">
        <v>-0.800002095808802</v>
      </c>
      <c r="J301" s="26" t="n">
        <v>17.35</v>
      </c>
      <c r="K301" s="27" t="n">
        <f aca="false">MIN(F301,G301)</f>
        <v>-2.4999979041912</v>
      </c>
      <c r="L301" s="27" t="n">
        <f aca="false">AVERAGE(F301,G301)</f>
        <v>-2.4999979041912</v>
      </c>
      <c r="M301" s="27" t="n">
        <f aca="false">MAX(0,NG-L301)</f>
        <v>1.7999979041912</v>
      </c>
      <c r="N301" s="27" t="n">
        <f aca="false">MAX(0,GWL-K301)</f>
        <v>0.999997904191198</v>
      </c>
      <c r="O301" s="27" t="n">
        <f aca="false">MAX(0,NG-MAX(K301,GWL))</f>
        <v>0.8</v>
      </c>
      <c r="P301" s="27" t="n">
        <f aca="false">E301/2+WS+SLOPE_A*O301+SLOPE_B*N301</f>
        <v>4.79999371257359</v>
      </c>
      <c r="Q301" s="28" t="str">
        <f aca="false">IF(AND(P301&lt;J301,N301&lt;=MAXOC),"Open cut","Shoring")</f>
        <v>Open cut</v>
      </c>
      <c r="R301" s="27" t="n">
        <f aca="false">IF(Q301="Shoring",D301,0)</f>
        <v>0</v>
      </c>
      <c r="S301" s="27" t="n">
        <f aca="false">MAX(0,GWL-L301)</f>
        <v>0.999997904191198</v>
      </c>
      <c r="T301" s="27" t="n">
        <f aca="false">MAX(0,NG-MAX(L301,GWL))</f>
        <v>0.8</v>
      </c>
      <c r="U301" s="27" t="n">
        <f aca="false">E301+2*WS</f>
        <v>3.1999958083824</v>
      </c>
      <c r="V301" s="27" t="n">
        <f aca="false">IF(Q301="Shoring",D301*M301*U301,0)</f>
        <v>0</v>
      </c>
      <c r="W301" s="27" t="n">
        <f aca="false">IF(Q301="Open cut",D301*(U301*M301+SLOPE_B*S301^2+2*SLOPE_B*S301*T301+SLOPE_A*T301^2),0)</f>
        <v>64.2018026948953</v>
      </c>
      <c r="X301" s="27" t="n">
        <f aca="false">IF(M301&gt;0,D301*(E301+2*SLABOVH)*SLAB,0)</f>
        <v>5.92466629589986</v>
      </c>
      <c r="Y301" s="27" t="n">
        <f aca="false">IF(M301&gt;0,D301*PI()*E301^2/4,0)</f>
        <v>6.09145970492015</v>
      </c>
      <c r="Z301" s="27" t="n">
        <f aca="false">IF(H301-E301&gt;=GWL,99,E301*(MAX(0,GWL-H301)*(GAM_S-GAM_W)+MAX(0,NG-MAX(H301,GWL))*GAM_D)/(GAM_W*PI()*E301^2/4))</f>
        <v>0.194689705956386</v>
      </c>
      <c r="AA301" s="27" t="n">
        <f aca="false">IF(I301-E301&gt;=GWL,99,E301*(MAX(0,GWL-I301)*(GAM_S-GAM_W)+MAX(0,NG-MAX(I301,GWL))*GAM_D)/(GAM_W*PI()*E301^2/4))</f>
        <v>0.194689705956386</v>
      </c>
      <c r="AB301" s="27" t="n">
        <f aca="false">IF(H301-E301&gt;=GWL,99,E301*(MAX(0,GWL-H301)*(GAM_S-GAM_W)+MAX(0,FL-MAX(H301,GWL))*GAM_D)/(GAM_W*PI()*E301^2/4))</f>
        <v>3.50434534316079</v>
      </c>
      <c r="AC301" s="27" t="n">
        <f aca="false">IF(I301-E301&gt;=GWL,99,E301*(MAX(0,GWL-I301)*(GAM_S-GAM_W)+MAX(0,FL-MAX(I301,GWL))*GAM_D)/(GAM_W*PI()*E301^2/4))</f>
        <v>3.50434534316079</v>
      </c>
    </row>
    <row r="302" customFormat="false" ht="15" hidden="false" customHeight="false" outlineLevel="0" collapsed="false">
      <c r="A302" s="25" t="s">
        <v>719</v>
      </c>
      <c r="B302" s="25" t="s">
        <v>778</v>
      </c>
      <c r="C302" s="25" t="s">
        <v>781</v>
      </c>
      <c r="D302" s="26" t="n">
        <v>4.61392946889539</v>
      </c>
      <c r="E302" s="26" t="n">
        <v>1.20000100822285</v>
      </c>
      <c r="F302" s="26" t="n">
        <v>-2.50000050411143</v>
      </c>
      <c r="G302" s="26" t="n">
        <v>-2.50000050411143</v>
      </c>
      <c r="H302" s="26" t="n">
        <v>-0.799999495888574</v>
      </c>
      <c r="I302" s="26" t="n">
        <v>-0.799999495888574</v>
      </c>
      <c r="J302" s="26" t="n">
        <v>12.32</v>
      </c>
      <c r="K302" s="27" t="n">
        <f aca="false">MIN(F302,G302)</f>
        <v>-2.50000050411143</v>
      </c>
      <c r="L302" s="27" t="n">
        <f aca="false">AVERAGE(F302,G302)</f>
        <v>-2.50000050411143</v>
      </c>
      <c r="M302" s="27" t="n">
        <f aca="false">MAX(0,NG-L302)</f>
        <v>1.80000050411143</v>
      </c>
      <c r="N302" s="27" t="n">
        <f aca="false">MAX(0,GWL-K302)</f>
        <v>1.00000050411143</v>
      </c>
      <c r="O302" s="27" t="n">
        <f aca="false">MAX(0,NG-MAX(K302,GWL))</f>
        <v>0.8</v>
      </c>
      <c r="P302" s="27" t="n">
        <f aca="false">E302/2+WS+SLOPE_A*O302+SLOPE_B*N302</f>
        <v>4.80000151233428</v>
      </c>
      <c r="Q302" s="28" t="str">
        <f aca="false">IF(AND(P302&lt;J302,N302&lt;=MAXOC),"Open cut","Shoring")</f>
        <v>Open cut</v>
      </c>
      <c r="R302" s="27" t="n">
        <f aca="false">IF(Q302="Shoring",D302,0)</f>
        <v>0</v>
      </c>
      <c r="S302" s="27" t="n">
        <f aca="false">MAX(0,GWL-L302)</f>
        <v>1.00000050411143</v>
      </c>
      <c r="T302" s="27" t="n">
        <f aca="false">MAX(0,NG-MAX(L302,GWL))</f>
        <v>0.8</v>
      </c>
      <c r="U302" s="27" t="n">
        <f aca="false">E302+2*WS</f>
        <v>3.20000100822285</v>
      </c>
      <c r="V302" s="27" t="n">
        <f aca="false">IF(Q302="Shoring",D302*M302*U302,0)</f>
        <v>0</v>
      </c>
      <c r="W302" s="27" t="n">
        <f aca="false">IF(Q302="Open cut",D302*(U302*M302+SLOPE_B*S302^2+2*SLOPE_B*S302*T302+SLOPE_A*T302^2),0)</f>
        <v>54.9980718323216</v>
      </c>
      <c r="X302" s="27" t="n">
        <f aca="false">IF(M302&gt;0,D302*(E302+2*SLABOVH)*SLAB,0)</f>
        <v>5.07532474171949</v>
      </c>
      <c r="Y302" s="27" t="n">
        <f aca="false">IF(M302&gt;0,D302*PI()*E302^2/4,0)</f>
        <v>5.21824006108917</v>
      </c>
      <c r="Z302" s="27" t="n">
        <f aca="false">IF(H302-E302&gt;=GWL,99,E302*(MAX(0,GWL-H302)*(GAM_S-GAM_W)+MAX(0,NG-MAX(H302,GWL))*GAM_D)/(GAM_W*PI()*E302^2/4))</f>
        <v>0.194683800678556</v>
      </c>
      <c r="AA302" s="27" t="n">
        <f aca="false">IF(I302-E302&gt;=GWL,99,E302*(MAX(0,GWL-I302)*(GAM_S-GAM_W)+MAX(0,NG-MAX(I302,GWL))*GAM_D)/(GAM_W*PI()*E302^2/4))</f>
        <v>0.194683800678556</v>
      </c>
      <c r="AB302" s="27" t="n">
        <f aca="false">IF(H302-E302&gt;=GWL,99,E302*(MAX(0,GWL-H302)*(GAM_S-GAM_W)+MAX(0,FL-MAX(H302,GWL))*GAM_D)/(GAM_W*PI()*E302^2/4))</f>
        <v>3.50432509649394</v>
      </c>
      <c r="AC302" s="27" t="n">
        <f aca="false">IF(I302-E302&gt;=GWL,99,E302*(MAX(0,GWL-I302)*(GAM_S-GAM_W)+MAX(0,FL-MAX(I302,GWL))*GAM_D)/(GAM_W*PI()*E302^2/4))</f>
        <v>3.50432509649394</v>
      </c>
    </row>
    <row r="303" customFormat="false" ht="15" hidden="false" customHeight="false" outlineLevel="0" collapsed="false">
      <c r="A303" s="25" t="s">
        <v>719</v>
      </c>
      <c r="B303" s="25" t="s">
        <v>778</v>
      </c>
      <c r="C303" s="25" t="s">
        <v>782</v>
      </c>
      <c r="D303" s="26" t="n">
        <v>4.61898053101784</v>
      </c>
      <c r="E303" s="26" t="n">
        <v>1.20000100822285</v>
      </c>
      <c r="F303" s="26" t="n">
        <v>-2.50000050411143</v>
      </c>
      <c r="G303" s="26" t="n">
        <v>-2.50000050411143</v>
      </c>
      <c r="H303" s="26" t="n">
        <v>-0.799999495888574</v>
      </c>
      <c r="I303" s="26" t="n">
        <v>-0.799999495888574</v>
      </c>
      <c r="J303" s="26" t="n">
        <v>16.89</v>
      </c>
      <c r="K303" s="27" t="n">
        <f aca="false">MIN(F303,G303)</f>
        <v>-2.50000050411143</v>
      </c>
      <c r="L303" s="27" t="n">
        <f aca="false">AVERAGE(F303,G303)</f>
        <v>-2.50000050411143</v>
      </c>
      <c r="M303" s="27" t="n">
        <f aca="false">MAX(0,NG-L303)</f>
        <v>1.80000050411143</v>
      </c>
      <c r="N303" s="27" t="n">
        <f aca="false">MAX(0,GWL-K303)</f>
        <v>1.00000050411143</v>
      </c>
      <c r="O303" s="27" t="n">
        <f aca="false">MAX(0,NG-MAX(K303,GWL))</f>
        <v>0.8</v>
      </c>
      <c r="P303" s="27" t="n">
        <f aca="false">E303/2+WS+SLOPE_A*O303+SLOPE_B*N303</f>
        <v>4.80000151233428</v>
      </c>
      <c r="Q303" s="28" t="str">
        <f aca="false">IF(AND(P303&lt;J303,N303&lt;=MAXOC),"Open cut","Shoring")</f>
        <v>Open cut</v>
      </c>
      <c r="R303" s="27" t="n">
        <f aca="false">IF(Q303="Shoring",D303,0)</f>
        <v>0</v>
      </c>
      <c r="S303" s="27" t="n">
        <f aca="false">MAX(0,GWL-L303)</f>
        <v>1.00000050411143</v>
      </c>
      <c r="T303" s="27" t="n">
        <f aca="false">MAX(0,NG-MAX(L303,GWL))</f>
        <v>0.8</v>
      </c>
      <c r="U303" s="27" t="n">
        <f aca="false">E303+2*WS</f>
        <v>3.20000100822285</v>
      </c>
      <c r="V303" s="27" t="n">
        <f aca="false">IF(Q303="Shoring",D303*M303*U303,0)</f>
        <v>0</v>
      </c>
      <c r="W303" s="27" t="n">
        <f aca="false">IF(Q303="Open cut",D303*(U303*M303+SLOPE_B*S303^2+2*SLOPE_B*S303*T303+SLOPE_A*T303^2),0)</f>
        <v>55.0582805284695</v>
      </c>
      <c r="X303" s="27" t="n">
        <f aca="false">IF(M303&gt;0,D303*(E303+2*SLABOVH)*SLAB,0)</f>
        <v>5.08088091260049</v>
      </c>
      <c r="Y303" s="27" t="n">
        <f aca="false">IF(M303&gt;0,D303*PI()*E303^2/4,0)</f>
        <v>5.22395268736491</v>
      </c>
      <c r="Z303" s="27" t="n">
        <f aca="false">IF(H303-E303&gt;=GWL,99,E303*(MAX(0,GWL-H303)*(GAM_S-GAM_W)+MAX(0,NG-MAX(H303,GWL))*GAM_D)/(GAM_W*PI()*E303^2/4))</f>
        <v>0.194683800678556</v>
      </c>
      <c r="AA303" s="27" t="n">
        <f aca="false">IF(I303-E303&gt;=GWL,99,E303*(MAX(0,GWL-I303)*(GAM_S-GAM_W)+MAX(0,NG-MAX(I303,GWL))*GAM_D)/(GAM_W*PI()*E303^2/4))</f>
        <v>0.194683800678556</v>
      </c>
      <c r="AB303" s="27" t="n">
        <f aca="false">IF(H303-E303&gt;=GWL,99,E303*(MAX(0,GWL-H303)*(GAM_S-GAM_W)+MAX(0,FL-MAX(H303,GWL))*GAM_D)/(GAM_W*PI()*E303^2/4))</f>
        <v>3.50432509649394</v>
      </c>
      <c r="AC303" s="27" t="n">
        <f aca="false">IF(I303-E303&gt;=GWL,99,E303*(MAX(0,GWL-I303)*(GAM_S-GAM_W)+MAX(0,FL-MAX(I303,GWL))*GAM_D)/(GAM_W*PI()*E303^2/4))</f>
        <v>3.50432509649394</v>
      </c>
    </row>
    <row r="304" customFormat="false" ht="15" hidden="false" customHeight="false" outlineLevel="0" collapsed="false">
      <c r="A304" s="25" t="s">
        <v>719</v>
      </c>
      <c r="B304" s="25" t="s">
        <v>778</v>
      </c>
      <c r="C304" s="25" t="s">
        <v>783</v>
      </c>
      <c r="D304" s="26" t="n">
        <v>0.170000000113</v>
      </c>
      <c r="E304" s="26" t="n">
        <v>1.20000100822285</v>
      </c>
      <c r="F304" s="26" t="n">
        <v>-2.50000050411143</v>
      </c>
      <c r="G304" s="26" t="n">
        <v>-2.50000050411143</v>
      </c>
      <c r="H304" s="26" t="n">
        <v>-0.799999495888574</v>
      </c>
      <c r="I304" s="26" t="n">
        <v>-0.799999495888574</v>
      </c>
      <c r="J304" s="26" t="n">
        <v>20.82</v>
      </c>
      <c r="K304" s="27" t="n">
        <f aca="false">MIN(F304,G304)</f>
        <v>-2.50000050411143</v>
      </c>
      <c r="L304" s="27" t="n">
        <f aca="false">AVERAGE(F304,G304)</f>
        <v>-2.50000050411143</v>
      </c>
      <c r="M304" s="27" t="n">
        <f aca="false">MAX(0,NG-L304)</f>
        <v>1.80000050411143</v>
      </c>
      <c r="N304" s="27" t="n">
        <f aca="false">MAX(0,GWL-K304)</f>
        <v>1.00000050411143</v>
      </c>
      <c r="O304" s="27" t="n">
        <f aca="false">MAX(0,NG-MAX(K304,GWL))</f>
        <v>0.8</v>
      </c>
      <c r="P304" s="27" t="n">
        <f aca="false">E304/2+WS+SLOPE_A*O304+SLOPE_B*N304</f>
        <v>4.80000151233428</v>
      </c>
      <c r="Q304" s="28" t="str">
        <f aca="false">IF(AND(P304&lt;J304,N304&lt;=MAXOC),"Open cut","Shoring")</f>
        <v>Open cut</v>
      </c>
      <c r="R304" s="27" t="n">
        <f aca="false">IF(Q304="Shoring",D304,0)</f>
        <v>0</v>
      </c>
      <c r="S304" s="27" t="n">
        <f aca="false">MAX(0,GWL-L304)</f>
        <v>1.00000050411143</v>
      </c>
      <c r="T304" s="27" t="n">
        <f aca="false">MAX(0,NG-MAX(L304,GWL))</f>
        <v>0.8</v>
      </c>
      <c r="U304" s="27" t="n">
        <f aca="false">E304+2*WS</f>
        <v>3.20000100822285</v>
      </c>
      <c r="V304" s="27" t="n">
        <f aca="false">IF(Q304="Shoring",D304*M304*U304,0)</f>
        <v>0</v>
      </c>
      <c r="W304" s="27" t="n">
        <f aca="false">IF(Q304="Open cut",D304*(U304*M304+SLOPE_B*S304^2+2*SLOPE_B*S304*T304+SLOPE_A*T304^2),0)</f>
        <v>2.02640120113233</v>
      </c>
      <c r="X304" s="27" t="n">
        <f aca="false">IF(M304&gt;0,D304*(E304+2*SLABOVH)*SLAB,0)</f>
        <v>0.187000085823242</v>
      </c>
      <c r="Y304" s="27" t="n">
        <f aca="false">IF(M304&gt;0,D304*PI()*E304^2/4,0)</f>
        <v>0.192265793605033</v>
      </c>
      <c r="Z304" s="27" t="n">
        <f aca="false">IF(H304-E304&gt;=GWL,99,E304*(MAX(0,GWL-H304)*(GAM_S-GAM_W)+MAX(0,NG-MAX(H304,GWL))*GAM_D)/(GAM_W*PI()*E304^2/4))</f>
        <v>0.194683800678556</v>
      </c>
      <c r="AA304" s="27" t="n">
        <f aca="false">IF(I304-E304&gt;=GWL,99,E304*(MAX(0,GWL-I304)*(GAM_S-GAM_W)+MAX(0,NG-MAX(I304,GWL))*GAM_D)/(GAM_W*PI()*E304^2/4))</f>
        <v>0.194683800678556</v>
      </c>
      <c r="AB304" s="27" t="n">
        <f aca="false">IF(H304-E304&gt;=GWL,99,E304*(MAX(0,GWL-H304)*(GAM_S-GAM_W)+MAX(0,FL-MAX(H304,GWL))*GAM_D)/(GAM_W*PI()*E304^2/4))</f>
        <v>3.50432509649394</v>
      </c>
      <c r="AC304" s="27" t="n">
        <f aca="false">IF(I304-E304&gt;=GWL,99,E304*(MAX(0,GWL-I304)*(GAM_S-GAM_W)+MAX(0,FL-MAX(I304,GWL))*GAM_D)/(GAM_W*PI()*E304^2/4))</f>
        <v>3.50432509649394</v>
      </c>
    </row>
    <row r="305" customFormat="false" ht="15" hidden="false" customHeight="false" outlineLevel="0" collapsed="false">
      <c r="A305" s="25" t="s">
        <v>719</v>
      </c>
      <c r="B305" s="25" t="s">
        <v>778</v>
      </c>
      <c r="C305" s="25" t="s">
        <v>784</v>
      </c>
      <c r="D305" s="26" t="n">
        <v>0.629362197112218</v>
      </c>
      <c r="E305" s="26" t="n">
        <v>1.2</v>
      </c>
      <c r="F305" s="26" t="n">
        <v>-2.5</v>
      </c>
      <c r="G305" s="26" t="n">
        <v>-2.5</v>
      </c>
      <c r="H305" s="26" t="n">
        <v>-0.8</v>
      </c>
      <c r="I305" s="26" t="n">
        <v>-0.8</v>
      </c>
      <c r="J305" s="26" t="n">
        <v>20.91</v>
      </c>
      <c r="K305" s="27" t="n">
        <f aca="false">MIN(F305,G305)</f>
        <v>-2.5</v>
      </c>
      <c r="L305" s="27" t="n">
        <f aca="false">AVERAGE(F305,G305)</f>
        <v>-2.5</v>
      </c>
      <c r="M305" s="27" t="n">
        <f aca="false">MAX(0,NG-L305)</f>
        <v>1.8</v>
      </c>
      <c r="N305" s="27" t="n">
        <f aca="false">MAX(0,GWL-K305)</f>
        <v>1</v>
      </c>
      <c r="O305" s="27" t="n">
        <f aca="false">MAX(0,NG-MAX(K305,GWL))</f>
        <v>0.8</v>
      </c>
      <c r="P305" s="27" t="n">
        <f aca="false">E305/2+WS+SLOPE_A*O305+SLOPE_B*N305</f>
        <v>4.8</v>
      </c>
      <c r="Q305" s="28" t="str">
        <f aca="false">IF(AND(P305&lt;J305,N305&lt;=MAXOC),"Open cut","Shoring")</f>
        <v>Open cut</v>
      </c>
      <c r="R305" s="27" t="n">
        <f aca="false">IF(Q305="Shoring",D305,0)</f>
        <v>0</v>
      </c>
      <c r="S305" s="27" t="n">
        <f aca="false">MAX(0,GWL-L305)</f>
        <v>1</v>
      </c>
      <c r="T305" s="27" t="n">
        <f aca="false">MAX(0,NG-MAX(L305,GWL))</f>
        <v>0.8</v>
      </c>
      <c r="U305" s="27" t="n">
        <f aca="false">E305+2*WS</f>
        <v>3.2</v>
      </c>
      <c r="V305" s="27" t="n">
        <f aca="false">IF(Q305="Shoring",D305*M305*U305,0)</f>
        <v>0</v>
      </c>
      <c r="W305" s="27" t="n">
        <f aca="false">IF(Q305="Open cut",D305*(U305*M305+SLOPE_B*S305^2+2*SLOPE_B*S305*T305+SLOPE_A*T305^2),0)</f>
        <v>7.50199738957764</v>
      </c>
      <c r="X305" s="27" t="n">
        <f aca="false">IF(M305&gt;0,D305*(E305+2*SLABOVH)*SLAB,0)</f>
        <v>0.69229841682344</v>
      </c>
      <c r="Y305" s="27" t="n">
        <f aca="false">IF(M305&gt;0,D305*PI()*E305^2/4,0)</f>
        <v>0.711791875762155</v>
      </c>
      <c r="Z305" s="27" t="n">
        <f aca="false">IF(H305-E305&gt;=GWL,99,E305*(MAX(0,GWL-H305)*(GAM_S-GAM_W)+MAX(0,NG-MAX(H305,GWL))*GAM_D)/(GAM_W*PI()*E305^2/4))</f>
        <v>0.194684945678159</v>
      </c>
      <c r="AA305" s="27" t="n">
        <f aca="false">IF(I305-E305&gt;=GWL,99,E305*(MAX(0,GWL-I305)*(GAM_S-GAM_W)+MAX(0,NG-MAX(I305,GWL))*GAM_D)/(GAM_W*PI()*E305^2/4))</f>
        <v>0.194684945678159</v>
      </c>
      <c r="AB305" s="27" t="n">
        <f aca="false">IF(H305-E305&gt;=GWL,99,E305*(MAX(0,GWL-H305)*(GAM_S-GAM_W)+MAX(0,FL-MAX(H305,GWL))*GAM_D)/(GAM_W*PI()*E305^2/4))</f>
        <v>3.50432902220687</v>
      </c>
      <c r="AC305" s="27" t="n">
        <f aca="false">IF(I305-E305&gt;=GWL,99,E305*(MAX(0,GWL-I305)*(GAM_S-GAM_W)+MAX(0,FL-MAX(I305,GWL))*GAM_D)/(GAM_W*PI()*E305^2/4))</f>
        <v>3.50432902220687</v>
      </c>
    </row>
    <row r="306" customFormat="false" ht="15" hidden="false" customHeight="false" outlineLevel="0" collapsed="false">
      <c r="A306" s="25" t="s">
        <v>719</v>
      </c>
      <c r="B306" s="25" t="s">
        <v>778</v>
      </c>
      <c r="C306" s="25" t="s">
        <v>785</v>
      </c>
      <c r="D306" s="26" t="n">
        <v>2.44862915738005</v>
      </c>
      <c r="E306" s="26" t="n">
        <v>1.19999850466956</v>
      </c>
      <c r="F306" s="26" t="n">
        <v>-2.49999925233478</v>
      </c>
      <c r="G306" s="26" t="n">
        <v>-2.49913925233478</v>
      </c>
      <c r="H306" s="26" t="n">
        <v>-0.800000747665222</v>
      </c>
      <c r="I306" s="26" t="n">
        <v>-0.799140747665223</v>
      </c>
      <c r="J306" s="26" t="n">
        <v>21.27</v>
      </c>
      <c r="K306" s="27" t="n">
        <f aca="false">MIN(F306,G306)</f>
        <v>-2.49999925233478</v>
      </c>
      <c r="L306" s="27" t="n">
        <f aca="false">AVERAGE(F306,G306)</f>
        <v>-2.49956925233478</v>
      </c>
      <c r="M306" s="27" t="n">
        <f aca="false">MAX(0,NG-L306)</f>
        <v>1.79956925233478</v>
      </c>
      <c r="N306" s="27" t="n">
        <f aca="false">MAX(0,GWL-K306)</f>
        <v>0.999999252334777</v>
      </c>
      <c r="O306" s="27" t="n">
        <f aca="false">MAX(0,NG-MAX(K306,GWL))</f>
        <v>0.8</v>
      </c>
      <c r="P306" s="27" t="n">
        <f aca="false">E306/2+WS+SLOPE_A*O306+SLOPE_B*N306</f>
        <v>4.79999775700433</v>
      </c>
      <c r="Q306" s="28" t="str">
        <f aca="false">IF(AND(P306&lt;J306,N306&lt;=MAXOC),"Open cut","Shoring")</f>
        <v>Open cut</v>
      </c>
      <c r="R306" s="27" t="n">
        <f aca="false">IF(Q306="Shoring",D306,0)</f>
        <v>0</v>
      </c>
      <c r="S306" s="27" t="n">
        <f aca="false">MAX(0,GWL-L306)</f>
        <v>0.999569252334777</v>
      </c>
      <c r="T306" s="27" t="n">
        <f aca="false">MAX(0,NG-MAX(L306,GWL))</f>
        <v>0.8</v>
      </c>
      <c r="U306" s="27" t="n">
        <f aca="false">E306+2*WS</f>
        <v>3.19999850466956</v>
      </c>
      <c r="V306" s="27" t="n">
        <f aca="false">IF(Q306="Shoring",D306*M306*U306,0)</f>
        <v>0</v>
      </c>
      <c r="W306" s="27" t="n">
        <f aca="false">IF(Q306="Open cut",D306*(U306*M306+SLOPE_B*S306^2+2*SLOPE_B*S306*T306+SLOPE_A*T306^2),0)</f>
        <v>29.1766845660421</v>
      </c>
      <c r="X306" s="27" t="n">
        <f aca="false">IF(M306&gt;0,D306*(E306+2*SLABOVH)*SLAB,0)</f>
        <v>2.69349024236319</v>
      </c>
      <c r="Y306" s="27" t="n">
        <f aca="false">IF(M306&gt;0,D306*PI()*E306^2/4,0)</f>
        <v>2.76932743220979</v>
      </c>
      <c r="Z306" s="27" t="n">
        <f aca="false">IF(H306-E306&gt;=GWL,99,E306*(MAX(0,GWL-H306)*(GAM_S-GAM_W)+MAX(0,NG-MAX(H306,GWL))*GAM_D)/(GAM_W*PI()*E306^2/4))</f>
        <v>0.194686643870513</v>
      </c>
      <c r="AA306" s="27" t="n">
        <f aca="false">IF(I306-E306&gt;=GWL,99,E306*(MAX(0,GWL-I306)*(GAM_S-GAM_W)+MAX(0,NG-MAX(I306,GWL))*GAM_D)/(GAM_W*PI()*E306^2/4))</f>
        <v>0.193012351251331</v>
      </c>
      <c r="AB306" s="27" t="n">
        <f aca="false">IF(H306-E306&gt;=GWL,99,E306*(MAX(0,GWL-H306)*(GAM_S-GAM_W)+MAX(0,FL-MAX(H306,GWL))*GAM_D)/(GAM_W*PI()*E306^2/4))</f>
        <v>3.50433484458066</v>
      </c>
      <c r="AC306" s="27" t="n">
        <f aca="false">IF(I306-E306&gt;=GWL,99,E306*(MAX(0,GWL-I306)*(GAM_S-GAM_W)+MAX(0,FL-MAX(I306,GWL))*GAM_D)/(GAM_W*PI()*E306^2/4))</f>
        <v>3.50266055196147</v>
      </c>
    </row>
    <row r="307" customFormat="false" ht="15" hidden="false" customHeight="false" outlineLevel="0" collapsed="false">
      <c r="A307" s="25" t="s">
        <v>719</v>
      </c>
      <c r="B307" s="25" t="s">
        <v>767</v>
      </c>
      <c r="C307" s="25" t="s">
        <v>786</v>
      </c>
      <c r="D307" s="26" t="n">
        <v>0.45000000026577</v>
      </c>
      <c r="E307" s="26" t="n">
        <v>1.59999854377689</v>
      </c>
      <c r="F307" s="26" t="n">
        <v>-2.96819927188845</v>
      </c>
      <c r="G307" s="26" t="n">
        <v>-2.96819927188845</v>
      </c>
      <c r="H307" s="26" t="n">
        <v>-0.868200728111553</v>
      </c>
      <c r="I307" s="26" t="n">
        <v>-0.868200728111553</v>
      </c>
      <c r="J307" s="26" t="n">
        <v>9.18</v>
      </c>
      <c r="K307" s="27" t="n">
        <f aca="false">MIN(F307,G307)</f>
        <v>-2.96819927188845</v>
      </c>
      <c r="L307" s="27" t="n">
        <f aca="false">AVERAGE(F307,G307)</f>
        <v>-2.96819927188845</v>
      </c>
      <c r="M307" s="27" t="n">
        <f aca="false">MAX(0,NG-L307)</f>
        <v>2.26819927188845</v>
      </c>
      <c r="N307" s="27" t="n">
        <f aca="false">MAX(0,GWL-K307)</f>
        <v>1.46819927188845</v>
      </c>
      <c r="O307" s="27" t="n">
        <f aca="false">MAX(0,NG-MAX(K307,GWL))</f>
        <v>0.8</v>
      </c>
      <c r="P307" s="27" t="n">
        <f aca="false">E307/2+WS+SLOPE_A*O307+SLOPE_B*N307</f>
        <v>5.93639781566534</v>
      </c>
      <c r="Q307" s="28" t="str">
        <f aca="false">IF(AND(P307&lt;J307,N307&lt;=MAXOC),"Open cut","Shoring")</f>
        <v>Open cut</v>
      </c>
      <c r="R307" s="27" t="n">
        <f aca="false">IF(Q307="Shoring",D307,0)</f>
        <v>0</v>
      </c>
      <c r="S307" s="27" t="n">
        <f aca="false">MAX(0,GWL-L307)</f>
        <v>1.46819927188845</v>
      </c>
      <c r="T307" s="27" t="n">
        <f aca="false">MAX(0,NG-MAX(L307,GWL))</f>
        <v>0.8</v>
      </c>
      <c r="U307" s="27" t="n">
        <f aca="false">E307+2*WS</f>
        <v>3.59999854377689</v>
      </c>
      <c r="V307" s="27" t="n">
        <f aca="false">IF(Q307="Shoring",D307*M307*U307,0)</f>
        <v>0</v>
      </c>
      <c r="W307" s="27" t="n">
        <f aca="false">IF(Q307="Open cut",D307*(U307*M307+SLOPE_B*S307^2+2*SLOPE_B*S307*T307+SLOPE_A*T307^2),0)</f>
        <v>8.16073648222289</v>
      </c>
      <c r="X307" s="27" t="n">
        <f aca="false">IF(M307&gt;0,D307*(E307+2*SLABOVH)*SLAB,0)</f>
        <v>0.584999672695302</v>
      </c>
      <c r="Y307" s="27" t="n">
        <f aca="false">IF(M307&gt;0,D307*PI()*E307^2/4,0)</f>
        <v>0.904777037819439</v>
      </c>
      <c r="Z307" s="27" t="n">
        <f aca="false">IF(H307-E307&gt;=GWL,99,E307*(MAX(0,GWL-H307)*(GAM_S-GAM_W)+MAX(0,NG-MAX(H307,GWL))*GAM_D)/(GAM_W*PI()*E307^2/4))</f>
        <v>0.245596345642605</v>
      </c>
      <c r="AA307" s="27" t="n">
        <f aca="false">IF(I307-E307&gt;=GWL,99,E307*(MAX(0,GWL-I307)*(GAM_S-GAM_W)+MAX(0,NG-MAX(I307,GWL))*GAM_D)/(GAM_W*PI()*E307^2/4))</f>
        <v>0.245596345642605</v>
      </c>
      <c r="AB307" s="27" t="n">
        <f aca="false">IF(H307-E307&gt;=GWL,99,E307*(MAX(0,GWL-H307)*(GAM_S-GAM_W)+MAX(0,FL-MAX(H307,GWL))*GAM_D)/(GAM_W*PI()*E307^2/4))</f>
        <v>2.7278316622194</v>
      </c>
      <c r="AC307" s="27" t="n">
        <f aca="false">IF(I307-E307&gt;=GWL,99,E307*(MAX(0,GWL-I307)*(GAM_S-GAM_W)+MAX(0,FL-MAX(I307,GWL))*GAM_D)/(GAM_W*PI()*E307^2/4))</f>
        <v>2.7278316622194</v>
      </c>
    </row>
    <row r="308" customFormat="false" ht="15" hidden="false" customHeight="false" outlineLevel="0" collapsed="false">
      <c r="A308" s="25" t="s">
        <v>719</v>
      </c>
      <c r="B308" s="25" t="s">
        <v>787</v>
      </c>
      <c r="C308" s="25" t="s">
        <v>788</v>
      </c>
      <c r="D308" s="26" t="n">
        <v>2.80606999992522</v>
      </c>
      <c r="E308" s="26" t="n">
        <v>1.19999332907163</v>
      </c>
      <c r="F308" s="26" t="n">
        <v>-2.96902666453581</v>
      </c>
      <c r="G308" s="26" t="n">
        <v>-2.96902666453581</v>
      </c>
      <c r="H308" s="26" t="n">
        <v>-1.26903333546419</v>
      </c>
      <c r="I308" s="26" t="n">
        <v>-1.26903333546419</v>
      </c>
      <c r="J308" s="26" t="n">
        <v>99</v>
      </c>
      <c r="K308" s="27" t="n">
        <f aca="false">MIN(F308,G308)</f>
        <v>-2.96902666453581</v>
      </c>
      <c r="L308" s="27" t="n">
        <f aca="false">AVERAGE(F308,G308)</f>
        <v>-2.96902666453581</v>
      </c>
      <c r="M308" s="27" t="n">
        <f aca="false">MAX(0,NG-L308)</f>
        <v>2.26902666453581</v>
      </c>
      <c r="N308" s="27" t="n">
        <f aca="false">MAX(0,GWL-K308)</f>
        <v>1.46902666453581</v>
      </c>
      <c r="O308" s="27" t="n">
        <f aca="false">MAX(0,NG-MAX(K308,GWL))</f>
        <v>0.8</v>
      </c>
      <c r="P308" s="27" t="n">
        <f aca="false">E308/2+WS+SLOPE_A*O308+SLOPE_B*N308</f>
        <v>5.73804999360744</v>
      </c>
      <c r="Q308" s="28" t="str">
        <f aca="false">IF(AND(P308&lt;J308,N308&lt;=MAXOC),"Open cut","Shoring")</f>
        <v>Open cut</v>
      </c>
      <c r="R308" s="27" t="n">
        <f aca="false">IF(Q308="Shoring",D308,0)</f>
        <v>0</v>
      </c>
      <c r="S308" s="27" t="n">
        <f aca="false">MAX(0,GWL-L308)</f>
        <v>1.46902666453581</v>
      </c>
      <c r="T308" s="27" t="n">
        <f aca="false">MAX(0,NG-MAX(L308,GWL))</f>
        <v>0.8</v>
      </c>
      <c r="U308" s="27" t="n">
        <f aca="false">E308+2*WS</f>
        <v>3.19999332907163</v>
      </c>
      <c r="V308" s="27" t="n">
        <f aca="false">IF(Q308="Shoring",D308*M308*U308,0)</f>
        <v>0</v>
      </c>
      <c r="W308" s="27" t="n">
        <f aca="false">IF(Q308="Open cut",D308*(U308*M308+SLOPE_B*S308^2+2*SLOPE_B*S308*T308+SLOPE_A*T308^2),0)</f>
        <v>48.3705694087953</v>
      </c>
      <c r="X308" s="27" t="n">
        <f aca="false">IF(M308&gt;0,D308*(E308+2*SLABOVH)*SLAB,0)</f>
        <v>3.08666764037175</v>
      </c>
      <c r="Y308" s="27" t="n">
        <f aca="false">IF(M308&gt;0,D308*PI()*E308^2/4,0)</f>
        <v>3.17355511844153</v>
      </c>
      <c r="Z308" s="27" t="n">
        <f aca="false">IF(H308-E308&gt;=GWL,99,E308*(MAX(0,GWL-H308)*(GAM_S-GAM_W)+MAX(0,NG-MAX(H308,GWL))*GAM_D)/(GAM_W*PI()*E308^2/4))</f>
        <v>1.10782839857565</v>
      </c>
      <c r="AA308" s="27" t="n">
        <f aca="false">IF(I308-E308&gt;=GWL,99,E308*(MAX(0,GWL-I308)*(GAM_S-GAM_W)+MAX(0,NG-MAX(I308,GWL))*GAM_D)/(GAM_W*PI()*E308^2/4))</f>
        <v>1.10782839857565</v>
      </c>
      <c r="AB308" s="27" t="n">
        <f aca="false">IF(H308-E308&gt;=GWL,99,E308*(MAX(0,GWL-H308)*(GAM_S-GAM_W)+MAX(0,FL-MAX(H308,GWL))*GAM_D)/(GAM_W*PI()*E308^2/4))</f>
        <v>4.41749087387212</v>
      </c>
      <c r="AC308" s="27" t="n">
        <f aca="false">IF(I308-E308&gt;=GWL,99,E308*(MAX(0,GWL-I308)*(GAM_S-GAM_W)+MAX(0,FL-MAX(I308,GWL))*GAM_D)/(GAM_W*PI()*E308^2/4))</f>
        <v>4.41749087387212</v>
      </c>
    </row>
    <row r="309" customFormat="false" ht="15" hidden="false" customHeight="false" outlineLevel="0" collapsed="false">
      <c r="A309" s="25" t="s">
        <v>719</v>
      </c>
      <c r="B309" s="25" t="s">
        <v>787</v>
      </c>
      <c r="C309" s="25" t="s">
        <v>789</v>
      </c>
      <c r="D309" s="26" t="n">
        <v>0.0946131658988646</v>
      </c>
      <c r="E309" s="26" t="n">
        <v>1.19999332907163</v>
      </c>
      <c r="F309" s="26" t="n">
        <v>-2.96902666453581</v>
      </c>
      <c r="G309" s="26" t="n">
        <v>-2.96902666453581</v>
      </c>
      <c r="H309" s="26" t="n">
        <v>-1.26903333546419</v>
      </c>
      <c r="I309" s="26" t="n">
        <v>-1.26903333546419</v>
      </c>
      <c r="J309" s="26" t="n">
        <v>99</v>
      </c>
      <c r="K309" s="27" t="n">
        <f aca="false">MIN(F309,G309)</f>
        <v>-2.96902666453581</v>
      </c>
      <c r="L309" s="27" t="n">
        <f aca="false">AVERAGE(F309,G309)</f>
        <v>-2.96902666453581</v>
      </c>
      <c r="M309" s="27" t="n">
        <f aca="false">MAX(0,NG-L309)</f>
        <v>2.26902666453581</v>
      </c>
      <c r="N309" s="27" t="n">
        <f aca="false">MAX(0,GWL-K309)</f>
        <v>1.46902666453581</v>
      </c>
      <c r="O309" s="27" t="n">
        <f aca="false">MAX(0,NG-MAX(K309,GWL))</f>
        <v>0.8</v>
      </c>
      <c r="P309" s="27" t="n">
        <f aca="false">E309/2+WS+SLOPE_A*O309+SLOPE_B*N309</f>
        <v>5.73804999360744</v>
      </c>
      <c r="Q309" s="28" t="str">
        <f aca="false">IF(AND(P309&lt;J309,N309&lt;=MAXOC),"Open cut","Shoring")</f>
        <v>Open cut</v>
      </c>
      <c r="R309" s="27" t="n">
        <f aca="false">IF(Q309="Shoring",D309,0)</f>
        <v>0</v>
      </c>
      <c r="S309" s="27" t="n">
        <f aca="false">MAX(0,GWL-L309)</f>
        <v>1.46902666453581</v>
      </c>
      <c r="T309" s="27" t="n">
        <f aca="false">MAX(0,NG-MAX(L309,GWL))</f>
        <v>0.8</v>
      </c>
      <c r="U309" s="27" t="n">
        <f aca="false">E309+2*WS</f>
        <v>3.19999332907163</v>
      </c>
      <c r="V309" s="27" t="n">
        <f aca="false">IF(Q309="Shoring",D309*M309*U309,0)</f>
        <v>0</v>
      </c>
      <c r="W309" s="27" t="n">
        <f aca="false">IF(Q309="Open cut",D309*(U309*M309+SLOPE_B*S309^2+2*SLOPE_B*S309*T309+SLOPE_A*T309^2),0)</f>
        <v>1.63092606678339</v>
      </c>
      <c r="X309" s="27" t="n">
        <f aca="false">IF(M309&gt;0,D309*(E309+2*SLABOVH)*SLAB,0)</f>
        <v>0.104074166909925</v>
      </c>
      <c r="Y309" s="27" t="n">
        <f aca="false">IF(M309&gt;0,D309*PI()*E309^2/4,0)</f>
        <v>0.107003779990628</v>
      </c>
      <c r="Z309" s="27" t="n">
        <f aca="false">IF(H309-E309&gt;=GWL,99,E309*(MAX(0,GWL-H309)*(GAM_S-GAM_W)+MAX(0,NG-MAX(H309,GWL))*GAM_D)/(GAM_W*PI()*E309^2/4))</f>
        <v>1.10782839857565</v>
      </c>
      <c r="AA309" s="27" t="n">
        <f aca="false">IF(I309-E309&gt;=GWL,99,E309*(MAX(0,GWL-I309)*(GAM_S-GAM_W)+MAX(0,NG-MAX(I309,GWL))*GAM_D)/(GAM_W*PI()*E309^2/4))</f>
        <v>1.10782839857565</v>
      </c>
      <c r="AB309" s="27" t="n">
        <f aca="false">IF(H309-E309&gt;=GWL,99,E309*(MAX(0,GWL-H309)*(GAM_S-GAM_W)+MAX(0,FL-MAX(H309,GWL))*GAM_D)/(GAM_W*PI()*E309^2/4))</f>
        <v>4.41749087387212</v>
      </c>
      <c r="AC309" s="27" t="n">
        <f aca="false">IF(I309-E309&gt;=GWL,99,E309*(MAX(0,GWL-I309)*(GAM_S-GAM_W)+MAX(0,FL-MAX(I309,GWL))*GAM_D)/(GAM_W*PI()*E309^2/4))</f>
        <v>4.41749087387212</v>
      </c>
    </row>
    <row r="310" customFormat="false" ht="15" hidden="false" customHeight="false" outlineLevel="0" collapsed="false">
      <c r="A310" s="25" t="s">
        <v>719</v>
      </c>
      <c r="B310" s="25" t="s">
        <v>790</v>
      </c>
      <c r="C310" s="25" t="s">
        <v>791</v>
      </c>
      <c r="D310" s="26" t="n">
        <v>6.0560899999274</v>
      </c>
      <c r="E310" s="26" t="n">
        <v>1.20000682617783</v>
      </c>
      <c r="F310" s="26" t="n">
        <v>-2.96903341308892</v>
      </c>
      <c r="G310" s="26" t="n">
        <v>-2.96903341308892</v>
      </c>
      <c r="H310" s="26" t="n">
        <v>-1.26902658691109</v>
      </c>
      <c r="I310" s="26" t="n">
        <v>-1.26902658691109</v>
      </c>
      <c r="J310" s="26" t="n">
        <v>22.06</v>
      </c>
      <c r="K310" s="27" t="n">
        <f aca="false">MIN(F310,G310)</f>
        <v>-2.96903341308892</v>
      </c>
      <c r="L310" s="27" t="n">
        <f aca="false">AVERAGE(F310,G310)</f>
        <v>-2.96903341308892</v>
      </c>
      <c r="M310" s="27" t="n">
        <f aca="false">MAX(0,NG-L310)</f>
        <v>2.26903341308892</v>
      </c>
      <c r="N310" s="27" t="n">
        <f aca="false">MAX(0,GWL-K310)</f>
        <v>1.46903341308892</v>
      </c>
      <c r="O310" s="27" t="n">
        <f aca="false">MAX(0,NG-MAX(K310,GWL))</f>
        <v>0.8</v>
      </c>
      <c r="P310" s="27" t="n">
        <f aca="false">E310/2+WS+SLOPE_A*O310+SLOPE_B*N310</f>
        <v>5.73807023926675</v>
      </c>
      <c r="Q310" s="28" t="str">
        <f aca="false">IF(AND(P310&lt;J310,N310&lt;=MAXOC),"Open cut","Shoring")</f>
        <v>Open cut</v>
      </c>
      <c r="R310" s="27" t="n">
        <f aca="false">IF(Q310="Shoring",D310,0)</f>
        <v>0</v>
      </c>
      <c r="S310" s="27" t="n">
        <f aca="false">MAX(0,GWL-L310)</f>
        <v>1.46903341308892</v>
      </c>
      <c r="T310" s="27" t="n">
        <f aca="false">MAX(0,NG-MAX(L310,GWL))</f>
        <v>0.8</v>
      </c>
      <c r="U310" s="27" t="n">
        <f aca="false">E310+2*WS</f>
        <v>3.20000682617783</v>
      </c>
      <c r="V310" s="27" t="n">
        <f aca="false">IF(Q310="Shoring",D310*M310*U310,0)</f>
        <v>0</v>
      </c>
      <c r="W310" s="27" t="n">
        <f aca="false">IF(Q310="Open cut",D310*(U310*M310+SLOPE_B*S310^2+2*SLOPE_B*S310*T310+SLOPE_A*T310^2),0)</f>
        <v>104.394562504394</v>
      </c>
      <c r="X310" s="27" t="n">
        <f aca="false">IF(M310&gt;0,D310*(E310+2*SLABOVH)*SLAB,0)</f>
        <v>6.66171966989379</v>
      </c>
      <c r="Y310" s="27" t="n">
        <f aca="false">IF(M310&gt;0,D310*PI()*E310^2/4,0)</f>
        <v>6.84935435135666</v>
      </c>
      <c r="Z310" s="27" t="n">
        <f aca="false">IF(H310-E310&gt;=GWL,99,E310*(MAX(0,GWL-H310)*(GAM_S-GAM_W)+MAX(0,NG-MAX(H310,GWL))*GAM_D)/(GAM_W*PI()*E310^2/4))</f>
        <v>1.10780279990637</v>
      </c>
      <c r="AA310" s="27" t="n">
        <f aca="false">IF(I310-E310&gt;=GWL,99,E310*(MAX(0,GWL-I310)*(GAM_S-GAM_W)+MAX(0,NG-MAX(I310,GWL))*GAM_D)/(GAM_W*PI()*E310^2/4))</f>
        <v>1.10780279990637</v>
      </c>
      <c r="AB310" s="27" t="n">
        <f aca="false">IF(H310-E310&gt;=GWL,99,E310*(MAX(0,GWL-H310)*(GAM_S-GAM_W)+MAX(0,FL-MAX(H310,GWL))*GAM_D)/(GAM_W*PI()*E310^2/4))</f>
        <v>4.41742804969299</v>
      </c>
      <c r="AC310" s="27" t="n">
        <f aca="false">IF(I310-E310&gt;=GWL,99,E310*(MAX(0,GWL-I310)*(GAM_S-GAM_W)+MAX(0,FL-MAX(I310,GWL))*GAM_D)/(GAM_W*PI()*E310^2/4))</f>
        <v>4.41742804969299</v>
      </c>
    </row>
    <row r="311" customFormat="false" ht="15" hidden="false" customHeight="false" outlineLevel="0" collapsed="false">
      <c r="A311" s="25" t="s">
        <v>719</v>
      </c>
      <c r="B311" s="25" t="s">
        <v>790</v>
      </c>
      <c r="C311" s="25" t="s">
        <v>792</v>
      </c>
      <c r="D311" s="26" t="n">
        <v>0.17364704388859</v>
      </c>
      <c r="E311" s="26" t="n">
        <v>1.20000682617783</v>
      </c>
      <c r="F311" s="26" t="n">
        <v>-2.96903341308892</v>
      </c>
      <c r="G311" s="26" t="n">
        <v>-2.96903341308892</v>
      </c>
      <c r="H311" s="26" t="n">
        <v>-1.26902658691109</v>
      </c>
      <c r="I311" s="26" t="n">
        <v>-1.26902658691109</v>
      </c>
      <c r="J311" s="26" t="n">
        <v>21.9</v>
      </c>
      <c r="K311" s="27" t="n">
        <f aca="false">MIN(F311,G311)</f>
        <v>-2.96903341308892</v>
      </c>
      <c r="L311" s="27" t="n">
        <f aca="false">AVERAGE(F311,G311)</f>
        <v>-2.96903341308892</v>
      </c>
      <c r="M311" s="27" t="n">
        <f aca="false">MAX(0,NG-L311)</f>
        <v>2.26903341308892</v>
      </c>
      <c r="N311" s="27" t="n">
        <f aca="false">MAX(0,GWL-K311)</f>
        <v>1.46903341308892</v>
      </c>
      <c r="O311" s="27" t="n">
        <f aca="false">MAX(0,NG-MAX(K311,GWL))</f>
        <v>0.8</v>
      </c>
      <c r="P311" s="27" t="n">
        <f aca="false">E311/2+WS+SLOPE_A*O311+SLOPE_B*N311</f>
        <v>5.73807023926675</v>
      </c>
      <c r="Q311" s="28" t="str">
        <f aca="false">IF(AND(P311&lt;J311,N311&lt;=MAXOC),"Open cut","Shoring")</f>
        <v>Open cut</v>
      </c>
      <c r="R311" s="27" t="n">
        <f aca="false">IF(Q311="Shoring",D311,0)</f>
        <v>0</v>
      </c>
      <c r="S311" s="27" t="n">
        <f aca="false">MAX(0,GWL-L311)</f>
        <v>1.46903341308892</v>
      </c>
      <c r="T311" s="27" t="n">
        <f aca="false">MAX(0,NG-MAX(L311,GWL))</f>
        <v>0.8</v>
      </c>
      <c r="U311" s="27" t="n">
        <f aca="false">E311+2*WS</f>
        <v>3.20000682617783</v>
      </c>
      <c r="V311" s="27" t="n">
        <f aca="false">IF(Q311="Shoring",D311*M311*U311,0)</f>
        <v>0</v>
      </c>
      <c r="W311" s="27" t="n">
        <f aca="false">IF(Q311="Open cut",D311*(U311*M311+SLOPE_B*S311^2+2*SLOPE_B*S311*T311+SLOPE_A*T311^2),0)</f>
        <v>2.99331865562567</v>
      </c>
      <c r="X311" s="27" t="n">
        <f aca="false">IF(M311&gt;0,D311*(E311+2*SLABOVH)*SLAB,0)</f>
        <v>0.19101234095025</v>
      </c>
      <c r="Y311" s="27" t="n">
        <f aca="false">IF(M311&gt;0,D311*PI()*E311^2/4,0)</f>
        <v>0.196392414193447</v>
      </c>
      <c r="Z311" s="27" t="n">
        <f aca="false">IF(H311-E311&gt;=GWL,99,E311*(MAX(0,GWL-H311)*(GAM_S-GAM_W)+MAX(0,NG-MAX(H311,GWL))*GAM_D)/(GAM_W*PI()*E311^2/4))</f>
        <v>1.10780279990637</v>
      </c>
      <c r="AA311" s="27" t="n">
        <f aca="false">IF(I311-E311&gt;=GWL,99,E311*(MAX(0,GWL-I311)*(GAM_S-GAM_W)+MAX(0,NG-MAX(I311,GWL))*GAM_D)/(GAM_W*PI()*E311^2/4))</f>
        <v>1.10780279990637</v>
      </c>
      <c r="AB311" s="27" t="n">
        <f aca="false">IF(H311-E311&gt;=GWL,99,E311*(MAX(0,GWL-H311)*(GAM_S-GAM_W)+MAX(0,FL-MAX(H311,GWL))*GAM_D)/(GAM_W*PI()*E311^2/4))</f>
        <v>4.41742804969299</v>
      </c>
      <c r="AC311" s="27" t="n">
        <f aca="false">IF(I311-E311&gt;=GWL,99,E311*(MAX(0,GWL-I311)*(GAM_S-GAM_W)+MAX(0,FL-MAX(I311,GWL))*GAM_D)/(GAM_W*PI()*E311^2/4))</f>
        <v>4.41742804969299</v>
      </c>
    </row>
    <row r="312" customFormat="false" ht="15" hidden="false" customHeight="false" outlineLevel="0" collapsed="false">
      <c r="A312" s="25" t="s">
        <v>719</v>
      </c>
      <c r="B312" s="25" t="s">
        <v>790</v>
      </c>
      <c r="C312" s="25" t="s">
        <v>793</v>
      </c>
      <c r="D312" s="26" t="n">
        <v>0.869579790505532</v>
      </c>
      <c r="E312" s="26" t="n">
        <v>1.22586838672773</v>
      </c>
      <c r="F312" s="26" t="n">
        <v>-2.98196419336386</v>
      </c>
      <c r="G312" s="26" t="n">
        <v>-2.98196419336386</v>
      </c>
      <c r="H312" s="26" t="n">
        <v>-1.25609580663614</v>
      </c>
      <c r="I312" s="26" t="n">
        <v>-1.25609580663614</v>
      </c>
      <c r="J312" s="26" t="n">
        <v>21.05</v>
      </c>
      <c r="K312" s="27" t="n">
        <f aca="false">MIN(F312,G312)</f>
        <v>-2.98196419336386</v>
      </c>
      <c r="L312" s="27" t="n">
        <f aca="false">AVERAGE(F312,G312)</f>
        <v>-2.98196419336386</v>
      </c>
      <c r="M312" s="27" t="n">
        <f aca="false">MAX(0,NG-L312)</f>
        <v>2.28196419336386</v>
      </c>
      <c r="N312" s="27" t="n">
        <f aca="false">MAX(0,GWL-K312)</f>
        <v>1.48196419336386</v>
      </c>
      <c r="O312" s="27" t="n">
        <f aca="false">MAX(0,NG-MAX(K312,GWL))</f>
        <v>0.8</v>
      </c>
      <c r="P312" s="27" t="n">
        <f aca="false">E312/2+WS+SLOPE_A*O312+SLOPE_B*N312</f>
        <v>5.77686258009159</v>
      </c>
      <c r="Q312" s="28" t="str">
        <f aca="false">IF(AND(P312&lt;J312,N312&lt;=MAXOC),"Open cut","Shoring")</f>
        <v>Open cut</v>
      </c>
      <c r="R312" s="27" t="n">
        <f aca="false">IF(Q312="Shoring",D312,0)</f>
        <v>0</v>
      </c>
      <c r="S312" s="27" t="n">
        <f aca="false">MAX(0,GWL-L312)</f>
        <v>1.48196419336386</v>
      </c>
      <c r="T312" s="27" t="n">
        <f aca="false">MAX(0,NG-MAX(L312,GWL))</f>
        <v>0.8</v>
      </c>
      <c r="U312" s="27" t="n">
        <f aca="false">E312+2*WS</f>
        <v>3.22586838672772</v>
      </c>
      <c r="V312" s="27" t="n">
        <f aca="false">IF(Q312="Shoring",D312*M312*U312,0)</f>
        <v>0</v>
      </c>
      <c r="W312" s="27" t="n">
        <f aca="false">IF(Q312="Open cut",D312*(U312*M312+SLOPE_B*S312^2+2*SLOPE_B*S312*T312+SLOPE_A*T312^2),0)</f>
        <v>15.1794172676141</v>
      </c>
      <c r="X312" s="27" t="n">
        <f aca="false">IF(M312&gt;0,D312*(E312+2*SLABOVH)*SLAB,0)</f>
        <v>0.967785082711791</v>
      </c>
      <c r="Y312" s="27" t="n">
        <f aca="false">IF(M312&gt;0,D312*PI()*E312^2/4,0)</f>
        <v>1.02632996797149</v>
      </c>
      <c r="Z312" s="27" t="n">
        <f aca="false">IF(H312-E312&gt;=GWL,99,E312*(MAX(0,GWL-H312)*(GAM_S-GAM_W)+MAX(0,NG-MAX(H312,GWL))*GAM_D)/(GAM_W*PI()*E312^2/4))</f>
        <v>1.0597889601751</v>
      </c>
      <c r="AA312" s="27" t="n">
        <f aca="false">IF(I312-E312&gt;=GWL,99,E312*(MAX(0,GWL-I312)*(GAM_S-GAM_W)+MAX(0,NG-MAX(I312,GWL))*GAM_D)/(GAM_W*PI()*E312^2/4))</f>
        <v>1.0597889601751</v>
      </c>
      <c r="AB312" s="27" t="n">
        <f aca="false">IF(H312-E312&gt;=GWL,99,E312*(MAX(0,GWL-H312)*(GAM_S-GAM_W)+MAX(0,FL-MAX(H312,GWL))*GAM_D)/(GAM_W*PI()*E312^2/4))</f>
        <v>4.29959262493554</v>
      </c>
      <c r="AC312" s="27" t="n">
        <f aca="false">IF(I312-E312&gt;=GWL,99,E312*(MAX(0,GWL-I312)*(GAM_S-GAM_W)+MAX(0,FL-MAX(I312,GWL))*GAM_D)/(GAM_W*PI()*E312^2/4))</f>
        <v>4.29959262493554</v>
      </c>
    </row>
    <row r="313" customFormat="false" ht="15" hidden="false" customHeight="false" outlineLevel="0" collapsed="false">
      <c r="A313" s="25" t="s">
        <v>719</v>
      </c>
      <c r="B313" s="25" t="s">
        <v>790</v>
      </c>
      <c r="C313" s="25" t="s">
        <v>794</v>
      </c>
      <c r="D313" s="26" t="n">
        <v>5.06632321857264</v>
      </c>
      <c r="E313" s="26" t="n">
        <v>1.22586838672773</v>
      </c>
      <c r="F313" s="26" t="n">
        <v>-2.98196419336386</v>
      </c>
      <c r="G313" s="26" t="n">
        <v>-2.98196419336386</v>
      </c>
      <c r="H313" s="26" t="n">
        <v>-1.25609580663614</v>
      </c>
      <c r="I313" s="26" t="n">
        <v>-1.25609580663614</v>
      </c>
      <c r="J313" s="26" t="n">
        <v>16.2</v>
      </c>
      <c r="K313" s="27" t="n">
        <f aca="false">MIN(F313,G313)</f>
        <v>-2.98196419336386</v>
      </c>
      <c r="L313" s="27" t="n">
        <f aca="false">AVERAGE(F313,G313)</f>
        <v>-2.98196419336386</v>
      </c>
      <c r="M313" s="27" t="n">
        <f aca="false">MAX(0,NG-L313)</f>
        <v>2.28196419336386</v>
      </c>
      <c r="N313" s="27" t="n">
        <f aca="false">MAX(0,GWL-K313)</f>
        <v>1.48196419336386</v>
      </c>
      <c r="O313" s="27" t="n">
        <f aca="false">MAX(0,NG-MAX(K313,GWL))</f>
        <v>0.8</v>
      </c>
      <c r="P313" s="27" t="n">
        <f aca="false">E313/2+WS+SLOPE_A*O313+SLOPE_B*N313</f>
        <v>5.77686258009159</v>
      </c>
      <c r="Q313" s="28" t="str">
        <f aca="false">IF(AND(P313&lt;J313,N313&lt;=MAXOC),"Open cut","Shoring")</f>
        <v>Open cut</v>
      </c>
      <c r="R313" s="27" t="n">
        <f aca="false">IF(Q313="Shoring",D313,0)</f>
        <v>0</v>
      </c>
      <c r="S313" s="27" t="n">
        <f aca="false">MAX(0,GWL-L313)</f>
        <v>1.48196419336386</v>
      </c>
      <c r="T313" s="27" t="n">
        <f aca="false">MAX(0,NG-MAX(L313,GWL))</f>
        <v>0.8</v>
      </c>
      <c r="U313" s="27" t="n">
        <f aca="false">E313+2*WS</f>
        <v>3.22586838672772</v>
      </c>
      <c r="V313" s="27" t="n">
        <f aca="false">IF(Q313="Shoring",D313*M313*U313,0)</f>
        <v>0</v>
      </c>
      <c r="W313" s="27" t="n">
        <f aca="false">IF(Q313="Open cut",D313*(U313*M313+SLOPE_B*S313^2+2*SLOPE_B*S313*T313+SLOPE_A*T313^2),0)</f>
        <v>88.4379271309969</v>
      </c>
      <c r="X313" s="27" t="n">
        <f aca="false">IF(M313&gt;0,D313*(E313+2*SLABOVH)*SLAB,0)</f>
        <v>5.63848434458274</v>
      </c>
      <c r="Y313" s="27" t="n">
        <f aca="false">IF(M313&gt;0,D313*PI()*E313^2/4,0)</f>
        <v>5.97957703643043</v>
      </c>
      <c r="Z313" s="27" t="n">
        <f aca="false">IF(H313-E313&gt;=GWL,99,E313*(MAX(0,GWL-H313)*(GAM_S-GAM_W)+MAX(0,NG-MAX(H313,GWL))*GAM_D)/(GAM_W*PI()*E313^2/4))</f>
        <v>1.0597889601751</v>
      </c>
      <c r="AA313" s="27" t="n">
        <f aca="false">IF(I313-E313&gt;=GWL,99,E313*(MAX(0,GWL-I313)*(GAM_S-GAM_W)+MAX(0,NG-MAX(I313,GWL))*GAM_D)/(GAM_W*PI()*E313^2/4))</f>
        <v>1.0597889601751</v>
      </c>
      <c r="AB313" s="27" t="n">
        <f aca="false">IF(H313-E313&gt;=GWL,99,E313*(MAX(0,GWL-H313)*(GAM_S-GAM_W)+MAX(0,FL-MAX(H313,GWL))*GAM_D)/(GAM_W*PI()*E313^2/4))</f>
        <v>4.29959262493554</v>
      </c>
      <c r="AC313" s="27" t="n">
        <f aca="false">IF(I313-E313&gt;=GWL,99,E313*(MAX(0,GWL-I313)*(GAM_S-GAM_W)+MAX(0,FL-MAX(I313,GWL))*GAM_D)/(GAM_W*PI()*E313^2/4))</f>
        <v>4.29959262493554</v>
      </c>
    </row>
    <row r="314" customFormat="false" ht="15" hidden="false" customHeight="false" outlineLevel="0" collapsed="false">
      <c r="A314" s="25" t="s">
        <v>719</v>
      </c>
      <c r="B314" s="25" t="s">
        <v>787</v>
      </c>
      <c r="C314" s="25" t="s">
        <v>795</v>
      </c>
      <c r="D314" s="26" t="n">
        <v>0.0317158051510554</v>
      </c>
      <c r="E314" s="26" t="n">
        <v>1.19999332907163</v>
      </c>
      <c r="F314" s="26" t="n">
        <v>-2.96902666453581</v>
      </c>
      <c r="G314" s="26" t="n">
        <v>-2.96902666453581</v>
      </c>
      <c r="H314" s="26" t="n">
        <v>-1.26903333546419</v>
      </c>
      <c r="I314" s="26" t="n">
        <v>-1.26903333546419</v>
      </c>
      <c r="J314" s="26" t="n">
        <v>99</v>
      </c>
      <c r="K314" s="27" t="n">
        <f aca="false">MIN(F314,G314)</f>
        <v>-2.96902666453581</v>
      </c>
      <c r="L314" s="27" t="n">
        <f aca="false">AVERAGE(F314,G314)</f>
        <v>-2.96902666453581</v>
      </c>
      <c r="M314" s="27" t="n">
        <f aca="false">MAX(0,NG-L314)</f>
        <v>2.26902666453581</v>
      </c>
      <c r="N314" s="27" t="n">
        <f aca="false">MAX(0,GWL-K314)</f>
        <v>1.46902666453581</v>
      </c>
      <c r="O314" s="27" t="n">
        <f aca="false">MAX(0,NG-MAX(K314,GWL))</f>
        <v>0.8</v>
      </c>
      <c r="P314" s="27" t="n">
        <f aca="false">E314/2+WS+SLOPE_A*O314+SLOPE_B*N314</f>
        <v>5.73804999360744</v>
      </c>
      <c r="Q314" s="28" t="str">
        <f aca="false">IF(AND(P314&lt;J314,N314&lt;=MAXOC),"Open cut","Shoring")</f>
        <v>Open cut</v>
      </c>
      <c r="R314" s="27" t="n">
        <f aca="false">IF(Q314="Shoring",D314,0)</f>
        <v>0</v>
      </c>
      <c r="S314" s="27" t="n">
        <f aca="false">MAX(0,GWL-L314)</f>
        <v>1.46902666453581</v>
      </c>
      <c r="T314" s="27" t="n">
        <f aca="false">MAX(0,NG-MAX(L314,GWL))</f>
        <v>0.8</v>
      </c>
      <c r="U314" s="27" t="n">
        <f aca="false">E314+2*WS</f>
        <v>3.19999332907163</v>
      </c>
      <c r="V314" s="27" t="n">
        <f aca="false">IF(Q314="Shoring",D314*M314*U314,0)</f>
        <v>0</v>
      </c>
      <c r="W314" s="27" t="n">
        <f aca="false">IF(Q314="Open cut",D314*(U314*M314+SLOPE_B*S314^2+2*SLOPE_B*S314*T314+SLOPE_A*T314^2),0)</f>
        <v>0.546711790673731</v>
      </c>
      <c r="X314" s="27" t="n">
        <f aca="false">IF(M314&gt;0,D314*(E314+2*SLABOVH)*SLAB,0)</f>
        <v>0.0348872798792287</v>
      </c>
      <c r="Y314" s="27" t="n">
        <f aca="false">IF(M314&gt;0,D314*PI()*E314^2/4,0)</f>
        <v>0.0358693317612563</v>
      </c>
      <c r="Z314" s="27" t="n">
        <f aca="false">IF(H314-E314&gt;=GWL,99,E314*(MAX(0,GWL-H314)*(GAM_S-GAM_W)+MAX(0,NG-MAX(H314,GWL))*GAM_D)/(GAM_W*PI()*E314^2/4))</f>
        <v>1.10782839857565</v>
      </c>
      <c r="AA314" s="27" t="n">
        <f aca="false">IF(I314-E314&gt;=GWL,99,E314*(MAX(0,GWL-I314)*(GAM_S-GAM_W)+MAX(0,NG-MAX(I314,GWL))*GAM_D)/(GAM_W*PI()*E314^2/4))</f>
        <v>1.10782839857565</v>
      </c>
      <c r="AB314" s="27" t="n">
        <f aca="false">IF(H314-E314&gt;=GWL,99,E314*(MAX(0,GWL-H314)*(GAM_S-GAM_W)+MAX(0,FL-MAX(H314,GWL))*GAM_D)/(GAM_W*PI()*E314^2/4))</f>
        <v>4.41749087387212</v>
      </c>
      <c r="AC314" s="27" t="n">
        <f aca="false">IF(I314-E314&gt;=GWL,99,E314*(MAX(0,GWL-I314)*(GAM_S-GAM_W)+MAX(0,FL-MAX(I314,GWL))*GAM_D)/(GAM_W*PI()*E314^2/4))</f>
        <v>4.41749087387212</v>
      </c>
    </row>
    <row r="315" customFormat="false" ht="15" hidden="false" customHeight="false" outlineLevel="0" collapsed="false">
      <c r="A315" s="25" t="s">
        <v>719</v>
      </c>
      <c r="B315" s="25" t="s">
        <v>796</v>
      </c>
      <c r="C315" s="25" t="s">
        <v>797</v>
      </c>
      <c r="D315" s="26" t="n">
        <v>8.81020999992653</v>
      </c>
      <c r="E315" s="26" t="n">
        <v>1.19999316120386</v>
      </c>
      <c r="F315" s="26" t="n">
        <v>-2.69999658060193</v>
      </c>
      <c r="G315" s="26" t="n">
        <v>-2.69999658060193</v>
      </c>
      <c r="H315" s="26" t="n">
        <v>-1.00000341939807</v>
      </c>
      <c r="I315" s="26" t="n">
        <v>-1.00000341939807</v>
      </c>
      <c r="J315" s="26" t="n">
        <v>28.8</v>
      </c>
      <c r="K315" s="27" t="n">
        <f aca="false">MIN(F315,G315)</f>
        <v>-2.69999658060193</v>
      </c>
      <c r="L315" s="27" t="n">
        <f aca="false">AVERAGE(F315,G315)</f>
        <v>-2.69999658060193</v>
      </c>
      <c r="M315" s="27" t="n">
        <f aca="false">MAX(0,NG-L315)</f>
        <v>1.99999658060193</v>
      </c>
      <c r="N315" s="27" t="n">
        <f aca="false">MAX(0,GWL-K315)</f>
        <v>1.19999658060193</v>
      </c>
      <c r="O315" s="27" t="n">
        <f aca="false">MAX(0,NG-MAX(K315,GWL))</f>
        <v>0.8</v>
      </c>
      <c r="P315" s="27" t="n">
        <f aca="false">E315/2+WS+SLOPE_A*O315+SLOPE_B*N315</f>
        <v>5.19998974180579</v>
      </c>
      <c r="Q315" s="28" t="str">
        <f aca="false">IF(AND(P315&lt;J315,N315&lt;=MAXOC),"Open cut","Shoring")</f>
        <v>Open cut</v>
      </c>
      <c r="R315" s="27" t="n">
        <f aca="false">IF(Q315="Shoring",D315,0)</f>
        <v>0</v>
      </c>
      <c r="S315" s="27" t="n">
        <f aca="false">MAX(0,GWL-L315)</f>
        <v>1.19999658060193</v>
      </c>
      <c r="T315" s="27" t="n">
        <f aca="false">MAX(0,NG-MAX(L315,GWL))</f>
        <v>0.8</v>
      </c>
      <c r="U315" s="27" t="n">
        <f aca="false">E315+2*WS</f>
        <v>3.19999316120386</v>
      </c>
      <c r="V315" s="27" t="n">
        <f aca="false">IF(Q315="Shoring",D315*M315*U315,0)</f>
        <v>0</v>
      </c>
      <c r="W315" s="27" t="n">
        <f aca="false">IF(Q315="Open cut",D315*(U315*M315+SLOPE_B*S315^2+2*SLOPE_B*S315*T315+SLOPE_A*T315^2),0)</f>
        <v>124.047298890028</v>
      </c>
      <c r="X315" s="27" t="n">
        <f aca="false">IF(M315&gt;0,D315*(E315+2*SLABOVH)*SLAB,0)</f>
        <v>9.6912008743041</v>
      </c>
      <c r="Y315" s="27" t="n">
        <f aca="false">IF(M315&gt;0,D315*PI()*E315^2/4,0)</f>
        <v>9.96399919387729</v>
      </c>
      <c r="Z315" s="27" t="n">
        <f aca="false">IF(H315-E315&gt;=GWL,99,E315*(MAX(0,GWL-H315)*(GAM_S-GAM_W)+MAX(0,NG-MAX(H315,GWL))*GAM_D)/(GAM_W*PI()*E315^2/4))</f>
        <v>0.584064822671305</v>
      </c>
      <c r="AA315" s="27" t="n">
        <f aca="false">IF(I315-E315&gt;=GWL,99,E315*(MAX(0,GWL-I315)*(GAM_S-GAM_W)+MAX(0,NG-MAX(I315,GWL))*GAM_D)/(GAM_W*PI()*E315^2/4))</f>
        <v>0.584064822671305</v>
      </c>
      <c r="AB315" s="27" t="n">
        <f aca="false">IF(H315-E315&gt;=GWL,99,E315*(MAX(0,GWL-H315)*(GAM_S-GAM_W)+MAX(0,FL-MAX(H315,GWL))*GAM_D)/(GAM_W*PI()*E315^2/4))</f>
        <v>3.89372776095846</v>
      </c>
      <c r="AC315" s="27" t="n">
        <f aca="false">IF(I315-E315&gt;=GWL,99,E315*(MAX(0,GWL-I315)*(GAM_S-GAM_W)+MAX(0,FL-MAX(I315,GWL))*GAM_D)/(GAM_W*PI()*E315^2/4))</f>
        <v>3.89372776095846</v>
      </c>
    </row>
    <row r="316" customFormat="false" ht="15" hidden="false" customHeight="false" outlineLevel="0" collapsed="false">
      <c r="A316" s="25" t="s">
        <v>719</v>
      </c>
      <c r="B316" s="25" t="s">
        <v>796</v>
      </c>
      <c r="C316" s="25" t="s">
        <v>798</v>
      </c>
      <c r="D316" s="26" t="n">
        <v>0.489717537853157</v>
      </c>
      <c r="E316" s="26" t="n">
        <v>1.19999814559196</v>
      </c>
      <c r="F316" s="26" t="n">
        <v>-2.69999907279598</v>
      </c>
      <c r="G316" s="26" t="n">
        <v>-2.89204907279598</v>
      </c>
      <c r="H316" s="26" t="n">
        <v>-1.00000092720402</v>
      </c>
      <c r="I316" s="26" t="n">
        <v>-1.19205092720402</v>
      </c>
      <c r="J316" s="26" t="n">
        <v>28.69</v>
      </c>
      <c r="K316" s="27" t="n">
        <f aca="false">MIN(F316,G316)</f>
        <v>-2.89204907279598</v>
      </c>
      <c r="L316" s="27" t="n">
        <f aca="false">AVERAGE(F316,G316)</f>
        <v>-2.79602407279598</v>
      </c>
      <c r="M316" s="27" t="n">
        <f aca="false">MAX(0,NG-L316)</f>
        <v>2.09602407279598</v>
      </c>
      <c r="N316" s="27" t="n">
        <f aca="false">MAX(0,GWL-K316)</f>
        <v>1.39204907279598</v>
      </c>
      <c r="O316" s="27" t="n">
        <f aca="false">MAX(0,NG-MAX(K316,GWL))</f>
        <v>0.8</v>
      </c>
      <c r="P316" s="27" t="n">
        <f aca="false">E316/2+WS+SLOPE_A*O316+SLOPE_B*N316</f>
        <v>5.58409721838793</v>
      </c>
      <c r="Q316" s="28" t="str">
        <f aca="false">IF(AND(P316&lt;J316,N316&lt;=MAXOC),"Open cut","Shoring")</f>
        <v>Open cut</v>
      </c>
      <c r="R316" s="27" t="n">
        <f aca="false">IF(Q316="Shoring",D316,0)</f>
        <v>0</v>
      </c>
      <c r="S316" s="27" t="n">
        <f aca="false">MAX(0,GWL-L316)</f>
        <v>1.29602407279598</v>
      </c>
      <c r="T316" s="27" t="n">
        <f aca="false">MAX(0,NG-MAX(L316,GWL))</f>
        <v>0.8</v>
      </c>
      <c r="U316" s="27" t="n">
        <f aca="false">E316+2*WS</f>
        <v>3.19999814559196</v>
      </c>
      <c r="V316" s="27" t="n">
        <f aca="false">IF(Q316="Shoring",D316*M316*U316,0)</f>
        <v>0</v>
      </c>
      <c r="W316" s="27" t="n">
        <f aca="false">IF(Q316="Open cut",D316*(U316*M316+SLOPE_B*S316^2+2*SLOPE_B*S316*T316+SLOPE_A*T316^2),0)</f>
        <v>7.43092836269667</v>
      </c>
      <c r="X316" s="27" t="n">
        <f aca="false">IF(M316&gt;0,D316*(E316+2*SLABOVH)*SLAB,0)</f>
        <v>0.538688837570402</v>
      </c>
      <c r="Y316" s="27" t="n">
        <f aca="false">IF(M316&gt;0,D316*PI()*E316^2/4,0)</f>
        <v>0.553855775136306</v>
      </c>
      <c r="Z316" s="27" t="n">
        <f aca="false">IF(H316-E316&gt;=GWL,99,E316*(MAX(0,GWL-H316)*(GAM_S-GAM_W)+MAX(0,NG-MAX(H316,GWL))*GAM_D)/(GAM_W*PI()*E316^2/4))</f>
        <v>0.584057544728633</v>
      </c>
      <c r="AA316" s="27" t="n">
        <f aca="false">IF(I316-E316&gt;=GWL,99,E316*(MAX(0,GWL-I316)*(GAM_S-GAM_W)+MAX(0,NG-MAX(I316,GWL))*GAM_D)/(GAM_W*PI()*E316^2/4))</f>
        <v>0.957950560695385</v>
      </c>
      <c r="AB316" s="27" t="n">
        <f aca="false">IF(H316-E316&gt;=GWL,99,E316*(MAX(0,GWL-H316)*(GAM_S-GAM_W)+MAX(0,FL-MAX(H316,GWL))*GAM_D)/(GAM_W*PI()*E316^2/4))</f>
        <v>3.89370673579075</v>
      </c>
      <c r="AC316" s="27" t="n">
        <f aca="false">IF(I316-E316&gt;=GWL,99,E316*(MAX(0,GWL-I316)*(GAM_S-GAM_W)+MAX(0,FL-MAX(I316,GWL))*GAM_D)/(GAM_W*PI()*E316^2/4))</f>
        <v>4.2675997517575</v>
      </c>
    </row>
    <row r="317" customFormat="false" ht="15" hidden="false" customHeight="false" outlineLevel="0" collapsed="false">
      <c r="A317" s="25" t="s">
        <v>719</v>
      </c>
      <c r="B317" s="25" t="s">
        <v>799</v>
      </c>
      <c r="C317" s="25" t="s">
        <v>800</v>
      </c>
      <c r="D317" s="26" t="n">
        <v>0.700072462379259</v>
      </c>
      <c r="E317" s="26" t="n">
        <v>1.19999316120194</v>
      </c>
      <c r="F317" s="26" t="n">
        <v>-2.89204658060097</v>
      </c>
      <c r="G317" s="26" t="n">
        <v>-3.16658988468802</v>
      </c>
      <c r="H317" s="26" t="n">
        <v>-1.19205341939903</v>
      </c>
      <c r="I317" s="26" t="n">
        <v>-1.46659672348608</v>
      </c>
      <c r="J317" s="26" t="n">
        <v>28.53</v>
      </c>
      <c r="K317" s="27" t="n">
        <f aca="false">MIN(F317,G317)</f>
        <v>-3.16658988468802</v>
      </c>
      <c r="L317" s="27" t="n">
        <f aca="false">AVERAGE(F317,G317)</f>
        <v>-3.02931823264449</v>
      </c>
      <c r="M317" s="27" t="n">
        <f aca="false">MAX(0,NG-L317)</f>
        <v>2.32931823264449</v>
      </c>
      <c r="N317" s="27" t="n">
        <f aca="false">MAX(0,GWL-K317)</f>
        <v>1.66658988468802</v>
      </c>
      <c r="O317" s="27" t="n">
        <f aca="false">MAX(0,NG-MAX(K317,GWL))</f>
        <v>0.8</v>
      </c>
      <c r="P317" s="27" t="n">
        <f aca="false">E317/2+WS+SLOPE_A*O317+SLOPE_B*N317</f>
        <v>6.133176349977</v>
      </c>
      <c r="Q317" s="28" t="str">
        <f aca="false">IF(AND(P317&lt;J317,N317&lt;=MAXOC),"Open cut","Shoring")</f>
        <v>Open cut</v>
      </c>
      <c r="R317" s="27" t="n">
        <f aca="false">IF(Q317="Shoring",D317,0)</f>
        <v>0</v>
      </c>
      <c r="S317" s="27" t="n">
        <f aca="false">MAX(0,GWL-L317)</f>
        <v>1.52931823264449</v>
      </c>
      <c r="T317" s="27" t="n">
        <f aca="false">MAX(0,NG-MAX(L317,GWL))</f>
        <v>0.8</v>
      </c>
      <c r="U317" s="27" t="n">
        <f aca="false">E317+2*WS</f>
        <v>3.19999316120194</v>
      </c>
      <c r="V317" s="27" t="n">
        <f aca="false">IF(Q317="Shoring",D317*M317*U317,0)</f>
        <v>0</v>
      </c>
      <c r="W317" s="27" t="n">
        <f aca="false">IF(Q317="Open cut",D317*(U317*M317+SLOPE_B*S317^2+2*SLOPE_B*S317*T317+SLOPE_A*T317^2),0)</f>
        <v>12.5909777447637</v>
      </c>
      <c r="X317" s="27" t="n">
        <f aca="false">IF(M317&gt;0,D317*(E317+2*SLABOVH)*SLAB,0)</f>
        <v>0.770077314790087</v>
      </c>
      <c r="Y317" s="27" t="n">
        <f aca="false">IF(M317&gt;0,D317*PI()*E317^2/4,0)</f>
        <v>0.791754277234995</v>
      </c>
      <c r="Z317" s="27" t="n">
        <f aca="false">IF(H317-E317&gt;=GWL,99,E317*(MAX(0,GWL-H317)*(GAM_S-GAM_W)+MAX(0,NG-MAX(H317,GWL))*GAM_D)/(GAM_W*PI()*E317^2/4))</f>
        <v>0.95795939167355</v>
      </c>
      <c r="AA317" s="27" t="n">
        <f aca="false">IF(I317-E317&gt;=GWL,99,E317*(MAX(0,GWL-I317)*(GAM_S-GAM_W)+MAX(0,NG-MAX(I317,GWL))*GAM_D)/(GAM_W*PI()*E317^2/4))</f>
        <v>1.49245692019899</v>
      </c>
      <c r="AB317" s="27" t="n">
        <f aca="false">IF(H317-E317&gt;=GWL,99,E317*(MAX(0,GWL-H317)*(GAM_S-GAM_W)+MAX(0,FL-MAX(H317,GWL))*GAM_D)/(GAM_W*PI()*E317^2/4))</f>
        <v>4.26762232996599</v>
      </c>
      <c r="AC317" s="27" t="n">
        <f aca="false">IF(I317-E317&gt;=GWL,99,E317*(MAX(0,GWL-I317)*(GAM_S-GAM_W)+MAX(0,FL-MAX(I317,GWL))*GAM_D)/(GAM_W*PI()*E317^2/4))</f>
        <v>4.80211985849143</v>
      </c>
    </row>
    <row r="318" customFormat="false" ht="15" hidden="false" customHeight="false" outlineLevel="0" collapsed="false">
      <c r="A318" s="25" t="s">
        <v>719</v>
      </c>
      <c r="B318" s="25" t="s">
        <v>799</v>
      </c>
      <c r="C318" s="25" t="s">
        <v>801</v>
      </c>
      <c r="D318" s="26" t="n">
        <v>0.596017537566782</v>
      </c>
      <c r="E318" s="26" t="n">
        <v>1.19999316120194</v>
      </c>
      <c r="F318" s="26" t="n">
        <v>-3.16658988468802</v>
      </c>
      <c r="G318" s="26" t="n">
        <v>-3.40032658060097</v>
      </c>
      <c r="H318" s="26" t="n">
        <v>-1.46659672348608</v>
      </c>
      <c r="I318" s="26" t="n">
        <v>-1.70033341939903</v>
      </c>
      <c r="J318" s="26" t="n">
        <v>28.41</v>
      </c>
      <c r="K318" s="27" t="n">
        <f aca="false">MIN(F318,G318)</f>
        <v>-3.40032658060097</v>
      </c>
      <c r="L318" s="27" t="n">
        <f aca="false">AVERAGE(F318,G318)</f>
        <v>-3.28345823264449</v>
      </c>
      <c r="M318" s="27" t="n">
        <f aca="false">MAX(0,NG-L318)</f>
        <v>2.58345823264449</v>
      </c>
      <c r="N318" s="27" t="n">
        <f aca="false">MAX(0,GWL-K318)</f>
        <v>1.90032658060097</v>
      </c>
      <c r="O318" s="27" t="n">
        <f aca="false">MAX(0,NG-MAX(K318,GWL))</f>
        <v>0.8</v>
      </c>
      <c r="P318" s="27" t="n">
        <f aca="false">E318/2+WS+SLOPE_A*O318+SLOPE_B*N318</f>
        <v>6.60064974180291</v>
      </c>
      <c r="Q318" s="28" t="str">
        <f aca="false">IF(AND(P318&lt;J318,N318&lt;=MAXOC),"Open cut","Shoring")</f>
        <v>Open cut</v>
      </c>
      <c r="R318" s="27" t="n">
        <f aca="false">IF(Q318="Shoring",D318,0)</f>
        <v>0</v>
      </c>
      <c r="S318" s="27" t="n">
        <f aca="false">MAX(0,GWL-L318)</f>
        <v>1.78345823264449</v>
      </c>
      <c r="T318" s="27" t="n">
        <f aca="false">MAX(0,NG-MAX(L318,GWL))</f>
        <v>0.8</v>
      </c>
      <c r="U318" s="27" t="n">
        <f aca="false">E318+2*WS</f>
        <v>3.19999316120194</v>
      </c>
      <c r="V318" s="27" t="n">
        <f aca="false">IF(Q318="Shoring",D318*M318*U318,0)</f>
        <v>0</v>
      </c>
      <c r="W318" s="27" t="n">
        <f aca="false">IF(Q318="Open cut",D318*(U318*M318+SLOPE_B*S318^2+2*SLOPE_B*S318*T318+SLOPE_A*T318^2),0)</f>
        <v>12.6925281599178</v>
      </c>
      <c r="X318" s="27" t="n">
        <f aca="false">IF(M318&gt;0,D318*(E318+2*SLABOVH)*SLAB,0)</f>
        <v>0.65561725330167</v>
      </c>
      <c r="Y318" s="27" t="n">
        <f aca="false">IF(M318&gt;0,D318*PI()*E318^2/4,0)</f>
        <v>0.674072271135728</v>
      </c>
      <c r="Z318" s="27" t="n">
        <f aca="false">IF(H318-E318&gt;=GWL,99,E318*(MAX(0,GWL-H318)*(GAM_S-GAM_W)+MAX(0,NG-MAX(H318,GWL))*GAM_D)/(GAM_W*PI()*E318^2/4))</f>
        <v>1.49245692019899</v>
      </c>
      <c r="AA318" s="27" t="n">
        <f aca="false">IF(I318-E318&gt;=GWL,99,E318*(MAX(0,GWL-I318)*(GAM_S-GAM_W)+MAX(0,NG-MAX(I318,GWL))*GAM_D)/(GAM_W*PI()*E318^2/4))</f>
        <v>1.73494810186485</v>
      </c>
      <c r="AB318" s="27" t="n">
        <f aca="false">IF(H318-E318&gt;=GWL,99,E318*(MAX(0,GWL-H318)*(GAM_S-GAM_W)+MAX(0,FL-MAX(H318,GWL))*GAM_D)/(GAM_W*PI()*E318^2/4))</f>
        <v>4.80211985849143</v>
      </c>
      <c r="AC318" s="27" t="n">
        <f aca="false">IF(I318-E318&gt;=GWL,99,E318*(MAX(0,GWL-I318)*(GAM_S-GAM_W)+MAX(0,FL-MAX(I318,GWL))*GAM_D)/(GAM_W*PI()*E318^2/4))</f>
        <v>5.0446110401573</v>
      </c>
    </row>
    <row r="319" customFormat="false" ht="15" hidden="false" customHeight="false" outlineLevel="0" collapsed="false">
      <c r="A319" s="25" t="s">
        <v>719</v>
      </c>
      <c r="B319" s="25" t="s">
        <v>799</v>
      </c>
      <c r="C319" s="25" t="s">
        <v>802</v>
      </c>
      <c r="D319" s="26" t="n">
        <v>1.64209755776519</v>
      </c>
      <c r="E319" s="26" t="n">
        <v>1.19999316120194</v>
      </c>
      <c r="F319" s="26" t="n">
        <v>-3.40032658060097</v>
      </c>
      <c r="G319" s="26" t="n">
        <v>-4.04429658060097</v>
      </c>
      <c r="H319" s="26" t="n">
        <v>-1.70033341939903</v>
      </c>
      <c r="I319" s="26" t="n">
        <v>-2.34430341939903</v>
      </c>
      <c r="J319" s="26" t="n">
        <v>28.15</v>
      </c>
      <c r="K319" s="27" t="n">
        <f aca="false">MIN(F319,G319)</f>
        <v>-4.04429658060097</v>
      </c>
      <c r="L319" s="27" t="n">
        <f aca="false">AVERAGE(F319,G319)</f>
        <v>-3.72231158060097</v>
      </c>
      <c r="M319" s="27" t="n">
        <f aca="false">MAX(0,NG-L319)</f>
        <v>3.02231158060097</v>
      </c>
      <c r="N319" s="27" t="n">
        <f aca="false">MAX(0,GWL-K319)</f>
        <v>2.54429658060097</v>
      </c>
      <c r="O319" s="27" t="n">
        <f aca="false">MAX(0,NG-MAX(K319,GWL))</f>
        <v>0.8</v>
      </c>
      <c r="P319" s="27" t="n">
        <f aca="false">E319/2+WS+SLOPE_A*O319+SLOPE_B*N319</f>
        <v>7.88858974180291</v>
      </c>
      <c r="Q319" s="28" t="str">
        <f aca="false">IF(AND(P319&lt;J319,N319&lt;=MAXOC),"Open cut","Shoring")</f>
        <v>Shoring</v>
      </c>
      <c r="R319" s="27" t="n">
        <f aca="false">IF(Q319="Shoring",D319,0)</f>
        <v>1.64209755776519</v>
      </c>
      <c r="S319" s="27" t="n">
        <f aca="false">MAX(0,GWL-L319)</f>
        <v>2.22231158060097</v>
      </c>
      <c r="T319" s="27" t="n">
        <f aca="false">MAX(0,NG-MAX(L319,GWL))</f>
        <v>0.8</v>
      </c>
      <c r="U319" s="27" t="n">
        <f aca="false">E319+2*WS</f>
        <v>3.19999316120194</v>
      </c>
      <c r="V319" s="27" t="n">
        <f aca="false">IF(Q319="Shoring",D319*M319*U319,0)</f>
        <v>15.8813435485138</v>
      </c>
      <c r="W319" s="27" t="n">
        <f aca="false">IF(Q319="Open cut",D319*(U319*M319+SLOPE_B*S319^2+2*SLOPE_B*S319*T319+SLOPE_A*T319^2),0)</f>
        <v>0</v>
      </c>
      <c r="X319" s="27" t="n">
        <f aca="false">IF(M319&gt;0,D319*(E319+2*SLABOVH)*SLAB,0)</f>
        <v>1.80630169855492</v>
      </c>
      <c r="Y319" s="27" t="n">
        <f aca="false">IF(M319&gt;0,D319*PI()*E319^2/4,0)</f>
        <v>1.85714741668183</v>
      </c>
      <c r="Z319" s="27" t="n">
        <f aca="false">IF(H319-E319&gt;=GWL,99,E319*(MAX(0,GWL-H319)*(GAM_S-GAM_W)+MAX(0,NG-MAX(H319,GWL))*GAM_D)/(GAM_W*PI()*E319^2/4))</f>
        <v>1.73494810186485</v>
      </c>
      <c r="AA319" s="27" t="n">
        <f aca="false">IF(I319-E319&gt;=GWL,99,E319*(MAX(0,GWL-I319)*(GAM_S-GAM_W)+MAX(0,NG-MAX(I319,GWL))*GAM_D)/(GAM_W*PI()*E319^2/4))</f>
        <v>2.30539060614682</v>
      </c>
      <c r="AB319" s="27" t="n">
        <f aca="false">IF(H319-E319&gt;=GWL,99,E319*(MAX(0,GWL-H319)*(GAM_S-GAM_W)+MAX(0,FL-MAX(H319,GWL))*GAM_D)/(GAM_W*PI()*E319^2/4))</f>
        <v>5.0446110401573</v>
      </c>
      <c r="AC319" s="27" t="n">
        <f aca="false">IF(I319-E319&gt;=GWL,99,E319*(MAX(0,GWL-I319)*(GAM_S-GAM_W)+MAX(0,FL-MAX(I319,GWL))*GAM_D)/(GAM_W*PI()*E319^2/4))</f>
        <v>5.61505354443926</v>
      </c>
    </row>
    <row r="320" customFormat="false" ht="15" hidden="false" customHeight="false" outlineLevel="0" collapsed="false">
      <c r="A320" s="25" t="s">
        <v>719</v>
      </c>
      <c r="B320" s="25" t="s">
        <v>799</v>
      </c>
      <c r="C320" s="25" t="s">
        <v>803</v>
      </c>
      <c r="D320" s="26" t="n">
        <v>1.97799986478563</v>
      </c>
      <c r="E320" s="26" t="n">
        <v>1.20000332226483</v>
      </c>
      <c r="F320" s="26" t="n">
        <v>-4.04430166113242</v>
      </c>
      <c r="G320" s="26" t="n">
        <v>-4.82000166113242</v>
      </c>
      <c r="H320" s="26" t="n">
        <v>-2.34429833886758</v>
      </c>
      <c r="I320" s="26" t="n">
        <v>-3.11999833886758</v>
      </c>
      <c r="J320" s="26" t="n">
        <v>26.19</v>
      </c>
      <c r="K320" s="27" t="n">
        <f aca="false">MIN(F320,G320)</f>
        <v>-4.82000166113242</v>
      </c>
      <c r="L320" s="27" t="n">
        <f aca="false">AVERAGE(F320,G320)</f>
        <v>-4.43215166113242</v>
      </c>
      <c r="M320" s="27" t="n">
        <f aca="false">MAX(0,NG-L320)</f>
        <v>3.73215166113242</v>
      </c>
      <c r="N320" s="27" t="n">
        <f aca="false">MAX(0,GWL-K320)</f>
        <v>3.32000166113242</v>
      </c>
      <c r="O320" s="27" t="n">
        <f aca="false">MAX(0,NG-MAX(K320,GWL))</f>
        <v>0.8</v>
      </c>
      <c r="P320" s="27" t="n">
        <f aca="false">E320/2+WS+SLOPE_A*O320+SLOPE_B*N320</f>
        <v>9.44000498339725</v>
      </c>
      <c r="Q320" s="28" t="str">
        <f aca="false">IF(AND(P320&lt;J320,N320&lt;=MAXOC),"Open cut","Shoring")</f>
        <v>Shoring</v>
      </c>
      <c r="R320" s="27" t="n">
        <f aca="false">IF(Q320="Shoring",D320,0)</f>
        <v>1.97799986478563</v>
      </c>
      <c r="S320" s="27" t="n">
        <f aca="false">MAX(0,GWL-L320)</f>
        <v>2.93215166113242</v>
      </c>
      <c r="T320" s="27" t="n">
        <f aca="false">MAX(0,NG-MAX(L320,GWL))</f>
        <v>0.8</v>
      </c>
      <c r="U320" s="27" t="n">
        <f aca="false">E320+2*WS</f>
        <v>3.20000332226483</v>
      </c>
      <c r="V320" s="27" t="n">
        <f aca="false">IF(Q320="Shoring",D320*M320*U320,0)</f>
        <v>23.6230500650625</v>
      </c>
      <c r="W320" s="27" t="n">
        <f aca="false">IF(Q320="Open cut",D320*(U320*M320+SLOPE_B*S320^2+2*SLOPE_B*S320*T320+SLOPE_A*T320^2),0)</f>
        <v>0</v>
      </c>
      <c r="X320" s="27" t="n">
        <f aca="false">IF(M320&gt;0,D320*(E320+2*SLABOVH)*SLAB,0)</f>
        <v>2.17580313698389</v>
      </c>
      <c r="Y320" s="27" t="n">
        <f aca="false">IF(M320&gt;0,D320*PI()*E320^2/4,0)</f>
        <v>2.23707753073295</v>
      </c>
      <c r="Z320" s="27" t="n">
        <f aca="false">IF(H320-E320&gt;=GWL,99,E320*(MAX(0,GWL-H320)*(GAM_S-GAM_W)+MAX(0,NG-MAX(H320,GWL))*GAM_D)/(GAM_W*PI()*E320^2/4))</f>
        <v>2.30536658477894</v>
      </c>
      <c r="AA320" s="27" t="n">
        <f aca="false">IF(I320-E320&gt;=GWL,99,E320*(MAX(0,GWL-I320)*(GAM_S-GAM_W)+MAX(0,NG-MAX(I320,GWL))*GAM_D)/(GAM_W*PI()*E320^2/4))</f>
        <v>2.9924925436832</v>
      </c>
      <c r="AB320" s="27" t="n">
        <f aca="false">IF(H320-E320&gt;=GWL,99,E320*(MAX(0,GWL-H320)*(GAM_S-GAM_W)+MAX(0,FL-MAX(H320,GWL))*GAM_D)/(GAM_W*PI()*E320^2/4))</f>
        <v>5.61500149840458</v>
      </c>
      <c r="AC320" s="27" t="n">
        <f aca="false">IF(I320-E320&gt;=GWL,99,E320*(MAX(0,GWL-I320)*(GAM_S-GAM_W)+MAX(0,FL-MAX(I320,GWL))*GAM_D)/(GAM_W*PI()*E320^2/4))</f>
        <v>6.30212745730884</v>
      </c>
    </row>
    <row r="321" customFormat="false" ht="15" hidden="false" customHeight="false" outlineLevel="0" collapsed="false">
      <c r="A321" s="25" t="s">
        <v>719</v>
      </c>
      <c r="B321" s="25" t="s">
        <v>799</v>
      </c>
      <c r="C321" s="25" t="s">
        <v>804</v>
      </c>
      <c r="D321" s="26" t="n">
        <v>5.78388504006972</v>
      </c>
      <c r="E321" s="26" t="n">
        <v>1.20000332226483</v>
      </c>
      <c r="F321" s="26" t="n">
        <v>-4.82000166113242</v>
      </c>
      <c r="G321" s="26" t="n">
        <v>-4.80672375417439</v>
      </c>
      <c r="H321" s="26" t="n">
        <v>-3.11999833886758</v>
      </c>
      <c r="I321" s="26" t="n">
        <v>-3.10672043190956</v>
      </c>
      <c r="J321" s="26" t="n">
        <v>20.48</v>
      </c>
      <c r="K321" s="27" t="n">
        <f aca="false">MIN(F321,G321)</f>
        <v>-4.82000166113242</v>
      </c>
      <c r="L321" s="27" t="n">
        <f aca="false">AVERAGE(F321,G321)</f>
        <v>-4.8133627076534</v>
      </c>
      <c r="M321" s="27" t="n">
        <f aca="false">MAX(0,NG-L321)</f>
        <v>4.1133627076534</v>
      </c>
      <c r="N321" s="27" t="n">
        <f aca="false">MAX(0,GWL-K321)</f>
        <v>3.32000166113242</v>
      </c>
      <c r="O321" s="27" t="n">
        <f aca="false">MAX(0,NG-MAX(K321,GWL))</f>
        <v>0.8</v>
      </c>
      <c r="P321" s="27" t="n">
        <f aca="false">E321/2+WS+SLOPE_A*O321+SLOPE_B*N321</f>
        <v>9.44000498339725</v>
      </c>
      <c r="Q321" s="28" t="str">
        <f aca="false">IF(AND(P321&lt;J321,N321&lt;=MAXOC),"Open cut","Shoring")</f>
        <v>Shoring</v>
      </c>
      <c r="R321" s="27" t="n">
        <f aca="false">IF(Q321="Shoring",D321,0)</f>
        <v>5.78388504006972</v>
      </c>
      <c r="S321" s="27" t="n">
        <f aca="false">MAX(0,GWL-L321)</f>
        <v>3.3133627076534</v>
      </c>
      <c r="T321" s="27" t="n">
        <f aca="false">MAX(0,NG-MAX(L321,GWL))</f>
        <v>0.8</v>
      </c>
      <c r="U321" s="27" t="n">
        <f aca="false">E321+2*WS</f>
        <v>3.20000332226483</v>
      </c>
      <c r="V321" s="27" t="n">
        <f aca="false">IF(Q321="Shoring",D321*M321*U321,0)</f>
        <v>76.1319735340907</v>
      </c>
      <c r="W321" s="27" t="n">
        <f aca="false">IF(Q321="Open cut",D321*(U321*M321+SLOPE_B*S321^2+2*SLOPE_B*S321*T321+SLOPE_A*T321^2),0)</f>
        <v>0</v>
      </c>
      <c r="X321" s="27" t="n">
        <f aca="false">IF(M321&gt;0,D321*(E321+2*SLABOVH)*SLAB,0)</f>
        <v>6.36228315187562</v>
      </c>
      <c r="Y321" s="27" t="n">
        <f aca="false">IF(M321&gt;0,D321*PI()*E321^2/4,0)</f>
        <v>6.54145609099153</v>
      </c>
      <c r="Z321" s="27" t="n">
        <f aca="false">IF(H321-E321&gt;=GWL,99,E321*(MAX(0,GWL-H321)*(GAM_S-GAM_W)+MAX(0,NG-MAX(H321,GWL))*GAM_D)/(GAM_W*PI()*E321^2/4))</f>
        <v>2.9924925436832</v>
      </c>
      <c r="AA321" s="27" t="n">
        <f aca="false">IF(I321-E321&gt;=GWL,99,E321*(MAX(0,GWL-I321)*(GAM_S-GAM_W)+MAX(0,NG-MAX(I321,GWL))*GAM_D)/(GAM_W*PI()*E321^2/4))</f>
        <v>2.98073078713972</v>
      </c>
      <c r="AB321" s="27" t="n">
        <f aca="false">IF(H321-E321&gt;=GWL,99,E321*(MAX(0,GWL-H321)*(GAM_S-GAM_W)+MAX(0,FL-MAX(H321,GWL))*GAM_D)/(GAM_W*PI()*E321^2/4))</f>
        <v>6.30212745730884</v>
      </c>
      <c r="AC321" s="27" t="n">
        <f aca="false">IF(I321-E321&gt;=GWL,99,E321*(MAX(0,GWL-I321)*(GAM_S-GAM_W)+MAX(0,FL-MAX(I321,GWL))*GAM_D)/(GAM_W*PI()*E321^2/4))</f>
        <v>6.29036570076536</v>
      </c>
    </row>
    <row r="322" customFormat="false" ht="15" hidden="false" customHeight="false" outlineLevel="0" collapsed="false">
      <c r="A322" s="25" t="s">
        <v>719</v>
      </c>
      <c r="B322" s="25" t="s">
        <v>799</v>
      </c>
      <c r="C322" s="25" t="s">
        <v>805</v>
      </c>
      <c r="D322" s="26" t="n">
        <v>10.0000000002296</v>
      </c>
      <c r="E322" s="26" t="n">
        <v>1.20000332226483</v>
      </c>
      <c r="F322" s="26" t="n">
        <v>-4.80672375417439</v>
      </c>
      <c r="G322" s="26" t="n">
        <v>-4.78376702722212</v>
      </c>
      <c r="H322" s="26" t="n">
        <v>-3.10672043190956</v>
      </c>
      <c r="I322" s="26" t="n">
        <v>-3.08376370495729</v>
      </c>
      <c r="J322" s="26" t="n">
        <v>10.8</v>
      </c>
      <c r="K322" s="27" t="n">
        <f aca="false">MIN(F322,G322)</f>
        <v>-4.80672375417439</v>
      </c>
      <c r="L322" s="27" t="n">
        <f aca="false">AVERAGE(F322,G322)</f>
        <v>-4.79524539069826</v>
      </c>
      <c r="M322" s="27" t="n">
        <f aca="false">MAX(0,NG-L322)</f>
        <v>4.09524539069826</v>
      </c>
      <c r="N322" s="27" t="n">
        <f aca="false">MAX(0,GWL-K322)</f>
        <v>3.30672375417439</v>
      </c>
      <c r="O322" s="27" t="n">
        <f aca="false">MAX(0,NG-MAX(K322,GWL))</f>
        <v>0.8</v>
      </c>
      <c r="P322" s="27" t="n">
        <f aca="false">E322/2+WS+SLOPE_A*O322+SLOPE_B*N322</f>
        <v>9.4134491694812</v>
      </c>
      <c r="Q322" s="28" t="str">
        <f aca="false">IF(AND(P322&lt;J322,N322&lt;=MAXOC),"Open cut","Shoring")</f>
        <v>Shoring</v>
      </c>
      <c r="R322" s="27" t="n">
        <f aca="false">IF(Q322="Shoring",D322,0)</f>
        <v>10.0000000002296</v>
      </c>
      <c r="S322" s="27" t="n">
        <f aca="false">MAX(0,GWL-L322)</f>
        <v>3.29524539069826</v>
      </c>
      <c r="T322" s="27" t="n">
        <f aca="false">MAX(0,NG-MAX(L322,GWL))</f>
        <v>0.8</v>
      </c>
      <c r="U322" s="27" t="n">
        <f aca="false">E322+2*WS</f>
        <v>3.20000332226483</v>
      </c>
      <c r="V322" s="27" t="n">
        <f aca="false">IF(Q322="Shoring",D322*M322*U322,0)</f>
        <v>131.04798856025</v>
      </c>
      <c r="W322" s="27" t="n">
        <f aca="false">IF(Q322="Open cut",D322*(U322*M322+SLOPE_B*S322^2+2*SLOPE_B*S322*T322+SLOPE_A*T322^2),0)</f>
        <v>0</v>
      </c>
      <c r="X322" s="27" t="n">
        <f aca="false">IF(M322&gt;0,D322*(E322+2*SLABOVH)*SLAB,0)</f>
        <v>11.0000166115767</v>
      </c>
      <c r="Y322" s="27" t="n">
        <f aca="false">IF(M322&gt;0,D322*PI()*E322^2/4,0)</f>
        <v>11.3097961764863</v>
      </c>
      <c r="Z322" s="27" t="n">
        <f aca="false">IF(H322-E322&gt;=GWL,99,E322*(MAX(0,GWL-H322)*(GAM_S-GAM_W)+MAX(0,NG-MAX(H322,GWL))*GAM_D)/(GAM_W*PI()*E322^2/4))</f>
        <v>2.98073078713972</v>
      </c>
      <c r="AA322" s="27" t="n">
        <f aca="false">IF(I322-E322&gt;=GWL,99,E322*(MAX(0,GWL-I322)*(GAM_S-GAM_W)+MAX(0,NG-MAX(I322,GWL))*GAM_D)/(GAM_W*PI()*E322^2/4))</f>
        <v>2.96039539585394</v>
      </c>
      <c r="AB322" s="27" t="n">
        <f aca="false">IF(H322-E322&gt;=GWL,99,E322*(MAX(0,GWL-H322)*(GAM_S-GAM_W)+MAX(0,FL-MAX(H322,GWL))*GAM_D)/(GAM_W*PI()*E322^2/4))</f>
        <v>6.29036570076536</v>
      </c>
      <c r="AC322" s="27" t="n">
        <f aca="false">IF(I322-E322&gt;=GWL,99,E322*(MAX(0,GWL-I322)*(GAM_S-GAM_W)+MAX(0,FL-MAX(I322,GWL))*GAM_D)/(GAM_W*PI()*E322^2/4))</f>
        <v>6.27003030947958</v>
      </c>
    </row>
    <row r="323" customFormat="false" ht="15" hidden="false" customHeight="false" outlineLevel="0" collapsed="false">
      <c r="A323" s="25" t="s">
        <v>719</v>
      </c>
      <c r="B323" s="25" t="s">
        <v>799</v>
      </c>
      <c r="C323" s="25" t="s">
        <v>806</v>
      </c>
      <c r="D323" s="26" t="n">
        <v>9.99999999942235</v>
      </c>
      <c r="E323" s="26" t="n">
        <v>1.20000332226483</v>
      </c>
      <c r="F323" s="26" t="n">
        <v>-4.78376702722212</v>
      </c>
      <c r="G323" s="26" t="n">
        <v>-4.76081030026985</v>
      </c>
      <c r="H323" s="26" t="n">
        <v>-3.08376370495729</v>
      </c>
      <c r="I323" s="26" t="n">
        <v>-3.06080697800502</v>
      </c>
      <c r="J323" s="26" t="n">
        <v>2.09</v>
      </c>
      <c r="K323" s="27" t="n">
        <f aca="false">MIN(F323,G323)</f>
        <v>-4.78376702722212</v>
      </c>
      <c r="L323" s="27" t="n">
        <f aca="false">AVERAGE(F323,G323)</f>
        <v>-4.77228866374599</v>
      </c>
      <c r="M323" s="27" t="n">
        <f aca="false">MAX(0,NG-L323)</f>
        <v>4.07228866374599</v>
      </c>
      <c r="N323" s="27" t="n">
        <f aca="false">MAX(0,GWL-K323)</f>
        <v>3.28376702722212</v>
      </c>
      <c r="O323" s="27" t="n">
        <f aca="false">MAX(0,NG-MAX(K323,GWL))</f>
        <v>0.8</v>
      </c>
      <c r="P323" s="27" t="n">
        <f aca="false">E323/2+WS+SLOPE_A*O323+SLOPE_B*N323</f>
        <v>9.36753571557666</v>
      </c>
      <c r="Q323" s="28" t="str">
        <f aca="false">IF(AND(P323&lt;J323,N323&lt;=MAXOC),"Open cut","Shoring")</f>
        <v>Shoring</v>
      </c>
      <c r="R323" s="27" t="n">
        <f aca="false">IF(Q323="Shoring",D323,0)</f>
        <v>9.99999999942235</v>
      </c>
      <c r="S323" s="27" t="n">
        <f aca="false">MAX(0,GWL-L323)</f>
        <v>3.27228866374599</v>
      </c>
      <c r="T323" s="27" t="n">
        <f aca="false">MAX(0,NG-MAX(L323,GWL))</f>
        <v>0.8</v>
      </c>
      <c r="U323" s="27" t="n">
        <f aca="false">E323+2*WS</f>
        <v>3.20000332226483</v>
      </c>
      <c r="V323" s="27" t="n">
        <f aca="false">IF(Q323="Shoring",D323*M323*U323,0)</f>
        <v>130.313372524558</v>
      </c>
      <c r="W323" s="27" t="n">
        <f aca="false">IF(Q323="Open cut",D323*(U323*M323+SLOPE_B*S323^2+2*SLOPE_B*S323*T323+SLOPE_A*T323^2),0)</f>
        <v>0</v>
      </c>
      <c r="X323" s="27" t="n">
        <f aca="false">IF(M323&gt;0,D323*(E323+2*SLABOVH)*SLAB,0)</f>
        <v>11.0000166106888</v>
      </c>
      <c r="Y323" s="27" t="n">
        <f aca="false">IF(M323&gt;0,D323*PI()*E323^2/4,0)</f>
        <v>11.3097961755734</v>
      </c>
      <c r="Z323" s="27" t="n">
        <f aca="false">IF(H323-E323&gt;=GWL,99,E323*(MAX(0,GWL-H323)*(GAM_S-GAM_W)+MAX(0,NG-MAX(H323,GWL))*GAM_D)/(GAM_W*PI()*E323^2/4))</f>
        <v>2.96039539585394</v>
      </c>
      <c r="AA323" s="27" t="n">
        <f aca="false">IF(I323-E323&gt;=GWL,99,E323*(MAX(0,GWL-I323)*(GAM_S-GAM_W)+MAX(0,NG-MAX(I323,GWL))*GAM_D)/(GAM_W*PI()*E323^2/4))</f>
        <v>2.94006000456816</v>
      </c>
      <c r="AB323" s="27" t="n">
        <f aca="false">IF(H323-E323&gt;=GWL,99,E323*(MAX(0,GWL-H323)*(GAM_S-GAM_W)+MAX(0,FL-MAX(H323,GWL))*GAM_D)/(GAM_W*PI()*E323^2/4))</f>
        <v>6.27003030947958</v>
      </c>
      <c r="AC323" s="27" t="n">
        <f aca="false">IF(I323-E323&gt;=GWL,99,E323*(MAX(0,GWL-I323)*(GAM_S-GAM_W)+MAX(0,FL-MAX(I323,GWL))*GAM_D)/(GAM_W*PI()*E323^2/4))</f>
        <v>6.2496949181938</v>
      </c>
    </row>
    <row r="324" customFormat="false" ht="15" hidden="false" customHeight="false" outlineLevel="0" collapsed="false">
      <c r="A324" s="25" t="s">
        <v>719</v>
      </c>
      <c r="B324" s="25" t="s">
        <v>799</v>
      </c>
      <c r="C324" s="25" t="s">
        <v>807</v>
      </c>
      <c r="D324" s="26" t="n">
        <v>10.0000000002876</v>
      </c>
      <c r="E324" s="26" t="n">
        <v>1.20000332226483</v>
      </c>
      <c r="F324" s="26" t="n">
        <v>-4.76081030026985</v>
      </c>
      <c r="G324" s="26" t="n">
        <v>-4.73785357331758</v>
      </c>
      <c r="H324" s="26" t="n">
        <v>-3.06080697800502</v>
      </c>
      <c r="I324" s="26" t="n">
        <v>-3.03785025105275</v>
      </c>
      <c r="J324" s="26" t="n">
        <v>0</v>
      </c>
      <c r="K324" s="27" t="n">
        <f aca="false">MIN(F324,G324)</f>
        <v>-4.76081030026985</v>
      </c>
      <c r="L324" s="27" t="n">
        <f aca="false">AVERAGE(F324,G324)</f>
        <v>-4.74933193679372</v>
      </c>
      <c r="M324" s="27" t="n">
        <f aca="false">MAX(0,NG-L324)</f>
        <v>4.04933193679372</v>
      </c>
      <c r="N324" s="27" t="n">
        <f aca="false">MAX(0,GWL-K324)</f>
        <v>3.26081030026985</v>
      </c>
      <c r="O324" s="27" t="n">
        <f aca="false">MAX(0,NG-MAX(K324,GWL))</f>
        <v>0.8</v>
      </c>
      <c r="P324" s="27" t="n">
        <f aca="false">E324/2+WS+SLOPE_A*O324+SLOPE_B*N324</f>
        <v>9.32162226167212</v>
      </c>
      <c r="Q324" s="28" t="str">
        <f aca="false">IF(AND(P324&lt;J324,N324&lt;=MAXOC),"Open cut","Shoring")</f>
        <v>Shoring</v>
      </c>
      <c r="R324" s="27" t="n">
        <f aca="false">IF(Q324="Shoring",D324,0)</f>
        <v>10.0000000002876</v>
      </c>
      <c r="S324" s="27" t="n">
        <f aca="false">MAX(0,GWL-L324)</f>
        <v>3.24933193679372</v>
      </c>
      <c r="T324" s="27" t="n">
        <f aca="false">MAX(0,NG-MAX(L324,GWL))</f>
        <v>0.8</v>
      </c>
      <c r="U324" s="27" t="n">
        <f aca="false">E324+2*WS</f>
        <v>3.20000332226483</v>
      </c>
      <c r="V324" s="27" t="n">
        <f aca="false">IF(Q324="Shoring",D324*M324*U324,0)</f>
        <v>129.578756510657</v>
      </c>
      <c r="W324" s="27" t="n">
        <f aca="false">IF(Q324="Open cut",D324*(U324*M324+SLOPE_B*S324^2+2*SLOPE_B*S324*T324+SLOPE_A*T324^2),0)</f>
        <v>0</v>
      </c>
      <c r="X324" s="27" t="n">
        <f aca="false">IF(M324&gt;0,D324*(E324+2*SLABOVH)*SLAB,0)</f>
        <v>11.0000166116406</v>
      </c>
      <c r="Y324" s="27" t="n">
        <f aca="false">IF(M324&gt;0,D324*PI()*E324^2/4,0)</f>
        <v>11.309796176552</v>
      </c>
      <c r="Z324" s="27" t="n">
        <f aca="false">IF(H324-E324&gt;=GWL,99,E324*(MAX(0,GWL-H324)*(GAM_S-GAM_W)+MAX(0,NG-MAX(H324,GWL))*GAM_D)/(GAM_W*PI()*E324^2/4))</f>
        <v>2.94006000456816</v>
      </c>
      <c r="AA324" s="27" t="n">
        <f aca="false">IF(I324-E324&gt;=GWL,99,E324*(MAX(0,GWL-I324)*(GAM_S-GAM_W)+MAX(0,NG-MAX(I324,GWL))*GAM_D)/(GAM_W*PI()*E324^2/4))</f>
        <v>2.91972461328237</v>
      </c>
      <c r="AB324" s="27" t="n">
        <f aca="false">IF(H324-E324&gt;=GWL,99,E324*(MAX(0,GWL-H324)*(GAM_S-GAM_W)+MAX(0,FL-MAX(H324,GWL))*GAM_D)/(GAM_W*PI()*E324^2/4))</f>
        <v>6.2496949181938</v>
      </c>
      <c r="AC324" s="27" t="n">
        <f aca="false">IF(I324-E324&gt;=GWL,99,E324*(MAX(0,GWL-I324)*(GAM_S-GAM_W)+MAX(0,FL-MAX(I324,GWL))*GAM_D)/(GAM_W*PI()*E324^2/4))</f>
        <v>6.22935952690801</v>
      </c>
    </row>
    <row r="325" customFormat="false" ht="15" hidden="false" customHeight="false" outlineLevel="0" collapsed="false">
      <c r="A325" s="25" t="s">
        <v>719</v>
      </c>
      <c r="B325" s="25" t="s">
        <v>799</v>
      </c>
      <c r="C325" s="25" t="s">
        <v>808</v>
      </c>
      <c r="D325" s="26" t="n">
        <v>0.0999999998004909</v>
      </c>
      <c r="E325" s="26" t="n">
        <v>1.20000332226483</v>
      </c>
      <c r="F325" s="26" t="n">
        <v>-4.73785357331758</v>
      </c>
      <c r="G325" s="26" t="n">
        <v>-4.73762400604806</v>
      </c>
      <c r="H325" s="26" t="n">
        <v>-3.03785025105275</v>
      </c>
      <c r="I325" s="26" t="n">
        <v>-3.03762068378323</v>
      </c>
      <c r="J325" s="26" t="n">
        <v>4.79</v>
      </c>
      <c r="K325" s="27" t="n">
        <f aca="false">MIN(F325,G325)</f>
        <v>-4.73785357331758</v>
      </c>
      <c r="L325" s="27" t="n">
        <f aca="false">AVERAGE(F325,G325)</f>
        <v>-4.73773878968282</v>
      </c>
      <c r="M325" s="27" t="n">
        <f aca="false">MAX(0,NG-L325)</f>
        <v>4.03773878968282</v>
      </c>
      <c r="N325" s="27" t="n">
        <f aca="false">MAX(0,GWL-K325)</f>
        <v>3.23785357331758</v>
      </c>
      <c r="O325" s="27" t="n">
        <f aca="false">MAX(0,NG-MAX(K325,GWL))</f>
        <v>0.8</v>
      </c>
      <c r="P325" s="27" t="n">
        <f aca="false">E325/2+WS+SLOPE_A*O325+SLOPE_B*N325</f>
        <v>9.27570880776758</v>
      </c>
      <c r="Q325" s="28" t="str">
        <f aca="false">IF(AND(P325&lt;J325,N325&lt;=MAXOC),"Open cut","Shoring")</f>
        <v>Shoring</v>
      </c>
      <c r="R325" s="27" t="n">
        <f aca="false">IF(Q325="Shoring",D325,0)</f>
        <v>0.0999999998004909</v>
      </c>
      <c r="S325" s="27" t="n">
        <f aca="false">MAX(0,GWL-L325)</f>
        <v>3.23773878968282</v>
      </c>
      <c r="T325" s="27" t="n">
        <f aca="false">MAX(0,NG-MAX(L325,GWL))</f>
        <v>0.8</v>
      </c>
      <c r="U325" s="27" t="n">
        <f aca="false">E325+2*WS</f>
        <v>3.20000332226483</v>
      </c>
      <c r="V325" s="27" t="n">
        <f aca="false">IF(Q325="Shoring",D325*M325*U325,0)</f>
        <v>1.29207775156445</v>
      </c>
      <c r="W325" s="27" t="n">
        <f aca="false">IF(Q325="Open cut",D325*(U325*M325+SLOPE_B*S325^2+2*SLOPE_B*S325*T325+SLOPE_A*T325^2),0)</f>
        <v>0</v>
      </c>
      <c r="X325" s="27" t="n">
        <f aca="false">IF(M325&gt;0,D325*(E325+2*SLABOVH)*SLAB,0)</f>
        <v>0.110000165893781</v>
      </c>
      <c r="Y325" s="27" t="n">
        <f aca="false">IF(M325&gt;0,D325*PI()*E325^2/4,0)</f>
        <v>0.113097961536626</v>
      </c>
      <c r="Z325" s="27" t="n">
        <f aca="false">IF(H325-E325&gt;=GWL,99,E325*(MAX(0,GWL-H325)*(GAM_S-GAM_W)+MAX(0,NG-MAX(H325,GWL))*GAM_D)/(GAM_W*PI()*E325^2/4))</f>
        <v>2.91972461328237</v>
      </c>
      <c r="AA325" s="27" t="n">
        <f aca="false">IF(I325-E325&gt;=GWL,99,E325*(MAX(0,GWL-I325)*(GAM_S-GAM_W)+MAX(0,NG-MAX(I325,GWL))*GAM_D)/(GAM_W*PI()*E325^2/4))</f>
        <v>2.91952125936952</v>
      </c>
      <c r="AB325" s="27" t="n">
        <f aca="false">IF(H325-E325&gt;=GWL,99,E325*(MAX(0,GWL-H325)*(GAM_S-GAM_W)+MAX(0,FL-MAX(H325,GWL))*GAM_D)/(GAM_W*PI()*E325^2/4))</f>
        <v>6.22935952690801</v>
      </c>
      <c r="AC325" s="27" t="n">
        <f aca="false">IF(I325-E325&gt;=GWL,99,E325*(MAX(0,GWL-I325)*(GAM_S-GAM_W)+MAX(0,FL-MAX(I325,GWL))*GAM_D)/(GAM_W*PI()*E325^2/4))</f>
        <v>6.22915617299516</v>
      </c>
    </row>
    <row r="326" customFormat="false" ht="15" hidden="false" customHeight="false" outlineLevel="0" collapsed="false">
      <c r="A326" s="25" t="s">
        <v>719</v>
      </c>
      <c r="B326" s="25" t="s">
        <v>809</v>
      </c>
      <c r="C326" s="25" t="s">
        <v>810</v>
      </c>
      <c r="D326" s="26" t="n">
        <v>9.90000000042908</v>
      </c>
      <c r="E326" s="26" t="n">
        <v>1.20000332226483</v>
      </c>
      <c r="F326" s="26" t="n">
        <v>-4.73762400604806</v>
      </c>
      <c r="G326" s="26" t="n">
        <v>-4.71489684636531</v>
      </c>
      <c r="H326" s="26" t="n">
        <v>-3.03762068378323</v>
      </c>
      <c r="I326" s="26" t="n">
        <v>-3.01489352410048</v>
      </c>
      <c r="J326" s="26" t="n">
        <v>4.89</v>
      </c>
      <c r="K326" s="27" t="n">
        <f aca="false">MIN(F326,G326)</f>
        <v>-4.73762400604806</v>
      </c>
      <c r="L326" s="27" t="n">
        <f aca="false">AVERAGE(F326,G326)</f>
        <v>-4.72626042620669</v>
      </c>
      <c r="M326" s="27" t="n">
        <f aca="false">MAX(0,NG-L326)</f>
        <v>4.02626042620669</v>
      </c>
      <c r="N326" s="27" t="n">
        <f aca="false">MAX(0,GWL-K326)</f>
        <v>3.23762400604806</v>
      </c>
      <c r="O326" s="27" t="n">
        <f aca="false">MAX(0,NG-MAX(K326,GWL))</f>
        <v>0.8</v>
      </c>
      <c r="P326" s="27" t="n">
        <f aca="false">E326/2+WS+SLOPE_A*O326+SLOPE_B*N326</f>
        <v>9.27524967322853</v>
      </c>
      <c r="Q326" s="28" t="str">
        <f aca="false">IF(AND(P326&lt;J326,N326&lt;=MAXOC),"Open cut","Shoring")</f>
        <v>Shoring</v>
      </c>
      <c r="R326" s="27" t="n">
        <f aca="false">IF(Q326="Shoring",D326,0)</f>
        <v>9.90000000042908</v>
      </c>
      <c r="S326" s="27" t="n">
        <f aca="false">MAX(0,GWL-L326)</f>
        <v>3.22626042620669</v>
      </c>
      <c r="T326" s="27" t="n">
        <f aca="false">MAX(0,NG-MAX(L326,GWL))</f>
        <v>0.8</v>
      </c>
      <c r="U326" s="27" t="n">
        <f aca="false">E326+2*WS</f>
        <v>3.20000332226483</v>
      </c>
      <c r="V326" s="27" t="n">
        <f aca="false">IF(Q326="Shoring",D326*M326*U326,0)</f>
        <v>127.55206273316</v>
      </c>
      <c r="W326" s="27" t="n">
        <f aca="false">IF(Q326="Open cut",D326*(U326*M326+SLOPE_B*S326^2+2*SLOPE_B*S326*T326+SLOPE_A*T326^2),0)</f>
        <v>0</v>
      </c>
      <c r="X326" s="27" t="n">
        <f aca="false">IF(M326&gt;0,D326*(E326+2*SLABOVH)*SLAB,0)</f>
        <v>10.8900164456829</v>
      </c>
      <c r="Y326" s="27" t="n">
        <f aca="false">IF(M326&gt;0,D326*PI()*E326^2/4,0)</f>
        <v>11.1966982149497</v>
      </c>
      <c r="Z326" s="27" t="n">
        <f aca="false">IF(H326-E326&gt;=GWL,99,E326*(MAX(0,GWL-H326)*(GAM_S-GAM_W)+MAX(0,NG-MAX(H326,GWL))*GAM_D)/(GAM_W*PI()*E326^2/4))</f>
        <v>2.91952125936952</v>
      </c>
      <c r="AA326" s="27" t="n">
        <f aca="false">IF(I326-E326&gt;=GWL,99,E326*(MAX(0,GWL-I326)*(GAM_S-GAM_W)+MAX(0,NG-MAX(I326,GWL))*GAM_D)/(GAM_W*PI()*E326^2/4))</f>
        <v>2.89938922199659</v>
      </c>
      <c r="AB326" s="27" t="n">
        <f aca="false">IF(H326-E326&gt;=GWL,99,E326*(MAX(0,GWL-H326)*(GAM_S-GAM_W)+MAX(0,FL-MAX(H326,GWL))*GAM_D)/(GAM_W*PI()*E326^2/4))</f>
        <v>6.22915617299516</v>
      </c>
      <c r="AC326" s="27" t="n">
        <f aca="false">IF(I326-E326&gt;=GWL,99,E326*(MAX(0,GWL-I326)*(GAM_S-GAM_W)+MAX(0,FL-MAX(I326,GWL))*GAM_D)/(GAM_W*PI()*E326^2/4))</f>
        <v>6.20902413562223</v>
      </c>
    </row>
    <row r="327" customFormat="false" ht="15" hidden="false" customHeight="false" outlineLevel="0" collapsed="false">
      <c r="A327" s="25" t="s">
        <v>719</v>
      </c>
      <c r="B327" s="25" t="s">
        <v>809</v>
      </c>
      <c r="C327" s="25" t="s">
        <v>811</v>
      </c>
      <c r="D327" s="26" t="n">
        <v>6.48837495984529</v>
      </c>
      <c r="E327" s="26" t="n">
        <v>1.20000332226483</v>
      </c>
      <c r="F327" s="26" t="n">
        <v>-4.71489684636531</v>
      </c>
      <c r="G327" s="26" t="n">
        <v>-4.70000166113242</v>
      </c>
      <c r="H327" s="26" t="n">
        <v>-3.01489352410048</v>
      </c>
      <c r="I327" s="26" t="n">
        <v>-2.99999833886758</v>
      </c>
      <c r="J327" s="26" t="n">
        <v>14.74</v>
      </c>
      <c r="K327" s="27" t="n">
        <f aca="false">MIN(F327,G327)</f>
        <v>-4.71489684636531</v>
      </c>
      <c r="L327" s="27" t="n">
        <f aca="false">AVERAGE(F327,G327)</f>
        <v>-4.70744925374886</v>
      </c>
      <c r="M327" s="27" t="n">
        <f aca="false">MAX(0,NG-L327)</f>
        <v>4.00744925374886</v>
      </c>
      <c r="N327" s="27" t="n">
        <f aca="false">MAX(0,GWL-K327)</f>
        <v>3.21489684636531</v>
      </c>
      <c r="O327" s="27" t="n">
        <f aca="false">MAX(0,NG-MAX(K327,GWL))</f>
        <v>0.8</v>
      </c>
      <c r="P327" s="27" t="n">
        <f aca="false">E327/2+WS+SLOPE_A*O327+SLOPE_B*N327</f>
        <v>9.22979535386304</v>
      </c>
      <c r="Q327" s="28" t="str">
        <f aca="false">IF(AND(P327&lt;J327,N327&lt;=MAXOC),"Open cut","Shoring")</f>
        <v>Shoring</v>
      </c>
      <c r="R327" s="27" t="n">
        <f aca="false">IF(Q327="Shoring",D327,0)</f>
        <v>6.48837495984529</v>
      </c>
      <c r="S327" s="27" t="n">
        <f aca="false">MAX(0,GWL-L327)</f>
        <v>3.20744925374886</v>
      </c>
      <c r="T327" s="27" t="n">
        <f aca="false">MAX(0,NG-MAX(L327,GWL))</f>
        <v>0.8</v>
      </c>
      <c r="U327" s="27" t="n">
        <f aca="false">E327+2*WS</f>
        <v>3.20000332226483</v>
      </c>
      <c r="V327" s="27" t="n">
        <f aca="false">IF(Q327="Shoring",D327*M327*U327,0)</f>
        <v>83.2059532357761</v>
      </c>
      <c r="W327" s="27" t="n">
        <f aca="false">IF(Q327="Open cut",D327*(U327*M327+SLOPE_B*S327^2+2*SLOPE_B*S327*T327+SLOPE_A*T327^2),0)</f>
        <v>0</v>
      </c>
      <c r="X327" s="27" t="n">
        <f aca="false">IF(M327&gt;0,D327*(E327+2*SLABOVH)*SLAB,0)</f>
        <v>7.13722323387979</v>
      </c>
      <c r="Y327" s="27" t="n">
        <f aca="false">IF(M327&gt;0,D327*PI()*E327^2/4,0)</f>
        <v>7.33821983107833</v>
      </c>
      <c r="Z327" s="27" t="n">
        <f aca="false">IF(H327-E327&gt;=GWL,99,E327*(MAX(0,GWL-H327)*(GAM_S-GAM_W)+MAX(0,NG-MAX(H327,GWL))*GAM_D)/(GAM_W*PI()*E327^2/4))</f>
        <v>2.89938922199659</v>
      </c>
      <c r="AA327" s="27" t="n">
        <f aca="false">IF(I327-E327&gt;=GWL,99,E327*(MAX(0,GWL-I327)*(GAM_S-GAM_W)+MAX(0,NG-MAX(I327,GWL))*GAM_D)/(GAM_W*PI()*E327^2/4))</f>
        <v>2.88619485763381</v>
      </c>
      <c r="AB327" s="27" t="n">
        <f aca="false">IF(H327-E327&gt;=GWL,99,E327*(MAX(0,GWL-H327)*(GAM_S-GAM_W)+MAX(0,FL-MAX(H327,GWL))*GAM_D)/(GAM_W*PI()*E327^2/4))</f>
        <v>6.20902413562223</v>
      </c>
      <c r="AC327" s="27" t="n">
        <f aca="false">IF(I327-E327&gt;=GWL,99,E327*(MAX(0,GWL-I327)*(GAM_S-GAM_W)+MAX(0,FL-MAX(I327,GWL))*GAM_D)/(GAM_W*PI()*E327^2/4))</f>
        <v>6.19582977125945</v>
      </c>
    </row>
    <row r="328" customFormat="false" ht="15" hidden="false" customHeight="false" outlineLevel="0" collapsed="false">
      <c r="A328" s="25" t="s">
        <v>719</v>
      </c>
      <c r="B328" s="25" t="s">
        <v>809</v>
      </c>
      <c r="C328" s="25" t="s">
        <v>812</v>
      </c>
      <c r="D328" s="26" t="n">
        <v>1.0001018841762</v>
      </c>
      <c r="E328" s="26" t="n">
        <v>1.20000332226483</v>
      </c>
      <c r="F328" s="26" t="n">
        <v>-4.70000166113242</v>
      </c>
      <c r="G328" s="26" t="n">
        <v>-4.63014166113242</v>
      </c>
      <c r="H328" s="26" t="n">
        <v>-2.99999833886758</v>
      </c>
      <c r="I328" s="26" t="n">
        <v>-2.93013833886758</v>
      </c>
      <c r="J328" s="26" t="n">
        <v>16.15</v>
      </c>
      <c r="K328" s="27" t="n">
        <f aca="false">MIN(F328,G328)</f>
        <v>-4.70000166113242</v>
      </c>
      <c r="L328" s="27" t="n">
        <f aca="false">AVERAGE(F328,G328)</f>
        <v>-4.66507166113242</v>
      </c>
      <c r="M328" s="27" t="n">
        <f aca="false">MAX(0,NG-L328)</f>
        <v>3.96507166113242</v>
      </c>
      <c r="N328" s="27" t="n">
        <f aca="false">MAX(0,GWL-K328)</f>
        <v>3.20000166113242</v>
      </c>
      <c r="O328" s="27" t="n">
        <f aca="false">MAX(0,NG-MAX(K328,GWL))</f>
        <v>0.8</v>
      </c>
      <c r="P328" s="27" t="n">
        <f aca="false">E328/2+WS+SLOPE_A*O328+SLOPE_B*N328</f>
        <v>9.20000498339725</v>
      </c>
      <c r="Q328" s="28" t="str">
        <f aca="false">IF(AND(P328&lt;J328,N328&lt;=MAXOC),"Open cut","Shoring")</f>
        <v>Shoring</v>
      </c>
      <c r="R328" s="27" t="n">
        <f aca="false">IF(Q328="Shoring",D328,0)</f>
        <v>1.0001018841762</v>
      </c>
      <c r="S328" s="27" t="n">
        <f aca="false">MAX(0,GWL-L328)</f>
        <v>3.16507166113242</v>
      </c>
      <c r="T328" s="27" t="n">
        <f aca="false">MAX(0,NG-MAX(L328,GWL))</f>
        <v>0.8</v>
      </c>
      <c r="U328" s="27" t="n">
        <f aca="false">E328+2*WS</f>
        <v>3.20000332226483</v>
      </c>
      <c r="V328" s="27" t="n">
        <f aca="false">IF(Q328="Shoring",D328*M328*U328,0)</f>
        <v>12.6895352197753</v>
      </c>
      <c r="W328" s="27" t="n">
        <f aca="false">IF(Q328="Open cut",D328*(U328*M328+SLOPE_B*S328^2+2*SLOPE_B*S328*T328+SLOPE_A*T328^2),0)</f>
        <v>0</v>
      </c>
      <c r="X328" s="27" t="n">
        <f aca="false">IF(M328&gt;0,D328*(E328+2*SLABOVH)*SLAB,0)</f>
        <v>1.10011373389548</v>
      </c>
      <c r="Y328" s="27" t="n">
        <f aca="false">IF(M328&gt;0,D328*PI()*E328^2/4,0)</f>
        <v>1.13109484654931</v>
      </c>
      <c r="Z328" s="27" t="n">
        <f aca="false">IF(H328-E328&gt;=GWL,99,E328*(MAX(0,GWL-H328)*(GAM_S-GAM_W)+MAX(0,NG-MAX(H328,GWL))*GAM_D)/(GAM_W*PI()*E328^2/4))</f>
        <v>2.88619485763381</v>
      </c>
      <c r="AA328" s="27" t="n">
        <f aca="false">IF(I328-E328&gt;=GWL,99,E328*(MAX(0,GWL-I328)*(GAM_S-GAM_W)+MAX(0,NG-MAX(I328,GWL))*GAM_D)/(GAM_W*PI()*E328^2/4))</f>
        <v>2.82431188807206</v>
      </c>
      <c r="AB328" s="27" t="n">
        <f aca="false">IF(H328-E328&gt;=GWL,99,E328*(MAX(0,GWL-H328)*(GAM_S-GAM_W)+MAX(0,FL-MAX(H328,GWL))*GAM_D)/(GAM_W*PI()*E328^2/4))</f>
        <v>6.19582977125945</v>
      </c>
      <c r="AC328" s="27" t="n">
        <f aca="false">IF(I328-E328&gt;=GWL,99,E328*(MAX(0,GWL-I328)*(GAM_S-GAM_W)+MAX(0,FL-MAX(I328,GWL))*GAM_D)/(GAM_W*PI()*E328^2/4))</f>
        <v>6.1339468016977</v>
      </c>
    </row>
    <row r="329" customFormat="false" ht="15" hidden="false" customHeight="false" outlineLevel="0" collapsed="false">
      <c r="A329" s="25" t="s">
        <v>719</v>
      </c>
      <c r="B329" s="25" t="s">
        <v>809</v>
      </c>
      <c r="C329" s="25" t="s">
        <v>813</v>
      </c>
      <c r="D329" s="26" t="n">
        <v>1.01318820791737</v>
      </c>
      <c r="E329" s="26" t="n">
        <v>1.19998732240007</v>
      </c>
      <c r="F329" s="26" t="n">
        <v>-4.63013366120003</v>
      </c>
      <c r="G329" s="26" t="n">
        <v>-4.55935366120003</v>
      </c>
      <c r="H329" s="26" t="n">
        <v>-2.93014633879997</v>
      </c>
      <c r="I329" s="26" t="n">
        <v>-2.85936633879997</v>
      </c>
      <c r="J329" s="26" t="n">
        <v>16.15</v>
      </c>
      <c r="K329" s="27" t="n">
        <f aca="false">MIN(F329,G329)</f>
        <v>-4.63013366120003</v>
      </c>
      <c r="L329" s="27" t="n">
        <f aca="false">AVERAGE(F329,G329)</f>
        <v>-4.59474366120003</v>
      </c>
      <c r="M329" s="27" t="n">
        <f aca="false">MAX(0,NG-L329)</f>
        <v>3.89474366120003</v>
      </c>
      <c r="N329" s="27" t="n">
        <f aca="false">MAX(0,GWL-K329)</f>
        <v>3.13013366120003</v>
      </c>
      <c r="O329" s="27" t="n">
        <f aca="false">MAX(0,NG-MAX(K329,GWL))</f>
        <v>0.8</v>
      </c>
      <c r="P329" s="27" t="n">
        <f aca="false">E329/2+WS+SLOPE_A*O329+SLOPE_B*N329</f>
        <v>9.0602609836001</v>
      </c>
      <c r="Q329" s="28" t="str">
        <f aca="false">IF(AND(P329&lt;J329,N329&lt;=MAXOC),"Open cut","Shoring")</f>
        <v>Shoring</v>
      </c>
      <c r="R329" s="27" t="n">
        <f aca="false">IF(Q329="Shoring",D329,0)</f>
        <v>1.01318820791737</v>
      </c>
      <c r="S329" s="27" t="n">
        <f aca="false">MAX(0,GWL-L329)</f>
        <v>3.09474366120003</v>
      </c>
      <c r="T329" s="27" t="n">
        <f aca="false">MAX(0,NG-MAX(L329,GWL))</f>
        <v>0.8</v>
      </c>
      <c r="U329" s="27" t="n">
        <f aca="false">E329+2*WS</f>
        <v>3.19998732240007</v>
      </c>
      <c r="V329" s="27" t="n">
        <f aca="false">IF(Q329="Shoring",D329*M329*U329,0)</f>
        <v>12.6274966940612</v>
      </c>
      <c r="W329" s="27" t="n">
        <f aca="false">IF(Q329="Open cut",D329*(U329*M329+SLOPE_B*S329^2+2*SLOPE_B*S329*T329+SLOPE_A*T329^2),0)</f>
        <v>0</v>
      </c>
      <c r="X329" s="27" t="n">
        <f aca="false">IF(M329&gt;0,D329*(E329+2*SLABOVH)*SLAB,0)</f>
        <v>1.11450060631173</v>
      </c>
      <c r="Y329" s="27" t="n">
        <f aca="false">IF(M329&gt;0,D329*PI()*E329^2/4,0)</f>
        <v>1.14586465531111</v>
      </c>
      <c r="Z329" s="27" t="n">
        <f aca="false">IF(H329-E329&gt;=GWL,99,E329*(MAX(0,GWL-H329)*(GAM_S-GAM_W)+MAX(0,NG-MAX(H329,GWL))*GAM_D)/(GAM_W*PI()*E329^2/4))</f>
        <v>2.82435663219045</v>
      </c>
      <c r="AA329" s="27" t="n">
        <f aca="false">IF(I329-E329&gt;=GWL,99,E329*(MAX(0,GWL-I329)*(GAM_S-GAM_W)+MAX(0,NG-MAX(I329,GWL))*GAM_D)/(GAM_W*PI()*E329^2/4))</f>
        <v>2.76165787772831</v>
      </c>
      <c r="AB329" s="27" t="n">
        <f aca="false">IF(H329-E329&gt;=GWL,99,E329*(MAX(0,GWL-H329)*(GAM_S-GAM_W)+MAX(0,FL-MAX(H329,GWL))*GAM_D)/(GAM_W*PI()*E329^2/4))</f>
        <v>6.13403567437484</v>
      </c>
      <c r="AC329" s="27" t="n">
        <f aca="false">IF(I329-E329&gt;=GWL,99,E329*(MAX(0,GWL-I329)*(GAM_S-GAM_W)+MAX(0,FL-MAX(I329,GWL))*GAM_D)/(GAM_W*PI()*E329^2/4))</f>
        <v>6.07133691991269</v>
      </c>
    </row>
    <row r="330" customFormat="false" ht="15" hidden="false" customHeight="false" outlineLevel="0" collapsed="false">
      <c r="A330" s="25" t="s">
        <v>719</v>
      </c>
      <c r="B330" s="25" t="s">
        <v>809</v>
      </c>
      <c r="C330" s="25" t="s">
        <v>814</v>
      </c>
      <c r="D330" s="26" t="n">
        <v>1.49833494759965</v>
      </c>
      <c r="E330" s="26" t="n">
        <v>1.19998732240007</v>
      </c>
      <c r="F330" s="26" t="n">
        <v>-4.55935366120003</v>
      </c>
      <c r="G330" s="26" t="n">
        <v>-4.4546818990644</v>
      </c>
      <c r="H330" s="26" t="n">
        <v>-2.85936633879997</v>
      </c>
      <c r="I330" s="26" t="n">
        <v>-2.75469457666434</v>
      </c>
      <c r="J330" s="26" t="n">
        <v>16.61</v>
      </c>
      <c r="K330" s="27" t="n">
        <f aca="false">MIN(F330,G330)</f>
        <v>-4.55935366120003</v>
      </c>
      <c r="L330" s="27" t="n">
        <f aca="false">AVERAGE(F330,G330)</f>
        <v>-4.50701778013222</v>
      </c>
      <c r="M330" s="27" t="n">
        <f aca="false">MAX(0,NG-L330)</f>
        <v>3.80701778013222</v>
      </c>
      <c r="N330" s="27" t="n">
        <f aca="false">MAX(0,GWL-K330)</f>
        <v>3.05935366120003</v>
      </c>
      <c r="O330" s="27" t="n">
        <f aca="false">MAX(0,NG-MAX(K330,GWL))</f>
        <v>0.8</v>
      </c>
      <c r="P330" s="27" t="n">
        <f aca="false">E330/2+WS+SLOPE_A*O330+SLOPE_B*N330</f>
        <v>8.9187009836001</v>
      </c>
      <c r="Q330" s="28" t="str">
        <f aca="false">IF(AND(P330&lt;J330,N330&lt;=MAXOC),"Open cut","Shoring")</f>
        <v>Shoring</v>
      </c>
      <c r="R330" s="27" t="n">
        <f aca="false">IF(Q330="Shoring",D330,0)</f>
        <v>1.49833494759965</v>
      </c>
      <c r="S330" s="27" t="n">
        <f aca="false">MAX(0,GWL-L330)</f>
        <v>3.00701778013222</v>
      </c>
      <c r="T330" s="27" t="n">
        <f aca="false">MAX(0,NG-MAX(L330,GWL))</f>
        <v>0.8</v>
      </c>
      <c r="U330" s="27" t="n">
        <f aca="false">E330+2*WS</f>
        <v>3.19998732240007</v>
      </c>
      <c r="V330" s="27" t="n">
        <f aca="false">IF(Q330="Shoring",D330*M330*U330,0)</f>
        <v>18.2533286001264</v>
      </c>
      <c r="W330" s="27" t="n">
        <f aca="false">IF(Q330="Open cut",D330*(U330*M330+SLOPE_B*S330^2+2*SLOPE_B*S330*T330+SLOPE_A*T330^2),0)</f>
        <v>0</v>
      </c>
      <c r="X330" s="27" t="n">
        <f aca="false">IF(M330&gt;0,D330*(E330+2*SLABOVH)*SLAB,0)</f>
        <v>1.6481589447141</v>
      </c>
      <c r="Y330" s="27" t="n">
        <f aca="false">IF(M330&gt;0,D330*PI()*E330^2/4,0)</f>
        <v>1.6945410979476</v>
      </c>
      <c r="Z330" s="27" t="n">
        <f aca="false">IF(H330-E330&gt;=GWL,99,E330*(MAX(0,GWL-H330)*(GAM_S-GAM_W)+MAX(0,NG-MAX(H330,GWL))*GAM_D)/(GAM_W*PI()*E330^2/4))</f>
        <v>2.76165787772831</v>
      </c>
      <c r="AA330" s="27" t="n">
        <f aca="false">IF(I330-E330&gt;=GWL,99,E330*(MAX(0,GWL-I330)*(GAM_S-GAM_W)+MAX(0,NG-MAX(I330,GWL))*GAM_D)/(GAM_W*PI()*E330^2/4))</f>
        <v>2.66893692388171</v>
      </c>
      <c r="AB330" s="27" t="n">
        <f aca="false">IF(H330-E330&gt;=GWL,99,E330*(MAX(0,GWL-H330)*(GAM_S-GAM_W)+MAX(0,FL-MAX(H330,GWL))*GAM_D)/(GAM_W*PI()*E330^2/4))</f>
        <v>6.07133691991269</v>
      </c>
      <c r="AC330" s="27" t="n">
        <f aca="false">IF(I330-E330&gt;=GWL,99,E330*(MAX(0,GWL-I330)*(GAM_S-GAM_W)+MAX(0,FL-MAX(I330,GWL))*GAM_D)/(GAM_W*PI()*E330^2/4))</f>
        <v>5.9786159660661</v>
      </c>
    </row>
    <row r="331" customFormat="false" ht="15" hidden="false" customHeight="false" outlineLevel="0" collapsed="false">
      <c r="A331" s="25" t="s">
        <v>719</v>
      </c>
      <c r="B331" s="25" t="s">
        <v>809</v>
      </c>
      <c r="C331" s="25" t="s">
        <v>815</v>
      </c>
      <c r="D331" s="26" t="n">
        <v>5.67113505239776</v>
      </c>
      <c r="E331" s="26" t="n">
        <v>1.19998732240007</v>
      </c>
      <c r="F331" s="26" t="n">
        <v>-4.4546818990644</v>
      </c>
      <c r="G331" s="26" t="n">
        <v>-4.05850366120003</v>
      </c>
      <c r="H331" s="26" t="n">
        <v>-2.75469457666434</v>
      </c>
      <c r="I331" s="26" t="n">
        <v>-2.35851633879997</v>
      </c>
      <c r="J331" s="26" t="n">
        <v>16.41</v>
      </c>
      <c r="K331" s="27" t="n">
        <f aca="false">MIN(F331,G331)</f>
        <v>-4.4546818990644</v>
      </c>
      <c r="L331" s="27" t="n">
        <f aca="false">AVERAGE(F331,G331)</f>
        <v>-4.25659278013222</v>
      </c>
      <c r="M331" s="27" t="n">
        <f aca="false">MAX(0,NG-L331)</f>
        <v>3.55659278013222</v>
      </c>
      <c r="N331" s="27" t="n">
        <f aca="false">MAX(0,GWL-K331)</f>
        <v>2.9546818990644</v>
      </c>
      <c r="O331" s="27" t="n">
        <f aca="false">MAX(0,NG-MAX(K331,GWL))</f>
        <v>0.8</v>
      </c>
      <c r="P331" s="27" t="n">
        <f aca="false">E331/2+WS+SLOPE_A*O331+SLOPE_B*N331</f>
        <v>8.70935745932883</v>
      </c>
      <c r="Q331" s="28" t="str">
        <f aca="false">IF(AND(P331&lt;J331,N331&lt;=MAXOC),"Open cut","Shoring")</f>
        <v>Shoring</v>
      </c>
      <c r="R331" s="27" t="n">
        <f aca="false">IF(Q331="Shoring",D331,0)</f>
        <v>5.67113505239776</v>
      </c>
      <c r="S331" s="27" t="n">
        <f aca="false">MAX(0,GWL-L331)</f>
        <v>2.75659278013222</v>
      </c>
      <c r="T331" s="27" t="n">
        <f aca="false">MAX(0,NG-MAX(L331,GWL))</f>
        <v>0.8</v>
      </c>
      <c r="U331" s="27" t="n">
        <f aca="false">E331+2*WS</f>
        <v>3.19998732240007</v>
      </c>
      <c r="V331" s="27" t="n">
        <f aca="false">IF(Q331="Shoring",D331*M331*U331,0)</f>
        <v>64.5434818378895</v>
      </c>
      <c r="W331" s="27" t="n">
        <f aca="false">IF(Q331="Open cut",D331*(U331*M331+SLOPE_B*S331^2+2*SLOPE_B*S331*T331+SLOPE_A*T331^2),0)</f>
        <v>0</v>
      </c>
      <c r="X331" s="27" t="n">
        <f aca="false">IF(M331&gt;0,D331*(E331+2*SLABOVH)*SLAB,0)</f>
        <v>6.23821260944686</v>
      </c>
      <c r="Y331" s="27" t="n">
        <f aca="false">IF(M331&gt;0,D331*PI()*E331^2/4,0)</f>
        <v>6.41376711775597</v>
      </c>
      <c r="Z331" s="27" t="n">
        <f aca="false">IF(H331-E331&gt;=GWL,99,E331*(MAX(0,GWL-H331)*(GAM_S-GAM_W)+MAX(0,NG-MAX(H331,GWL))*GAM_D)/(GAM_W*PI()*E331^2/4))</f>
        <v>2.66893692388171</v>
      </c>
      <c r="AA331" s="27" t="n">
        <f aca="false">IF(I331-E331&gt;=GWL,99,E331*(MAX(0,GWL-I331)*(GAM_S-GAM_W)+MAX(0,NG-MAX(I331,GWL))*GAM_D)/(GAM_W*PI()*E331^2/4))</f>
        <v>2.31799199510095</v>
      </c>
      <c r="AB331" s="27" t="n">
        <f aca="false">IF(H331-E331&gt;=GWL,99,E331*(MAX(0,GWL-H331)*(GAM_S-GAM_W)+MAX(0,FL-MAX(H331,GWL))*GAM_D)/(GAM_W*PI()*E331^2/4))</f>
        <v>5.9786159660661</v>
      </c>
      <c r="AC331" s="27" t="n">
        <f aca="false">IF(I331-E331&gt;=GWL,99,E331*(MAX(0,GWL-I331)*(GAM_S-GAM_W)+MAX(0,FL-MAX(I331,GWL))*GAM_D)/(GAM_W*PI()*E331^2/4))</f>
        <v>5.62767103728533</v>
      </c>
    </row>
    <row r="332" customFormat="false" ht="15" hidden="false" customHeight="false" outlineLevel="0" collapsed="false">
      <c r="A332" s="25" t="s">
        <v>719</v>
      </c>
      <c r="B332" s="25" t="s">
        <v>809</v>
      </c>
      <c r="C332" s="25" t="s">
        <v>816</v>
      </c>
      <c r="D332" s="26" t="n">
        <v>0.175005371530981</v>
      </c>
      <c r="E332" s="26" t="n">
        <v>1.19998732240007</v>
      </c>
      <c r="F332" s="26" t="n">
        <v>-4.05850366120003</v>
      </c>
      <c r="G332" s="26" t="n">
        <v>-4.04628366120003</v>
      </c>
      <c r="H332" s="26" t="n">
        <v>-2.35851633879997</v>
      </c>
      <c r="I332" s="26" t="n">
        <v>-2.34629633879997</v>
      </c>
      <c r="J332" s="26" t="n">
        <v>16.33</v>
      </c>
      <c r="K332" s="27" t="n">
        <f aca="false">MIN(F332,G332)</f>
        <v>-4.05850366120003</v>
      </c>
      <c r="L332" s="27" t="n">
        <f aca="false">AVERAGE(F332,G332)</f>
        <v>-4.05239366120003</v>
      </c>
      <c r="M332" s="27" t="n">
        <f aca="false">MAX(0,NG-L332)</f>
        <v>3.35239366120003</v>
      </c>
      <c r="N332" s="27" t="n">
        <f aca="false">MAX(0,GWL-K332)</f>
        <v>2.55850366120003</v>
      </c>
      <c r="O332" s="27" t="n">
        <f aca="false">MAX(0,NG-MAX(K332,GWL))</f>
        <v>0.8</v>
      </c>
      <c r="P332" s="27" t="n">
        <f aca="false">E332/2+WS+SLOPE_A*O332+SLOPE_B*N332</f>
        <v>7.9170009836001</v>
      </c>
      <c r="Q332" s="28" t="str">
        <f aca="false">IF(AND(P332&lt;J332,N332&lt;=MAXOC),"Open cut","Shoring")</f>
        <v>Shoring</v>
      </c>
      <c r="R332" s="27" t="n">
        <f aca="false">IF(Q332="Shoring",D332,0)</f>
        <v>0.175005371530981</v>
      </c>
      <c r="S332" s="27" t="n">
        <f aca="false">MAX(0,GWL-L332)</f>
        <v>2.55239366120003</v>
      </c>
      <c r="T332" s="27" t="n">
        <f aca="false">MAX(0,NG-MAX(L332,GWL))</f>
        <v>0.8</v>
      </c>
      <c r="U332" s="27" t="n">
        <f aca="false">E332+2*WS</f>
        <v>3.19998732240007</v>
      </c>
      <c r="V332" s="27" t="n">
        <f aca="false">IF(Q332="Shoring",D332*M332*U332,0)</f>
        <v>1.87739063644675</v>
      </c>
      <c r="W332" s="27" t="n">
        <f aca="false">IF(Q332="Open cut",D332*(U332*M332+SLOPE_B*S332^2+2*SLOPE_B*S332*T332+SLOPE_A*T332^2),0)</f>
        <v>0</v>
      </c>
      <c r="X332" s="27" t="n">
        <f aca="false">IF(M332&gt;0,D332*(E332+2*SLABOVH)*SLAB,0)</f>
        <v>0.192504799360036</v>
      </c>
      <c r="Y332" s="27" t="n">
        <f aca="false">IF(M332&gt;0,D332*PI()*E332^2/4,0)</f>
        <v>0.197922230203547</v>
      </c>
      <c r="Z332" s="27" t="n">
        <f aca="false">IF(H332-E332&gt;=GWL,99,E332*(MAX(0,GWL-H332)*(GAM_S-GAM_W)+MAX(0,NG-MAX(H332,GWL))*GAM_D)/(GAM_W*PI()*E332^2/4))</f>
        <v>2.31799199510095</v>
      </c>
      <c r="AA332" s="27" t="n">
        <f aca="false">IF(I332-E332&gt;=GWL,99,E332*(MAX(0,GWL-I332)*(GAM_S-GAM_W)+MAX(0,NG-MAX(I332,GWL))*GAM_D)/(GAM_W*PI()*E332^2/4))</f>
        <v>2.30716720307598</v>
      </c>
      <c r="AB332" s="27" t="n">
        <f aca="false">IF(H332-E332&gt;=GWL,99,E332*(MAX(0,GWL-H332)*(GAM_S-GAM_W)+MAX(0,FL-MAX(H332,GWL))*GAM_D)/(GAM_W*PI()*E332^2/4))</f>
        <v>5.62767103728533</v>
      </c>
      <c r="AC332" s="27" t="n">
        <f aca="false">IF(I332-E332&gt;=GWL,99,E332*(MAX(0,GWL-I332)*(GAM_S-GAM_W)+MAX(0,FL-MAX(I332,GWL))*GAM_D)/(GAM_W*PI()*E332^2/4))</f>
        <v>5.61684624526036</v>
      </c>
    </row>
    <row r="333" customFormat="false" ht="15" hidden="false" customHeight="false" outlineLevel="0" collapsed="false">
      <c r="A333" s="25" t="s">
        <v>719</v>
      </c>
      <c r="B333" s="25" t="s">
        <v>809</v>
      </c>
      <c r="C333" s="25" t="s">
        <v>817</v>
      </c>
      <c r="D333" s="26" t="n">
        <v>4.15385957598916</v>
      </c>
      <c r="E333" s="26" t="n">
        <v>1.22579936488461</v>
      </c>
      <c r="F333" s="26" t="n">
        <v>-4.0591896824423</v>
      </c>
      <c r="G333" s="26" t="n">
        <v>-3.76900619129196</v>
      </c>
      <c r="H333" s="26" t="n">
        <v>-2.3333903175577</v>
      </c>
      <c r="I333" s="26" t="n">
        <v>-2.04320682640736</v>
      </c>
      <c r="J333" s="26" t="n">
        <v>13.11</v>
      </c>
      <c r="K333" s="27" t="n">
        <f aca="false">MIN(F333,G333)</f>
        <v>-4.0591896824423</v>
      </c>
      <c r="L333" s="27" t="n">
        <f aca="false">AVERAGE(F333,G333)</f>
        <v>-3.91409793686713</v>
      </c>
      <c r="M333" s="27" t="n">
        <f aca="false">MAX(0,NG-L333)</f>
        <v>3.21409793686713</v>
      </c>
      <c r="N333" s="27" t="n">
        <f aca="false">MAX(0,GWL-K333)</f>
        <v>2.5591896824423</v>
      </c>
      <c r="O333" s="27" t="n">
        <f aca="false">MAX(0,NG-MAX(K333,GWL))</f>
        <v>0.8</v>
      </c>
      <c r="P333" s="27" t="n">
        <f aca="false">E333/2+WS+SLOPE_A*O333+SLOPE_B*N333</f>
        <v>7.93127904732691</v>
      </c>
      <c r="Q333" s="28" t="str">
        <f aca="false">IF(AND(P333&lt;J333,N333&lt;=MAXOC),"Open cut","Shoring")</f>
        <v>Shoring</v>
      </c>
      <c r="R333" s="27" t="n">
        <f aca="false">IF(Q333="Shoring",D333,0)</f>
        <v>4.15385957598916</v>
      </c>
      <c r="S333" s="27" t="n">
        <f aca="false">MAX(0,GWL-L333)</f>
        <v>2.41409793686713</v>
      </c>
      <c r="T333" s="27" t="n">
        <f aca="false">MAX(0,NG-MAX(L333,GWL))</f>
        <v>0.8</v>
      </c>
      <c r="U333" s="27" t="n">
        <f aca="false">E333+2*WS</f>
        <v>3.22579936488461</v>
      </c>
      <c r="V333" s="27" t="n">
        <f aca="false">IF(Q333="Shoring",D333*M333*U333,0)</f>
        <v>43.0673618154679</v>
      </c>
      <c r="W333" s="27" t="n">
        <f aca="false">IF(Q333="Open cut",D333*(U333*M333+SLOPE_B*S333^2+2*SLOPE_B*S333*T333+SLOPE_A*T333^2),0)</f>
        <v>0</v>
      </c>
      <c r="X333" s="27" t="n">
        <f aca="false">IF(M333&gt;0,D333*(E333+2*SLABOVH)*SLAB,0)</f>
        <v>4.62282900302826</v>
      </c>
      <c r="Y333" s="27" t="n">
        <f aca="false">IF(M333&gt;0,D333*PI()*E333^2/4,0)</f>
        <v>4.90208092224725</v>
      </c>
      <c r="Z333" s="27" t="n">
        <f aca="false">IF(H333-E333&gt;=GWL,99,E333*(MAX(0,GWL-H333)*(GAM_S-GAM_W)+MAX(0,NG-MAX(H333,GWL))*GAM_D)/(GAM_W*PI()*E333^2/4))</f>
        <v>2.24739270825524</v>
      </c>
      <c r="AA333" s="27" t="n">
        <f aca="false">IF(I333-E333&gt;=GWL,99,E333*(MAX(0,GWL-I333)*(GAM_S-GAM_W)+MAX(0,NG-MAX(I333,GWL))*GAM_D)/(GAM_W*PI()*E333^2/4))</f>
        <v>1.99575349289086</v>
      </c>
      <c r="AB333" s="27" t="n">
        <f aca="false">IF(H333-E333&gt;=GWL,99,E333*(MAX(0,GWL-H333)*(GAM_S-GAM_W)+MAX(0,FL-MAX(H333,GWL))*GAM_D)/(GAM_W*PI()*E333^2/4))</f>
        <v>5.48737879864477</v>
      </c>
      <c r="AC333" s="27" t="n">
        <f aca="false">IF(I333-E333&gt;=GWL,99,E333*(MAX(0,GWL-I333)*(GAM_S-GAM_W)+MAX(0,FL-MAX(I333,GWL))*GAM_D)/(GAM_W*PI()*E333^2/4))</f>
        <v>5.23573958328039</v>
      </c>
    </row>
    <row r="334" customFormat="false" ht="15" hidden="false" customHeight="false" outlineLevel="0" collapsed="false">
      <c r="A334" s="25" t="s">
        <v>719</v>
      </c>
      <c r="B334" s="25" t="s">
        <v>809</v>
      </c>
      <c r="C334" s="25" t="s">
        <v>818</v>
      </c>
      <c r="D334" s="26" t="n">
        <v>2.16904082759409</v>
      </c>
      <c r="E334" s="26" t="n">
        <v>1.22579936488461</v>
      </c>
      <c r="F334" s="26" t="n">
        <v>-3.76900619129196</v>
      </c>
      <c r="G334" s="26" t="n">
        <v>-3.6174796824423</v>
      </c>
      <c r="H334" s="26" t="n">
        <v>-2.04320682640736</v>
      </c>
      <c r="I334" s="26" t="n">
        <v>-1.8916803175577</v>
      </c>
      <c r="J334" s="26" t="n">
        <v>10.95</v>
      </c>
      <c r="K334" s="27" t="n">
        <f aca="false">MIN(F334,G334)</f>
        <v>-3.76900619129196</v>
      </c>
      <c r="L334" s="27" t="n">
        <f aca="false">AVERAGE(F334,G334)</f>
        <v>-3.69324293686713</v>
      </c>
      <c r="M334" s="27" t="n">
        <f aca="false">MAX(0,NG-L334)</f>
        <v>2.99324293686713</v>
      </c>
      <c r="N334" s="27" t="n">
        <f aca="false">MAX(0,GWL-K334)</f>
        <v>2.26900619129196</v>
      </c>
      <c r="O334" s="27" t="n">
        <f aca="false">MAX(0,NG-MAX(K334,GWL))</f>
        <v>0.8</v>
      </c>
      <c r="P334" s="27" t="n">
        <f aca="false">E334/2+WS+SLOPE_A*O334+SLOPE_B*N334</f>
        <v>7.35091206502623</v>
      </c>
      <c r="Q334" s="28" t="str">
        <f aca="false">IF(AND(P334&lt;J334,N334&lt;=MAXOC),"Open cut","Shoring")</f>
        <v>Open cut</v>
      </c>
      <c r="R334" s="27" t="n">
        <f aca="false">IF(Q334="Shoring",D334,0)</f>
        <v>0</v>
      </c>
      <c r="S334" s="27" t="n">
        <f aca="false">MAX(0,GWL-L334)</f>
        <v>2.19324293686713</v>
      </c>
      <c r="T334" s="27" t="n">
        <f aca="false">MAX(0,NG-MAX(L334,GWL))</f>
        <v>0.8</v>
      </c>
      <c r="U334" s="27" t="n">
        <f aca="false">E334+2*WS</f>
        <v>3.22579936488461</v>
      </c>
      <c r="V334" s="27" t="n">
        <f aca="false">IF(Q334="Shoring",D334*M334*U334,0)</f>
        <v>0</v>
      </c>
      <c r="W334" s="27" t="n">
        <f aca="false">IF(Q334="Open cut",D334*(U334*M334+SLOPE_B*S334^2+2*SLOPE_B*S334*T334+SLOPE_A*T334^2),0)</f>
        <v>59.1163568910341</v>
      </c>
      <c r="X334" s="27" t="n">
        <f aca="false">IF(M334&gt;0,D334*(E334+2*SLABOVH)*SLAB,0)</f>
        <v>2.41392484823386</v>
      </c>
      <c r="Y334" s="27" t="n">
        <f aca="false">IF(M334&gt;0,D334*PI()*E334^2/4,0)</f>
        <v>2.55974316560578</v>
      </c>
      <c r="Z334" s="27" t="n">
        <f aca="false">IF(H334-E334&gt;=GWL,99,E334*(MAX(0,GWL-H334)*(GAM_S-GAM_W)+MAX(0,NG-MAX(H334,GWL))*GAM_D)/(GAM_W*PI()*E334^2/4))</f>
        <v>1.99575349289086</v>
      </c>
      <c r="AA334" s="27" t="n">
        <f aca="false">IF(I334-E334&gt;=GWL,99,E334*(MAX(0,GWL-I334)*(GAM_S-GAM_W)+MAX(0,NG-MAX(I334,GWL))*GAM_D)/(GAM_W*PI()*E334^2/4))</f>
        <v>1.86435383385899</v>
      </c>
      <c r="AB334" s="27" t="n">
        <f aca="false">IF(H334-E334&gt;=GWL,99,E334*(MAX(0,GWL-H334)*(GAM_S-GAM_W)+MAX(0,FL-MAX(H334,GWL))*GAM_D)/(GAM_W*PI()*E334^2/4))</f>
        <v>5.23573958328039</v>
      </c>
      <c r="AC334" s="27" t="n">
        <f aca="false">IF(I334-E334&gt;=GWL,99,E334*(MAX(0,GWL-I334)*(GAM_S-GAM_W)+MAX(0,FL-MAX(I334,GWL))*GAM_D)/(GAM_W*PI()*E334^2/4))</f>
        <v>5.10433992424853</v>
      </c>
    </row>
    <row r="335" customFormat="false" ht="15" hidden="false" customHeight="false" outlineLevel="0" collapsed="false">
      <c r="A335" s="25" t="s">
        <v>819</v>
      </c>
      <c r="B335" s="25" t="s">
        <v>820</v>
      </c>
      <c r="C335" s="25" t="s">
        <v>821</v>
      </c>
      <c r="D335" s="26" t="n">
        <v>0.600000000086224</v>
      </c>
      <c r="E335" s="26" t="n">
        <v>2.04120717931415</v>
      </c>
      <c r="F335" s="26" t="n">
        <v>-3.05137358965707</v>
      </c>
      <c r="G335" s="26" t="n">
        <v>-3.05157358965707</v>
      </c>
      <c r="H335" s="26" t="n">
        <v>-0.510166410342926</v>
      </c>
      <c r="I335" s="26" t="n">
        <v>-0.510366410342926</v>
      </c>
      <c r="J335" s="26" t="n">
        <v>99</v>
      </c>
      <c r="K335" s="27" t="n">
        <f aca="false">MIN(F335,G335)</f>
        <v>-3.05157358965707</v>
      </c>
      <c r="L335" s="27" t="n">
        <f aca="false">AVERAGE(F335,G335)</f>
        <v>-3.05147358965707</v>
      </c>
      <c r="M335" s="27" t="n">
        <f aca="false">MAX(0,NG-L335)</f>
        <v>2.35147358965707</v>
      </c>
      <c r="N335" s="27" t="n">
        <f aca="false">MAX(0,GWL-K335)</f>
        <v>1.55157358965707</v>
      </c>
      <c r="O335" s="27" t="n">
        <f aca="false">MAX(0,NG-MAX(K335,GWL))</f>
        <v>0.8</v>
      </c>
      <c r="P335" s="27" t="n">
        <f aca="false">E335/2+WS+SLOPE_A*O335+SLOPE_B*N335</f>
        <v>6.32375076897122</v>
      </c>
      <c r="Q335" s="28" t="str">
        <f aca="false">IF(AND(P335&lt;J335,N335&lt;=MAXOC),"Open cut","Shoring")</f>
        <v>Open cut</v>
      </c>
      <c r="R335" s="27" t="n">
        <f aca="false">IF(Q335="Shoring",D335,0)</f>
        <v>0</v>
      </c>
      <c r="S335" s="27" t="n">
        <f aca="false">MAX(0,GWL-L335)</f>
        <v>1.55147358965707</v>
      </c>
      <c r="T335" s="27" t="n">
        <f aca="false">MAX(0,NG-MAX(L335,GWL))</f>
        <v>0.8</v>
      </c>
      <c r="U335" s="27" t="n">
        <f aca="false">E335+2*WS</f>
        <v>4.04120717931415</v>
      </c>
      <c r="V335" s="27" t="n">
        <f aca="false">IF(Q335="Shoring",D335*M335*U335,0)</f>
        <v>0</v>
      </c>
      <c r="W335" s="27" t="n">
        <f aca="false">IF(Q335="Open cut",D335*(U335*M335+SLOPE_B*S335^2+2*SLOPE_B*S335*T335+SLOPE_A*T335^2),0)</f>
        <v>12.1449888246649</v>
      </c>
      <c r="X335" s="27" t="n">
        <f aca="false">IF(M335&gt;0,D335*(E335+2*SLABOVH)*SLAB,0)</f>
        <v>0.912362153925357</v>
      </c>
      <c r="Y335" s="27" t="n">
        <f aca="false">IF(M335&gt;0,D335*PI()*E335^2/4,0)</f>
        <v>1.96342947407388</v>
      </c>
      <c r="Z335" s="27" t="n">
        <f aca="false">IF(H335-E335&gt;=GWL,99,E335*(MAX(0,GWL-H335)*(GAM_S-GAM_W)+MAX(0,NG-MAX(H335,GWL))*GAM_D)/(GAM_W*PI()*E335^2/4))</f>
        <v>0</v>
      </c>
      <c r="AA335" s="27" t="n">
        <f aca="false">IF(I335-E335&gt;=GWL,99,E335*(MAX(0,GWL-I335)*(GAM_S-GAM_W)+MAX(0,NG-MAX(I335,GWL))*GAM_D)/(GAM_W*PI()*E335^2/4))</f>
        <v>0</v>
      </c>
      <c r="AB335" s="27" t="n">
        <f aca="false">IF(H335-E335&gt;=GWL,99,E335*(MAX(0,GWL-H335)*(GAM_S-GAM_W)+MAX(0,FL-MAX(H335,GWL))*GAM_D)/(GAM_W*PI()*E335^2/4))</f>
        <v>1.72842816863723</v>
      </c>
      <c r="AC335" s="27" t="n">
        <f aca="false">IF(I335-E335&gt;=GWL,99,E335*(MAX(0,GWL-I335)*(GAM_S-GAM_W)+MAX(0,FL-MAX(I335,GWL))*GAM_D)/(GAM_W*PI()*E335^2/4))</f>
        <v>1.72865707429383</v>
      </c>
    </row>
    <row r="336" customFormat="false" ht="15" hidden="false" customHeight="false" outlineLevel="0" collapsed="false">
      <c r="A336" s="25" t="s">
        <v>819</v>
      </c>
      <c r="B336" s="25" t="s">
        <v>820</v>
      </c>
      <c r="C336" s="25" t="s">
        <v>822</v>
      </c>
      <c r="D336" s="26" t="n">
        <v>9.40000000040155</v>
      </c>
      <c r="E336" s="26" t="n">
        <v>2.06960128647119</v>
      </c>
      <c r="F336" s="26" t="n">
        <v>-3.06577064323559</v>
      </c>
      <c r="G336" s="26" t="n">
        <v>-3.06890779951014</v>
      </c>
      <c r="H336" s="26" t="n">
        <v>-0.496169356764405</v>
      </c>
      <c r="I336" s="26" t="n">
        <v>-0.499306513038953</v>
      </c>
      <c r="J336" s="26" t="n">
        <v>23.53</v>
      </c>
      <c r="K336" s="27" t="n">
        <f aca="false">MIN(F336,G336)</f>
        <v>-3.06890779951014</v>
      </c>
      <c r="L336" s="27" t="n">
        <f aca="false">AVERAGE(F336,G336)</f>
        <v>-3.06733922137287</v>
      </c>
      <c r="M336" s="27" t="n">
        <f aca="false">MAX(0,NG-L336)</f>
        <v>2.36733922137287</v>
      </c>
      <c r="N336" s="27" t="n">
        <f aca="false">MAX(0,GWL-K336)</f>
        <v>1.56890779951014</v>
      </c>
      <c r="O336" s="27" t="n">
        <f aca="false">MAX(0,NG-MAX(K336,GWL))</f>
        <v>0.8</v>
      </c>
      <c r="P336" s="27" t="n">
        <f aca="false">E336/2+WS+SLOPE_A*O336+SLOPE_B*N336</f>
        <v>6.37261624225588</v>
      </c>
      <c r="Q336" s="28" t="str">
        <f aca="false">IF(AND(P336&lt;J336,N336&lt;=MAXOC),"Open cut","Shoring")</f>
        <v>Open cut</v>
      </c>
      <c r="R336" s="27" t="n">
        <f aca="false">IF(Q336="Shoring",D336,0)</f>
        <v>0</v>
      </c>
      <c r="S336" s="27" t="n">
        <f aca="false">MAX(0,GWL-L336)</f>
        <v>1.56733922137287</v>
      </c>
      <c r="T336" s="27" t="n">
        <f aca="false">MAX(0,NG-MAX(L336,GWL))</f>
        <v>0.8</v>
      </c>
      <c r="U336" s="27" t="n">
        <f aca="false">E336+2*WS</f>
        <v>4.06960128647119</v>
      </c>
      <c r="V336" s="27" t="n">
        <f aca="false">IF(Q336="Shoring",D336*M336*U336,0)</f>
        <v>0</v>
      </c>
      <c r="W336" s="27" t="n">
        <f aca="false">IF(Q336="Open cut",D336*(U336*M336+SLOPE_B*S336^2+2*SLOPE_B*S336*T336+SLOPE_A*T336^2),0)</f>
        <v>192.913537166026</v>
      </c>
      <c r="X336" s="27" t="n">
        <f aca="false">IF(M336&gt;0,D336*(E336+2*SLABOVH)*SLAB,0)</f>
        <v>14.4271260470309</v>
      </c>
      <c r="Y336" s="27" t="n">
        <f aca="false">IF(M336&gt;0,D336*PI()*E336^2/4,0)</f>
        <v>31.6221290226646</v>
      </c>
      <c r="Z336" s="27" t="n">
        <f aca="false">IF(H336-E336&gt;=GWL,99,E336*(MAX(0,GWL-H336)*(GAM_S-GAM_W)+MAX(0,NG-MAX(H336,GWL))*GAM_D)/(GAM_W*PI()*E336^2/4))</f>
        <v>0</v>
      </c>
      <c r="AA336" s="27" t="n">
        <f aca="false">IF(I336-E336&gt;=GWL,99,E336*(MAX(0,GWL-I336)*(GAM_S-GAM_W)+MAX(0,NG-MAX(I336,GWL))*GAM_D)/(GAM_W*PI()*E336^2/4))</f>
        <v>0</v>
      </c>
      <c r="AB336" s="27" t="n">
        <f aca="false">IF(H336-E336&gt;=GWL,99,E336*(MAX(0,GWL-H336)*(GAM_S-GAM_W)+MAX(0,FL-MAX(H336,GWL))*GAM_D)/(GAM_W*PI()*E336^2/4))</f>
        <v>1.68891458572869</v>
      </c>
      <c r="AC336" s="27" t="n">
        <f aca="false">IF(I336-E336&gt;=GWL,99,E336*(MAX(0,GWL-I336)*(GAM_S-GAM_W)+MAX(0,FL-MAX(I336,GWL))*GAM_D)/(GAM_W*PI()*E336^2/4))</f>
        <v>1.69245588870074</v>
      </c>
    </row>
    <row r="337" customFormat="false" ht="15" hidden="false" customHeight="false" outlineLevel="0" collapsed="false">
      <c r="A337" s="25" t="s">
        <v>819</v>
      </c>
      <c r="B337" s="25" t="s">
        <v>820</v>
      </c>
      <c r="C337" s="25" t="s">
        <v>823</v>
      </c>
      <c r="D337" s="26" t="n">
        <v>1.44676599457576</v>
      </c>
      <c r="E337" s="26" t="n">
        <v>2.06960128647119</v>
      </c>
      <c r="F337" s="26" t="n">
        <v>-3.06890779951014</v>
      </c>
      <c r="G337" s="26" t="n">
        <v>-3.06939064323559</v>
      </c>
      <c r="H337" s="26" t="n">
        <v>-0.499306513038953</v>
      </c>
      <c r="I337" s="26" t="n">
        <v>-0.499789356764405</v>
      </c>
      <c r="J337" s="26" t="n">
        <v>22.78</v>
      </c>
      <c r="K337" s="27" t="n">
        <f aca="false">MIN(F337,G337)</f>
        <v>-3.06939064323559</v>
      </c>
      <c r="L337" s="27" t="n">
        <f aca="false">AVERAGE(F337,G337)</f>
        <v>-3.06914922137287</v>
      </c>
      <c r="M337" s="27" t="n">
        <f aca="false">MAX(0,NG-L337)</f>
        <v>2.36914922137287</v>
      </c>
      <c r="N337" s="27" t="n">
        <f aca="false">MAX(0,GWL-K337)</f>
        <v>1.56939064323559</v>
      </c>
      <c r="O337" s="27" t="n">
        <f aca="false">MAX(0,NG-MAX(K337,GWL))</f>
        <v>0.8</v>
      </c>
      <c r="P337" s="27" t="n">
        <f aca="false">E337/2+WS+SLOPE_A*O337+SLOPE_B*N337</f>
        <v>6.37358192970678</v>
      </c>
      <c r="Q337" s="28" t="str">
        <f aca="false">IF(AND(P337&lt;J337,N337&lt;=MAXOC),"Open cut","Shoring")</f>
        <v>Open cut</v>
      </c>
      <c r="R337" s="27" t="n">
        <f aca="false">IF(Q337="Shoring",D337,0)</f>
        <v>0</v>
      </c>
      <c r="S337" s="27" t="n">
        <f aca="false">MAX(0,GWL-L337)</f>
        <v>1.56914922137287</v>
      </c>
      <c r="T337" s="27" t="n">
        <f aca="false">MAX(0,NG-MAX(L337,GWL))</f>
        <v>0.8</v>
      </c>
      <c r="U337" s="27" t="n">
        <f aca="false">E337+2*WS</f>
        <v>4.06960128647119</v>
      </c>
      <c r="V337" s="27" t="n">
        <f aca="false">IF(Q337="Shoring",D337*M337*U337,0)</f>
        <v>0</v>
      </c>
      <c r="W337" s="27" t="n">
        <f aca="false">IF(Q337="Open cut",D337*(U337*M337+SLOPE_B*S337^2+2*SLOPE_B*S337*T337+SLOPE_A*T337^2),0)</f>
        <v>29.7270318894914</v>
      </c>
      <c r="X337" s="27" t="n">
        <f aca="false">IF(M337&gt;0,D337*(E337+2*SLABOVH)*SLAB,0)</f>
        <v>2.22049737908626</v>
      </c>
      <c r="Y337" s="27" t="n">
        <f aca="false">IF(M337&gt;0,D337*PI()*E337^2/4,0)</f>
        <v>4.86700222809828</v>
      </c>
      <c r="Z337" s="27" t="n">
        <f aca="false">IF(H337-E337&gt;=GWL,99,E337*(MAX(0,GWL-H337)*(GAM_S-GAM_W)+MAX(0,NG-MAX(H337,GWL))*GAM_D)/(GAM_W*PI()*E337^2/4))</f>
        <v>0</v>
      </c>
      <c r="AA337" s="27" t="n">
        <f aca="false">IF(I337-E337&gt;=GWL,99,E337*(MAX(0,GWL-I337)*(GAM_S-GAM_W)+MAX(0,NG-MAX(I337,GWL))*GAM_D)/(GAM_W*PI()*E337^2/4))</f>
        <v>0</v>
      </c>
      <c r="AB337" s="27" t="n">
        <f aca="false">IF(H337-E337&gt;=GWL,99,E337*(MAX(0,GWL-H337)*(GAM_S-GAM_W)+MAX(0,FL-MAX(H337,GWL))*GAM_D)/(GAM_W*PI()*E337^2/4))</f>
        <v>1.69245588870074</v>
      </c>
      <c r="AC337" s="27" t="n">
        <f aca="false">IF(I337-E337&gt;=GWL,99,E337*(MAX(0,GWL-I337)*(GAM_S-GAM_W)+MAX(0,FL-MAX(I337,GWL))*GAM_D)/(GAM_W*PI()*E337^2/4))</f>
        <v>1.69300093516012</v>
      </c>
    </row>
    <row r="338" customFormat="false" ht="15" hidden="false" customHeight="false" outlineLevel="0" collapsed="false">
      <c r="A338" s="25" t="s">
        <v>819</v>
      </c>
      <c r="B338" s="25" t="s">
        <v>820</v>
      </c>
      <c r="C338" s="25" t="s">
        <v>824</v>
      </c>
      <c r="D338" s="26" t="n">
        <v>8.55323400534944</v>
      </c>
      <c r="E338" s="26" t="n">
        <v>2.06960128647119</v>
      </c>
      <c r="F338" s="26" t="n">
        <v>-3.06939064323559</v>
      </c>
      <c r="G338" s="26" t="n">
        <v>-3.0722488542242</v>
      </c>
      <c r="H338" s="26" t="n">
        <v>-0.499789356764405</v>
      </c>
      <c r="I338" s="26" t="n">
        <v>-0.502647567753016</v>
      </c>
      <c r="J338" s="26" t="n">
        <v>19.01</v>
      </c>
      <c r="K338" s="27" t="n">
        <f aca="false">MIN(F338,G338)</f>
        <v>-3.0722488542242</v>
      </c>
      <c r="L338" s="27" t="n">
        <f aca="false">AVERAGE(F338,G338)</f>
        <v>-3.0708197487299</v>
      </c>
      <c r="M338" s="27" t="n">
        <f aca="false">MAX(0,NG-L338)</f>
        <v>2.3708197487299</v>
      </c>
      <c r="N338" s="27" t="n">
        <f aca="false">MAX(0,GWL-K338)</f>
        <v>1.5722488542242</v>
      </c>
      <c r="O338" s="27" t="n">
        <f aca="false">MAX(0,NG-MAX(K338,GWL))</f>
        <v>0.8</v>
      </c>
      <c r="P338" s="27" t="n">
        <f aca="false">E338/2+WS+SLOPE_A*O338+SLOPE_B*N338</f>
        <v>6.379298351684</v>
      </c>
      <c r="Q338" s="28" t="str">
        <f aca="false">IF(AND(P338&lt;J338,N338&lt;=MAXOC),"Open cut","Shoring")</f>
        <v>Open cut</v>
      </c>
      <c r="R338" s="27" t="n">
        <f aca="false">IF(Q338="Shoring",D338,0)</f>
        <v>0</v>
      </c>
      <c r="S338" s="27" t="n">
        <f aca="false">MAX(0,GWL-L338)</f>
        <v>1.5708197487299</v>
      </c>
      <c r="T338" s="27" t="n">
        <f aca="false">MAX(0,NG-MAX(L338,GWL))</f>
        <v>0.8</v>
      </c>
      <c r="U338" s="27" t="n">
        <f aca="false">E338+2*WS</f>
        <v>4.06960128647119</v>
      </c>
      <c r="V338" s="27" t="n">
        <f aca="false">IF(Q338="Shoring",D338*M338*U338,0)</f>
        <v>0</v>
      </c>
      <c r="W338" s="27" t="n">
        <f aca="false">IF(Q338="Open cut",D338*(U338*M338+SLOPE_B*S338^2+2*SLOPE_B*S338*T338+SLOPE_A*T338^2),0)</f>
        <v>175.938857353728</v>
      </c>
      <c r="X338" s="27" t="n">
        <f aca="false">IF(M338&gt;0,D338*(E338+2*SLABOVH)*SLAB,0)</f>
        <v>13.1275090531549</v>
      </c>
      <c r="Y338" s="27" t="n">
        <f aca="false">IF(M338&gt;0,D338*PI()*E338^2/4,0)</f>
        <v>28.7735605602817</v>
      </c>
      <c r="Z338" s="27" t="n">
        <f aca="false">IF(H338-E338&gt;=GWL,99,E338*(MAX(0,GWL-H338)*(GAM_S-GAM_W)+MAX(0,NG-MAX(H338,GWL))*GAM_D)/(GAM_W*PI()*E338^2/4))</f>
        <v>0</v>
      </c>
      <c r="AA338" s="27" t="n">
        <f aca="false">IF(I338-E338&gt;=GWL,99,E338*(MAX(0,GWL-I338)*(GAM_S-GAM_W)+MAX(0,NG-MAX(I338,GWL))*GAM_D)/(GAM_W*PI()*E338^2/4))</f>
        <v>0</v>
      </c>
      <c r="AB338" s="27" t="n">
        <f aca="false">IF(H338-E338&gt;=GWL,99,E338*(MAX(0,GWL-H338)*(GAM_S-GAM_W)+MAX(0,FL-MAX(H338,GWL))*GAM_D)/(GAM_W*PI()*E338^2/4))</f>
        <v>1.69300093516012</v>
      </c>
      <c r="AC338" s="27" t="n">
        <f aca="false">IF(I338-E338&gt;=GWL,99,E338*(MAX(0,GWL-I338)*(GAM_S-GAM_W)+MAX(0,FL-MAX(I338,GWL))*GAM_D)/(GAM_W*PI()*E338^2/4))</f>
        <v>1.69622735749389</v>
      </c>
    </row>
    <row r="339" customFormat="false" ht="15" hidden="false" customHeight="false" outlineLevel="0" collapsed="false">
      <c r="A339" s="25" t="s">
        <v>819</v>
      </c>
      <c r="B339" s="25" t="s">
        <v>820</v>
      </c>
      <c r="C339" s="25" t="s">
        <v>825</v>
      </c>
      <c r="D339" s="26" t="n">
        <v>9.9999999999252</v>
      </c>
      <c r="E339" s="26" t="n">
        <v>2.06960128647119</v>
      </c>
      <c r="F339" s="26" t="n">
        <v>-3.0722488542242</v>
      </c>
      <c r="G339" s="26" t="n">
        <v>-3.07559052707796</v>
      </c>
      <c r="H339" s="26" t="n">
        <v>-0.502647567753016</v>
      </c>
      <c r="I339" s="26" t="n">
        <v>-0.505989240606769</v>
      </c>
      <c r="J339" s="26" t="n">
        <v>16.28</v>
      </c>
      <c r="K339" s="27" t="n">
        <f aca="false">MIN(F339,G339)</f>
        <v>-3.07559052707796</v>
      </c>
      <c r="L339" s="27" t="n">
        <f aca="false">AVERAGE(F339,G339)</f>
        <v>-3.07391969065108</v>
      </c>
      <c r="M339" s="27" t="n">
        <f aca="false">MAX(0,NG-L339)</f>
        <v>2.37391969065108</v>
      </c>
      <c r="N339" s="27" t="n">
        <f aca="false">MAX(0,GWL-K339)</f>
        <v>1.57559052707796</v>
      </c>
      <c r="O339" s="27" t="n">
        <f aca="false">MAX(0,NG-MAX(K339,GWL))</f>
        <v>0.8</v>
      </c>
      <c r="P339" s="27" t="n">
        <f aca="false">E339/2+WS+SLOPE_A*O339+SLOPE_B*N339</f>
        <v>6.38598169739151</v>
      </c>
      <c r="Q339" s="28" t="str">
        <f aca="false">IF(AND(P339&lt;J339,N339&lt;=MAXOC),"Open cut","Shoring")</f>
        <v>Open cut</v>
      </c>
      <c r="R339" s="27" t="n">
        <f aca="false">IF(Q339="Shoring",D339,0)</f>
        <v>0</v>
      </c>
      <c r="S339" s="27" t="n">
        <f aca="false">MAX(0,GWL-L339)</f>
        <v>1.57391969065108</v>
      </c>
      <c r="T339" s="27" t="n">
        <f aca="false">MAX(0,NG-MAX(L339,GWL))</f>
        <v>0.8</v>
      </c>
      <c r="U339" s="27" t="n">
        <f aca="false">E339+2*WS</f>
        <v>4.06960128647119</v>
      </c>
      <c r="V339" s="27" t="n">
        <f aca="false">IF(Q339="Shoring",D339*M339*U339,0)</f>
        <v>0</v>
      </c>
      <c r="W339" s="27" t="n">
        <f aca="false">IF(Q339="Open cut",D339*(U339*M339+SLOPE_B*S339^2+2*SLOPE_B*S339*T339+SLOPE_A*T339^2),0)</f>
        <v>206.118960222206</v>
      </c>
      <c r="X339" s="27" t="n">
        <f aca="false">IF(M339&gt;0,D339*(E339+2*SLABOVH)*SLAB,0)</f>
        <v>15.3480064322411</v>
      </c>
      <c r="Y339" s="27" t="n">
        <f aca="false">IF(M339&gt;0,D339*PI()*E339^2/4,0)</f>
        <v>33.64056278838</v>
      </c>
      <c r="Z339" s="27" t="n">
        <f aca="false">IF(H339-E339&gt;=GWL,99,E339*(MAX(0,GWL-H339)*(GAM_S-GAM_W)+MAX(0,NG-MAX(H339,GWL))*GAM_D)/(GAM_W*PI()*E339^2/4))</f>
        <v>0</v>
      </c>
      <c r="AA339" s="27" t="n">
        <f aca="false">IF(I339-E339&gt;=GWL,99,E339*(MAX(0,GWL-I339)*(GAM_S-GAM_W)+MAX(0,NG-MAX(I339,GWL))*GAM_D)/(GAM_W*PI()*E339^2/4))</f>
        <v>0</v>
      </c>
      <c r="AB339" s="27" t="n">
        <f aca="false">IF(H339-E339&gt;=GWL,99,E339*(MAX(0,GWL-H339)*(GAM_S-GAM_W)+MAX(0,FL-MAX(H339,GWL))*GAM_D)/(GAM_W*PI()*E339^2/4))</f>
        <v>1.69622735749389</v>
      </c>
      <c r="AC339" s="27" t="n">
        <f aca="false">IF(I339-E339&gt;=GWL,99,E339*(MAX(0,GWL-I339)*(GAM_S-GAM_W)+MAX(0,FL-MAX(I339,GWL))*GAM_D)/(GAM_W*PI()*E339^2/4))</f>
        <v>1.69999952405907</v>
      </c>
    </row>
    <row r="340" customFormat="false" ht="15" hidden="false" customHeight="false" outlineLevel="0" collapsed="false">
      <c r="A340" s="25" t="s">
        <v>819</v>
      </c>
      <c r="B340" s="25" t="s">
        <v>820</v>
      </c>
      <c r="C340" s="25" t="s">
        <v>826</v>
      </c>
      <c r="D340" s="26" t="n">
        <v>0.0999999995648566</v>
      </c>
      <c r="E340" s="26" t="n">
        <v>2.06960128647119</v>
      </c>
      <c r="F340" s="26" t="n">
        <v>-3.07559052707796</v>
      </c>
      <c r="G340" s="26" t="n">
        <v>-3.0756239438065</v>
      </c>
      <c r="H340" s="26" t="n">
        <v>-0.505989240606769</v>
      </c>
      <c r="I340" s="26" t="n">
        <v>-0.506022657335307</v>
      </c>
      <c r="J340" s="26" t="n">
        <v>16.26</v>
      </c>
      <c r="K340" s="27" t="n">
        <f aca="false">MIN(F340,G340)</f>
        <v>-3.0756239438065</v>
      </c>
      <c r="L340" s="27" t="n">
        <f aca="false">AVERAGE(F340,G340)</f>
        <v>-3.07560723544223</v>
      </c>
      <c r="M340" s="27" t="n">
        <f aca="false">MAX(0,NG-L340)</f>
        <v>2.37560723544223</v>
      </c>
      <c r="N340" s="27" t="n">
        <f aca="false">MAX(0,GWL-K340)</f>
        <v>1.5756239438065</v>
      </c>
      <c r="O340" s="27" t="n">
        <f aca="false">MAX(0,NG-MAX(K340,GWL))</f>
        <v>0.8</v>
      </c>
      <c r="P340" s="27" t="n">
        <f aca="false">E340/2+WS+SLOPE_A*O340+SLOPE_B*N340</f>
        <v>6.38604853084858</v>
      </c>
      <c r="Q340" s="28" t="str">
        <f aca="false">IF(AND(P340&lt;J340,N340&lt;=MAXOC),"Open cut","Shoring")</f>
        <v>Open cut</v>
      </c>
      <c r="R340" s="27" t="n">
        <f aca="false">IF(Q340="Shoring",D340,0)</f>
        <v>0</v>
      </c>
      <c r="S340" s="27" t="n">
        <f aca="false">MAX(0,GWL-L340)</f>
        <v>1.57560723544223</v>
      </c>
      <c r="T340" s="27" t="n">
        <f aca="false">MAX(0,NG-MAX(L340,GWL))</f>
        <v>0.8</v>
      </c>
      <c r="U340" s="27" t="n">
        <f aca="false">E340+2*WS</f>
        <v>4.06960128647119</v>
      </c>
      <c r="V340" s="27" t="n">
        <f aca="false">IF(Q340="Shoring",D340*M340*U340,0)</f>
        <v>0</v>
      </c>
      <c r="W340" s="27" t="n">
        <f aca="false">IF(Q340="Open cut",D340*(U340*M340+SLOPE_B*S340^2+2*SLOPE_B*S340*T340+SLOPE_A*T340^2),0)</f>
        <v>2.06347936458859</v>
      </c>
      <c r="X340" s="27" t="n">
        <f aca="false">IF(M340&gt;0,D340*(E340+2*SLABOVH)*SLAB,0)</f>
        <v>0.153480063655701</v>
      </c>
      <c r="Y340" s="27" t="n">
        <f aca="false">IF(M340&gt;0,D340*PI()*E340^2/4,0)</f>
        <v>0.336405626422469</v>
      </c>
      <c r="Z340" s="27" t="n">
        <f aca="false">IF(H340-E340&gt;=GWL,99,E340*(MAX(0,GWL-H340)*(GAM_S-GAM_W)+MAX(0,NG-MAX(H340,GWL))*GAM_D)/(GAM_W*PI()*E340^2/4))</f>
        <v>0</v>
      </c>
      <c r="AA340" s="27" t="n">
        <f aca="false">IF(I340-E340&gt;=GWL,99,E340*(MAX(0,GWL-I340)*(GAM_S-GAM_W)+MAX(0,NG-MAX(I340,GWL))*GAM_D)/(GAM_W*PI()*E340^2/4))</f>
        <v>0</v>
      </c>
      <c r="AB340" s="27" t="n">
        <f aca="false">IF(H340-E340&gt;=GWL,99,E340*(MAX(0,GWL-H340)*(GAM_S-GAM_W)+MAX(0,FL-MAX(H340,GWL))*GAM_D)/(GAM_W*PI()*E340^2/4))</f>
        <v>1.69999952405907</v>
      </c>
      <c r="AC340" s="27" t="n">
        <f aca="false">IF(I340-E340&gt;=GWL,99,E340*(MAX(0,GWL-I340)*(GAM_S-GAM_W)+MAX(0,FL-MAX(I340,GWL))*GAM_D)/(GAM_W*PI()*E340^2/4))</f>
        <v>1.70003724572472</v>
      </c>
    </row>
    <row r="341" customFormat="false" ht="15" hidden="false" customHeight="false" outlineLevel="0" collapsed="false">
      <c r="A341" s="25" t="s">
        <v>819</v>
      </c>
      <c r="B341" s="25" t="s">
        <v>827</v>
      </c>
      <c r="C341" s="25" t="s">
        <v>828</v>
      </c>
      <c r="D341" s="26" t="n">
        <v>7.59110643166931</v>
      </c>
      <c r="E341" s="26" t="n">
        <v>2.06960128647119</v>
      </c>
      <c r="F341" s="26" t="n">
        <v>-3.0756239438065</v>
      </c>
      <c r="G341" s="26" t="n">
        <v>-3.0781606432356</v>
      </c>
      <c r="H341" s="26" t="n">
        <v>-0.506022657335307</v>
      </c>
      <c r="I341" s="26" t="n">
        <v>-0.508559356764406</v>
      </c>
      <c r="J341" s="26" t="n">
        <v>15.61</v>
      </c>
      <c r="K341" s="27" t="n">
        <f aca="false">MIN(F341,G341)</f>
        <v>-3.0781606432356</v>
      </c>
      <c r="L341" s="27" t="n">
        <f aca="false">AVERAGE(F341,G341)</f>
        <v>-3.07689229352104</v>
      </c>
      <c r="M341" s="27" t="n">
        <f aca="false">MAX(0,NG-L341)</f>
        <v>2.37689229352104</v>
      </c>
      <c r="N341" s="27" t="n">
        <f aca="false">MAX(0,GWL-K341)</f>
        <v>1.5781606432356</v>
      </c>
      <c r="O341" s="27" t="n">
        <f aca="false">MAX(0,NG-MAX(K341,GWL))</f>
        <v>0.8</v>
      </c>
      <c r="P341" s="27" t="n">
        <f aca="false">E341/2+WS+SLOPE_A*O341+SLOPE_B*N341</f>
        <v>6.39112192970678</v>
      </c>
      <c r="Q341" s="28" t="str">
        <f aca="false">IF(AND(P341&lt;J341,N341&lt;=MAXOC),"Open cut","Shoring")</f>
        <v>Open cut</v>
      </c>
      <c r="R341" s="27" t="n">
        <f aca="false">IF(Q341="Shoring",D341,0)</f>
        <v>0</v>
      </c>
      <c r="S341" s="27" t="n">
        <f aca="false">MAX(0,GWL-L341)</f>
        <v>1.57689229352104</v>
      </c>
      <c r="T341" s="27" t="n">
        <f aca="false">MAX(0,NG-MAX(L341,GWL))</f>
        <v>0.8</v>
      </c>
      <c r="U341" s="27" t="n">
        <f aca="false">E341+2*WS</f>
        <v>4.06960128647119</v>
      </c>
      <c r="V341" s="27" t="n">
        <f aca="false">IF(Q341="Shoring",D341*M341*U341,0)</f>
        <v>0</v>
      </c>
      <c r="W341" s="27" t="n">
        <f aca="false">IF(Q341="Open cut",D341*(U341*M341+SLOPE_B*S341^2+2*SLOPE_B*S341*T341+SLOPE_A*T341^2),0)</f>
        <v>156.773335841106</v>
      </c>
      <c r="X341" s="27" t="n">
        <f aca="false">IF(M341&gt;0,D341*(E341+2*SLABOVH)*SLAB,0)</f>
        <v>11.6508350341959</v>
      </c>
      <c r="Y341" s="27" t="n">
        <f aca="false">IF(M341&gt;0,D341*PI()*E341^2/4,0)</f>
        <v>25.5369092549757</v>
      </c>
      <c r="Z341" s="27" t="n">
        <f aca="false">IF(H341-E341&gt;=GWL,99,E341*(MAX(0,GWL-H341)*(GAM_S-GAM_W)+MAX(0,NG-MAX(H341,GWL))*GAM_D)/(GAM_W*PI()*E341^2/4))</f>
        <v>0</v>
      </c>
      <c r="AA341" s="27" t="n">
        <f aca="false">IF(I341-E341&gt;=GWL,99,E341*(MAX(0,GWL-I341)*(GAM_S-GAM_W)+MAX(0,NG-MAX(I341,GWL))*GAM_D)/(GAM_W*PI()*E341^2/4))</f>
        <v>0</v>
      </c>
      <c r="AB341" s="27" t="n">
        <f aca="false">IF(H341-E341&gt;=GWL,99,E341*(MAX(0,GWL-H341)*(GAM_S-GAM_W)+MAX(0,FL-MAX(H341,GWL))*GAM_D)/(GAM_W*PI()*E341^2/4))</f>
        <v>1.70003724572472</v>
      </c>
      <c r="AC341" s="27" t="n">
        <f aca="false">IF(I341-E341&gt;=GWL,99,E341*(MAX(0,GWL-I341)*(GAM_S-GAM_W)+MAX(0,FL-MAX(I341,GWL))*GAM_D)/(GAM_W*PI()*E341^2/4))</f>
        <v>1.70290073751196</v>
      </c>
    </row>
    <row r="342" customFormat="false" ht="15" hidden="false" customHeight="false" outlineLevel="0" collapsed="false">
      <c r="A342" s="25" t="s">
        <v>819</v>
      </c>
      <c r="B342" s="25" t="s">
        <v>827</v>
      </c>
      <c r="C342" s="25" t="s">
        <v>829</v>
      </c>
      <c r="D342" s="26" t="n">
        <v>2.30889356869103</v>
      </c>
      <c r="E342" s="26" t="n">
        <v>2.06960128647119</v>
      </c>
      <c r="F342" s="26" t="n">
        <v>-3.0781606432356</v>
      </c>
      <c r="G342" s="26" t="n">
        <v>-3.07893151304024</v>
      </c>
      <c r="H342" s="26" t="n">
        <v>-0.508559356764406</v>
      </c>
      <c r="I342" s="26" t="n">
        <v>-0.509330226569049</v>
      </c>
      <c r="J342" s="26" t="n">
        <v>15.61</v>
      </c>
      <c r="K342" s="27" t="n">
        <f aca="false">MIN(F342,G342)</f>
        <v>-3.07893151304024</v>
      </c>
      <c r="L342" s="27" t="n">
        <f aca="false">AVERAGE(F342,G342)</f>
        <v>-3.07854607813792</v>
      </c>
      <c r="M342" s="27" t="n">
        <f aca="false">MAX(0,NG-L342)</f>
        <v>2.37854607813792</v>
      </c>
      <c r="N342" s="27" t="n">
        <f aca="false">MAX(0,GWL-K342)</f>
        <v>1.57893151304024</v>
      </c>
      <c r="O342" s="27" t="n">
        <f aca="false">MAX(0,NG-MAX(K342,GWL))</f>
        <v>0.8</v>
      </c>
      <c r="P342" s="27" t="n">
        <f aca="false">E342/2+WS+SLOPE_A*O342+SLOPE_B*N342</f>
        <v>6.39266366931607</v>
      </c>
      <c r="Q342" s="28" t="str">
        <f aca="false">IF(AND(P342&lt;J342,N342&lt;=MAXOC),"Open cut","Shoring")</f>
        <v>Open cut</v>
      </c>
      <c r="R342" s="27" t="n">
        <f aca="false">IF(Q342="Shoring",D342,0)</f>
        <v>0</v>
      </c>
      <c r="S342" s="27" t="n">
        <f aca="false">MAX(0,GWL-L342)</f>
        <v>1.57854607813792</v>
      </c>
      <c r="T342" s="27" t="n">
        <f aca="false">MAX(0,NG-MAX(L342,GWL))</f>
        <v>0.8</v>
      </c>
      <c r="U342" s="27" t="n">
        <f aca="false">E342+2*WS</f>
        <v>4.06960128647119</v>
      </c>
      <c r="V342" s="27" t="n">
        <f aca="false">IF(Q342="Shoring",D342*M342*U342,0)</f>
        <v>0</v>
      </c>
      <c r="W342" s="27" t="n">
        <f aca="false">IF(Q342="Open cut",D342*(U342*M342+SLOPE_B*S342^2+2*SLOPE_B*S342*T342+SLOPE_A*T342^2),0)</f>
        <v>47.7356751022635</v>
      </c>
      <c r="X342" s="27" t="n">
        <f aca="false">IF(M342&gt;0,D342*(E342+2*SLABOVH)*SLAB,0)</f>
        <v>3.54369133438953</v>
      </c>
      <c r="Y342" s="27" t="n">
        <f aca="false">IF(M342&gt;0,D342*PI()*E342^2/4,0)</f>
        <v>7.76724790698185</v>
      </c>
      <c r="Z342" s="27" t="n">
        <f aca="false">IF(H342-E342&gt;=GWL,99,E342*(MAX(0,GWL-H342)*(GAM_S-GAM_W)+MAX(0,NG-MAX(H342,GWL))*GAM_D)/(GAM_W*PI()*E342^2/4))</f>
        <v>0</v>
      </c>
      <c r="AA342" s="27" t="n">
        <f aca="false">IF(I342-E342&gt;=GWL,99,E342*(MAX(0,GWL-I342)*(GAM_S-GAM_W)+MAX(0,NG-MAX(I342,GWL))*GAM_D)/(GAM_W*PI()*E342^2/4))</f>
        <v>0</v>
      </c>
      <c r="AB342" s="27" t="n">
        <f aca="false">IF(H342-E342&gt;=GWL,99,E342*(MAX(0,GWL-H342)*(GAM_S-GAM_W)+MAX(0,FL-MAX(H342,GWL))*GAM_D)/(GAM_W*PI()*E342^2/4))</f>
        <v>1.70290073751196</v>
      </c>
      <c r="AC342" s="27" t="n">
        <f aca="false">IF(I342-E342&gt;=GWL,99,E342*(MAX(0,GWL-I342)*(GAM_S-GAM_W)+MAX(0,FL-MAX(I342,GWL))*GAM_D)/(GAM_W*PI()*E342^2/4))</f>
        <v>1.70377091524343</v>
      </c>
    </row>
    <row r="343" customFormat="false" ht="15" hidden="false" customHeight="false" outlineLevel="0" collapsed="false">
      <c r="A343" s="25" t="s">
        <v>819</v>
      </c>
      <c r="B343" s="25" t="s">
        <v>827</v>
      </c>
      <c r="C343" s="25" t="s">
        <v>830</v>
      </c>
      <c r="D343" s="26" t="n">
        <v>6.10000000028143</v>
      </c>
      <c r="E343" s="26" t="n">
        <v>2.06960128647119</v>
      </c>
      <c r="F343" s="26" t="n">
        <v>-3.07893151304024</v>
      </c>
      <c r="G343" s="26" t="n">
        <v>-3.08096811874255</v>
      </c>
      <c r="H343" s="26" t="n">
        <v>-0.509330226569049</v>
      </c>
      <c r="I343" s="26" t="n">
        <v>-0.511366832271363</v>
      </c>
      <c r="J343" s="26" t="n">
        <v>15.67</v>
      </c>
      <c r="K343" s="27" t="n">
        <f aca="false">MIN(F343,G343)</f>
        <v>-3.08096811874255</v>
      </c>
      <c r="L343" s="27" t="n">
        <f aca="false">AVERAGE(F343,G343)</f>
        <v>-3.07994981589139</v>
      </c>
      <c r="M343" s="27" t="n">
        <f aca="false">MAX(0,NG-L343)</f>
        <v>2.37994981589139</v>
      </c>
      <c r="N343" s="27" t="n">
        <f aca="false">MAX(0,GWL-K343)</f>
        <v>1.58096811874255</v>
      </c>
      <c r="O343" s="27" t="n">
        <f aca="false">MAX(0,NG-MAX(K343,GWL))</f>
        <v>0.8</v>
      </c>
      <c r="P343" s="27" t="n">
        <f aca="false">E343/2+WS+SLOPE_A*O343+SLOPE_B*N343</f>
        <v>6.3967368807207</v>
      </c>
      <c r="Q343" s="28" t="str">
        <f aca="false">IF(AND(P343&lt;J343,N343&lt;=MAXOC),"Open cut","Shoring")</f>
        <v>Open cut</v>
      </c>
      <c r="R343" s="27" t="n">
        <f aca="false">IF(Q343="Shoring",D343,0)</f>
        <v>0</v>
      </c>
      <c r="S343" s="27" t="n">
        <f aca="false">MAX(0,GWL-L343)</f>
        <v>1.57994981589139</v>
      </c>
      <c r="T343" s="27" t="n">
        <f aca="false">MAX(0,NG-MAX(L343,GWL))</f>
        <v>0.8</v>
      </c>
      <c r="U343" s="27" t="n">
        <f aca="false">E343+2*WS</f>
        <v>4.06960128647119</v>
      </c>
      <c r="V343" s="27" t="n">
        <f aca="false">IF(Q343="Shoring",D343*M343*U343,0)</f>
        <v>0</v>
      </c>
      <c r="W343" s="27" t="n">
        <f aca="false">IF(Q343="Open cut",D343*(U343*M343+SLOPE_B*S343^2+2*SLOPE_B*S343*T343+SLOPE_A*T343^2),0)</f>
        <v>126.231991423174</v>
      </c>
      <c r="X343" s="27" t="n">
        <f aca="false">IF(M343&gt;0,D343*(E343+2*SLABOVH)*SLAB,0)</f>
        <v>9.36228392416907</v>
      </c>
      <c r="Y343" s="27" t="n">
        <f aca="false">IF(M343&gt;0,D343*PI()*E343^2/4,0)</f>
        <v>20.5207433020121</v>
      </c>
      <c r="Z343" s="27" t="n">
        <f aca="false">IF(H343-E343&gt;=GWL,99,E343*(MAX(0,GWL-H343)*(GAM_S-GAM_W)+MAX(0,NG-MAX(H343,GWL))*GAM_D)/(GAM_W*PI()*E343^2/4))</f>
        <v>0</v>
      </c>
      <c r="AA343" s="27" t="n">
        <f aca="false">IF(I343-E343&gt;=GWL,99,E343*(MAX(0,GWL-I343)*(GAM_S-GAM_W)+MAX(0,NG-MAX(I343,GWL))*GAM_D)/(GAM_W*PI()*E343^2/4))</f>
        <v>0</v>
      </c>
      <c r="AB343" s="27" t="n">
        <f aca="false">IF(H343-E343&gt;=GWL,99,E343*(MAX(0,GWL-H343)*(GAM_S-GAM_W)+MAX(0,FL-MAX(H343,GWL))*GAM_D)/(GAM_W*PI()*E343^2/4))</f>
        <v>1.70377091524343</v>
      </c>
      <c r="AC343" s="27" t="n">
        <f aca="false">IF(I343-E343&gt;=GWL,99,E343*(MAX(0,GWL-I343)*(GAM_S-GAM_W)+MAX(0,FL-MAX(I343,GWL))*GAM_D)/(GAM_W*PI()*E343^2/4))</f>
        <v>1.70606988832456</v>
      </c>
    </row>
    <row r="344" customFormat="false" ht="15" hidden="false" customHeight="false" outlineLevel="0" collapsed="false">
      <c r="A344" s="25" t="s">
        <v>819</v>
      </c>
      <c r="B344" s="25" t="s">
        <v>831</v>
      </c>
      <c r="C344" s="25" t="s">
        <v>832</v>
      </c>
      <c r="D344" s="26" t="n">
        <v>3.89999999964376</v>
      </c>
      <c r="E344" s="26" t="n">
        <v>2.06960128647119</v>
      </c>
      <c r="F344" s="26" t="n">
        <v>-3.08096811874255</v>
      </c>
      <c r="G344" s="26" t="n">
        <v>-3.08227021091288</v>
      </c>
      <c r="H344" s="26" t="n">
        <v>-0.511366832271363</v>
      </c>
      <c r="I344" s="26" t="n">
        <v>-0.512668924441694</v>
      </c>
      <c r="J344" s="26" t="n">
        <v>16.39</v>
      </c>
      <c r="K344" s="27" t="n">
        <f aca="false">MIN(F344,G344)</f>
        <v>-3.08227021091288</v>
      </c>
      <c r="L344" s="27" t="n">
        <f aca="false">AVERAGE(F344,G344)</f>
        <v>-3.08161916482772</v>
      </c>
      <c r="M344" s="27" t="n">
        <f aca="false">MAX(0,NG-L344)</f>
        <v>2.38161916482772</v>
      </c>
      <c r="N344" s="27" t="n">
        <f aca="false">MAX(0,GWL-K344)</f>
        <v>1.58227021091288</v>
      </c>
      <c r="O344" s="27" t="n">
        <f aca="false">MAX(0,NG-MAX(K344,GWL))</f>
        <v>0.8</v>
      </c>
      <c r="P344" s="27" t="n">
        <f aca="false">E344/2+WS+SLOPE_A*O344+SLOPE_B*N344</f>
        <v>6.39934106506136</v>
      </c>
      <c r="Q344" s="28" t="str">
        <f aca="false">IF(AND(P344&lt;J344,N344&lt;=MAXOC),"Open cut","Shoring")</f>
        <v>Open cut</v>
      </c>
      <c r="R344" s="27" t="n">
        <f aca="false">IF(Q344="Shoring",D344,0)</f>
        <v>0</v>
      </c>
      <c r="S344" s="27" t="n">
        <f aca="false">MAX(0,GWL-L344)</f>
        <v>1.58161916482772</v>
      </c>
      <c r="T344" s="27" t="n">
        <f aca="false">MAX(0,NG-MAX(L344,GWL))</f>
        <v>0.8</v>
      </c>
      <c r="U344" s="27" t="n">
        <f aca="false">E344+2*WS</f>
        <v>4.06960128647119</v>
      </c>
      <c r="V344" s="27" t="n">
        <f aca="false">IF(Q344="Shoring",D344*M344*U344,0)</f>
        <v>0</v>
      </c>
      <c r="W344" s="27" t="n">
        <f aca="false">IF(Q344="Open cut",D344*(U344*M344+SLOPE_B*S344^2+2*SLOPE_B*S344*T344+SLOPE_A*T344^2),0)</f>
        <v>80.794194420125</v>
      </c>
      <c r="X344" s="27" t="n">
        <f aca="false">IF(M344&gt;0,D344*(E344+2*SLABOVH)*SLAB,0)</f>
        <v>5.98572250807206</v>
      </c>
      <c r="Y344" s="27" t="n">
        <f aca="false">IF(M344&gt;0,D344*PI()*E344^2/4,0)</f>
        <v>13.1198194863679</v>
      </c>
      <c r="Z344" s="27" t="n">
        <f aca="false">IF(H344-E344&gt;=GWL,99,E344*(MAX(0,GWL-H344)*(GAM_S-GAM_W)+MAX(0,NG-MAX(H344,GWL))*GAM_D)/(GAM_W*PI()*E344^2/4))</f>
        <v>0</v>
      </c>
      <c r="AA344" s="27" t="n">
        <f aca="false">IF(I344-E344&gt;=GWL,99,E344*(MAX(0,GWL-I344)*(GAM_S-GAM_W)+MAX(0,NG-MAX(I344,GWL))*GAM_D)/(GAM_W*PI()*E344^2/4))</f>
        <v>0</v>
      </c>
      <c r="AB344" s="27" t="n">
        <f aca="false">IF(H344-E344&gt;=GWL,99,E344*(MAX(0,GWL-H344)*(GAM_S-GAM_W)+MAX(0,FL-MAX(H344,GWL))*GAM_D)/(GAM_W*PI()*E344^2/4))</f>
        <v>1.70606988832456</v>
      </c>
      <c r="AC344" s="27" t="n">
        <f aca="false">IF(I344-E344&gt;=GWL,99,E344*(MAX(0,GWL-I344)*(GAM_S-GAM_W)+MAX(0,FL-MAX(I344,GWL))*GAM_D)/(GAM_W*PI()*E344^2/4))</f>
        <v>1.70753972357315</v>
      </c>
    </row>
    <row r="345" customFormat="false" ht="15" hidden="false" customHeight="false" outlineLevel="0" collapsed="false">
      <c r="A345" s="25" t="s">
        <v>819</v>
      </c>
      <c r="B345" s="25" t="s">
        <v>831</v>
      </c>
      <c r="C345" s="25" t="s">
        <v>833</v>
      </c>
      <c r="D345" s="26" t="n">
        <v>7.57909945525143</v>
      </c>
      <c r="E345" s="26" t="n">
        <v>2.06960128647119</v>
      </c>
      <c r="F345" s="26" t="n">
        <v>-3.08227021091288</v>
      </c>
      <c r="G345" s="26" t="n">
        <v>-3.0848006432356</v>
      </c>
      <c r="H345" s="26" t="n">
        <v>-0.512668924441694</v>
      </c>
      <c r="I345" s="26" t="n">
        <v>-0.515199356764406</v>
      </c>
      <c r="J345" s="26" t="n">
        <v>17.27</v>
      </c>
      <c r="K345" s="27" t="n">
        <f aca="false">MIN(F345,G345)</f>
        <v>-3.0848006432356</v>
      </c>
      <c r="L345" s="27" t="n">
        <f aca="false">AVERAGE(F345,G345)</f>
        <v>-3.08353542707424</v>
      </c>
      <c r="M345" s="27" t="n">
        <f aca="false">MAX(0,NG-L345)</f>
        <v>2.38353542707424</v>
      </c>
      <c r="N345" s="27" t="n">
        <f aca="false">MAX(0,GWL-K345)</f>
        <v>1.5848006432356</v>
      </c>
      <c r="O345" s="27" t="n">
        <f aca="false">MAX(0,NG-MAX(K345,GWL))</f>
        <v>0.8</v>
      </c>
      <c r="P345" s="27" t="n">
        <f aca="false">E345/2+WS+SLOPE_A*O345+SLOPE_B*N345</f>
        <v>6.40440192970678</v>
      </c>
      <c r="Q345" s="28" t="str">
        <f aca="false">IF(AND(P345&lt;J345,N345&lt;=MAXOC),"Open cut","Shoring")</f>
        <v>Open cut</v>
      </c>
      <c r="R345" s="27" t="n">
        <f aca="false">IF(Q345="Shoring",D345,0)</f>
        <v>0</v>
      </c>
      <c r="S345" s="27" t="n">
        <f aca="false">MAX(0,GWL-L345)</f>
        <v>1.58353542707424</v>
      </c>
      <c r="T345" s="27" t="n">
        <f aca="false">MAX(0,NG-MAX(L345,GWL))</f>
        <v>0.8</v>
      </c>
      <c r="U345" s="27" t="n">
        <f aca="false">E345+2*WS</f>
        <v>4.06960128647119</v>
      </c>
      <c r="V345" s="27" t="n">
        <f aca="false">IF(Q345="Shoring",D345*M345*U345,0)</f>
        <v>0</v>
      </c>
      <c r="W345" s="27" t="n">
        <f aca="false">IF(Q345="Open cut",D345*(U345*M345+SLOPE_B*S345^2+2*SLOPE_B*S345*T345+SLOPE_A*T345^2),0)</f>
        <v>157.209630404468</v>
      </c>
      <c r="X345" s="27" t="n">
        <f aca="false">IF(M345&gt;0,D345*(E345+2*SLABOVH)*SLAB,0)</f>
        <v>11.6324067190664</v>
      </c>
      <c r="Y345" s="27" t="n">
        <f aca="false">IF(M345&gt;0,D345*PI()*E345^2/4,0)</f>
        <v>25.4965171105669</v>
      </c>
      <c r="Z345" s="27" t="n">
        <f aca="false">IF(H345-E345&gt;=GWL,99,E345*(MAX(0,GWL-H345)*(GAM_S-GAM_W)+MAX(0,NG-MAX(H345,GWL))*GAM_D)/(GAM_W*PI()*E345^2/4))</f>
        <v>0</v>
      </c>
      <c r="AA345" s="27" t="n">
        <f aca="false">IF(I345-E345&gt;=GWL,99,E345*(MAX(0,GWL-I345)*(GAM_S-GAM_W)+MAX(0,NG-MAX(I345,GWL))*GAM_D)/(GAM_W*PI()*E345^2/4))</f>
        <v>0</v>
      </c>
      <c r="AB345" s="27" t="n">
        <f aca="false">IF(H345-E345&gt;=GWL,99,E345*(MAX(0,GWL-H345)*(GAM_S-GAM_W)+MAX(0,FL-MAX(H345,GWL))*GAM_D)/(GAM_W*PI()*E345^2/4))</f>
        <v>1.70753972357315</v>
      </c>
      <c r="AC345" s="27" t="n">
        <f aca="false">IF(I345-E345&gt;=GWL,99,E345*(MAX(0,GWL-I345)*(GAM_S-GAM_W)+MAX(0,FL-MAX(I345,GWL))*GAM_D)/(GAM_W*PI()*E345^2/4))</f>
        <v>1.71039614088895</v>
      </c>
    </row>
    <row r="346" customFormat="false" ht="15" hidden="false" customHeight="false" outlineLevel="0" collapsed="false">
      <c r="A346" s="25" t="s">
        <v>819</v>
      </c>
      <c r="B346" s="25" t="s">
        <v>831</v>
      </c>
      <c r="C346" s="25" t="s">
        <v>834</v>
      </c>
      <c r="D346" s="26" t="n">
        <v>0.899631550362075</v>
      </c>
      <c r="E346" s="26" t="n">
        <v>2.06960128647119</v>
      </c>
      <c r="F346" s="26" t="n">
        <v>-3.0848006432356</v>
      </c>
      <c r="G346" s="26" t="n">
        <v>-3.38256064323559</v>
      </c>
      <c r="H346" s="26" t="n">
        <v>-0.515199356764406</v>
      </c>
      <c r="I346" s="26" t="n">
        <v>-0.812959356764406</v>
      </c>
      <c r="J346" s="26" t="n">
        <v>19.83</v>
      </c>
      <c r="K346" s="27" t="n">
        <f aca="false">MIN(F346,G346)</f>
        <v>-3.38256064323559</v>
      </c>
      <c r="L346" s="27" t="n">
        <f aca="false">AVERAGE(F346,G346)</f>
        <v>-3.23368064323559</v>
      </c>
      <c r="M346" s="27" t="n">
        <f aca="false">MAX(0,NG-L346)</f>
        <v>2.53368064323559</v>
      </c>
      <c r="N346" s="27" t="n">
        <f aca="false">MAX(0,GWL-K346)</f>
        <v>1.88256064323559</v>
      </c>
      <c r="O346" s="27" t="n">
        <f aca="false">MAX(0,NG-MAX(K346,GWL))</f>
        <v>0.8</v>
      </c>
      <c r="P346" s="27" t="n">
        <f aca="false">E346/2+WS+SLOPE_A*O346+SLOPE_B*N346</f>
        <v>6.99992192970678</v>
      </c>
      <c r="Q346" s="28" t="str">
        <f aca="false">IF(AND(P346&lt;J346,N346&lt;=MAXOC),"Open cut","Shoring")</f>
        <v>Open cut</v>
      </c>
      <c r="R346" s="27" t="n">
        <f aca="false">IF(Q346="Shoring",D346,0)</f>
        <v>0</v>
      </c>
      <c r="S346" s="27" t="n">
        <f aca="false">MAX(0,GWL-L346)</f>
        <v>1.73368064323559</v>
      </c>
      <c r="T346" s="27" t="n">
        <f aca="false">MAX(0,NG-MAX(L346,GWL))</f>
        <v>0.8</v>
      </c>
      <c r="U346" s="27" t="n">
        <f aca="false">E346+2*WS</f>
        <v>4.06960128647119</v>
      </c>
      <c r="V346" s="27" t="n">
        <f aca="false">IF(Q346="Shoring",D346*M346*U346,0)</f>
        <v>0</v>
      </c>
      <c r="W346" s="27" t="n">
        <f aca="false">IF(Q346="Open cut",D346*(U346*M346+SLOPE_B*S346^2+2*SLOPE_B*S346*T346+SLOPE_A*T346^2),0)</f>
        <v>20.5387189293929</v>
      </c>
      <c r="X346" s="27" t="n">
        <f aca="false">IF(M346&gt;0,D346*(E346+2*SLABOVH)*SLAB,0)</f>
        <v>1.38075508217075</v>
      </c>
      <c r="Y346" s="27" t="n">
        <f aca="false">IF(M346&gt;0,D346*PI()*E346^2/4,0)</f>
        <v>3.02641116565894</v>
      </c>
      <c r="Z346" s="27" t="n">
        <f aca="false">IF(H346-E346&gt;=GWL,99,E346*(MAX(0,GWL-H346)*(GAM_S-GAM_W)+MAX(0,NG-MAX(H346,GWL))*GAM_D)/(GAM_W*PI()*E346^2/4))</f>
        <v>0</v>
      </c>
      <c r="AA346" s="27" t="n">
        <f aca="false">IF(I346-E346&gt;=GWL,99,E346*(MAX(0,GWL-I346)*(GAM_S-GAM_W)+MAX(0,NG-MAX(I346,GWL))*GAM_D)/(GAM_W*PI()*E346^2/4))</f>
        <v>0.127511437372646</v>
      </c>
      <c r="AB346" s="27" t="n">
        <f aca="false">IF(H346-E346&gt;=GWL,99,E346*(MAX(0,GWL-H346)*(GAM_S-GAM_W)+MAX(0,FL-MAX(H346,GWL))*GAM_D)/(GAM_W*PI()*E346^2/4))</f>
        <v>1.71039614088895</v>
      </c>
      <c r="AC346" s="27" t="n">
        <f aca="false">IF(I346-E346&gt;=GWL,99,E346*(MAX(0,GWL-I346)*(GAM_S-GAM_W)+MAX(0,FL-MAX(I346,GWL))*GAM_D)/(GAM_W*PI()*E346^2/4))</f>
        <v>2.04651531401125</v>
      </c>
    </row>
    <row r="347" customFormat="false" ht="15" hidden="false" customHeight="false" outlineLevel="0" collapsed="false">
      <c r="A347" s="25" t="s">
        <v>819</v>
      </c>
      <c r="B347" s="25" t="s">
        <v>831</v>
      </c>
      <c r="C347" s="25" t="s">
        <v>835</v>
      </c>
      <c r="D347" s="26" t="n">
        <v>0.835940000302934</v>
      </c>
      <c r="E347" s="26" t="n">
        <v>2.06966326311388</v>
      </c>
      <c r="F347" s="26" t="n">
        <v>-3.38259163155694</v>
      </c>
      <c r="G347" s="26" t="n">
        <v>-3.65927163155694</v>
      </c>
      <c r="H347" s="26" t="n">
        <v>-0.81292836844306</v>
      </c>
      <c r="I347" s="26" t="n">
        <v>-1.08960836844306</v>
      </c>
      <c r="J347" s="26" t="n">
        <v>20.2</v>
      </c>
      <c r="K347" s="27" t="n">
        <f aca="false">MIN(F347,G347)</f>
        <v>-3.65927163155694</v>
      </c>
      <c r="L347" s="27" t="n">
        <f aca="false">AVERAGE(F347,G347)</f>
        <v>-3.52093163155694</v>
      </c>
      <c r="M347" s="27" t="n">
        <f aca="false">MAX(0,NG-L347)</f>
        <v>2.82093163155694</v>
      </c>
      <c r="N347" s="27" t="n">
        <f aca="false">MAX(0,GWL-K347)</f>
        <v>2.15927163155694</v>
      </c>
      <c r="O347" s="27" t="n">
        <f aca="false">MAX(0,NG-MAX(K347,GWL))</f>
        <v>0.8</v>
      </c>
      <c r="P347" s="27" t="n">
        <f aca="false">E347/2+WS+SLOPE_A*O347+SLOPE_B*N347</f>
        <v>7.55337489467082</v>
      </c>
      <c r="Q347" s="28" t="str">
        <f aca="false">IF(AND(P347&lt;J347,N347&lt;=MAXOC),"Open cut","Shoring")</f>
        <v>Open cut</v>
      </c>
      <c r="R347" s="27" t="n">
        <f aca="false">IF(Q347="Shoring",D347,0)</f>
        <v>0</v>
      </c>
      <c r="S347" s="27" t="n">
        <f aca="false">MAX(0,GWL-L347)</f>
        <v>2.02093163155694</v>
      </c>
      <c r="T347" s="27" t="n">
        <f aca="false">MAX(0,NG-MAX(L347,GWL))</f>
        <v>0.8</v>
      </c>
      <c r="U347" s="27" t="n">
        <f aca="false">E347+2*WS</f>
        <v>4.06966326311388</v>
      </c>
      <c r="V347" s="27" t="n">
        <f aca="false">IF(Q347="Shoring",D347*M347*U347,0)</f>
        <v>0</v>
      </c>
      <c r="W347" s="27" t="n">
        <f aca="false">IF(Q347="Open cut",D347*(U347*M347+SLOPE_B*S347^2+2*SLOPE_B*S347*T347+SLOPE_A*T347^2),0)</f>
        <v>22.6335372551596</v>
      </c>
      <c r="X347" s="27" t="n">
        <f aca="false">IF(M347&gt;0,D347*(E347+2*SLABOVH)*SLAB,0)</f>
        <v>1.28302715454866</v>
      </c>
      <c r="Y347" s="27" t="n">
        <f aca="false">IF(M347&gt;0,D347*PI()*E347^2/4,0)</f>
        <v>2.81231763551942</v>
      </c>
      <c r="Z347" s="27" t="n">
        <f aca="false">IF(H347-E347&gt;=GWL,99,E347*(MAX(0,GWL-H347)*(GAM_S-GAM_W)+MAX(0,NG-MAX(H347,GWL))*GAM_D)/(GAM_W*PI()*E347^2/4))</f>
        <v>0.12747263963771</v>
      </c>
      <c r="AA347" s="27" t="n">
        <f aca="false">IF(I347-E347&gt;=GWL,99,E347*(MAX(0,GWL-I347)*(GAM_S-GAM_W)+MAX(0,NG-MAX(I347,GWL))*GAM_D)/(GAM_W*PI()*E347^2/4))</f>
        <v>0.43978681207477</v>
      </c>
      <c r="AB347" s="27" t="n">
        <f aca="false">IF(H347-E347&gt;=GWL,99,E347*(MAX(0,GWL-H347)*(GAM_S-GAM_W)+MAX(0,FL-MAX(H347,GWL))*GAM_D)/(GAM_W*PI()*E347^2/4))</f>
        <v>2.0464190511709</v>
      </c>
      <c r="AC347" s="27" t="n">
        <f aca="false">IF(I347-E347&gt;=GWL,99,E347*(MAX(0,GWL-I347)*(GAM_S-GAM_W)+MAX(0,FL-MAX(I347,GWL))*GAM_D)/(GAM_W*PI()*E347^2/4))</f>
        <v>2.35873322360796</v>
      </c>
    </row>
    <row r="348" customFormat="false" ht="15" hidden="false" customHeight="false" outlineLevel="0" collapsed="false">
      <c r="A348" s="25" t="s">
        <v>819</v>
      </c>
      <c r="B348" s="25" t="s">
        <v>831</v>
      </c>
      <c r="C348" s="25" t="s">
        <v>836</v>
      </c>
      <c r="D348" s="26" t="n">
        <v>0.685328994416078</v>
      </c>
      <c r="E348" s="26" t="n">
        <v>2.06966326311388</v>
      </c>
      <c r="F348" s="26" t="n">
        <v>-3.65927163155694</v>
      </c>
      <c r="G348" s="26" t="n">
        <v>-3.88609984315904</v>
      </c>
      <c r="H348" s="26" t="n">
        <v>-1.08960836844306</v>
      </c>
      <c r="I348" s="26" t="n">
        <v>-1.31643658004516</v>
      </c>
      <c r="J348" s="26" t="n">
        <v>20.74</v>
      </c>
      <c r="K348" s="27" t="n">
        <f aca="false">MIN(F348,G348)</f>
        <v>-3.88609984315904</v>
      </c>
      <c r="L348" s="27" t="n">
        <f aca="false">AVERAGE(F348,G348)</f>
        <v>-3.77268573735799</v>
      </c>
      <c r="M348" s="27" t="n">
        <f aca="false">MAX(0,NG-L348)</f>
        <v>3.07268573735799</v>
      </c>
      <c r="N348" s="27" t="n">
        <f aca="false">MAX(0,GWL-K348)</f>
        <v>2.38609984315904</v>
      </c>
      <c r="O348" s="27" t="n">
        <f aca="false">MAX(0,NG-MAX(K348,GWL))</f>
        <v>0.8</v>
      </c>
      <c r="P348" s="27" t="n">
        <f aca="false">E348/2+WS+SLOPE_A*O348+SLOPE_B*N348</f>
        <v>8.00703131787503</v>
      </c>
      <c r="Q348" s="28" t="str">
        <f aca="false">IF(AND(P348&lt;J348,N348&lt;=MAXOC),"Open cut","Shoring")</f>
        <v>Open cut</v>
      </c>
      <c r="R348" s="27" t="n">
        <f aca="false">IF(Q348="Shoring",D348,0)</f>
        <v>0</v>
      </c>
      <c r="S348" s="27" t="n">
        <f aca="false">MAX(0,GWL-L348)</f>
        <v>2.27268573735799</v>
      </c>
      <c r="T348" s="27" t="n">
        <f aca="false">MAX(0,NG-MAX(L348,GWL))</f>
        <v>0.8</v>
      </c>
      <c r="U348" s="27" t="n">
        <f aca="false">E348+2*WS</f>
        <v>4.06966326311388</v>
      </c>
      <c r="V348" s="27" t="n">
        <f aca="false">IF(Q348="Shoring",D348*M348*U348,0)</f>
        <v>0</v>
      </c>
      <c r="W348" s="27" t="n">
        <f aca="false">IF(Q348="Open cut",D348*(U348*M348+SLOPE_B*S348^2+2*SLOPE_B*S348*T348+SLOPE_A*T348^2),0)</f>
        <v>21.2915212728387</v>
      </c>
      <c r="X348" s="27" t="n">
        <f aca="false">IF(M348&gt;0,D348*(E348+2*SLABOVH)*SLAB,0)</f>
        <v>1.05186461865291</v>
      </c>
      <c r="Y348" s="27" t="n">
        <f aca="false">IF(M348&gt;0,D348*PI()*E348^2/4,0)</f>
        <v>2.30562338975366</v>
      </c>
      <c r="Z348" s="27" t="n">
        <f aca="false">IF(H348-E348&gt;=GWL,99,E348*(MAX(0,GWL-H348)*(GAM_S-GAM_W)+MAX(0,NG-MAX(H348,GWL))*GAM_D)/(GAM_W*PI()*E348^2/4))</f>
        <v>0.43978681207477</v>
      </c>
      <c r="AA348" s="27" t="n">
        <f aca="false">IF(I348-E348&gt;=GWL,99,E348*(MAX(0,GWL-I348)*(GAM_S-GAM_W)+MAX(0,NG-MAX(I348,GWL))*GAM_D)/(GAM_W*PI()*E348^2/4))</f>
        <v>0.695828684244386</v>
      </c>
      <c r="AB348" s="27" t="n">
        <f aca="false">IF(H348-E348&gt;=GWL,99,E348*(MAX(0,GWL-H348)*(GAM_S-GAM_W)+MAX(0,FL-MAX(H348,GWL))*GAM_D)/(GAM_W*PI()*E348^2/4))</f>
        <v>2.35873322360796</v>
      </c>
      <c r="AC348" s="27" t="n">
        <f aca="false">IF(I348-E348&gt;=GWL,99,E348*(MAX(0,GWL-I348)*(GAM_S-GAM_W)+MAX(0,FL-MAX(I348,GWL))*GAM_D)/(GAM_W*PI()*E348^2/4))</f>
        <v>2.61477509577758</v>
      </c>
    </row>
    <row r="349" customFormat="false" ht="15" hidden="false" customHeight="false" outlineLevel="0" collapsed="false">
      <c r="A349" s="25" t="s">
        <v>819</v>
      </c>
      <c r="B349" s="25" t="s">
        <v>831</v>
      </c>
      <c r="C349" s="25" t="s">
        <v>837</v>
      </c>
      <c r="D349" s="26" t="n">
        <v>6.05852100572657</v>
      </c>
      <c r="E349" s="26" t="n">
        <v>2.06966326311388</v>
      </c>
      <c r="F349" s="26" t="n">
        <v>-3.88609984315904</v>
      </c>
      <c r="G349" s="26" t="n">
        <v>-5.89133163155694</v>
      </c>
      <c r="H349" s="26" t="n">
        <v>-1.31643658004516</v>
      </c>
      <c r="I349" s="26" t="n">
        <v>-3.32166836844306</v>
      </c>
      <c r="J349" s="26" t="n">
        <v>21.2</v>
      </c>
      <c r="K349" s="27" t="n">
        <f aca="false">MIN(F349,G349)</f>
        <v>-5.89133163155694</v>
      </c>
      <c r="L349" s="27" t="n">
        <f aca="false">AVERAGE(F349,G349)</f>
        <v>-4.88871573735799</v>
      </c>
      <c r="M349" s="27" t="n">
        <f aca="false">MAX(0,NG-L349)</f>
        <v>4.18871573735799</v>
      </c>
      <c r="N349" s="27" t="n">
        <f aca="false">MAX(0,GWL-K349)</f>
        <v>4.39133163155694</v>
      </c>
      <c r="O349" s="27" t="n">
        <f aca="false">MAX(0,NG-MAX(K349,GWL))</f>
        <v>0.8</v>
      </c>
      <c r="P349" s="27" t="n">
        <f aca="false">E349/2+WS+SLOPE_A*O349+SLOPE_B*N349</f>
        <v>12.0174948946708</v>
      </c>
      <c r="Q349" s="28" t="str">
        <f aca="false">IF(AND(P349&lt;J349,N349&lt;=MAXOC),"Open cut","Shoring")</f>
        <v>Shoring</v>
      </c>
      <c r="R349" s="27" t="n">
        <f aca="false">IF(Q349="Shoring",D349,0)</f>
        <v>6.05852100572657</v>
      </c>
      <c r="S349" s="27" t="n">
        <f aca="false">MAX(0,GWL-L349)</f>
        <v>3.38871573735799</v>
      </c>
      <c r="T349" s="27" t="n">
        <f aca="false">MAX(0,NG-MAX(L349,GWL))</f>
        <v>0.8</v>
      </c>
      <c r="U349" s="27" t="n">
        <f aca="false">E349+2*WS</f>
        <v>4.06966326311388</v>
      </c>
      <c r="V349" s="27" t="n">
        <f aca="false">IF(Q349="Shoring",D349*M349*U349,0)</f>
        <v>103.277563172773</v>
      </c>
      <c r="W349" s="27" t="n">
        <f aca="false">IF(Q349="Open cut",D349*(U349*M349+SLOPE_B*S349^2+2*SLOPE_B*S349*T349+SLOPE_A*T349^2),0)</f>
        <v>0</v>
      </c>
      <c r="X349" s="27" t="n">
        <f aca="false">IF(M349&gt;0,D349*(E349+2*SLABOVH)*SLAB,0)</f>
        <v>9.2988096800413</v>
      </c>
      <c r="Y349" s="27" t="n">
        <f aca="false">IF(M349&gt;0,D349*PI()*E349^2/4,0)</f>
        <v>20.3824263265248</v>
      </c>
      <c r="Z349" s="27" t="n">
        <f aca="false">IF(H349-E349&gt;=GWL,99,E349*(MAX(0,GWL-H349)*(GAM_S-GAM_W)+MAX(0,NG-MAX(H349,GWL))*GAM_D)/(GAM_W*PI()*E349^2/4))</f>
        <v>0.695828684244386</v>
      </c>
      <c r="AA349" s="27" t="n">
        <f aca="false">IF(I349-E349&gt;=GWL,99,E349*(MAX(0,GWL-I349)*(GAM_S-GAM_W)+MAX(0,NG-MAX(I349,GWL))*GAM_D)/(GAM_W*PI()*E349^2/4))</f>
        <v>1.83864314088352</v>
      </c>
      <c r="AB349" s="27" t="n">
        <f aca="false">IF(H349-E349&gt;=GWL,99,E349*(MAX(0,GWL-H349)*(GAM_S-GAM_W)+MAX(0,FL-MAX(H349,GWL))*GAM_D)/(GAM_W*PI()*E349^2/4))</f>
        <v>2.61477509577758</v>
      </c>
      <c r="AC349" s="27" t="n">
        <f aca="false">IF(I349-E349&gt;=GWL,99,E349*(MAX(0,GWL-I349)*(GAM_S-GAM_W)+MAX(0,FL-MAX(I349,GWL))*GAM_D)/(GAM_W*PI()*E349^2/4))</f>
        <v>3.75758955241671</v>
      </c>
    </row>
    <row r="350" customFormat="false" ht="15" hidden="false" customHeight="false" outlineLevel="0" collapsed="false">
      <c r="A350" s="25" t="s">
        <v>819</v>
      </c>
      <c r="B350" s="25" t="s">
        <v>831</v>
      </c>
      <c r="C350" s="25" t="s">
        <v>838</v>
      </c>
      <c r="D350" s="26" t="n">
        <v>0.833074487040114</v>
      </c>
      <c r="E350" s="26" t="n">
        <v>2.06966326311388</v>
      </c>
      <c r="F350" s="26" t="n">
        <v>-5.89133163155694</v>
      </c>
      <c r="G350" s="26" t="n">
        <v>-6.16706163155694</v>
      </c>
      <c r="H350" s="26" t="n">
        <v>-3.32166836844306</v>
      </c>
      <c r="I350" s="26" t="n">
        <v>-3.59739836844306</v>
      </c>
      <c r="J350" s="26" t="n">
        <v>99</v>
      </c>
      <c r="K350" s="27" t="n">
        <f aca="false">MIN(F350,G350)</f>
        <v>-6.16706163155694</v>
      </c>
      <c r="L350" s="27" t="n">
        <f aca="false">AVERAGE(F350,G350)</f>
        <v>-6.02919663155694</v>
      </c>
      <c r="M350" s="27" t="n">
        <f aca="false">MAX(0,NG-L350)</f>
        <v>5.32919663155694</v>
      </c>
      <c r="N350" s="27" t="n">
        <f aca="false">MAX(0,GWL-K350)</f>
        <v>4.66706163155694</v>
      </c>
      <c r="O350" s="27" t="n">
        <f aca="false">MAX(0,NG-MAX(K350,GWL))</f>
        <v>0.8</v>
      </c>
      <c r="P350" s="27" t="n">
        <f aca="false">E350/2+WS+SLOPE_A*O350+SLOPE_B*N350</f>
        <v>12.5689548946708</v>
      </c>
      <c r="Q350" s="28" t="str">
        <f aca="false">IF(AND(P350&lt;J350,N350&lt;=MAXOC),"Open cut","Shoring")</f>
        <v>Shoring</v>
      </c>
      <c r="R350" s="27" t="n">
        <f aca="false">IF(Q350="Shoring",D350,0)</f>
        <v>0.833074487040114</v>
      </c>
      <c r="S350" s="27" t="n">
        <f aca="false">MAX(0,GWL-L350)</f>
        <v>4.52919663155694</v>
      </c>
      <c r="T350" s="27" t="n">
        <f aca="false">MAX(0,NG-MAX(L350,GWL))</f>
        <v>0.8</v>
      </c>
      <c r="U350" s="27" t="n">
        <f aca="false">E350+2*WS</f>
        <v>4.06966326311388</v>
      </c>
      <c r="V350" s="27" t="n">
        <f aca="false">IF(Q350="Shoring",D350*M350*U350,0)</f>
        <v>18.067749260136</v>
      </c>
      <c r="W350" s="27" t="n">
        <f aca="false">IF(Q350="Open cut",D350*(U350*M350+SLOPE_B*S350^2+2*SLOPE_B*S350*T350+SLOPE_A*T350^2),0)</f>
        <v>0</v>
      </c>
      <c r="X350" s="27" t="n">
        <f aca="false">IF(M350&gt;0,D350*(E350+2*SLABOVH)*SLAB,0)</f>
        <v>1.27862907415224</v>
      </c>
      <c r="Y350" s="27" t="n">
        <f aca="false">IF(M350&gt;0,D350*PI()*E350^2/4,0)</f>
        <v>2.80267731027966</v>
      </c>
      <c r="Z350" s="27" t="n">
        <f aca="false">IF(H350-E350&gt;=GWL,99,E350*(MAX(0,GWL-H350)*(GAM_S-GAM_W)+MAX(0,NG-MAX(H350,GWL))*GAM_D)/(GAM_W*PI()*E350^2/4))</f>
        <v>1.83864314088352</v>
      </c>
      <c r="AA350" s="27" t="n">
        <f aca="false">IF(I350-E350&gt;=GWL,99,E350*(MAX(0,GWL-I350)*(GAM_S-GAM_W)+MAX(0,NG-MAX(I350,GWL))*GAM_D)/(GAM_W*PI()*E350^2/4))</f>
        <v>1.98025816899745</v>
      </c>
      <c r="AB350" s="27" t="n">
        <f aca="false">IF(H350-E350&gt;=GWL,99,E350*(MAX(0,GWL-H350)*(GAM_S-GAM_W)+MAX(0,FL-MAX(H350,GWL))*GAM_D)/(GAM_W*PI()*E350^2/4))</f>
        <v>3.75758955241671</v>
      </c>
      <c r="AC350" s="27" t="n">
        <f aca="false">IF(I350-E350&gt;=GWL,99,E350*(MAX(0,GWL-I350)*(GAM_S-GAM_W)+MAX(0,FL-MAX(I350,GWL))*GAM_D)/(GAM_W*PI()*E350^2/4))</f>
        <v>3.89920458053064</v>
      </c>
    </row>
    <row r="351" customFormat="false" ht="15" hidden="false" customHeight="false" outlineLevel="0" collapsed="false">
      <c r="A351" s="25" t="s">
        <v>819</v>
      </c>
      <c r="B351" s="25" t="s">
        <v>831</v>
      </c>
      <c r="C351" s="25" t="s">
        <v>839</v>
      </c>
      <c r="D351" s="26" t="n">
        <v>0.899657183964263</v>
      </c>
      <c r="E351" s="26" t="n">
        <v>2.06960331200568</v>
      </c>
      <c r="F351" s="26" t="n">
        <v>-6.16703165600284</v>
      </c>
      <c r="G351" s="26" t="n">
        <v>-6.46480165600284</v>
      </c>
      <c r="H351" s="26" t="n">
        <v>-3.59742834399716</v>
      </c>
      <c r="I351" s="26" t="n">
        <v>-3.89519834399716</v>
      </c>
      <c r="J351" s="26" t="n">
        <v>99</v>
      </c>
      <c r="K351" s="27" t="n">
        <f aca="false">MIN(F351,G351)</f>
        <v>-6.46480165600284</v>
      </c>
      <c r="L351" s="27" t="n">
        <f aca="false">AVERAGE(F351,G351)</f>
        <v>-6.31591665600284</v>
      </c>
      <c r="M351" s="27" t="n">
        <f aca="false">MAX(0,NG-L351)</f>
        <v>5.61591665600284</v>
      </c>
      <c r="N351" s="27" t="n">
        <f aca="false">MAX(0,GWL-K351)</f>
        <v>4.96480165600284</v>
      </c>
      <c r="O351" s="27" t="n">
        <f aca="false">MAX(0,NG-MAX(K351,GWL))</f>
        <v>0.8</v>
      </c>
      <c r="P351" s="27" t="n">
        <f aca="false">E351/2+WS+SLOPE_A*O351+SLOPE_B*N351</f>
        <v>13.1644049680085</v>
      </c>
      <c r="Q351" s="28" t="str">
        <f aca="false">IF(AND(P351&lt;J351,N351&lt;=MAXOC),"Open cut","Shoring")</f>
        <v>Shoring</v>
      </c>
      <c r="R351" s="27" t="n">
        <f aca="false">IF(Q351="Shoring",D351,0)</f>
        <v>0.899657183964263</v>
      </c>
      <c r="S351" s="27" t="n">
        <f aca="false">MAX(0,GWL-L351)</f>
        <v>4.81591665600284</v>
      </c>
      <c r="T351" s="27" t="n">
        <f aca="false">MAX(0,NG-MAX(L351,GWL))</f>
        <v>0.8</v>
      </c>
      <c r="U351" s="27" t="n">
        <f aca="false">E351+2*WS</f>
        <v>4.06960331200568</v>
      </c>
      <c r="V351" s="27" t="n">
        <f aca="false">IF(Q351="Shoring",D351*M351*U351,0)</f>
        <v>20.5612628136294</v>
      </c>
      <c r="W351" s="27" t="n">
        <f aca="false">IF(Q351="Open cut",D351*(U351*M351+SLOPE_B*S351^2+2*SLOPE_B*S351*T351+SLOPE_A*T351^2),0)</f>
        <v>0</v>
      </c>
      <c r="X351" s="27" t="n">
        <f aca="false">IF(M351&gt;0,D351*(E351+2*SLABOVH)*SLAB,0)</f>
        <v>1.3807953357832</v>
      </c>
      <c r="Y351" s="27" t="n">
        <f aca="false">IF(M351&gt;0,D351*PI()*E351^2/4,0)</f>
        <v>3.02650332265419</v>
      </c>
      <c r="Z351" s="27" t="n">
        <f aca="false">IF(H351-E351&gt;=GWL,99,E351*(MAX(0,GWL-H351)*(GAM_S-GAM_W)+MAX(0,NG-MAX(H351,GWL))*GAM_D)/(GAM_W*PI()*E351^2/4))</f>
        <v>1.98033092790709</v>
      </c>
      <c r="AA351" s="27" t="n">
        <f aca="false">IF(I351-E351&gt;=GWL,99,E351*(MAX(0,GWL-I351)*(GAM_S-GAM_W)+MAX(0,NG-MAX(I351,GWL))*GAM_D)/(GAM_W*PI()*E351^2/4))</f>
        <v>2.1332701381524</v>
      </c>
      <c r="AB351" s="27" t="n">
        <f aca="false">IF(H351-E351&gt;=GWL,99,E351*(MAX(0,GWL-H351)*(GAM_S-GAM_W)+MAX(0,FL-MAX(H351,GWL))*GAM_D)/(GAM_W*PI()*E351^2/4))</f>
        <v>3.89933292640387</v>
      </c>
      <c r="AC351" s="27" t="n">
        <f aca="false">IF(I351-E351&gt;=GWL,99,E351*(MAX(0,GWL-I351)*(GAM_S-GAM_W)+MAX(0,FL-MAX(I351,GWL))*GAM_D)/(GAM_W*PI()*E351^2/4))</f>
        <v>4.05227213664918</v>
      </c>
    </row>
    <row r="352" customFormat="false" ht="15" hidden="false" customHeight="false" outlineLevel="0" collapsed="false">
      <c r="A352" s="25" t="s">
        <v>819</v>
      </c>
      <c r="B352" s="25" t="s">
        <v>831</v>
      </c>
      <c r="C352" s="25" t="s">
        <v>840</v>
      </c>
      <c r="D352" s="26" t="n">
        <v>2.20874732334966</v>
      </c>
      <c r="E352" s="26" t="n">
        <v>2.06960331200568</v>
      </c>
      <c r="F352" s="26" t="n">
        <v>-6.46480165600284</v>
      </c>
      <c r="G352" s="26" t="n">
        <v>-6.45644959030377</v>
      </c>
      <c r="H352" s="26" t="n">
        <v>-3.89519834399716</v>
      </c>
      <c r="I352" s="26" t="n">
        <v>-3.88684627829809</v>
      </c>
      <c r="J352" s="26" t="n">
        <v>99</v>
      </c>
      <c r="K352" s="27" t="n">
        <f aca="false">MIN(F352,G352)</f>
        <v>-6.46480165600284</v>
      </c>
      <c r="L352" s="27" t="n">
        <f aca="false">AVERAGE(F352,G352)</f>
        <v>-6.4606256231533</v>
      </c>
      <c r="M352" s="27" t="n">
        <f aca="false">MAX(0,NG-L352)</f>
        <v>5.7606256231533</v>
      </c>
      <c r="N352" s="27" t="n">
        <f aca="false">MAX(0,GWL-K352)</f>
        <v>4.96480165600284</v>
      </c>
      <c r="O352" s="27" t="n">
        <f aca="false">MAX(0,NG-MAX(K352,GWL))</f>
        <v>0.8</v>
      </c>
      <c r="P352" s="27" t="n">
        <f aca="false">E352/2+WS+SLOPE_A*O352+SLOPE_B*N352</f>
        <v>13.1644049680085</v>
      </c>
      <c r="Q352" s="28" t="str">
        <f aca="false">IF(AND(P352&lt;J352,N352&lt;=MAXOC),"Open cut","Shoring")</f>
        <v>Shoring</v>
      </c>
      <c r="R352" s="27" t="n">
        <f aca="false">IF(Q352="Shoring",D352,0)</f>
        <v>2.20874732334966</v>
      </c>
      <c r="S352" s="27" t="n">
        <f aca="false">MAX(0,GWL-L352)</f>
        <v>4.9606256231533</v>
      </c>
      <c r="T352" s="27" t="n">
        <f aca="false">MAX(0,NG-MAX(L352,GWL))</f>
        <v>0.8</v>
      </c>
      <c r="U352" s="27" t="n">
        <f aca="false">E352+2*WS</f>
        <v>4.06960331200568</v>
      </c>
      <c r="V352" s="27" t="n">
        <f aca="false">IF(Q352="Shoring",D352*M352*U352,0)</f>
        <v>51.7806819882708</v>
      </c>
      <c r="W352" s="27" t="n">
        <f aca="false">IF(Q352="Open cut",D352*(U352*M352+SLOPE_B*S352^2+2*SLOPE_B*S352*T352+SLOPE_A*T352^2),0)</f>
        <v>0</v>
      </c>
      <c r="X352" s="27" t="n">
        <f aca="false">IF(M352&gt;0,D352*(E352+2*SLABOVH)*SLAB,0)</f>
        <v>3.3899890495689</v>
      </c>
      <c r="Y352" s="27" t="n">
        <f aca="false">IF(M352&gt;0,D352*PI()*E352^2/4,0)</f>
        <v>7.43036484582425</v>
      </c>
      <c r="Z352" s="27" t="n">
        <f aca="false">IF(H352-E352&gt;=GWL,99,E352*(MAX(0,GWL-H352)*(GAM_S-GAM_W)+MAX(0,NG-MAX(H352,GWL))*GAM_D)/(GAM_W*PI()*E352^2/4))</f>
        <v>2.1332701381524</v>
      </c>
      <c r="AA352" s="27" t="n">
        <f aca="false">IF(I352-E352&gt;=GWL,99,E352*(MAX(0,GWL-I352)*(GAM_S-GAM_W)+MAX(0,NG-MAX(I352,GWL))*GAM_D)/(GAM_W*PI()*E352^2/4))</f>
        <v>2.12898038991741</v>
      </c>
      <c r="AB352" s="27" t="n">
        <f aca="false">IF(H352-E352&gt;=GWL,99,E352*(MAX(0,GWL-H352)*(GAM_S-GAM_W)+MAX(0,FL-MAX(H352,GWL))*GAM_D)/(GAM_W*PI()*E352^2/4))</f>
        <v>4.05227213664918</v>
      </c>
      <c r="AC352" s="27" t="n">
        <f aca="false">IF(I352-E352&gt;=GWL,99,E352*(MAX(0,GWL-I352)*(GAM_S-GAM_W)+MAX(0,FL-MAX(I352,GWL))*GAM_D)/(GAM_W*PI()*E352^2/4))</f>
        <v>4.04798238841419</v>
      </c>
    </row>
    <row r="353" customFormat="false" ht="15" hidden="false" customHeight="false" outlineLevel="0" collapsed="false">
      <c r="A353" s="25" t="s">
        <v>819</v>
      </c>
      <c r="B353" s="25" t="s">
        <v>831</v>
      </c>
      <c r="C353" s="25" t="s">
        <v>841</v>
      </c>
      <c r="D353" s="26" t="n">
        <v>9.99999999983242</v>
      </c>
      <c r="E353" s="26" t="n">
        <v>2.06960331200568</v>
      </c>
      <c r="F353" s="26" t="n">
        <v>-6.45644959030377</v>
      </c>
      <c r="G353" s="26" t="n">
        <v>-6.4186360042472</v>
      </c>
      <c r="H353" s="26" t="n">
        <v>-3.88684627829809</v>
      </c>
      <c r="I353" s="26" t="n">
        <v>-3.84903269224152</v>
      </c>
      <c r="J353" s="26" t="n">
        <v>25.85</v>
      </c>
      <c r="K353" s="27" t="n">
        <f aca="false">MIN(F353,G353)</f>
        <v>-6.45644959030377</v>
      </c>
      <c r="L353" s="27" t="n">
        <f aca="false">AVERAGE(F353,G353)</f>
        <v>-6.43754279727549</v>
      </c>
      <c r="M353" s="27" t="n">
        <f aca="false">MAX(0,NG-L353)</f>
        <v>5.73754279727549</v>
      </c>
      <c r="N353" s="27" t="n">
        <f aca="false">MAX(0,GWL-K353)</f>
        <v>4.95644959030377</v>
      </c>
      <c r="O353" s="27" t="n">
        <f aca="false">MAX(0,NG-MAX(K353,GWL))</f>
        <v>0.8</v>
      </c>
      <c r="P353" s="27" t="n">
        <f aca="false">E353/2+WS+SLOPE_A*O353+SLOPE_B*N353</f>
        <v>13.1477008366104</v>
      </c>
      <c r="Q353" s="28" t="str">
        <f aca="false">IF(AND(P353&lt;J353,N353&lt;=MAXOC),"Open cut","Shoring")</f>
        <v>Shoring</v>
      </c>
      <c r="R353" s="27" t="n">
        <f aca="false">IF(Q353="Shoring",D353,0)</f>
        <v>9.99999999983242</v>
      </c>
      <c r="S353" s="27" t="n">
        <f aca="false">MAX(0,GWL-L353)</f>
        <v>4.93754279727549</v>
      </c>
      <c r="T353" s="27" t="n">
        <f aca="false">MAX(0,NG-MAX(L353,GWL))</f>
        <v>0.8</v>
      </c>
      <c r="U353" s="27" t="n">
        <f aca="false">E353+2*WS</f>
        <v>4.06960331200568</v>
      </c>
      <c r="V353" s="27" t="n">
        <f aca="false">IF(Q353="Shoring",D353*M353*U353,0)</f>
        <v>233.495231701754</v>
      </c>
      <c r="W353" s="27" t="n">
        <f aca="false">IF(Q353="Open cut",D353*(U353*M353+SLOPE_B*S353^2+2*SLOPE_B*S353*T353+SLOPE_A*T353^2),0)</f>
        <v>0</v>
      </c>
      <c r="X353" s="27" t="n">
        <f aca="false">IF(M353&gt;0,D353*(E353+2*SLABOVH)*SLAB,0)</f>
        <v>15.3480165597712</v>
      </c>
      <c r="Y353" s="27" t="n">
        <f aca="false">IF(M353&gt;0,D353*PI()*E353^2/4,0)</f>
        <v>33.6406286366485</v>
      </c>
      <c r="Z353" s="27" t="n">
        <f aca="false">IF(H353-E353&gt;=GWL,99,E353*(MAX(0,GWL-H353)*(GAM_S-GAM_W)+MAX(0,NG-MAX(H353,GWL))*GAM_D)/(GAM_W*PI()*E353^2/4))</f>
        <v>2.12898038991741</v>
      </c>
      <c r="AA353" s="27" t="n">
        <f aca="false">IF(I353-E353&gt;=GWL,99,E353*(MAX(0,GWL-I353)*(GAM_S-GAM_W)+MAX(0,NG-MAX(I353,GWL))*GAM_D)/(GAM_W*PI()*E353^2/4))</f>
        <v>2.10955875581044</v>
      </c>
      <c r="AB353" s="27" t="n">
        <f aca="false">IF(H353-E353&gt;=GWL,99,E353*(MAX(0,GWL-H353)*(GAM_S-GAM_W)+MAX(0,FL-MAX(H353,GWL))*GAM_D)/(GAM_W*PI()*E353^2/4))</f>
        <v>4.04798238841419</v>
      </c>
      <c r="AC353" s="27" t="n">
        <f aca="false">IF(I353-E353&gt;=GWL,99,E353*(MAX(0,GWL-I353)*(GAM_S-GAM_W)+MAX(0,FL-MAX(I353,GWL))*GAM_D)/(GAM_W*PI()*E353^2/4))</f>
        <v>4.02856075430722</v>
      </c>
    </row>
    <row r="354" customFormat="false" ht="15" hidden="false" customHeight="false" outlineLevel="0" collapsed="false">
      <c r="A354" s="25" t="s">
        <v>819</v>
      </c>
      <c r="B354" s="25" t="s">
        <v>831</v>
      </c>
      <c r="C354" s="25" t="s">
        <v>842</v>
      </c>
      <c r="D354" s="26" t="n">
        <v>9.99999999983242</v>
      </c>
      <c r="E354" s="26" t="n">
        <v>2.06960331200568</v>
      </c>
      <c r="F354" s="26" t="n">
        <v>-6.4186360042472</v>
      </c>
      <c r="G354" s="26" t="n">
        <v>-6.38082241819064</v>
      </c>
      <c r="H354" s="26" t="n">
        <v>-3.84903269224152</v>
      </c>
      <c r="I354" s="26" t="n">
        <v>-3.81121910618496</v>
      </c>
      <c r="J354" s="26" t="n">
        <v>21.49</v>
      </c>
      <c r="K354" s="27" t="n">
        <f aca="false">MIN(F354,G354)</f>
        <v>-6.4186360042472</v>
      </c>
      <c r="L354" s="27" t="n">
        <f aca="false">AVERAGE(F354,G354)</f>
        <v>-6.39972921121892</v>
      </c>
      <c r="M354" s="27" t="n">
        <f aca="false">MAX(0,NG-L354)</f>
        <v>5.69972921121892</v>
      </c>
      <c r="N354" s="27" t="n">
        <f aca="false">MAX(0,GWL-K354)</f>
        <v>4.9186360042472</v>
      </c>
      <c r="O354" s="27" t="n">
        <f aca="false">MAX(0,NG-MAX(K354,GWL))</f>
        <v>0.8</v>
      </c>
      <c r="P354" s="27" t="n">
        <f aca="false">E354/2+WS+SLOPE_A*O354+SLOPE_B*N354</f>
        <v>13.0720736644972</v>
      </c>
      <c r="Q354" s="28" t="str">
        <f aca="false">IF(AND(P354&lt;J354,N354&lt;=MAXOC),"Open cut","Shoring")</f>
        <v>Shoring</v>
      </c>
      <c r="R354" s="27" t="n">
        <f aca="false">IF(Q354="Shoring",D354,0)</f>
        <v>9.99999999983242</v>
      </c>
      <c r="S354" s="27" t="n">
        <f aca="false">MAX(0,GWL-L354)</f>
        <v>4.89972921121892</v>
      </c>
      <c r="T354" s="27" t="n">
        <f aca="false">MAX(0,NG-MAX(L354,GWL))</f>
        <v>0.8</v>
      </c>
      <c r="U354" s="27" t="n">
        <f aca="false">E354+2*WS</f>
        <v>4.06960331200568</v>
      </c>
      <c r="V354" s="27" t="n">
        <f aca="false">IF(Q354="Shoring",D354*M354*U354,0)</f>
        <v>231.956368751233</v>
      </c>
      <c r="W354" s="27" t="n">
        <f aca="false">IF(Q354="Open cut",D354*(U354*M354+SLOPE_B*S354^2+2*SLOPE_B*S354*T354+SLOPE_A*T354^2),0)</f>
        <v>0</v>
      </c>
      <c r="X354" s="27" t="n">
        <f aca="false">IF(M354&gt;0,D354*(E354+2*SLABOVH)*SLAB,0)</f>
        <v>15.3480165597712</v>
      </c>
      <c r="Y354" s="27" t="n">
        <f aca="false">IF(M354&gt;0,D354*PI()*E354^2/4,0)</f>
        <v>33.6406286366485</v>
      </c>
      <c r="Z354" s="27" t="n">
        <f aca="false">IF(H354-E354&gt;=GWL,99,E354*(MAX(0,GWL-H354)*(GAM_S-GAM_W)+MAX(0,NG-MAX(H354,GWL))*GAM_D)/(GAM_W*PI()*E354^2/4))</f>
        <v>2.10955875581044</v>
      </c>
      <c r="AA354" s="27" t="n">
        <f aca="false">IF(I354-E354&gt;=GWL,99,E354*(MAX(0,GWL-I354)*(GAM_S-GAM_W)+MAX(0,NG-MAX(I354,GWL))*GAM_D)/(GAM_W*PI()*E354^2/4))</f>
        <v>2.09013712170346</v>
      </c>
      <c r="AB354" s="27" t="n">
        <f aca="false">IF(H354-E354&gt;=GWL,99,E354*(MAX(0,GWL-H354)*(GAM_S-GAM_W)+MAX(0,FL-MAX(H354,GWL))*GAM_D)/(GAM_W*PI()*E354^2/4))</f>
        <v>4.02856075430722</v>
      </c>
      <c r="AC354" s="27" t="n">
        <f aca="false">IF(I354-E354&gt;=GWL,99,E354*(MAX(0,GWL-I354)*(GAM_S-GAM_W)+MAX(0,FL-MAX(I354,GWL))*GAM_D)/(GAM_W*PI()*E354^2/4))</f>
        <v>4.00913912020024</v>
      </c>
    </row>
    <row r="355" customFormat="false" ht="15" hidden="false" customHeight="false" outlineLevel="0" collapsed="false">
      <c r="A355" s="25" t="s">
        <v>819</v>
      </c>
      <c r="B355" s="25" t="s">
        <v>831</v>
      </c>
      <c r="C355" s="25" t="s">
        <v>843</v>
      </c>
      <c r="D355" s="26" t="n">
        <v>9.99999999983242</v>
      </c>
      <c r="E355" s="26" t="n">
        <v>2.06960331200568</v>
      </c>
      <c r="F355" s="26" t="n">
        <v>-6.38082241819064</v>
      </c>
      <c r="G355" s="26" t="n">
        <v>-6.34300883213408</v>
      </c>
      <c r="H355" s="26" t="n">
        <v>-3.81121910618496</v>
      </c>
      <c r="I355" s="26" t="n">
        <v>-3.7734055201284</v>
      </c>
      <c r="J355" s="26" t="n">
        <v>18.86</v>
      </c>
      <c r="K355" s="27" t="n">
        <f aca="false">MIN(F355,G355)</f>
        <v>-6.38082241819064</v>
      </c>
      <c r="L355" s="27" t="n">
        <f aca="false">AVERAGE(F355,G355)</f>
        <v>-6.36191562516236</v>
      </c>
      <c r="M355" s="27" t="n">
        <f aca="false">MAX(0,NG-L355)</f>
        <v>5.66191562516236</v>
      </c>
      <c r="N355" s="27" t="n">
        <f aca="false">MAX(0,GWL-K355)</f>
        <v>4.88082241819064</v>
      </c>
      <c r="O355" s="27" t="n">
        <f aca="false">MAX(0,NG-MAX(K355,GWL))</f>
        <v>0.8</v>
      </c>
      <c r="P355" s="27" t="n">
        <f aca="false">E355/2+WS+SLOPE_A*O355+SLOPE_B*N355</f>
        <v>12.9964464923841</v>
      </c>
      <c r="Q355" s="28" t="str">
        <f aca="false">IF(AND(P355&lt;J355,N355&lt;=MAXOC),"Open cut","Shoring")</f>
        <v>Shoring</v>
      </c>
      <c r="R355" s="27" t="n">
        <f aca="false">IF(Q355="Shoring",D355,0)</f>
        <v>9.99999999983242</v>
      </c>
      <c r="S355" s="27" t="n">
        <f aca="false">MAX(0,GWL-L355)</f>
        <v>4.86191562516236</v>
      </c>
      <c r="T355" s="27" t="n">
        <f aca="false">MAX(0,NG-MAX(L355,GWL))</f>
        <v>0.8</v>
      </c>
      <c r="U355" s="27" t="n">
        <f aca="false">E355+2*WS</f>
        <v>4.06960331200568</v>
      </c>
      <c r="V355" s="27" t="n">
        <f aca="false">IF(Q355="Shoring",D355*M355*U355,0)</f>
        <v>230.417505800713</v>
      </c>
      <c r="W355" s="27" t="n">
        <f aca="false">IF(Q355="Open cut",D355*(U355*M355+SLOPE_B*S355^2+2*SLOPE_B*S355*T355+SLOPE_A*T355^2),0)</f>
        <v>0</v>
      </c>
      <c r="X355" s="27" t="n">
        <f aca="false">IF(M355&gt;0,D355*(E355+2*SLABOVH)*SLAB,0)</f>
        <v>15.3480165597712</v>
      </c>
      <c r="Y355" s="27" t="n">
        <f aca="false">IF(M355&gt;0,D355*PI()*E355^2/4,0)</f>
        <v>33.6406286366485</v>
      </c>
      <c r="Z355" s="27" t="n">
        <f aca="false">IF(H355-E355&gt;=GWL,99,E355*(MAX(0,GWL-H355)*(GAM_S-GAM_W)+MAX(0,NG-MAX(H355,GWL))*GAM_D)/(GAM_W*PI()*E355^2/4))</f>
        <v>2.09013712170346</v>
      </c>
      <c r="AA355" s="27" t="n">
        <f aca="false">IF(I355-E355&gt;=GWL,99,E355*(MAX(0,GWL-I355)*(GAM_S-GAM_W)+MAX(0,NG-MAX(I355,GWL))*GAM_D)/(GAM_W*PI()*E355^2/4))</f>
        <v>2.07071548759649</v>
      </c>
      <c r="AB355" s="27" t="n">
        <f aca="false">IF(H355-E355&gt;=GWL,99,E355*(MAX(0,GWL-H355)*(GAM_S-GAM_W)+MAX(0,FL-MAX(H355,GWL))*GAM_D)/(GAM_W*PI()*E355^2/4))</f>
        <v>4.00913912020024</v>
      </c>
      <c r="AC355" s="27" t="n">
        <f aca="false">IF(I355-E355&gt;=GWL,99,E355*(MAX(0,GWL-I355)*(GAM_S-GAM_W)+MAX(0,FL-MAX(I355,GWL))*GAM_D)/(GAM_W*PI()*E355^2/4))</f>
        <v>3.98971748609327</v>
      </c>
    </row>
    <row r="356" customFormat="false" ht="15" hidden="false" customHeight="false" outlineLevel="0" collapsed="false">
      <c r="A356" s="25" t="s">
        <v>819</v>
      </c>
      <c r="B356" s="25" t="s">
        <v>831</v>
      </c>
      <c r="C356" s="25" t="s">
        <v>844</v>
      </c>
      <c r="D356" s="26" t="n">
        <v>1.30000000053112</v>
      </c>
      <c r="E356" s="26" t="n">
        <v>2.06960331200568</v>
      </c>
      <c r="F356" s="26" t="n">
        <v>-6.34300883213408</v>
      </c>
      <c r="G356" s="26" t="n">
        <v>-6.33809306594672</v>
      </c>
      <c r="H356" s="26" t="n">
        <v>-3.7734055201284</v>
      </c>
      <c r="I356" s="26" t="n">
        <v>-3.76848975394104</v>
      </c>
      <c r="J356" s="26" t="n">
        <v>18.66</v>
      </c>
      <c r="K356" s="27" t="n">
        <f aca="false">MIN(F356,G356)</f>
        <v>-6.34300883213408</v>
      </c>
      <c r="L356" s="27" t="n">
        <f aca="false">AVERAGE(F356,G356)</f>
        <v>-6.3405509490404</v>
      </c>
      <c r="M356" s="27" t="n">
        <f aca="false">MAX(0,NG-L356)</f>
        <v>5.6405509490404</v>
      </c>
      <c r="N356" s="27" t="n">
        <f aca="false">MAX(0,GWL-K356)</f>
        <v>4.84300883213408</v>
      </c>
      <c r="O356" s="27" t="n">
        <f aca="false">MAX(0,NG-MAX(K356,GWL))</f>
        <v>0.8</v>
      </c>
      <c r="P356" s="27" t="n">
        <f aca="false">E356/2+WS+SLOPE_A*O356+SLOPE_B*N356</f>
        <v>12.920819320271</v>
      </c>
      <c r="Q356" s="28" t="str">
        <f aca="false">IF(AND(P356&lt;J356,N356&lt;=MAXOC),"Open cut","Shoring")</f>
        <v>Shoring</v>
      </c>
      <c r="R356" s="27" t="n">
        <f aca="false">IF(Q356="Shoring",D356,0)</f>
        <v>1.30000000053112</v>
      </c>
      <c r="S356" s="27" t="n">
        <f aca="false">MAX(0,GWL-L356)</f>
        <v>4.8405509490404</v>
      </c>
      <c r="T356" s="27" t="n">
        <f aca="false">MAX(0,NG-MAX(L356,GWL))</f>
        <v>0.8</v>
      </c>
      <c r="U356" s="27" t="n">
        <f aca="false">E356+2*WS</f>
        <v>4.06960331200568</v>
      </c>
      <c r="V356" s="27" t="n">
        <f aca="false">IF(Q356="Shoring",D356*M356*U356,0)</f>
        <v>29.8412462830687</v>
      </c>
      <c r="W356" s="27" t="n">
        <f aca="false">IF(Q356="Open cut",D356*(U356*M356+SLOPE_B*S356^2+2*SLOPE_B*S356*T356+SLOPE_A*T356^2),0)</f>
        <v>0</v>
      </c>
      <c r="X356" s="27" t="n">
        <f aca="false">IF(M356&gt;0,D356*(E356+2*SLABOVH)*SLAB,0)</f>
        <v>1.99524215361885</v>
      </c>
      <c r="Y356" s="27" t="n">
        <f aca="false">IF(M356&gt;0,D356*PI()*E356^2/4,0)</f>
        <v>4.3732817246243</v>
      </c>
      <c r="Z356" s="27" t="n">
        <f aca="false">IF(H356-E356&gt;=GWL,99,E356*(MAX(0,GWL-H356)*(GAM_S-GAM_W)+MAX(0,NG-MAX(H356,GWL))*GAM_D)/(GAM_W*PI()*E356^2/4))</f>
        <v>2.07071548759649</v>
      </c>
      <c r="AA356" s="27" t="n">
        <f aca="false">IF(I356-E356&gt;=GWL,99,E356*(MAX(0,GWL-I356)*(GAM_S-GAM_W)+MAX(0,NG-MAX(I356,GWL))*GAM_D)/(GAM_W*PI()*E356^2/4))</f>
        <v>2.06819067516258</v>
      </c>
      <c r="AB356" s="27" t="n">
        <f aca="false">IF(H356-E356&gt;=GWL,99,E356*(MAX(0,GWL-H356)*(GAM_S-GAM_W)+MAX(0,FL-MAX(H356,GWL))*GAM_D)/(GAM_W*PI()*E356^2/4))</f>
        <v>3.98971748609327</v>
      </c>
      <c r="AC356" s="27" t="n">
        <f aca="false">IF(I356-E356&gt;=GWL,99,E356*(MAX(0,GWL-I356)*(GAM_S-GAM_W)+MAX(0,FL-MAX(I356,GWL))*GAM_D)/(GAM_W*PI()*E356^2/4))</f>
        <v>3.98719267365936</v>
      </c>
    </row>
    <row r="357" customFormat="false" ht="15" hidden="false" customHeight="false" outlineLevel="0" collapsed="false">
      <c r="A357" s="25" t="s">
        <v>819</v>
      </c>
      <c r="B357" s="25" t="s">
        <v>845</v>
      </c>
      <c r="C357" s="25" t="s">
        <v>846</v>
      </c>
      <c r="D357" s="26" t="n">
        <v>8.69999999930131</v>
      </c>
      <c r="E357" s="26" t="n">
        <v>2.06960331200568</v>
      </c>
      <c r="F357" s="26" t="n">
        <v>-6.33809306594672</v>
      </c>
      <c r="G357" s="26" t="n">
        <v>-6.30519524607751</v>
      </c>
      <c r="H357" s="26" t="n">
        <v>-3.76848975394104</v>
      </c>
      <c r="I357" s="26" t="n">
        <v>-3.73559193407183</v>
      </c>
      <c r="J357" s="26" t="n">
        <v>18.2</v>
      </c>
      <c r="K357" s="27" t="n">
        <f aca="false">MIN(F357,G357)</f>
        <v>-6.33809306594672</v>
      </c>
      <c r="L357" s="27" t="n">
        <f aca="false">AVERAGE(F357,G357)</f>
        <v>-6.32164415601212</v>
      </c>
      <c r="M357" s="27" t="n">
        <f aca="false">MAX(0,NG-L357)</f>
        <v>5.62164415601212</v>
      </c>
      <c r="N357" s="27" t="n">
        <f aca="false">MAX(0,GWL-K357)</f>
        <v>4.83809306594672</v>
      </c>
      <c r="O357" s="27" t="n">
        <f aca="false">MAX(0,NG-MAX(K357,GWL))</f>
        <v>0.8</v>
      </c>
      <c r="P357" s="27" t="n">
        <f aca="false">E357/2+WS+SLOPE_A*O357+SLOPE_B*N357</f>
        <v>12.9109877878963</v>
      </c>
      <c r="Q357" s="28" t="str">
        <f aca="false">IF(AND(P357&lt;J357,N357&lt;=MAXOC),"Open cut","Shoring")</f>
        <v>Shoring</v>
      </c>
      <c r="R357" s="27" t="n">
        <f aca="false">IF(Q357="Shoring",D357,0)</f>
        <v>8.69999999930131</v>
      </c>
      <c r="S357" s="27" t="n">
        <f aca="false">MAX(0,GWL-L357)</f>
        <v>4.82164415601212</v>
      </c>
      <c r="T357" s="27" t="n">
        <f aca="false">MAX(0,NG-MAX(L357,GWL))</f>
        <v>0.8</v>
      </c>
      <c r="U357" s="27" t="n">
        <f aca="false">E357+2*WS</f>
        <v>4.06960331200568</v>
      </c>
      <c r="V357" s="27" t="n">
        <f aca="false">IF(Q357="Shoring",D357*M357*U357,0)</f>
        <v>199.037396567167</v>
      </c>
      <c r="W357" s="27" t="n">
        <f aca="false">IF(Q357="Open cut",D357*(U357*M357+SLOPE_B*S357^2+2*SLOPE_B*S357*T357+SLOPE_A*T357^2),0)</f>
        <v>0</v>
      </c>
      <c r="X357" s="27" t="n">
        <f aca="false">IF(M357&gt;0,D357*(E357+2*SLABOVH)*SLAB,0)</f>
        <v>13.3527744061524</v>
      </c>
      <c r="Y357" s="27" t="n">
        <f aca="false">IF(M357&gt;0,D357*PI()*E357^2/4,0)</f>
        <v>29.2673469120242</v>
      </c>
      <c r="Z357" s="27" t="n">
        <f aca="false">IF(H357-E357&gt;=GWL,99,E357*(MAX(0,GWL-H357)*(GAM_S-GAM_W)+MAX(0,NG-MAX(H357,GWL))*GAM_D)/(GAM_W*PI()*E357^2/4))</f>
        <v>2.06819067516258</v>
      </c>
      <c r="AA357" s="27" t="n">
        <f aca="false">IF(I357-E357&gt;=GWL,99,E357*(MAX(0,GWL-I357)*(GAM_S-GAM_W)+MAX(0,NG-MAX(I357,GWL))*GAM_D)/(GAM_W*PI()*E357^2/4))</f>
        <v>2.05129385348951</v>
      </c>
      <c r="AB357" s="27" t="n">
        <f aca="false">IF(H357-E357&gt;=GWL,99,E357*(MAX(0,GWL-H357)*(GAM_S-GAM_W)+MAX(0,FL-MAX(H357,GWL))*GAM_D)/(GAM_W*PI()*E357^2/4))</f>
        <v>3.98719267365936</v>
      </c>
      <c r="AC357" s="27" t="n">
        <f aca="false">IF(I357-E357&gt;=GWL,99,E357*(MAX(0,GWL-I357)*(GAM_S-GAM_W)+MAX(0,FL-MAX(I357,GWL))*GAM_D)/(GAM_W*PI()*E357^2/4))</f>
        <v>3.97029585198629</v>
      </c>
    </row>
    <row r="358" customFormat="false" ht="15" hidden="false" customHeight="false" outlineLevel="0" collapsed="false">
      <c r="A358" s="25" t="s">
        <v>819</v>
      </c>
      <c r="B358" s="25" t="s">
        <v>845</v>
      </c>
      <c r="C358" s="25" t="s">
        <v>847</v>
      </c>
      <c r="D358" s="26" t="n">
        <v>9.99999999989063</v>
      </c>
      <c r="E358" s="26" t="n">
        <v>2.06960331200568</v>
      </c>
      <c r="F358" s="26" t="n">
        <v>-6.30519524607751</v>
      </c>
      <c r="G358" s="26" t="n">
        <v>-6.26738166002095</v>
      </c>
      <c r="H358" s="26" t="n">
        <v>-3.73559193407183</v>
      </c>
      <c r="I358" s="26" t="n">
        <v>-3.69777834801527</v>
      </c>
      <c r="J358" s="26" t="n">
        <v>15.97</v>
      </c>
      <c r="K358" s="27" t="n">
        <f aca="false">MIN(F358,G358)</f>
        <v>-6.30519524607751</v>
      </c>
      <c r="L358" s="27" t="n">
        <f aca="false">AVERAGE(F358,G358)</f>
        <v>-6.28628845304923</v>
      </c>
      <c r="M358" s="27" t="n">
        <f aca="false">MAX(0,NG-L358)</f>
        <v>5.58628845304923</v>
      </c>
      <c r="N358" s="27" t="n">
        <f aca="false">MAX(0,GWL-K358)</f>
        <v>4.80519524607751</v>
      </c>
      <c r="O358" s="27" t="n">
        <f aca="false">MAX(0,NG-MAX(K358,GWL))</f>
        <v>0.8</v>
      </c>
      <c r="P358" s="27" t="n">
        <f aca="false">E358/2+WS+SLOPE_A*O358+SLOPE_B*N358</f>
        <v>12.8451921481579</v>
      </c>
      <c r="Q358" s="28" t="str">
        <f aca="false">IF(AND(P358&lt;J358,N358&lt;=MAXOC),"Open cut","Shoring")</f>
        <v>Shoring</v>
      </c>
      <c r="R358" s="27" t="n">
        <f aca="false">IF(Q358="Shoring",D358,0)</f>
        <v>9.99999999989063</v>
      </c>
      <c r="S358" s="27" t="n">
        <f aca="false">MAX(0,GWL-L358)</f>
        <v>4.78628845304923</v>
      </c>
      <c r="T358" s="27" t="n">
        <f aca="false">MAX(0,NG-MAX(L358,GWL))</f>
        <v>0.8</v>
      </c>
      <c r="U358" s="27" t="n">
        <f aca="false">E358+2*WS</f>
        <v>4.06960331200568</v>
      </c>
      <c r="V358" s="27" t="n">
        <f aca="false">IF(Q358="Shoring",D358*M358*U358,0)</f>
        <v>227.339779900996</v>
      </c>
      <c r="W358" s="27" t="n">
        <f aca="false">IF(Q358="Open cut",D358*(U358*M358+SLOPE_B*S358^2+2*SLOPE_B*S358*T358+SLOPE_A*T358^2),0)</f>
        <v>0</v>
      </c>
      <c r="X358" s="27" t="n">
        <f aca="false">IF(M358&gt;0,D358*(E358+2*SLABOVH)*SLAB,0)</f>
        <v>15.3480165598605</v>
      </c>
      <c r="Y358" s="27" t="n">
        <f aca="false">IF(M358&gt;0,D358*PI()*E358^2/4,0)</f>
        <v>33.6406286368443</v>
      </c>
      <c r="Z358" s="27" t="n">
        <f aca="false">IF(H358-E358&gt;=GWL,99,E358*(MAX(0,GWL-H358)*(GAM_S-GAM_W)+MAX(0,NG-MAX(H358,GWL))*GAM_D)/(GAM_W*PI()*E358^2/4))</f>
        <v>2.05129385348951</v>
      </c>
      <c r="AA358" s="27" t="n">
        <f aca="false">IF(I358-E358&gt;=GWL,99,E358*(MAX(0,GWL-I358)*(GAM_S-GAM_W)+MAX(0,NG-MAX(I358,GWL))*GAM_D)/(GAM_W*PI()*E358^2/4))</f>
        <v>2.03187221938254</v>
      </c>
      <c r="AB358" s="27" t="n">
        <f aca="false">IF(H358-E358&gt;=GWL,99,E358*(MAX(0,GWL-H358)*(GAM_S-GAM_W)+MAX(0,FL-MAX(H358,GWL))*GAM_D)/(GAM_W*PI()*E358^2/4))</f>
        <v>3.97029585198629</v>
      </c>
      <c r="AC358" s="27" t="n">
        <f aca="false">IF(I358-E358&gt;=GWL,99,E358*(MAX(0,GWL-I358)*(GAM_S-GAM_W)+MAX(0,FL-MAX(I358,GWL))*GAM_D)/(GAM_W*PI()*E358^2/4))</f>
        <v>3.95087421787932</v>
      </c>
    </row>
    <row r="359" customFormat="false" ht="15" hidden="false" customHeight="false" outlineLevel="0" collapsed="false">
      <c r="A359" s="25" t="s">
        <v>819</v>
      </c>
      <c r="B359" s="25" t="s">
        <v>845</v>
      </c>
      <c r="C359" s="25" t="s">
        <v>848</v>
      </c>
      <c r="D359" s="26" t="n">
        <v>10.000000000639</v>
      </c>
      <c r="E359" s="26" t="n">
        <v>2.06960331200568</v>
      </c>
      <c r="F359" s="26" t="n">
        <v>-6.26738166002095</v>
      </c>
      <c r="G359" s="26" t="n">
        <v>-6.22956807396439</v>
      </c>
      <c r="H359" s="26" t="n">
        <v>-3.69777834801527</v>
      </c>
      <c r="I359" s="26" t="n">
        <v>-3.65996476195871</v>
      </c>
      <c r="J359" s="26" t="n">
        <v>6.04</v>
      </c>
      <c r="K359" s="27" t="n">
        <f aca="false">MIN(F359,G359)</f>
        <v>-6.26738166002095</v>
      </c>
      <c r="L359" s="27" t="n">
        <f aca="false">AVERAGE(F359,G359)</f>
        <v>-6.24847486699267</v>
      </c>
      <c r="M359" s="27" t="n">
        <f aca="false">MAX(0,NG-L359)</f>
        <v>5.54847486699267</v>
      </c>
      <c r="N359" s="27" t="n">
        <f aca="false">MAX(0,GWL-K359)</f>
        <v>4.76738166002095</v>
      </c>
      <c r="O359" s="27" t="n">
        <f aca="false">MAX(0,NG-MAX(K359,GWL))</f>
        <v>0.8</v>
      </c>
      <c r="P359" s="27" t="n">
        <f aca="false">E359/2+WS+SLOPE_A*O359+SLOPE_B*N359</f>
        <v>12.7695649760447</v>
      </c>
      <c r="Q359" s="28" t="str">
        <f aca="false">IF(AND(P359&lt;J359,N359&lt;=MAXOC),"Open cut","Shoring")</f>
        <v>Shoring</v>
      </c>
      <c r="R359" s="27" t="n">
        <f aca="false">IF(Q359="Shoring",D359,0)</f>
        <v>10.000000000639</v>
      </c>
      <c r="S359" s="27" t="n">
        <f aca="false">MAX(0,GWL-L359)</f>
        <v>4.74847486699267</v>
      </c>
      <c r="T359" s="27" t="n">
        <f aca="false">MAX(0,NG-MAX(L359,GWL))</f>
        <v>0.8</v>
      </c>
      <c r="U359" s="27" t="n">
        <f aca="false">E359+2*WS</f>
        <v>4.06960331200568</v>
      </c>
      <c r="V359" s="27" t="n">
        <f aca="false">IF(Q359="Shoring",D359*M359*U359,0)</f>
        <v>225.800916967364</v>
      </c>
      <c r="W359" s="27" t="n">
        <f aca="false">IF(Q359="Open cut",D359*(U359*M359+SLOPE_B*S359^2+2*SLOPE_B*S359*T359+SLOPE_A*T359^2),0)</f>
        <v>0</v>
      </c>
      <c r="X359" s="27" t="n">
        <f aca="false">IF(M359&gt;0,D359*(E359+2*SLABOVH)*SLAB,0)</f>
        <v>15.3480165610091</v>
      </c>
      <c r="Y359" s="27" t="n">
        <f aca="false">IF(M359&gt;0,D359*PI()*E359^2/4,0)</f>
        <v>33.6406286393618</v>
      </c>
      <c r="Z359" s="27" t="n">
        <f aca="false">IF(H359-E359&gt;=GWL,99,E359*(MAX(0,GWL-H359)*(GAM_S-GAM_W)+MAX(0,NG-MAX(H359,GWL))*GAM_D)/(GAM_W*PI()*E359^2/4))</f>
        <v>2.03187221938254</v>
      </c>
      <c r="AA359" s="27" t="n">
        <f aca="false">IF(I359-E359&gt;=GWL,99,E359*(MAX(0,GWL-I359)*(GAM_S-GAM_W)+MAX(0,NG-MAX(I359,GWL))*GAM_D)/(GAM_W*PI()*E359^2/4))</f>
        <v>2.01245058527556</v>
      </c>
      <c r="AB359" s="27" t="n">
        <f aca="false">IF(H359-E359&gt;=GWL,99,E359*(MAX(0,GWL-H359)*(GAM_S-GAM_W)+MAX(0,FL-MAX(H359,GWL))*GAM_D)/(GAM_W*PI()*E359^2/4))</f>
        <v>3.95087421787932</v>
      </c>
      <c r="AC359" s="27" t="n">
        <f aca="false">IF(I359-E359&gt;=GWL,99,E359*(MAX(0,GWL-I359)*(GAM_S-GAM_W)+MAX(0,FL-MAX(I359,GWL))*GAM_D)/(GAM_W*PI()*E359^2/4))</f>
        <v>3.93145258377234</v>
      </c>
    </row>
    <row r="360" customFormat="false" ht="15" hidden="false" customHeight="false" outlineLevel="0" collapsed="false">
      <c r="A360" s="25" t="s">
        <v>819</v>
      </c>
      <c r="B360" s="25" t="s">
        <v>845</v>
      </c>
      <c r="C360" s="25" t="s">
        <v>849</v>
      </c>
      <c r="D360" s="26" t="n">
        <v>9.99999999983242</v>
      </c>
      <c r="E360" s="26" t="n">
        <v>2.06960331200568</v>
      </c>
      <c r="F360" s="26" t="n">
        <v>-6.22956807396439</v>
      </c>
      <c r="G360" s="26" t="n">
        <v>-6.19175448790782</v>
      </c>
      <c r="H360" s="26" t="n">
        <v>-3.65996476195871</v>
      </c>
      <c r="I360" s="26" t="n">
        <v>-3.62215117590215</v>
      </c>
      <c r="J360" s="26" t="n">
        <v>0.43</v>
      </c>
      <c r="K360" s="27" t="n">
        <f aca="false">MIN(F360,G360)</f>
        <v>-6.22956807396439</v>
      </c>
      <c r="L360" s="27" t="n">
        <f aca="false">AVERAGE(F360,G360)</f>
        <v>-6.21066128093611</v>
      </c>
      <c r="M360" s="27" t="n">
        <f aca="false">MAX(0,NG-L360)</f>
        <v>5.5106612809361</v>
      </c>
      <c r="N360" s="27" t="n">
        <f aca="false">MAX(0,GWL-K360)</f>
        <v>4.72956807396439</v>
      </c>
      <c r="O360" s="27" t="n">
        <f aca="false">MAX(0,NG-MAX(K360,GWL))</f>
        <v>0.8</v>
      </c>
      <c r="P360" s="27" t="n">
        <f aca="false">E360/2+WS+SLOPE_A*O360+SLOPE_B*N360</f>
        <v>12.6939378039316</v>
      </c>
      <c r="Q360" s="28" t="str">
        <f aca="false">IF(AND(P360&lt;J360,N360&lt;=MAXOC),"Open cut","Shoring")</f>
        <v>Shoring</v>
      </c>
      <c r="R360" s="27" t="n">
        <f aca="false">IF(Q360="Shoring",D360,0)</f>
        <v>9.99999999983242</v>
      </c>
      <c r="S360" s="27" t="n">
        <f aca="false">MAX(0,GWL-L360)</f>
        <v>4.71066128093611</v>
      </c>
      <c r="T360" s="27" t="n">
        <f aca="false">MAX(0,NG-MAX(L360,GWL))</f>
        <v>0.8</v>
      </c>
      <c r="U360" s="27" t="n">
        <f aca="false">E360+2*WS</f>
        <v>4.06960331200568</v>
      </c>
      <c r="V360" s="27" t="n">
        <f aca="false">IF(Q360="Shoring",D360*M360*U360,0)</f>
        <v>224.262053998632</v>
      </c>
      <c r="W360" s="27" t="n">
        <f aca="false">IF(Q360="Open cut",D360*(U360*M360+SLOPE_B*S360^2+2*SLOPE_B*S360*T360+SLOPE_A*T360^2),0)</f>
        <v>0</v>
      </c>
      <c r="X360" s="27" t="n">
        <f aca="false">IF(M360&gt;0,D360*(E360+2*SLABOVH)*SLAB,0)</f>
        <v>15.3480165597712</v>
      </c>
      <c r="Y360" s="27" t="n">
        <f aca="false">IF(M360&gt;0,D360*PI()*E360^2/4,0)</f>
        <v>33.6406286366485</v>
      </c>
      <c r="Z360" s="27" t="n">
        <f aca="false">IF(H360-E360&gt;=GWL,99,E360*(MAX(0,GWL-H360)*(GAM_S-GAM_W)+MAX(0,NG-MAX(H360,GWL))*GAM_D)/(GAM_W*PI()*E360^2/4))</f>
        <v>2.01245058527556</v>
      </c>
      <c r="AA360" s="27" t="n">
        <f aca="false">IF(I360-E360&gt;=GWL,99,E360*(MAX(0,GWL-I360)*(GAM_S-GAM_W)+MAX(0,NG-MAX(I360,GWL))*GAM_D)/(GAM_W*PI()*E360^2/4))</f>
        <v>1.99302895116859</v>
      </c>
      <c r="AB360" s="27" t="n">
        <f aca="false">IF(H360-E360&gt;=GWL,99,E360*(MAX(0,GWL-H360)*(GAM_S-GAM_W)+MAX(0,FL-MAX(H360,GWL))*GAM_D)/(GAM_W*PI()*E360^2/4))</f>
        <v>3.93145258377234</v>
      </c>
      <c r="AC360" s="27" t="n">
        <f aca="false">IF(I360-E360&gt;=GWL,99,E360*(MAX(0,GWL-I360)*(GAM_S-GAM_W)+MAX(0,FL-MAX(I360,GWL))*GAM_D)/(GAM_W*PI()*E360^2/4))</f>
        <v>3.91203094966537</v>
      </c>
    </row>
    <row r="361" customFormat="false" ht="15" hidden="false" customHeight="false" outlineLevel="0" collapsed="false">
      <c r="A361" s="25" t="s">
        <v>819</v>
      </c>
      <c r="B361" s="25" t="s">
        <v>845</v>
      </c>
      <c r="C361" s="25" t="s">
        <v>850</v>
      </c>
      <c r="D361" s="26" t="n">
        <v>3.40000000050769</v>
      </c>
      <c r="E361" s="26" t="n">
        <v>2.06960331200568</v>
      </c>
      <c r="F361" s="26" t="n">
        <v>-6.19175448790782</v>
      </c>
      <c r="G361" s="26" t="n">
        <v>-6.17889786864859</v>
      </c>
      <c r="H361" s="26" t="n">
        <v>-3.62215117590215</v>
      </c>
      <c r="I361" s="26" t="n">
        <v>-3.60929455664291</v>
      </c>
      <c r="J361" s="26" t="n">
        <v>2.6</v>
      </c>
      <c r="K361" s="27" t="n">
        <f aca="false">MIN(F361,G361)</f>
        <v>-6.19175448790782</v>
      </c>
      <c r="L361" s="27" t="n">
        <f aca="false">AVERAGE(F361,G361)</f>
        <v>-6.18532617827821</v>
      </c>
      <c r="M361" s="27" t="n">
        <f aca="false">MAX(0,NG-L361)</f>
        <v>5.48532617827821</v>
      </c>
      <c r="N361" s="27" t="n">
        <f aca="false">MAX(0,GWL-K361)</f>
        <v>4.69175448790782</v>
      </c>
      <c r="O361" s="27" t="n">
        <f aca="false">MAX(0,NG-MAX(K361,GWL))</f>
        <v>0.8</v>
      </c>
      <c r="P361" s="27" t="n">
        <f aca="false">E361/2+WS+SLOPE_A*O361+SLOPE_B*N361</f>
        <v>12.6183106318185</v>
      </c>
      <c r="Q361" s="28" t="str">
        <f aca="false">IF(AND(P361&lt;J361,N361&lt;=MAXOC),"Open cut","Shoring")</f>
        <v>Shoring</v>
      </c>
      <c r="R361" s="27" t="n">
        <f aca="false">IF(Q361="Shoring",D361,0)</f>
        <v>3.40000000050769</v>
      </c>
      <c r="S361" s="27" t="n">
        <f aca="false">MAX(0,GWL-L361)</f>
        <v>4.68532617827821</v>
      </c>
      <c r="T361" s="27" t="n">
        <f aca="false">MAX(0,NG-MAX(L361,GWL))</f>
        <v>0.8</v>
      </c>
      <c r="U361" s="27" t="n">
        <f aca="false">E361+2*WS</f>
        <v>4.06960331200568</v>
      </c>
      <c r="V361" s="27" t="n">
        <f aca="false">IF(Q361="Shoring",D361*M361*U361,0)</f>
        <v>75.8985453920116</v>
      </c>
      <c r="W361" s="27" t="n">
        <f aca="false">IF(Q361="Open cut",D361*(U361*M361+SLOPE_B*S361^2+2*SLOPE_B*S361*T361+SLOPE_A*T361^2),0)</f>
        <v>0</v>
      </c>
      <c r="X361" s="27" t="n">
        <f aca="false">IF(M361&gt;0,D361*(E361+2*SLABOVH)*SLAB,0)</f>
        <v>5.21832563118886</v>
      </c>
      <c r="Y361" s="27" t="n">
        <f aca="false">IF(M361&gt;0,D361*PI()*E361^2/4,0)</f>
        <v>11.4378137383601</v>
      </c>
      <c r="Z361" s="27" t="n">
        <f aca="false">IF(H361-E361&gt;=GWL,99,E361*(MAX(0,GWL-H361)*(GAM_S-GAM_W)+MAX(0,NG-MAX(H361,GWL))*GAM_D)/(GAM_W*PI()*E361^2/4))</f>
        <v>1.99302895116859</v>
      </c>
      <c r="AA361" s="27" t="n">
        <f aca="false">IF(I361-E361&gt;=GWL,99,E361*(MAX(0,GWL-I361)*(GAM_S-GAM_W)+MAX(0,NG-MAX(I361,GWL))*GAM_D)/(GAM_W*PI()*E361^2/4))</f>
        <v>1.98642559557221</v>
      </c>
      <c r="AB361" s="27" t="n">
        <f aca="false">IF(H361-E361&gt;=GWL,99,E361*(MAX(0,GWL-H361)*(GAM_S-GAM_W)+MAX(0,FL-MAX(H361,GWL))*GAM_D)/(GAM_W*PI()*E361^2/4))</f>
        <v>3.91203094966537</v>
      </c>
      <c r="AC361" s="27" t="n">
        <f aca="false">IF(I361-E361&gt;=GWL,99,E361*(MAX(0,GWL-I361)*(GAM_S-GAM_W)+MAX(0,FL-MAX(I361,GWL))*GAM_D)/(GAM_W*PI()*E361^2/4))</f>
        <v>3.90542759406899</v>
      </c>
    </row>
    <row r="362" customFormat="false" ht="15" hidden="false" customHeight="false" outlineLevel="0" collapsed="false">
      <c r="A362" s="25" t="s">
        <v>819</v>
      </c>
      <c r="B362" s="25" t="s">
        <v>851</v>
      </c>
      <c r="C362" s="25" t="s">
        <v>852</v>
      </c>
      <c r="D362" s="26" t="n">
        <v>6.59999999932473</v>
      </c>
      <c r="E362" s="26" t="n">
        <v>2.06960331200568</v>
      </c>
      <c r="F362" s="26" t="n">
        <v>-6.17889786864859</v>
      </c>
      <c r="G362" s="26" t="n">
        <v>-6.15394090185126</v>
      </c>
      <c r="H362" s="26" t="n">
        <v>-3.60929455664291</v>
      </c>
      <c r="I362" s="26" t="n">
        <v>-3.58433758984558</v>
      </c>
      <c r="J362" s="26" t="n">
        <v>5.44</v>
      </c>
      <c r="K362" s="27" t="n">
        <f aca="false">MIN(F362,G362)</f>
        <v>-6.17889786864859</v>
      </c>
      <c r="L362" s="27" t="n">
        <f aca="false">AVERAGE(F362,G362)</f>
        <v>-6.16641938524993</v>
      </c>
      <c r="M362" s="27" t="n">
        <f aca="false">MAX(0,NG-L362)</f>
        <v>5.46641938524993</v>
      </c>
      <c r="N362" s="27" t="n">
        <f aca="false">MAX(0,GWL-K362)</f>
        <v>4.67889786864859</v>
      </c>
      <c r="O362" s="27" t="n">
        <f aca="false">MAX(0,NG-MAX(K362,GWL))</f>
        <v>0.8</v>
      </c>
      <c r="P362" s="27" t="n">
        <f aca="false">E362/2+WS+SLOPE_A*O362+SLOPE_B*N362</f>
        <v>12.5925973933</v>
      </c>
      <c r="Q362" s="28" t="str">
        <f aca="false">IF(AND(P362&lt;J362,N362&lt;=MAXOC),"Open cut","Shoring")</f>
        <v>Shoring</v>
      </c>
      <c r="R362" s="27" t="n">
        <f aca="false">IF(Q362="Shoring",D362,0)</f>
        <v>6.59999999932473</v>
      </c>
      <c r="S362" s="27" t="n">
        <f aca="false">MAX(0,GWL-L362)</f>
        <v>4.66641938524993</v>
      </c>
      <c r="T362" s="27" t="n">
        <f aca="false">MAX(0,NG-MAX(L362,GWL))</f>
        <v>0.8</v>
      </c>
      <c r="U362" s="27" t="n">
        <f aca="false">E362+2*WS</f>
        <v>4.06960331200568</v>
      </c>
      <c r="V362" s="27" t="n">
        <f aca="false">IF(Q362="Shoring",D362*M362*U362,0)</f>
        <v>146.824645656144</v>
      </c>
      <c r="W362" s="27" t="n">
        <f aca="false">IF(Q362="Open cut",D362*(U362*M362+SLOPE_B*S362^2+2*SLOPE_B*S362*T362+SLOPE_A*T362^2),0)</f>
        <v>0</v>
      </c>
      <c r="X362" s="27" t="n">
        <f aca="false">IF(M362&gt;0,D362*(E362+2*SLABOVH)*SLAB,0)</f>
        <v>10.1296909285823</v>
      </c>
      <c r="Y362" s="27" t="n">
        <f aca="false">IF(M362&gt;0,D362*PI()*E362^2/4,0)</f>
        <v>22.2028148982884</v>
      </c>
      <c r="Z362" s="27" t="n">
        <f aca="false">IF(H362-E362&gt;=GWL,99,E362*(MAX(0,GWL-H362)*(GAM_S-GAM_W)+MAX(0,NG-MAX(H362,GWL))*GAM_D)/(GAM_W*PI()*E362^2/4))</f>
        <v>1.98642559557221</v>
      </c>
      <c r="AA362" s="27" t="n">
        <f aca="false">IF(I362-E362&gt;=GWL,99,E362*(MAX(0,GWL-I362)*(GAM_S-GAM_W)+MAX(0,NG-MAX(I362,GWL))*GAM_D)/(GAM_W*PI()*E362^2/4))</f>
        <v>1.97360731706161</v>
      </c>
      <c r="AB362" s="27" t="n">
        <f aca="false">IF(H362-E362&gt;=GWL,99,E362*(MAX(0,GWL-H362)*(GAM_S-GAM_W)+MAX(0,FL-MAX(H362,GWL))*GAM_D)/(GAM_W*PI()*E362^2/4))</f>
        <v>3.90542759406899</v>
      </c>
      <c r="AC362" s="27" t="n">
        <f aca="false">IF(I362-E362&gt;=GWL,99,E362*(MAX(0,GWL-I362)*(GAM_S-GAM_W)+MAX(0,FL-MAX(I362,GWL))*GAM_D)/(GAM_W*PI()*E362^2/4))</f>
        <v>3.89260931555839</v>
      </c>
    </row>
    <row r="363" customFormat="false" ht="15" hidden="false" customHeight="false" outlineLevel="0" collapsed="false">
      <c r="A363" s="25" t="s">
        <v>819</v>
      </c>
      <c r="B363" s="25" t="s">
        <v>851</v>
      </c>
      <c r="C363" s="25" t="s">
        <v>853</v>
      </c>
      <c r="D363" s="26" t="n">
        <v>9.46465267678245</v>
      </c>
      <c r="E363" s="26" t="n">
        <v>2.06960331200568</v>
      </c>
      <c r="F363" s="26" t="n">
        <v>-6.15394090185126</v>
      </c>
      <c r="G363" s="26" t="n">
        <v>-6.11815165600284</v>
      </c>
      <c r="H363" s="26" t="n">
        <v>-3.58433758984558</v>
      </c>
      <c r="I363" s="26" t="n">
        <v>-3.54854834399716</v>
      </c>
      <c r="J363" s="26" t="n">
        <v>10.63</v>
      </c>
      <c r="K363" s="27" t="n">
        <f aca="false">MIN(F363,G363)</f>
        <v>-6.15394090185126</v>
      </c>
      <c r="L363" s="27" t="n">
        <f aca="false">AVERAGE(F363,G363)</f>
        <v>-6.13604627892705</v>
      </c>
      <c r="M363" s="27" t="n">
        <f aca="false">MAX(0,NG-L363)</f>
        <v>5.43604627892705</v>
      </c>
      <c r="N363" s="27" t="n">
        <f aca="false">MAX(0,GWL-K363)</f>
        <v>4.65394090185126</v>
      </c>
      <c r="O363" s="27" t="n">
        <f aca="false">MAX(0,NG-MAX(K363,GWL))</f>
        <v>0.8</v>
      </c>
      <c r="P363" s="27" t="n">
        <f aca="false">E363/2+WS+SLOPE_A*O363+SLOPE_B*N363</f>
        <v>12.5426834597054</v>
      </c>
      <c r="Q363" s="28" t="str">
        <f aca="false">IF(AND(P363&lt;J363,N363&lt;=MAXOC),"Open cut","Shoring")</f>
        <v>Shoring</v>
      </c>
      <c r="R363" s="27" t="n">
        <f aca="false">IF(Q363="Shoring",D363,0)</f>
        <v>9.46465267678245</v>
      </c>
      <c r="S363" s="27" t="n">
        <f aca="false">MAX(0,GWL-L363)</f>
        <v>4.63604627892705</v>
      </c>
      <c r="T363" s="27" t="n">
        <f aca="false">MAX(0,NG-MAX(L363,GWL))</f>
        <v>0.8</v>
      </c>
      <c r="U363" s="27" t="n">
        <f aca="false">E363+2*WS</f>
        <v>4.06960331200568</v>
      </c>
      <c r="V363" s="27" t="n">
        <f aca="false">IF(Q363="Shoring",D363*M363*U363,0)</f>
        <v>209.382270445054</v>
      </c>
      <c r="W363" s="27" t="n">
        <f aca="false">IF(Q363="Open cut",D363*(U363*M363+SLOPE_B*S363^2+2*SLOPE_B*S363*T363+SLOPE_A*T363^2),0)</f>
        <v>0</v>
      </c>
      <c r="X363" s="27" t="n">
        <f aca="false">IF(M363&gt;0,D363*(E363+2*SLABOVH)*SLAB,0)</f>
        <v>14.5263646018174</v>
      </c>
      <c r="Y363" s="27" t="n">
        <f aca="false">IF(M363&gt;0,D363*PI()*E363^2/4,0)</f>
        <v>31.8396865879835</v>
      </c>
      <c r="Z363" s="27" t="n">
        <f aca="false">IF(H363-E363&gt;=GWL,99,E363*(MAX(0,GWL-H363)*(GAM_S-GAM_W)+MAX(0,NG-MAX(H363,GWL))*GAM_D)/(GAM_W*PI()*E363^2/4))</f>
        <v>1.97360731706161</v>
      </c>
      <c r="AA363" s="27" t="n">
        <f aca="false">IF(I363-E363&gt;=GWL,99,E363*(MAX(0,GWL-I363)*(GAM_S-GAM_W)+MAX(0,NG-MAX(I363,GWL))*GAM_D)/(GAM_W*PI()*E363^2/4))</f>
        <v>1.95522541493805</v>
      </c>
      <c r="AB363" s="27" t="n">
        <f aca="false">IF(H363-E363&gt;=GWL,99,E363*(MAX(0,GWL-H363)*(GAM_S-GAM_W)+MAX(0,FL-MAX(H363,GWL))*GAM_D)/(GAM_W*PI()*E363^2/4))</f>
        <v>3.89260931555839</v>
      </c>
      <c r="AC363" s="27" t="n">
        <f aca="false">IF(I363-E363&gt;=GWL,99,E363*(MAX(0,GWL-I363)*(GAM_S-GAM_W)+MAX(0,FL-MAX(I363,GWL))*GAM_D)/(GAM_W*PI()*E363^2/4))</f>
        <v>3.87422741343483</v>
      </c>
    </row>
    <row r="364" customFormat="false" ht="15" hidden="false" customHeight="false" outlineLevel="0" collapsed="false">
      <c r="A364" s="25" t="s">
        <v>819</v>
      </c>
      <c r="B364" s="25" t="s">
        <v>851</v>
      </c>
      <c r="C364" s="25" t="s">
        <v>854</v>
      </c>
      <c r="D364" s="26" t="n">
        <v>0.535347323291168</v>
      </c>
      <c r="E364" s="26" t="n">
        <v>2.06960331200568</v>
      </c>
      <c r="F364" s="26" t="n">
        <v>-6.11815165600284</v>
      </c>
      <c r="G364" s="26" t="n">
        <v>-6.11612758552124</v>
      </c>
      <c r="H364" s="26" t="n">
        <v>-3.54854834399716</v>
      </c>
      <c r="I364" s="26" t="n">
        <v>-3.54652427351556</v>
      </c>
      <c r="J364" s="26" t="n">
        <v>16.4</v>
      </c>
      <c r="K364" s="27" t="n">
        <f aca="false">MIN(F364,G364)</f>
        <v>-6.11815165600284</v>
      </c>
      <c r="L364" s="27" t="n">
        <f aca="false">AVERAGE(F364,G364)</f>
        <v>-6.11713962076204</v>
      </c>
      <c r="M364" s="27" t="n">
        <f aca="false">MAX(0,NG-L364)</f>
        <v>5.41713962076204</v>
      </c>
      <c r="N364" s="27" t="n">
        <f aca="false">MAX(0,GWL-K364)</f>
        <v>4.61815165600284</v>
      </c>
      <c r="O364" s="27" t="n">
        <f aca="false">MAX(0,NG-MAX(K364,GWL))</f>
        <v>0.8</v>
      </c>
      <c r="P364" s="27" t="n">
        <f aca="false">E364/2+WS+SLOPE_A*O364+SLOPE_B*N364</f>
        <v>12.4711049680085</v>
      </c>
      <c r="Q364" s="28" t="str">
        <f aca="false">IF(AND(P364&lt;J364,N364&lt;=MAXOC),"Open cut","Shoring")</f>
        <v>Shoring</v>
      </c>
      <c r="R364" s="27" t="n">
        <f aca="false">IF(Q364="Shoring",D364,0)</f>
        <v>0.535347323291168</v>
      </c>
      <c r="S364" s="27" t="n">
        <f aca="false">MAX(0,GWL-L364)</f>
        <v>4.61713962076204</v>
      </c>
      <c r="T364" s="27" t="n">
        <f aca="false">MAX(0,NG-MAX(L364,GWL))</f>
        <v>0.8</v>
      </c>
      <c r="U364" s="27" t="n">
        <f aca="false">E364+2*WS</f>
        <v>4.06960331200568</v>
      </c>
      <c r="V364" s="27" t="n">
        <f aca="false">IF(Q364="Shoring",D364*M364*U364,0)</f>
        <v>11.8020579516965</v>
      </c>
      <c r="W364" s="27" t="n">
        <f aca="false">IF(Q364="Open cut",D364*(U364*M364+SLOPE_B*S364^2+2*SLOPE_B*S364*T364+SLOPE_A*T364^2),0)</f>
        <v>0</v>
      </c>
      <c r="X364" s="27" t="n">
        <f aca="false">IF(M364&gt;0,D364*(E364+2*SLABOVH)*SLAB,0)</f>
        <v>0.821651958323972</v>
      </c>
      <c r="Y364" s="27" t="n">
        <f aca="false">IF(M364&gt;0,D364*PI()*E364^2/4,0)</f>
        <v>1.80094204947638</v>
      </c>
      <c r="Z364" s="27" t="n">
        <f aca="false">IF(H364-E364&gt;=GWL,99,E364*(MAX(0,GWL-H364)*(GAM_S-GAM_W)+MAX(0,NG-MAX(H364,GWL))*GAM_D)/(GAM_W*PI()*E364^2/4))</f>
        <v>1.95522541493805</v>
      </c>
      <c r="AA364" s="27" t="n">
        <f aca="false">IF(I364-E364&gt;=GWL,99,E364*(MAX(0,GWL-I364)*(GAM_S-GAM_W)+MAX(0,NG-MAX(I364,GWL))*GAM_D)/(GAM_W*PI()*E364^2/4))</f>
        <v>1.9541858214903</v>
      </c>
      <c r="AB364" s="27" t="n">
        <f aca="false">IF(H364-E364&gt;=GWL,99,E364*(MAX(0,GWL-H364)*(GAM_S-GAM_W)+MAX(0,FL-MAX(H364,GWL))*GAM_D)/(GAM_W*PI()*E364^2/4))</f>
        <v>3.87422741343483</v>
      </c>
      <c r="AC364" s="27" t="n">
        <f aca="false">IF(I364-E364&gt;=GWL,99,E364*(MAX(0,GWL-I364)*(GAM_S-GAM_W)+MAX(0,FL-MAX(I364,GWL))*GAM_D)/(GAM_W*PI()*E364^2/4))</f>
        <v>3.87318781998708</v>
      </c>
    </row>
    <row r="365" customFormat="false" ht="15" hidden="false" customHeight="false" outlineLevel="0" collapsed="false">
      <c r="A365" s="25" t="s">
        <v>819</v>
      </c>
      <c r="B365" s="25" t="s">
        <v>851</v>
      </c>
      <c r="C365" s="25" t="s">
        <v>855</v>
      </c>
      <c r="D365" s="26" t="n">
        <v>2.56448081303339</v>
      </c>
      <c r="E365" s="26" t="n">
        <v>2.06960331200568</v>
      </c>
      <c r="F365" s="26" t="n">
        <v>-6.11612758552124</v>
      </c>
      <c r="G365" s="26" t="n">
        <v>-6.10643165600284</v>
      </c>
      <c r="H365" s="26" t="n">
        <v>-3.54652427351556</v>
      </c>
      <c r="I365" s="26" t="n">
        <v>-3.53682834399716</v>
      </c>
      <c r="J365" s="26" t="n">
        <v>16.35</v>
      </c>
      <c r="K365" s="27" t="n">
        <f aca="false">MIN(F365,G365)</f>
        <v>-6.11612758552124</v>
      </c>
      <c r="L365" s="27" t="n">
        <f aca="false">AVERAGE(F365,G365)</f>
        <v>-6.11127962076204</v>
      </c>
      <c r="M365" s="27" t="n">
        <f aca="false">MAX(0,NG-L365)</f>
        <v>5.41127962076204</v>
      </c>
      <c r="N365" s="27" t="n">
        <f aca="false">MAX(0,GWL-K365)</f>
        <v>4.61612758552124</v>
      </c>
      <c r="O365" s="27" t="n">
        <f aca="false">MAX(0,NG-MAX(K365,GWL))</f>
        <v>0.8</v>
      </c>
      <c r="P365" s="27" t="n">
        <f aca="false">E365/2+WS+SLOPE_A*O365+SLOPE_B*N365</f>
        <v>12.4670568270453</v>
      </c>
      <c r="Q365" s="28" t="str">
        <f aca="false">IF(AND(P365&lt;J365,N365&lt;=MAXOC),"Open cut","Shoring")</f>
        <v>Shoring</v>
      </c>
      <c r="R365" s="27" t="n">
        <f aca="false">IF(Q365="Shoring",D365,0)</f>
        <v>2.56448081303339</v>
      </c>
      <c r="S365" s="27" t="n">
        <f aca="false">MAX(0,GWL-L365)</f>
        <v>4.61127962076204</v>
      </c>
      <c r="T365" s="27" t="n">
        <f aca="false">MAX(0,NG-MAX(L365,GWL))</f>
        <v>0.8</v>
      </c>
      <c r="U365" s="27" t="n">
        <f aca="false">E365+2*WS</f>
        <v>4.06960331200568</v>
      </c>
      <c r="V365" s="27" t="n">
        <f aca="false">IF(Q365="Shoring",D365*M365*U365,0)</f>
        <v>56.4743847509144</v>
      </c>
      <c r="W365" s="27" t="n">
        <f aca="false">IF(Q365="Open cut",D365*(U365*M365+SLOPE_B*S365^2+2*SLOPE_B*S365*T365+SLOPE_A*T365^2),0)</f>
        <v>0</v>
      </c>
      <c r="X365" s="27" t="n">
        <f aca="false">IF(M365&gt;0,D365*(E365+2*SLABOVH)*SLAB,0)</f>
        <v>3.93596939863115</v>
      </c>
      <c r="Y365" s="27" t="n">
        <f aca="false">IF(M365&gt;0,D365*PI()*E365^2/4,0)</f>
        <v>8.62707466785123</v>
      </c>
      <c r="Z365" s="27" t="n">
        <f aca="false">IF(H365-E365&gt;=GWL,99,E365*(MAX(0,GWL-H365)*(GAM_S-GAM_W)+MAX(0,NG-MAX(H365,GWL))*GAM_D)/(GAM_W*PI()*E365^2/4))</f>
        <v>1.9541858214903</v>
      </c>
      <c r="AA365" s="27" t="n">
        <f aca="false">IF(I365-E365&gt;=GWL,99,E365*(MAX(0,GWL-I365)*(GAM_S-GAM_W)+MAX(0,NG-MAX(I365,GWL))*GAM_D)/(GAM_W*PI()*E365^2/4))</f>
        <v>1.94920584431617</v>
      </c>
      <c r="AB365" s="27" t="n">
        <f aca="false">IF(H365-E365&gt;=GWL,99,E365*(MAX(0,GWL-H365)*(GAM_S-GAM_W)+MAX(0,FL-MAX(H365,GWL))*GAM_D)/(GAM_W*PI()*E365^2/4))</f>
        <v>3.87318781998708</v>
      </c>
      <c r="AC365" s="27" t="n">
        <f aca="false">IF(I365-E365&gt;=GWL,99,E365*(MAX(0,GWL-I365)*(GAM_S-GAM_W)+MAX(0,FL-MAX(I365,GWL))*GAM_D)/(GAM_W*PI()*E365^2/4))</f>
        <v>3.86820784281295</v>
      </c>
    </row>
    <row r="366" customFormat="false" ht="15" hidden="false" customHeight="false" outlineLevel="0" collapsed="false">
      <c r="A366" s="25" t="s">
        <v>819</v>
      </c>
      <c r="B366" s="25" t="s">
        <v>851</v>
      </c>
      <c r="C366" s="25" t="s">
        <v>856</v>
      </c>
      <c r="D366" s="26" t="n">
        <v>3.07441000010886</v>
      </c>
      <c r="E366" s="26" t="n">
        <v>2.06959914376084</v>
      </c>
      <c r="F366" s="26" t="n">
        <v>-6.10642957188042</v>
      </c>
      <c r="G366" s="26" t="n">
        <v>-6.09479957188042</v>
      </c>
      <c r="H366" s="26" t="n">
        <v>-3.53683042811958</v>
      </c>
      <c r="I366" s="26" t="n">
        <v>-3.52520042811958</v>
      </c>
      <c r="J366" s="26" t="n">
        <v>14.23</v>
      </c>
      <c r="K366" s="27" t="n">
        <f aca="false">MIN(F366,G366)</f>
        <v>-6.10642957188042</v>
      </c>
      <c r="L366" s="27" t="n">
        <f aca="false">AVERAGE(F366,G366)</f>
        <v>-6.10061457188042</v>
      </c>
      <c r="M366" s="27" t="n">
        <f aca="false">MAX(0,NG-L366)</f>
        <v>5.40061457188042</v>
      </c>
      <c r="N366" s="27" t="n">
        <f aca="false">MAX(0,GWL-K366)</f>
        <v>4.60642957188042</v>
      </c>
      <c r="O366" s="27" t="n">
        <f aca="false">MAX(0,NG-MAX(K366,GWL))</f>
        <v>0.8</v>
      </c>
      <c r="P366" s="27" t="n">
        <f aca="false">E366/2+WS+SLOPE_A*O366+SLOPE_B*N366</f>
        <v>12.4476587156413</v>
      </c>
      <c r="Q366" s="28" t="str">
        <f aca="false">IF(AND(P366&lt;J366,N366&lt;=MAXOC),"Open cut","Shoring")</f>
        <v>Shoring</v>
      </c>
      <c r="R366" s="27" t="n">
        <f aca="false">IF(Q366="Shoring",D366,0)</f>
        <v>3.07441000010886</v>
      </c>
      <c r="S366" s="27" t="n">
        <f aca="false">MAX(0,GWL-L366)</f>
        <v>4.60061457188042</v>
      </c>
      <c r="T366" s="27" t="n">
        <f aca="false">MAX(0,NG-MAX(L366,GWL))</f>
        <v>0.8</v>
      </c>
      <c r="U366" s="27" t="n">
        <f aca="false">E366+2*WS</f>
        <v>4.06959914376084</v>
      </c>
      <c r="V366" s="27" t="n">
        <f aca="false">IF(Q366="Shoring",D366*M366*U366,0)</f>
        <v>67.5704173292281</v>
      </c>
      <c r="W366" s="27" t="n">
        <f aca="false">IF(Q366="Open cut",D366*(U366*M366+SLOPE_B*S366^2+2*SLOPE_B*S366*T366+SLOPE_A*T366^2),0)</f>
        <v>0</v>
      </c>
      <c r="X366" s="27" t="n">
        <f aca="false">IF(M366&gt;0,D366*(E366+2*SLABOVH)*SLAB,0)</f>
        <v>4.71860315195196</v>
      </c>
      <c r="Y366" s="27" t="n">
        <f aca="false">IF(M366&gt;0,D366*PI()*E366^2/4,0)</f>
        <v>10.3424668489997</v>
      </c>
      <c r="Z366" s="27" t="n">
        <f aca="false">IF(H366-E366&gt;=GWL,99,E366*(MAX(0,GWL-H366)*(GAM_S-GAM_W)+MAX(0,NG-MAX(H366,GWL))*GAM_D)/(GAM_W*PI()*E366^2/4))</f>
        <v>1.9492108405239</v>
      </c>
      <c r="AA366" s="27" t="n">
        <f aca="false">IF(I366-E366&gt;=GWL,99,E366*(MAX(0,GWL-I366)*(GAM_S-GAM_W)+MAX(0,NG-MAX(I366,GWL))*GAM_D)/(GAM_W*PI()*E366^2/4))</f>
        <v>1.94323748324317</v>
      </c>
      <c r="AB366" s="27" t="n">
        <f aca="false">IF(H366-E366&gt;=GWL,99,E366*(MAX(0,GWL-H366)*(GAM_S-GAM_W)+MAX(0,FL-MAX(H366,GWL))*GAM_D)/(GAM_W*PI()*E366^2/4))</f>
        <v>3.86821670395761</v>
      </c>
      <c r="AC366" s="27" t="n">
        <f aca="false">IF(I366-E366&gt;=GWL,99,E366*(MAX(0,GWL-I366)*(GAM_S-GAM_W)+MAX(0,FL-MAX(I366,GWL))*GAM_D)/(GAM_W*PI()*E366^2/4))</f>
        <v>3.86224334667689</v>
      </c>
    </row>
    <row r="367" customFormat="false" ht="15" hidden="false" customHeight="false" outlineLevel="0" collapsed="false">
      <c r="A367" s="25" t="s">
        <v>819</v>
      </c>
      <c r="B367" s="25" t="s">
        <v>851</v>
      </c>
      <c r="C367" s="25" t="s">
        <v>857</v>
      </c>
      <c r="D367" s="26" t="n">
        <v>1.8611091866201</v>
      </c>
      <c r="E367" s="26" t="n">
        <v>2.06959914376084</v>
      </c>
      <c r="F367" s="26" t="n">
        <v>-6.09479957188042</v>
      </c>
      <c r="G367" s="26" t="n">
        <v>-6.06815953430271</v>
      </c>
      <c r="H367" s="26" t="n">
        <v>-3.52520042811958</v>
      </c>
      <c r="I367" s="26" t="n">
        <v>-3.49856039054187</v>
      </c>
      <c r="J367" s="26" t="n">
        <v>13.11</v>
      </c>
      <c r="K367" s="27" t="n">
        <f aca="false">MIN(F367,G367)</f>
        <v>-6.09479957188042</v>
      </c>
      <c r="L367" s="27" t="n">
        <f aca="false">AVERAGE(F367,G367)</f>
        <v>-6.08147955309157</v>
      </c>
      <c r="M367" s="27" t="n">
        <f aca="false">MAX(0,NG-L367)</f>
        <v>5.38147955309157</v>
      </c>
      <c r="N367" s="27" t="n">
        <f aca="false">MAX(0,GWL-K367)</f>
        <v>4.59479957188042</v>
      </c>
      <c r="O367" s="27" t="n">
        <f aca="false">MAX(0,NG-MAX(K367,GWL))</f>
        <v>0.8</v>
      </c>
      <c r="P367" s="27" t="n">
        <f aca="false">E367/2+WS+SLOPE_A*O367+SLOPE_B*N367</f>
        <v>12.4243987156413</v>
      </c>
      <c r="Q367" s="28" t="str">
        <f aca="false">IF(AND(P367&lt;J367,N367&lt;=MAXOC),"Open cut","Shoring")</f>
        <v>Shoring</v>
      </c>
      <c r="R367" s="27" t="n">
        <f aca="false">IF(Q367="Shoring",D367,0)</f>
        <v>1.8611091866201</v>
      </c>
      <c r="S367" s="27" t="n">
        <f aca="false">MAX(0,GWL-L367)</f>
        <v>4.58147955309157</v>
      </c>
      <c r="T367" s="27" t="n">
        <f aca="false">MAX(0,NG-MAX(L367,GWL))</f>
        <v>0.8</v>
      </c>
      <c r="U367" s="27" t="n">
        <f aca="false">E367+2*WS</f>
        <v>4.06959914376084</v>
      </c>
      <c r="V367" s="27" t="n">
        <f aca="false">IF(Q367="Shoring",D367*M367*U367,0)</f>
        <v>40.7591558237437</v>
      </c>
      <c r="W367" s="27" t="n">
        <f aca="false">IF(Q367="Open cut",D367*(U367*M367+SLOPE_B*S367^2+2*SLOPE_B*S367*T367+SLOPE_A*T367^2),0)</f>
        <v>0</v>
      </c>
      <c r="X367" s="27" t="n">
        <f aca="false">IF(M367&gt;0,D367*(E367+2*SLABOVH)*SLAB,0)</f>
        <v>2.85642958284725</v>
      </c>
      <c r="Y367" s="27" t="n">
        <f aca="false">IF(M367&gt;0,D367*PI()*E367^2/4,0)</f>
        <v>6.26086308082062</v>
      </c>
      <c r="Z367" s="27" t="n">
        <f aca="false">IF(H367-E367&gt;=GWL,99,E367*(MAX(0,GWL-H367)*(GAM_S-GAM_W)+MAX(0,NG-MAX(H367,GWL))*GAM_D)/(GAM_W*PI()*E367^2/4))</f>
        <v>1.94323748324317</v>
      </c>
      <c r="AA367" s="27" t="n">
        <f aca="false">IF(I367-E367&gt;=GWL,99,E367*(MAX(0,GWL-I367)*(GAM_S-GAM_W)+MAX(0,NG-MAX(I367,GWL))*GAM_D)/(GAM_W*PI()*E367^2/4))</f>
        <v>1.92955472637097</v>
      </c>
      <c r="AB367" s="27" t="n">
        <f aca="false">IF(H367-E367&gt;=GWL,99,E367*(MAX(0,GWL-H367)*(GAM_S-GAM_W)+MAX(0,FL-MAX(H367,GWL))*GAM_D)/(GAM_W*PI()*E367^2/4))</f>
        <v>3.86224334667689</v>
      </c>
      <c r="AC367" s="27" t="n">
        <f aca="false">IF(I367-E367&gt;=GWL,99,E367*(MAX(0,GWL-I367)*(GAM_S-GAM_W)+MAX(0,FL-MAX(I367,GWL))*GAM_D)/(GAM_W*PI()*E367^2/4))</f>
        <v>3.84856058980468</v>
      </c>
    </row>
    <row r="368" customFormat="false" ht="15" hidden="false" customHeight="false" outlineLevel="0" collapsed="false">
      <c r="A368" s="25" t="s">
        <v>819</v>
      </c>
      <c r="B368" s="25" t="s">
        <v>858</v>
      </c>
      <c r="C368" s="25" t="s">
        <v>859</v>
      </c>
      <c r="D368" s="26" t="n">
        <v>2.47239081335113</v>
      </c>
      <c r="E368" s="26" t="n">
        <v>2.06959914376084</v>
      </c>
      <c r="F368" s="26" t="n">
        <v>-6.06815953430271</v>
      </c>
      <c r="G368" s="26" t="n">
        <v>-6.03276957188042</v>
      </c>
      <c r="H368" s="26" t="n">
        <v>-3.49856039054187</v>
      </c>
      <c r="I368" s="26" t="n">
        <v>-3.46317042811958</v>
      </c>
      <c r="J368" s="26" t="n">
        <v>11.91</v>
      </c>
      <c r="K368" s="27" t="n">
        <f aca="false">MIN(F368,G368)</f>
        <v>-6.06815953430271</v>
      </c>
      <c r="L368" s="27" t="n">
        <f aca="false">AVERAGE(F368,G368)</f>
        <v>-6.05046455309157</v>
      </c>
      <c r="M368" s="27" t="n">
        <f aca="false">MAX(0,NG-L368)</f>
        <v>5.35046455309157</v>
      </c>
      <c r="N368" s="27" t="n">
        <f aca="false">MAX(0,GWL-K368)</f>
        <v>4.56815953430271</v>
      </c>
      <c r="O368" s="27" t="n">
        <f aca="false">MAX(0,NG-MAX(K368,GWL))</f>
        <v>0.8</v>
      </c>
      <c r="P368" s="27" t="n">
        <f aca="false">E368/2+WS+SLOPE_A*O368+SLOPE_B*N368</f>
        <v>12.3711186404858</v>
      </c>
      <c r="Q368" s="28" t="str">
        <f aca="false">IF(AND(P368&lt;J368,N368&lt;=MAXOC),"Open cut","Shoring")</f>
        <v>Shoring</v>
      </c>
      <c r="R368" s="27" t="n">
        <f aca="false">IF(Q368="Shoring",D368,0)</f>
        <v>2.47239081335113</v>
      </c>
      <c r="S368" s="27" t="n">
        <f aca="false">MAX(0,GWL-L368)</f>
        <v>4.55046455309157</v>
      </c>
      <c r="T368" s="27" t="n">
        <f aca="false">MAX(0,NG-MAX(L368,GWL))</f>
        <v>0.8</v>
      </c>
      <c r="U368" s="27" t="n">
        <f aca="false">E368+2*WS</f>
        <v>4.06959914376084</v>
      </c>
      <c r="V368" s="27" t="n">
        <f aca="false">IF(Q368="Shoring",D368*M368*U368,0)</f>
        <v>53.8344456890025</v>
      </c>
      <c r="W368" s="27" t="n">
        <f aca="false">IF(Q368="Open cut",D368*(U368*M368+SLOPE_B*S368^2+2*SLOPE_B*S368*T368+SLOPE_A*T368^2),0)</f>
        <v>0</v>
      </c>
      <c r="X368" s="27" t="n">
        <f aca="false">IF(M368&gt;0,D368*(E368+2*SLABOVH)*SLAB,0)</f>
        <v>3.79462436185241</v>
      </c>
      <c r="Y368" s="27" t="n">
        <f aca="false">IF(M368&gt;0,D368*PI()*E368^2/4,0)</f>
        <v>8.31724461732502</v>
      </c>
      <c r="Z368" s="27" t="n">
        <f aca="false">IF(H368-E368&gt;=GWL,99,E368*(MAX(0,GWL-H368)*(GAM_S-GAM_W)+MAX(0,NG-MAX(H368,GWL))*GAM_D)/(GAM_W*PI()*E368^2/4))</f>
        <v>1.92955472637097</v>
      </c>
      <c r="AA368" s="27" t="n">
        <f aca="false">IF(I368-E368&gt;=GWL,99,E368*(MAX(0,GWL-I368)*(GAM_S-GAM_W)+MAX(0,NG-MAX(I368,GWL))*GAM_D)/(GAM_W*PI()*E368^2/4))</f>
        <v>1.9113778656917</v>
      </c>
      <c r="AB368" s="27" t="n">
        <f aca="false">IF(H368-E368&gt;=GWL,99,E368*(MAX(0,GWL-H368)*(GAM_S-GAM_W)+MAX(0,FL-MAX(H368,GWL))*GAM_D)/(GAM_W*PI()*E368^2/4))</f>
        <v>3.84856058980468</v>
      </c>
      <c r="AC368" s="27" t="n">
        <f aca="false">IF(I368-E368&gt;=GWL,99,E368*(MAX(0,GWL-I368)*(GAM_S-GAM_W)+MAX(0,FL-MAX(I368,GWL))*GAM_D)/(GAM_W*PI()*E368^2/4))</f>
        <v>3.83038372912541</v>
      </c>
    </row>
    <row r="369" customFormat="false" ht="15" hidden="false" customHeight="false" outlineLevel="0" collapsed="false">
      <c r="A369" s="25" t="s">
        <v>819</v>
      </c>
      <c r="B369" s="25" t="s">
        <v>858</v>
      </c>
      <c r="C369" s="25" t="s">
        <v>860</v>
      </c>
      <c r="D369" s="26" t="n">
        <v>3.08073024337395</v>
      </c>
      <c r="E369" s="26" t="n">
        <v>2.06959914376084</v>
      </c>
      <c r="F369" s="26" t="n">
        <v>-6.03276957188042</v>
      </c>
      <c r="G369" s="26" t="n">
        <v>-5.98867957188042</v>
      </c>
      <c r="H369" s="26" t="n">
        <v>-3.46317042811958</v>
      </c>
      <c r="I369" s="26" t="n">
        <v>-3.41908042811958</v>
      </c>
      <c r="J369" s="26" t="n">
        <v>11.02</v>
      </c>
      <c r="K369" s="27" t="n">
        <f aca="false">MIN(F369,G369)</f>
        <v>-6.03276957188042</v>
      </c>
      <c r="L369" s="27" t="n">
        <f aca="false">AVERAGE(F369,G369)</f>
        <v>-6.01072457188042</v>
      </c>
      <c r="M369" s="27" t="n">
        <f aca="false">MAX(0,NG-L369)</f>
        <v>5.31072457188042</v>
      </c>
      <c r="N369" s="27" t="n">
        <f aca="false">MAX(0,GWL-K369)</f>
        <v>4.53276957188042</v>
      </c>
      <c r="O369" s="27" t="n">
        <f aca="false">MAX(0,NG-MAX(K369,GWL))</f>
        <v>0.8</v>
      </c>
      <c r="P369" s="27" t="n">
        <f aca="false">E369/2+WS+SLOPE_A*O369+SLOPE_B*N369</f>
        <v>12.3003387156413</v>
      </c>
      <c r="Q369" s="28" t="str">
        <f aca="false">IF(AND(P369&lt;J369,N369&lt;=MAXOC),"Open cut","Shoring")</f>
        <v>Shoring</v>
      </c>
      <c r="R369" s="27" t="n">
        <f aca="false">IF(Q369="Shoring",D369,0)</f>
        <v>3.08073024337395</v>
      </c>
      <c r="S369" s="27" t="n">
        <f aca="false">MAX(0,GWL-L369)</f>
        <v>4.51072457188042</v>
      </c>
      <c r="T369" s="27" t="n">
        <f aca="false">MAX(0,NG-MAX(L369,GWL))</f>
        <v>0.8</v>
      </c>
      <c r="U369" s="27" t="n">
        <f aca="false">E369+2*WS</f>
        <v>4.06959914376084</v>
      </c>
      <c r="V369" s="27" t="n">
        <f aca="false">IF(Q369="Shoring",D369*M369*U369,0)</f>
        <v>66.5823445247096</v>
      </c>
      <c r="W369" s="27" t="n">
        <f aca="false">IF(Q369="Open cut",D369*(U369*M369+SLOPE_B*S369^2+2*SLOPE_B*S369*T369+SLOPE_A*T369^2),0)</f>
        <v>0</v>
      </c>
      <c r="X369" s="27" t="n">
        <f aca="false">IF(M369&gt;0,D369*(E369+2*SLABOVH)*SLAB,0)</f>
        <v>4.72830345860941</v>
      </c>
      <c r="Y369" s="27" t="n">
        <f aca="false">IF(M369&gt;0,D369*PI()*E369^2/4,0)</f>
        <v>10.3637284590142</v>
      </c>
      <c r="Z369" s="27" t="n">
        <f aca="false">IF(H369-E369&gt;=GWL,99,E369*(MAX(0,GWL-H369)*(GAM_S-GAM_W)+MAX(0,NG-MAX(H369,GWL))*GAM_D)/(GAM_W*PI()*E369^2/4))</f>
        <v>1.9113778656917</v>
      </c>
      <c r="AA369" s="27" t="n">
        <f aca="false">IF(I369-E369&gt;=GWL,99,E369*(MAX(0,GWL-I369)*(GAM_S-GAM_W)+MAX(0,NG-MAX(I369,GWL))*GAM_D)/(GAM_W*PI()*E369^2/4))</f>
        <v>1.88873252411755</v>
      </c>
      <c r="AB369" s="27" t="n">
        <f aca="false">IF(H369-E369&gt;=GWL,99,E369*(MAX(0,GWL-H369)*(GAM_S-GAM_W)+MAX(0,FL-MAX(H369,GWL))*GAM_D)/(GAM_W*PI()*E369^2/4))</f>
        <v>3.83038372912541</v>
      </c>
      <c r="AC369" s="27" t="n">
        <f aca="false">IF(I369-E369&gt;=GWL,99,E369*(MAX(0,GWL-I369)*(GAM_S-GAM_W)+MAX(0,FL-MAX(I369,GWL))*GAM_D)/(GAM_W*PI()*E369^2/4))</f>
        <v>3.80773838755127</v>
      </c>
    </row>
    <row r="370" customFormat="false" ht="15" hidden="false" customHeight="false" outlineLevel="0" collapsed="false">
      <c r="A370" s="25" t="s">
        <v>819</v>
      </c>
      <c r="B370" s="25" t="s">
        <v>858</v>
      </c>
      <c r="C370" s="25" t="s">
        <v>861</v>
      </c>
      <c r="D370" s="26" t="n">
        <v>3.10001000015803</v>
      </c>
      <c r="E370" s="26" t="n">
        <v>2.06959646559489</v>
      </c>
      <c r="F370" s="26" t="n">
        <v>-5.98867823279744</v>
      </c>
      <c r="G370" s="26" t="n">
        <v>-5.94429823279744</v>
      </c>
      <c r="H370" s="26" t="n">
        <v>-3.41908176720256</v>
      </c>
      <c r="I370" s="26" t="n">
        <v>-3.37470176720256</v>
      </c>
      <c r="J370" s="26" t="n">
        <v>8.69</v>
      </c>
      <c r="K370" s="27" t="n">
        <f aca="false">MIN(F370,G370)</f>
        <v>-5.98867823279744</v>
      </c>
      <c r="L370" s="27" t="n">
        <f aca="false">AVERAGE(F370,G370)</f>
        <v>-5.96648823279744</v>
      </c>
      <c r="M370" s="27" t="n">
        <f aca="false">MAX(0,NG-L370)</f>
        <v>5.26648823279744</v>
      </c>
      <c r="N370" s="27" t="n">
        <f aca="false">MAX(0,GWL-K370)</f>
        <v>4.48867823279744</v>
      </c>
      <c r="O370" s="27" t="n">
        <f aca="false">MAX(0,NG-MAX(K370,GWL))</f>
        <v>0.8</v>
      </c>
      <c r="P370" s="27" t="n">
        <f aca="false">E370/2+WS+SLOPE_A*O370+SLOPE_B*N370</f>
        <v>12.2121546983923</v>
      </c>
      <c r="Q370" s="28" t="str">
        <f aca="false">IF(AND(P370&lt;J370,N370&lt;=MAXOC),"Open cut","Shoring")</f>
        <v>Shoring</v>
      </c>
      <c r="R370" s="27" t="n">
        <f aca="false">IF(Q370="Shoring",D370,0)</f>
        <v>3.10001000015803</v>
      </c>
      <c r="S370" s="27" t="n">
        <f aca="false">MAX(0,GWL-L370)</f>
        <v>4.46648823279744</v>
      </c>
      <c r="T370" s="27" t="n">
        <f aca="false">MAX(0,NG-MAX(L370,GWL))</f>
        <v>0.8</v>
      </c>
      <c r="U370" s="27" t="n">
        <f aca="false">E370+2*WS</f>
        <v>4.06959646559489</v>
      </c>
      <c r="V370" s="27" t="n">
        <f aca="false">IF(Q370="Shoring",D370*M370*U370,0)</f>
        <v>66.4409082129036</v>
      </c>
      <c r="W370" s="27" t="n">
        <f aca="false">IF(Q370="Open cut",D370*(U370*M370+SLOPE_B*S370^2+2*SLOPE_B*S370*T370+SLOPE_A*T370^2),0)</f>
        <v>0</v>
      </c>
      <c r="X370" s="27" t="n">
        <f aca="false">IF(M370&gt;0,D370*(E370+2*SLABOVH)*SLAB,0)</f>
        <v>4.75788986989695</v>
      </c>
      <c r="Y370" s="27" t="n">
        <f aca="false">IF(M370&gt;0,D370*PI()*E370^2/4,0)</f>
        <v>10.4285595213608</v>
      </c>
      <c r="Z370" s="27" t="n">
        <f aca="false">IF(H370-E370&gt;=GWL,99,E370*(MAX(0,GWL-H370)*(GAM_S-GAM_W)+MAX(0,NG-MAX(H370,GWL))*GAM_D)/(GAM_W*PI()*E370^2/4))</f>
        <v>1.88873565601182</v>
      </c>
      <c r="AA370" s="27" t="n">
        <f aca="false">IF(I370-E370&gt;=GWL,99,E370*(MAX(0,GWL-I370)*(GAM_S-GAM_W)+MAX(0,NG-MAX(I370,GWL))*GAM_D)/(GAM_W*PI()*E370^2/4))</f>
        <v>1.86594133622086</v>
      </c>
      <c r="AB370" s="27" t="n">
        <f aca="false">IF(H370-E370&gt;=GWL,99,E370*(MAX(0,GWL-H370)*(GAM_S-GAM_W)+MAX(0,FL-MAX(H370,GWL))*GAM_D)/(GAM_W*PI()*E370^2/4))</f>
        <v>3.80774400273938</v>
      </c>
      <c r="AC370" s="27" t="n">
        <f aca="false">IF(I370-E370&gt;=GWL,99,E370*(MAX(0,GWL-I370)*(GAM_S-GAM_W)+MAX(0,FL-MAX(I370,GWL))*GAM_D)/(GAM_W*PI()*E370^2/4))</f>
        <v>3.78494968294842</v>
      </c>
    </row>
    <row r="371" customFormat="false" ht="15" hidden="false" customHeight="false" outlineLevel="0" collapsed="false">
      <c r="A371" s="25" t="s">
        <v>819</v>
      </c>
      <c r="B371" s="25" t="s">
        <v>858</v>
      </c>
      <c r="C371" s="25" t="s">
        <v>862</v>
      </c>
      <c r="D371" s="26" t="n">
        <v>3.84686894318286</v>
      </c>
      <c r="E371" s="26" t="n">
        <v>2.06959646559489</v>
      </c>
      <c r="F371" s="26" t="n">
        <v>-5.94429823279744</v>
      </c>
      <c r="G371" s="26" t="n">
        <v>-5.88923632680242</v>
      </c>
      <c r="H371" s="26" t="n">
        <v>-3.37470176720256</v>
      </c>
      <c r="I371" s="26" t="n">
        <v>-3.31963986120754</v>
      </c>
      <c r="J371" s="26" t="n">
        <v>6.74</v>
      </c>
      <c r="K371" s="27" t="n">
        <f aca="false">MIN(F371,G371)</f>
        <v>-5.94429823279744</v>
      </c>
      <c r="L371" s="27" t="n">
        <f aca="false">AVERAGE(F371,G371)</f>
        <v>-5.91676727979993</v>
      </c>
      <c r="M371" s="27" t="n">
        <f aca="false">MAX(0,NG-L371)</f>
        <v>5.21676727979993</v>
      </c>
      <c r="N371" s="27" t="n">
        <f aca="false">MAX(0,GWL-K371)</f>
        <v>4.44429823279744</v>
      </c>
      <c r="O371" s="27" t="n">
        <f aca="false">MAX(0,NG-MAX(K371,GWL))</f>
        <v>0.8</v>
      </c>
      <c r="P371" s="27" t="n">
        <f aca="false">E371/2+WS+SLOPE_A*O371+SLOPE_B*N371</f>
        <v>12.1233946983923</v>
      </c>
      <c r="Q371" s="28" t="str">
        <f aca="false">IF(AND(P371&lt;J371,N371&lt;=MAXOC),"Open cut","Shoring")</f>
        <v>Shoring</v>
      </c>
      <c r="R371" s="27" t="n">
        <f aca="false">IF(Q371="Shoring",D371,0)</f>
        <v>3.84686894318286</v>
      </c>
      <c r="S371" s="27" t="n">
        <f aca="false">MAX(0,GWL-L371)</f>
        <v>4.41676727979993</v>
      </c>
      <c r="T371" s="27" t="n">
        <f aca="false">MAX(0,NG-MAX(L371,GWL))</f>
        <v>0.8</v>
      </c>
      <c r="U371" s="27" t="n">
        <f aca="false">E371+2*WS</f>
        <v>4.06959646559489</v>
      </c>
      <c r="V371" s="27" t="n">
        <f aca="false">IF(Q371="Shoring",D371*M371*U371,0)</f>
        <v>81.6695573149403</v>
      </c>
      <c r="W371" s="27" t="n">
        <f aca="false">IF(Q371="Open cut",D371*(U371*M371+SLOPE_B*S371^2+2*SLOPE_B*S371*T371+SLOPE_A*T371^2),0)</f>
        <v>0</v>
      </c>
      <c r="X371" s="27" t="n">
        <f aca="false">IF(M371&gt;0,D371*(E371+2*SLABOVH)*SLAB,0)</f>
        <v>5.90416765580042</v>
      </c>
      <c r="Y371" s="27" t="n">
        <f aca="false">IF(M371&gt;0,D371*PI()*E371^2/4,0)</f>
        <v>12.9410233330898</v>
      </c>
      <c r="Z371" s="27" t="n">
        <f aca="false">IF(H371-E371&gt;=GWL,99,E371*(MAX(0,GWL-H371)*(GAM_S-GAM_W)+MAX(0,NG-MAX(H371,GWL))*GAM_D)/(GAM_W*PI()*E371^2/4))</f>
        <v>1.86594133622086</v>
      </c>
      <c r="AA371" s="27" t="n">
        <f aca="false">IF(I371-E371&gt;=GWL,99,E371*(MAX(0,GWL-I371)*(GAM_S-GAM_W)+MAX(0,NG-MAX(I371,GWL))*GAM_D)/(GAM_W*PI()*E371^2/4))</f>
        <v>1.83766060856087</v>
      </c>
      <c r="AB371" s="27" t="n">
        <f aca="false">IF(H371-E371&gt;=GWL,99,E371*(MAX(0,GWL-H371)*(GAM_S-GAM_W)+MAX(0,FL-MAX(H371,GWL))*GAM_D)/(GAM_W*PI()*E371^2/4))</f>
        <v>3.78494968294842</v>
      </c>
      <c r="AC371" s="27" t="n">
        <f aca="false">IF(I371-E371&gt;=GWL,99,E371*(MAX(0,GWL-I371)*(GAM_S-GAM_W)+MAX(0,FL-MAX(I371,GWL))*GAM_D)/(GAM_W*PI()*E371^2/4))</f>
        <v>3.75666895528843</v>
      </c>
    </row>
    <row r="372" customFormat="false" ht="15" hidden="false" customHeight="false" outlineLevel="0" collapsed="false">
      <c r="A372" s="25" t="s">
        <v>819</v>
      </c>
      <c r="B372" s="25" t="s">
        <v>858</v>
      </c>
      <c r="C372" s="25" t="s">
        <v>863</v>
      </c>
      <c r="D372" s="26" t="n">
        <v>10.0000000002142</v>
      </c>
      <c r="E372" s="26" t="n">
        <v>2.06959646559489</v>
      </c>
      <c r="F372" s="26" t="n">
        <v>-5.88923632680242</v>
      </c>
      <c r="G372" s="26" t="n">
        <v>-5.74610198350722</v>
      </c>
      <c r="H372" s="26" t="n">
        <v>-3.31963986120754</v>
      </c>
      <c r="I372" s="26" t="n">
        <v>-3.17650551791233</v>
      </c>
      <c r="J372" s="26" t="n">
        <v>6.44</v>
      </c>
      <c r="K372" s="27" t="n">
        <f aca="false">MIN(F372,G372)</f>
        <v>-5.88923632680242</v>
      </c>
      <c r="L372" s="27" t="n">
        <f aca="false">AVERAGE(F372,G372)</f>
        <v>-5.81766915515482</v>
      </c>
      <c r="M372" s="27" t="n">
        <f aca="false">MAX(0,NG-L372)</f>
        <v>5.11766915515482</v>
      </c>
      <c r="N372" s="27" t="n">
        <f aca="false">MAX(0,GWL-K372)</f>
        <v>4.38923632680242</v>
      </c>
      <c r="O372" s="27" t="n">
        <f aca="false">MAX(0,NG-MAX(K372,GWL))</f>
        <v>0.8</v>
      </c>
      <c r="P372" s="27" t="n">
        <f aca="false">E372/2+WS+SLOPE_A*O372+SLOPE_B*N372</f>
        <v>12.0132708864023</v>
      </c>
      <c r="Q372" s="28" t="str">
        <f aca="false">IF(AND(P372&lt;J372,N372&lt;=MAXOC),"Open cut","Shoring")</f>
        <v>Shoring</v>
      </c>
      <c r="R372" s="27" t="n">
        <f aca="false">IF(Q372="Shoring",D372,0)</f>
        <v>10.0000000002142</v>
      </c>
      <c r="S372" s="27" t="n">
        <f aca="false">MAX(0,GWL-L372)</f>
        <v>4.31766915515482</v>
      </c>
      <c r="T372" s="27" t="n">
        <f aca="false">MAX(0,NG-MAX(L372,GWL))</f>
        <v>0.8</v>
      </c>
      <c r="U372" s="27" t="n">
        <f aca="false">E372+2*WS</f>
        <v>4.06959646559489</v>
      </c>
      <c r="V372" s="27" t="n">
        <f aca="false">IF(Q372="Shoring",D372*M372*U372,0)</f>
        <v>208.268483063481</v>
      </c>
      <c r="W372" s="27" t="n">
        <f aca="false">IF(Q372="Open cut",D372*(U372*M372+SLOPE_B*S372^2+2*SLOPE_B*S372*T372+SLOPE_A*T372^2),0)</f>
        <v>0</v>
      </c>
      <c r="X372" s="27" t="n">
        <f aca="false">IF(M372&gt;0,D372*(E372+2*SLABOVH)*SLAB,0)</f>
        <v>15.3479823283032</v>
      </c>
      <c r="Y372" s="27" t="n">
        <f aca="false">IF(M372&gt;0,D372*PI()*E372^2/4,0)</f>
        <v>33.6404060666017</v>
      </c>
      <c r="Z372" s="27" t="n">
        <f aca="false">IF(H372-E372&gt;=GWL,99,E372*(MAX(0,GWL-H372)*(GAM_S-GAM_W)+MAX(0,NG-MAX(H372,GWL))*GAM_D)/(GAM_W*PI()*E372^2/4))</f>
        <v>1.83766060856087</v>
      </c>
      <c r="AA372" s="27" t="n">
        <f aca="false">IF(I372-E372&gt;=GWL,99,E372*(MAX(0,GWL-I372)*(GAM_S-GAM_W)+MAX(0,NG-MAX(I372,GWL))*GAM_D)/(GAM_W*PI()*E372^2/4))</f>
        <v>1.76414438516879</v>
      </c>
      <c r="AB372" s="27" t="n">
        <f aca="false">IF(H372-E372&gt;=GWL,99,E372*(MAX(0,GWL-H372)*(GAM_S-GAM_W)+MAX(0,FL-MAX(H372,GWL))*GAM_D)/(GAM_W*PI()*E372^2/4))</f>
        <v>3.75666895528843</v>
      </c>
      <c r="AC372" s="27" t="n">
        <f aca="false">IF(I372-E372&gt;=GWL,99,E372*(MAX(0,GWL-I372)*(GAM_S-GAM_W)+MAX(0,FL-MAX(I372,GWL))*GAM_D)/(GAM_W*PI()*E372^2/4))</f>
        <v>3.68315273189636</v>
      </c>
    </row>
    <row r="373" customFormat="false" ht="15" hidden="false" customHeight="false" outlineLevel="0" collapsed="false">
      <c r="A373" s="25" t="s">
        <v>819</v>
      </c>
      <c r="B373" s="25" t="s">
        <v>858</v>
      </c>
      <c r="C373" s="25" t="s">
        <v>864</v>
      </c>
      <c r="D373" s="26" t="n">
        <v>9.99999999974697</v>
      </c>
      <c r="E373" s="26" t="n">
        <v>2.06959646559489</v>
      </c>
      <c r="F373" s="26" t="n">
        <v>-5.74610198350722</v>
      </c>
      <c r="G373" s="26" t="n">
        <v>-5.60296764021201</v>
      </c>
      <c r="H373" s="26" t="n">
        <v>-3.17650551791233</v>
      </c>
      <c r="I373" s="26" t="n">
        <v>-3.03337117461712</v>
      </c>
      <c r="J373" s="26" t="n">
        <v>6.44</v>
      </c>
      <c r="K373" s="27" t="n">
        <f aca="false">MIN(F373,G373)</f>
        <v>-5.74610198350722</v>
      </c>
      <c r="L373" s="27" t="n">
        <f aca="false">AVERAGE(F373,G373)</f>
        <v>-5.67453481185961</v>
      </c>
      <c r="M373" s="27" t="n">
        <f aca="false">MAX(0,NG-L373)</f>
        <v>4.97453481185961</v>
      </c>
      <c r="N373" s="27" t="n">
        <f aca="false">MAX(0,GWL-K373)</f>
        <v>4.24610198350722</v>
      </c>
      <c r="O373" s="27" t="n">
        <f aca="false">MAX(0,NG-MAX(K373,GWL))</f>
        <v>0.8</v>
      </c>
      <c r="P373" s="27" t="n">
        <f aca="false">E373/2+WS+SLOPE_A*O373+SLOPE_B*N373</f>
        <v>11.7270021998119</v>
      </c>
      <c r="Q373" s="28" t="str">
        <f aca="false">IF(AND(P373&lt;J373,N373&lt;=MAXOC),"Open cut","Shoring")</f>
        <v>Shoring</v>
      </c>
      <c r="R373" s="27" t="n">
        <f aca="false">IF(Q373="Shoring",D373,0)</f>
        <v>9.99999999974697</v>
      </c>
      <c r="S373" s="27" t="n">
        <f aca="false">MAX(0,GWL-L373)</f>
        <v>4.17453481185961</v>
      </c>
      <c r="T373" s="27" t="n">
        <f aca="false">MAX(0,NG-MAX(L373,GWL))</f>
        <v>0.8</v>
      </c>
      <c r="U373" s="27" t="n">
        <f aca="false">E373+2*WS</f>
        <v>4.06959646559489</v>
      </c>
      <c r="V373" s="27" t="n">
        <f aca="false">IF(Q373="Shoring",D373*M373*U373,0)</f>
        <v>202.443492878104</v>
      </c>
      <c r="W373" s="27" t="n">
        <f aca="false">IF(Q373="Open cut",D373*(U373*M373+SLOPE_B*S373^2+2*SLOPE_B*S373*T373+SLOPE_A*T373^2),0)</f>
        <v>0</v>
      </c>
      <c r="X373" s="27" t="n">
        <f aca="false">IF(M373&gt;0,D373*(E373+2*SLABOVH)*SLAB,0)</f>
        <v>15.3479823275861</v>
      </c>
      <c r="Y373" s="27" t="n">
        <f aca="false">IF(M373&gt;0,D373*PI()*E373^2/4,0)</f>
        <v>33.64040606503</v>
      </c>
      <c r="Z373" s="27" t="n">
        <f aca="false">IF(H373-E373&gt;=GWL,99,E373*(MAX(0,GWL-H373)*(GAM_S-GAM_W)+MAX(0,NG-MAX(H373,GWL))*GAM_D)/(GAM_W*PI()*E373^2/4))</f>
        <v>1.76414438516879</v>
      </c>
      <c r="AA373" s="27" t="n">
        <f aca="false">IF(I373-E373&gt;=GWL,99,E373*(MAX(0,GWL-I373)*(GAM_S-GAM_W)+MAX(0,NG-MAX(I373,GWL))*GAM_D)/(GAM_W*PI()*E373^2/4))</f>
        <v>1.69062816177672</v>
      </c>
      <c r="AB373" s="27" t="n">
        <f aca="false">IF(H373-E373&gt;=GWL,99,E373*(MAX(0,GWL-H373)*(GAM_S-GAM_W)+MAX(0,FL-MAX(H373,GWL))*GAM_D)/(GAM_W*PI()*E373^2/4))</f>
        <v>3.68315273189636</v>
      </c>
      <c r="AC373" s="27" t="n">
        <f aca="false">IF(I373-E373&gt;=GWL,99,E373*(MAX(0,GWL-I373)*(GAM_S-GAM_W)+MAX(0,FL-MAX(I373,GWL))*GAM_D)/(GAM_W*PI()*E373^2/4))</f>
        <v>3.60963650850428</v>
      </c>
    </row>
    <row r="374" customFormat="false" ht="15" hidden="false" customHeight="false" outlineLevel="0" collapsed="false">
      <c r="A374" s="25" t="s">
        <v>819</v>
      </c>
      <c r="B374" s="25" t="s">
        <v>858</v>
      </c>
      <c r="C374" s="25" t="s">
        <v>865</v>
      </c>
      <c r="D374" s="26" t="n">
        <v>9.60000000027265</v>
      </c>
      <c r="E374" s="26" t="n">
        <v>2.06959646559489</v>
      </c>
      <c r="F374" s="26" t="n">
        <v>-5.60296764021201</v>
      </c>
      <c r="G374" s="26" t="n">
        <v>-5.46555867064862</v>
      </c>
      <c r="H374" s="26" t="n">
        <v>-3.03337117461712</v>
      </c>
      <c r="I374" s="26" t="n">
        <v>-2.89596220505373</v>
      </c>
      <c r="J374" s="26" t="n">
        <v>5.57</v>
      </c>
      <c r="K374" s="27" t="n">
        <f aca="false">MIN(F374,G374)</f>
        <v>-5.60296764021201</v>
      </c>
      <c r="L374" s="27" t="n">
        <f aca="false">AVERAGE(F374,G374)</f>
        <v>-5.53426315543031</v>
      </c>
      <c r="M374" s="27" t="n">
        <f aca="false">MAX(0,NG-L374)</f>
        <v>4.83426315543031</v>
      </c>
      <c r="N374" s="27" t="n">
        <f aca="false">MAX(0,GWL-K374)</f>
        <v>4.10296764021201</v>
      </c>
      <c r="O374" s="27" t="n">
        <f aca="false">MAX(0,NG-MAX(K374,GWL))</f>
        <v>0.8</v>
      </c>
      <c r="P374" s="27" t="n">
        <f aca="false">E374/2+WS+SLOPE_A*O374+SLOPE_B*N374</f>
        <v>11.4407335132215</v>
      </c>
      <c r="Q374" s="28" t="str">
        <f aca="false">IF(AND(P374&lt;J374,N374&lt;=MAXOC),"Open cut","Shoring")</f>
        <v>Shoring</v>
      </c>
      <c r="R374" s="27" t="n">
        <f aca="false">IF(Q374="Shoring",D374,0)</f>
        <v>9.60000000027265</v>
      </c>
      <c r="S374" s="27" t="n">
        <f aca="false">MAX(0,GWL-L374)</f>
        <v>4.03426315543031</v>
      </c>
      <c r="T374" s="27" t="n">
        <f aca="false">MAX(0,NG-MAX(L374,GWL))</f>
        <v>0.8</v>
      </c>
      <c r="U374" s="27" t="n">
        <f aca="false">E374+2*WS</f>
        <v>4.06959646559489</v>
      </c>
      <c r="V374" s="27" t="n">
        <f aca="false">IF(Q374="Shoring",D374*M374*U374,0)</f>
        <v>188.865602415874</v>
      </c>
      <c r="W374" s="27" t="n">
        <f aca="false">IF(Q374="Open cut",D374*(U374*M374+SLOPE_B*S374^2+2*SLOPE_B*S374*T374+SLOPE_A*T374^2),0)</f>
        <v>0</v>
      </c>
      <c r="X374" s="27" t="n">
        <f aca="false">IF(M374&gt;0,D374*(E374+2*SLABOVH)*SLAB,0)</f>
        <v>14.7340630352739</v>
      </c>
      <c r="Y374" s="27" t="n">
        <f aca="false">IF(M374&gt;0,D374*PI()*E374^2/4,0)</f>
        <v>32.2947898241631</v>
      </c>
      <c r="Z374" s="27" t="n">
        <f aca="false">IF(H374-E374&gt;=GWL,99,E374*(MAX(0,GWL-H374)*(GAM_S-GAM_W)+MAX(0,NG-MAX(H374,GWL))*GAM_D)/(GAM_W*PI()*E374^2/4))</f>
        <v>1.69062816177672</v>
      </c>
      <c r="AA374" s="27" t="n">
        <f aca="false">IF(I374-E374&gt;=GWL,99,E374*(MAX(0,GWL-I374)*(GAM_S-GAM_W)+MAX(0,NG-MAX(I374,GWL))*GAM_D)/(GAM_W*PI()*E374^2/4))</f>
        <v>1.62005258732033</v>
      </c>
      <c r="AB374" s="27" t="n">
        <f aca="false">IF(H374-E374&gt;=GWL,99,E374*(MAX(0,GWL-H374)*(GAM_S-GAM_W)+MAX(0,FL-MAX(H374,GWL))*GAM_D)/(GAM_W*PI()*E374^2/4))</f>
        <v>3.60963650850428</v>
      </c>
      <c r="AC374" s="27" t="n">
        <f aca="false">IF(I374-E374&gt;=GWL,99,E374*(MAX(0,GWL-I374)*(GAM_S-GAM_W)+MAX(0,FL-MAX(I374,GWL))*GAM_D)/(GAM_W*PI()*E374^2/4))</f>
        <v>3.53906093404789</v>
      </c>
    </row>
    <row r="375" customFormat="false" ht="15" hidden="false" customHeight="false" outlineLevel="0" collapsed="false">
      <c r="A375" s="25" t="s">
        <v>819</v>
      </c>
      <c r="B375" s="25" t="s">
        <v>866</v>
      </c>
      <c r="C375" s="25" t="s">
        <v>867</v>
      </c>
      <c r="D375" s="26" t="n">
        <v>0.39999999994154</v>
      </c>
      <c r="E375" s="26" t="n">
        <v>2.06959646559489</v>
      </c>
      <c r="F375" s="26" t="n">
        <v>-5.46555867064862</v>
      </c>
      <c r="G375" s="26" t="n">
        <v>-5.45983329691681</v>
      </c>
      <c r="H375" s="26" t="n">
        <v>-2.89596220505373</v>
      </c>
      <c r="I375" s="26" t="n">
        <v>-2.89023683132192</v>
      </c>
      <c r="J375" s="26" t="n">
        <v>5.58</v>
      </c>
      <c r="K375" s="27" t="n">
        <f aca="false">MIN(F375,G375)</f>
        <v>-5.46555867064862</v>
      </c>
      <c r="L375" s="27" t="n">
        <f aca="false">AVERAGE(F375,G375)</f>
        <v>-5.46269598378271</v>
      </c>
      <c r="M375" s="27" t="n">
        <f aca="false">MAX(0,NG-L375)</f>
        <v>4.76269598378271</v>
      </c>
      <c r="N375" s="27" t="n">
        <f aca="false">MAX(0,GWL-K375)</f>
        <v>3.96555867064861</v>
      </c>
      <c r="O375" s="27" t="n">
        <f aca="false">MAX(0,NG-MAX(K375,GWL))</f>
        <v>0.8</v>
      </c>
      <c r="P375" s="27" t="n">
        <f aca="false">E375/2+WS+SLOPE_A*O375+SLOPE_B*N375</f>
        <v>11.1659155740947</v>
      </c>
      <c r="Q375" s="28" t="str">
        <f aca="false">IF(AND(P375&lt;J375,N375&lt;=MAXOC),"Open cut","Shoring")</f>
        <v>Shoring</v>
      </c>
      <c r="R375" s="27" t="n">
        <f aca="false">IF(Q375="Shoring",D375,0)</f>
        <v>0.39999999994154</v>
      </c>
      <c r="S375" s="27" t="n">
        <f aca="false">MAX(0,GWL-L375)</f>
        <v>3.96269598378271</v>
      </c>
      <c r="T375" s="27" t="n">
        <f aca="false">MAX(0,NG-MAX(L375,GWL))</f>
        <v>0.8</v>
      </c>
      <c r="U375" s="27" t="n">
        <f aca="false">E375+2*WS</f>
        <v>4.06959646559489</v>
      </c>
      <c r="V375" s="27" t="n">
        <f aca="false">IF(Q375="Shoring",D375*M375*U375,0)</f>
        <v>7.75290029578895</v>
      </c>
      <c r="W375" s="27" t="n">
        <f aca="false">IF(Q375="Open cut",D375*(U375*M375+SLOPE_B*S375^2+2*SLOPE_B*S375*T375+SLOPE_A*T375^2),0)</f>
        <v>0</v>
      </c>
      <c r="X375" s="27" t="n">
        <f aca="false">IF(M375&gt;0,D375*(E375+2*SLABOVH)*SLAB,0)</f>
        <v>0.613919293029253</v>
      </c>
      <c r="Y375" s="27" t="n">
        <f aca="false">IF(M375&gt;0,D375*PI()*E375^2/4,0)</f>
        <v>1.34561624243858</v>
      </c>
      <c r="Z375" s="27" t="n">
        <f aca="false">IF(H375-E375&gt;=GWL,99,E375*(MAX(0,GWL-H375)*(GAM_S-GAM_W)+MAX(0,NG-MAX(H375,GWL))*GAM_D)/(GAM_W*PI()*E375^2/4))</f>
        <v>1.62005258732033</v>
      </c>
      <c r="AA375" s="27" t="n">
        <f aca="false">IF(I375-E375&gt;=GWL,99,E375*(MAX(0,GWL-I375)*(GAM_S-GAM_W)+MAX(0,NG-MAX(I375,GWL))*GAM_D)/(GAM_W*PI()*E375^2/4))</f>
        <v>1.61711193838465</v>
      </c>
      <c r="AB375" s="27" t="n">
        <f aca="false">IF(H375-E375&gt;=GWL,99,E375*(MAX(0,GWL-H375)*(GAM_S-GAM_W)+MAX(0,FL-MAX(H375,GWL))*GAM_D)/(GAM_W*PI()*E375^2/4))</f>
        <v>3.53906093404789</v>
      </c>
      <c r="AC375" s="27" t="n">
        <f aca="false">IF(I375-E375&gt;=GWL,99,E375*(MAX(0,GWL-I375)*(GAM_S-GAM_W)+MAX(0,FL-MAX(I375,GWL))*GAM_D)/(GAM_W*PI()*E375^2/4))</f>
        <v>3.53612028511221</v>
      </c>
    </row>
    <row r="376" customFormat="false" ht="15" hidden="false" customHeight="false" outlineLevel="0" collapsed="false">
      <c r="A376" s="25" t="s">
        <v>819</v>
      </c>
      <c r="B376" s="25" t="s">
        <v>866</v>
      </c>
      <c r="C376" s="25" t="s">
        <v>868</v>
      </c>
      <c r="D376" s="26" t="n">
        <v>9.99999999974697</v>
      </c>
      <c r="E376" s="26" t="n">
        <v>2.06959646559489</v>
      </c>
      <c r="F376" s="26" t="n">
        <v>-5.45983329691681</v>
      </c>
      <c r="G376" s="26" t="n">
        <v>-5.3166989536216</v>
      </c>
      <c r="H376" s="26" t="n">
        <v>-2.89023683132192</v>
      </c>
      <c r="I376" s="26" t="n">
        <v>-2.74710248802671</v>
      </c>
      <c r="J376" s="26" t="n">
        <v>5.58</v>
      </c>
      <c r="K376" s="27" t="n">
        <f aca="false">MIN(F376,G376)</f>
        <v>-5.45983329691681</v>
      </c>
      <c r="L376" s="27" t="n">
        <f aca="false">AVERAGE(F376,G376)</f>
        <v>-5.3882661252692</v>
      </c>
      <c r="M376" s="27" t="n">
        <f aca="false">MAX(0,NG-L376)</f>
        <v>4.6882661252692</v>
      </c>
      <c r="N376" s="27" t="n">
        <f aca="false">MAX(0,GWL-K376)</f>
        <v>3.95983329691681</v>
      </c>
      <c r="O376" s="27" t="n">
        <f aca="false">MAX(0,NG-MAX(K376,GWL))</f>
        <v>0.8</v>
      </c>
      <c r="P376" s="27" t="n">
        <f aca="false">E376/2+WS+SLOPE_A*O376+SLOPE_B*N376</f>
        <v>11.1544648266311</v>
      </c>
      <c r="Q376" s="28" t="str">
        <f aca="false">IF(AND(P376&lt;J376,N376&lt;=MAXOC),"Open cut","Shoring")</f>
        <v>Shoring</v>
      </c>
      <c r="R376" s="27" t="n">
        <f aca="false">IF(Q376="Shoring",D376,0)</f>
        <v>9.99999999974697</v>
      </c>
      <c r="S376" s="27" t="n">
        <f aca="false">MAX(0,GWL-L376)</f>
        <v>3.8882661252692</v>
      </c>
      <c r="T376" s="27" t="n">
        <f aca="false">MAX(0,NG-MAX(L376,GWL))</f>
        <v>0.8</v>
      </c>
      <c r="U376" s="27" t="n">
        <f aca="false">E376+2*WS</f>
        <v>4.06959646559489</v>
      </c>
      <c r="V376" s="27" t="n">
        <f aca="false">IF(Q376="Shoring",D376*M376*U376,0)</f>
        <v>190.79351252681</v>
      </c>
      <c r="W376" s="27" t="n">
        <f aca="false">IF(Q376="Open cut",D376*(U376*M376+SLOPE_B*S376^2+2*SLOPE_B*S376*T376+SLOPE_A*T376^2),0)</f>
        <v>0</v>
      </c>
      <c r="X376" s="27" t="n">
        <f aca="false">IF(M376&gt;0,D376*(E376+2*SLABOVH)*SLAB,0)</f>
        <v>15.3479823275861</v>
      </c>
      <c r="Y376" s="27" t="n">
        <f aca="false">IF(M376&gt;0,D376*PI()*E376^2/4,0)</f>
        <v>33.64040606503</v>
      </c>
      <c r="Z376" s="27" t="n">
        <f aca="false">IF(H376-E376&gt;=GWL,99,E376*(MAX(0,GWL-H376)*(GAM_S-GAM_W)+MAX(0,NG-MAX(H376,GWL))*GAM_D)/(GAM_W*PI()*E376^2/4))</f>
        <v>1.61711193838465</v>
      </c>
      <c r="AA376" s="27" t="n">
        <f aca="false">IF(I376-E376&gt;=GWL,99,E376*(MAX(0,GWL-I376)*(GAM_S-GAM_W)+MAX(0,NG-MAX(I376,GWL))*GAM_D)/(GAM_W*PI()*E376^2/4))</f>
        <v>1.54359571499257</v>
      </c>
      <c r="AB376" s="27" t="n">
        <f aca="false">IF(H376-E376&gt;=GWL,99,E376*(MAX(0,GWL-H376)*(GAM_S-GAM_W)+MAX(0,FL-MAX(H376,GWL))*GAM_D)/(GAM_W*PI()*E376^2/4))</f>
        <v>3.53612028511221</v>
      </c>
      <c r="AC376" s="27" t="n">
        <f aca="false">IF(I376-E376&gt;=GWL,99,E376*(MAX(0,GWL-I376)*(GAM_S-GAM_W)+MAX(0,FL-MAX(I376,GWL))*GAM_D)/(GAM_W*PI()*E376^2/4))</f>
        <v>3.46260406172014</v>
      </c>
    </row>
    <row r="377" customFormat="false" ht="15" hidden="false" customHeight="false" outlineLevel="0" collapsed="false">
      <c r="A377" s="25" t="s">
        <v>819</v>
      </c>
      <c r="B377" s="25" t="s">
        <v>866</v>
      </c>
      <c r="C377" s="25" t="s">
        <v>869</v>
      </c>
      <c r="D377" s="26" t="n">
        <v>6.70800000007737</v>
      </c>
      <c r="E377" s="26" t="n">
        <v>2.06959646559489</v>
      </c>
      <c r="F377" s="26" t="n">
        <v>-5.3166989536216</v>
      </c>
      <c r="G377" s="26" t="n">
        <v>-5.22068443613918</v>
      </c>
      <c r="H377" s="26" t="n">
        <v>-2.74710248802671</v>
      </c>
      <c r="I377" s="26" t="n">
        <v>-2.65108797054429</v>
      </c>
      <c r="J377" s="26" t="n">
        <v>6.05</v>
      </c>
      <c r="K377" s="27" t="n">
        <f aca="false">MIN(F377,G377)</f>
        <v>-5.3166989536216</v>
      </c>
      <c r="L377" s="27" t="n">
        <f aca="false">AVERAGE(F377,G377)</f>
        <v>-5.26869169488039</v>
      </c>
      <c r="M377" s="27" t="n">
        <f aca="false">MAX(0,NG-L377)</f>
        <v>4.56869169488039</v>
      </c>
      <c r="N377" s="27" t="n">
        <f aca="false">MAX(0,GWL-K377)</f>
        <v>3.8166989536216</v>
      </c>
      <c r="O377" s="27" t="n">
        <f aca="false">MAX(0,NG-MAX(K377,GWL))</f>
        <v>0.8</v>
      </c>
      <c r="P377" s="27" t="n">
        <f aca="false">E377/2+WS+SLOPE_A*O377+SLOPE_B*N377</f>
        <v>10.8681961400406</v>
      </c>
      <c r="Q377" s="28" t="str">
        <f aca="false">IF(AND(P377&lt;J377,N377&lt;=MAXOC),"Open cut","Shoring")</f>
        <v>Shoring</v>
      </c>
      <c r="R377" s="27" t="n">
        <f aca="false">IF(Q377="Shoring",D377,0)</f>
        <v>6.70800000007737</v>
      </c>
      <c r="S377" s="27" t="n">
        <f aca="false">MAX(0,GWL-L377)</f>
        <v>3.76869169488039</v>
      </c>
      <c r="T377" s="27" t="n">
        <f aca="false">MAX(0,NG-MAX(L377,GWL))</f>
        <v>0.8</v>
      </c>
      <c r="U377" s="27" t="n">
        <f aca="false">E377+2*WS</f>
        <v>4.06959646559489</v>
      </c>
      <c r="V377" s="27" t="n">
        <f aca="false">IF(Q377="Shoring",D377*M377*U377,0)</f>
        <v>124.720043399012</v>
      </c>
      <c r="W377" s="27" t="n">
        <f aca="false">IF(Q377="Open cut",D377*(U377*M377+SLOPE_B*S377^2+2*SLOPE_B*S377*T377+SLOPE_A*T377^2),0)</f>
        <v>0</v>
      </c>
      <c r="X377" s="27" t="n">
        <f aca="false">IF(M377&gt;0,D377*(E377+2*SLABOVH)*SLAB,0)</f>
        <v>10.295426545724</v>
      </c>
      <c r="Y377" s="27" t="n">
        <f aca="false">IF(M377&gt;0,D377*PI()*E377^2/4,0)</f>
        <v>22.5659843892534</v>
      </c>
      <c r="Z377" s="27" t="n">
        <f aca="false">IF(H377-E377&gt;=GWL,99,E377*(MAX(0,GWL-H377)*(GAM_S-GAM_W)+MAX(0,NG-MAX(H377,GWL))*GAM_D)/(GAM_W*PI()*E377^2/4))</f>
        <v>1.54359571499257</v>
      </c>
      <c r="AA377" s="27" t="n">
        <f aca="false">IF(I377-E377&gt;=GWL,99,E377*(MAX(0,GWL-I377)*(GAM_S-GAM_W)+MAX(0,NG-MAX(I377,GWL))*GAM_D)/(GAM_W*PI()*E377^2/4))</f>
        <v>1.49428103234117</v>
      </c>
      <c r="AB377" s="27" t="n">
        <f aca="false">IF(H377-E377&gt;=GWL,99,E377*(MAX(0,GWL-H377)*(GAM_S-GAM_W)+MAX(0,FL-MAX(H377,GWL))*GAM_D)/(GAM_W*PI()*E377^2/4))</f>
        <v>3.46260406172014</v>
      </c>
      <c r="AC377" s="27" t="n">
        <f aca="false">IF(I377-E377&gt;=GWL,99,E377*(MAX(0,GWL-I377)*(GAM_S-GAM_W)+MAX(0,FL-MAX(I377,GWL))*GAM_D)/(GAM_W*PI()*E377^2/4))</f>
        <v>3.41328937906873</v>
      </c>
    </row>
    <row r="378" customFormat="false" ht="15" hidden="false" customHeight="false" outlineLevel="0" collapsed="false">
      <c r="A378" s="25" t="s">
        <v>819</v>
      </c>
      <c r="B378" s="25" t="s">
        <v>870</v>
      </c>
      <c r="C378" s="25" t="s">
        <v>871</v>
      </c>
      <c r="D378" s="26" t="n">
        <v>3.2919999996696</v>
      </c>
      <c r="E378" s="26" t="n">
        <v>2.06959646559489</v>
      </c>
      <c r="F378" s="26" t="n">
        <v>-5.22068443613918</v>
      </c>
      <c r="G378" s="26" t="n">
        <v>-5.1735646103264</v>
      </c>
      <c r="H378" s="26" t="n">
        <v>-2.65108797054429</v>
      </c>
      <c r="I378" s="26" t="n">
        <v>-2.60396814473151</v>
      </c>
      <c r="J378" s="26" t="n">
        <v>6.08</v>
      </c>
      <c r="K378" s="27" t="n">
        <f aca="false">MIN(F378,G378)</f>
        <v>-5.22068443613918</v>
      </c>
      <c r="L378" s="27" t="n">
        <f aca="false">AVERAGE(F378,G378)</f>
        <v>-5.19712452323279</v>
      </c>
      <c r="M378" s="27" t="n">
        <f aca="false">MAX(0,NG-L378)</f>
        <v>4.49712452323279</v>
      </c>
      <c r="N378" s="27" t="n">
        <f aca="false">MAX(0,GWL-K378)</f>
        <v>3.72068443613918</v>
      </c>
      <c r="O378" s="27" t="n">
        <f aca="false">MAX(0,NG-MAX(K378,GWL))</f>
        <v>0.8</v>
      </c>
      <c r="P378" s="27" t="n">
        <f aca="false">E378/2+WS+SLOPE_A*O378+SLOPE_B*N378</f>
        <v>10.6761671050758</v>
      </c>
      <c r="Q378" s="28" t="str">
        <f aca="false">IF(AND(P378&lt;J378,N378&lt;=MAXOC),"Open cut","Shoring")</f>
        <v>Shoring</v>
      </c>
      <c r="R378" s="27" t="n">
        <f aca="false">IF(Q378="Shoring",D378,0)</f>
        <v>3.2919999996696</v>
      </c>
      <c r="S378" s="27" t="n">
        <f aca="false">MAX(0,GWL-L378)</f>
        <v>3.69712452323279</v>
      </c>
      <c r="T378" s="27" t="n">
        <f aca="false">MAX(0,NG-MAX(L378,GWL))</f>
        <v>0.8</v>
      </c>
      <c r="U378" s="27" t="n">
        <f aca="false">E378+2*WS</f>
        <v>4.06959646559489</v>
      </c>
      <c r="V378" s="27" t="n">
        <f aca="false">IF(Q378="Shoring",D378*M378*U378,0)</f>
        <v>60.2484789522237</v>
      </c>
      <c r="W378" s="27" t="n">
        <f aca="false">IF(Q378="Open cut",D378*(U378*M378+SLOPE_B*S378^2+2*SLOPE_B*S378*T378+SLOPE_A*T378^2),0)</f>
        <v>0</v>
      </c>
      <c r="X378" s="27" t="n">
        <f aca="false">IF(M378&gt;0,D378*(E378+2*SLABOVH)*SLAB,0)</f>
        <v>5.05255578186209</v>
      </c>
      <c r="Y378" s="27" t="n">
        <f aca="false">IF(M378&gt;0,D378*PI()*E378^2/4,0)</f>
        <v>11.0744216757766</v>
      </c>
      <c r="Z378" s="27" t="n">
        <f aca="false">IF(H378-E378&gt;=GWL,99,E378*(MAX(0,GWL-H378)*(GAM_S-GAM_W)+MAX(0,NG-MAX(H378,GWL))*GAM_D)/(GAM_W*PI()*E378^2/4))</f>
        <v>1.49428103234117</v>
      </c>
      <c r="AA378" s="27" t="n">
        <f aca="false">IF(I378-E378&gt;=GWL,99,E378*(MAX(0,GWL-I378)*(GAM_S-GAM_W)+MAX(0,NG-MAX(I378,GWL))*GAM_D)/(GAM_W*PI()*E378^2/4))</f>
        <v>1.4700794916005</v>
      </c>
      <c r="AB378" s="27" t="n">
        <f aca="false">IF(H378-E378&gt;=GWL,99,E378*(MAX(0,GWL-H378)*(GAM_S-GAM_W)+MAX(0,FL-MAX(H378,GWL))*GAM_D)/(GAM_W*PI()*E378^2/4))</f>
        <v>3.41328937906873</v>
      </c>
      <c r="AC378" s="27" t="n">
        <f aca="false">IF(I378-E378&gt;=GWL,99,E378*(MAX(0,GWL-I378)*(GAM_S-GAM_W)+MAX(0,FL-MAX(I378,GWL))*GAM_D)/(GAM_W*PI()*E378^2/4))</f>
        <v>3.38908783832806</v>
      </c>
    </row>
    <row r="379" customFormat="false" ht="15" hidden="false" customHeight="false" outlineLevel="0" collapsed="false">
      <c r="A379" s="25" t="s">
        <v>819</v>
      </c>
      <c r="B379" s="25" t="s">
        <v>870</v>
      </c>
      <c r="C379" s="25" t="s">
        <v>872</v>
      </c>
      <c r="D379" s="26" t="n">
        <v>2.70839105675323</v>
      </c>
      <c r="E379" s="26" t="n">
        <v>2.06959646559489</v>
      </c>
      <c r="F379" s="26" t="n">
        <v>-5.1735646103264</v>
      </c>
      <c r="G379" s="26" t="n">
        <v>-5.13479823279744</v>
      </c>
      <c r="H379" s="26" t="n">
        <v>-2.60396814473151</v>
      </c>
      <c r="I379" s="26" t="n">
        <v>-2.56520176720256</v>
      </c>
      <c r="J379" s="26" t="n">
        <v>7.18</v>
      </c>
      <c r="K379" s="27" t="n">
        <f aca="false">MIN(F379,G379)</f>
        <v>-5.1735646103264</v>
      </c>
      <c r="L379" s="27" t="n">
        <f aca="false">AVERAGE(F379,G379)</f>
        <v>-5.15418142156192</v>
      </c>
      <c r="M379" s="27" t="n">
        <f aca="false">MAX(0,NG-L379)</f>
        <v>4.45418142156192</v>
      </c>
      <c r="N379" s="27" t="n">
        <f aca="false">MAX(0,GWL-K379)</f>
        <v>3.67356461032639</v>
      </c>
      <c r="O379" s="27" t="n">
        <f aca="false">MAX(0,NG-MAX(K379,GWL))</f>
        <v>0.8</v>
      </c>
      <c r="P379" s="27" t="n">
        <f aca="false">E379/2+WS+SLOPE_A*O379+SLOPE_B*N379</f>
        <v>10.5819274534502</v>
      </c>
      <c r="Q379" s="28" t="str">
        <f aca="false">IF(AND(P379&lt;J379,N379&lt;=MAXOC),"Open cut","Shoring")</f>
        <v>Shoring</v>
      </c>
      <c r="R379" s="27" t="n">
        <f aca="false">IF(Q379="Shoring",D379,0)</f>
        <v>2.70839105675323</v>
      </c>
      <c r="S379" s="27" t="n">
        <f aca="false">MAX(0,GWL-L379)</f>
        <v>3.65418142156192</v>
      </c>
      <c r="T379" s="27" t="n">
        <f aca="false">MAX(0,NG-MAX(L379,GWL))</f>
        <v>0.8</v>
      </c>
      <c r="U379" s="27" t="n">
        <f aca="false">E379+2*WS</f>
        <v>4.06959646559489</v>
      </c>
      <c r="V379" s="27" t="n">
        <f aca="false">IF(Q379="Shoring",D379*M379*U379,0)</f>
        <v>49.0942489642401</v>
      </c>
      <c r="W379" s="27" t="n">
        <f aca="false">IF(Q379="Open cut",D379*(U379*M379+SLOPE_B*S379^2+2*SLOPE_B*S379*T379+SLOPE_A*T379^2),0)</f>
        <v>0</v>
      </c>
      <c r="X379" s="27" t="n">
        <f aca="false">IF(M379&gt;0,D379*(E379+2*SLABOVH)*SLAB,0)</f>
        <v>4.15683380762926</v>
      </c>
      <c r="Y379" s="27" t="n">
        <f aca="false">IF(M379&gt;0,D379*PI()*E379^2/4,0)</f>
        <v>9.11113749343796</v>
      </c>
      <c r="Z379" s="27" t="n">
        <f aca="false">IF(H379-E379&gt;=GWL,99,E379*(MAX(0,GWL-H379)*(GAM_S-GAM_W)+MAX(0,NG-MAX(H379,GWL))*GAM_D)/(GAM_W*PI()*E379^2/4))</f>
        <v>1.4700794916005</v>
      </c>
      <c r="AA379" s="27" t="n">
        <f aca="false">IF(I379-E379&gt;=GWL,99,E379*(MAX(0,GWL-I379)*(GAM_S-GAM_W)+MAX(0,NG-MAX(I379,GWL))*GAM_D)/(GAM_W*PI()*E379^2/4))</f>
        <v>1.45016842340465</v>
      </c>
      <c r="AB379" s="27" t="n">
        <f aca="false">IF(H379-E379&gt;=GWL,99,E379*(MAX(0,GWL-H379)*(GAM_S-GAM_W)+MAX(0,FL-MAX(H379,GWL))*GAM_D)/(GAM_W*PI()*E379^2/4))</f>
        <v>3.38908783832806</v>
      </c>
      <c r="AC379" s="27" t="n">
        <f aca="false">IF(I379-E379&gt;=GWL,99,E379*(MAX(0,GWL-I379)*(GAM_S-GAM_W)+MAX(0,FL-MAX(I379,GWL))*GAM_D)/(GAM_W*PI()*E379^2/4))</f>
        <v>3.36917677013221</v>
      </c>
    </row>
    <row r="380" customFormat="false" ht="15" hidden="false" customHeight="false" outlineLevel="0" collapsed="false">
      <c r="A380" s="25" t="s">
        <v>873</v>
      </c>
      <c r="B380" s="25" t="s">
        <v>874</v>
      </c>
      <c r="C380" s="25" t="s">
        <v>875</v>
      </c>
      <c r="D380" s="26" t="n">
        <v>10.0000000000706</v>
      </c>
      <c r="E380" s="26" t="n">
        <v>1.19999607896521</v>
      </c>
      <c r="F380" s="26" t="n">
        <v>-2.69999803948261</v>
      </c>
      <c r="G380" s="26" t="n">
        <v>-2.69999803948261</v>
      </c>
      <c r="H380" s="26" t="n">
        <v>-1.0000019605174</v>
      </c>
      <c r="I380" s="26" t="n">
        <v>-1.0000019605174</v>
      </c>
      <c r="J380" s="26" t="n">
        <v>99</v>
      </c>
      <c r="K380" s="27" t="n">
        <f aca="false">MIN(F380,G380)</f>
        <v>-2.69999803948261</v>
      </c>
      <c r="L380" s="27" t="n">
        <f aca="false">AVERAGE(F380,G380)</f>
        <v>-2.69999803948261</v>
      </c>
      <c r="M380" s="27" t="n">
        <f aca="false">MAX(0,NG-L380)</f>
        <v>1.99999803948261</v>
      </c>
      <c r="N380" s="27" t="n">
        <f aca="false">MAX(0,GWL-K380)</f>
        <v>1.19999803948261</v>
      </c>
      <c r="O380" s="27" t="n">
        <f aca="false">MAX(0,NG-MAX(K380,GWL))</f>
        <v>0.8</v>
      </c>
      <c r="P380" s="27" t="n">
        <f aca="false">E380/2+WS+SLOPE_A*O380+SLOPE_B*N380</f>
        <v>5.19999411844782</v>
      </c>
      <c r="Q380" s="28" t="str">
        <f aca="false">IF(AND(P380&lt;J380,N380&lt;=MAXOC),"Open cut","Shoring")</f>
        <v>Open cut</v>
      </c>
      <c r="R380" s="27" t="n">
        <f aca="false">IF(Q380="Shoring",D380,0)</f>
        <v>0</v>
      </c>
      <c r="S380" s="27" t="n">
        <f aca="false">MAX(0,GWL-L380)</f>
        <v>1.19999803948261</v>
      </c>
      <c r="T380" s="27" t="n">
        <f aca="false">MAX(0,NG-MAX(L380,GWL))</f>
        <v>0.8</v>
      </c>
      <c r="U380" s="27" t="n">
        <f aca="false">E380+2*WS</f>
        <v>3.19999607896521</v>
      </c>
      <c r="V380" s="27" t="n">
        <f aca="false">IF(Q380="Shoring",D380*M380*U380,0)</f>
        <v>0</v>
      </c>
      <c r="W380" s="27" t="n">
        <f aca="false">IF(Q380="Open cut",D380*(U380*M380+SLOPE_B*S380^2+2*SLOPE_B*S380*T380+SLOPE_A*T380^2),0)</f>
        <v>140.799702002504</v>
      </c>
      <c r="X380" s="27" t="n">
        <f aca="false">IF(M380&gt;0,D380*(E380+2*SLABOVH)*SLAB,0)</f>
        <v>10.9999803949037</v>
      </c>
      <c r="Y380" s="27" t="n">
        <f aca="false">IF(M380&gt;0,D380*PI()*E380^2/4,0)</f>
        <v>11.3096596433593</v>
      </c>
      <c r="Z380" s="27" t="n">
        <f aca="false">IF(H380-E380&gt;=GWL,99,E380*(MAX(0,GWL-H380)*(GAM_S-GAM_W)+MAX(0,NG-MAX(H380,GWL))*GAM_D)/(GAM_W*PI()*E380^2/4))</f>
        <v>0.584060562301524</v>
      </c>
      <c r="AA380" s="27" t="n">
        <f aca="false">IF(I380-E380&gt;=GWL,99,E380*(MAX(0,GWL-I380)*(GAM_S-GAM_W)+MAX(0,NG-MAX(I380,GWL))*GAM_D)/(GAM_W*PI()*E380^2/4))</f>
        <v>0.584060562301524</v>
      </c>
      <c r="AB380" s="27" t="n">
        <f aca="false">IF(H380-E380&gt;=GWL,99,E380*(MAX(0,GWL-H380)*(GAM_S-GAM_W)+MAX(0,FL-MAX(H380,GWL))*GAM_D)/(GAM_W*PI()*E380^2/4))</f>
        <v>3.89371545322354</v>
      </c>
      <c r="AC380" s="27" t="n">
        <f aca="false">IF(I380-E380&gt;=GWL,99,E380*(MAX(0,GWL-I380)*(GAM_S-GAM_W)+MAX(0,FL-MAX(I380,GWL))*GAM_D)/(GAM_W*PI()*E380^2/4))</f>
        <v>3.89371545322354</v>
      </c>
    </row>
    <row r="381" customFormat="false" ht="15" hidden="false" customHeight="false" outlineLevel="0" collapsed="false">
      <c r="A381" s="25" t="s">
        <v>873</v>
      </c>
      <c r="B381" s="25" t="s">
        <v>874</v>
      </c>
      <c r="C381" s="25" t="s">
        <v>876</v>
      </c>
      <c r="D381" s="26" t="n">
        <v>1.2981999999238</v>
      </c>
      <c r="E381" s="26" t="n">
        <v>1.19999607896521</v>
      </c>
      <c r="F381" s="26" t="n">
        <v>-2.69999803948261</v>
      </c>
      <c r="G381" s="26" t="n">
        <v>-2.69999803948261</v>
      </c>
      <c r="H381" s="26" t="n">
        <v>-1.0000019605174</v>
      </c>
      <c r="I381" s="26" t="n">
        <v>-1.0000019605174</v>
      </c>
      <c r="J381" s="26" t="n">
        <v>99</v>
      </c>
      <c r="K381" s="27" t="n">
        <f aca="false">MIN(F381,G381)</f>
        <v>-2.69999803948261</v>
      </c>
      <c r="L381" s="27" t="n">
        <f aca="false">AVERAGE(F381,G381)</f>
        <v>-2.69999803948261</v>
      </c>
      <c r="M381" s="27" t="n">
        <f aca="false">MAX(0,NG-L381)</f>
        <v>1.99999803948261</v>
      </c>
      <c r="N381" s="27" t="n">
        <f aca="false">MAX(0,GWL-K381)</f>
        <v>1.19999803948261</v>
      </c>
      <c r="O381" s="27" t="n">
        <f aca="false">MAX(0,NG-MAX(K381,GWL))</f>
        <v>0.8</v>
      </c>
      <c r="P381" s="27" t="n">
        <f aca="false">E381/2+WS+SLOPE_A*O381+SLOPE_B*N381</f>
        <v>5.19999411844782</v>
      </c>
      <c r="Q381" s="28" t="str">
        <f aca="false">IF(AND(P381&lt;J381,N381&lt;=MAXOC),"Open cut","Shoring")</f>
        <v>Open cut</v>
      </c>
      <c r="R381" s="27" t="n">
        <f aca="false">IF(Q381="Shoring",D381,0)</f>
        <v>0</v>
      </c>
      <c r="S381" s="27" t="n">
        <f aca="false">MAX(0,GWL-L381)</f>
        <v>1.19999803948261</v>
      </c>
      <c r="T381" s="27" t="n">
        <f aca="false">MAX(0,NG-MAX(L381,GWL))</f>
        <v>0.8</v>
      </c>
      <c r="U381" s="27" t="n">
        <f aca="false">E381+2*WS</f>
        <v>3.19999607896521</v>
      </c>
      <c r="V381" s="27" t="n">
        <f aca="false">IF(Q381="Shoring",D381*M381*U381,0)</f>
        <v>0</v>
      </c>
      <c r="W381" s="27" t="n">
        <f aca="false">IF(Q381="Open cut",D381*(U381*M381+SLOPE_B*S381^2+2*SLOPE_B*S381*T381+SLOPE_A*T381^2),0)</f>
        <v>18.2786173127631</v>
      </c>
      <c r="X381" s="27" t="n">
        <f aca="false">IF(M381&gt;0,D381*(E381+2*SLABOVH)*SLAB,0)</f>
        <v>1.4280174547725</v>
      </c>
      <c r="Y381" s="27" t="n">
        <f aca="false">IF(M381&gt;0,D381*PI()*E381^2/4,0)</f>
        <v>1.46822001480436</v>
      </c>
      <c r="Z381" s="27" t="n">
        <f aca="false">IF(H381-E381&gt;=GWL,99,E381*(MAX(0,GWL-H381)*(GAM_S-GAM_W)+MAX(0,NG-MAX(H381,GWL))*GAM_D)/(GAM_W*PI()*E381^2/4))</f>
        <v>0.584060562301524</v>
      </c>
      <c r="AA381" s="27" t="n">
        <f aca="false">IF(I381-E381&gt;=GWL,99,E381*(MAX(0,GWL-I381)*(GAM_S-GAM_W)+MAX(0,NG-MAX(I381,GWL))*GAM_D)/(GAM_W*PI()*E381^2/4))</f>
        <v>0.584060562301524</v>
      </c>
      <c r="AB381" s="27" t="n">
        <f aca="false">IF(H381-E381&gt;=GWL,99,E381*(MAX(0,GWL-H381)*(GAM_S-GAM_W)+MAX(0,FL-MAX(H381,GWL))*GAM_D)/(GAM_W*PI()*E381^2/4))</f>
        <v>3.89371545322354</v>
      </c>
      <c r="AC381" s="27" t="n">
        <f aca="false">IF(I381-E381&gt;=GWL,99,E381*(MAX(0,GWL-I381)*(GAM_S-GAM_W)+MAX(0,FL-MAX(I381,GWL))*GAM_D)/(GAM_W*PI()*E381^2/4))</f>
        <v>3.89371545322354</v>
      </c>
    </row>
    <row r="382" customFormat="false" ht="15" hidden="false" customHeight="false" outlineLevel="0" collapsed="false">
      <c r="A382" s="25" t="s">
        <v>873</v>
      </c>
      <c r="B382" s="25" t="s">
        <v>874</v>
      </c>
      <c r="C382" s="25" t="s">
        <v>877</v>
      </c>
      <c r="D382" s="26" t="n">
        <v>1.97799550432128</v>
      </c>
      <c r="E382" s="26" t="n">
        <v>1.19999607896521</v>
      </c>
      <c r="F382" s="26" t="n">
        <v>-2.69999803948261</v>
      </c>
      <c r="G382" s="26" t="n">
        <v>-2.69787803948261</v>
      </c>
      <c r="H382" s="26" t="n">
        <v>-1.0000019605174</v>
      </c>
      <c r="I382" s="26" t="n">
        <v>-0.997881960517395</v>
      </c>
      <c r="J382" s="26" t="n">
        <v>99</v>
      </c>
      <c r="K382" s="27" t="n">
        <f aca="false">MIN(F382,G382)</f>
        <v>-2.69999803948261</v>
      </c>
      <c r="L382" s="27" t="n">
        <f aca="false">AVERAGE(F382,G382)</f>
        <v>-2.69893803948261</v>
      </c>
      <c r="M382" s="27" t="n">
        <f aca="false">MAX(0,NG-L382)</f>
        <v>1.9989380394826</v>
      </c>
      <c r="N382" s="27" t="n">
        <f aca="false">MAX(0,GWL-K382)</f>
        <v>1.19999803948261</v>
      </c>
      <c r="O382" s="27" t="n">
        <f aca="false">MAX(0,NG-MAX(K382,GWL))</f>
        <v>0.8</v>
      </c>
      <c r="P382" s="27" t="n">
        <f aca="false">E382/2+WS+SLOPE_A*O382+SLOPE_B*N382</f>
        <v>5.19999411844782</v>
      </c>
      <c r="Q382" s="28" t="str">
        <f aca="false">IF(AND(P382&lt;J382,N382&lt;=MAXOC),"Open cut","Shoring")</f>
        <v>Open cut</v>
      </c>
      <c r="R382" s="27" t="n">
        <f aca="false">IF(Q382="Shoring",D382,0)</f>
        <v>0</v>
      </c>
      <c r="S382" s="27" t="n">
        <f aca="false">MAX(0,GWL-L382)</f>
        <v>1.1989380394826</v>
      </c>
      <c r="T382" s="27" t="n">
        <f aca="false">MAX(0,NG-MAX(L382,GWL))</f>
        <v>0.8</v>
      </c>
      <c r="U382" s="27" t="n">
        <f aca="false">E382+2*WS</f>
        <v>3.19999607896521</v>
      </c>
      <c r="V382" s="27" t="n">
        <f aca="false">IF(Q382="Shoring",D382*M382*U382,0)</f>
        <v>0</v>
      </c>
      <c r="W382" s="27" t="n">
        <f aca="false">IF(Q382="Open cut",D382*(U382*M382+SLOPE_B*S382^2+2*SLOPE_B*S382*T382+SLOPE_A*T382^2),0)</f>
        <v>27.8266394638638</v>
      </c>
      <c r="X382" s="27" t="n">
        <f aca="false">IF(M382&gt;0,D382*(E382+2*SLABOVH)*SLAB,0)</f>
        <v>2.17579117685881</v>
      </c>
      <c r="Y382" s="27" t="n">
        <f aca="false">IF(M382&gt;0,D382*PI()*E382^2/4,0)</f>
        <v>2.23704559298106</v>
      </c>
      <c r="Z382" s="27" t="n">
        <f aca="false">IF(H382-E382&gt;=GWL,99,E382*(MAX(0,GWL-H382)*(GAM_S-GAM_W)+MAX(0,NG-MAX(H382,GWL))*GAM_D)/(GAM_W*PI()*E382^2/4))</f>
        <v>0.584060562301524</v>
      </c>
      <c r="AA382" s="27" t="n">
        <f aca="false">IF(I382-E382&gt;=GWL,99,E382*(MAX(0,GWL-I382)*(GAM_S-GAM_W)+MAX(0,NG-MAX(I382,GWL))*GAM_D)/(GAM_W*PI()*E382^2/4))</f>
        <v>0.579933227966963</v>
      </c>
      <c r="AB382" s="27" t="n">
        <f aca="false">IF(H382-E382&gt;=GWL,99,E382*(MAX(0,GWL-H382)*(GAM_S-GAM_W)+MAX(0,FL-MAX(H382,GWL))*GAM_D)/(GAM_W*PI()*E382^2/4))</f>
        <v>3.89371545322354</v>
      </c>
      <c r="AC382" s="27" t="n">
        <f aca="false">IF(I382-E382&gt;=GWL,99,E382*(MAX(0,GWL-I382)*(GAM_S-GAM_W)+MAX(0,FL-MAX(I382,GWL))*GAM_D)/(GAM_W*PI()*E382^2/4))</f>
        <v>3.88958811888898</v>
      </c>
    </row>
    <row r="383" customFormat="false" ht="15" hidden="false" customHeight="false" outlineLevel="0" collapsed="false">
      <c r="A383" s="25" t="s">
        <v>873</v>
      </c>
      <c r="B383" s="25" t="s">
        <v>874</v>
      </c>
      <c r="C383" s="25" t="s">
        <v>878</v>
      </c>
      <c r="D383" s="26" t="n">
        <v>1.97800040137028</v>
      </c>
      <c r="E383" s="26" t="n">
        <v>1.1999992502238</v>
      </c>
      <c r="F383" s="26" t="n">
        <v>-2.6978796251119</v>
      </c>
      <c r="G383" s="26" t="n">
        <v>-2.6957696251119</v>
      </c>
      <c r="H383" s="26" t="n">
        <v>-0.997880374888099</v>
      </c>
      <c r="I383" s="26" t="n">
        <v>-0.995770374888099</v>
      </c>
      <c r="J383" s="26" t="n">
        <v>24.18</v>
      </c>
      <c r="K383" s="27" t="n">
        <f aca="false">MIN(F383,G383)</f>
        <v>-2.6978796251119</v>
      </c>
      <c r="L383" s="27" t="n">
        <f aca="false">AVERAGE(F383,G383)</f>
        <v>-2.6968246251119</v>
      </c>
      <c r="M383" s="27" t="n">
        <f aca="false">MAX(0,NG-L383)</f>
        <v>1.9968246251119</v>
      </c>
      <c r="N383" s="27" t="n">
        <f aca="false">MAX(0,GWL-K383)</f>
        <v>1.1978796251119</v>
      </c>
      <c r="O383" s="27" t="n">
        <f aca="false">MAX(0,NG-MAX(K383,GWL))</f>
        <v>0.8</v>
      </c>
      <c r="P383" s="27" t="n">
        <f aca="false">E383/2+WS+SLOPE_A*O383+SLOPE_B*N383</f>
        <v>5.1957588753357</v>
      </c>
      <c r="Q383" s="28" t="str">
        <f aca="false">IF(AND(P383&lt;J383,N383&lt;=MAXOC),"Open cut","Shoring")</f>
        <v>Open cut</v>
      </c>
      <c r="R383" s="27" t="n">
        <f aca="false">IF(Q383="Shoring",D383,0)</f>
        <v>0</v>
      </c>
      <c r="S383" s="27" t="n">
        <f aca="false">MAX(0,GWL-L383)</f>
        <v>1.1968246251119</v>
      </c>
      <c r="T383" s="27" t="n">
        <f aca="false">MAX(0,NG-MAX(L383,GWL))</f>
        <v>0.8</v>
      </c>
      <c r="U383" s="27" t="n">
        <f aca="false">E383+2*WS</f>
        <v>3.1999992502238</v>
      </c>
      <c r="V383" s="27" t="n">
        <f aca="false">IF(Q383="Shoring",D383*M383*U383,0)</f>
        <v>0</v>
      </c>
      <c r="W383" s="27" t="n">
        <f aca="false">IF(Q383="Open cut",D383*(U383*M383+SLOPE_B*S383^2+2*SLOPE_B*S383*T383+SLOPE_A*T383^2),0)</f>
        <v>27.7799365788707</v>
      </c>
      <c r="X383" s="27" t="n">
        <f aca="false">IF(M383&gt;0,D383*(E383+2*SLABOVH)*SLAB,0)</f>
        <v>2.1757996999785</v>
      </c>
      <c r="Y383" s="27" t="n">
        <f aca="false">IF(M383&gt;0,D383*PI()*E383^2/4,0)</f>
        <v>2.23706295521043</v>
      </c>
      <c r="Z383" s="27" t="n">
        <f aca="false">IF(H383-E383&gt;=GWL,99,E383*(MAX(0,GWL-H383)*(GAM_S-GAM_W)+MAX(0,NG-MAX(H383,GWL))*GAM_D)/(GAM_W*PI()*E383^2/4))</f>
        <v>0.579928608384017</v>
      </c>
      <c r="AA383" s="27" t="n">
        <f aca="false">IF(I383-E383&gt;=GWL,99,E383*(MAX(0,GWL-I383)*(GAM_S-GAM_W)+MAX(0,NG-MAX(I383,GWL))*GAM_D)/(GAM_W*PI()*E383^2/4))</f>
        <v>0.575820753463565</v>
      </c>
      <c r="AB383" s="27" t="n">
        <f aca="false">IF(H383-E383&gt;=GWL,99,E383*(MAX(0,GWL-H383)*(GAM_S-GAM_W)+MAX(0,FL-MAX(H383,GWL))*GAM_D)/(GAM_W*PI()*E383^2/4))</f>
        <v>3.88957475282432</v>
      </c>
      <c r="AC383" s="27" t="n">
        <f aca="false">IF(I383-E383&gt;=GWL,99,E383*(MAX(0,GWL-I383)*(GAM_S-GAM_W)+MAX(0,FL-MAX(I383,GWL))*GAM_D)/(GAM_W*PI()*E383^2/4))</f>
        <v>3.88546689790386</v>
      </c>
    </row>
    <row r="384" customFormat="false" ht="15" hidden="false" customHeight="false" outlineLevel="0" collapsed="false">
      <c r="A384" s="25" t="s">
        <v>873</v>
      </c>
      <c r="B384" s="25" t="s">
        <v>879</v>
      </c>
      <c r="C384" s="25" t="s">
        <v>880</v>
      </c>
      <c r="D384" s="26" t="n">
        <v>4.74580409422827</v>
      </c>
      <c r="E384" s="26" t="n">
        <v>1.1999992502238</v>
      </c>
      <c r="F384" s="26" t="n">
        <v>-2.6957696251119</v>
      </c>
      <c r="G384" s="26" t="n">
        <v>-2.69069117604018</v>
      </c>
      <c r="H384" s="26" t="n">
        <v>-0.995770374888099</v>
      </c>
      <c r="I384" s="26" t="n">
        <v>-0.990691925816377</v>
      </c>
      <c r="J384" s="26" t="n">
        <v>15.11</v>
      </c>
      <c r="K384" s="27" t="n">
        <f aca="false">MIN(F384,G384)</f>
        <v>-2.6957696251119</v>
      </c>
      <c r="L384" s="27" t="n">
        <f aca="false">AVERAGE(F384,G384)</f>
        <v>-2.69323040057604</v>
      </c>
      <c r="M384" s="27" t="n">
        <f aca="false">MAX(0,NG-L384)</f>
        <v>1.99323040057604</v>
      </c>
      <c r="N384" s="27" t="n">
        <f aca="false">MAX(0,GWL-K384)</f>
        <v>1.1957696251119</v>
      </c>
      <c r="O384" s="27" t="n">
        <f aca="false">MAX(0,NG-MAX(K384,GWL))</f>
        <v>0.8</v>
      </c>
      <c r="P384" s="27" t="n">
        <f aca="false">E384/2+WS+SLOPE_A*O384+SLOPE_B*N384</f>
        <v>5.1915388753357</v>
      </c>
      <c r="Q384" s="28" t="str">
        <f aca="false">IF(AND(P384&lt;J384,N384&lt;=MAXOC),"Open cut","Shoring")</f>
        <v>Open cut</v>
      </c>
      <c r="R384" s="27" t="n">
        <f aca="false">IF(Q384="Shoring",D384,0)</f>
        <v>0</v>
      </c>
      <c r="S384" s="27" t="n">
        <f aca="false">MAX(0,GWL-L384)</f>
        <v>1.19323040057604</v>
      </c>
      <c r="T384" s="27" t="n">
        <f aca="false">MAX(0,NG-MAX(L384,GWL))</f>
        <v>0.8</v>
      </c>
      <c r="U384" s="27" t="n">
        <f aca="false">E384+2*WS</f>
        <v>3.1999992502238</v>
      </c>
      <c r="V384" s="27" t="n">
        <f aca="false">IF(Q384="Shoring",D384*M384*U384,0)</f>
        <v>0</v>
      </c>
      <c r="W384" s="27" t="n">
        <f aca="false">IF(Q384="Open cut",D384*(U384*M384+SLOPE_B*S384^2+2*SLOPE_B*S384*T384+SLOPE_A*T384^2),0)</f>
        <v>66.4615249728699</v>
      </c>
      <c r="X384" s="27" t="n">
        <f aca="false">IF(M384&gt;0,D384*(E384+2*SLABOVH)*SLAB,0)</f>
        <v>5.22038272450561</v>
      </c>
      <c r="Y384" s="27" t="n">
        <f aca="false">IF(M384&gt;0,D384*PI()*E384^2/4,0)</f>
        <v>5.36737127279106</v>
      </c>
      <c r="Z384" s="27" t="n">
        <f aca="false">IF(H384-E384&gt;=GWL,99,E384*(MAX(0,GWL-H384)*(GAM_S-GAM_W)+MAX(0,NG-MAX(H384,GWL))*GAM_D)/(GAM_W*PI()*E384^2/4))</f>
        <v>0.575820753463565</v>
      </c>
      <c r="AA384" s="27" t="n">
        <f aca="false">IF(I384-E384&gt;=GWL,99,E384*(MAX(0,GWL-I384)*(GAM_S-GAM_W)+MAX(0,NG-MAX(I384,GWL))*GAM_D)/(GAM_W*PI()*E384^2/4))</f>
        <v>0.565933771469468</v>
      </c>
      <c r="AB384" s="27" t="n">
        <f aca="false">IF(H384-E384&gt;=GWL,99,E384*(MAX(0,GWL-H384)*(GAM_S-GAM_W)+MAX(0,FL-MAX(H384,GWL))*GAM_D)/(GAM_W*PI()*E384^2/4))</f>
        <v>3.88546689790386</v>
      </c>
      <c r="AC384" s="27" t="n">
        <f aca="false">IF(I384-E384&gt;=GWL,99,E384*(MAX(0,GWL-I384)*(GAM_S-GAM_W)+MAX(0,FL-MAX(I384,GWL))*GAM_D)/(GAM_W*PI()*E384^2/4))</f>
        <v>3.87557991590977</v>
      </c>
    </row>
    <row r="385" customFormat="false" ht="15" hidden="false" customHeight="false" outlineLevel="0" collapsed="false">
      <c r="A385" s="25" t="s">
        <v>873</v>
      </c>
      <c r="B385" s="25" t="s">
        <v>879</v>
      </c>
      <c r="C385" s="25" t="s">
        <v>881</v>
      </c>
      <c r="D385" s="26" t="n">
        <v>10.0000000005015</v>
      </c>
      <c r="E385" s="26" t="n">
        <v>1.1999992502238</v>
      </c>
      <c r="F385" s="26" t="n">
        <v>-2.69069117604018</v>
      </c>
      <c r="G385" s="26" t="n">
        <v>-2.67999025166388</v>
      </c>
      <c r="H385" s="26" t="n">
        <v>-0.990691925816377</v>
      </c>
      <c r="I385" s="26" t="n">
        <v>-0.979991001440074</v>
      </c>
      <c r="J385" s="26" t="n">
        <v>13.95</v>
      </c>
      <c r="K385" s="27" t="n">
        <f aca="false">MIN(F385,G385)</f>
        <v>-2.69069117604018</v>
      </c>
      <c r="L385" s="27" t="n">
        <f aca="false">AVERAGE(F385,G385)</f>
        <v>-2.68534071385203</v>
      </c>
      <c r="M385" s="27" t="n">
        <f aca="false">MAX(0,NG-L385)</f>
        <v>1.98534071385203</v>
      </c>
      <c r="N385" s="27" t="n">
        <f aca="false">MAX(0,GWL-K385)</f>
        <v>1.19069117604018</v>
      </c>
      <c r="O385" s="27" t="n">
        <f aca="false">MAX(0,NG-MAX(K385,GWL))</f>
        <v>0.8</v>
      </c>
      <c r="P385" s="27" t="n">
        <f aca="false">E385/2+WS+SLOPE_A*O385+SLOPE_B*N385</f>
        <v>5.18138197719226</v>
      </c>
      <c r="Q385" s="28" t="str">
        <f aca="false">IF(AND(P385&lt;J385,N385&lt;=MAXOC),"Open cut","Shoring")</f>
        <v>Open cut</v>
      </c>
      <c r="R385" s="27" t="n">
        <f aca="false">IF(Q385="Shoring",D385,0)</f>
        <v>0</v>
      </c>
      <c r="S385" s="27" t="n">
        <f aca="false">MAX(0,GWL-L385)</f>
        <v>1.18534071385203</v>
      </c>
      <c r="T385" s="27" t="n">
        <f aca="false">MAX(0,NG-MAX(L385,GWL))</f>
        <v>0.8</v>
      </c>
      <c r="U385" s="27" t="n">
        <f aca="false">E385+2*WS</f>
        <v>3.1999992502238</v>
      </c>
      <c r="V385" s="27" t="n">
        <f aca="false">IF(Q385="Shoring",D385*M385*U385,0)</f>
        <v>0</v>
      </c>
      <c r="W385" s="27" t="n">
        <f aca="false">IF(Q385="Open cut",D385*(U385*M385+SLOPE_B*S385^2+2*SLOPE_B*S385*T385+SLOPE_A*T385^2),0)</f>
        <v>139.162442966201</v>
      </c>
      <c r="X385" s="27" t="n">
        <f aca="false">IF(M385&gt;0,D385*(E385+2*SLABOVH)*SLAB,0)</f>
        <v>10.9999962516706</v>
      </c>
      <c r="Y385" s="27" t="n">
        <f aca="false">IF(M385&gt;0,D385*PI()*E385^2/4,0)</f>
        <v>11.3097194205464</v>
      </c>
      <c r="Z385" s="27" t="n">
        <f aca="false">IF(H385-E385&gt;=GWL,99,E385*(MAX(0,GWL-H385)*(GAM_S-GAM_W)+MAX(0,NG-MAX(H385,GWL))*GAM_D)/(GAM_W*PI()*E385^2/4))</f>
        <v>0.565933771469468</v>
      </c>
      <c r="AA385" s="27" t="n">
        <f aca="false">IF(I385-E385&gt;=GWL,99,E385*(MAX(0,GWL-I385)*(GAM_S-GAM_W)+MAX(0,NG-MAX(I385,GWL))*GAM_D)/(GAM_W*PI()*E385^2/4))</f>
        <v>0.545100669643599</v>
      </c>
      <c r="AB385" s="27" t="n">
        <f aca="false">IF(H385-E385&gt;=GWL,99,E385*(MAX(0,GWL-H385)*(GAM_S-GAM_W)+MAX(0,FL-MAX(H385,GWL))*GAM_D)/(GAM_W*PI()*E385^2/4))</f>
        <v>3.87557991590977</v>
      </c>
      <c r="AC385" s="27" t="n">
        <f aca="false">IF(I385-E385&gt;=GWL,99,E385*(MAX(0,GWL-I385)*(GAM_S-GAM_W)+MAX(0,FL-MAX(I385,GWL))*GAM_D)/(GAM_W*PI()*E385^2/4))</f>
        <v>3.8547468140839</v>
      </c>
    </row>
    <row r="386" customFormat="false" ht="15" hidden="false" customHeight="false" outlineLevel="0" collapsed="false">
      <c r="A386" s="25" t="s">
        <v>873</v>
      </c>
      <c r="B386" s="25" t="s">
        <v>879</v>
      </c>
      <c r="C386" s="25" t="s">
        <v>882</v>
      </c>
      <c r="D386" s="26" t="n">
        <v>9.99999999964072</v>
      </c>
      <c r="E386" s="26" t="n">
        <v>1.1999992502238</v>
      </c>
      <c r="F386" s="26" t="n">
        <v>-2.67999025166388</v>
      </c>
      <c r="G386" s="26" t="n">
        <v>-2.66928932728757</v>
      </c>
      <c r="H386" s="26" t="n">
        <v>-0.979991001440074</v>
      </c>
      <c r="I386" s="26" t="n">
        <v>-0.96929007706377</v>
      </c>
      <c r="J386" s="26" t="n">
        <v>8.75</v>
      </c>
      <c r="K386" s="27" t="n">
        <f aca="false">MIN(F386,G386)</f>
        <v>-2.67999025166388</v>
      </c>
      <c r="L386" s="27" t="n">
        <f aca="false">AVERAGE(F386,G386)</f>
        <v>-2.67463978947572</v>
      </c>
      <c r="M386" s="27" t="n">
        <f aca="false">MAX(0,NG-L386)</f>
        <v>1.97463978947572</v>
      </c>
      <c r="N386" s="27" t="n">
        <f aca="false">MAX(0,GWL-K386)</f>
        <v>1.17999025166388</v>
      </c>
      <c r="O386" s="27" t="n">
        <f aca="false">MAX(0,NG-MAX(K386,GWL))</f>
        <v>0.8</v>
      </c>
      <c r="P386" s="27" t="n">
        <f aca="false">E386/2+WS+SLOPE_A*O386+SLOPE_B*N386</f>
        <v>5.15998012843965</v>
      </c>
      <c r="Q386" s="28" t="str">
        <f aca="false">IF(AND(P386&lt;J386,N386&lt;=MAXOC),"Open cut","Shoring")</f>
        <v>Open cut</v>
      </c>
      <c r="R386" s="27" t="n">
        <f aca="false">IF(Q386="Shoring",D386,0)</f>
        <v>0</v>
      </c>
      <c r="S386" s="27" t="n">
        <f aca="false">MAX(0,GWL-L386)</f>
        <v>1.17463978947572</v>
      </c>
      <c r="T386" s="27" t="n">
        <f aca="false">MAX(0,NG-MAX(L386,GWL))</f>
        <v>0.8</v>
      </c>
      <c r="U386" s="27" t="n">
        <f aca="false">E386+2*WS</f>
        <v>3.1999992502238</v>
      </c>
      <c r="V386" s="27" t="n">
        <f aca="false">IF(Q386="Shoring",D386*M386*U386,0)</f>
        <v>0</v>
      </c>
      <c r="W386" s="27" t="n">
        <f aca="false">IF(Q386="Open cut",D386*(U386*M386+SLOPE_B*S386^2+2*SLOPE_B*S386*T386+SLOPE_A*T386^2),0)</f>
        <v>137.972504416501</v>
      </c>
      <c r="X386" s="27" t="n">
        <f aca="false">IF(M386&gt;0,D386*(E386+2*SLABOVH)*SLAB,0)</f>
        <v>10.9999962507238</v>
      </c>
      <c r="Y386" s="27" t="n">
        <f aca="false">IF(M386&gt;0,D386*PI()*E386^2/4,0)</f>
        <v>11.3097194195729</v>
      </c>
      <c r="Z386" s="27" t="n">
        <f aca="false">IF(H386-E386&gt;=GWL,99,E386*(MAX(0,GWL-H386)*(GAM_S-GAM_W)+MAX(0,NG-MAX(H386,GWL))*GAM_D)/(GAM_W*PI()*E386^2/4))</f>
        <v>0.545100669643599</v>
      </c>
      <c r="AA386" s="27" t="n">
        <f aca="false">IF(I386-E386&gt;=GWL,99,E386*(MAX(0,GWL-I386)*(GAM_S-GAM_W)+MAX(0,NG-MAX(I386,GWL))*GAM_D)/(GAM_W*PI()*E386^2/4))</f>
        <v>0.524267567817727</v>
      </c>
      <c r="AB386" s="27" t="n">
        <f aca="false">IF(H386-E386&gt;=GWL,99,E386*(MAX(0,GWL-H386)*(GAM_S-GAM_W)+MAX(0,FL-MAX(H386,GWL))*GAM_D)/(GAM_W*PI()*E386^2/4))</f>
        <v>3.8547468140839</v>
      </c>
      <c r="AC386" s="27" t="n">
        <f aca="false">IF(I386-E386&gt;=GWL,99,E386*(MAX(0,GWL-I386)*(GAM_S-GAM_W)+MAX(0,FL-MAX(I386,GWL))*GAM_D)/(GAM_W*PI()*E386^2/4))</f>
        <v>3.83391371225803</v>
      </c>
    </row>
    <row r="387" customFormat="false" ht="15" hidden="false" customHeight="false" outlineLevel="0" collapsed="false">
      <c r="A387" s="25" t="s">
        <v>873</v>
      </c>
      <c r="B387" s="25" t="s">
        <v>879</v>
      </c>
      <c r="C387" s="25" t="s">
        <v>883</v>
      </c>
      <c r="D387" s="26" t="n">
        <v>9.99999999970002</v>
      </c>
      <c r="E387" s="26" t="n">
        <v>1.1999992502238</v>
      </c>
      <c r="F387" s="26" t="n">
        <v>-2.66928932728757</v>
      </c>
      <c r="G387" s="26" t="n">
        <v>-2.65858840291127</v>
      </c>
      <c r="H387" s="26" t="n">
        <v>-0.96929007706377</v>
      </c>
      <c r="I387" s="26" t="n">
        <v>-0.958589152687467</v>
      </c>
      <c r="J387" s="26" t="n">
        <v>5.71</v>
      </c>
      <c r="K387" s="27" t="n">
        <f aca="false">MIN(F387,G387)</f>
        <v>-2.66928932728757</v>
      </c>
      <c r="L387" s="27" t="n">
        <f aca="false">AVERAGE(F387,G387)</f>
        <v>-2.66393886509942</v>
      </c>
      <c r="M387" s="27" t="n">
        <f aca="false">MAX(0,NG-L387)</f>
        <v>1.96393886509942</v>
      </c>
      <c r="N387" s="27" t="n">
        <f aca="false">MAX(0,GWL-K387)</f>
        <v>1.16928932728757</v>
      </c>
      <c r="O387" s="27" t="n">
        <f aca="false">MAX(0,NG-MAX(K387,GWL))</f>
        <v>0.8</v>
      </c>
      <c r="P387" s="27" t="n">
        <f aca="false">E387/2+WS+SLOPE_A*O387+SLOPE_B*N387</f>
        <v>5.13857827968704</v>
      </c>
      <c r="Q387" s="28" t="str">
        <f aca="false">IF(AND(P387&lt;J387,N387&lt;=MAXOC),"Open cut","Shoring")</f>
        <v>Open cut</v>
      </c>
      <c r="R387" s="27" t="n">
        <f aca="false">IF(Q387="Shoring",D387,0)</f>
        <v>0</v>
      </c>
      <c r="S387" s="27" t="n">
        <f aca="false">MAX(0,GWL-L387)</f>
        <v>1.16393886509942</v>
      </c>
      <c r="T387" s="27" t="n">
        <f aca="false">MAX(0,NG-MAX(L387,GWL))</f>
        <v>0.8</v>
      </c>
      <c r="U387" s="27" t="n">
        <f aca="false">E387+2*WS</f>
        <v>3.1999992502238</v>
      </c>
      <c r="V387" s="27" t="n">
        <f aca="false">IF(Q387="Shoring",D387*M387*U387,0)</f>
        <v>0</v>
      </c>
      <c r="W387" s="27" t="n">
        <f aca="false">IF(Q387="Open cut",D387*(U387*M387+SLOPE_B*S387^2+2*SLOPE_B*S387*T387+SLOPE_A*T387^2),0)</f>
        <v>136.787146270892</v>
      </c>
      <c r="X387" s="27" t="n">
        <f aca="false">IF(M387&gt;0,D387*(E387+2*SLABOVH)*SLAB,0)</f>
        <v>10.999996250789</v>
      </c>
      <c r="Y387" s="27" t="n">
        <f aca="false">IF(M387&gt;0,D387*PI()*E387^2/4,0)</f>
        <v>11.30971941964</v>
      </c>
      <c r="Z387" s="27" t="n">
        <f aca="false">IF(H387-E387&gt;=GWL,99,E387*(MAX(0,GWL-H387)*(GAM_S-GAM_W)+MAX(0,NG-MAX(H387,GWL))*GAM_D)/(GAM_W*PI()*E387^2/4))</f>
        <v>0.524267567817727</v>
      </c>
      <c r="AA387" s="27" t="n">
        <f aca="false">IF(I387-E387&gt;=GWL,99,E387*(MAX(0,GWL-I387)*(GAM_S-GAM_W)+MAX(0,NG-MAX(I387,GWL))*GAM_D)/(GAM_W*PI()*E387^2/4))</f>
        <v>0.503434465991857</v>
      </c>
      <c r="AB387" s="27" t="n">
        <f aca="false">IF(H387-E387&gt;=GWL,99,E387*(MAX(0,GWL-H387)*(GAM_S-GAM_W)+MAX(0,FL-MAX(H387,GWL))*GAM_D)/(GAM_W*PI()*E387^2/4))</f>
        <v>3.83391371225803</v>
      </c>
      <c r="AC387" s="27" t="n">
        <f aca="false">IF(I387-E387&gt;=GWL,99,E387*(MAX(0,GWL-I387)*(GAM_S-GAM_W)+MAX(0,FL-MAX(I387,GWL))*GAM_D)/(GAM_W*PI()*E387^2/4))</f>
        <v>3.81308061043216</v>
      </c>
    </row>
    <row r="388" customFormat="false" ht="15" hidden="false" customHeight="false" outlineLevel="0" collapsed="false">
      <c r="A388" s="25" t="s">
        <v>873</v>
      </c>
      <c r="B388" s="25" t="s">
        <v>879</v>
      </c>
      <c r="C388" s="25" t="s">
        <v>884</v>
      </c>
      <c r="D388" s="26" t="n">
        <v>10.0000000005015</v>
      </c>
      <c r="E388" s="26" t="n">
        <v>1.1999992502238</v>
      </c>
      <c r="F388" s="26" t="n">
        <v>-2.65858840291127</v>
      </c>
      <c r="G388" s="26" t="n">
        <v>-2.64788747853496</v>
      </c>
      <c r="H388" s="26" t="n">
        <v>-0.958589152687467</v>
      </c>
      <c r="I388" s="26" t="n">
        <v>-0.947888228311164</v>
      </c>
      <c r="J388" s="26" t="n">
        <v>5.19</v>
      </c>
      <c r="K388" s="27" t="n">
        <f aca="false">MIN(F388,G388)</f>
        <v>-2.65858840291127</v>
      </c>
      <c r="L388" s="27" t="n">
        <f aca="false">AVERAGE(F388,G388)</f>
        <v>-2.65323794072312</v>
      </c>
      <c r="M388" s="27" t="n">
        <f aca="false">MAX(0,NG-L388)</f>
        <v>1.95323794072312</v>
      </c>
      <c r="N388" s="27" t="n">
        <f aca="false">MAX(0,GWL-K388)</f>
        <v>1.15858840291127</v>
      </c>
      <c r="O388" s="27" t="n">
        <f aca="false">MAX(0,NG-MAX(K388,GWL))</f>
        <v>0.8</v>
      </c>
      <c r="P388" s="27" t="n">
        <f aca="false">E388/2+WS+SLOPE_A*O388+SLOPE_B*N388</f>
        <v>5.11717643093443</v>
      </c>
      <c r="Q388" s="28" t="str">
        <f aca="false">IF(AND(P388&lt;J388,N388&lt;=MAXOC),"Open cut","Shoring")</f>
        <v>Open cut</v>
      </c>
      <c r="R388" s="27" t="n">
        <f aca="false">IF(Q388="Shoring",D388,0)</f>
        <v>0</v>
      </c>
      <c r="S388" s="27" t="n">
        <f aca="false">MAX(0,GWL-L388)</f>
        <v>1.15323794072312</v>
      </c>
      <c r="T388" s="27" t="n">
        <f aca="false">MAX(0,NG-MAX(L388,GWL))</f>
        <v>0.8</v>
      </c>
      <c r="U388" s="27" t="n">
        <f aca="false">E388+2*WS</f>
        <v>3.1999992502238</v>
      </c>
      <c r="V388" s="27" t="n">
        <f aca="false">IF(Q388="Shoring",D388*M388*U388,0)</f>
        <v>0</v>
      </c>
      <c r="W388" s="27" t="n">
        <f aca="false">IF(Q388="Open cut",D388*(U388*M388+SLOPE_B*S388^2+2*SLOPE_B*S388*T388+SLOPE_A*T388^2),0)</f>
        <v>135.606368526632</v>
      </c>
      <c r="X388" s="27" t="n">
        <f aca="false">IF(M388&gt;0,D388*(E388+2*SLABOVH)*SLAB,0)</f>
        <v>10.9999962516706</v>
      </c>
      <c r="Y388" s="27" t="n">
        <f aca="false">IF(M388&gt;0,D388*PI()*E388^2/4,0)</f>
        <v>11.3097194205464</v>
      </c>
      <c r="Z388" s="27" t="n">
        <f aca="false">IF(H388-E388&gt;=GWL,99,E388*(MAX(0,GWL-H388)*(GAM_S-GAM_W)+MAX(0,NG-MAX(H388,GWL))*GAM_D)/(GAM_W*PI()*E388^2/4))</f>
        <v>0.503434465991857</v>
      </c>
      <c r="AA388" s="27" t="n">
        <f aca="false">IF(I388-E388&gt;=GWL,99,E388*(MAX(0,GWL-I388)*(GAM_S-GAM_W)+MAX(0,NG-MAX(I388,GWL))*GAM_D)/(GAM_W*PI()*E388^2/4))</f>
        <v>0.482601364165988</v>
      </c>
      <c r="AB388" s="27" t="n">
        <f aca="false">IF(H388-E388&gt;=GWL,99,E388*(MAX(0,GWL-H388)*(GAM_S-GAM_W)+MAX(0,FL-MAX(H388,GWL))*GAM_D)/(GAM_W*PI()*E388^2/4))</f>
        <v>3.81308061043216</v>
      </c>
      <c r="AC388" s="27" t="n">
        <f aca="false">IF(I388-E388&gt;=GWL,99,E388*(MAX(0,GWL-I388)*(GAM_S-GAM_W)+MAX(0,FL-MAX(I388,GWL))*GAM_D)/(GAM_W*PI()*E388^2/4))</f>
        <v>3.79224750860629</v>
      </c>
    </row>
    <row r="389" customFormat="false" ht="15" hidden="false" customHeight="false" outlineLevel="0" collapsed="false">
      <c r="A389" s="25" t="s">
        <v>873</v>
      </c>
      <c r="B389" s="25" t="s">
        <v>879</v>
      </c>
      <c r="C389" s="25" t="s">
        <v>885</v>
      </c>
      <c r="D389" s="26" t="n">
        <v>9.99999999970002</v>
      </c>
      <c r="E389" s="26" t="n">
        <v>1.1999992502238</v>
      </c>
      <c r="F389" s="26" t="n">
        <v>-2.64788747853496</v>
      </c>
      <c r="G389" s="26" t="n">
        <v>-2.63718655415866</v>
      </c>
      <c r="H389" s="26" t="n">
        <v>-0.947888228311164</v>
      </c>
      <c r="I389" s="26" t="n">
        <v>-0.937187303934861</v>
      </c>
      <c r="J389" s="26" t="n">
        <v>5.42</v>
      </c>
      <c r="K389" s="27" t="n">
        <f aca="false">MIN(F389,G389)</f>
        <v>-2.64788747853496</v>
      </c>
      <c r="L389" s="27" t="n">
        <f aca="false">AVERAGE(F389,G389)</f>
        <v>-2.64253701634681</v>
      </c>
      <c r="M389" s="27" t="n">
        <f aca="false">MAX(0,NG-L389)</f>
        <v>1.94253701634681</v>
      </c>
      <c r="N389" s="27" t="n">
        <f aca="false">MAX(0,GWL-K389)</f>
        <v>1.14788747853496</v>
      </c>
      <c r="O389" s="27" t="n">
        <f aca="false">MAX(0,NG-MAX(K389,GWL))</f>
        <v>0.8</v>
      </c>
      <c r="P389" s="27" t="n">
        <f aca="false">E389/2+WS+SLOPE_A*O389+SLOPE_B*N389</f>
        <v>5.09577458218183</v>
      </c>
      <c r="Q389" s="28" t="str">
        <f aca="false">IF(AND(P389&lt;J389,N389&lt;=MAXOC),"Open cut","Shoring")</f>
        <v>Open cut</v>
      </c>
      <c r="R389" s="27" t="n">
        <f aca="false">IF(Q389="Shoring",D389,0)</f>
        <v>0</v>
      </c>
      <c r="S389" s="27" t="n">
        <f aca="false">MAX(0,GWL-L389)</f>
        <v>1.14253701634681</v>
      </c>
      <c r="T389" s="27" t="n">
        <f aca="false">MAX(0,NG-MAX(L389,GWL))</f>
        <v>0.8</v>
      </c>
      <c r="U389" s="27" t="n">
        <f aca="false">E389+2*WS</f>
        <v>3.1999992502238</v>
      </c>
      <c r="V389" s="27" t="n">
        <f aca="false">IF(Q389="Shoring",D389*M389*U389,0)</f>
        <v>0</v>
      </c>
      <c r="W389" s="27" t="n">
        <f aca="false">IF(Q389="Open cut",D389*(U389*M389+SLOPE_B*S389^2+2*SLOPE_B*S389*T389+SLOPE_A*T389^2),0)</f>
        <v>134.430171151937</v>
      </c>
      <c r="X389" s="27" t="n">
        <f aca="false">IF(M389&gt;0,D389*(E389+2*SLABOVH)*SLAB,0)</f>
        <v>10.999996250789</v>
      </c>
      <c r="Y389" s="27" t="n">
        <f aca="false">IF(M389&gt;0,D389*PI()*E389^2/4,0)</f>
        <v>11.30971941964</v>
      </c>
      <c r="Z389" s="27" t="n">
        <f aca="false">IF(H389-E389&gt;=GWL,99,E389*(MAX(0,GWL-H389)*(GAM_S-GAM_W)+MAX(0,NG-MAX(H389,GWL))*GAM_D)/(GAM_W*PI()*E389^2/4))</f>
        <v>0.482601364165988</v>
      </c>
      <c r="AA389" s="27" t="n">
        <f aca="false">IF(I389-E389&gt;=GWL,99,E389*(MAX(0,GWL-I389)*(GAM_S-GAM_W)+MAX(0,NG-MAX(I389,GWL))*GAM_D)/(GAM_W*PI()*E389^2/4))</f>
        <v>0.461768262340118</v>
      </c>
      <c r="AB389" s="27" t="n">
        <f aca="false">IF(H389-E389&gt;=GWL,99,E389*(MAX(0,GWL-H389)*(GAM_S-GAM_W)+MAX(0,FL-MAX(H389,GWL))*GAM_D)/(GAM_W*PI()*E389^2/4))</f>
        <v>3.79224750860629</v>
      </c>
      <c r="AC389" s="27" t="n">
        <f aca="false">IF(I389-E389&gt;=GWL,99,E389*(MAX(0,GWL-I389)*(GAM_S-GAM_W)+MAX(0,FL-MAX(I389,GWL))*GAM_D)/(GAM_W*PI()*E389^2/4))</f>
        <v>3.77141440678042</v>
      </c>
    </row>
    <row r="390" customFormat="false" ht="15" hidden="false" customHeight="false" outlineLevel="0" collapsed="false">
      <c r="A390" s="25" t="s">
        <v>873</v>
      </c>
      <c r="B390" s="25" t="s">
        <v>879</v>
      </c>
      <c r="C390" s="25" t="s">
        <v>886</v>
      </c>
      <c r="D390" s="26" t="n">
        <v>6.71617590592764</v>
      </c>
      <c r="E390" s="26" t="n">
        <v>1.1999992502238</v>
      </c>
      <c r="F390" s="26" t="n">
        <v>-2.63718655415866</v>
      </c>
      <c r="G390" s="26" t="n">
        <v>-2.6299996251119</v>
      </c>
      <c r="H390" s="26" t="n">
        <v>-0.937187303934861</v>
      </c>
      <c r="I390" s="26" t="n">
        <v>-0.9300003748881</v>
      </c>
      <c r="J390" s="26" t="n">
        <v>7.95</v>
      </c>
      <c r="K390" s="27" t="n">
        <f aca="false">MIN(F390,G390)</f>
        <v>-2.63718655415866</v>
      </c>
      <c r="L390" s="27" t="n">
        <f aca="false">AVERAGE(F390,G390)</f>
        <v>-2.63359308963528</v>
      </c>
      <c r="M390" s="27" t="n">
        <f aca="false">MAX(0,NG-L390)</f>
        <v>1.93359308963528</v>
      </c>
      <c r="N390" s="27" t="n">
        <f aca="false">MAX(0,GWL-K390)</f>
        <v>1.13718655415866</v>
      </c>
      <c r="O390" s="27" t="n">
        <f aca="false">MAX(0,NG-MAX(K390,GWL))</f>
        <v>0.8</v>
      </c>
      <c r="P390" s="27" t="n">
        <f aca="false">E390/2+WS+SLOPE_A*O390+SLOPE_B*N390</f>
        <v>5.07437273342922</v>
      </c>
      <c r="Q390" s="28" t="str">
        <f aca="false">IF(AND(P390&lt;J390,N390&lt;=MAXOC),"Open cut","Shoring")</f>
        <v>Open cut</v>
      </c>
      <c r="R390" s="27" t="n">
        <f aca="false">IF(Q390="Shoring",D390,0)</f>
        <v>0</v>
      </c>
      <c r="S390" s="27" t="n">
        <f aca="false">MAX(0,GWL-L390)</f>
        <v>1.13359308963528</v>
      </c>
      <c r="T390" s="27" t="n">
        <f aca="false">MAX(0,NG-MAX(L390,GWL))</f>
        <v>0.8</v>
      </c>
      <c r="U390" s="27" t="n">
        <f aca="false">E390+2*WS</f>
        <v>3.1999992502238</v>
      </c>
      <c r="V390" s="27" t="n">
        <f aca="false">IF(Q390="Shoring",D390*M390*U390,0)</f>
        <v>0</v>
      </c>
      <c r="W390" s="27" t="n">
        <f aca="false">IF(Q390="Open cut",D390*(U390*M390+SLOPE_B*S390^2+2*SLOPE_B*S390*T390+SLOPE_A*T390^2),0)</f>
        <v>89.6277765444707</v>
      </c>
      <c r="X390" s="27" t="n">
        <f aca="false">IF(M390&gt;0,D390*(E390+2*SLABOVH)*SLAB,0)</f>
        <v>7.38779097870599</v>
      </c>
      <c r="Y390" s="27" t="n">
        <f aca="false">IF(M390&gt;0,D390*PI()*E390^2/4,0)</f>
        <v>7.59580650712668</v>
      </c>
      <c r="Z390" s="27" t="n">
        <f aca="false">IF(H390-E390&gt;=GWL,99,E390*(MAX(0,GWL-H390)*(GAM_S-GAM_W)+MAX(0,NG-MAX(H390,GWL))*GAM_D)/(GAM_W*PI()*E390^2/4))</f>
        <v>0.461768262340118</v>
      </c>
      <c r="AA390" s="27" t="n">
        <f aca="false">IF(I390-E390&gt;=GWL,99,E390*(MAX(0,GWL-I390)*(GAM_S-GAM_W)+MAX(0,NG-MAX(I390,GWL))*GAM_D)/(GAM_W*PI()*E390^2/4))</f>
        <v>0.447776384687189</v>
      </c>
      <c r="AB390" s="27" t="n">
        <f aca="false">IF(H390-E390&gt;=GWL,99,E390*(MAX(0,GWL-H390)*(GAM_S-GAM_W)+MAX(0,FL-MAX(H390,GWL))*GAM_D)/(GAM_W*PI()*E390^2/4))</f>
        <v>3.77141440678042</v>
      </c>
      <c r="AC390" s="27" t="n">
        <f aca="false">IF(I390-E390&gt;=GWL,99,E390*(MAX(0,GWL-I390)*(GAM_S-GAM_W)+MAX(0,FL-MAX(I390,GWL))*GAM_D)/(GAM_W*PI()*E390^2/4))</f>
        <v>3.75742252912749</v>
      </c>
    </row>
    <row r="391" customFormat="false" ht="15" hidden="false" customHeight="false" outlineLevel="0" collapsed="false">
      <c r="A391" s="25" t="s">
        <v>873</v>
      </c>
      <c r="B391" s="25" t="s">
        <v>879</v>
      </c>
      <c r="C391" s="25" t="s">
        <v>887</v>
      </c>
      <c r="D391" s="26" t="n">
        <v>0.992552459424052</v>
      </c>
      <c r="E391" s="26" t="n">
        <v>1.1999992502238</v>
      </c>
      <c r="F391" s="26" t="n">
        <v>-2.6299996251119</v>
      </c>
      <c r="G391" s="26" t="n">
        <v>-2.6299996251119</v>
      </c>
      <c r="H391" s="26" t="n">
        <v>-0.9300003748881</v>
      </c>
      <c r="I391" s="26" t="n">
        <v>-0.9300003748881</v>
      </c>
      <c r="J391" s="26" t="n">
        <v>10.98</v>
      </c>
      <c r="K391" s="27" t="n">
        <f aca="false">MIN(F391,G391)</f>
        <v>-2.6299996251119</v>
      </c>
      <c r="L391" s="27" t="n">
        <f aca="false">AVERAGE(F391,G391)</f>
        <v>-2.6299996251119</v>
      </c>
      <c r="M391" s="27" t="n">
        <f aca="false">MAX(0,NG-L391)</f>
        <v>1.9299996251119</v>
      </c>
      <c r="N391" s="27" t="n">
        <f aca="false">MAX(0,GWL-K391)</f>
        <v>1.1299996251119</v>
      </c>
      <c r="O391" s="27" t="n">
        <f aca="false">MAX(0,NG-MAX(K391,GWL))</f>
        <v>0.8</v>
      </c>
      <c r="P391" s="27" t="n">
        <f aca="false">E391/2+WS+SLOPE_A*O391+SLOPE_B*N391</f>
        <v>5.0599988753357</v>
      </c>
      <c r="Q391" s="28" t="str">
        <f aca="false">IF(AND(P391&lt;J391,N391&lt;=MAXOC),"Open cut","Shoring")</f>
        <v>Open cut</v>
      </c>
      <c r="R391" s="27" t="n">
        <f aca="false">IF(Q391="Shoring",D391,0)</f>
        <v>0</v>
      </c>
      <c r="S391" s="27" t="n">
        <f aca="false">MAX(0,GWL-L391)</f>
        <v>1.1299996251119</v>
      </c>
      <c r="T391" s="27" t="n">
        <f aca="false">MAX(0,NG-MAX(L391,GWL))</f>
        <v>0.8</v>
      </c>
      <c r="U391" s="27" t="n">
        <f aca="false">E391+2*WS</f>
        <v>3.1999992502238</v>
      </c>
      <c r="V391" s="27" t="n">
        <f aca="false">IF(Q391="Shoring",D391*M391*U391,0)</f>
        <v>0</v>
      </c>
      <c r="W391" s="27" t="n">
        <f aca="false">IF(Q391="Open cut",D391*(U391*M391+SLOPE_B*S391^2+2*SLOPE_B*S391*T391+SLOPE_A*T391^2),0)</f>
        <v>13.2066990150247</v>
      </c>
      <c r="X391" s="27" t="n">
        <f aca="false">IF(M391&gt;0,D391*(E391+2*SLABOVH)*SLAB,0)</f>
        <v>1.09180733327035</v>
      </c>
      <c r="Y391" s="27" t="n">
        <f aca="false">IF(M391&gt;0,D391*PI()*E391^2/4,0)</f>
        <v>1.12254898256964</v>
      </c>
      <c r="Z391" s="27" t="n">
        <f aca="false">IF(H391-E391&gt;=GWL,99,E391*(MAX(0,GWL-H391)*(GAM_S-GAM_W)+MAX(0,NG-MAX(H391,GWL))*GAM_D)/(GAM_W*PI()*E391^2/4))</f>
        <v>0.447776384687189</v>
      </c>
      <c r="AA391" s="27" t="n">
        <f aca="false">IF(I391-E391&gt;=GWL,99,E391*(MAX(0,GWL-I391)*(GAM_S-GAM_W)+MAX(0,NG-MAX(I391,GWL))*GAM_D)/(GAM_W*PI()*E391^2/4))</f>
        <v>0.447776384687189</v>
      </c>
      <c r="AB391" s="27" t="n">
        <f aca="false">IF(H391-E391&gt;=GWL,99,E391*(MAX(0,GWL-H391)*(GAM_S-GAM_W)+MAX(0,FL-MAX(H391,GWL))*GAM_D)/(GAM_W*PI()*E391^2/4))</f>
        <v>3.75742252912749</v>
      </c>
      <c r="AC391" s="27" t="n">
        <f aca="false">IF(I391-E391&gt;=GWL,99,E391*(MAX(0,GWL-I391)*(GAM_S-GAM_W)+MAX(0,FL-MAX(I391,GWL))*GAM_D)/(GAM_W*PI()*E391^2/4))</f>
        <v>3.75742252912749</v>
      </c>
    </row>
    <row r="392" customFormat="false" ht="15" hidden="false" customHeight="false" outlineLevel="0" collapsed="false">
      <c r="A392" s="25" t="s">
        <v>873</v>
      </c>
      <c r="B392" s="25" t="s">
        <v>879</v>
      </c>
      <c r="C392" s="25" t="s">
        <v>888</v>
      </c>
      <c r="D392" s="26" t="n">
        <v>1.02270828635173</v>
      </c>
      <c r="E392" s="26" t="n">
        <v>1.19999765754044</v>
      </c>
      <c r="F392" s="26" t="n">
        <v>-2.62999882877022</v>
      </c>
      <c r="G392" s="26" t="n">
        <v>-2.62999882877022</v>
      </c>
      <c r="H392" s="26" t="n">
        <v>-0.930001171229781</v>
      </c>
      <c r="I392" s="26" t="n">
        <v>-0.930001171229781</v>
      </c>
      <c r="J392" s="26" t="n">
        <v>11.28</v>
      </c>
      <c r="K392" s="27" t="n">
        <f aca="false">MIN(F392,G392)</f>
        <v>-2.62999882877022</v>
      </c>
      <c r="L392" s="27" t="n">
        <f aca="false">AVERAGE(F392,G392)</f>
        <v>-2.62999882877022</v>
      </c>
      <c r="M392" s="27" t="n">
        <f aca="false">MAX(0,NG-L392)</f>
        <v>1.92999882877022</v>
      </c>
      <c r="N392" s="27" t="n">
        <f aca="false">MAX(0,GWL-K392)</f>
        <v>1.12999882877022</v>
      </c>
      <c r="O392" s="27" t="n">
        <f aca="false">MAX(0,NG-MAX(K392,GWL))</f>
        <v>0.8</v>
      </c>
      <c r="P392" s="27" t="n">
        <f aca="false">E392/2+WS+SLOPE_A*O392+SLOPE_B*N392</f>
        <v>5.05999648631066</v>
      </c>
      <c r="Q392" s="28" t="str">
        <f aca="false">IF(AND(P392&lt;J392,N392&lt;=MAXOC),"Open cut","Shoring")</f>
        <v>Open cut</v>
      </c>
      <c r="R392" s="27" t="n">
        <f aca="false">IF(Q392="Shoring",D392,0)</f>
        <v>0</v>
      </c>
      <c r="S392" s="27" t="n">
        <f aca="false">MAX(0,GWL-L392)</f>
        <v>1.12999882877022</v>
      </c>
      <c r="T392" s="27" t="n">
        <f aca="false">MAX(0,NG-MAX(L392,GWL))</f>
        <v>0.8</v>
      </c>
      <c r="U392" s="27" t="n">
        <f aca="false">E392+2*WS</f>
        <v>3.19999765754044</v>
      </c>
      <c r="V392" s="27" t="n">
        <f aca="false">IF(Q392="Shoring",D392*M392*U392,0)</f>
        <v>0</v>
      </c>
      <c r="W392" s="27" t="n">
        <f aca="false">IF(Q392="Open cut",D392*(U392*M392+SLOPE_B*S392^2+2*SLOPE_B*S392*T392+SLOPE_A*T392^2),0)</f>
        <v>13.6079342126703</v>
      </c>
      <c r="X392" s="27" t="n">
        <f aca="false">IF(M392&gt;0,D392*(E392+2*SLABOVH)*SLAB,0)</f>
        <v>1.1249779171605</v>
      </c>
      <c r="Y392" s="27" t="n">
        <f aca="false">IF(M392&gt;0,D392*PI()*E392^2/4,0)</f>
        <v>1.15665130640574</v>
      </c>
      <c r="Z392" s="27" t="n">
        <f aca="false">IF(H392-E392&gt;=GWL,99,E392*(MAX(0,GWL-H392)*(GAM_S-GAM_W)+MAX(0,NG-MAX(H392,GWL))*GAM_D)/(GAM_W*PI()*E392^2/4))</f>
        <v>0.447778529353744</v>
      </c>
      <c r="AA392" s="27" t="n">
        <f aca="false">IF(I392-E392&gt;=GWL,99,E392*(MAX(0,GWL-I392)*(GAM_S-GAM_W)+MAX(0,NG-MAX(I392,GWL))*GAM_D)/(GAM_W*PI()*E392^2/4))</f>
        <v>0.447778529353744</v>
      </c>
      <c r="AB392" s="27" t="n">
        <f aca="false">IF(H392-E392&gt;=GWL,99,E392*(MAX(0,GWL-H392)*(GAM_S-GAM_W)+MAX(0,FL-MAX(H392,GWL))*GAM_D)/(GAM_W*PI()*E392^2/4))</f>
        <v>3.75742906648458</v>
      </c>
      <c r="AC392" s="27" t="n">
        <f aca="false">IF(I392-E392&gt;=GWL,99,E392*(MAX(0,GWL-I392)*(GAM_S-GAM_W)+MAX(0,FL-MAX(I392,GWL))*GAM_D)/(GAM_W*PI()*E392^2/4))</f>
        <v>3.75742906648458</v>
      </c>
    </row>
    <row r="393" customFormat="false" ht="15" hidden="false" customHeight="false" outlineLevel="0" collapsed="false">
      <c r="A393" s="25" t="s">
        <v>873</v>
      </c>
      <c r="B393" s="25" t="s">
        <v>879</v>
      </c>
      <c r="C393" s="25" t="s">
        <v>889</v>
      </c>
      <c r="D393" s="26" t="n">
        <v>1.26856334917634</v>
      </c>
      <c r="E393" s="26" t="n">
        <v>1.19999765754044</v>
      </c>
      <c r="F393" s="26" t="n">
        <v>-2.62999882877022</v>
      </c>
      <c r="G393" s="26" t="n">
        <v>-2.62999882877022</v>
      </c>
      <c r="H393" s="26" t="n">
        <v>-0.930001171229781</v>
      </c>
      <c r="I393" s="26" t="n">
        <v>-0.930001171229781</v>
      </c>
      <c r="J393" s="26" t="n">
        <v>11.04</v>
      </c>
      <c r="K393" s="27" t="n">
        <f aca="false">MIN(F393,G393)</f>
        <v>-2.62999882877022</v>
      </c>
      <c r="L393" s="27" t="n">
        <f aca="false">AVERAGE(F393,G393)</f>
        <v>-2.62999882877022</v>
      </c>
      <c r="M393" s="27" t="n">
        <f aca="false">MAX(0,NG-L393)</f>
        <v>1.92999882877022</v>
      </c>
      <c r="N393" s="27" t="n">
        <f aca="false">MAX(0,GWL-K393)</f>
        <v>1.12999882877022</v>
      </c>
      <c r="O393" s="27" t="n">
        <f aca="false">MAX(0,NG-MAX(K393,GWL))</f>
        <v>0.8</v>
      </c>
      <c r="P393" s="27" t="n">
        <f aca="false">E393/2+WS+SLOPE_A*O393+SLOPE_B*N393</f>
        <v>5.05999648631066</v>
      </c>
      <c r="Q393" s="28" t="str">
        <f aca="false">IF(AND(P393&lt;J393,N393&lt;=MAXOC),"Open cut","Shoring")</f>
        <v>Open cut</v>
      </c>
      <c r="R393" s="27" t="n">
        <f aca="false">IF(Q393="Shoring",D393,0)</f>
        <v>0</v>
      </c>
      <c r="S393" s="27" t="n">
        <f aca="false">MAX(0,GWL-L393)</f>
        <v>1.12999882877022</v>
      </c>
      <c r="T393" s="27" t="n">
        <f aca="false">MAX(0,NG-MAX(L393,GWL))</f>
        <v>0.8</v>
      </c>
      <c r="U393" s="27" t="n">
        <f aca="false">E393+2*WS</f>
        <v>3.19999765754044</v>
      </c>
      <c r="V393" s="27" t="n">
        <f aca="false">IF(Q393="Shoring",D393*M393*U393,0)</f>
        <v>0</v>
      </c>
      <c r="W393" s="27" t="n">
        <f aca="false">IF(Q393="Open cut",D393*(U393*M393+SLOPE_B*S393^2+2*SLOPE_B*S393*T393+SLOPE_A*T393^2),0)</f>
        <v>16.8792282516614</v>
      </c>
      <c r="X393" s="27" t="n">
        <f aca="false">IF(M393&gt;0,D393*(E393+2*SLABOVH)*SLAB,0)</f>
        <v>1.3954181983148</v>
      </c>
      <c r="Y393" s="27" t="n">
        <f aca="false">IF(M393&gt;0,D393*PI()*E393^2/4,0)</f>
        <v>1.43470574616878</v>
      </c>
      <c r="Z393" s="27" t="n">
        <f aca="false">IF(H393-E393&gt;=GWL,99,E393*(MAX(0,GWL-H393)*(GAM_S-GAM_W)+MAX(0,NG-MAX(H393,GWL))*GAM_D)/(GAM_W*PI()*E393^2/4))</f>
        <v>0.447778529353744</v>
      </c>
      <c r="AA393" s="27" t="n">
        <f aca="false">IF(I393-E393&gt;=GWL,99,E393*(MAX(0,GWL-I393)*(GAM_S-GAM_W)+MAX(0,NG-MAX(I393,GWL))*GAM_D)/(GAM_W*PI()*E393^2/4))</f>
        <v>0.447778529353744</v>
      </c>
      <c r="AB393" s="27" t="n">
        <f aca="false">IF(H393-E393&gt;=GWL,99,E393*(MAX(0,GWL-H393)*(GAM_S-GAM_W)+MAX(0,FL-MAX(H393,GWL))*GAM_D)/(GAM_W*PI()*E393^2/4))</f>
        <v>3.75742906648458</v>
      </c>
      <c r="AC393" s="27" t="n">
        <f aca="false">IF(I393-E393&gt;=GWL,99,E393*(MAX(0,GWL-I393)*(GAM_S-GAM_W)+MAX(0,FL-MAX(I393,GWL))*GAM_D)/(GAM_W*PI()*E393^2/4))</f>
        <v>3.75742906648458</v>
      </c>
    </row>
    <row r="394" customFormat="false" ht="15" hidden="false" customHeight="false" outlineLevel="0" collapsed="false">
      <c r="A394" s="25" t="s">
        <v>873</v>
      </c>
      <c r="B394" s="25" t="s">
        <v>879</v>
      </c>
      <c r="C394" s="25" t="s">
        <v>890</v>
      </c>
      <c r="D394" s="26" t="n">
        <v>5.19999999960399</v>
      </c>
      <c r="E394" s="26" t="n">
        <v>1.19999765754044</v>
      </c>
      <c r="F394" s="26" t="n">
        <v>-2.62999882877022</v>
      </c>
      <c r="G394" s="26" t="n">
        <v>-2.62999882877022</v>
      </c>
      <c r="H394" s="26" t="n">
        <v>-0.930001171229781</v>
      </c>
      <c r="I394" s="26" t="n">
        <v>-0.930001171229781</v>
      </c>
      <c r="J394" s="26" t="n">
        <v>10.46</v>
      </c>
      <c r="K394" s="27" t="n">
        <f aca="false">MIN(F394,G394)</f>
        <v>-2.62999882877022</v>
      </c>
      <c r="L394" s="27" t="n">
        <f aca="false">AVERAGE(F394,G394)</f>
        <v>-2.62999882877022</v>
      </c>
      <c r="M394" s="27" t="n">
        <f aca="false">MAX(0,NG-L394)</f>
        <v>1.92999882877022</v>
      </c>
      <c r="N394" s="27" t="n">
        <f aca="false">MAX(0,GWL-K394)</f>
        <v>1.12999882877022</v>
      </c>
      <c r="O394" s="27" t="n">
        <f aca="false">MAX(0,NG-MAX(K394,GWL))</f>
        <v>0.8</v>
      </c>
      <c r="P394" s="27" t="n">
        <f aca="false">E394/2+WS+SLOPE_A*O394+SLOPE_B*N394</f>
        <v>5.05999648631066</v>
      </c>
      <c r="Q394" s="28" t="str">
        <f aca="false">IF(AND(P394&lt;J394,N394&lt;=MAXOC),"Open cut","Shoring")</f>
        <v>Open cut</v>
      </c>
      <c r="R394" s="27" t="n">
        <f aca="false">IF(Q394="Shoring",D394,0)</f>
        <v>0</v>
      </c>
      <c r="S394" s="27" t="n">
        <f aca="false">MAX(0,GWL-L394)</f>
        <v>1.12999882877022</v>
      </c>
      <c r="T394" s="27" t="n">
        <f aca="false">MAX(0,NG-MAX(L394,GWL))</f>
        <v>0.8</v>
      </c>
      <c r="U394" s="27" t="n">
        <f aca="false">E394+2*WS</f>
        <v>3.19999765754044</v>
      </c>
      <c r="V394" s="27" t="n">
        <f aca="false">IF(Q394="Shoring",D394*M394*U394,0)</f>
        <v>0</v>
      </c>
      <c r="W394" s="27" t="n">
        <f aca="false">IF(Q394="Open cut",D394*(U394*M394+SLOPE_B*S394^2+2*SLOPE_B*S394*T394+SLOPE_A*T394^2),0)</f>
        <v>69.1900699787233</v>
      </c>
      <c r="X394" s="27" t="n">
        <f aca="false">IF(M394&gt;0,D394*(E394+2*SLABOVH)*SLAB,0)</f>
        <v>5.71999390916953</v>
      </c>
      <c r="Y394" s="27" t="n">
        <f aca="false">IF(M394&gt;0,D394*PI()*E394^2/4,0)</f>
        <v>5.88103848684693</v>
      </c>
      <c r="Z394" s="27" t="n">
        <f aca="false">IF(H394-E394&gt;=GWL,99,E394*(MAX(0,GWL-H394)*(GAM_S-GAM_W)+MAX(0,NG-MAX(H394,GWL))*GAM_D)/(GAM_W*PI()*E394^2/4))</f>
        <v>0.447778529353744</v>
      </c>
      <c r="AA394" s="27" t="n">
        <f aca="false">IF(I394-E394&gt;=GWL,99,E394*(MAX(0,GWL-I394)*(GAM_S-GAM_W)+MAX(0,NG-MAX(I394,GWL))*GAM_D)/(GAM_W*PI()*E394^2/4))</f>
        <v>0.447778529353744</v>
      </c>
      <c r="AB394" s="27" t="n">
        <f aca="false">IF(H394-E394&gt;=GWL,99,E394*(MAX(0,GWL-H394)*(GAM_S-GAM_W)+MAX(0,FL-MAX(H394,GWL))*GAM_D)/(GAM_W*PI()*E394^2/4))</f>
        <v>3.75742906648458</v>
      </c>
      <c r="AC394" s="27" t="n">
        <f aca="false">IF(I394-E394&gt;=GWL,99,E394*(MAX(0,GWL-I394)*(GAM_S-GAM_W)+MAX(0,FL-MAX(I394,GWL))*GAM_D)/(GAM_W*PI()*E394^2/4))</f>
        <v>3.75742906648458</v>
      </c>
    </row>
    <row r="395" customFormat="false" ht="15" hidden="false" customHeight="false" outlineLevel="0" collapsed="false">
      <c r="A395" s="25" t="s">
        <v>873</v>
      </c>
      <c r="B395" s="25" t="s">
        <v>891</v>
      </c>
      <c r="C395" s="25" t="s">
        <v>892</v>
      </c>
      <c r="D395" s="26" t="n">
        <v>4.79999999970404</v>
      </c>
      <c r="E395" s="26" t="n">
        <v>1.19999765754044</v>
      </c>
      <c r="F395" s="26" t="n">
        <v>-2.62999882877022</v>
      </c>
      <c r="G395" s="26" t="n">
        <v>-2.62999882877022</v>
      </c>
      <c r="H395" s="26" t="n">
        <v>-0.930001171229781</v>
      </c>
      <c r="I395" s="26" t="n">
        <v>-0.930001171229781</v>
      </c>
      <c r="J395" s="26" t="n">
        <v>10.42</v>
      </c>
      <c r="K395" s="27" t="n">
        <f aca="false">MIN(F395,G395)</f>
        <v>-2.62999882877022</v>
      </c>
      <c r="L395" s="27" t="n">
        <f aca="false">AVERAGE(F395,G395)</f>
        <v>-2.62999882877022</v>
      </c>
      <c r="M395" s="27" t="n">
        <f aca="false">MAX(0,NG-L395)</f>
        <v>1.92999882877022</v>
      </c>
      <c r="N395" s="27" t="n">
        <f aca="false">MAX(0,GWL-K395)</f>
        <v>1.12999882877022</v>
      </c>
      <c r="O395" s="27" t="n">
        <f aca="false">MAX(0,NG-MAX(K395,GWL))</f>
        <v>0.8</v>
      </c>
      <c r="P395" s="27" t="n">
        <f aca="false">E395/2+WS+SLOPE_A*O395+SLOPE_B*N395</f>
        <v>5.05999648631066</v>
      </c>
      <c r="Q395" s="28" t="str">
        <f aca="false">IF(AND(P395&lt;J395,N395&lt;=MAXOC),"Open cut","Shoring")</f>
        <v>Open cut</v>
      </c>
      <c r="R395" s="27" t="n">
        <f aca="false">IF(Q395="Shoring",D395,0)</f>
        <v>0</v>
      </c>
      <c r="S395" s="27" t="n">
        <f aca="false">MAX(0,GWL-L395)</f>
        <v>1.12999882877022</v>
      </c>
      <c r="T395" s="27" t="n">
        <f aca="false">MAX(0,NG-MAX(L395,GWL))</f>
        <v>0.8</v>
      </c>
      <c r="U395" s="27" t="n">
        <f aca="false">E395+2*WS</f>
        <v>3.19999765754044</v>
      </c>
      <c r="V395" s="27" t="n">
        <f aca="false">IF(Q395="Shoring",D395*M395*U395,0)</f>
        <v>0</v>
      </c>
      <c r="W395" s="27" t="n">
        <f aca="false">IF(Q395="Open cut",D395*(U395*M395+SLOPE_B*S395^2+2*SLOPE_B*S395*T395+SLOPE_A*T395^2),0)</f>
        <v>63.8677569043627</v>
      </c>
      <c r="X395" s="27" t="n">
        <f aca="false">IF(M395&gt;0,D395*(E395+2*SLABOVH)*SLAB,0)</f>
        <v>5.27999437777149</v>
      </c>
      <c r="Y395" s="27" t="n">
        <f aca="false">IF(M395&gt;0,D395*PI()*E395^2/4,0)</f>
        <v>5.42865091101432</v>
      </c>
      <c r="Z395" s="27" t="n">
        <f aca="false">IF(H395-E395&gt;=GWL,99,E395*(MAX(0,GWL-H395)*(GAM_S-GAM_W)+MAX(0,NG-MAX(H395,GWL))*GAM_D)/(GAM_W*PI()*E395^2/4))</f>
        <v>0.447778529353744</v>
      </c>
      <c r="AA395" s="27" t="n">
        <f aca="false">IF(I395-E395&gt;=GWL,99,E395*(MAX(0,GWL-I395)*(GAM_S-GAM_W)+MAX(0,NG-MAX(I395,GWL))*GAM_D)/(GAM_W*PI()*E395^2/4))</f>
        <v>0.447778529353744</v>
      </c>
      <c r="AB395" s="27" t="n">
        <f aca="false">IF(H395-E395&gt;=GWL,99,E395*(MAX(0,GWL-H395)*(GAM_S-GAM_W)+MAX(0,FL-MAX(H395,GWL))*GAM_D)/(GAM_W*PI()*E395^2/4))</f>
        <v>3.75742906648458</v>
      </c>
      <c r="AC395" s="27" t="n">
        <f aca="false">IF(I395-E395&gt;=GWL,99,E395*(MAX(0,GWL-I395)*(GAM_S-GAM_W)+MAX(0,FL-MAX(I395,GWL))*GAM_D)/(GAM_W*PI()*E395^2/4))</f>
        <v>3.75742906648458</v>
      </c>
    </row>
    <row r="396" customFormat="false" ht="15" hidden="false" customHeight="false" outlineLevel="0" collapsed="false">
      <c r="A396" s="25" t="s">
        <v>873</v>
      </c>
      <c r="B396" s="25" t="s">
        <v>891</v>
      </c>
      <c r="C396" s="25" t="s">
        <v>893</v>
      </c>
      <c r="D396" s="26" t="n">
        <v>0.596696651443158</v>
      </c>
      <c r="E396" s="26" t="n">
        <v>1.19999765754044</v>
      </c>
      <c r="F396" s="26" t="n">
        <v>-2.62999882877022</v>
      </c>
      <c r="G396" s="26" t="n">
        <v>-2.62999882877022</v>
      </c>
      <c r="H396" s="26" t="n">
        <v>-0.930001171229781</v>
      </c>
      <c r="I396" s="26" t="n">
        <v>-0.930001171229781</v>
      </c>
      <c r="J396" s="26" t="n">
        <v>10.53</v>
      </c>
      <c r="K396" s="27" t="n">
        <f aca="false">MIN(F396,G396)</f>
        <v>-2.62999882877022</v>
      </c>
      <c r="L396" s="27" t="n">
        <f aca="false">AVERAGE(F396,G396)</f>
        <v>-2.62999882877022</v>
      </c>
      <c r="M396" s="27" t="n">
        <f aca="false">MAX(0,NG-L396)</f>
        <v>1.92999882877022</v>
      </c>
      <c r="N396" s="27" t="n">
        <f aca="false">MAX(0,GWL-K396)</f>
        <v>1.12999882877022</v>
      </c>
      <c r="O396" s="27" t="n">
        <f aca="false">MAX(0,NG-MAX(K396,GWL))</f>
        <v>0.8</v>
      </c>
      <c r="P396" s="27" t="n">
        <f aca="false">E396/2+WS+SLOPE_A*O396+SLOPE_B*N396</f>
        <v>5.05999648631066</v>
      </c>
      <c r="Q396" s="28" t="str">
        <f aca="false">IF(AND(P396&lt;J396,N396&lt;=MAXOC),"Open cut","Shoring")</f>
        <v>Open cut</v>
      </c>
      <c r="R396" s="27" t="n">
        <f aca="false">IF(Q396="Shoring",D396,0)</f>
        <v>0</v>
      </c>
      <c r="S396" s="27" t="n">
        <f aca="false">MAX(0,GWL-L396)</f>
        <v>1.12999882877022</v>
      </c>
      <c r="T396" s="27" t="n">
        <f aca="false">MAX(0,NG-MAX(L396,GWL))</f>
        <v>0.8</v>
      </c>
      <c r="U396" s="27" t="n">
        <f aca="false">E396+2*WS</f>
        <v>3.19999765754044</v>
      </c>
      <c r="V396" s="27" t="n">
        <f aca="false">IF(Q396="Shoring",D396*M396*U396,0)</f>
        <v>0</v>
      </c>
      <c r="W396" s="27" t="n">
        <f aca="false">IF(Q396="Open cut",D396*(U396*M396+SLOPE_B*S396^2+2*SLOPE_B*S396*T396+SLOPE_A*T396^2),0)</f>
        <v>7.93951597549347</v>
      </c>
      <c r="X396" s="27" t="n">
        <f aca="false">IF(M396&gt;0,D396*(E396+2*SLABOVH)*SLAB,0)</f>
        <v>0.656365617718585</v>
      </c>
      <c r="Y396" s="27" t="n">
        <f aca="false">IF(M396&gt;0,D396*PI()*E396^2/4,0)</f>
        <v>0.674845379303296</v>
      </c>
      <c r="Z396" s="27" t="n">
        <f aca="false">IF(H396-E396&gt;=GWL,99,E396*(MAX(0,GWL-H396)*(GAM_S-GAM_W)+MAX(0,NG-MAX(H396,GWL))*GAM_D)/(GAM_W*PI()*E396^2/4))</f>
        <v>0.447778529353744</v>
      </c>
      <c r="AA396" s="27" t="n">
        <f aca="false">IF(I396-E396&gt;=GWL,99,E396*(MAX(0,GWL-I396)*(GAM_S-GAM_W)+MAX(0,NG-MAX(I396,GWL))*GAM_D)/(GAM_W*PI()*E396^2/4))</f>
        <v>0.447778529353744</v>
      </c>
      <c r="AB396" s="27" t="n">
        <f aca="false">IF(H396-E396&gt;=GWL,99,E396*(MAX(0,GWL-H396)*(GAM_S-GAM_W)+MAX(0,FL-MAX(H396,GWL))*GAM_D)/(GAM_W*PI()*E396^2/4))</f>
        <v>3.75742906648458</v>
      </c>
      <c r="AC396" s="27" t="n">
        <f aca="false">IF(I396-E396&gt;=GWL,99,E396*(MAX(0,GWL-I396)*(GAM_S-GAM_W)+MAX(0,FL-MAX(I396,GWL))*GAM_D)/(GAM_W*PI()*E396^2/4))</f>
        <v>3.75742906648458</v>
      </c>
    </row>
    <row r="397" customFormat="false" ht="15" hidden="false" customHeight="false" outlineLevel="0" collapsed="false">
      <c r="A397" s="25" t="s">
        <v>873</v>
      </c>
      <c r="B397" s="25" t="s">
        <v>891</v>
      </c>
      <c r="C397" s="25" t="s">
        <v>894</v>
      </c>
      <c r="D397" s="26" t="n">
        <v>1.00499000031016</v>
      </c>
      <c r="E397" s="26" t="n">
        <v>1.19999741513095</v>
      </c>
      <c r="F397" s="26" t="n">
        <v>-2.62999870756547</v>
      </c>
      <c r="G397" s="26" t="n">
        <v>-2.63100870756547</v>
      </c>
      <c r="H397" s="26" t="n">
        <v>-0.930001292434527</v>
      </c>
      <c r="I397" s="26" t="n">
        <v>-0.931011292434527</v>
      </c>
      <c r="J397" s="26" t="n">
        <v>10.58</v>
      </c>
      <c r="K397" s="27" t="n">
        <f aca="false">MIN(F397,G397)</f>
        <v>-2.63100870756547</v>
      </c>
      <c r="L397" s="27" t="n">
        <f aca="false">AVERAGE(F397,G397)</f>
        <v>-2.63050370756547</v>
      </c>
      <c r="M397" s="27" t="n">
        <f aca="false">MAX(0,NG-L397)</f>
        <v>1.93050370756547</v>
      </c>
      <c r="N397" s="27" t="n">
        <f aca="false">MAX(0,GWL-K397)</f>
        <v>1.13100870756547</v>
      </c>
      <c r="O397" s="27" t="n">
        <f aca="false">MAX(0,NG-MAX(K397,GWL))</f>
        <v>0.8</v>
      </c>
      <c r="P397" s="27" t="n">
        <f aca="false">E397/2+WS+SLOPE_A*O397+SLOPE_B*N397</f>
        <v>5.06201612269642</v>
      </c>
      <c r="Q397" s="28" t="str">
        <f aca="false">IF(AND(P397&lt;J397,N397&lt;=MAXOC),"Open cut","Shoring")</f>
        <v>Open cut</v>
      </c>
      <c r="R397" s="27" t="n">
        <f aca="false">IF(Q397="Shoring",D397,0)</f>
        <v>0</v>
      </c>
      <c r="S397" s="27" t="n">
        <f aca="false">MAX(0,GWL-L397)</f>
        <v>1.13050370756547</v>
      </c>
      <c r="T397" s="27" t="n">
        <f aca="false">MAX(0,NG-MAX(L397,GWL))</f>
        <v>0.8</v>
      </c>
      <c r="U397" s="27" t="n">
        <f aca="false">E397+2*WS</f>
        <v>3.19999741513095</v>
      </c>
      <c r="V397" s="27" t="n">
        <f aca="false">IF(Q397="Shoring",D397*M397*U397,0)</f>
        <v>0</v>
      </c>
      <c r="W397" s="27" t="n">
        <f aca="false">IF(Q397="Open cut",D397*(U397*M397+SLOPE_B*S397^2+2*SLOPE_B*S397*T397+SLOPE_A*T397^2),0)</f>
        <v>13.3777193751467</v>
      </c>
      <c r="X397" s="27" t="n">
        <f aca="false">IF(M397&gt;0,D397*(E397+2*SLABOVH)*SLAB,0)</f>
        <v>1.1054877014574</v>
      </c>
      <c r="Y397" s="27" t="n">
        <f aca="false">IF(M397&gt;0,D397*PI()*E397^2/4,0)</f>
        <v>1.13661201601482</v>
      </c>
      <c r="Z397" s="27" t="n">
        <f aca="false">IF(H397-E397&gt;=GWL,99,E397*(MAX(0,GWL-H397)*(GAM_S-GAM_W)+MAX(0,NG-MAX(H397,GWL))*GAM_D)/(GAM_W*PI()*E397^2/4))</f>
        <v>0.447778855776646</v>
      </c>
      <c r="AA397" s="27" t="n">
        <f aca="false">IF(I397-E397&gt;=GWL,99,E397*(MAX(0,GWL-I397)*(GAM_S-GAM_W)+MAX(0,NG-MAX(I397,GWL))*GAM_D)/(GAM_W*PI()*E397^2/4))</f>
        <v>0.449745177963567</v>
      </c>
      <c r="AB397" s="27" t="n">
        <f aca="false">IF(H397-E397&gt;=GWL,99,E397*(MAX(0,GWL-H397)*(GAM_S-GAM_W)+MAX(0,FL-MAX(H397,GWL))*GAM_D)/(GAM_W*PI()*E397^2/4))</f>
        <v>3.75743006148451</v>
      </c>
      <c r="AC397" s="27" t="n">
        <f aca="false">IF(I397-E397&gt;=GWL,99,E397*(MAX(0,GWL-I397)*(GAM_S-GAM_W)+MAX(0,FL-MAX(I397,GWL))*GAM_D)/(GAM_W*PI()*E397^2/4))</f>
        <v>3.75939638367143</v>
      </c>
    </row>
    <row r="398" customFormat="false" ht="15" hidden="false" customHeight="false" outlineLevel="0" collapsed="false">
      <c r="A398" s="25" t="s">
        <v>873</v>
      </c>
      <c r="B398" s="25" t="s">
        <v>891</v>
      </c>
      <c r="C398" s="25" t="s">
        <v>895</v>
      </c>
      <c r="D398" s="26" t="n">
        <v>1.00499942129907</v>
      </c>
      <c r="E398" s="26" t="n">
        <v>1.19999619424998</v>
      </c>
      <c r="F398" s="26" t="n">
        <v>-2.63100809712499</v>
      </c>
      <c r="G398" s="26" t="n">
        <v>-2.63200809712499</v>
      </c>
      <c r="H398" s="26" t="n">
        <v>-0.931011902875009</v>
      </c>
      <c r="I398" s="26" t="n">
        <v>-0.932011902875009</v>
      </c>
      <c r="J398" s="26" t="n">
        <v>10.06</v>
      </c>
      <c r="K398" s="27" t="n">
        <f aca="false">MIN(F398,G398)</f>
        <v>-2.63200809712499</v>
      </c>
      <c r="L398" s="27" t="n">
        <f aca="false">AVERAGE(F398,G398)</f>
        <v>-2.63150809712499</v>
      </c>
      <c r="M398" s="27" t="n">
        <f aca="false">MAX(0,NG-L398)</f>
        <v>1.93150809712499</v>
      </c>
      <c r="N398" s="27" t="n">
        <f aca="false">MAX(0,GWL-K398)</f>
        <v>1.13200809712499</v>
      </c>
      <c r="O398" s="27" t="n">
        <f aca="false">MAX(0,NG-MAX(K398,GWL))</f>
        <v>0.8</v>
      </c>
      <c r="P398" s="27" t="n">
        <f aca="false">E398/2+WS+SLOPE_A*O398+SLOPE_B*N398</f>
        <v>5.06401429137497</v>
      </c>
      <c r="Q398" s="28" t="str">
        <f aca="false">IF(AND(P398&lt;J398,N398&lt;=MAXOC),"Open cut","Shoring")</f>
        <v>Open cut</v>
      </c>
      <c r="R398" s="27" t="n">
        <f aca="false">IF(Q398="Shoring",D398,0)</f>
        <v>0</v>
      </c>
      <c r="S398" s="27" t="n">
        <f aca="false">MAX(0,GWL-L398)</f>
        <v>1.13150809712499</v>
      </c>
      <c r="T398" s="27" t="n">
        <f aca="false">MAX(0,NG-MAX(L398,GWL))</f>
        <v>0.8</v>
      </c>
      <c r="U398" s="27" t="n">
        <f aca="false">E398+2*WS</f>
        <v>3.19999619424998</v>
      </c>
      <c r="V398" s="27" t="n">
        <f aca="false">IF(Q398="Shoring",D398*M398*U398,0)</f>
        <v>0</v>
      </c>
      <c r="W398" s="27" t="n">
        <f aca="false">IF(Q398="Open cut",D398*(U398*M398+SLOPE_B*S398^2+2*SLOPE_B*S398*T398+SLOPE_A*T398^2),0)</f>
        <v>13.3888692369667</v>
      </c>
      <c r="X398" s="27" t="n">
        <f aca="false">IF(M398&gt;0,D398*(E398+2*SLABOVH)*SLAB,0)</f>
        <v>1.1054974510407</v>
      </c>
      <c r="Y398" s="27" t="n">
        <f aca="false">IF(M398&gt;0,D398*PI()*E398^2/4,0)</f>
        <v>1.13662035805091</v>
      </c>
      <c r="Z398" s="27" t="n">
        <f aca="false">IF(H398-E398&gt;=GWL,99,E398*(MAX(0,GWL-H398)*(GAM_S-GAM_W)+MAX(0,NG-MAX(H398,GWL))*GAM_D)/(GAM_W*PI()*E398^2/4))</f>
        <v>0.449746823975613</v>
      </c>
      <c r="AA398" s="27" t="n">
        <f aca="false">IF(I398-E398&gt;=GWL,99,E398*(MAX(0,GWL-I398)*(GAM_S-GAM_W)+MAX(0,NG-MAX(I398,GWL))*GAM_D)/(GAM_W*PI()*E398^2/4))</f>
        <v>0.451693679606767</v>
      </c>
      <c r="AB398" s="27" t="n">
        <f aca="false">IF(H398-E398&gt;=GWL,99,E398*(MAX(0,GWL-H398)*(GAM_S-GAM_W)+MAX(0,FL-MAX(H398,GWL))*GAM_D)/(GAM_W*PI()*E398^2/4))</f>
        <v>3.75940139693595</v>
      </c>
      <c r="AC398" s="27" t="n">
        <f aca="false">IF(I398-E398&gt;=GWL,99,E398*(MAX(0,GWL-I398)*(GAM_S-GAM_W)+MAX(0,FL-MAX(I398,GWL))*GAM_D)/(GAM_W*PI()*E398^2/4))</f>
        <v>3.7613482525671</v>
      </c>
    </row>
    <row r="399" customFormat="false" ht="15" hidden="false" customHeight="false" outlineLevel="0" collapsed="false">
      <c r="A399" s="25" t="s">
        <v>873</v>
      </c>
      <c r="B399" s="25" t="s">
        <v>891</v>
      </c>
      <c r="C399" s="25" t="s">
        <v>896</v>
      </c>
      <c r="D399" s="26" t="n">
        <v>7.39331392708064</v>
      </c>
      <c r="E399" s="26" t="n">
        <v>1.19999814519627</v>
      </c>
      <c r="F399" s="26" t="n">
        <v>-2.63200907259813</v>
      </c>
      <c r="G399" s="26" t="n">
        <v>-2.63940944893952</v>
      </c>
      <c r="H399" s="26" t="n">
        <v>-0.932010927401868</v>
      </c>
      <c r="I399" s="26" t="n">
        <v>-0.939411303743257</v>
      </c>
      <c r="J399" s="26" t="n">
        <v>6.09</v>
      </c>
      <c r="K399" s="27" t="n">
        <f aca="false">MIN(F399,G399)</f>
        <v>-2.63940944893952</v>
      </c>
      <c r="L399" s="27" t="n">
        <f aca="false">AVERAGE(F399,G399)</f>
        <v>-2.63570926076883</v>
      </c>
      <c r="M399" s="27" t="n">
        <f aca="false">MAX(0,NG-L399)</f>
        <v>1.93570926076883</v>
      </c>
      <c r="N399" s="27" t="n">
        <f aca="false">MAX(0,GWL-K399)</f>
        <v>1.13940944893952</v>
      </c>
      <c r="O399" s="27" t="n">
        <f aca="false">MAX(0,NG-MAX(K399,GWL))</f>
        <v>0.8</v>
      </c>
      <c r="P399" s="27" t="n">
        <f aca="false">E399/2+WS+SLOPE_A*O399+SLOPE_B*N399</f>
        <v>5.07881797047718</v>
      </c>
      <c r="Q399" s="28" t="str">
        <f aca="false">IF(AND(P399&lt;J399,N399&lt;=MAXOC),"Open cut","Shoring")</f>
        <v>Open cut</v>
      </c>
      <c r="R399" s="27" t="n">
        <f aca="false">IF(Q399="Shoring",D399,0)</f>
        <v>0</v>
      </c>
      <c r="S399" s="27" t="n">
        <f aca="false">MAX(0,GWL-L399)</f>
        <v>1.13570926076883</v>
      </c>
      <c r="T399" s="27" t="n">
        <f aca="false">MAX(0,NG-MAX(L399,GWL))</f>
        <v>0.8</v>
      </c>
      <c r="U399" s="27" t="n">
        <f aca="false">E399+2*WS</f>
        <v>3.19999814519626</v>
      </c>
      <c r="V399" s="27" t="n">
        <f aca="false">IF(Q399="Shoring",D399*M399*U399,0)</f>
        <v>0</v>
      </c>
      <c r="W399" s="27" t="n">
        <f aca="false">IF(Q399="Open cut",D399*(U399*M399+SLOPE_B*S399^2+2*SLOPE_B*S399*T399+SLOPE_A*T399^2),0)</f>
        <v>98.8353489862957</v>
      </c>
      <c r="X399" s="27" t="n">
        <f aca="false">IF(M399&gt;0,D399*(E399+2*SLABOVH)*SLAB,0)</f>
        <v>8.13263846321556</v>
      </c>
      <c r="Y399" s="27" t="n">
        <f aca="false">IF(M399&gt;0,D399*PI()*E399^2/4,0)</f>
        <v>8.36161521018807</v>
      </c>
      <c r="Z399" s="27" t="n">
        <f aca="false">IF(H399-E399&gt;=GWL,99,E399*(MAX(0,GWL-H399)*(GAM_S-GAM_W)+MAX(0,NG-MAX(H399,GWL))*GAM_D)/(GAM_W*PI()*E399^2/4))</f>
        <v>0.45169104614492</v>
      </c>
      <c r="AA399" s="27" t="n">
        <f aca="false">IF(I399-E399&gt;=GWL,99,E399*(MAX(0,GWL-I399)*(GAM_S-GAM_W)+MAX(0,NG-MAX(I399,GWL))*GAM_D)/(GAM_W*PI()*E399^2/4))</f>
        <v>0.466098487074278</v>
      </c>
      <c r="AB399" s="27" t="n">
        <f aca="false">IF(H399-E399&gt;=GWL,99,E399*(MAX(0,GWL-H399)*(GAM_S-GAM_W)+MAX(0,FL-MAX(H399,GWL))*GAM_D)/(GAM_W*PI()*E399^2/4))</f>
        <v>3.76134023829837</v>
      </c>
      <c r="AC399" s="27" t="n">
        <f aca="false">IF(I399-E399&gt;=GWL,99,E399*(MAX(0,GWL-I399)*(GAM_S-GAM_W)+MAX(0,FL-MAX(I399,GWL))*GAM_D)/(GAM_W*PI()*E399^2/4))</f>
        <v>3.77574767922772</v>
      </c>
    </row>
    <row r="400" customFormat="false" ht="15" hidden="false" customHeight="false" outlineLevel="0" collapsed="false">
      <c r="A400" s="25" t="s">
        <v>873</v>
      </c>
      <c r="B400" s="25" t="s">
        <v>891</v>
      </c>
      <c r="C400" s="25" t="s">
        <v>897</v>
      </c>
      <c r="D400" s="26" t="n">
        <v>10.0000000005991</v>
      </c>
      <c r="E400" s="26" t="n">
        <v>1.19999814519627</v>
      </c>
      <c r="F400" s="26" t="n">
        <v>-2.63940944893952</v>
      </c>
      <c r="G400" s="26" t="n">
        <v>-2.64941900137275</v>
      </c>
      <c r="H400" s="26" t="n">
        <v>-0.939411303743257</v>
      </c>
      <c r="I400" s="26" t="n">
        <v>-0.949420856176481</v>
      </c>
      <c r="J400" s="26" t="n">
        <v>2.73</v>
      </c>
      <c r="K400" s="27" t="n">
        <f aca="false">MIN(F400,G400)</f>
        <v>-2.64941900137275</v>
      </c>
      <c r="L400" s="27" t="n">
        <f aca="false">AVERAGE(F400,G400)</f>
        <v>-2.64441422515613</v>
      </c>
      <c r="M400" s="27" t="n">
        <f aca="false">MAX(0,NG-L400)</f>
        <v>1.94441422515613</v>
      </c>
      <c r="N400" s="27" t="n">
        <f aca="false">MAX(0,GWL-K400)</f>
        <v>1.14941900137275</v>
      </c>
      <c r="O400" s="27" t="n">
        <f aca="false">MAX(0,NG-MAX(K400,GWL))</f>
        <v>0.8</v>
      </c>
      <c r="P400" s="27" t="n">
        <f aca="false">E400/2+WS+SLOPE_A*O400+SLOPE_B*N400</f>
        <v>5.09883707534362</v>
      </c>
      <c r="Q400" s="28" t="str">
        <f aca="false">IF(AND(P400&lt;J400,N400&lt;=MAXOC),"Open cut","Shoring")</f>
        <v>Shoring</v>
      </c>
      <c r="R400" s="27" t="n">
        <f aca="false">IF(Q400="Shoring",D400,0)</f>
        <v>10.0000000005991</v>
      </c>
      <c r="S400" s="27" t="n">
        <f aca="false">MAX(0,GWL-L400)</f>
        <v>1.14441422515613</v>
      </c>
      <c r="T400" s="27" t="n">
        <f aca="false">MAX(0,NG-MAX(L400,GWL))</f>
        <v>0.8</v>
      </c>
      <c r="U400" s="27" t="n">
        <f aca="false">E400+2*WS</f>
        <v>3.19999814519626</v>
      </c>
      <c r="V400" s="27" t="n">
        <f aca="false">IF(Q400="Shoring",D400*M400*U400,0)</f>
        <v>62.2212191436562</v>
      </c>
      <c r="W400" s="27" t="n">
        <f aca="false">IF(Q400="Open cut",D400*(U400*M400+SLOPE_B*S400^2+2*SLOPE_B*S400*T400+SLOPE_A*T400^2),0)</f>
        <v>0</v>
      </c>
      <c r="X400" s="27" t="n">
        <f aca="false">IF(M400&gt;0,D400*(E400+2*SLABOVH)*SLAB,0)</f>
        <v>10.9999907266403</v>
      </c>
      <c r="Y400" s="27" t="n">
        <f aca="false">IF(M400&gt;0,D400*PI()*E400^2/4,0)</f>
        <v>11.3096985914011</v>
      </c>
      <c r="Z400" s="27" t="n">
        <f aca="false">IF(H400-E400&gt;=GWL,99,E400*(MAX(0,GWL-H400)*(GAM_S-GAM_W)+MAX(0,NG-MAX(H400,GWL))*GAM_D)/(GAM_W*PI()*E400^2/4))</f>
        <v>0.466098487074278</v>
      </c>
      <c r="AA400" s="27" t="n">
        <f aca="false">IF(I400-E400&gt;=GWL,99,E400*(MAX(0,GWL-I400)*(GAM_S-GAM_W)+MAX(0,NG-MAX(I400,GWL))*GAM_D)/(GAM_W*PI()*E400^2/4))</f>
        <v>0.485585608912182</v>
      </c>
      <c r="AB400" s="27" t="n">
        <f aca="false">IF(H400-E400&gt;=GWL,99,E400*(MAX(0,GWL-H400)*(GAM_S-GAM_W)+MAX(0,FL-MAX(H400,GWL))*GAM_D)/(GAM_W*PI()*E400^2/4))</f>
        <v>3.77574767922772</v>
      </c>
      <c r="AC400" s="27" t="n">
        <f aca="false">IF(I400-E400&gt;=GWL,99,E400*(MAX(0,GWL-I400)*(GAM_S-GAM_W)+MAX(0,FL-MAX(I400,GWL))*GAM_D)/(GAM_W*PI()*E400^2/4))</f>
        <v>3.79523480106563</v>
      </c>
    </row>
    <row r="401" customFormat="false" ht="15" hidden="false" customHeight="false" outlineLevel="0" collapsed="false">
      <c r="A401" s="25" t="s">
        <v>873</v>
      </c>
      <c r="B401" s="25" t="s">
        <v>891</v>
      </c>
      <c r="C401" s="25" t="s">
        <v>898</v>
      </c>
      <c r="D401" s="26" t="n">
        <v>10.000000000034</v>
      </c>
      <c r="E401" s="26" t="n">
        <v>1.19999814519627</v>
      </c>
      <c r="F401" s="26" t="n">
        <v>-2.64941900137275</v>
      </c>
      <c r="G401" s="26" t="n">
        <v>-2.65942855380597</v>
      </c>
      <c r="H401" s="26" t="n">
        <v>-0.949420856176481</v>
      </c>
      <c r="I401" s="26" t="n">
        <v>-0.959430408609705</v>
      </c>
      <c r="J401" s="26" t="n">
        <v>2.11</v>
      </c>
      <c r="K401" s="27" t="n">
        <f aca="false">MIN(F401,G401)</f>
        <v>-2.65942855380597</v>
      </c>
      <c r="L401" s="27" t="n">
        <f aca="false">AVERAGE(F401,G401)</f>
        <v>-2.65442377758936</v>
      </c>
      <c r="M401" s="27" t="n">
        <f aca="false">MAX(0,NG-L401)</f>
        <v>1.95442377758936</v>
      </c>
      <c r="N401" s="27" t="n">
        <f aca="false">MAX(0,GWL-K401)</f>
        <v>1.15942855380597</v>
      </c>
      <c r="O401" s="27" t="n">
        <f aca="false">MAX(0,NG-MAX(K401,GWL))</f>
        <v>0.8</v>
      </c>
      <c r="P401" s="27" t="n">
        <f aca="false">E401/2+WS+SLOPE_A*O401+SLOPE_B*N401</f>
        <v>5.11885618021007</v>
      </c>
      <c r="Q401" s="28" t="str">
        <f aca="false">IF(AND(P401&lt;J401,N401&lt;=MAXOC),"Open cut","Shoring")</f>
        <v>Shoring</v>
      </c>
      <c r="R401" s="27" t="n">
        <f aca="false">IF(Q401="Shoring",D401,0)</f>
        <v>10.000000000034</v>
      </c>
      <c r="S401" s="27" t="n">
        <f aca="false">MAX(0,GWL-L401)</f>
        <v>1.15442377758936</v>
      </c>
      <c r="T401" s="27" t="n">
        <f aca="false">MAX(0,NG-MAX(L401,GWL))</f>
        <v>0.8</v>
      </c>
      <c r="U401" s="27" t="n">
        <f aca="false">E401+2*WS</f>
        <v>3.19999814519626</v>
      </c>
      <c r="V401" s="27" t="n">
        <f aca="false">IF(Q401="Shoring",D401*M401*U401,0)</f>
        <v>62.5415246323466</v>
      </c>
      <c r="W401" s="27" t="n">
        <f aca="false">IF(Q401="Open cut",D401*(U401*M401+SLOPE_B*S401^2+2*SLOPE_B*S401*T401+SLOPE_A*T401^2),0)</f>
        <v>0</v>
      </c>
      <c r="X401" s="27" t="n">
        <f aca="false">IF(M401&gt;0,D401*(E401+2*SLABOVH)*SLAB,0)</f>
        <v>10.9999907260187</v>
      </c>
      <c r="Y401" s="27" t="n">
        <f aca="false">IF(M401&gt;0,D401*PI()*E401^2/4,0)</f>
        <v>11.3096985907619</v>
      </c>
      <c r="Z401" s="27" t="n">
        <f aca="false">IF(H401-E401&gt;=GWL,99,E401*(MAX(0,GWL-H401)*(GAM_S-GAM_W)+MAX(0,NG-MAX(H401,GWL))*GAM_D)/(GAM_W*PI()*E401^2/4))</f>
        <v>0.485585608912182</v>
      </c>
      <c r="AA401" s="27" t="n">
        <f aca="false">IF(I401-E401&gt;=GWL,99,E401*(MAX(0,GWL-I401)*(GAM_S-GAM_W)+MAX(0,NG-MAX(I401,GWL))*GAM_D)/(GAM_W*PI()*E401^2/4))</f>
        <v>0.505072730750087</v>
      </c>
      <c r="AB401" s="27" t="n">
        <f aca="false">IF(H401-E401&gt;=GWL,99,E401*(MAX(0,GWL-H401)*(GAM_S-GAM_W)+MAX(0,FL-MAX(H401,GWL))*GAM_D)/(GAM_W*PI()*E401^2/4))</f>
        <v>3.79523480106563</v>
      </c>
      <c r="AC401" s="27" t="n">
        <f aca="false">IF(I401-E401&gt;=GWL,99,E401*(MAX(0,GWL-I401)*(GAM_S-GAM_W)+MAX(0,FL-MAX(I401,GWL))*GAM_D)/(GAM_W*PI()*E401^2/4))</f>
        <v>3.81472192290353</v>
      </c>
    </row>
    <row r="402" customFormat="false" ht="15" hidden="false" customHeight="false" outlineLevel="0" collapsed="false">
      <c r="A402" s="25" t="s">
        <v>873</v>
      </c>
      <c r="B402" s="25" t="s">
        <v>891</v>
      </c>
      <c r="C402" s="25" t="s">
        <v>899</v>
      </c>
      <c r="D402" s="26" t="n">
        <v>9.99999999933763</v>
      </c>
      <c r="E402" s="26" t="n">
        <v>1.19999814519627</v>
      </c>
      <c r="F402" s="26" t="n">
        <v>-2.65942855380597</v>
      </c>
      <c r="G402" s="26" t="n">
        <v>-2.66943810623919</v>
      </c>
      <c r="H402" s="26" t="n">
        <v>-0.959430408609705</v>
      </c>
      <c r="I402" s="26" t="n">
        <v>-0.969439961042929</v>
      </c>
      <c r="J402" s="26" t="n">
        <v>2.33</v>
      </c>
      <c r="K402" s="27" t="n">
        <f aca="false">MIN(F402,G402)</f>
        <v>-2.66943810623919</v>
      </c>
      <c r="L402" s="27" t="n">
        <f aca="false">AVERAGE(F402,G402)</f>
        <v>-2.66443333002258</v>
      </c>
      <c r="M402" s="27" t="n">
        <f aca="false">MAX(0,NG-L402)</f>
        <v>1.96443333002258</v>
      </c>
      <c r="N402" s="27" t="n">
        <f aca="false">MAX(0,GWL-K402)</f>
        <v>1.16943810623919</v>
      </c>
      <c r="O402" s="27" t="n">
        <f aca="false">MAX(0,NG-MAX(K402,GWL))</f>
        <v>0.8</v>
      </c>
      <c r="P402" s="27" t="n">
        <f aca="false">E402/2+WS+SLOPE_A*O402+SLOPE_B*N402</f>
        <v>5.13887528507652</v>
      </c>
      <c r="Q402" s="28" t="str">
        <f aca="false">IF(AND(P402&lt;J402,N402&lt;=MAXOC),"Open cut","Shoring")</f>
        <v>Shoring</v>
      </c>
      <c r="R402" s="27" t="n">
        <f aca="false">IF(Q402="Shoring",D402,0)</f>
        <v>9.99999999933763</v>
      </c>
      <c r="S402" s="27" t="n">
        <f aca="false">MAX(0,GWL-L402)</f>
        <v>1.16443333002258</v>
      </c>
      <c r="T402" s="27" t="n">
        <f aca="false">MAX(0,NG-MAX(L402,GWL))</f>
        <v>0.8</v>
      </c>
      <c r="U402" s="27" t="n">
        <f aca="false">E402+2*WS</f>
        <v>3.19999814519626</v>
      </c>
      <c r="V402" s="27" t="n">
        <f aca="false">IF(Q402="Shoring",D402*M402*U402,0)</f>
        <v>62.861830120176</v>
      </c>
      <c r="W402" s="27" t="n">
        <f aca="false">IF(Q402="Open cut",D402*(U402*M402+SLOPE_B*S402^2+2*SLOPE_B*S402*T402+SLOPE_A*T402^2),0)</f>
        <v>0</v>
      </c>
      <c r="X402" s="27" t="n">
        <f aca="false">IF(M402&gt;0,D402*(E402+2*SLABOVH)*SLAB,0)</f>
        <v>10.9999907252527</v>
      </c>
      <c r="Y402" s="27" t="n">
        <f aca="false">IF(M402&gt;0,D402*PI()*E402^2/4,0)</f>
        <v>11.3096985899744</v>
      </c>
      <c r="Z402" s="27" t="n">
        <f aca="false">IF(H402-E402&gt;=GWL,99,E402*(MAX(0,GWL-H402)*(GAM_S-GAM_W)+MAX(0,NG-MAX(H402,GWL))*GAM_D)/(GAM_W*PI()*E402^2/4))</f>
        <v>0.505072730750087</v>
      </c>
      <c r="AA402" s="27" t="n">
        <f aca="false">IF(I402-E402&gt;=GWL,99,E402*(MAX(0,GWL-I402)*(GAM_S-GAM_W)+MAX(0,NG-MAX(I402,GWL))*GAM_D)/(GAM_W*PI()*E402^2/4))</f>
        <v>0.524559852587991</v>
      </c>
      <c r="AB402" s="27" t="n">
        <f aca="false">IF(H402-E402&gt;=GWL,99,E402*(MAX(0,GWL-H402)*(GAM_S-GAM_W)+MAX(0,FL-MAX(H402,GWL))*GAM_D)/(GAM_W*PI()*E402^2/4))</f>
        <v>3.81472192290353</v>
      </c>
      <c r="AC402" s="27" t="n">
        <f aca="false">IF(I402-E402&gt;=GWL,99,E402*(MAX(0,GWL-I402)*(GAM_S-GAM_W)+MAX(0,FL-MAX(I402,GWL))*GAM_D)/(GAM_W*PI()*E402^2/4))</f>
        <v>3.83420904474144</v>
      </c>
    </row>
    <row r="403" customFormat="false" ht="15" hidden="false" customHeight="false" outlineLevel="0" collapsed="false">
      <c r="A403" s="25" t="s">
        <v>873</v>
      </c>
      <c r="B403" s="25" t="s">
        <v>891</v>
      </c>
      <c r="C403" s="25" t="s">
        <v>900</v>
      </c>
      <c r="D403" s="26" t="n">
        <v>10.0000000004982</v>
      </c>
      <c r="E403" s="26" t="n">
        <v>1.19999814519627</v>
      </c>
      <c r="F403" s="26" t="n">
        <v>-2.66943810623919</v>
      </c>
      <c r="G403" s="26" t="n">
        <v>-2.67944765867242</v>
      </c>
      <c r="H403" s="26" t="n">
        <v>-0.969439961042929</v>
      </c>
      <c r="I403" s="26" t="n">
        <v>-0.979449513476153</v>
      </c>
      <c r="J403" s="26" t="n">
        <v>5.02</v>
      </c>
      <c r="K403" s="27" t="n">
        <f aca="false">MIN(F403,G403)</f>
        <v>-2.67944765867242</v>
      </c>
      <c r="L403" s="27" t="n">
        <f aca="false">AVERAGE(F403,G403)</f>
        <v>-2.67444288245581</v>
      </c>
      <c r="M403" s="27" t="n">
        <f aca="false">MAX(0,NG-L403)</f>
        <v>1.97444288245581</v>
      </c>
      <c r="N403" s="27" t="n">
        <f aca="false">MAX(0,GWL-K403)</f>
        <v>1.17944765867242</v>
      </c>
      <c r="O403" s="27" t="n">
        <f aca="false">MAX(0,NG-MAX(K403,GWL))</f>
        <v>0.8</v>
      </c>
      <c r="P403" s="27" t="n">
        <f aca="false">E403/2+WS+SLOPE_A*O403+SLOPE_B*N403</f>
        <v>5.15889438994297</v>
      </c>
      <c r="Q403" s="28" t="str">
        <f aca="false">IF(AND(P403&lt;J403,N403&lt;=MAXOC),"Open cut","Shoring")</f>
        <v>Shoring</v>
      </c>
      <c r="R403" s="27" t="n">
        <f aca="false">IF(Q403="Shoring",D403,0)</f>
        <v>10.0000000004982</v>
      </c>
      <c r="S403" s="27" t="n">
        <f aca="false">MAX(0,GWL-L403)</f>
        <v>1.17444288245581</v>
      </c>
      <c r="T403" s="27" t="n">
        <f aca="false">MAX(0,NG-MAX(L403,GWL))</f>
        <v>0.8</v>
      </c>
      <c r="U403" s="27" t="n">
        <f aca="false">E403+2*WS</f>
        <v>3.19999814519626</v>
      </c>
      <c r="V403" s="27" t="n">
        <f aca="false">IF(Q403="Shoring",D403*M403*U403,0)</f>
        <v>63.1821356196929</v>
      </c>
      <c r="W403" s="27" t="n">
        <f aca="false">IF(Q403="Open cut",D403*(U403*M403+SLOPE_B*S403^2+2*SLOPE_B*S403*T403+SLOPE_A*T403^2),0)</f>
        <v>0</v>
      </c>
      <c r="X403" s="27" t="n">
        <f aca="false">IF(M403&gt;0,D403*(E403+2*SLABOVH)*SLAB,0)</f>
        <v>10.9999907265293</v>
      </c>
      <c r="Y403" s="27" t="n">
        <f aca="false">IF(M403&gt;0,D403*PI()*E403^2/4,0)</f>
        <v>11.309698591287</v>
      </c>
      <c r="Z403" s="27" t="n">
        <f aca="false">IF(H403-E403&gt;=GWL,99,E403*(MAX(0,GWL-H403)*(GAM_S-GAM_W)+MAX(0,NG-MAX(H403,GWL))*GAM_D)/(GAM_W*PI()*E403^2/4))</f>
        <v>0.524559852587991</v>
      </c>
      <c r="AA403" s="27" t="n">
        <f aca="false">IF(I403-E403&gt;=GWL,99,E403*(MAX(0,GWL-I403)*(GAM_S-GAM_W)+MAX(0,NG-MAX(I403,GWL))*GAM_D)/(GAM_W*PI()*E403^2/4))</f>
        <v>0.544046974425895</v>
      </c>
      <c r="AB403" s="27" t="n">
        <f aca="false">IF(H403-E403&gt;=GWL,99,E403*(MAX(0,GWL-H403)*(GAM_S-GAM_W)+MAX(0,FL-MAX(H403,GWL))*GAM_D)/(GAM_W*PI()*E403^2/4))</f>
        <v>3.83420904474144</v>
      </c>
      <c r="AC403" s="27" t="n">
        <f aca="false">IF(I403-E403&gt;=GWL,99,E403*(MAX(0,GWL-I403)*(GAM_S-GAM_W)+MAX(0,FL-MAX(I403,GWL))*GAM_D)/(GAM_W*PI()*E403^2/4))</f>
        <v>3.85369616657934</v>
      </c>
    </row>
    <row r="404" customFormat="false" ht="15" hidden="false" customHeight="false" outlineLevel="0" collapsed="false">
      <c r="A404" s="25" t="s">
        <v>873</v>
      </c>
      <c r="B404" s="25" t="s">
        <v>891</v>
      </c>
      <c r="C404" s="25" t="s">
        <v>901</v>
      </c>
      <c r="D404" s="26" t="n">
        <v>0.470964040307398</v>
      </c>
      <c r="E404" s="26" t="n">
        <v>1.19999814519627</v>
      </c>
      <c r="F404" s="26" t="n">
        <v>-2.67944765867242</v>
      </c>
      <c r="G404" s="26" t="n">
        <v>-2.67991907259813</v>
      </c>
      <c r="H404" s="26" t="n">
        <v>-0.979449513476153</v>
      </c>
      <c r="I404" s="26" t="n">
        <v>-0.979920927401868</v>
      </c>
      <c r="J404" s="26" t="n">
        <v>10.14</v>
      </c>
      <c r="K404" s="27" t="n">
        <f aca="false">MIN(F404,G404)</f>
        <v>-2.67991907259813</v>
      </c>
      <c r="L404" s="27" t="n">
        <f aca="false">AVERAGE(F404,G404)</f>
        <v>-2.67968336563527</v>
      </c>
      <c r="M404" s="27" t="n">
        <f aca="false">MAX(0,NG-L404)</f>
        <v>1.97968336563527</v>
      </c>
      <c r="N404" s="27" t="n">
        <f aca="false">MAX(0,GWL-K404)</f>
        <v>1.17991907259813</v>
      </c>
      <c r="O404" s="27" t="n">
        <f aca="false">MAX(0,NG-MAX(K404,GWL))</f>
        <v>0.8</v>
      </c>
      <c r="P404" s="27" t="n">
        <f aca="false">E404/2+WS+SLOPE_A*O404+SLOPE_B*N404</f>
        <v>5.1598372177944</v>
      </c>
      <c r="Q404" s="28" t="str">
        <f aca="false">IF(AND(P404&lt;J404,N404&lt;=MAXOC),"Open cut","Shoring")</f>
        <v>Open cut</v>
      </c>
      <c r="R404" s="27" t="n">
        <f aca="false">IF(Q404="Shoring",D404,0)</f>
        <v>0</v>
      </c>
      <c r="S404" s="27" t="n">
        <f aca="false">MAX(0,GWL-L404)</f>
        <v>1.17968336563527</v>
      </c>
      <c r="T404" s="27" t="n">
        <f aca="false">MAX(0,NG-MAX(L404,GWL))</f>
        <v>0.8</v>
      </c>
      <c r="U404" s="27" t="n">
        <f aca="false">E404+2*WS</f>
        <v>3.19999814519626</v>
      </c>
      <c r="V404" s="27" t="n">
        <f aca="false">IF(Q404="Shoring",D404*M404*U404,0)</f>
        <v>0</v>
      </c>
      <c r="W404" s="27" t="n">
        <f aca="false">IF(Q404="Open cut",D404*(U404*M404+SLOPE_B*S404^2+2*SLOPE_B*S404*T404+SLOPE_A*T404^2),0)</f>
        <v>6.52439462661774</v>
      </c>
      <c r="X404" s="27" t="n">
        <f aca="false">IF(M404&gt;0,D404*(E404+2*SLABOVH)*SLAB,0)</f>
        <v>0.518060007565207</v>
      </c>
      <c r="Y404" s="27" t="n">
        <f aca="false">IF(M404&gt;0,D404*PI()*E404^2/4,0)</f>
        <v>0.532646134294604</v>
      </c>
      <c r="Z404" s="27" t="n">
        <f aca="false">IF(H404-E404&gt;=GWL,99,E404*(MAX(0,GWL-H404)*(GAM_S-GAM_W)+MAX(0,NG-MAX(H404,GWL))*GAM_D)/(GAM_W*PI()*E404^2/4))</f>
        <v>0.544046974425895</v>
      </c>
      <c r="AA404" s="27" t="n">
        <f aca="false">IF(I404-E404&gt;=GWL,99,E404*(MAX(0,GWL-I404)*(GAM_S-GAM_W)+MAX(0,NG-MAX(I404,GWL))*GAM_D)/(GAM_W*PI()*E404^2/4))</f>
        <v>0.544964747789667</v>
      </c>
      <c r="AB404" s="27" t="n">
        <f aca="false">IF(H404-E404&gt;=GWL,99,E404*(MAX(0,GWL-H404)*(GAM_S-GAM_W)+MAX(0,FL-MAX(H404,GWL))*GAM_D)/(GAM_W*PI()*E404^2/4))</f>
        <v>3.85369616657934</v>
      </c>
      <c r="AC404" s="27" t="n">
        <f aca="false">IF(I404-E404&gt;=GWL,99,E404*(MAX(0,GWL-I404)*(GAM_S-GAM_W)+MAX(0,FL-MAX(I404,GWL))*GAM_D)/(GAM_W*PI()*E404^2/4))</f>
        <v>3.85461393994311</v>
      </c>
    </row>
    <row r="405" customFormat="false" ht="15" hidden="false" customHeight="false" outlineLevel="0" collapsed="false">
      <c r="A405" s="25" t="s">
        <v>873</v>
      </c>
      <c r="B405" s="25" t="s">
        <v>891</v>
      </c>
      <c r="C405" s="25" t="s">
        <v>902</v>
      </c>
      <c r="D405" s="26" t="n">
        <v>1.41974527333875</v>
      </c>
      <c r="E405" s="26" t="n">
        <v>1.19999814519398</v>
      </c>
      <c r="F405" s="26" t="n">
        <v>-2.67991907259699</v>
      </c>
      <c r="G405" s="26" t="n">
        <v>-2.68133907259699</v>
      </c>
      <c r="H405" s="26" t="n">
        <v>-0.979920927403013</v>
      </c>
      <c r="I405" s="26" t="n">
        <v>-0.981340927403013</v>
      </c>
      <c r="J405" s="26" t="n">
        <v>10.43</v>
      </c>
      <c r="K405" s="27" t="n">
        <f aca="false">MIN(F405,G405)</f>
        <v>-2.68133907259699</v>
      </c>
      <c r="L405" s="27" t="n">
        <f aca="false">AVERAGE(F405,G405)</f>
        <v>-2.68062907259699</v>
      </c>
      <c r="M405" s="27" t="n">
        <f aca="false">MAX(0,NG-L405)</f>
        <v>1.98062907259699</v>
      </c>
      <c r="N405" s="27" t="n">
        <f aca="false">MAX(0,GWL-K405)</f>
        <v>1.18133907259699</v>
      </c>
      <c r="O405" s="27" t="n">
        <f aca="false">MAX(0,NG-MAX(K405,GWL))</f>
        <v>0.8</v>
      </c>
      <c r="P405" s="27" t="n">
        <f aca="false">E405/2+WS+SLOPE_A*O405+SLOPE_B*N405</f>
        <v>5.16267721779096</v>
      </c>
      <c r="Q405" s="28" t="str">
        <f aca="false">IF(AND(P405&lt;J405,N405&lt;=MAXOC),"Open cut","Shoring")</f>
        <v>Open cut</v>
      </c>
      <c r="R405" s="27" t="n">
        <f aca="false">IF(Q405="Shoring",D405,0)</f>
        <v>0</v>
      </c>
      <c r="S405" s="27" t="n">
        <f aca="false">MAX(0,GWL-L405)</f>
        <v>1.18062907259699</v>
      </c>
      <c r="T405" s="27" t="n">
        <f aca="false">MAX(0,NG-MAX(L405,GWL))</f>
        <v>0.8</v>
      </c>
      <c r="U405" s="27" t="n">
        <f aca="false">E405+2*WS</f>
        <v>3.19999814519398</v>
      </c>
      <c r="V405" s="27" t="n">
        <f aca="false">IF(Q405="Shoring",D405*M405*U405,0)</f>
        <v>0</v>
      </c>
      <c r="W405" s="27" t="n">
        <f aca="false">IF(Q405="Open cut",D405*(U405*M405+SLOPE_B*S405^2+2*SLOPE_B*S405*T405+SLOPE_A*T405^2),0)</f>
        <v>19.6830537376342</v>
      </c>
      <c r="X405" s="27" t="n">
        <f aca="false">IF(M405&gt;0,D405*(E405+2*SLABOVH)*SLAB,0)</f>
        <v>1.56171848399658</v>
      </c>
      <c r="Y405" s="27" t="n">
        <f aca="false">IF(M405&gt;0,D405*PI()*E405^2/4,0)</f>
        <v>1.60568911170044</v>
      </c>
      <c r="Z405" s="27" t="n">
        <f aca="false">IF(H405-E405&gt;=GWL,99,E405*(MAX(0,GWL-H405)*(GAM_S-GAM_W)+MAX(0,NG-MAX(H405,GWL))*GAM_D)/(GAM_W*PI()*E405^2/4))</f>
        <v>0.544964747792937</v>
      </c>
      <c r="AA405" s="27" t="n">
        <f aca="false">IF(I405-E405&gt;=GWL,99,E405*(MAX(0,GWL-I405)*(GAM_S-GAM_W)+MAX(0,NG-MAX(I405,GWL))*GAM_D)/(GAM_W*PI()*E405^2/4))</f>
        <v>0.547729278294623</v>
      </c>
      <c r="AB405" s="27" t="n">
        <f aca="false">IF(H405-E405&gt;=GWL,99,E405*(MAX(0,GWL-H405)*(GAM_S-GAM_W)+MAX(0,FL-MAX(H405,GWL))*GAM_D)/(GAM_W*PI()*E405^2/4))</f>
        <v>3.8546139399527</v>
      </c>
      <c r="AC405" s="27" t="n">
        <f aca="false">IF(I405-E405&gt;=GWL,99,E405*(MAX(0,GWL-I405)*(GAM_S-GAM_W)+MAX(0,FL-MAX(I405,GWL))*GAM_D)/(GAM_W*PI()*E405^2/4))</f>
        <v>3.85737847045438</v>
      </c>
    </row>
    <row r="406" customFormat="false" ht="15" hidden="false" customHeight="false" outlineLevel="0" collapsed="false">
      <c r="A406" s="25" t="s">
        <v>873</v>
      </c>
      <c r="B406" s="25" t="s">
        <v>891</v>
      </c>
      <c r="C406" s="25" t="s">
        <v>903</v>
      </c>
      <c r="D406" s="26" t="n">
        <v>0.209996801308281</v>
      </c>
      <c r="E406" s="26" t="n">
        <v>1.20000096288827</v>
      </c>
      <c r="F406" s="26" t="n">
        <v>-2.68134048144414</v>
      </c>
      <c r="G406" s="26" t="n">
        <v>-2.68155048144414</v>
      </c>
      <c r="H406" s="26" t="n">
        <v>-0.981339518555863</v>
      </c>
      <c r="I406" s="26" t="n">
        <v>-0.981549518555864</v>
      </c>
      <c r="J406" s="26" t="n">
        <v>11.32</v>
      </c>
      <c r="K406" s="27" t="n">
        <f aca="false">MIN(F406,G406)</f>
        <v>-2.68155048144414</v>
      </c>
      <c r="L406" s="27" t="n">
        <f aca="false">AVERAGE(F406,G406)</f>
        <v>-2.68144548144414</v>
      </c>
      <c r="M406" s="27" t="n">
        <f aca="false">MAX(0,NG-L406)</f>
        <v>1.98144548144414</v>
      </c>
      <c r="N406" s="27" t="n">
        <f aca="false">MAX(0,GWL-K406)</f>
        <v>1.18155048144414</v>
      </c>
      <c r="O406" s="27" t="n">
        <f aca="false">MAX(0,NG-MAX(K406,GWL))</f>
        <v>0.8</v>
      </c>
      <c r="P406" s="27" t="n">
        <f aca="false">E406/2+WS+SLOPE_A*O406+SLOPE_B*N406</f>
        <v>5.16310144433241</v>
      </c>
      <c r="Q406" s="28" t="str">
        <f aca="false">IF(AND(P406&lt;J406,N406&lt;=MAXOC),"Open cut","Shoring")</f>
        <v>Open cut</v>
      </c>
      <c r="R406" s="27" t="n">
        <f aca="false">IF(Q406="Shoring",D406,0)</f>
        <v>0</v>
      </c>
      <c r="S406" s="27" t="n">
        <f aca="false">MAX(0,GWL-L406)</f>
        <v>1.18144548144414</v>
      </c>
      <c r="T406" s="27" t="n">
        <f aca="false">MAX(0,NG-MAX(L406,GWL))</f>
        <v>0.8</v>
      </c>
      <c r="U406" s="27" t="n">
        <f aca="false">E406+2*WS</f>
        <v>3.20000096288827</v>
      </c>
      <c r="V406" s="27" t="n">
        <f aca="false">IF(Q406="Shoring",D406*M406*U406,0)</f>
        <v>0</v>
      </c>
      <c r="W406" s="27" t="n">
        <f aca="false">IF(Q406="Open cut",D406*(U406*M406+SLOPE_B*S406^2+2*SLOPE_B*S406*T406+SLOPE_A*T406^2),0)</f>
        <v>2.9132603914187</v>
      </c>
      <c r="X406" s="27" t="n">
        <f aca="false">IF(M406&gt;0,D406*(E406+2*SLABOVH)*SLAB,0)</f>
        <v>0.230996582540838</v>
      </c>
      <c r="Y406" s="27" t="n">
        <f aca="false">IF(M406&gt;0,D406*PI()*E406^2/4,0)</f>
        <v>0.237501168120973</v>
      </c>
      <c r="Z406" s="27" t="n">
        <f aca="false">IF(H406-E406&gt;=GWL,99,E406*(MAX(0,GWL-H406)*(GAM_S-GAM_W)+MAX(0,NG-MAX(H406,GWL))*GAM_D)/(GAM_W*PI()*E406^2/4))</f>
        <v>0.547725249373162</v>
      </c>
      <c r="AA406" s="27" t="n">
        <f aca="false">IF(I406-E406&gt;=GWL,99,E406*(MAX(0,GWL-I406)*(GAM_S-GAM_W)+MAX(0,NG-MAX(I406,GWL))*GAM_D)/(GAM_W*PI()*E406^2/4))</f>
        <v>0.548134087431032</v>
      </c>
      <c r="AB406" s="27" t="n">
        <f aca="false">IF(H406-E406&gt;=GWL,99,E406*(MAX(0,GWL-H406)*(GAM_S-GAM_W)+MAX(0,FL-MAX(H406,GWL))*GAM_D)/(GAM_W*PI()*E406^2/4))</f>
        <v>3.85736667022278</v>
      </c>
      <c r="AC406" s="27" t="n">
        <f aca="false">IF(I406-E406&gt;=GWL,99,E406*(MAX(0,GWL-I406)*(GAM_S-GAM_W)+MAX(0,FL-MAX(I406,GWL))*GAM_D)/(GAM_W*PI()*E406^2/4))</f>
        <v>3.85777550828065</v>
      </c>
    </row>
    <row r="407" customFormat="false" ht="15" hidden="false" customHeight="false" outlineLevel="0" collapsed="false">
      <c r="A407" s="25" t="s">
        <v>873</v>
      </c>
      <c r="B407" s="25" t="s">
        <v>891</v>
      </c>
      <c r="C407" s="25" t="s">
        <v>904</v>
      </c>
      <c r="D407" s="26" t="n">
        <v>0.199999999783861</v>
      </c>
      <c r="E407" s="26" t="n">
        <v>1.39999458934496</v>
      </c>
      <c r="F407" s="26" t="n">
        <v>-2.78154729467248</v>
      </c>
      <c r="G407" s="26" t="n">
        <v>-2.78174729467248</v>
      </c>
      <c r="H407" s="26" t="n">
        <v>-0.881552705327522</v>
      </c>
      <c r="I407" s="26" t="n">
        <v>-0.881752705327522</v>
      </c>
      <c r="J407" s="26" t="n">
        <v>11.45</v>
      </c>
      <c r="K407" s="27" t="n">
        <f aca="false">MIN(F407,G407)</f>
        <v>-2.78174729467248</v>
      </c>
      <c r="L407" s="27" t="n">
        <f aca="false">AVERAGE(F407,G407)</f>
        <v>-2.78164729467248</v>
      </c>
      <c r="M407" s="27" t="n">
        <f aca="false">MAX(0,NG-L407)</f>
        <v>2.08164729467248</v>
      </c>
      <c r="N407" s="27" t="n">
        <f aca="false">MAX(0,GWL-K407)</f>
        <v>1.28174729467248</v>
      </c>
      <c r="O407" s="27" t="n">
        <f aca="false">MAX(0,NG-MAX(K407,GWL))</f>
        <v>0.8</v>
      </c>
      <c r="P407" s="27" t="n">
        <f aca="false">E407/2+WS+SLOPE_A*O407+SLOPE_B*N407</f>
        <v>5.46349188401744</v>
      </c>
      <c r="Q407" s="28" t="str">
        <f aca="false">IF(AND(P407&lt;J407,N407&lt;=MAXOC),"Open cut","Shoring")</f>
        <v>Open cut</v>
      </c>
      <c r="R407" s="27" t="n">
        <f aca="false">IF(Q407="Shoring",D407,0)</f>
        <v>0</v>
      </c>
      <c r="S407" s="27" t="n">
        <f aca="false">MAX(0,GWL-L407)</f>
        <v>1.28164729467248</v>
      </c>
      <c r="T407" s="27" t="n">
        <f aca="false">MAX(0,NG-MAX(L407,GWL))</f>
        <v>0.8</v>
      </c>
      <c r="U407" s="27" t="n">
        <f aca="false">E407+2*WS</f>
        <v>3.39999458934496</v>
      </c>
      <c r="V407" s="27" t="n">
        <f aca="false">IF(Q407="Shoring",D407*M407*U407,0)</f>
        <v>0</v>
      </c>
      <c r="W407" s="27" t="n">
        <f aca="false">IF(Q407="Open cut",D407*(U407*M407+SLOPE_B*S407^2+2*SLOPE_B*S407*T407+SLOPE_A*T407^2),0)</f>
        <v>3.08482008819535</v>
      </c>
      <c r="X407" s="27" t="n">
        <f aca="false">IF(M407&gt;0,D407*(E407+2*SLABOVH)*SLAB,0)</f>
        <v>0.23999945867513</v>
      </c>
      <c r="Y407" s="27" t="n">
        <f aca="false">IF(M407&gt;0,D407*PI()*E407^2/4,0)</f>
        <v>0.307873699993302</v>
      </c>
      <c r="Z407" s="27" t="n">
        <f aca="false">IF(H407-E407&gt;=GWL,99,E407*(MAX(0,GWL-H407)*(GAM_S-GAM_W)+MAX(0,NG-MAX(H407,GWL))*GAM_D)/(GAM_W*PI()*E407^2/4))</f>
        <v>0.302963272944784</v>
      </c>
      <c r="AA407" s="27" t="n">
        <f aca="false">IF(I407-E407&gt;=GWL,99,E407*(MAX(0,GWL-I407)*(GAM_S-GAM_W)+MAX(0,NG-MAX(I407,GWL))*GAM_D)/(GAM_W*PI()*E407^2/4))</f>
        <v>0.303297019855796</v>
      </c>
      <c r="AB407" s="27" t="n">
        <f aca="false">IF(H407-E407&gt;=GWL,99,E407*(MAX(0,GWL-H407)*(GAM_S-GAM_W)+MAX(0,FL-MAX(H407,GWL))*GAM_D)/(GAM_W*PI()*E407^2/4))</f>
        <v>3.13981201654794</v>
      </c>
      <c r="AC407" s="27" t="n">
        <f aca="false">IF(I407-E407&gt;=GWL,99,E407*(MAX(0,GWL-I407)*(GAM_S-GAM_W)+MAX(0,FL-MAX(I407,GWL))*GAM_D)/(GAM_W*PI()*E407^2/4))</f>
        <v>3.14014576345895</v>
      </c>
    </row>
    <row r="408" customFormat="false" ht="15" hidden="false" customHeight="false" outlineLevel="0" collapsed="false">
      <c r="A408" s="25" t="s">
        <v>873</v>
      </c>
      <c r="B408" s="25" t="s">
        <v>891</v>
      </c>
      <c r="C408" s="25" t="s">
        <v>905</v>
      </c>
      <c r="D408" s="26" t="n">
        <v>7.42529157924715</v>
      </c>
      <c r="E408" s="26" t="n">
        <v>1.6000004174487</v>
      </c>
      <c r="F408" s="26" t="n">
        <v>-2.88175020872435</v>
      </c>
      <c r="G408" s="26" t="n">
        <v>-2.88918020872435</v>
      </c>
      <c r="H408" s="26" t="n">
        <v>-0.781749791275653</v>
      </c>
      <c r="I408" s="26" t="n">
        <v>-0.789179791275653</v>
      </c>
      <c r="J408" s="26" t="n">
        <v>11.58</v>
      </c>
      <c r="K408" s="27" t="n">
        <f aca="false">MIN(F408,G408)</f>
        <v>-2.88918020872435</v>
      </c>
      <c r="L408" s="27" t="n">
        <f aca="false">AVERAGE(F408,G408)</f>
        <v>-2.88546520872435</v>
      </c>
      <c r="M408" s="27" t="n">
        <f aca="false">MAX(0,NG-L408)</f>
        <v>2.18546520872435</v>
      </c>
      <c r="N408" s="27" t="n">
        <f aca="false">MAX(0,GWL-K408)</f>
        <v>1.38918020872435</v>
      </c>
      <c r="O408" s="27" t="n">
        <f aca="false">MAX(0,NG-MAX(K408,GWL))</f>
        <v>0.8</v>
      </c>
      <c r="P408" s="27" t="n">
        <f aca="false">E408/2+WS+SLOPE_A*O408+SLOPE_B*N408</f>
        <v>5.77836062617304</v>
      </c>
      <c r="Q408" s="28" t="str">
        <f aca="false">IF(AND(P408&lt;J408,N408&lt;=MAXOC),"Open cut","Shoring")</f>
        <v>Open cut</v>
      </c>
      <c r="R408" s="27" t="n">
        <f aca="false">IF(Q408="Shoring",D408,0)</f>
        <v>0</v>
      </c>
      <c r="S408" s="27" t="n">
        <f aca="false">MAX(0,GWL-L408)</f>
        <v>1.38546520872435</v>
      </c>
      <c r="T408" s="27" t="n">
        <f aca="false">MAX(0,NG-MAX(L408,GWL))</f>
        <v>0.8</v>
      </c>
      <c r="U408" s="27" t="n">
        <f aca="false">E408+2*WS</f>
        <v>3.6000004174487</v>
      </c>
      <c r="V408" s="27" t="n">
        <f aca="false">IF(Q408="Shoring",D408*M408*U408,0)</f>
        <v>0</v>
      </c>
      <c r="W408" s="27" t="n">
        <f aca="false">IF(Q408="Open cut",D408*(U408*M408+SLOPE_B*S408^2+2*SLOPE_B*S408*T408+SLOPE_A*T408^2),0)</f>
        <v>126.973911815677</v>
      </c>
      <c r="X408" s="27" t="n">
        <f aca="false">IF(M408&gt;0,D408*(E408+2*SLABOVH)*SLAB,0)</f>
        <v>9.65288060286043</v>
      </c>
      <c r="Y408" s="27" t="n">
        <f aca="false">IF(M408&gt;0,D408*PI()*E408^2/4,0)</f>
        <v>14.9294423350622</v>
      </c>
      <c r="Z408" s="27" t="n">
        <f aca="false">IF(H408-E408&gt;=GWL,99,E408*(MAX(0,GWL-H408)*(GAM_S-GAM_W)+MAX(0,NG-MAX(H408,GWL))*GAM_D)/(GAM_W*PI()*E408^2/4))</f>
        <v>0.119365871409555</v>
      </c>
      <c r="AA408" s="27" t="n">
        <f aca="false">IF(I408-E408&gt;=GWL,99,E408*(MAX(0,GWL-I408)*(GAM_S-GAM_W)+MAX(0,NG-MAX(I408,GWL))*GAM_D)/(GAM_W*PI()*E408^2/4))</f>
        <v>0.130214687176956</v>
      </c>
      <c r="AB408" s="27" t="n">
        <f aca="false">IF(H408-E408&gt;=GWL,99,E408*(MAX(0,GWL-H408)*(GAM_S-GAM_W)+MAX(0,FL-MAX(H408,GWL))*GAM_D)/(GAM_W*PI()*E408^2/4))</f>
        <v>2.60159828117816</v>
      </c>
      <c r="AC408" s="27" t="n">
        <f aca="false">IF(I408-E408&gt;=GWL,99,E408*(MAX(0,GWL-I408)*(GAM_S-GAM_W)+MAX(0,FL-MAX(I408,GWL))*GAM_D)/(GAM_W*PI()*E408^2/4))</f>
        <v>2.61244709694556</v>
      </c>
    </row>
    <row r="409" customFormat="false" ht="15" hidden="false" customHeight="false" outlineLevel="0" collapsed="false">
      <c r="A409" s="25" t="s">
        <v>873</v>
      </c>
      <c r="B409" s="25" t="s">
        <v>906</v>
      </c>
      <c r="C409" s="25" t="s">
        <v>907</v>
      </c>
      <c r="D409" s="26" t="n">
        <v>0.27400230622148</v>
      </c>
      <c r="E409" s="26" t="n">
        <v>1.6000004174487</v>
      </c>
      <c r="F409" s="26" t="n">
        <v>-2.88918020872435</v>
      </c>
      <c r="G409" s="26" t="n">
        <v>-2.88889260697739</v>
      </c>
      <c r="H409" s="26" t="n">
        <v>-0.789179791275653</v>
      </c>
      <c r="I409" s="26" t="n">
        <v>-0.788892189528695</v>
      </c>
      <c r="J409" s="26" t="n">
        <v>16.71</v>
      </c>
      <c r="K409" s="27" t="n">
        <f aca="false">MIN(F409,G409)</f>
        <v>-2.88918020872435</v>
      </c>
      <c r="L409" s="27" t="n">
        <f aca="false">AVERAGE(F409,G409)</f>
        <v>-2.88903640785087</v>
      </c>
      <c r="M409" s="27" t="n">
        <f aca="false">MAX(0,NG-L409)</f>
        <v>2.18903640785087</v>
      </c>
      <c r="N409" s="27" t="n">
        <f aca="false">MAX(0,GWL-K409)</f>
        <v>1.38918020872435</v>
      </c>
      <c r="O409" s="27" t="n">
        <f aca="false">MAX(0,NG-MAX(K409,GWL))</f>
        <v>0.8</v>
      </c>
      <c r="P409" s="27" t="n">
        <f aca="false">E409/2+WS+SLOPE_A*O409+SLOPE_B*N409</f>
        <v>5.77836062617304</v>
      </c>
      <c r="Q409" s="28" t="str">
        <f aca="false">IF(AND(P409&lt;J409,N409&lt;=MAXOC),"Open cut","Shoring")</f>
        <v>Open cut</v>
      </c>
      <c r="R409" s="27" t="n">
        <f aca="false">IF(Q409="Shoring",D409,0)</f>
        <v>0</v>
      </c>
      <c r="S409" s="27" t="n">
        <f aca="false">MAX(0,GWL-L409)</f>
        <v>1.38903640785087</v>
      </c>
      <c r="T409" s="27" t="n">
        <f aca="false">MAX(0,NG-MAX(L409,GWL))</f>
        <v>0.8</v>
      </c>
      <c r="U409" s="27" t="n">
        <f aca="false">E409+2*WS</f>
        <v>3.6000004174487</v>
      </c>
      <c r="V409" s="27" t="n">
        <f aca="false">IF(Q409="Shoring",D409*M409*U409,0)</f>
        <v>0</v>
      </c>
      <c r="W409" s="27" t="n">
        <f aca="false">IF(Q409="Open cut",D409*(U409*M409+SLOPE_B*S409^2+2*SLOPE_B*S409*T409+SLOPE_A*T409^2),0)</f>
        <v>4.69757575802774</v>
      </c>
      <c r="X409" s="27" t="n">
        <f aca="false">IF(M409&gt;0,D409*(E409+2*SLABOVH)*SLAB,0)</f>
        <v>0.356203055278876</v>
      </c>
      <c r="Y409" s="27" t="n">
        <f aca="false">IF(M409&gt;0,D409*PI()*E409^2/4,0)</f>
        <v>0.550914612140039</v>
      </c>
      <c r="Z409" s="27" t="n">
        <f aca="false">IF(H409-E409&gt;=GWL,99,E409*(MAX(0,GWL-H409)*(GAM_S-GAM_W)+MAX(0,NG-MAX(H409,GWL))*GAM_D)/(GAM_W*PI()*E409^2/4))</f>
        <v>0.130214687176956</v>
      </c>
      <c r="AA409" s="27" t="n">
        <f aca="false">IF(I409-E409&gt;=GWL,99,E409*(MAX(0,GWL-I409)*(GAM_S-GAM_W)+MAX(0,NG-MAX(I409,GWL))*GAM_D)/(GAM_W*PI()*E409^2/4))</f>
        <v>0.129794749307895</v>
      </c>
      <c r="AB409" s="27" t="n">
        <f aca="false">IF(H409-E409&gt;=GWL,99,E409*(MAX(0,GWL-H409)*(GAM_S-GAM_W)+MAX(0,FL-MAX(H409,GWL))*GAM_D)/(GAM_W*PI()*E409^2/4))</f>
        <v>2.61244709694556</v>
      </c>
      <c r="AC409" s="27" t="n">
        <f aca="false">IF(I409-E409&gt;=GWL,99,E409*(MAX(0,GWL-I409)*(GAM_S-GAM_W)+MAX(0,FL-MAX(I409,GWL))*GAM_D)/(GAM_W*PI()*E409^2/4))</f>
        <v>2.6120271590765</v>
      </c>
    </row>
    <row r="410" customFormat="false" ht="15" hidden="false" customHeight="false" outlineLevel="0" collapsed="false">
      <c r="A410" s="25" t="s">
        <v>873</v>
      </c>
      <c r="B410" s="25" t="s">
        <v>906</v>
      </c>
      <c r="C410" s="25" t="s">
        <v>908</v>
      </c>
      <c r="D410" s="26" t="n">
        <v>9.99999999945705</v>
      </c>
      <c r="E410" s="26" t="n">
        <v>1.6000004174487</v>
      </c>
      <c r="F410" s="26" t="n">
        <v>-2.88889260697739</v>
      </c>
      <c r="G410" s="26" t="n">
        <v>-2.87839628118727</v>
      </c>
      <c r="H410" s="26" t="n">
        <v>-0.788892189528695</v>
      </c>
      <c r="I410" s="26" t="n">
        <v>-0.778395863738575</v>
      </c>
      <c r="J410" s="26" t="n">
        <v>11.97</v>
      </c>
      <c r="K410" s="27" t="n">
        <f aca="false">MIN(F410,G410)</f>
        <v>-2.88889260697739</v>
      </c>
      <c r="L410" s="27" t="n">
        <f aca="false">AVERAGE(F410,G410)</f>
        <v>-2.88364444408233</v>
      </c>
      <c r="M410" s="27" t="n">
        <f aca="false">MAX(0,NG-L410)</f>
        <v>2.18364444408233</v>
      </c>
      <c r="N410" s="27" t="n">
        <f aca="false">MAX(0,GWL-K410)</f>
        <v>1.38889260697739</v>
      </c>
      <c r="O410" s="27" t="n">
        <f aca="false">MAX(0,NG-MAX(K410,GWL))</f>
        <v>0.8</v>
      </c>
      <c r="P410" s="27" t="n">
        <f aca="false">E410/2+WS+SLOPE_A*O410+SLOPE_B*N410</f>
        <v>5.77778542267913</v>
      </c>
      <c r="Q410" s="28" t="str">
        <f aca="false">IF(AND(P410&lt;J410,N410&lt;=MAXOC),"Open cut","Shoring")</f>
        <v>Open cut</v>
      </c>
      <c r="R410" s="27" t="n">
        <f aca="false">IF(Q410="Shoring",D410,0)</f>
        <v>0</v>
      </c>
      <c r="S410" s="27" t="n">
        <f aca="false">MAX(0,GWL-L410)</f>
        <v>1.38364444408233</v>
      </c>
      <c r="T410" s="27" t="n">
        <f aca="false">MAX(0,NG-MAX(L410,GWL))</f>
        <v>0.8</v>
      </c>
      <c r="U410" s="27" t="n">
        <f aca="false">E410+2*WS</f>
        <v>3.6000004174487</v>
      </c>
      <c r="V410" s="27" t="n">
        <f aca="false">IF(Q410="Shoring",D410*M410*U410,0)</f>
        <v>0</v>
      </c>
      <c r="W410" s="27" t="n">
        <f aca="false">IF(Q410="Open cut",D410*(U410*M410+SLOPE_B*S410^2+2*SLOPE_B*S410*T410+SLOPE_A*T410^2),0)</f>
        <v>170.777270256719</v>
      </c>
      <c r="X410" s="27" t="n">
        <f aca="false">IF(M410&gt;0,D410*(E410+2*SLABOVH)*SLAB,0)</f>
        <v>13.0000020865376</v>
      </c>
      <c r="Y410" s="27" t="n">
        <f aca="false">IF(M410&gt;0,D410*PI()*E410^2/4,0)</f>
        <v>20.1062034735144</v>
      </c>
      <c r="Z410" s="27" t="n">
        <f aca="false">IF(H410-E410&gt;=GWL,99,E410*(MAX(0,GWL-H410)*(GAM_S-GAM_W)+MAX(0,NG-MAX(H410,GWL))*GAM_D)/(GAM_W*PI()*E410^2/4))</f>
        <v>0.129794749307895</v>
      </c>
      <c r="AA410" s="27" t="n">
        <f aca="false">IF(I410-E410&gt;=GWL,99,E410*(MAX(0,GWL-I410)*(GAM_S-GAM_W)+MAX(0,NG-MAX(I410,GWL))*GAM_D)/(GAM_W*PI()*E410^2/4))</f>
        <v>0.114468678684527</v>
      </c>
      <c r="AB410" s="27" t="n">
        <f aca="false">IF(H410-E410&gt;=GWL,99,E410*(MAX(0,GWL-H410)*(GAM_S-GAM_W)+MAX(0,FL-MAX(H410,GWL))*GAM_D)/(GAM_W*PI()*E410^2/4))</f>
        <v>2.6120271590765</v>
      </c>
      <c r="AC410" s="27" t="n">
        <f aca="false">IF(I410-E410&gt;=GWL,99,E410*(MAX(0,GWL-I410)*(GAM_S-GAM_W)+MAX(0,FL-MAX(I410,GWL))*GAM_D)/(GAM_W*PI()*E410^2/4))</f>
        <v>2.59670108845313</v>
      </c>
    </row>
    <row r="411" customFormat="false" ht="15" hidden="false" customHeight="false" outlineLevel="0" collapsed="false">
      <c r="A411" s="25" t="s">
        <v>873</v>
      </c>
      <c r="B411" s="25" t="s">
        <v>906</v>
      </c>
      <c r="C411" s="25" t="s">
        <v>909</v>
      </c>
      <c r="D411" s="26" t="n">
        <v>10.0000000001534</v>
      </c>
      <c r="E411" s="26" t="n">
        <v>1.6000004174487</v>
      </c>
      <c r="F411" s="26" t="n">
        <v>-2.87839628118727</v>
      </c>
      <c r="G411" s="26" t="n">
        <v>-2.86789995539715</v>
      </c>
      <c r="H411" s="26" t="n">
        <v>-0.778395863738575</v>
      </c>
      <c r="I411" s="26" t="n">
        <v>-0.767899537948454</v>
      </c>
      <c r="J411" s="26" t="n">
        <v>6.41</v>
      </c>
      <c r="K411" s="27" t="n">
        <f aca="false">MIN(F411,G411)</f>
        <v>-2.87839628118727</v>
      </c>
      <c r="L411" s="27" t="n">
        <f aca="false">AVERAGE(F411,G411)</f>
        <v>-2.87314811829221</v>
      </c>
      <c r="M411" s="27" t="n">
        <f aca="false">MAX(0,NG-L411)</f>
        <v>2.17314811829221</v>
      </c>
      <c r="N411" s="27" t="n">
        <f aca="false">MAX(0,GWL-K411)</f>
        <v>1.37839628118727</v>
      </c>
      <c r="O411" s="27" t="n">
        <f aca="false">MAX(0,NG-MAX(K411,GWL))</f>
        <v>0.8</v>
      </c>
      <c r="P411" s="27" t="n">
        <f aca="false">E411/2+WS+SLOPE_A*O411+SLOPE_B*N411</f>
        <v>5.75679277109889</v>
      </c>
      <c r="Q411" s="28" t="str">
        <f aca="false">IF(AND(P411&lt;J411,N411&lt;=MAXOC),"Open cut","Shoring")</f>
        <v>Open cut</v>
      </c>
      <c r="R411" s="27" t="n">
        <f aca="false">IF(Q411="Shoring",D411,0)</f>
        <v>0</v>
      </c>
      <c r="S411" s="27" t="n">
        <f aca="false">MAX(0,GWL-L411)</f>
        <v>1.37314811829221</v>
      </c>
      <c r="T411" s="27" t="n">
        <f aca="false">MAX(0,NG-MAX(L411,GWL))</f>
        <v>0.8</v>
      </c>
      <c r="U411" s="27" t="n">
        <f aca="false">E411+2*WS</f>
        <v>3.6000004174487</v>
      </c>
      <c r="V411" s="27" t="n">
        <f aca="false">IF(Q411="Shoring",D411*M411*U411,0)</f>
        <v>0</v>
      </c>
      <c r="W411" s="27" t="n">
        <f aca="false">IF(Q411="Open cut",D411*(U411*M411+SLOPE_B*S411^2+2*SLOPE_B*S411*T411+SLOPE_A*T411^2),0)</f>
        <v>169.484796213637</v>
      </c>
      <c r="X411" s="27" t="n">
        <f aca="false">IF(M411&gt;0,D411*(E411+2*SLABOVH)*SLAB,0)</f>
        <v>13.0000020874429</v>
      </c>
      <c r="Y411" s="27" t="n">
        <f aca="false">IF(M411&gt;0,D411*PI()*E411^2/4,0)</f>
        <v>20.1062034749144</v>
      </c>
      <c r="Z411" s="27" t="n">
        <f aca="false">IF(H411-E411&gt;=GWL,99,E411*(MAX(0,GWL-H411)*(GAM_S-GAM_W)+MAX(0,NG-MAX(H411,GWL))*GAM_D)/(GAM_W*PI()*E411^2/4))</f>
        <v>0.114468678684527</v>
      </c>
      <c r="AA411" s="27" t="n">
        <f aca="false">IF(I411-E411&gt;=GWL,99,E411*(MAX(0,GWL-I411)*(GAM_S-GAM_W)+MAX(0,NG-MAX(I411,GWL))*GAM_D)/(GAM_W*PI()*E411^2/4))</f>
        <v>0.0991426080611572</v>
      </c>
      <c r="AB411" s="27" t="n">
        <f aca="false">IF(H411-E411&gt;=GWL,99,E411*(MAX(0,GWL-H411)*(GAM_S-GAM_W)+MAX(0,FL-MAX(H411,GWL))*GAM_D)/(GAM_W*PI()*E411^2/4))</f>
        <v>2.59670108845313</v>
      </c>
      <c r="AC411" s="27" t="n">
        <f aca="false">IF(I411-E411&gt;=GWL,99,E411*(MAX(0,GWL-I411)*(GAM_S-GAM_W)+MAX(0,FL-MAX(I411,GWL))*GAM_D)/(GAM_W*PI()*E411^2/4))</f>
        <v>2.58137501782976</v>
      </c>
    </row>
    <row r="412" customFormat="false" ht="15" hidden="false" customHeight="false" outlineLevel="0" collapsed="false">
      <c r="A412" s="25" t="s">
        <v>873</v>
      </c>
      <c r="B412" s="25" t="s">
        <v>906</v>
      </c>
      <c r="C412" s="25" t="s">
        <v>910</v>
      </c>
      <c r="D412" s="26" t="n">
        <v>9.99999999992127</v>
      </c>
      <c r="E412" s="26" t="n">
        <v>1.6000004174487</v>
      </c>
      <c r="F412" s="26" t="n">
        <v>-2.86789995539715</v>
      </c>
      <c r="G412" s="26" t="n">
        <v>-2.85740362960703</v>
      </c>
      <c r="H412" s="26" t="n">
        <v>-0.767899537948454</v>
      </c>
      <c r="I412" s="26" t="n">
        <v>-0.757403212158334</v>
      </c>
      <c r="J412" s="26" t="n">
        <v>3.08</v>
      </c>
      <c r="K412" s="27" t="n">
        <f aca="false">MIN(F412,G412)</f>
        <v>-2.86789995539715</v>
      </c>
      <c r="L412" s="27" t="n">
        <f aca="false">AVERAGE(F412,G412)</f>
        <v>-2.86265179250209</v>
      </c>
      <c r="M412" s="27" t="n">
        <f aca="false">MAX(0,NG-L412)</f>
        <v>2.16265179250209</v>
      </c>
      <c r="N412" s="27" t="n">
        <f aca="false">MAX(0,GWL-K412)</f>
        <v>1.36789995539715</v>
      </c>
      <c r="O412" s="27" t="n">
        <f aca="false">MAX(0,NG-MAX(K412,GWL))</f>
        <v>0.8</v>
      </c>
      <c r="P412" s="27" t="n">
        <f aca="false">E412/2+WS+SLOPE_A*O412+SLOPE_B*N412</f>
        <v>5.73580011951865</v>
      </c>
      <c r="Q412" s="28" t="str">
        <f aca="false">IF(AND(P412&lt;J412,N412&lt;=MAXOC),"Open cut","Shoring")</f>
        <v>Shoring</v>
      </c>
      <c r="R412" s="27" t="n">
        <f aca="false">IF(Q412="Shoring",D412,0)</f>
        <v>9.99999999992127</v>
      </c>
      <c r="S412" s="27" t="n">
        <f aca="false">MAX(0,GWL-L412)</f>
        <v>1.36265179250209</v>
      </c>
      <c r="T412" s="27" t="n">
        <f aca="false">MAX(0,NG-MAX(L412,GWL))</f>
        <v>0.8</v>
      </c>
      <c r="U412" s="27" t="n">
        <f aca="false">E412+2*WS</f>
        <v>3.6000004174487</v>
      </c>
      <c r="V412" s="27" t="n">
        <f aca="false">IF(Q412="Shoring",D412*M412*U412,0)</f>
        <v>77.8554735574239</v>
      </c>
      <c r="W412" s="27" t="n">
        <f aca="false">IF(Q412="Open cut",D412*(U412*M412+SLOPE_B*S412^2+2*SLOPE_B*S412*T412+SLOPE_A*T412^2),0)</f>
        <v>0</v>
      </c>
      <c r="X412" s="27" t="n">
        <f aca="false">IF(M412&gt;0,D412*(E412+2*SLABOVH)*SLAB,0)</f>
        <v>13.0000020871411</v>
      </c>
      <c r="Y412" s="27" t="n">
        <f aca="false">IF(M412&gt;0,D412*PI()*E412^2/4,0)</f>
        <v>20.1062034744478</v>
      </c>
      <c r="Z412" s="27" t="n">
        <f aca="false">IF(H412-E412&gt;=GWL,99,E412*(MAX(0,GWL-H412)*(GAM_S-GAM_W)+MAX(0,NG-MAX(H412,GWL))*GAM_D)/(GAM_W*PI()*E412^2/4))</f>
        <v>0.0991426080611572</v>
      </c>
      <c r="AA412" s="27" t="n">
        <f aca="false">IF(I412-E412&gt;=GWL,99,E412*(MAX(0,GWL-I412)*(GAM_S-GAM_W)+MAX(0,NG-MAX(I412,GWL))*GAM_D)/(GAM_W*PI()*E412^2/4))</f>
        <v>0.0838165374377889</v>
      </c>
      <c r="AB412" s="27" t="n">
        <f aca="false">IF(H412-E412&gt;=GWL,99,E412*(MAX(0,GWL-H412)*(GAM_S-GAM_W)+MAX(0,FL-MAX(H412,GWL))*GAM_D)/(GAM_W*PI()*E412^2/4))</f>
        <v>2.58137501782976</v>
      </c>
      <c r="AC412" s="27" t="n">
        <f aca="false">IF(I412-E412&gt;=GWL,99,E412*(MAX(0,GWL-I412)*(GAM_S-GAM_W)+MAX(0,FL-MAX(I412,GWL))*GAM_D)/(GAM_W*PI()*E412^2/4))</f>
        <v>2.5660489472064</v>
      </c>
    </row>
    <row r="413" customFormat="false" ht="15" hidden="false" customHeight="false" outlineLevel="0" collapsed="false">
      <c r="A413" s="25" t="s">
        <v>873</v>
      </c>
      <c r="B413" s="25" t="s">
        <v>906</v>
      </c>
      <c r="C413" s="25" t="s">
        <v>911</v>
      </c>
      <c r="D413" s="26" t="n">
        <v>10.0000000001534</v>
      </c>
      <c r="E413" s="26" t="n">
        <v>1.6000004174487</v>
      </c>
      <c r="F413" s="26" t="n">
        <v>-2.85740362960703</v>
      </c>
      <c r="G413" s="26" t="n">
        <v>-2.84690730381691</v>
      </c>
      <c r="H413" s="26" t="n">
        <v>-0.757403212158334</v>
      </c>
      <c r="I413" s="26" t="n">
        <v>-0.746906886368215</v>
      </c>
      <c r="J413" s="26" t="n">
        <v>2.47</v>
      </c>
      <c r="K413" s="27" t="n">
        <f aca="false">MIN(F413,G413)</f>
        <v>-2.85740362960703</v>
      </c>
      <c r="L413" s="27" t="n">
        <f aca="false">AVERAGE(F413,G413)</f>
        <v>-2.85215546671197</v>
      </c>
      <c r="M413" s="27" t="n">
        <f aca="false">MAX(0,NG-L413)</f>
        <v>2.15215546671197</v>
      </c>
      <c r="N413" s="27" t="n">
        <f aca="false">MAX(0,GWL-K413)</f>
        <v>1.35740362960703</v>
      </c>
      <c r="O413" s="27" t="n">
        <f aca="false">MAX(0,NG-MAX(K413,GWL))</f>
        <v>0.8</v>
      </c>
      <c r="P413" s="27" t="n">
        <f aca="false">E413/2+WS+SLOPE_A*O413+SLOPE_B*N413</f>
        <v>5.71480746793841</v>
      </c>
      <c r="Q413" s="28" t="str">
        <f aca="false">IF(AND(P413&lt;J413,N413&lt;=MAXOC),"Open cut","Shoring")</f>
        <v>Shoring</v>
      </c>
      <c r="R413" s="27" t="n">
        <f aca="false">IF(Q413="Shoring",D413,0)</f>
        <v>10.0000000001534</v>
      </c>
      <c r="S413" s="27" t="n">
        <f aca="false">MAX(0,GWL-L413)</f>
        <v>1.35215546671197</v>
      </c>
      <c r="T413" s="27" t="n">
        <f aca="false">MAX(0,NG-MAX(L413,GWL))</f>
        <v>0.8</v>
      </c>
      <c r="U413" s="27" t="n">
        <f aca="false">E413+2*WS</f>
        <v>3.6000004174487</v>
      </c>
      <c r="V413" s="27" t="n">
        <f aca="false">IF(Q413="Shoring",D413*M413*U413,0)</f>
        <v>77.4776057869641</v>
      </c>
      <c r="W413" s="27" t="n">
        <f aca="false">IF(Q413="Open cut",D413*(U413*M413+SLOPE_B*S413^2+2*SLOPE_B*S413*T413+SLOPE_A*T413^2),0)</f>
        <v>0</v>
      </c>
      <c r="X413" s="27" t="n">
        <f aca="false">IF(M413&gt;0,D413*(E413+2*SLABOVH)*SLAB,0)</f>
        <v>13.0000020874429</v>
      </c>
      <c r="Y413" s="27" t="n">
        <f aca="false">IF(M413&gt;0,D413*PI()*E413^2/4,0)</f>
        <v>20.1062034749144</v>
      </c>
      <c r="Z413" s="27" t="n">
        <f aca="false">IF(H413-E413&gt;=GWL,99,E413*(MAX(0,GWL-H413)*(GAM_S-GAM_W)+MAX(0,NG-MAX(H413,GWL))*GAM_D)/(GAM_W*PI()*E413^2/4))</f>
        <v>0.0838165374377889</v>
      </c>
      <c r="AA413" s="27" t="n">
        <f aca="false">IF(I413-E413&gt;=GWL,99,E413*(MAX(0,GWL-I413)*(GAM_S-GAM_W)+MAX(0,NG-MAX(I413,GWL))*GAM_D)/(GAM_W*PI()*E413^2/4))</f>
        <v>0.0684904668144209</v>
      </c>
      <c r="AB413" s="27" t="n">
        <f aca="false">IF(H413-E413&gt;=GWL,99,E413*(MAX(0,GWL-H413)*(GAM_S-GAM_W)+MAX(0,FL-MAX(H413,GWL))*GAM_D)/(GAM_W*PI()*E413^2/4))</f>
        <v>2.5660489472064</v>
      </c>
      <c r="AC413" s="27" t="n">
        <f aca="false">IF(I413-E413&gt;=GWL,99,E413*(MAX(0,GWL-I413)*(GAM_S-GAM_W)+MAX(0,FL-MAX(I413,GWL))*GAM_D)/(GAM_W*PI()*E413^2/4))</f>
        <v>2.55072287658303</v>
      </c>
    </row>
    <row r="414" customFormat="false" ht="15" hidden="false" customHeight="false" outlineLevel="0" collapsed="false">
      <c r="A414" s="25" t="s">
        <v>873</v>
      </c>
      <c r="B414" s="25" t="s">
        <v>906</v>
      </c>
      <c r="C414" s="25" t="s">
        <v>912</v>
      </c>
      <c r="D414" s="26" t="n">
        <v>9.99999999992127</v>
      </c>
      <c r="E414" s="26" t="n">
        <v>1.6000004174487</v>
      </c>
      <c r="F414" s="26" t="n">
        <v>-2.84690730381691</v>
      </c>
      <c r="G414" s="26" t="n">
        <v>-2.83641097802679</v>
      </c>
      <c r="H414" s="26" t="n">
        <v>-0.746906886368215</v>
      </c>
      <c r="I414" s="26" t="n">
        <v>-0.736410560578093</v>
      </c>
      <c r="J414" s="26" t="n">
        <v>2.69</v>
      </c>
      <c r="K414" s="27" t="n">
        <f aca="false">MIN(F414,G414)</f>
        <v>-2.84690730381691</v>
      </c>
      <c r="L414" s="27" t="n">
        <f aca="false">AVERAGE(F414,G414)</f>
        <v>-2.84165914092185</v>
      </c>
      <c r="M414" s="27" t="n">
        <f aca="false">MAX(0,NG-L414)</f>
        <v>2.14165914092185</v>
      </c>
      <c r="N414" s="27" t="n">
        <f aca="false">MAX(0,GWL-K414)</f>
        <v>1.34690730381691</v>
      </c>
      <c r="O414" s="27" t="n">
        <f aca="false">MAX(0,NG-MAX(K414,GWL))</f>
        <v>0.8</v>
      </c>
      <c r="P414" s="27" t="n">
        <f aca="false">E414/2+WS+SLOPE_A*O414+SLOPE_B*N414</f>
        <v>5.69381481635817</v>
      </c>
      <c r="Q414" s="28" t="str">
        <f aca="false">IF(AND(P414&lt;J414,N414&lt;=MAXOC),"Open cut","Shoring")</f>
        <v>Shoring</v>
      </c>
      <c r="R414" s="27" t="n">
        <f aca="false">IF(Q414="Shoring",D414,0)</f>
        <v>9.99999999992127</v>
      </c>
      <c r="S414" s="27" t="n">
        <f aca="false">MAX(0,GWL-L414)</f>
        <v>1.34165914092185</v>
      </c>
      <c r="T414" s="27" t="n">
        <f aca="false">MAX(0,NG-MAX(L414,GWL))</f>
        <v>0.8</v>
      </c>
      <c r="U414" s="27" t="n">
        <f aca="false">E414+2*WS</f>
        <v>3.6000004174487</v>
      </c>
      <c r="V414" s="27" t="n">
        <f aca="false">IF(Q414="Shoring",D414*M414*U414,0)</f>
        <v>77.0997380129077</v>
      </c>
      <c r="W414" s="27" t="n">
        <f aca="false">IF(Q414="Open cut",D414*(U414*M414+SLOPE_B*S414^2+2*SLOPE_B*S414*T414+SLOPE_A*T414^2),0)</f>
        <v>0</v>
      </c>
      <c r="X414" s="27" t="n">
        <f aca="false">IF(M414&gt;0,D414*(E414+2*SLABOVH)*SLAB,0)</f>
        <v>13.0000020871411</v>
      </c>
      <c r="Y414" s="27" t="n">
        <f aca="false">IF(M414&gt;0,D414*PI()*E414^2/4,0)</f>
        <v>20.1062034744478</v>
      </c>
      <c r="Z414" s="27" t="n">
        <f aca="false">IF(H414-E414&gt;=GWL,99,E414*(MAX(0,GWL-H414)*(GAM_S-GAM_W)+MAX(0,NG-MAX(H414,GWL))*GAM_D)/(GAM_W*PI()*E414^2/4))</f>
        <v>0.0684904668144209</v>
      </c>
      <c r="AA414" s="27" t="n">
        <f aca="false">IF(I414-E414&gt;=GWL,99,E414*(MAX(0,GWL-I414)*(GAM_S-GAM_W)+MAX(0,NG-MAX(I414,GWL))*GAM_D)/(GAM_W*PI()*E414^2/4))</f>
        <v>0.053164396191051</v>
      </c>
      <c r="AB414" s="27" t="n">
        <f aca="false">IF(H414-E414&gt;=GWL,99,E414*(MAX(0,GWL-H414)*(GAM_S-GAM_W)+MAX(0,FL-MAX(H414,GWL))*GAM_D)/(GAM_W*PI()*E414^2/4))</f>
        <v>2.55072287658303</v>
      </c>
      <c r="AC414" s="27" t="n">
        <f aca="false">IF(I414-E414&gt;=GWL,99,E414*(MAX(0,GWL-I414)*(GAM_S-GAM_W)+MAX(0,FL-MAX(I414,GWL))*GAM_D)/(GAM_W*PI()*E414^2/4))</f>
        <v>2.53539680595966</v>
      </c>
    </row>
    <row r="415" customFormat="false" ht="15" hidden="false" customHeight="false" outlineLevel="0" collapsed="false">
      <c r="A415" s="25" t="s">
        <v>873</v>
      </c>
      <c r="B415" s="25" t="s">
        <v>906</v>
      </c>
      <c r="C415" s="25" t="s">
        <v>913</v>
      </c>
      <c r="D415" s="26" t="n">
        <v>6.10763178554795</v>
      </c>
      <c r="E415" s="26" t="n">
        <v>1.6000004174487</v>
      </c>
      <c r="F415" s="26" t="n">
        <v>-2.83641097802679</v>
      </c>
      <c r="G415" s="26" t="n">
        <v>-2.83000020872435</v>
      </c>
      <c r="H415" s="26" t="n">
        <v>-0.736410560578093</v>
      </c>
      <c r="I415" s="26" t="n">
        <v>-0.729999791275653</v>
      </c>
      <c r="J415" s="26" t="n">
        <v>5.35</v>
      </c>
      <c r="K415" s="27" t="n">
        <f aca="false">MIN(F415,G415)</f>
        <v>-2.83641097802679</v>
      </c>
      <c r="L415" s="27" t="n">
        <f aca="false">AVERAGE(F415,G415)</f>
        <v>-2.83320559337557</v>
      </c>
      <c r="M415" s="27" t="n">
        <f aca="false">MAX(0,NG-L415)</f>
        <v>2.13320559337557</v>
      </c>
      <c r="N415" s="27" t="n">
        <f aca="false">MAX(0,GWL-K415)</f>
        <v>1.33641097802679</v>
      </c>
      <c r="O415" s="27" t="n">
        <f aca="false">MAX(0,NG-MAX(K415,GWL))</f>
        <v>0.8</v>
      </c>
      <c r="P415" s="27" t="n">
        <f aca="false">E415/2+WS+SLOPE_A*O415+SLOPE_B*N415</f>
        <v>5.67282216477792</v>
      </c>
      <c r="Q415" s="28" t="str">
        <f aca="false">IF(AND(P415&lt;J415,N415&lt;=MAXOC),"Open cut","Shoring")</f>
        <v>Shoring</v>
      </c>
      <c r="R415" s="27" t="n">
        <f aca="false">IF(Q415="Shoring",D415,0)</f>
        <v>6.10763178554795</v>
      </c>
      <c r="S415" s="27" t="n">
        <f aca="false">MAX(0,GWL-L415)</f>
        <v>1.33320559337557</v>
      </c>
      <c r="T415" s="27" t="n">
        <f aca="false">MAX(0,NG-MAX(L415,GWL))</f>
        <v>0.8</v>
      </c>
      <c r="U415" s="27" t="n">
        <f aca="false">E415+2*WS</f>
        <v>3.6000004174487</v>
      </c>
      <c r="V415" s="27" t="n">
        <f aca="false">IF(Q415="Shoring",D415*M415*U415,0)</f>
        <v>46.9038088728234</v>
      </c>
      <c r="W415" s="27" t="n">
        <f aca="false">IF(Q415="Open cut",D415*(U415*M415+SLOPE_B*S415^2+2*SLOPE_B*S415*T415+SLOPE_A*T415^2),0)</f>
        <v>0</v>
      </c>
      <c r="X415" s="27" t="n">
        <f aca="false">IF(M415&gt;0,D415*(E415+2*SLABOVH)*SLAB,0)</f>
        <v>7.9399225960238</v>
      </c>
      <c r="Y415" s="27" t="n">
        <f aca="false">IF(M415&gt;0,D415*PI()*E415^2/4,0)</f>
        <v>12.2801287428199</v>
      </c>
      <c r="Z415" s="27" t="n">
        <f aca="false">IF(H415-E415&gt;=GWL,99,E415*(MAX(0,GWL-H415)*(GAM_S-GAM_W)+MAX(0,NG-MAX(H415,GWL))*GAM_D)/(GAM_W*PI()*E415^2/4))</f>
        <v>0.053164396191051</v>
      </c>
      <c r="AA415" s="27" t="n">
        <f aca="false">IF(I415-E415&gt;=GWL,99,E415*(MAX(0,GWL-I415)*(GAM_S-GAM_W)+MAX(0,NG-MAX(I415,GWL))*GAM_D)/(GAM_W*PI()*E415^2/4))</f>
        <v>0.0438037965827755</v>
      </c>
      <c r="AB415" s="27" t="n">
        <f aca="false">IF(H415-E415&gt;=GWL,99,E415*(MAX(0,GWL-H415)*(GAM_S-GAM_W)+MAX(0,FL-MAX(H415,GWL))*GAM_D)/(GAM_W*PI()*E415^2/4))</f>
        <v>2.53539680595966</v>
      </c>
      <c r="AC415" s="27" t="n">
        <f aca="false">IF(I415-E415&gt;=GWL,99,E415*(MAX(0,GWL-I415)*(GAM_S-GAM_W)+MAX(0,FL-MAX(I415,GWL))*GAM_D)/(GAM_W*PI()*E415^2/4))</f>
        <v>2.52603620635138</v>
      </c>
    </row>
    <row r="416" customFormat="false" ht="15" hidden="false" customHeight="false" outlineLevel="0" collapsed="false">
      <c r="A416" s="25" t="s">
        <v>873</v>
      </c>
      <c r="B416" s="25" t="s">
        <v>906</v>
      </c>
      <c r="C416" s="25" t="s">
        <v>914</v>
      </c>
      <c r="D416" s="26" t="n">
        <v>0.975002599580143</v>
      </c>
      <c r="E416" s="26" t="n">
        <v>1.59998804612362</v>
      </c>
      <c r="F416" s="26" t="n">
        <v>-2.82999402306181</v>
      </c>
      <c r="G416" s="26" t="n">
        <v>-2.82999402306181</v>
      </c>
      <c r="H416" s="26" t="n">
        <v>-0.730005976938192</v>
      </c>
      <c r="I416" s="26" t="n">
        <v>-0.730005976938192</v>
      </c>
      <c r="J416" s="26" t="n">
        <v>8.22</v>
      </c>
      <c r="K416" s="27" t="n">
        <f aca="false">MIN(F416,G416)</f>
        <v>-2.82999402306181</v>
      </c>
      <c r="L416" s="27" t="n">
        <f aca="false">AVERAGE(F416,G416)</f>
        <v>-2.82999402306181</v>
      </c>
      <c r="M416" s="27" t="n">
        <f aca="false">MAX(0,NG-L416)</f>
        <v>2.12999402306181</v>
      </c>
      <c r="N416" s="27" t="n">
        <f aca="false">MAX(0,GWL-K416)</f>
        <v>1.32999402306181</v>
      </c>
      <c r="O416" s="27" t="n">
        <f aca="false">MAX(0,NG-MAX(K416,GWL))</f>
        <v>0.8</v>
      </c>
      <c r="P416" s="27" t="n">
        <f aca="false">E416/2+WS+SLOPE_A*O416+SLOPE_B*N416</f>
        <v>5.65998206918543</v>
      </c>
      <c r="Q416" s="28" t="str">
        <f aca="false">IF(AND(P416&lt;J416,N416&lt;=MAXOC),"Open cut","Shoring")</f>
        <v>Open cut</v>
      </c>
      <c r="R416" s="27" t="n">
        <f aca="false">IF(Q416="Shoring",D416,0)</f>
        <v>0</v>
      </c>
      <c r="S416" s="27" t="n">
        <f aca="false">MAX(0,GWL-L416)</f>
        <v>1.32999402306181</v>
      </c>
      <c r="T416" s="27" t="n">
        <f aca="false">MAX(0,NG-MAX(L416,GWL))</f>
        <v>0.8</v>
      </c>
      <c r="U416" s="27" t="n">
        <f aca="false">E416+2*WS</f>
        <v>3.59998804612362</v>
      </c>
      <c r="V416" s="27" t="n">
        <f aca="false">IF(Q416="Shoring",D416*M416*U416,0)</f>
        <v>0</v>
      </c>
      <c r="W416" s="27" t="n">
        <f aca="false">IF(Q416="Open cut",D416*(U416*M416+SLOPE_B*S416^2+2*SLOPE_B*S416*T416+SLOPE_A*T416^2),0)</f>
        <v>16.0112022349786</v>
      </c>
      <c r="X416" s="27" t="n">
        <f aca="false">IF(M416&gt;0,D416*(E416+2*SLABOVH)*SLAB,0)</f>
        <v>1.26749755192391</v>
      </c>
      <c r="Y416" s="27" t="n">
        <f aca="false">IF(M416&gt;0,D416*PI()*E416^2/4,0)</f>
        <v>1.96032975035338</v>
      </c>
      <c r="Z416" s="27" t="n">
        <f aca="false">IF(H416-E416&gt;=GWL,99,E416*(MAX(0,GWL-H416)*(GAM_S-GAM_W)+MAX(0,NG-MAX(H416,GWL))*GAM_D)/(GAM_W*PI()*E416^2/4))</f>
        <v>0.0438131672624804</v>
      </c>
      <c r="AA416" s="27" t="n">
        <f aca="false">IF(I416-E416&gt;=GWL,99,E416*(MAX(0,GWL-I416)*(GAM_S-GAM_W)+MAX(0,NG-MAX(I416,GWL))*GAM_D)/(GAM_W*PI()*E416^2/4))</f>
        <v>0.0438131672624804</v>
      </c>
      <c r="AB416" s="27" t="n">
        <f aca="false">IF(H416-E416&gt;=GWL,99,E416*(MAX(0,GWL-H416)*(GAM_S-GAM_W)+MAX(0,FL-MAX(H416,GWL))*GAM_D)/(GAM_W*PI()*E416^2/4))</f>
        <v>2.52606476998952</v>
      </c>
      <c r="AC416" s="27" t="n">
        <f aca="false">IF(I416-E416&gt;=GWL,99,E416*(MAX(0,GWL-I416)*(GAM_S-GAM_W)+MAX(0,FL-MAX(I416,GWL))*GAM_D)/(GAM_W*PI()*E416^2/4))</f>
        <v>2.52606476998952</v>
      </c>
    </row>
    <row r="417" customFormat="false" ht="15" hidden="false" customHeight="false" outlineLevel="0" collapsed="false">
      <c r="A417" s="25" t="s">
        <v>873</v>
      </c>
      <c r="B417" s="25" t="s">
        <v>906</v>
      </c>
      <c r="C417" s="25" t="s">
        <v>915</v>
      </c>
      <c r="D417" s="26" t="n">
        <v>0.974999999745705</v>
      </c>
      <c r="E417" s="26" t="n">
        <v>1.59999024452782</v>
      </c>
      <c r="F417" s="26" t="n">
        <v>-2.82999512226391</v>
      </c>
      <c r="G417" s="26" t="n">
        <v>-2.82999512226391</v>
      </c>
      <c r="H417" s="26" t="n">
        <v>-0.730004877736092</v>
      </c>
      <c r="I417" s="26" t="n">
        <v>-0.730004877736092</v>
      </c>
      <c r="J417" s="26" t="n">
        <v>8.57</v>
      </c>
      <c r="K417" s="27" t="n">
        <f aca="false">MIN(F417,G417)</f>
        <v>-2.82999512226391</v>
      </c>
      <c r="L417" s="27" t="n">
        <f aca="false">AVERAGE(F417,G417)</f>
        <v>-2.82999512226391</v>
      </c>
      <c r="M417" s="27" t="n">
        <f aca="false">MAX(0,NG-L417)</f>
        <v>2.12999512226391</v>
      </c>
      <c r="N417" s="27" t="n">
        <f aca="false">MAX(0,GWL-K417)</f>
        <v>1.32999512226391</v>
      </c>
      <c r="O417" s="27" t="n">
        <f aca="false">MAX(0,NG-MAX(K417,GWL))</f>
        <v>0.8</v>
      </c>
      <c r="P417" s="27" t="n">
        <f aca="false">E417/2+WS+SLOPE_A*O417+SLOPE_B*N417</f>
        <v>5.65998536679173</v>
      </c>
      <c r="Q417" s="28" t="str">
        <f aca="false">IF(AND(P417&lt;J417,N417&lt;=MAXOC),"Open cut","Shoring")</f>
        <v>Open cut</v>
      </c>
      <c r="R417" s="27" t="n">
        <f aca="false">IF(Q417="Shoring",D417,0)</f>
        <v>0</v>
      </c>
      <c r="S417" s="27" t="n">
        <f aca="false">MAX(0,GWL-L417)</f>
        <v>1.32999512226391</v>
      </c>
      <c r="T417" s="27" t="n">
        <f aca="false">MAX(0,NG-MAX(L417,GWL))</f>
        <v>0.8</v>
      </c>
      <c r="U417" s="27" t="n">
        <f aca="false">E417+2*WS</f>
        <v>3.59999024452782</v>
      </c>
      <c r="V417" s="27" t="n">
        <f aca="false">IF(Q417="Shoring",D417*M417*U417,0)</f>
        <v>0</v>
      </c>
      <c r="W417" s="27" t="n">
        <f aca="false">IF(Q417="Open cut",D417*(U417*M417+SLOPE_B*S417^2+2*SLOPE_B*S417*T417+SLOPE_A*T417^2),0)</f>
        <v>16.0111770960326</v>
      </c>
      <c r="X417" s="27" t="n">
        <f aca="false">IF(M417&gt;0,D417*(E417+2*SLABOVH)*SLAB,0)</f>
        <v>1.26749524387673</v>
      </c>
      <c r="Y417" s="27" t="n">
        <f aca="false">IF(M417&gt;0,D417*PI()*E417^2/4,0)</f>
        <v>1.96032991018022</v>
      </c>
      <c r="Z417" s="27" t="n">
        <f aca="false">IF(H417-E417&gt;=GWL,99,E417*(MAX(0,GWL-H417)*(GAM_S-GAM_W)+MAX(0,NG-MAX(H417,GWL))*GAM_D)/(GAM_W*PI()*E417^2/4))</f>
        <v>0.0438115020671628</v>
      </c>
      <c r="AA417" s="27" t="n">
        <f aca="false">IF(I417-E417&gt;=GWL,99,E417*(MAX(0,GWL-I417)*(GAM_S-GAM_W)+MAX(0,NG-MAX(I417,GWL))*GAM_D)/(GAM_W*PI()*E417^2/4))</f>
        <v>0.0438115020671628</v>
      </c>
      <c r="AB417" s="27" t="n">
        <f aca="false">IF(H417-E417&gt;=GWL,99,E417*(MAX(0,GWL-H417)*(GAM_S-GAM_W)+MAX(0,FL-MAX(H417,GWL))*GAM_D)/(GAM_W*PI()*E417^2/4))</f>
        <v>2.52605969415319</v>
      </c>
      <c r="AC417" s="27" t="n">
        <f aca="false">IF(I417-E417&gt;=GWL,99,E417*(MAX(0,GWL-I417)*(GAM_S-GAM_W)+MAX(0,FL-MAX(I417,GWL))*GAM_D)/(GAM_W*PI()*E417^2/4))</f>
        <v>2.52605969415319</v>
      </c>
    </row>
    <row r="418" customFormat="false" ht="15" hidden="false" customHeight="false" outlineLevel="0" collapsed="false">
      <c r="A418" s="25" t="s">
        <v>873</v>
      </c>
      <c r="B418" s="25" t="s">
        <v>906</v>
      </c>
      <c r="C418" s="25" t="s">
        <v>916</v>
      </c>
      <c r="D418" s="26" t="n">
        <v>1.94236561482063</v>
      </c>
      <c r="E418" s="26" t="n">
        <v>1.59999365871706</v>
      </c>
      <c r="F418" s="26" t="n">
        <v>-2.82999682935853</v>
      </c>
      <c r="G418" s="26" t="n">
        <v>-2.82999682935853</v>
      </c>
      <c r="H418" s="26" t="n">
        <v>-0.730003170641471</v>
      </c>
      <c r="I418" s="26" t="n">
        <v>-0.730003170641471</v>
      </c>
      <c r="J418" s="26" t="n">
        <v>8.28</v>
      </c>
      <c r="K418" s="27" t="n">
        <f aca="false">MIN(F418,G418)</f>
        <v>-2.82999682935853</v>
      </c>
      <c r="L418" s="27" t="n">
        <f aca="false">AVERAGE(F418,G418)</f>
        <v>-2.82999682935853</v>
      </c>
      <c r="M418" s="27" t="n">
        <f aca="false">MAX(0,NG-L418)</f>
        <v>2.12999682935853</v>
      </c>
      <c r="N418" s="27" t="n">
        <f aca="false">MAX(0,GWL-K418)</f>
        <v>1.32999682935853</v>
      </c>
      <c r="O418" s="27" t="n">
        <f aca="false">MAX(0,NG-MAX(K418,GWL))</f>
        <v>0.8</v>
      </c>
      <c r="P418" s="27" t="n">
        <f aca="false">E418/2+WS+SLOPE_A*O418+SLOPE_B*N418</f>
        <v>5.65999048807559</v>
      </c>
      <c r="Q418" s="28" t="str">
        <f aca="false">IF(AND(P418&lt;J418,N418&lt;=MAXOC),"Open cut","Shoring")</f>
        <v>Open cut</v>
      </c>
      <c r="R418" s="27" t="n">
        <f aca="false">IF(Q418="Shoring",D418,0)</f>
        <v>0</v>
      </c>
      <c r="S418" s="27" t="n">
        <f aca="false">MAX(0,GWL-L418)</f>
        <v>1.32999682935853</v>
      </c>
      <c r="T418" s="27" t="n">
        <f aca="false">MAX(0,NG-MAX(L418,GWL))</f>
        <v>0.8</v>
      </c>
      <c r="U418" s="27" t="n">
        <f aca="false">E418+2*WS</f>
        <v>3.59999365871706</v>
      </c>
      <c r="V418" s="27" t="n">
        <f aca="false">IF(Q418="Shoring",D418*M418*U418,0)</f>
        <v>0</v>
      </c>
      <c r="W418" s="27" t="n">
        <f aca="false">IF(Q418="Open cut",D418*(U418*M418+SLOPE_B*S418^2+2*SLOPE_B*S418*T418+SLOPE_A*T418^2),0)</f>
        <v>31.897038776573</v>
      </c>
      <c r="X418" s="27" t="n">
        <f aca="false">IF(M418&gt;0,D418*(E418+2*SLABOVH)*SLAB,0)</f>
        <v>2.52506914072186</v>
      </c>
      <c r="Y418" s="27" t="n">
        <f aca="false">IF(M418&gt;0,D418*PI()*E418^2/4,0)</f>
        <v>3.90532683334573</v>
      </c>
      <c r="Z418" s="27" t="n">
        <f aca="false">IF(H418-E418&gt;=GWL,99,E418*(MAX(0,GWL-H418)*(GAM_S-GAM_W)+MAX(0,NG-MAX(H418,GWL))*GAM_D)/(GAM_W*PI()*E418^2/4))</f>
        <v>0.0438089159767616</v>
      </c>
      <c r="AA418" s="27" t="n">
        <f aca="false">IF(I418-E418&gt;=GWL,99,E418*(MAX(0,GWL-I418)*(GAM_S-GAM_W)+MAX(0,NG-MAX(I418,GWL))*GAM_D)/(GAM_W*PI()*E418^2/4))</f>
        <v>0.0438089159767616</v>
      </c>
      <c r="AB418" s="27" t="n">
        <f aca="false">IF(H418-E418&gt;=GWL,99,E418*(MAX(0,GWL-H418)*(GAM_S-GAM_W)+MAX(0,FL-MAX(H418,GWL))*GAM_D)/(GAM_W*PI()*E418^2/4))</f>
        <v>2.52605181125112</v>
      </c>
      <c r="AC418" s="27" t="n">
        <f aca="false">IF(I418-E418&gt;=GWL,99,E418*(MAX(0,GWL-I418)*(GAM_S-GAM_W)+MAX(0,FL-MAX(I418,GWL))*GAM_D)/(GAM_W*PI()*E418^2/4))</f>
        <v>2.52605181125112</v>
      </c>
    </row>
    <row r="419" customFormat="false" ht="15" hidden="false" customHeight="false" outlineLevel="0" collapsed="false">
      <c r="A419" s="25" t="s">
        <v>873</v>
      </c>
      <c r="B419" s="25" t="s">
        <v>906</v>
      </c>
      <c r="C419" s="25" t="s">
        <v>917</v>
      </c>
      <c r="D419" s="26" t="n">
        <v>9.99999999996727</v>
      </c>
      <c r="E419" s="26" t="n">
        <v>1.59999365871706</v>
      </c>
      <c r="F419" s="26" t="n">
        <v>-2.82999682935853</v>
      </c>
      <c r="G419" s="26" t="n">
        <v>-2.82999682935853</v>
      </c>
      <c r="H419" s="26" t="n">
        <v>-0.730003170641471</v>
      </c>
      <c r="I419" s="26" t="n">
        <v>-0.730003170641471</v>
      </c>
      <c r="J419" s="26" t="n">
        <v>7.99</v>
      </c>
      <c r="K419" s="27" t="n">
        <f aca="false">MIN(F419,G419)</f>
        <v>-2.82999682935853</v>
      </c>
      <c r="L419" s="27" t="n">
        <f aca="false">AVERAGE(F419,G419)</f>
        <v>-2.82999682935853</v>
      </c>
      <c r="M419" s="27" t="n">
        <f aca="false">MAX(0,NG-L419)</f>
        <v>2.12999682935853</v>
      </c>
      <c r="N419" s="27" t="n">
        <f aca="false">MAX(0,GWL-K419)</f>
        <v>1.32999682935853</v>
      </c>
      <c r="O419" s="27" t="n">
        <f aca="false">MAX(0,NG-MAX(K419,GWL))</f>
        <v>0.8</v>
      </c>
      <c r="P419" s="27" t="n">
        <f aca="false">E419/2+WS+SLOPE_A*O419+SLOPE_B*N419</f>
        <v>5.65999048807559</v>
      </c>
      <c r="Q419" s="28" t="str">
        <f aca="false">IF(AND(P419&lt;J419,N419&lt;=MAXOC),"Open cut","Shoring")</f>
        <v>Open cut</v>
      </c>
      <c r="R419" s="27" t="n">
        <f aca="false">IF(Q419="Shoring",D419,0)</f>
        <v>0</v>
      </c>
      <c r="S419" s="27" t="n">
        <f aca="false">MAX(0,GWL-L419)</f>
        <v>1.32999682935853</v>
      </c>
      <c r="T419" s="27" t="n">
        <f aca="false">MAX(0,NG-MAX(L419,GWL))</f>
        <v>0.8</v>
      </c>
      <c r="U419" s="27" t="n">
        <f aca="false">E419+2*WS</f>
        <v>3.59999365871706</v>
      </c>
      <c r="V419" s="27" t="n">
        <f aca="false">IF(Q419="Shoring",D419*M419*U419,0)</f>
        <v>0</v>
      </c>
      <c r="W419" s="27" t="n">
        <f aca="false">IF(Q419="Open cut",D419*(U419*M419+SLOPE_B*S419^2+2*SLOPE_B*S419*T419+SLOPE_A*T419^2),0)</f>
        <v>164.217480648792</v>
      </c>
      <c r="X419" s="27" t="n">
        <f aca="false">IF(M419&gt;0,D419*(E419+2*SLABOVH)*SLAB,0)</f>
        <v>12.9999682935427</v>
      </c>
      <c r="Y419" s="27" t="n">
        <f aca="false">IF(M419&gt;0,D419*PI()*E419^2/4,0)</f>
        <v>20.1060336094015</v>
      </c>
      <c r="Z419" s="27" t="n">
        <f aca="false">IF(H419-E419&gt;=GWL,99,E419*(MAX(0,GWL-H419)*(GAM_S-GAM_W)+MAX(0,NG-MAX(H419,GWL))*GAM_D)/(GAM_W*PI()*E419^2/4))</f>
        <v>0.0438089159767616</v>
      </c>
      <c r="AA419" s="27" t="n">
        <f aca="false">IF(I419-E419&gt;=GWL,99,E419*(MAX(0,GWL-I419)*(GAM_S-GAM_W)+MAX(0,NG-MAX(I419,GWL))*GAM_D)/(GAM_W*PI()*E419^2/4))</f>
        <v>0.0438089159767616</v>
      </c>
      <c r="AB419" s="27" t="n">
        <f aca="false">IF(H419-E419&gt;=GWL,99,E419*(MAX(0,GWL-H419)*(GAM_S-GAM_W)+MAX(0,FL-MAX(H419,GWL))*GAM_D)/(GAM_W*PI()*E419^2/4))</f>
        <v>2.52605181125112</v>
      </c>
      <c r="AC419" s="27" t="n">
        <f aca="false">IF(I419-E419&gt;=GWL,99,E419*(MAX(0,GWL-I419)*(GAM_S-GAM_W)+MAX(0,FL-MAX(I419,GWL))*GAM_D)/(GAM_W*PI()*E419^2/4))</f>
        <v>2.52605181125112</v>
      </c>
    </row>
    <row r="420" customFormat="false" ht="15" hidden="false" customHeight="false" outlineLevel="0" collapsed="false">
      <c r="A420" s="25" t="s">
        <v>873</v>
      </c>
      <c r="B420" s="25" t="s">
        <v>906</v>
      </c>
      <c r="C420" s="25" t="s">
        <v>918</v>
      </c>
      <c r="D420" s="26" t="n">
        <v>6.40000000005563</v>
      </c>
      <c r="E420" s="26" t="n">
        <v>1.59999365871706</v>
      </c>
      <c r="F420" s="26" t="n">
        <v>-2.82999682935853</v>
      </c>
      <c r="G420" s="26" t="n">
        <v>-2.82999682935853</v>
      </c>
      <c r="H420" s="26" t="n">
        <v>-0.730003170641471</v>
      </c>
      <c r="I420" s="26" t="n">
        <v>-0.730003170641471</v>
      </c>
      <c r="J420" s="26" t="n">
        <v>8.39</v>
      </c>
      <c r="K420" s="27" t="n">
        <f aca="false">MIN(F420,G420)</f>
        <v>-2.82999682935853</v>
      </c>
      <c r="L420" s="27" t="n">
        <f aca="false">AVERAGE(F420,G420)</f>
        <v>-2.82999682935853</v>
      </c>
      <c r="M420" s="27" t="n">
        <f aca="false">MAX(0,NG-L420)</f>
        <v>2.12999682935853</v>
      </c>
      <c r="N420" s="27" t="n">
        <f aca="false">MAX(0,GWL-K420)</f>
        <v>1.32999682935853</v>
      </c>
      <c r="O420" s="27" t="n">
        <f aca="false">MAX(0,NG-MAX(K420,GWL))</f>
        <v>0.8</v>
      </c>
      <c r="P420" s="27" t="n">
        <f aca="false">E420/2+WS+SLOPE_A*O420+SLOPE_B*N420</f>
        <v>5.65999048807559</v>
      </c>
      <c r="Q420" s="28" t="str">
        <f aca="false">IF(AND(P420&lt;J420,N420&lt;=MAXOC),"Open cut","Shoring")</f>
        <v>Open cut</v>
      </c>
      <c r="R420" s="27" t="n">
        <f aca="false">IF(Q420="Shoring",D420,0)</f>
        <v>0</v>
      </c>
      <c r="S420" s="27" t="n">
        <f aca="false">MAX(0,GWL-L420)</f>
        <v>1.32999682935853</v>
      </c>
      <c r="T420" s="27" t="n">
        <f aca="false">MAX(0,NG-MAX(L420,GWL))</f>
        <v>0.8</v>
      </c>
      <c r="U420" s="27" t="n">
        <f aca="false">E420+2*WS</f>
        <v>3.59999365871706</v>
      </c>
      <c r="V420" s="27" t="n">
        <f aca="false">IF(Q420="Shoring",D420*M420*U420,0)</f>
        <v>0</v>
      </c>
      <c r="W420" s="27" t="n">
        <f aca="false">IF(Q420="Open cut",D420*(U420*M420+SLOPE_B*S420^2+2*SLOPE_B*S420*T420+SLOPE_A*T420^2),0)</f>
        <v>105.099187616484</v>
      </c>
      <c r="X420" s="27" t="n">
        <f aca="false">IF(M420&gt;0,D420*(E420+2*SLABOVH)*SLAB,0)</f>
        <v>8.31997970796691</v>
      </c>
      <c r="Y420" s="27" t="n">
        <f aca="false">IF(M420&gt;0,D420*PI()*E420^2/4,0)</f>
        <v>12.8678615101709</v>
      </c>
      <c r="Z420" s="27" t="n">
        <f aca="false">IF(H420-E420&gt;=GWL,99,E420*(MAX(0,GWL-H420)*(GAM_S-GAM_W)+MAX(0,NG-MAX(H420,GWL))*GAM_D)/(GAM_W*PI()*E420^2/4))</f>
        <v>0.0438089159767616</v>
      </c>
      <c r="AA420" s="27" t="n">
        <f aca="false">IF(I420-E420&gt;=GWL,99,E420*(MAX(0,GWL-I420)*(GAM_S-GAM_W)+MAX(0,NG-MAX(I420,GWL))*GAM_D)/(GAM_W*PI()*E420^2/4))</f>
        <v>0.0438089159767616</v>
      </c>
      <c r="AB420" s="27" t="n">
        <f aca="false">IF(H420-E420&gt;=GWL,99,E420*(MAX(0,GWL-H420)*(GAM_S-GAM_W)+MAX(0,FL-MAX(H420,GWL))*GAM_D)/(GAM_W*PI()*E420^2/4))</f>
        <v>2.52605181125112</v>
      </c>
      <c r="AC420" s="27" t="n">
        <f aca="false">IF(I420-E420&gt;=GWL,99,E420*(MAX(0,GWL-I420)*(GAM_S-GAM_W)+MAX(0,FL-MAX(I420,GWL))*GAM_D)/(GAM_W*PI()*E420^2/4))</f>
        <v>2.52605181125112</v>
      </c>
    </row>
    <row r="421" customFormat="false" ht="15" hidden="false" customHeight="false" outlineLevel="0" collapsed="false">
      <c r="A421" s="25" t="s">
        <v>873</v>
      </c>
      <c r="B421" s="25" t="s">
        <v>919</v>
      </c>
      <c r="C421" s="25" t="s">
        <v>920</v>
      </c>
      <c r="D421" s="26" t="n">
        <v>3.60000000003297</v>
      </c>
      <c r="E421" s="26" t="n">
        <v>1.59999365871706</v>
      </c>
      <c r="F421" s="26" t="n">
        <v>-2.82999682935853</v>
      </c>
      <c r="G421" s="26" t="n">
        <v>-2.82999682935853</v>
      </c>
      <c r="H421" s="26" t="n">
        <v>-0.730003170641471</v>
      </c>
      <c r="I421" s="26" t="n">
        <v>-0.730003170641471</v>
      </c>
      <c r="J421" s="26" t="n">
        <v>9.83</v>
      </c>
      <c r="K421" s="27" t="n">
        <f aca="false">MIN(F421,G421)</f>
        <v>-2.82999682935853</v>
      </c>
      <c r="L421" s="27" t="n">
        <f aca="false">AVERAGE(F421,G421)</f>
        <v>-2.82999682935853</v>
      </c>
      <c r="M421" s="27" t="n">
        <f aca="false">MAX(0,NG-L421)</f>
        <v>2.12999682935853</v>
      </c>
      <c r="N421" s="27" t="n">
        <f aca="false">MAX(0,GWL-K421)</f>
        <v>1.32999682935853</v>
      </c>
      <c r="O421" s="27" t="n">
        <f aca="false">MAX(0,NG-MAX(K421,GWL))</f>
        <v>0.8</v>
      </c>
      <c r="P421" s="27" t="n">
        <f aca="false">E421/2+WS+SLOPE_A*O421+SLOPE_B*N421</f>
        <v>5.65999048807559</v>
      </c>
      <c r="Q421" s="28" t="str">
        <f aca="false">IF(AND(P421&lt;J421,N421&lt;=MAXOC),"Open cut","Shoring")</f>
        <v>Open cut</v>
      </c>
      <c r="R421" s="27" t="n">
        <f aca="false">IF(Q421="Shoring",D421,0)</f>
        <v>0</v>
      </c>
      <c r="S421" s="27" t="n">
        <f aca="false">MAX(0,GWL-L421)</f>
        <v>1.32999682935853</v>
      </c>
      <c r="T421" s="27" t="n">
        <f aca="false">MAX(0,NG-MAX(L421,GWL))</f>
        <v>0.8</v>
      </c>
      <c r="U421" s="27" t="n">
        <f aca="false">E421+2*WS</f>
        <v>3.59999365871706</v>
      </c>
      <c r="V421" s="27" t="n">
        <f aca="false">IF(Q421="Shoring",D421*M421*U421,0)</f>
        <v>0</v>
      </c>
      <c r="W421" s="27" t="n">
        <f aca="false">IF(Q421="Open cut",D421*(U421*M421+SLOPE_B*S421^2+2*SLOPE_B*S421*T421+SLOPE_A*T421^2),0)</f>
        <v>59.1182930342999</v>
      </c>
      <c r="X421" s="27" t="n">
        <f aca="false">IF(M421&gt;0,D421*(E421+2*SLABOVH)*SLAB,0)</f>
        <v>4.67998858573356</v>
      </c>
      <c r="Y421" s="27" t="n">
        <f aca="false">IF(M421&gt;0,D421*PI()*E421^2/4,0)</f>
        <v>7.23817209947451</v>
      </c>
      <c r="Z421" s="27" t="n">
        <f aca="false">IF(H421-E421&gt;=GWL,99,E421*(MAX(0,GWL-H421)*(GAM_S-GAM_W)+MAX(0,NG-MAX(H421,GWL))*GAM_D)/(GAM_W*PI()*E421^2/4))</f>
        <v>0.0438089159767616</v>
      </c>
      <c r="AA421" s="27" t="n">
        <f aca="false">IF(I421-E421&gt;=GWL,99,E421*(MAX(0,GWL-I421)*(GAM_S-GAM_W)+MAX(0,NG-MAX(I421,GWL))*GAM_D)/(GAM_W*PI()*E421^2/4))</f>
        <v>0.0438089159767616</v>
      </c>
      <c r="AB421" s="27" t="n">
        <f aca="false">IF(H421-E421&gt;=GWL,99,E421*(MAX(0,GWL-H421)*(GAM_S-GAM_W)+MAX(0,FL-MAX(H421,GWL))*GAM_D)/(GAM_W*PI()*E421^2/4))</f>
        <v>2.52605181125112</v>
      </c>
      <c r="AC421" s="27" t="n">
        <f aca="false">IF(I421-E421&gt;=GWL,99,E421*(MAX(0,GWL-I421)*(GAM_S-GAM_W)+MAX(0,FL-MAX(I421,GWL))*GAM_D)/(GAM_W*PI()*E421^2/4))</f>
        <v>2.52605181125112</v>
      </c>
    </row>
    <row r="422" customFormat="false" ht="15" hidden="false" customHeight="false" outlineLevel="0" collapsed="false">
      <c r="A422" s="25" t="s">
        <v>873</v>
      </c>
      <c r="B422" s="25" t="s">
        <v>919</v>
      </c>
      <c r="C422" s="25" t="s">
        <v>921</v>
      </c>
      <c r="D422" s="26" t="n">
        <v>9.30851676358028</v>
      </c>
      <c r="E422" s="26" t="n">
        <v>1.59999365871706</v>
      </c>
      <c r="F422" s="26" t="n">
        <v>-2.82999682935853</v>
      </c>
      <c r="G422" s="26" t="n">
        <v>-2.82999682935853</v>
      </c>
      <c r="H422" s="26" t="n">
        <v>-0.730003170641471</v>
      </c>
      <c r="I422" s="26" t="n">
        <v>-0.730003170641471</v>
      </c>
      <c r="J422" s="26" t="n">
        <v>11.07</v>
      </c>
      <c r="K422" s="27" t="n">
        <f aca="false">MIN(F422,G422)</f>
        <v>-2.82999682935853</v>
      </c>
      <c r="L422" s="27" t="n">
        <f aca="false">AVERAGE(F422,G422)</f>
        <v>-2.82999682935853</v>
      </c>
      <c r="M422" s="27" t="n">
        <f aca="false">MAX(0,NG-L422)</f>
        <v>2.12999682935853</v>
      </c>
      <c r="N422" s="27" t="n">
        <f aca="false">MAX(0,GWL-K422)</f>
        <v>1.32999682935853</v>
      </c>
      <c r="O422" s="27" t="n">
        <f aca="false">MAX(0,NG-MAX(K422,GWL))</f>
        <v>0.8</v>
      </c>
      <c r="P422" s="27" t="n">
        <f aca="false">E422/2+WS+SLOPE_A*O422+SLOPE_B*N422</f>
        <v>5.65999048807559</v>
      </c>
      <c r="Q422" s="28" t="str">
        <f aca="false">IF(AND(P422&lt;J422,N422&lt;=MAXOC),"Open cut","Shoring")</f>
        <v>Open cut</v>
      </c>
      <c r="R422" s="27" t="n">
        <f aca="false">IF(Q422="Shoring",D422,0)</f>
        <v>0</v>
      </c>
      <c r="S422" s="27" t="n">
        <f aca="false">MAX(0,GWL-L422)</f>
        <v>1.32999682935853</v>
      </c>
      <c r="T422" s="27" t="n">
        <f aca="false">MAX(0,NG-MAX(L422,GWL))</f>
        <v>0.8</v>
      </c>
      <c r="U422" s="27" t="n">
        <f aca="false">E422+2*WS</f>
        <v>3.59999365871706</v>
      </c>
      <c r="V422" s="27" t="n">
        <f aca="false">IF(Q422="Shoring",D422*M422*U422,0)</f>
        <v>0</v>
      </c>
      <c r="W422" s="27" t="n">
        <f aca="false">IF(Q422="Open cut",D422*(U422*M422+SLOPE_B*S422^2+2*SLOPE_B*S422*T422+SLOPE_A*T422^2),0)</f>
        <v>152.86211714972</v>
      </c>
      <c r="X422" s="27" t="n">
        <f aca="false">IF(M422&gt;0,D422*(E422+2*SLABOVH)*SLAB,0)</f>
        <v>12.1010422786851</v>
      </c>
      <c r="Y422" s="27" t="n">
        <f aca="false">IF(M422&gt;0,D422*PI()*E422^2/4,0)</f>
        <v>18.7157350902835</v>
      </c>
      <c r="Z422" s="27" t="n">
        <f aca="false">IF(H422-E422&gt;=GWL,99,E422*(MAX(0,GWL-H422)*(GAM_S-GAM_W)+MAX(0,NG-MAX(H422,GWL))*GAM_D)/(GAM_W*PI()*E422^2/4))</f>
        <v>0.0438089159767616</v>
      </c>
      <c r="AA422" s="27" t="n">
        <f aca="false">IF(I422-E422&gt;=GWL,99,E422*(MAX(0,GWL-I422)*(GAM_S-GAM_W)+MAX(0,NG-MAX(I422,GWL))*GAM_D)/(GAM_W*PI()*E422^2/4))</f>
        <v>0.0438089159767616</v>
      </c>
      <c r="AB422" s="27" t="n">
        <f aca="false">IF(H422-E422&gt;=GWL,99,E422*(MAX(0,GWL-H422)*(GAM_S-GAM_W)+MAX(0,FL-MAX(H422,GWL))*GAM_D)/(GAM_W*PI()*E422^2/4))</f>
        <v>2.52605181125112</v>
      </c>
      <c r="AC422" s="27" t="n">
        <f aca="false">IF(I422-E422&gt;=GWL,99,E422*(MAX(0,GWL-I422)*(GAM_S-GAM_W)+MAX(0,FL-MAX(I422,GWL))*GAM_D)/(GAM_W*PI()*E422^2/4))</f>
        <v>2.52605181125112</v>
      </c>
    </row>
    <row r="423" customFormat="false" ht="15" hidden="false" customHeight="false" outlineLevel="0" collapsed="false">
      <c r="A423" s="25" t="s">
        <v>873</v>
      </c>
      <c r="B423" s="25" t="s">
        <v>919</v>
      </c>
      <c r="C423" s="25" t="s">
        <v>922</v>
      </c>
      <c r="D423" s="26" t="n">
        <v>0.69148323647065</v>
      </c>
      <c r="E423" s="26" t="n">
        <v>1.6000039130148</v>
      </c>
      <c r="F423" s="26" t="n">
        <v>-2.8300019565074</v>
      </c>
      <c r="G423" s="26" t="n">
        <v>-2.8300019565074</v>
      </c>
      <c r="H423" s="26" t="n">
        <v>-0.729998043492602</v>
      </c>
      <c r="I423" s="26" t="n">
        <v>-0.729998043492602</v>
      </c>
      <c r="J423" s="26" t="n">
        <v>15.49</v>
      </c>
      <c r="K423" s="27" t="n">
        <f aca="false">MIN(F423,G423)</f>
        <v>-2.8300019565074</v>
      </c>
      <c r="L423" s="27" t="n">
        <f aca="false">AVERAGE(F423,G423)</f>
        <v>-2.8300019565074</v>
      </c>
      <c r="M423" s="27" t="n">
        <f aca="false">MAX(0,NG-L423)</f>
        <v>2.1300019565074</v>
      </c>
      <c r="N423" s="27" t="n">
        <f aca="false">MAX(0,GWL-K423)</f>
        <v>1.3300019565074</v>
      </c>
      <c r="O423" s="27" t="n">
        <f aca="false">MAX(0,NG-MAX(K423,GWL))</f>
        <v>0.8</v>
      </c>
      <c r="P423" s="27" t="n">
        <f aca="false">E423/2+WS+SLOPE_A*O423+SLOPE_B*N423</f>
        <v>5.6600058695222</v>
      </c>
      <c r="Q423" s="28" t="str">
        <f aca="false">IF(AND(P423&lt;J423,N423&lt;=MAXOC),"Open cut","Shoring")</f>
        <v>Open cut</v>
      </c>
      <c r="R423" s="27" t="n">
        <f aca="false">IF(Q423="Shoring",D423,0)</f>
        <v>0</v>
      </c>
      <c r="S423" s="27" t="n">
        <f aca="false">MAX(0,GWL-L423)</f>
        <v>1.3300019565074</v>
      </c>
      <c r="T423" s="27" t="n">
        <f aca="false">MAX(0,NG-MAX(L423,GWL))</f>
        <v>0.8</v>
      </c>
      <c r="U423" s="27" t="n">
        <f aca="false">E423+2*WS</f>
        <v>3.6000039130148</v>
      </c>
      <c r="V423" s="27" t="n">
        <f aca="false">IF(Q423="Shoring",D423*M423*U423,0)</f>
        <v>0</v>
      </c>
      <c r="W423" s="27" t="n">
        <f aca="false">IF(Q423="Open cut",D423*(U423*M423+SLOPE_B*S423^2+2*SLOPE_B*S423*T423+SLOPE_A*T423^2),0)</f>
        <v>11.3554215730564</v>
      </c>
      <c r="X423" s="27" t="n">
        <f aca="false">IF(M423&gt;0,D423*(E423+2*SLABOVH)*SLAB,0)</f>
        <v>0.898929560303913</v>
      </c>
      <c r="Y423" s="27" t="n">
        <f aca="false">IF(M423&gt;0,D423*PI()*E423^2/4,0)</f>
        <v>1.39031634008265</v>
      </c>
      <c r="Z423" s="27" t="n">
        <f aca="false">IF(H423-E423&gt;=GWL,99,E423*(MAX(0,GWL-H423)*(GAM_S-GAM_W)+MAX(0,NG-MAX(H423,GWL))*GAM_D)/(GAM_W*PI()*E423^2/4))</f>
        <v>0.0438011488869724</v>
      </c>
      <c r="AA423" s="27" t="n">
        <f aca="false">IF(I423-E423&gt;=GWL,99,E423*(MAX(0,GWL-I423)*(GAM_S-GAM_W)+MAX(0,NG-MAX(I423,GWL))*GAM_D)/(GAM_W*PI()*E423^2/4))</f>
        <v>0.0438011488869724</v>
      </c>
      <c r="AB423" s="27" t="n">
        <f aca="false">IF(H423-E423&gt;=GWL,99,E423*(MAX(0,GWL-H423)*(GAM_S-GAM_W)+MAX(0,FL-MAX(H423,GWL))*GAM_D)/(GAM_W*PI()*E423^2/4))</f>
        <v>2.52602813566418</v>
      </c>
      <c r="AC423" s="27" t="n">
        <f aca="false">IF(I423-E423&gt;=GWL,99,E423*(MAX(0,GWL-I423)*(GAM_S-GAM_W)+MAX(0,FL-MAX(I423,GWL))*GAM_D)/(GAM_W*PI()*E423^2/4))</f>
        <v>2.52602813566418</v>
      </c>
    </row>
    <row r="424" customFormat="false" ht="15" hidden="false" customHeight="false" outlineLevel="0" collapsed="false">
      <c r="A424" s="25" t="s">
        <v>873</v>
      </c>
      <c r="B424" s="25" t="s">
        <v>919</v>
      </c>
      <c r="C424" s="25" t="s">
        <v>923</v>
      </c>
      <c r="D424" s="26" t="n">
        <v>0.283526763520151</v>
      </c>
      <c r="E424" s="26" t="n">
        <v>1.6000039130148</v>
      </c>
      <c r="F424" s="26" t="n">
        <v>-2.8300019565074</v>
      </c>
      <c r="G424" s="26" t="n">
        <v>-2.8300019565074</v>
      </c>
      <c r="H424" s="26" t="n">
        <v>-0.729998043492602</v>
      </c>
      <c r="I424" s="26" t="n">
        <v>-0.729998043492602</v>
      </c>
      <c r="J424" s="26" t="n">
        <v>15.88</v>
      </c>
      <c r="K424" s="27" t="n">
        <f aca="false">MIN(F424,G424)</f>
        <v>-2.8300019565074</v>
      </c>
      <c r="L424" s="27" t="n">
        <f aca="false">AVERAGE(F424,G424)</f>
        <v>-2.8300019565074</v>
      </c>
      <c r="M424" s="27" t="n">
        <f aca="false">MAX(0,NG-L424)</f>
        <v>2.1300019565074</v>
      </c>
      <c r="N424" s="27" t="n">
        <f aca="false">MAX(0,GWL-K424)</f>
        <v>1.3300019565074</v>
      </c>
      <c r="O424" s="27" t="n">
        <f aca="false">MAX(0,NG-MAX(K424,GWL))</f>
        <v>0.8</v>
      </c>
      <c r="P424" s="27" t="n">
        <f aca="false">E424/2+WS+SLOPE_A*O424+SLOPE_B*N424</f>
        <v>5.6600058695222</v>
      </c>
      <c r="Q424" s="28" t="str">
        <f aca="false">IF(AND(P424&lt;J424,N424&lt;=MAXOC),"Open cut","Shoring")</f>
        <v>Open cut</v>
      </c>
      <c r="R424" s="27" t="n">
        <f aca="false">IF(Q424="Shoring",D424,0)</f>
        <v>0</v>
      </c>
      <c r="S424" s="27" t="n">
        <f aca="false">MAX(0,GWL-L424)</f>
        <v>1.3300019565074</v>
      </c>
      <c r="T424" s="27" t="n">
        <f aca="false">MAX(0,NG-MAX(L424,GWL))</f>
        <v>0.8</v>
      </c>
      <c r="U424" s="27" t="n">
        <f aca="false">E424+2*WS</f>
        <v>3.6000039130148</v>
      </c>
      <c r="V424" s="27" t="n">
        <f aca="false">IF(Q424="Shoring",D424*M424*U424,0)</f>
        <v>0</v>
      </c>
      <c r="W424" s="27" t="n">
        <f aca="false">IF(Q424="Open cut",D424*(U424*M424+SLOPE_B*S424^2+2*SLOPE_B*S424*T424+SLOPE_A*T424^2),0)</f>
        <v>4.65602889152936</v>
      </c>
      <c r="X424" s="27" t="n">
        <f aca="false">IF(M424&gt;0,D424*(E424+2*SLABOVH)*SLAB,0)</f>
        <v>0.368585347298406</v>
      </c>
      <c r="Y424" s="27" t="n">
        <f aca="false">IF(M424&gt;0,D424*PI()*E424^2/4,0)</f>
        <v>0.570067170658801</v>
      </c>
      <c r="Z424" s="27" t="n">
        <f aca="false">IF(H424-E424&gt;=GWL,99,E424*(MAX(0,GWL-H424)*(GAM_S-GAM_W)+MAX(0,NG-MAX(H424,GWL))*GAM_D)/(GAM_W*PI()*E424^2/4))</f>
        <v>0.0438011488869724</v>
      </c>
      <c r="AA424" s="27" t="n">
        <f aca="false">IF(I424-E424&gt;=GWL,99,E424*(MAX(0,GWL-I424)*(GAM_S-GAM_W)+MAX(0,NG-MAX(I424,GWL))*GAM_D)/(GAM_W*PI()*E424^2/4))</f>
        <v>0.0438011488869724</v>
      </c>
      <c r="AB424" s="27" t="n">
        <f aca="false">IF(H424-E424&gt;=GWL,99,E424*(MAX(0,GWL-H424)*(GAM_S-GAM_W)+MAX(0,FL-MAX(H424,GWL))*GAM_D)/(GAM_W*PI()*E424^2/4))</f>
        <v>2.52602813566418</v>
      </c>
      <c r="AC424" s="27" t="n">
        <f aca="false">IF(I424-E424&gt;=GWL,99,E424*(MAX(0,GWL-I424)*(GAM_S-GAM_W)+MAX(0,FL-MAX(I424,GWL))*GAM_D)/(GAM_W*PI()*E424^2/4))</f>
        <v>2.52602813566418</v>
      </c>
    </row>
    <row r="425" customFormat="false" ht="15" hidden="false" customHeight="false" outlineLevel="0" collapsed="false">
      <c r="A425" s="25" t="s">
        <v>873</v>
      </c>
      <c r="B425" s="25" t="s">
        <v>919</v>
      </c>
      <c r="C425" s="25" t="s">
        <v>924</v>
      </c>
      <c r="D425" s="26" t="n">
        <v>0.97498870171675</v>
      </c>
      <c r="E425" s="26" t="n">
        <v>1.59999958039328</v>
      </c>
      <c r="F425" s="26" t="n">
        <v>-2.82999979019664</v>
      </c>
      <c r="G425" s="26" t="n">
        <v>-2.82999979019664</v>
      </c>
      <c r="H425" s="26" t="n">
        <v>-0.73000020980336</v>
      </c>
      <c r="I425" s="26" t="n">
        <v>-0.73000020980336</v>
      </c>
      <c r="J425" s="26" t="n">
        <v>15.88</v>
      </c>
      <c r="K425" s="27" t="n">
        <f aca="false">MIN(F425,G425)</f>
        <v>-2.82999979019664</v>
      </c>
      <c r="L425" s="27" t="n">
        <f aca="false">AVERAGE(F425,G425)</f>
        <v>-2.82999979019664</v>
      </c>
      <c r="M425" s="27" t="n">
        <f aca="false">MAX(0,NG-L425)</f>
        <v>2.12999979019664</v>
      </c>
      <c r="N425" s="27" t="n">
        <f aca="false">MAX(0,GWL-K425)</f>
        <v>1.32999979019664</v>
      </c>
      <c r="O425" s="27" t="n">
        <f aca="false">MAX(0,NG-MAX(K425,GWL))</f>
        <v>0.8</v>
      </c>
      <c r="P425" s="27" t="n">
        <f aca="false">E425/2+WS+SLOPE_A*O425+SLOPE_B*N425</f>
        <v>5.65999937058992</v>
      </c>
      <c r="Q425" s="28" t="str">
        <f aca="false">IF(AND(P425&lt;J425,N425&lt;=MAXOC),"Open cut","Shoring")</f>
        <v>Open cut</v>
      </c>
      <c r="R425" s="27" t="n">
        <f aca="false">IF(Q425="Shoring",D425,0)</f>
        <v>0</v>
      </c>
      <c r="S425" s="27" t="n">
        <f aca="false">MAX(0,GWL-L425)</f>
        <v>1.32999979019664</v>
      </c>
      <c r="T425" s="27" t="n">
        <f aca="false">MAX(0,NG-MAX(L425,GWL))</f>
        <v>0.8</v>
      </c>
      <c r="U425" s="27" t="n">
        <f aca="false">E425+2*WS</f>
        <v>3.59999958039328</v>
      </c>
      <c r="V425" s="27" t="n">
        <f aca="false">IF(Q425="Shoring",D425*M425*U425,0)</f>
        <v>0</v>
      </c>
      <c r="W425" s="27" t="n">
        <f aca="false">IF(Q425="Open cut",D425*(U425*M425+SLOPE_B*S425^2+2*SLOPE_B*S425*T425+SLOPE_A*T425^2),0)</f>
        <v>16.0110661112266</v>
      </c>
      <c r="X425" s="27" t="n">
        <f aca="false">IF(M425&gt;0,D425*(E425+2*SLABOVH)*SLAB,0)</f>
        <v>1.26748510767587</v>
      </c>
      <c r="Y425" s="27" t="n">
        <f aca="false">IF(M425&gt;0,D425*PI()*E425^2/4,0)</f>
        <v>1.9603300710837</v>
      </c>
      <c r="Z425" s="27" t="n">
        <f aca="false">IF(H425-E425&gt;=GWL,99,E425*(MAX(0,GWL-H425)*(GAM_S-GAM_W)+MAX(0,NG-MAX(H425,GWL))*GAM_D)/(GAM_W*PI()*E425^2/4))</f>
        <v>0.0438044306071493</v>
      </c>
      <c r="AA425" s="27" t="n">
        <f aca="false">IF(I425-E425&gt;=GWL,99,E425*(MAX(0,GWL-I425)*(GAM_S-GAM_W)+MAX(0,NG-MAX(I425,GWL))*GAM_D)/(GAM_W*PI()*E425^2/4))</f>
        <v>0.0438044306071493</v>
      </c>
      <c r="AB425" s="27" t="n">
        <f aca="false">IF(H425-E425&gt;=GWL,99,E425*(MAX(0,GWL-H425)*(GAM_S-GAM_W)+MAX(0,FL-MAX(H425,GWL))*GAM_D)/(GAM_W*PI()*E425^2/4))</f>
        <v>2.5260381389799</v>
      </c>
      <c r="AC425" s="27" t="n">
        <f aca="false">IF(I425-E425&gt;=GWL,99,E425*(MAX(0,GWL-I425)*(GAM_S-GAM_W)+MAX(0,FL-MAX(I425,GWL))*GAM_D)/(GAM_W*PI()*E425^2/4))</f>
        <v>2.5260381389799</v>
      </c>
    </row>
    <row r="426" customFormat="false" ht="15" hidden="false" customHeight="false" outlineLevel="0" collapsed="false">
      <c r="A426" s="25" t="s">
        <v>873</v>
      </c>
      <c r="B426" s="25" t="s">
        <v>919</v>
      </c>
      <c r="C426" s="25" t="s">
        <v>925</v>
      </c>
      <c r="D426" s="26" t="n">
        <v>0.241484534421542</v>
      </c>
      <c r="E426" s="26" t="n">
        <v>1.59999174806695</v>
      </c>
      <c r="F426" s="26" t="n">
        <v>-2.82999587403348</v>
      </c>
      <c r="G426" s="26" t="n">
        <v>-2.82999587403348</v>
      </c>
      <c r="H426" s="26" t="n">
        <v>-0.730004125966524</v>
      </c>
      <c r="I426" s="26" t="n">
        <v>-0.730004125966524</v>
      </c>
      <c r="J426" s="26" t="n">
        <v>15.84</v>
      </c>
      <c r="K426" s="27" t="n">
        <f aca="false">MIN(F426,G426)</f>
        <v>-2.82999587403348</v>
      </c>
      <c r="L426" s="27" t="n">
        <f aca="false">AVERAGE(F426,G426)</f>
        <v>-2.82999587403348</v>
      </c>
      <c r="M426" s="27" t="n">
        <f aca="false">MAX(0,NG-L426)</f>
        <v>2.12999587403348</v>
      </c>
      <c r="N426" s="27" t="n">
        <f aca="false">MAX(0,GWL-K426)</f>
        <v>1.32999587403348</v>
      </c>
      <c r="O426" s="27" t="n">
        <f aca="false">MAX(0,NG-MAX(K426,GWL))</f>
        <v>0.8</v>
      </c>
      <c r="P426" s="27" t="n">
        <f aca="false">E426/2+WS+SLOPE_A*O426+SLOPE_B*N426</f>
        <v>5.65998762210043</v>
      </c>
      <c r="Q426" s="28" t="str">
        <f aca="false">IF(AND(P426&lt;J426,N426&lt;=MAXOC),"Open cut","Shoring")</f>
        <v>Open cut</v>
      </c>
      <c r="R426" s="27" t="n">
        <f aca="false">IF(Q426="Shoring",D426,0)</f>
        <v>0</v>
      </c>
      <c r="S426" s="27" t="n">
        <f aca="false">MAX(0,GWL-L426)</f>
        <v>1.32999587403348</v>
      </c>
      <c r="T426" s="27" t="n">
        <f aca="false">MAX(0,NG-MAX(L426,GWL))</f>
        <v>0.8</v>
      </c>
      <c r="U426" s="27" t="n">
        <f aca="false">E426+2*WS</f>
        <v>3.59999174806695</v>
      </c>
      <c r="V426" s="27" t="n">
        <f aca="false">IF(Q426="Shoring",D426*M426*U426,0)</f>
        <v>0</v>
      </c>
      <c r="W426" s="27" t="n">
        <f aca="false">IF(Q426="Open cut",D426*(U426*M426+SLOPE_B*S426^2+2*SLOPE_B*S426*T426+SLOPE_A*T426^2),0)</f>
        <v>3.96559440705073</v>
      </c>
      <c r="X426" s="27" t="n">
        <f aca="false">IF(M426&gt;0,D426*(E426+2*SLABOVH)*SLAB,0)</f>
        <v>0.313928898390899</v>
      </c>
      <c r="Y426" s="27" t="n">
        <f aca="false">IF(M426&gt;0,D426*PI()*E426^2/4,0)</f>
        <v>0.485528456924187</v>
      </c>
      <c r="Z426" s="27" t="n">
        <f aca="false">IF(H426-E426&gt;=GWL,99,E426*(MAX(0,GWL-H426)*(GAM_S-GAM_W)+MAX(0,NG-MAX(H426,GWL))*GAM_D)/(GAM_W*PI()*E426^2/4))</f>
        <v>0.0438103632044653</v>
      </c>
      <c r="AA426" s="27" t="n">
        <f aca="false">IF(I426-E426&gt;=GWL,99,E426*(MAX(0,GWL-I426)*(GAM_S-GAM_W)+MAX(0,NG-MAX(I426,GWL))*GAM_D)/(GAM_W*PI()*E426^2/4))</f>
        <v>0.0438103632044653</v>
      </c>
      <c r="AB426" s="27" t="n">
        <f aca="false">IF(H426-E426&gt;=GWL,99,E426*(MAX(0,GWL-H426)*(GAM_S-GAM_W)+MAX(0,FL-MAX(H426,GWL))*GAM_D)/(GAM_W*PI()*E426^2/4))</f>
        <v>2.52605622268015</v>
      </c>
      <c r="AC426" s="27" t="n">
        <f aca="false">IF(I426-E426&gt;=GWL,99,E426*(MAX(0,GWL-I426)*(GAM_S-GAM_W)+MAX(0,FL-MAX(I426,GWL))*GAM_D)/(GAM_W*PI()*E426^2/4))</f>
        <v>2.52605622268015</v>
      </c>
    </row>
    <row r="427" customFormat="false" ht="15" hidden="false" customHeight="false" outlineLevel="0" collapsed="false">
      <c r="A427" s="25" t="s">
        <v>873</v>
      </c>
      <c r="B427" s="25" t="s">
        <v>926</v>
      </c>
      <c r="C427" s="25" t="s">
        <v>927</v>
      </c>
      <c r="D427" s="26" t="n">
        <v>8.50000000042522</v>
      </c>
      <c r="E427" s="26" t="n">
        <v>1.59999174806695</v>
      </c>
      <c r="F427" s="26" t="n">
        <v>-2.82999587403348</v>
      </c>
      <c r="G427" s="26" t="n">
        <v>-2.82999587403348</v>
      </c>
      <c r="H427" s="26" t="n">
        <v>-0.730004125966524</v>
      </c>
      <c r="I427" s="26" t="n">
        <v>-0.730004125966524</v>
      </c>
      <c r="J427" s="26" t="n">
        <v>15.32</v>
      </c>
      <c r="K427" s="27" t="n">
        <f aca="false">MIN(F427,G427)</f>
        <v>-2.82999587403348</v>
      </c>
      <c r="L427" s="27" t="n">
        <f aca="false">AVERAGE(F427,G427)</f>
        <v>-2.82999587403348</v>
      </c>
      <c r="M427" s="27" t="n">
        <f aca="false">MAX(0,NG-L427)</f>
        <v>2.12999587403348</v>
      </c>
      <c r="N427" s="27" t="n">
        <f aca="false">MAX(0,GWL-K427)</f>
        <v>1.32999587403348</v>
      </c>
      <c r="O427" s="27" t="n">
        <f aca="false">MAX(0,NG-MAX(K427,GWL))</f>
        <v>0.8</v>
      </c>
      <c r="P427" s="27" t="n">
        <f aca="false">E427/2+WS+SLOPE_A*O427+SLOPE_B*N427</f>
        <v>5.65998762210043</v>
      </c>
      <c r="Q427" s="28" t="str">
        <f aca="false">IF(AND(P427&lt;J427,N427&lt;=MAXOC),"Open cut","Shoring")</f>
        <v>Open cut</v>
      </c>
      <c r="R427" s="27" t="n">
        <f aca="false">IF(Q427="Shoring",D427,0)</f>
        <v>0</v>
      </c>
      <c r="S427" s="27" t="n">
        <f aca="false">MAX(0,GWL-L427)</f>
        <v>1.32999587403348</v>
      </c>
      <c r="T427" s="27" t="n">
        <f aca="false">MAX(0,NG-MAX(L427,GWL))</f>
        <v>0.8</v>
      </c>
      <c r="U427" s="27" t="n">
        <f aca="false">E427+2*WS</f>
        <v>3.59999174806695</v>
      </c>
      <c r="V427" s="27" t="n">
        <f aca="false">IF(Q427="Shoring",D427*M427*U427,0)</f>
        <v>0</v>
      </c>
      <c r="W427" s="27" t="n">
        <f aca="false">IF(Q427="Open cut",D427*(U427*M427+SLOPE_B*S427^2+2*SLOPE_B*S427*T427+SLOPE_A*T427^2),0)</f>
        <v>139.584725549243</v>
      </c>
      <c r="X427" s="27" t="n">
        <f aca="false">IF(M427&gt;0,D427*(E427+2*SLABOVH)*SLAB,0)</f>
        <v>11.0499649298373</v>
      </c>
      <c r="Y427" s="27" t="n">
        <f aca="false">IF(M427&gt;0,D427*PI()*E427^2/4,0)</f>
        <v>17.0900877521948</v>
      </c>
      <c r="Z427" s="27" t="n">
        <f aca="false">IF(H427-E427&gt;=GWL,99,E427*(MAX(0,GWL-H427)*(GAM_S-GAM_W)+MAX(0,NG-MAX(H427,GWL))*GAM_D)/(GAM_W*PI()*E427^2/4))</f>
        <v>0.0438103632044653</v>
      </c>
      <c r="AA427" s="27" t="n">
        <f aca="false">IF(I427-E427&gt;=GWL,99,E427*(MAX(0,GWL-I427)*(GAM_S-GAM_W)+MAX(0,NG-MAX(I427,GWL))*GAM_D)/(GAM_W*PI()*E427^2/4))</f>
        <v>0.0438103632044653</v>
      </c>
      <c r="AB427" s="27" t="n">
        <f aca="false">IF(H427-E427&gt;=GWL,99,E427*(MAX(0,GWL-H427)*(GAM_S-GAM_W)+MAX(0,FL-MAX(H427,GWL))*GAM_D)/(GAM_W*PI()*E427^2/4))</f>
        <v>2.52605622268015</v>
      </c>
      <c r="AC427" s="27" t="n">
        <f aca="false">IF(I427-E427&gt;=GWL,99,E427*(MAX(0,GWL-I427)*(GAM_S-GAM_W)+MAX(0,FL-MAX(I427,GWL))*GAM_D)/(GAM_W*PI()*E427^2/4))</f>
        <v>2.52605622268015</v>
      </c>
    </row>
    <row r="428" customFormat="false" ht="15" hidden="false" customHeight="false" outlineLevel="0" collapsed="false">
      <c r="A428" s="25" t="s">
        <v>873</v>
      </c>
      <c r="B428" s="25" t="s">
        <v>926</v>
      </c>
      <c r="C428" s="25" t="s">
        <v>928</v>
      </c>
      <c r="D428" s="26" t="n">
        <v>9.99999999935687</v>
      </c>
      <c r="E428" s="26" t="n">
        <v>1.59999174806695</v>
      </c>
      <c r="F428" s="26" t="n">
        <v>-2.82999587403348</v>
      </c>
      <c r="G428" s="26" t="n">
        <v>-2.82999587403348</v>
      </c>
      <c r="H428" s="26" t="n">
        <v>-0.730004125966524</v>
      </c>
      <c r="I428" s="26" t="n">
        <v>-0.730004125966524</v>
      </c>
      <c r="J428" s="26" t="n">
        <v>15.36</v>
      </c>
      <c r="K428" s="27" t="n">
        <f aca="false">MIN(F428,G428)</f>
        <v>-2.82999587403348</v>
      </c>
      <c r="L428" s="27" t="n">
        <f aca="false">AVERAGE(F428,G428)</f>
        <v>-2.82999587403348</v>
      </c>
      <c r="M428" s="27" t="n">
        <f aca="false">MAX(0,NG-L428)</f>
        <v>2.12999587403348</v>
      </c>
      <c r="N428" s="27" t="n">
        <f aca="false">MAX(0,GWL-K428)</f>
        <v>1.32999587403348</v>
      </c>
      <c r="O428" s="27" t="n">
        <f aca="false">MAX(0,NG-MAX(K428,GWL))</f>
        <v>0.8</v>
      </c>
      <c r="P428" s="27" t="n">
        <f aca="false">E428/2+WS+SLOPE_A*O428+SLOPE_B*N428</f>
        <v>5.65998762210043</v>
      </c>
      <c r="Q428" s="28" t="str">
        <f aca="false">IF(AND(P428&lt;J428,N428&lt;=MAXOC),"Open cut","Shoring")</f>
        <v>Open cut</v>
      </c>
      <c r="R428" s="27" t="n">
        <f aca="false">IF(Q428="Shoring",D428,0)</f>
        <v>0</v>
      </c>
      <c r="S428" s="27" t="n">
        <f aca="false">MAX(0,GWL-L428)</f>
        <v>1.32999587403348</v>
      </c>
      <c r="T428" s="27" t="n">
        <f aca="false">MAX(0,NG-MAX(L428,GWL))</f>
        <v>0.8</v>
      </c>
      <c r="U428" s="27" t="n">
        <f aca="false">E428+2*WS</f>
        <v>3.59999174806695</v>
      </c>
      <c r="V428" s="27" t="n">
        <f aca="false">IF(Q428="Shoring",D428*M428*U428,0)</f>
        <v>0</v>
      </c>
      <c r="W428" s="27" t="n">
        <f aca="false">IF(Q428="Open cut",D428*(U428*M428+SLOPE_B*S428^2+2*SLOPE_B*S428*T428+SLOPE_A*T428^2),0)</f>
        <v>164.217324156803</v>
      </c>
      <c r="X428" s="27" t="n">
        <f aca="false">IF(M428&gt;0,D428*(E428+2*SLABOVH)*SLAB,0)</f>
        <v>12.9999587394987</v>
      </c>
      <c r="Y428" s="27" t="n">
        <f aca="false">IF(M428&gt;0,D428*PI()*E428^2/4,0)</f>
        <v>20.1059855885185</v>
      </c>
      <c r="Z428" s="27" t="n">
        <f aca="false">IF(H428-E428&gt;=GWL,99,E428*(MAX(0,GWL-H428)*(GAM_S-GAM_W)+MAX(0,NG-MAX(H428,GWL))*GAM_D)/(GAM_W*PI()*E428^2/4))</f>
        <v>0.0438103632044653</v>
      </c>
      <c r="AA428" s="27" t="n">
        <f aca="false">IF(I428-E428&gt;=GWL,99,E428*(MAX(0,GWL-I428)*(GAM_S-GAM_W)+MAX(0,NG-MAX(I428,GWL))*GAM_D)/(GAM_W*PI()*E428^2/4))</f>
        <v>0.0438103632044653</v>
      </c>
      <c r="AB428" s="27" t="n">
        <f aca="false">IF(H428-E428&gt;=GWL,99,E428*(MAX(0,GWL-H428)*(GAM_S-GAM_W)+MAX(0,FL-MAX(H428,GWL))*GAM_D)/(GAM_W*PI()*E428^2/4))</f>
        <v>2.52605622268015</v>
      </c>
      <c r="AC428" s="27" t="n">
        <f aca="false">IF(I428-E428&gt;=GWL,99,E428*(MAX(0,GWL-I428)*(GAM_S-GAM_W)+MAX(0,FL-MAX(I428,GWL))*GAM_D)/(GAM_W*PI()*E428^2/4))</f>
        <v>2.52605622268015</v>
      </c>
    </row>
    <row r="429" customFormat="false" ht="15" hidden="false" customHeight="false" outlineLevel="0" collapsed="false">
      <c r="A429" s="25" t="s">
        <v>873</v>
      </c>
      <c r="B429" s="25" t="s">
        <v>926</v>
      </c>
      <c r="C429" s="25" t="s">
        <v>929</v>
      </c>
      <c r="D429" s="26" t="n">
        <v>10.0000000005099</v>
      </c>
      <c r="E429" s="26" t="n">
        <v>1.59999174806695</v>
      </c>
      <c r="F429" s="26" t="n">
        <v>-2.82999587403348</v>
      </c>
      <c r="G429" s="26" t="n">
        <v>-2.82999587403348</v>
      </c>
      <c r="H429" s="26" t="n">
        <v>-0.730004125966524</v>
      </c>
      <c r="I429" s="26" t="n">
        <v>-0.730004125966524</v>
      </c>
      <c r="J429" s="26" t="n">
        <v>16.85</v>
      </c>
      <c r="K429" s="27" t="n">
        <f aca="false">MIN(F429,G429)</f>
        <v>-2.82999587403348</v>
      </c>
      <c r="L429" s="27" t="n">
        <f aca="false">AVERAGE(F429,G429)</f>
        <v>-2.82999587403348</v>
      </c>
      <c r="M429" s="27" t="n">
        <f aca="false">MAX(0,NG-L429)</f>
        <v>2.12999587403348</v>
      </c>
      <c r="N429" s="27" t="n">
        <f aca="false">MAX(0,GWL-K429)</f>
        <v>1.32999587403348</v>
      </c>
      <c r="O429" s="27" t="n">
        <f aca="false">MAX(0,NG-MAX(K429,GWL))</f>
        <v>0.8</v>
      </c>
      <c r="P429" s="27" t="n">
        <f aca="false">E429/2+WS+SLOPE_A*O429+SLOPE_B*N429</f>
        <v>5.65998762210043</v>
      </c>
      <c r="Q429" s="28" t="str">
        <f aca="false">IF(AND(P429&lt;J429,N429&lt;=MAXOC),"Open cut","Shoring")</f>
        <v>Open cut</v>
      </c>
      <c r="R429" s="27" t="n">
        <f aca="false">IF(Q429="Shoring",D429,0)</f>
        <v>0</v>
      </c>
      <c r="S429" s="27" t="n">
        <f aca="false">MAX(0,GWL-L429)</f>
        <v>1.32999587403348</v>
      </c>
      <c r="T429" s="27" t="n">
        <f aca="false">MAX(0,NG-MAX(L429,GWL))</f>
        <v>0.8</v>
      </c>
      <c r="U429" s="27" t="n">
        <f aca="false">E429+2*WS</f>
        <v>3.59999174806695</v>
      </c>
      <c r="V429" s="27" t="n">
        <f aca="false">IF(Q429="Shoring",D429*M429*U429,0)</f>
        <v>0</v>
      </c>
      <c r="W429" s="27" t="n">
        <f aca="false">IF(Q429="Open cut",D429*(U429*M429+SLOPE_B*S429^2+2*SLOPE_B*S429*T429+SLOPE_A*T429^2),0)</f>
        <v>164.217324175738</v>
      </c>
      <c r="X429" s="27" t="n">
        <f aca="false">IF(M429&gt;0,D429*(E429+2*SLABOVH)*SLAB,0)</f>
        <v>12.9999587409976</v>
      </c>
      <c r="Y429" s="27" t="n">
        <f aca="false">IF(M429&gt;0,D429*PI()*E429^2/4,0)</f>
        <v>20.1059855908368</v>
      </c>
      <c r="Z429" s="27" t="n">
        <f aca="false">IF(H429-E429&gt;=GWL,99,E429*(MAX(0,GWL-H429)*(GAM_S-GAM_W)+MAX(0,NG-MAX(H429,GWL))*GAM_D)/(GAM_W*PI()*E429^2/4))</f>
        <v>0.0438103632044653</v>
      </c>
      <c r="AA429" s="27" t="n">
        <f aca="false">IF(I429-E429&gt;=GWL,99,E429*(MAX(0,GWL-I429)*(GAM_S-GAM_W)+MAX(0,NG-MAX(I429,GWL))*GAM_D)/(GAM_W*PI()*E429^2/4))</f>
        <v>0.0438103632044653</v>
      </c>
      <c r="AB429" s="27" t="n">
        <f aca="false">IF(H429-E429&gt;=GWL,99,E429*(MAX(0,GWL-H429)*(GAM_S-GAM_W)+MAX(0,FL-MAX(H429,GWL))*GAM_D)/(GAM_W*PI()*E429^2/4))</f>
        <v>2.52605622268015</v>
      </c>
      <c r="AC429" s="27" t="n">
        <f aca="false">IF(I429-E429&gt;=GWL,99,E429*(MAX(0,GWL-I429)*(GAM_S-GAM_W)+MAX(0,FL-MAX(I429,GWL))*GAM_D)/(GAM_W*PI()*E429^2/4))</f>
        <v>2.52605622268015</v>
      </c>
    </row>
    <row r="430" customFormat="false" ht="15" hidden="false" customHeight="false" outlineLevel="0" collapsed="false">
      <c r="A430" s="25" t="s">
        <v>873</v>
      </c>
      <c r="B430" s="25" t="s">
        <v>926</v>
      </c>
      <c r="C430" s="25" t="s">
        <v>930</v>
      </c>
      <c r="D430" s="26" t="n">
        <v>8.23751000883914</v>
      </c>
      <c r="E430" s="26" t="n">
        <v>1.59999174806695</v>
      </c>
      <c r="F430" s="26" t="n">
        <v>-2.82999587403348</v>
      </c>
      <c r="G430" s="26" t="n">
        <v>-2.82999587403348</v>
      </c>
      <c r="H430" s="26" t="n">
        <v>-0.730004125966524</v>
      </c>
      <c r="I430" s="26" t="n">
        <v>-0.730004125966524</v>
      </c>
      <c r="J430" s="26" t="n">
        <v>20.36</v>
      </c>
      <c r="K430" s="27" t="n">
        <f aca="false">MIN(F430,G430)</f>
        <v>-2.82999587403348</v>
      </c>
      <c r="L430" s="27" t="n">
        <f aca="false">AVERAGE(F430,G430)</f>
        <v>-2.82999587403348</v>
      </c>
      <c r="M430" s="27" t="n">
        <f aca="false">MAX(0,NG-L430)</f>
        <v>2.12999587403348</v>
      </c>
      <c r="N430" s="27" t="n">
        <f aca="false">MAX(0,GWL-K430)</f>
        <v>1.32999587403348</v>
      </c>
      <c r="O430" s="27" t="n">
        <f aca="false">MAX(0,NG-MAX(K430,GWL))</f>
        <v>0.8</v>
      </c>
      <c r="P430" s="27" t="n">
        <f aca="false">E430/2+WS+SLOPE_A*O430+SLOPE_B*N430</f>
        <v>5.65998762210043</v>
      </c>
      <c r="Q430" s="28" t="str">
        <f aca="false">IF(AND(P430&lt;J430,N430&lt;=MAXOC),"Open cut","Shoring")</f>
        <v>Open cut</v>
      </c>
      <c r="R430" s="27" t="n">
        <f aca="false">IF(Q430="Shoring",D430,0)</f>
        <v>0</v>
      </c>
      <c r="S430" s="27" t="n">
        <f aca="false">MAX(0,GWL-L430)</f>
        <v>1.32999587403348</v>
      </c>
      <c r="T430" s="27" t="n">
        <f aca="false">MAX(0,NG-MAX(L430,GWL))</f>
        <v>0.8</v>
      </c>
      <c r="U430" s="27" t="n">
        <f aca="false">E430+2*WS</f>
        <v>3.59999174806695</v>
      </c>
      <c r="V430" s="27" t="n">
        <f aca="false">IF(Q430="Shoring",D430*M430*U430,0)</f>
        <v>0</v>
      </c>
      <c r="W430" s="27" t="n">
        <f aca="false">IF(Q430="Open cut",D430*(U430*M430+SLOPE_B*S430^2+2*SLOPE_B*S430*T430+SLOPE_A*T430^2),0)</f>
        <v>135.274185145345</v>
      </c>
      <c r="X430" s="27" t="n">
        <f aca="false">IF(M430&gt;0,D430*(E430+2*SLABOVH)*SLAB,0)</f>
        <v>10.7087290238003</v>
      </c>
      <c r="Y430" s="27" t="n">
        <f aca="false">IF(M430&gt;0,D430*PI()*E430^2/4,0)</f>
        <v>16.5623257533648</v>
      </c>
      <c r="Z430" s="27" t="n">
        <f aca="false">IF(H430-E430&gt;=GWL,99,E430*(MAX(0,GWL-H430)*(GAM_S-GAM_W)+MAX(0,NG-MAX(H430,GWL))*GAM_D)/(GAM_W*PI()*E430^2/4))</f>
        <v>0.0438103632044653</v>
      </c>
      <c r="AA430" s="27" t="n">
        <f aca="false">IF(I430-E430&gt;=GWL,99,E430*(MAX(0,GWL-I430)*(GAM_S-GAM_W)+MAX(0,NG-MAX(I430,GWL))*GAM_D)/(GAM_W*PI()*E430^2/4))</f>
        <v>0.0438103632044653</v>
      </c>
      <c r="AB430" s="27" t="n">
        <f aca="false">IF(H430-E430&gt;=GWL,99,E430*(MAX(0,GWL-H430)*(GAM_S-GAM_W)+MAX(0,FL-MAX(H430,GWL))*GAM_D)/(GAM_W*PI()*E430^2/4))</f>
        <v>2.52605622268015</v>
      </c>
      <c r="AC430" s="27" t="n">
        <f aca="false">IF(I430-E430&gt;=GWL,99,E430*(MAX(0,GWL-I430)*(GAM_S-GAM_W)+MAX(0,FL-MAX(I430,GWL))*GAM_D)/(GAM_W*PI()*E430^2/4))</f>
        <v>2.52605622268015</v>
      </c>
    </row>
    <row r="431" customFormat="false" ht="15" hidden="false" customHeight="false" outlineLevel="0" collapsed="false">
      <c r="A431" s="25" t="s">
        <v>873</v>
      </c>
      <c r="B431" s="25" t="s">
        <v>926</v>
      </c>
      <c r="C431" s="25" t="s">
        <v>931</v>
      </c>
      <c r="D431" s="26" t="n">
        <v>0.205000367454714</v>
      </c>
      <c r="E431" s="26" t="n">
        <v>1.59999174806695</v>
      </c>
      <c r="F431" s="26" t="n">
        <v>-2.82999587403348</v>
      </c>
      <c r="G431" s="26" t="n">
        <v>-2.83006587403348</v>
      </c>
      <c r="H431" s="26" t="n">
        <v>-0.730004125966524</v>
      </c>
      <c r="I431" s="26" t="n">
        <v>-0.730074125966524</v>
      </c>
      <c r="J431" s="26" t="n">
        <v>24.5</v>
      </c>
      <c r="K431" s="27" t="n">
        <f aca="false">MIN(F431,G431)</f>
        <v>-2.83006587403348</v>
      </c>
      <c r="L431" s="27" t="n">
        <f aca="false">AVERAGE(F431,G431)</f>
        <v>-2.83003087403348</v>
      </c>
      <c r="M431" s="27" t="n">
        <f aca="false">MAX(0,NG-L431)</f>
        <v>2.13003087403348</v>
      </c>
      <c r="N431" s="27" t="n">
        <f aca="false">MAX(0,GWL-K431)</f>
        <v>1.33006587403348</v>
      </c>
      <c r="O431" s="27" t="n">
        <f aca="false">MAX(0,NG-MAX(K431,GWL))</f>
        <v>0.8</v>
      </c>
      <c r="P431" s="27" t="n">
        <f aca="false">E431/2+WS+SLOPE_A*O431+SLOPE_B*N431</f>
        <v>5.66012762210043</v>
      </c>
      <c r="Q431" s="28" t="str">
        <f aca="false">IF(AND(P431&lt;J431,N431&lt;=MAXOC),"Open cut","Shoring")</f>
        <v>Open cut</v>
      </c>
      <c r="R431" s="27" t="n">
        <f aca="false">IF(Q431="Shoring",D431,0)</f>
        <v>0</v>
      </c>
      <c r="S431" s="27" t="n">
        <f aca="false">MAX(0,GWL-L431)</f>
        <v>1.33003087403348</v>
      </c>
      <c r="T431" s="27" t="n">
        <f aca="false">MAX(0,NG-MAX(L431,GWL))</f>
        <v>0.8</v>
      </c>
      <c r="U431" s="27" t="n">
        <f aca="false">E431+2*WS</f>
        <v>3.59999174806695</v>
      </c>
      <c r="V431" s="27" t="n">
        <f aca="false">IF(Q431="Shoring",D431*M431*U431,0)</f>
        <v>0</v>
      </c>
      <c r="W431" s="27" t="n">
        <f aca="false">IF(Q431="Open cut",D431*(U431*M431+SLOPE_B*S431^2+2*SLOPE_B*S431*T431+SLOPE_A*T431^2),0)</f>
        <v>3.36654814115446</v>
      </c>
      <c r="X431" s="27" t="n">
        <f aca="false">IF(M431&gt;0,D431*(E431+2*SLABOVH)*SLAB,0)</f>
        <v>0.266499631866475</v>
      </c>
      <c r="Y431" s="27" t="n">
        <f aca="false">IF(M431&gt;0,D431*PI()*E431^2/4,0)</f>
        <v>0.412173443395056</v>
      </c>
      <c r="Z431" s="27" t="n">
        <f aca="false">IF(H431-E431&gt;=GWL,99,E431*(MAX(0,GWL-H431)*(GAM_S-GAM_W)+MAX(0,NG-MAX(H431,GWL))*GAM_D)/(GAM_W*PI()*E431^2/4))</f>
        <v>0.0438103632044653</v>
      </c>
      <c r="AA431" s="27" t="n">
        <f aca="false">IF(I431-E431&gt;=GWL,99,E431*(MAX(0,GWL-I431)*(GAM_S-GAM_W)+MAX(0,NG-MAX(I431,GWL))*GAM_D)/(GAM_W*PI()*E431^2/4))</f>
        <v>0.0439125733280908</v>
      </c>
      <c r="AB431" s="27" t="n">
        <f aca="false">IF(H431-E431&gt;=GWL,99,E431*(MAX(0,GWL-H431)*(GAM_S-GAM_W)+MAX(0,FL-MAX(H431,GWL))*GAM_D)/(GAM_W*PI()*E431^2/4))</f>
        <v>2.52605622268015</v>
      </c>
      <c r="AC431" s="27" t="n">
        <f aca="false">IF(I431-E431&gt;=GWL,99,E431*(MAX(0,GWL-I431)*(GAM_S-GAM_W)+MAX(0,FL-MAX(I431,GWL))*GAM_D)/(GAM_W*PI()*E431^2/4))</f>
        <v>2.52615843280377</v>
      </c>
    </row>
    <row r="432" customFormat="false" ht="15" hidden="false" customHeight="false" outlineLevel="0" collapsed="false">
      <c r="A432" s="25" t="s">
        <v>873</v>
      </c>
      <c r="B432" s="25" t="s">
        <v>926</v>
      </c>
      <c r="C432" s="25" t="s">
        <v>932</v>
      </c>
      <c r="D432" s="26" t="n">
        <v>1.55748962368389</v>
      </c>
      <c r="E432" s="26" t="n">
        <v>1.63339624901858</v>
      </c>
      <c r="F432" s="26" t="n">
        <v>-2.84676812450929</v>
      </c>
      <c r="G432" s="26" t="n">
        <v>-2.84728704033898</v>
      </c>
      <c r="H432" s="26" t="n">
        <v>-0.713371875490711</v>
      </c>
      <c r="I432" s="26" t="n">
        <v>-0.713890791320397</v>
      </c>
      <c r="J432" s="26" t="n">
        <v>24.61</v>
      </c>
      <c r="K432" s="27" t="n">
        <f aca="false">MIN(F432,G432)</f>
        <v>-2.84728704033898</v>
      </c>
      <c r="L432" s="27" t="n">
        <f aca="false">AVERAGE(F432,G432)</f>
        <v>-2.84702758242413</v>
      </c>
      <c r="M432" s="27" t="n">
        <f aca="false">MAX(0,NG-L432)</f>
        <v>2.14702758242413</v>
      </c>
      <c r="N432" s="27" t="n">
        <f aca="false">MAX(0,GWL-K432)</f>
        <v>1.34728704033898</v>
      </c>
      <c r="O432" s="27" t="n">
        <f aca="false">MAX(0,NG-MAX(K432,GWL))</f>
        <v>0.8</v>
      </c>
      <c r="P432" s="27" t="n">
        <f aca="false">E432/2+WS+SLOPE_A*O432+SLOPE_B*N432</f>
        <v>5.71127220518724</v>
      </c>
      <c r="Q432" s="28" t="str">
        <f aca="false">IF(AND(P432&lt;J432,N432&lt;=MAXOC),"Open cut","Shoring")</f>
        <v>Open cut</v>
      </c>
      <c r="R432" s="27" t="n">
        <f aca="false">IF(Q432="Shoring",D432,0)</f>
        <v>0</v>
      </c>
      <c r="S432" s="27" t="n">
        <f aca="false">MAX(0,GWL-L432)</f>
        <v>1.34702758242413</v>
      </c>
      <c r="T432" s="27" t="n">
        <f aca="false">MAX(0,NG-MAX(L432,GWL))</f>
        <v>0.8</v>
      </c>
      <c r="U432" s="27" t="n">
        <f aca="false">E432+2*WS</f>
        <v>3.63339624901858</v>
      </c>
      <c r="V432" s="27" t="n">
        <f aca="false">IF(Q432="Shoring",D432*M432*U432,0)</f>
        <v>0</v>
      </c>
      <c r="W432" s="27" t="n">
        <f aca="false">IF(Q432="Open cut",D432*(U432*M432+SLOPE_B*S432^2+2*SLOPE_B*S432*T432+SLOPE_A*T432^2),0)</f>
        <v>26.0107882451537</v>
      </c>
      <c r="X432" s="27" t="n">
        <f aca="false">IF(M432&gt;0,D432*(E432+2*SLABOVH)*SLAB,0)</f>
        <v>2.05074366644725</v>
      </c>
      <c r="Y432" s="27" t="n">
        <f aca="false">IF(M432&gt;0,D432*PI()*E432^2/4,0)</f>
        <v>3.26360921864142</v>
      </c>
      <c r="Z432" s="27" t="n">
        <f aca="false">IF(H432-E432&gt;=GWL,99,E432*(MAX(0,GWL-H432)*(GAM_S-GAM_W)+MAX(0,NG-MAX(H432,GWL))*GAM_D)/(GAM_W*PI()*E432^2/4))</f>
        <v>0.0191255699656838</v>
      </c>
      <c r="AA432" s="27" t="n">
        <f aca="false">IF(I432-E432&gt;=GWL,99,E432*(MAX(0,GWL-I432)*(GAM_S-GAM_W)+MAX(0,NG-MAX(I432,GWL))*GAM_D)/(GAM_W*PI()*E432^2/4))</f>
        <v>0.0198677666017393</v>
      </c>
      <c r="AB432" s="27" t="n">
        <f aca="false">IF(H432-E432&gt;=GWL,99,E432*(MAX(0,GWL-H432)*(GAM_S-GAM_W)+MAX(0,FL-MAX(H432,GWL))*GAM_D)/(GAM_W*PI()*E432^2/4))</f>
        <v>2.45060714966244</v>
      </c>
      <c r="AC432" s="27" t="n">
        <f aca="false">IF(I432-E432&gt;=GWL,99,E432*(MAX(0,GWL-I432)*(GAM_S-GAM_W)+MAX(0,FL-MAX(I432,GWL))*GAM_D)/(GAM_W*PI()*E432^2/4))</f>
        <v>2.4513493462985</v>
      </c>
    </row>
    <row r="433" customFormat="false" ht="15" hidden="false" customHeight="false" outlineLevel="0" collapsed="false">
      <c r="A433" s="25" t="s">
        <v>873</v>
      </c>
      <c r="B433" s="25" t="s">
        <v>926</v>
      </c>
      <c r="C433" s="25" t="s">
        <v>933</v>
      </c>
      <c r="D433" s="26" t="n">
        <v>0.543511490353273</v>
      </c>
      <c r="E433" s="26" t="n">
        <v>1.63339624901858</v>
      </c>
      <c r="F433" s="26" t="n">
        <v>-2.84728704033898</v>
      </c>
      <c r="G433" s="26" t="n">
        <v>-2.84746812450929</v>
      </c>
      <c r="H433" s="26" t="n">
        <v>-0.713890791320397</v>
      </c>
      <c r="I433" s="26" t="n">
        <v>-0.714071875490711</v>
      </c>
      <c r="J433" s="26" t="n">
        <v>99</v>
      </c>
      <c r="K433" s="27" t="n">
        <f aca="false">MIN(F433,G433)</f>
        <v>-2.84746812450929</v>
      </c>
      <c r="L433" s="27" t="n">
        <f aca="false">AVERAGE(F433,G433)</f>
        <v>-2.84737758242413</v>
      </c>
      <c r="M433" s="27" t="n">
        <f aca="false">MAX(0,NG-L433)</f>
        <v>2.14737758242413</v>
      </c>
      <c r="N433" s="27" t="n">
        <f aca="false">MAX(0,GWL-K433)</f>
        <v>1.34746812450929</v>
      </c>
      <c r="O433" s="27" t="n">
        <f aca="false">MAX(0,NG-MAX(K433,GWL))</f>
        <v>0.8</v>
      </c>
      <c r="P433" s="27" t="n">
        <f aca="false">E433/2+WS+SLOPE_A*O433+SLOPE_B*N433</f>
        <v>5.71163437352787</v>
      </c>
      <c r="Q433" s="28" t="str">
        <f aca="false">IF(AND(P433&lt;J433,N433&lt;=MAXOC),"Open cut","Shoring")</f>
        <v>Open cut</v>
      </c>
      <c r="R433" s="27" t="n">
        <f aca="false">IF(Q433="Shoring",D433,0)</f>
        <v>0</v>
      </c>
      <c r="S433" s="27" t="n">
        <f aca="false">MAX(0,GWL-L433)</f>
        <v>1.34737758242413</v>
      </c>
      <c r="T433" s="27" t="n">
        <f aca="false">MAX(0,NG-MAX(L433,GWL))</f>
        <v>0.8</v>
      </c>
      <c r="U433" s="27" t="n">
        <f aca="false">E433+2*WS</f>
        <v>3.63339624901858</v>
      </c>
      <c r="V433" s="27" t="n">
        <f aca="false">IF(Q433="Shoring",D433*M433*U433,0)</f>
        <v>0</v>
      </c>
      <c r="W433" s="27" t="n">
        <f aca="false">IF(Q433="Open cut",D433*(U433*M433+SLOPE_B*S433^2+2*SLOPE_B*S433*T433+SLOPE_A*T433^2),0)</f>
        <v>9.07921520720778</v>
      </c>
      <c r="X433" s="27" t="n">
        <f aca="false">IF(M433&gt;0,D433*(E433+2*SLABOVH)*SLAB,0)</f>
        <v>0.715640559997404</v>
      </c>
      <c r="Y433" s="27" t="n">
        <f aca="false">IF(M433&gt;0,D433*PI()*E433^2/4,0)</f>
        <v>1.1388898413069</v>
      </c>
      <c r="Z433" s="27" t="n">
        <f aca="false">IF(H433-E433&gt;=GWL,99,E433*(MAX(0,GWL-H433)*(GAM_S-GAM_W)+MAX(0,NG-MAX(H433,GWL))*GAM_D)/(GAM_W*PI()*E433^2/4))</f>
        <v>0.0198677666017393</v>
      </c>
      <c r="AA433" s="27" t="n">
        <f aca="false">IF(I433-E433&gt;=GWL,99,E433*(MAX(0,GWL-I433)*(GAM_S-GAM_W)+MAX(0,NG-MAX(I433,GWL))*GAM_D)/(GAM_W*PI()*E433^2/4))</f>
        <v>0.0201267682632059</v>
      </c>
      <c r="AB433" s="27" t="n">
        <f aca="false">IF(H433-E433&gt;=GWL,99,E433*(MAX(0,GWL-H433)*(GAM_S-GAM_W)+MAX(0,FL-MAX(H433,GWL))*GAM_D)/(GAM_W*PI()*E433^2/4))</f>
        <v>2.4513493462985</v>
      </c>
      <c r="AC433" s="27" t="n">
        <f aca="false">IF(I433-E433&gt;=GWL,99,E433*(MAX(0,GWL-I433)*(GAM_S-GAM_W)+MAX(0,FL-MAX(I433,GWL))*GAM_D)/(GAM_W*PI()*E433^2/4))</f>
        <v>2.45160834795996</v>
      </c>
    </row>
    <row r="434" customFormat="false" ht="15" hidden="false" customHeight="false" outlineLevel="0" collapsed="false">
      <c r="A434" s="25" t="s">
        <v>873</v>
      </c>
      <c r="B434" s="25" t="s">
        <v>934</v>
      </c>
      <c r="C434" s="25" t="s">
        <v>935</v>
      </c>
      <c r="D434" s="26" t="n">
        <v>9.99999999999239</v>
      </c>
      <c r="E434" s="26" t="n">
        <v>1.19999765754189</v>
      </c>
      <c r="F434" s="26" t="n">
        <v>-2.69999882877095</v>
      </c>
      <c r="G434" s="26" t="n">
        <v>-2.69999882877095</v>
      </c>
      <c r="H434" s="26" t="n">
        <v>-1.00000117122905</v>
      </c>
      <c r="I434" s="26" t="n">
        <v>-1.00000117122905</v>
      </c>
      <c r="J434" s="26" t="n">
        <v>21.24</v>
      </c>
      <c r="K434" s="27" t="n">
        <f aca="false">MIN(F434,G434)</f>
        <v>-2.69999882877095</v>
      </c>
      <c r="L434" s="27" t="n">
        <f aca="false">AVERAGE(F434,G434)</f>
        <v>-2.69999882877095</v>
      </c>
      <c r="M434" s="27" t="n">
        <f aca="false">MAX(0,NG-L434)</f>
        <v>1.99999882877095</v>
      </c>
      <c r="N434" s="27" t="n">
        <f aca="false">MAX(0,GWL-K434)</f>
        <v>1.19999882877095</v>
      </c>
      <c r="O434" s="27" t="n">
        <f aca="false">MAX(0,NG-MAX(K434,GWL))</f>
        <v>0.8</v>
      </c>
      <c r="P434" s="27" t="n">
        <f aca="false">E434/2+WS+SLOPE_A*O434+SLOPE_B*N434</f>
        <v>5.19999648631284</v>
      </c>
      <c r="Q434" s="28" t="str">
        <f aca="false">IF(AND(P434&lt;J434,N434&lt;=MAXOC),"Open cut","Shoring")</f>
        <v>Open cut</v>
      </c>
      <c r="R434" s="27" t="n">
        <f aca="false">IF(Q434="Shoring",D434,0)</f>
        <v>0</v>
      </c>
      <c r="S434" s="27" t="n">
        <f aca="false">MAX(0,GWL-L434)</f>
        <v>1.19999882877095</v>
      </c>
      <c r="T434" s="27" t="n">
        <f aca="false">MAX(0,NG-MAX(L434,GWL))</f>
        <v>0.8</v>
      </c>
      <c r="U434" s="27" t="n">
        <f aca="false">E434+2*WS</f>
        <v>3.19999765754189</v>
      </c>
      <c r="V434" s="27" t="n">
        <f aca="false">IF(Q434="Shoring",D434*M434*U434,0)</f>
        <v>0</v>
      </c>
      <c r="W434" s="27" t="n">
        <f aca="false">IF(Q434="Open cut",D434*(U434*M434+SLOPE_B*S434^2+2*SLOPE_B*S434*T434+SLOPE_A*T434^2),0)</f>
        <v>140.799821973131</v>
      </c>
      <c r="X434" s="27" t="n">
        <f aca="false">IF(M434&gt;0,D434*(E434+2*SLABOVH)*SLAB,0)</f>
        <v>10.9999882877011</v>
      </c>
      <c r="Y434" s="27" t="n">
        <f aca="false">IF(M434&gt;0,D434*PI()*E434^2/4,0)</f>
        <v>11.3096893986626</v>
      </c>
      <c r="Z434" s="27" t="n">
        <f aca="false">IF(H434-E434&gt;=GWL,99,E434*(MAX(0,GWL-H434)*(GAM_S-GAM_W)+MAX(0,NG-MAX(H434,GWL))*GAM_D)/(GAM_W*PI()*E434^2/4))</f>
        <v>0.584058257351126</v>
      </c>
      <c r="AA434" s="27" t="n">
        <f aca="false">IF(I434-E434&gt;=GWL,99,E434*(MAX(0,GWL-I434)*(GAM_S-GAM_W)+MAX(0,NG-MAX(I434,GWL))*GAM_D)/(GAM_W*PI()*E434^2/4))</f>
        <v>0.584058257351126</v>
      </c>
      <c r="AB434" s="27" t="n">
        <f aca="false">IF(H434-E434&gt;=GWL,99,E434*(MAX(0,GWL-H434)*(GAM_S-GAM_W)+MAX(0,FL-MAX(H434,GWL))*GAM_D)/(GAM_W*PI()*E434^2/4))</f>
        <v>3.89370879447795</v>
      </c>
      <c r="AC434" s="27" t="n">
        <f aca="false">IF(I434-E434&gt;=GWL,99,E434*(MAX(0,GWL-I434)*(GAM_S-GAM_W)+MAX(0,FL-MAX(I434,GWL))*GAM_D)/(GAM_W*PI()*E434^2/4))</f>
        <v>3.89370879447795</v>
      </c>
    </row>
    <row r="435" customFormat="false" ht="15" hidden="false" customHeight="false" outlineLevel="0" collapsed="false">
      <c r="A435" s="25" t="s">
        <v>873</v>
      </c>
      <c r="B435" s="25" t="s">
        <v>934</v>
      </c>
      <c r="C435" s="25" t="s">
        <v>936</v>
      </c>
      <c r="D435" s="26" t="n">
        <v>0.908349999803399</v>
      </c>
      <c r="E435" s="26" t="n">
        <v>1.19999765754189</v>
      </c>
      <c r="F435" s="26" t="n">
        <v>-2.69999882877095</v>
      </c>
      <c r="G435" s="26" t="n">
        <v>-2.69999882877095</v>
      </c>
      <c r="H435" s="26" t="n">
        <v>-1.00000117122905</v>
      </c>
      <c r="I435" s="26" t="n">
        <v>-1.00000117122905</v>
      </c>
      <c r="J435" s="26" t="n">
        <v>21.07</v>
      </c>
      <c r="K435" s="27" t="n">
        <f aca="false">MIN(F435,G435)</f>
        <v>-2.69999882877095</v>
      </c>
      <c r="L435" s="27" t="n">
        <f aca="false">AVERAGE(F435,G435)</f>
        <v>-2.69999882877095</v>
      </c>
      <c r="M435" s="27" t="n">
        <f aca="false">MAX(0,NG-L435)</f>
        <v>1.99999882877095</v>
      </c>
      <c r="N435" s="27" t="n">
        <f aca="false">MAX(0,GWL-K435)</f>
        <v>1.19999882877095</v>
      </c>
      <c r="O435" s="27" t="n">
        <f aca="false">MAX(0,NG-MAX(K435,GWL))</f>
        <v>0.8</v>
      </c>
      <c r="P435" s="27" t="n">
        <f aca="false">E435/2+WS+SLOPE_A*O435+SLOPE_B*N435</f>
        <v>5.19999648631284</v>
      </c>
      <c r="Q435" s="28" t="str">
        <f aca="false">IF(AND(P435&lt;J435,N435&lt;=MAXOC),"Open cut","Shoring")</f>
        <v>Open cut</v>
      </c>
      <c r="R435" s="27" t="n">
        <f aca="false">IF(Q435="Shoring",D435,0)</f>
        <v>0</v>
      </c>
      <c r="S435" s="27" t="n">
        <f aca="false">MAX(0,GWL-L435)</f>
        <v>1.19999882877095</v>
      </c>
      <c r="T435" s="27" t="n">
        <f aca="false">MAX(0,NG-MAX(L435,GWL))</f>
        <v>0.8</v>
      </c>
      <c r="U435" s="27" t="n">
        <f aca="false">E435+2*WS</f>
        <v>3.19999765754189</v>
      </c>
      <c r="V435" s="27" t="n">
        <f aca="false">IF(Q435="Shoring",D435*M435*U435,0)</f>
        <v>0</v>
      </c>
      <c r="W435" s="27" t="n">
        <f aca="false">IF(Q435="Open cut",D435*(U435*M435+SLOPE_B*S435^2+2*SLOPE_B*S435*T435+SLOPE_A*T435^2),0)</f>
        <v>12.789551826171</v>
      </c>
      <c r="X435" s="27" t="n">
        <f aca="false">IF(M435&gt;0,D435*(E435+2*SLABOVH)*SLAB,0)</f>
        <v>0.999183935897828</v>
      </c>
      <c r="Y435" s="27" t="n">
        <f aca="false">IF(M435&gt;0,D435*PI()*E435^2/4,0)</f>
        <v>1.02731563630595</v>
      </c>
      <c r="Z435" s="27" t="n">
        <f aca="false">IF(H435-E435&gt;=GWL,99,E435*(MAX(0,GWL-H435)*(GAM_S-GAM_W)+MAX(0,NG-MAX(H435,GWL))*GAM_D)/(GAM_W*PI()*E435^2/4))</f>
        <v>0.584058257351126</v>
      </c>
      <c r="AA435" s="27" t="n">
        <f aca="false">IF(I435-E435&gt;=GWL,99,E435*(MAX(0,GWL-I435)*(GAM_S-GAM_W)+MAX(0,NG-MAX(I435,GWL))*GAM_D)/(GAM_W*PI()*E435^2/4))</f>
        <v>0.584058257351126</v>
      </c>
      <c r="AB435" s="27" t="n">
        <f aca="false">IF(H435-E435&gt;=GWL,99,E435*(MAX(0,GWL-H435)*(GAM_S-GAM_W)+MAX(0,FL-MAX(H435,GWL))*GAM_D)/(GAM_W*PI()*E435^2/4))</f>
        <v>3.89370879447795</v>
      </c>
      <c r="AC435" s="27" t="n">
        <f aca="false">IF(I435-E435&gt;=GWL,99,E435*(MAX(0,GWL-I435)*(GAM_S-GAM_W)+MAX(0,FL-MAX(I435,GWL))*GAM_D)/(GAM_W*PI()*E435^2/4))</f>
        <v>3.89370879447795</v>
      </c>
    </row>
    <row r="436" customFormat="false" ht="15" hidden="false" customHeight="false" outlineLevel="0" collapsed="false">
      <c r="A436" s="25" t="s">
        <v>873</v>
      </c>
      <c r="B436" s="25" t="s">
        <v>934</v>
      </c>
      <c r="C436" s="25" t="s">
        <v>937</v>
      </c>
      <c r="D436" s="26" t="n">
        <v>0.108219999907393</v>
      </c>
      <c r="E436" s="26" t="n">
        <v>1.19999765754189</v>
      </c>
      <c r="F436" s="26" t="n">
        <v>-2.69999882877095</v>
      </c>
      <c r="G436" s="26" t="n">
        <v>-2.69999882877095</v>
      </c>
      <c r="H436" s="26" t="n">
        <v>-1.00000117122905</v>
      </c>
      <c r="I436" s="26" t="n">
        <v>-1.00000117122905</v>
      </c>
      <c r="J436" s="26" t="n">
        <v>21.04</v>
      </c>
      <c r="K436" s="27" t="n">
        <f aca="false">MIN(F436,G436)</f>
        <v>-2.69999882877095</v>
      </c>
      <c r="L436" s="27" t="n">
        <f aca="false">AVERAGE(F436,G436)</f>
        <v>-2.69999882877095</v>
      </c>
      <c r="M436" s="27" t="n">
        <f aca="false">MAX(0,NG-L436)</f>
        <v>1.99999882877095</v>
      </c>
      <c r="N436" s="27" t="n">
        <f aca="false">MAX(0,GWL-K436)</f>
        <v>1.19999882877095</v>
      </c>
      <c r="O436" s="27" t="n">
        <f aca="false">MAX(0,NG-MAX(K436,GWL))</f>
        <v>0.8</v>
      </c>
      <c r="P436" s="27" t="n">
        <f aca="false">E436/2+WS+SLOPE_A*O436+SLOPE_B*N436</f>
        <v>5.19999648631284</v>
      </c>
      <c r="Q436" s="28" t="str">
        <f aca="false">IF(AND(P436&lt;J436,N436&lt;=MAXOC),"Open cut","Shoring")</f>
        <v>Open cut</v>
      </c>
      <c r="R436" s="27" t="n">
        <f aca="false">IF(Q436="Shoring",D436,0)</f>
        <v>0</v>
      </c>
      <c r="S436" s="27" t="n">
        <f aca="false">MAX(0,GWL-L436)</f>
        <v>1.19999882877095</v>
      </c>
      <c r="T436" s="27" t="n">
        <f aca="false">MAX(0,NG-MAX(L436,GWL))</f>
        <v>0.8</v>
      </c>
      <c r="U436" s="27" t="n">
        <f aca="false">E436+2*WS</f>
        <v>3.19999765754189</v>
      </c>
      <c r="V436" s="27" t="n">
        <f aca="false">IF(Q436="Shoring",D436*M436*U436,0)</f>
        <v>0</v>
      </c>
      <c r="W436" s="27" t="n">
        <f aca="false">IF(Q436="Open cut",D436*(U436*M436+SLOPE_B*S436^2+2*SLOPE_B*S436*T436+SLOPE_A*T436^2),0)</f>
        <v>1.52373567209048</v>
      </c>
      <c r="X436" s="27" t="n">
        <f aca="false">IF(M436&gt;0,D436*(E436+2*SLABOVH)*SLAB,0)</f>
        <v>0.119041873147724</v>
      </c>
      <c r="Y436" s="27" t="n">
        <f aca="false">IF(M436&gt;0,D436*PI()*E436^2/4,0)</f>
        <v>0.122393458567685</v>
      </c>
      <c r="Z436" s="27" t="n">
        <f aca="false">IF(H436-E436&gt;=GWL,99,E436*(MAX(0,GWL-H436)*(GAM_S-GAM_W)+MAX(0,NG-MAX(H436,GWL))*GAM_D)/(GAM_W*PI()*E436^2/4))</f>
        <v>0.584058257351126</v>
      </c>
      <c r="AA436" s="27" t="n">
        <f aca="false">IF(I436-E436&gt;=GWL,99,E436*(MAX(0,GWL-I436)*(GAM_S-GAM_W)+MAX(0,NG-MAX(I436,GWL))*GAM_D)/(GAM_W*PI()*E436^2/4))</f>
        <v>0.584058257351126</v>
      </c>
      <c r="AB436" s="27" t="n">
        <f aca="false">IF(H436-E436&gt;=GWL,99,E436*(MAX(0,GWL-H436)*(GAM_S-GAM_W)+MAX(0,FL-MAX(H436,GWL))*GAM_D)/(GAM_W*PI()*E436^2/4))</f>
        <v>3.89370879447795</v>
      </c>
      <c r="AC436" s="27" t="n">
        <f aca="false">IF(I436-E436&gt;=GWL,99,E436*(MAX(0,GWL-I436)*(GAM_S-GAM_W)+MAX(0,FL-MAX(I436,GWL))*GAM_D)/(GAM_W*PI()*E436^2/4))</f>
        <v>3.89370879447795</v>
      </c>
    </row>
    <row r="437" customFormat="false" ht="15" hidden="false" customHeight="false" outlineLevel="0" collapsed="false">
      <c r="A437" s="25" t="s">
        <v>873</v>
      </c>
      <c r="B437" s="25" t="s">
        <v>934</v>
      </c>
      <c r="C437" s="25" t="s">
        <v>938</v>
      </c>
      <c r="D437" s="26" t="n">
        <v>0.108199131568188</v>
      </c>
      <c r="E437" s="26" t="n">
        <v>1.19999765754189</v>
      </c>
      <c r="F437" s="26" t="n">
        <v>-2.69999882877095</v>
      </c>
      <c r="G437" s="26" t="n">
        <v>-2.69999882877095</v>
      </c>
      <c r="H437" s="26" t="n">
        <v>-1.00000117122905</v>
      </c>
      <c r="I437" s="26" t="n">
        <v>-1.00000117122905</v>
      </c>
      <c r="J437" s="26" t="n">
        <v>21.01</v>
      </c>
      <c r="K437" s="27" t="n">
        <f aca="false">MIN(F437,G437)</f>
        <v>-2.69999882877095</v>
      </c>
      <c r="L437" s="27" t="n">
        <f aca="false">AVERAGE(F437,G437)</f>
        <v>-2.69999882877095</v>
      </c>
      <c r="M437" s="27" t="n">
        <f aca="false">MAX(0,NG-L437)</f>
        <v>1.99999882877095</v>
      </c>
      <c r="N437" s="27" t="n">
        <f aca="false">MAX(0,GWL-K437)</f>
        <v>1.19999882877095</v>
      </c>
      <c r="O437" s="27" t="n">
        <f aca="false">MAX(0,NG-MAX(K437,GWL))</f>
        <v>0.8</v>
      </c>
      <c r="P437" s="27" t="n">
        <f aca="false">E437/2+WS+SLOPE_A*O437+SLOPE_B*N437</f>
        <v>5.19999648631284</v>
      </c>
      <c r="Q437" s="28" t="str">
        <f aca="false">IF(AND(P437&lt;J437,N437&lt;=MAXOC),"Open cut","Shoring")</f>
        <v>Open cut</v>
      </c>
      <c r="R437" s="27" t="n">
        <f aca="false">IF(Q437="Shoring",D437,0)</f>
        <v>0</v>
      </c>
      <c r="S437" s="27" t="n">
        <f aca="false">MAX(0,GWL-L437)</f>
        <v>1.19999882877095</v>
      </c>
      <c r="T437" s="27" t="n">
        <f aca="false">MAX(0,NG-MAX(L437,GWL))</f>
        <v>0.8</v>
      </c>
      <c r="U437" s="27" t="n">
        <f aca="false">E437+2*WS</f>
        <v>3.19999765754189</v>
      </c>
      <c r="V437" s="27" t="n">
        <f aca="false">IF(Q437="Shoring",D437*M437*U437,0)</f>
        <v>0</v>
      </c>
      <c r="W437" s="27" t="n">
        <f aca="false">IF(Q437="Open cut",D437*(U437*M437+SLOPE_B*S437^2+2*SLOPE_B*S437*T437+SLOPE_A*T437^2),0)</f>
        <v>1.52344184624599</v>
      </c>
      <c r="X437" s="27" t="n">
        <f aca="false">IF(M437&gt;0,D437*(E437+2*SLABOVH)*SLAB,0)</f>
        <v>0.11901891799904</v>
      </c>
      <c r="Y437" s="27" t="n">
        <f aca="false">IF(M437&gt;0,D437*PI()*E437^2/4,0)</f>
        <v>0.122369857124217</v>
      </c>
      <c r="Z437" s="27" t="n">
        <f aca="false">IF(H437-E437&gt;=GWL,99,E437*(MAX(0,GWL-H437)*(GAM_S-GAM_W)+MAX(0,NG-MAX(H437,GWL))*GAM_D)/(GAM_W*PI()*E437^2/4))</f>
        <v>0.584058257351126</v>
      </c>
      <c r="AA437" s="27" t="n">
        <f aca="false">IF(I437-E437&gt;=GWL,99,E437*(MAX(0,GWL-I437)*(GAM_S-GAM_W)+MAX(0,NG-MAX(I437,GWL))*GAM_D)/(GAM_W*PI()*E437^2/4))</f>
        <v>0.584058257351126</v>
      </c>
      <c r="AB437" s="27" t="n">
        <f aca="false">IF(H437-E437&gt;=GWL,99,E437*(MAX(0,GWL-H437)*(GAM_S-GAM_W)+MAX(0,FL-MAX(H437,GWL))*GAM_D)/(GAM_W*PI()*E437^2/4))</f>
        <v>3.89370879447795</v>
      </c>
      <c r="AC437" s="27" t="n">
        <f aca="false">IF(I437-E437&gt;=GWL,99,E437*(MAX(0,GWL-I437)*(GAM_S-GAM_W)+MAX(0,FL-MAX(I437,GWL))*GAM_D)/(GAM_W*PI()*E437^2/4))</f>
        <v>3.89370879447795</v>
      </c>
    </row>
    <row r="438" customFormat="false" ht="15" hidden="false" customHeight="false" outlineLevel="0" collapsed="false">
      <c r="A438" s="25" t="s">
        <v>873</v>
      </c>
      <c r="B438" s="25" t="s">
        <v>939</v>
      </c>
      <c r="C438" s="25" t="s">
        <v>940</v>
      </c>
      <c r="D438" s="26" t="n">
        <v>5.27439258061504</v>
      </c>
      <c r="E438" s="26" t="n">
        <v>1.19999440619039</v>
      </c>
      <c r="F438" s="26" t="n">
        <v>-2.6999972030952</v>
      </c>
      <c r="G438" s="26" t="n">
        <v>-2.6891772030952</v>
      </c>
      <c r="H438" s="26" t="n">
        <v>-1.0000027969048</v>
      </c>
      <c r="I438" s="26" t="n">
        <v>-0.989182796904803</v>
      </c>
      <c r="J438" s="26" t="n">
        <v>19.2</v>
      </c>
      <c r="K438" s="27" t="n">
        <f aca="false">MIN(F438,G438)</f>
        <v>-2.6999972030952</v>
      </c>
      <c r="L438" s="27" t="n">
        <f aca="false">AVERAGE(F438,G438)</f>
        <v>-2.6945872030952</v>
      </c>
      <c r="M438" s="27" t="n">
        <f aca="false">MAX(0,NG-L438)</f>
        <v>1.9945872030952</v>
      </c>
      <c r="N438" s="27" t="n">
        <f aca="false">MAX(0,GWL-K438)</f>
        <v>1.1999972030952</v>
      </c>
      <c r="O438" s="27" t="n">
        <f aca="false">MAX(0,NG-MAX(K438,GWL))</f>
        <v>0.8</v>
      </c>
      <c r="P438" s="27" t="n">
        <f aca="false">E438/2+WS+SLOPE_A*O438+SLOPE_B*N438</f>
        <v>5.19999160928559</v>
      </c>
      <c r="Q438" s="28" t="str">
        <f aca="false">IF(AND(P438&lt;J438,N438&lt;=MAXOC),"Open cut","Shoring")</f>
        <v>Open cut</v>
      </c>
      <c r="R438" s="27" t="n">
        <f aca="false">IF(Q438="Shoring",D438,0)</f>
        <v>0</v>
      </c>
      <c r="S438" s="27" t="n">
        <f aca="false">MAX(0,GWL-L438)</f>
        <v>1.1945872030952</v>
      </c>
      <c r="T438" s="27" t="n">
        <f aca="false">MAX(0,NG-MAX(L438,GWL))</f>
        <v>0.8</v>
      </c>
      <c r="U438" s="27" t="n">
        <f aca="false">E438+2*WS</f>
        <v>3.19999440619039</v>
      </c>
      <c r="V438" s="27" t="n">
        <f aca="false">IF(Q438="Shoring",D438*M438*U438,0)</f>
        <v>0</v>
      </c>
      <c r="W438" s="27" t="n">
        <f aca="false">IF(Q438="Open cut",D438*(U438*M438+SLOPE_B*S438^2+2*SLOPE_B*S438*T438+SLOPE_A*T438^2),0)</f>
        <v>73.9439465317243</v>
      </c>
      <c r="X438" s="27" t="n">
        <f aca="false">IF(M438&gt;0,D438*(E438+2*SLABOVH)*SLAB,0)</f>
        <v>5.8018170867026</v>
      </c>
      <c r="Y438" s="27" t="n">
        <f aca="false">IF(M438&gt;0,D438*PI()*E438^2/4,0)</f>
        <v>5.96514186052521</v>
      </c>
      <c r="Z438" s="27" t="n">
        <f aca="false">IF(H438-E438&gt;=GWL,99,E438*(MAX(0,GWL-H438)*(GAM_S-GAM_W)+MAX(0,NG-MAX(H438,GWL))*GAM_D)/(GAM_W*PI()*E438^2/4))</f>
        <v>0.584063004801447</v>
      </c>
      <c r="AA438" s="27" t="n">
        <f aca="false">IF(I438-E438&gt;=GWL,99,E438*(MAX(0,GWL-I438)*(GAM_S-GAM_W)+MAX(0,NG-MAX(I438,GWL))*GAM_D)/(GAM_W*PI()*E438^2/4))</f>
        <v>0.562997995484361</v>
      </c>
      <c r="AB438" s="27" t="n">
        <f aca="false">IF(H438-E438&gt;=GWL,99,E438*(MAX(0,GWL-H438)*(GAM_S-GAM_W)+MAX(0,FL-MAX(H438,GWL))*GAM_D)/(GAM_W*PI()*E438^2/4))</f>
        <v>3.89372250933443</v>
      </c>
      <c r="AC438" s="27" t="n">
        <f aca="false">IF(I438-E438&gt;=GWL,99,E438*(MAX(0,GWL-I438)*(GAM_S-GAM_W)+MAX(0,FL-MAX(I438,GWL))*GAM_D)/(GAM_W*PI()*E438^2/4))</f>
        <v>3.87265750001734</v>
      </c>
    </row>
    <row r="439" customFormat="false" ht="15" hidden="false" customHeight="false" outlineLevel="0" collapsed="false">
      <c r="A439" s="25" t="s">
        <v>873</v>
      </c>
      <c r="B439" s="25" t="s">
        <v>941</v>
      </c>
      <c r="C439" s="25" t="s">
        <v>942</v>
      </c>
      <c r="D439" s="26" t="n">
        <v>6.00000000015761</v>
      </c>
      <c r="E439" s="26" t="n">
        <v>1.19999765737725</v>
      </c>
      <c r="F439" s="26" t="n">
        <v>-2.63458882868863</v>
      </c>
      <c r="G439" s="26" t="n">
        <v>-2.63458882868863</v>
      </c>
      <c r="H439" s="26" t="n">
        <v>-0.934591171311375</v>
      </c>
      <c r="I439" s="26" t="n">
        <v>-0.934591171311375</v>
      </c>
      <c r="J439" s="26" t="n">
        <v>23.49</v>
      </c>
      <c r="K439" s="27" t="n">
        <f aca="false">MIN(F439,G439)</f>
        <v>-2.63458882868863</v>
      </c>
      <c r="L439" s="27" t="n">
        <f aca="false">AVERAGE(F439,G439)</f>
        <v>-2.63458882868863</v>
      </c>
      <c r="M439" s="27" t="n">
        <f aca="false">MAX(0,NG-L439)</f>
        <v>1.93458882868863</v>
      </c>
      <c r="N439" s="27" t="n">
        <f aca="false">MAX(0,GWL-K439)</f>
        <v>1.13458882868863</v>
      </c>
      <c r="O439" s="27" t="n">
        <f aca="false">MAX(0,NG-MAX(K439,GWL))</f>
        <v>0.8</v>
      </c>
      <c r="P439" s="27" t="n">
        <f aca="false">E439/2+WS+SLOPE_A*O439+SLOPE_B*N439</f>
        <v>5.06917648606588</v>
      </c>
      <c r="Q439" s="28" t="str">
        <f aca="false">IF(AND(P439&lt;J439,N439&lt;=MAXOC),"Open cut","Shoring")</f>
        <v>Open cut</v>
      </c>
      <c r="R439" s="27" t="n">
        <f aca="false">IF(Q439="Shoring",D439,0)</f>
        <v>0</v>
      </c>
      <c r="S439" s="27" t="n">
        <f aca="false">MAX(0,GWL-L439)</f>
        <v>1.13458882868863</v>
      </c>
      <c r="T439" s="27" t="n">
        <f aca="false">MAX(0,NG-MAX(L439,GWL))</f>
        <v>0.8</v>
      </c>
      <c r="U439" s="27" t="n">
        <f aca="false">E439+2*WS</f>
        <v>3.19999765737725</v>
      </c>
      <c r="V439" s="27" t="n">
        <f aca="false">IF(Q439="Shoring",D439*M439*U439,0)</f>
        <v>0</v>
      </c>
      <c r="W439" s="27" t="n">
        <f aca="false">IF(Q439="Open cut",D439*(U439*M439+SLOPE_B*S439^2+2*SLOPE_B*S439*T439+SLOPE_A*T439^2),0)</f>
        <v>80.1356855538977</v>
      </c>
      <c r="X439" s="27" t="n">
        <f aca="false">IF(M439&gt;0,D439*(E439+2*SLABOVH)*SLAB,0)</f>
        <v>6.59999297230512</v>
      </c>
      <c r="Y439" s="27" t="n">
        <f aca="false">IF(M439&gt;0,D439*PI()*E439^2/4,0)</f>
        <v>6.78581363751895</v>
      </c>
      <c r="Z439" s="27" t="n">
        <f aca="false">IF(H439-E439&gt;=GWL,99,E439*(MAX(0,GWL-H439)*(GAM_S-GAM_W)+MAX(0,NG-MAX(H439,GWL))*GAM_D)/(GAM_W*PI()*E439^2/4))</f>
        <v>0.456714586024958</v>
      </c>
      <c r="AA439" s="27" t="n">
        <f aca="false">IF(I439-E439&gt;=GWL,99,E439*(MAX(0,GWL-I439)*(GAM_S-GAM_W)+MAX(0,NG-MAX(I439,GWL))*GAM_D)/(GAM_W*PI()*E439^2/4))</f>
        <v>0.456714586024958</v>
      </c>
      <c r="AB439" s="27" t="n">
        <f aca="false">IF(H439-E439&gt;=GWL,99,E439*(MAX(0,GWL-H439)*(GAM_S-GAM_W)+MAX(0,FL-MAX(H439,GWL))*GAM_D)/(GAM_W*PI()*E439^2/4))</f>
        <v>3.76636512360587</v>
      </c>
      <c r="AC439" s="27" t="n">
        <f aca="false">IF(I439-E439&gt;=GWL,99,E439*(MAX(0,GWL-I439)*(GAM_S-GAM_W)+MAX(0,FL-MAX(I439,GWL))*GAM_D)/(GAM_W*PI()*E439^2/4))</f>
        <v>3.76636512360587</v>
      </c>
    </row>
    <row r="440" customFormat="false" ht="15" hidden="false" customHeight="false" outlineLevel="0" collapsed="false">
      <c r="A440" s="25" t="s">
        <v>873</v>
      </c>
      <c r="B440" s="25" t="s">
        <v>943</v>
      </c>
      <c r="C440" s="25" t="s">
        <v>944</v>
      </c>
      <c r="D440" s="26" t="n">
        <v>3.99999999982793</v>
      </c>
      <c r="E440" s="26" t="n">
        <v>1.19999765737725</v>
      </c>
      <c r="F440" s="26" t="n">
        <v>-2.63458882868863</v>
      </c>
      <c r="G440" s="26" t="n">
        <v>-2.63458882868863</v>
      </c>
      <c r="H440" s="26" t="n">
        <v>-0.934591171311375</v>
      </c>
      <c r="I440" s="26" t="n">
        <v>-0.934591171311375</v>
      </c>
      <c r="J440" s="26" t="n">
        <v>22.38</v>
      </c>
      <c r="K440" s="27" t="n">
        <f aca="false">MIN(F440,G440)</f>
        <v>-2.63458882868863</v>
      </c>
      <c r="L440" s="27" t="n">
        <f aca="false">AVERAGE(F440,G440)</f>
        <v>-2.63458882868863</v>
      </c>
      <c r="M440" s="27" t="n">
        <f aca="false">MAX(0,NG-L440)</f>
        <v>1.93458882868863</v>
      </c>
      <c r="N440" s="27" t="n">
        <f aca="false">MAX(0,GWL-K440)</f>
        <v>1.13458882868863</v>
      </c>
      <c r="O440" s="27" t="n">
        <f aca="false">MAX(0,NG-MAX(K440,GWL))</f>
        <v>0.8</v>
      </c>
      <c r="P440" s="27" t="n">
        <f aca="false">E440/2+WS+SLOPE_A*O440+SLOPE_B*N440</f>
        <v>5.06917648606588</v>
      </c>
      <c r="Q440" s="28" t="str">
        <f aca="false">IF(AND(P440&lt;J440,N440&lt;=MAXOC),"Open cut","Shoring")</f>
        <v>Open cut</v>
      </c>
      <c r="R440" s="27" t="n">
        <f aca="false">IF(Q440="Shoring",D440,0)</f>
        <v>0</v>
      </c>
      <c r="S440" s="27" t="n">
        <f aca="false">MAX(0,GWL-L440)</f>
        <v>1.13458882868863</v>
      </c>
      <c r="T440" s="27" t="n">
        <f aca="false">MAX(0,NG-MAX(L440,GWL))</f>
        <v>0.8</v>
      </c>
      <c r="U440" s="27" t="n">
        <f aca="false">E440+2*WS</f>
        <v>3.19999765737725</v>
      </c>
      <c r="V440" s="27" t="n">
        <f aca="false">IF(Q440="Shoring",D440*M440*U440,0)</f>
        <v>0</v>
      </c>
      <c r="W440" s="27" t="n">
        <f aca="false">IF(Q440="Open cut",D440*(U440*M440+SLOPE_B*S440^2+2*SLOPE_B*S440*T440+SLOPE_A*T440^2),0)</f>
        <v>53.4237903655637</v>
      </c>
      <c r="X440" s="27" t="n">
        <f aca="false">IF(M440&gt;0,D440*(E440+2*SLABOVH)*SLAB,0)</f>
        <v>4.39999531456522</v>
      </c>
      <c r="Y440" s="27" t="n">
        <f aca="false">IF(M440&gt;0,D440*PI()*E440^2/4,0)</f>
        <v>4.52387575803253</v>
      </c>
      <c r="Z440" s="27" t="n">
        <f aca="false">IF(H440-E440&gt;=GWL,99,E440*(MAX(0,GWL-H440)*(GAM_S-GAM_W)+MAX(0,NG-MAX(H440,GWL))*GAM_D)/(GAM_W*PI()*E440^2/4))</f>
        <v>0.456714586024958</v>
      </c>
      <c r="AA440" s="27" t="n">
        <f aca="false">IF(I440-E440&gt;=GWL,99,E440*(MAX(0,GWL-I440)*(GAM_S-GAM_W)+MAX(0,NG-MAX(I440,GWL))*GAM_D)/(GAM_W*PI()*E440^2/4))</f>
        <v>0.456714586024958</v>
      </c>
      <c r="AB440" s="27" t="n">
        <f aca="false">IF(H440-E440&gt;=GWL,99,E440*(MAX(0,GWL-H440)*(GAM_S-GAM_W)+MAX(0,FL-MAX(H440,GWL))*GAM_D)/(GAM_W*PI()*E440^2/4))</f>
        <v>3.76636512360587</v>
      </c>
      <c r="AC440" s="27" t="n">
        <f aca="false">IF(I440-E440&gt;=GWL,99,E440*(MAX(0,GWL-I440)*(GAM_S-GAM_W)+MAX(0,FL-MAX(I440,GWL))*GAM_D)/(GAM_W*PI()*E440^2/4))</f>
        <v>3.76636512360587</v>
      </c>
    </row>
    <row r="441" customFormat="false" ht="15" hidden="false" customHeight="false" outlineLevel="0" collapsed="false">
      <c r="A441" s="25" t="s">
        <v>873</v>
      </c>
      <c r="B441" s="25" t="s">
        <v>943</v>
      </c>
      <c r="C441" s="25" t="s">
        <v>945</v>
      </c>
      <c r="D441" s="26" t="n">
        <v>10.0000000001069</v>
      </c>
      <c r="E441" s="26" t="n">
        <v>1.19999765737725</v>
      </c>
      <c r="F441" s="26" t="n">
        <v>-2.63458882868863</v>
      </c>
      <c r="G441" s="26" t="n">
        <v>-2.63458882868863</v>
      </c>
      <c r="H441" s="26" t="n">
        <v>-0.934591171311375</v>
      </c>
      <c r="I441" s="26" t="n">
        <v>-0.934591171311375</v>
      </c>
      <c r="J441" s="26" t="n">
        <v>20.94</v>
      </c>
      <c r="K441" s="27" t="n">
        <f aca="false">MIN(F441,G441)</f>
        <v>-2.63458882868863</v>
      </c>
      <c r="L441" s="27" t="n">
        <f aca="false">AVERAGE(F441,G441)</f>
        <v>-2.63458882868863</v>
      </c>
      <c r="M441" s="27" t="n">
        <f aca="false">MAX(0,NG-L441)</f>
        <v>1.93458882868863</v>
      </c>
      <c r="N441" s="27" t="n">
        <f aca="false">MAX(0,GWL-K441)</f>
        <v>1.13458882868863</v>
      </c>
      <c r="O441" s="27" t="n">
        <f aca="false">MAX(0,NG-MAX(K441,GWL))</f>
        <v>0.8</v>
      </c>
      <c r="P441" s="27" t="n">
        <f aca="false">E441/2+WS+SLOPE_A*O441+SLOPE_B*N441</f>
        <v>5.06917648606588</v>
      </c>
      <c r="Q441" s="28" t="str">
        <f aca="false">IF(AND(P441&lt;J441,N441&lt;=MAXOC),"Open cut","Shoring")</f>
        <v>Open cut</v>
      </c>
      <c r="R441" s="27" t="n">
        <f aca="false">IF(Q441="Shoring",D441,0)</f>
        <v>0</v>
      </c>
      <c r="S441" s="27" t="n">
        <f aca="false">MAX(0,GWL-L441)</f>
        <v>1.13458882868863</v>
      </c>
      <c r="T441" s="27" t="n">
        <f aca="false">MAX(0,NG-MAX(L441,GWL))</f>
        <v>0.8</v>
      </c>
      <c r="U441" s="27" t="n">
        <f aca="false">E441+2*WS</f>
        <v>3.19999765737725</v>
      </c>
      <c r="V441" s="27" t="n">
        <f aca="false">IF(Q441="Shoring",D441*M441*U441,0)</f>
        <v>0</v>
      </c>
      <c r="W441" s="27" t="n">
        <f aca="false">IF(Q441="Open cut",D441*(U441*M441+SLOPE_B*S441^2+2*SLOPE_B*S441*T441+SLOPE_A*T441^2),0)</f>
        <v>133.559475921082</v>
      </c>
      <c r="X441" s="27" t="n">
        <f aca="false">IF(M441&gt;0,D441*(E441+2*SLABOVH)*SLAB,0)</f>
        <v>10.9999882870038</v>
      </c>
      <c r="Y441" s="27" t="n">
        <f aca="false">IF(M441&gt;0,D441*PI()*E441^2/4,0)</f>
        <v>11.3096893956887</v>
      </c>
      <c r="Z441" s="27" t="n">
        <f aca="false">IF(H441-E441&gt;=GWL,99,E441*(MAX(0,GWL-H441)*(GAM_S-GAM_W)+MAX(0,NG-MAX(H441,GWL))*GAM_D)/(GAM_W*PI()*E441^2/4))</f>
        <v>0.456714586024958</v>
      </c>
      <c r="AA441" s="27" t="n">
        <f aca="false">IF(I441-E441&gt;=GWL,99,E441*(MAX(0,GWL-I441)*(GAM_S-GAM_W)+MAX(0,NG-MAX(I441,GWL))*GAM_D)/(GAM_W*PI()*E441^2/4))</f>
        <v>0.456714586024958</v>
      </c>
      <c r="AB441" s="27" t="n">
        <f aca="false">IF(H441-E441&gt;=GWL,99,E441*(MAX(0,GWL-H441)*(GAM_S-GAM_W)+MAX(0,FL-MAX(H441,GWL))*GAM_D)/(GAM_W*PI()*E441^2/4))</f>
        <v>3.76636512360587</v>
      </c>
      <c r="AC441" s="27" t="n">
        <f aca="false">IF(I441-E441&gt;=GWL,99,E441*(MAX(0,GWL-I441)*(GAM_S-GAM_W)+MAX(0,FL-MAX(I441,GWL))*GAM_D)/(GAM_W*PI()*E441^2/4))</f>
        <v>3.76636512360587</v>
      </c>
    </row>
    <row r="442" customFormat="false" ht="15" hidden="false" customHeight="false" outlineLevel="0" collapsed="false">
      <c r="A442" s="25" t="s">
        <v>873</v>
      </c>
      <c r="B442" s="25" t="s">
        <v>943</v>
      </c>
      <c r="C442" s="25" t="s">
        <v>946</v>
      </c>
      <c r="D442" s="26" t="n">
        <v>4.38853999990464</v>
      </c>
      <c r="E442" s="26" t="n">
        <v>1.19999765737725</v>
      </c>
      <c r="F442" s="26" t="n">
        <v>-2.63458882868863</v>
      </c>
      <c r="G442" s="26" t="n">
        <v>-2.63458882868863</v>
      </c>
      <c r="H442" s="26" t="n">
        <v>-0.934591171311375</v>
      </c>
      <c r="I442" s="26" t="n">
        <v>-0.934591171311375</v>
      </c>
      <c r="J442" s="26" t="n">
        <v>18</v>
      </c>
      <c r="K442" s="27" t="n">
        <f aca="false">MIN(F442,G442)</f>
        <v>-2.63458882868863</v>
      </c>
      <c r="L442" s="27" t="n">
        <f aca="false">AVERAGE(F442,G442)</f>
        <v>-2.63458882868863</v>
      </c>
      <c r="M442" s="27" t="n">
        <f aca="false">MAX(0,NG-L442)</f>
        <v>1.93458882868863</v>
      </c>
      <c r="N442" s="27" t="n">
        <f aca="false">MAX(0,GWL-K442)</f>
        <v>1.13458882868863</v>
      </c>
      <c r="O442" s="27" t="n">
        <f aca="false">MAX(0,NG-MAX(K442,GWL))</f>
        <v>0.8</v>
      </c>
      <c r="P442" s="27" t="n">
        <f aca="false">E442/2+WS+SLOPE_A*O442+SLOPE_B*N442</f>
        <v>5.06917648606588</v>
      </c>
      <c r="Q442" s="28" t="str">
        <f aca="false">IF(AND(P442&lt;J442,N442&lt;=MAXOC),"Open cut","Shoring")</f>
        <v>Open cut</v>
      </c>
      <c r="R442" s="27" t="n">
        <f aca="false">IF(Q442="Shoring",D442,0)</f>
        <v>0</v>
      </c>
      <c r="S442" s="27" t="n">
        <f aca="false">MAX(0,GWL-L442)</f>
        <v>1.13458882868863</v>
      </c>
      <c r="T442" s="27" t="n">
        <f aca="false">MAX(0,NG-MAX(L442,GWL))</f>
        <v>0.8</v>
      </c>
      <c r="U442" s="27" t="n">
        <f aca="false">E442+2*WS</f>
        <v>3.19999765737725</v>
      </c>
      <c r="V442" s="27" t="n">
        <f aca="false">IF(Q442="Shoring",D442*M442*U442,0)</f>
        <v>0</v>
      </c>
      <c r="W442" s="27" t="n">
        <f aca="false">IF(Q442="Open cut",D442*(U442*M442+SLOPE_B*S442^2+2*SLOPE_B*S442*T442+SLOPE_A*T442^2),0)</f>
        <v>58.6131102439705</v>
      </c>
      <c r="X442" s="27" t="n">
        <f aca="false">IF(M442&gt;0,D442*(E442+2*SLABOVH)*SLAB,0)</f>
        <v>4.82738885954829</v>
      </c>
      <c r="Y442" s="27" t="n">
        <f aca="false">IF(M442&gt;0,D442*PI()*E442^2/4,0)</f>
        <v>4.96330242989468</v>
      </c>
      <c r="Z442" s="27" t="n">
        <f aca="false">IF(H442-E442&gt;=GWL,99,E442*(MAX(0,GWL-H442)*(GAM_S-GAM_W)+MAX(0,NG-MAX(H442,GWL))*GAM_D)/(GAM_W*PI()*E442^2/4))</f>
        <v>0.456714586024958</v>
      </c>
      <c r="AA442" s="27" t="n">
        <f aca="false">IF(I442-E442&gt;=GWL,99,E442*(MAX(0,GWL-I442)*(GAM_S-GAM_W)+MAX(0,NG-MAX(I442,GWL))*GAM_D)/(GAM_W*PI()*E442^2/4))</f>
        <v>0.456714586024958</v>
      </c>
      <c r="AB442" s="27" t="n">
        <f aca="false">IF(H442-E442&gt;=GWL,99,E442*(MAX(0,GWL-H442)*(GAM_S-GAM_W)+MAX(0,FL-MAX(H442,GWL))*GAM_D)/(GAM_W*PI()*E442^2/4))</f>
        <v>3.76636512360587</v>
      </c>
      <c r="AC442" s="27" t="n">
        <f aca="false">IF(I442-E442&gt;=GWL,99,E442*(MAX(0,GWL-I442)*(GAM_S-GAM_W)+MAX(0,FL-MAX(I442,GWL))*GAM_D)/(GAM_W*PI()*E442^2/4))</f>
        <v>3.76636512360587</v>
      </c>
    </row>
    <row r="443" customFormat="false" ht="15" hidden="false" customHeight="false" outlineLevel="0" collapsed="false">
      <c r="A443" s="25" t="s">
        <v>873</v>
      </c>
      <c r="B443" s="25" t="s">
        <v>943</v>
      </c>
      <c r="C443" s="25" t="s">
        <v>947</v>
      </c>
      <c r="D443" s="26" t="n">
        <v>0.174999356917241</v>
      </c>
      <c r="E443" s="26" t="n">
        <v>1.19999765737725</v>
      </c>
      <c r="F443" s="26" t="n">
        <v>-2.63458882868863</v>
      </c>
      <c r="G443" s="26" t="n">
        <v>-2.63458882868863</v>
      </c>
      <c r="H443" s="26" t="n">
        <v>-0.934591171311375</v>
      </c>
      <c r="I443" s="26" t="n">
        <v>-0.934591171311375</v>
      </c>
      <c r="J443" s="26" t="n">
        <v>20.93</v>
      </c>
      <c r="K443" s="27" t="n">
        <f aca="false">MIN(F443,G443)</f>
        <v>-2.63458882868863</v>
      </c>
      <c r="L443" s="27" t="n">
        <f aca="false">AVERAGE(F443,G443)</f>
        <v>-2.63458882868863</v>
      </c>
      <c r="M443" s="27" t="n">
        <f aca="false">MAX(0,NG-L443)</f>
        <v>1.93458882868863</v>
      </c>
      <c r="N443" s="27" t="n">
        <f aca="false">MAX(0,GWL-K443)</f>
        <v>1.13458882868863</v>
      </c>
      <c r="O443" s="27" t="n">
        <f aca="false">MAX(0,NG-MAX(K443,GWL))</f>
        <v>0.8</v>
      </c>
      <c r="P443" s="27" t="n">
        <f aca="false">E443/2+WS+SLOPE_A*O443+SLOPE_B*N443</f>
        <v>5.06917648606588</v>
      </c>
      <c r="Q443" s="28" t="str">
        <f aca="false">IF(AND(P443&lt;J443,N443&lt;=MAXOC),"Open cut","Shoring")</f>
        <v>Open cut</v>
      </c>
      <c r="R443" s="27" t="n">
        <f aca="false">IF(Q443="Shoring",D443,0)</f>
        <v>0</v>
      </c>
      <c r="S443" s="27" t="n">
        <f aca="false">MAX(0,GWL-L443)</f>
        <v>1.13458882868863</v>
      </c>
      <c r="T443" s="27" t="n">
        <f aca="false">MAX(0,NG-MAX(L443,GWL))</f>
        <v>0.8</v>
      </c>
      <c r="U443" s="27" t="n">
        <f aca="false">E443+2*WS</f>
        <v>3.19999765737725</v>
      </c>
      <c r="V443" s="27" t="n">
        <f aca="false">IF(Q443="Shoring",D443*M443*U443,0)</f>
        <v>0</v>
      </c>
      <c r="W443" s="27" t="n">
        <f aca="false">IF(Q443="Open cut",D443*(U443*M443+SLOPE_B*S443^2+2*SLOPE_B*S443*T443+SLOPE_A*T443^2),0)</f>
        <v>2.33728223961433</v>
      </c>
      <c r="X443" s="27" t="n">
        <f aca="false">IF(M443&gt;0,D443*(E443+2*SLABOVH)*SLAB,0)</f>
        <v>0.192499087630228</v>
      </c>
      <c r="Y443" s="27" t="n">
        <f aca="false">IF(M443&gt;0,D443*PI()*E443^2/4,0)</f>
        <v>0.197918837115811</v>
      </c>
      <c r="Z443" s="27" t="n">
        <f aca="false">IF(H443-E443&gt;=GWL,99,E443*(MAX(0,GWL-H443)*(GAM_S-GAM_W)+MAX(0,NG-MAX(H443,GWL))*GAM_D)/(GAM_W*PI()*E443^2/4))</f>
        <v>0.456714586024958</v>
      </c>
      <c r="AA443" s="27" t="n">
        <f aca="false">IF(I443-E443&gt;=GWL,99,E443*(MAX(0,GWL-I443)*(GAM_S-GAM_W)+MAX(0,NG-MAX(I443,GWL))*GAM_D)/(GAM_W*PI()*E443^2/4))</f>
        <v>0.456714586024958</v>
      </c>
      <c r="AB443" s="27" t="n">
        <f aca="false">IF(H443-E443&gt;=GWL,99,E443*(MAX(0,GWL-H443)*(GAM_S-GAM_W)+MAX(0,FL-MAX(H443,GWL))*GAM_D)/(GAM_W*PI()*E443^2/4))</f>
        <v>3.76636512360587</v>
      </c>
      <c r="AC443" s="27" t="n">
        <f aca="false">IF(I443-E443&gt;=GWL,99,E443*(MAX(0,GWL-I443)*(GAM_S-GAM_W)+MAX(0,FL-MAX(I443,GWL))*GAM_D)/(GAM_W*PI()*E443^2/4))</f>
        <v>3.76636512360587</v>
      </c>
    </row>
    <row r="444" customFormat="false" ht="15" hidden="false" customHeight="false" outlineLevel="0" collapsed="false">
      <c r="A444" s="25" t="s">
        <v>873</v>
      </c>
      <c r="B444" s="25" t="s">
        <v>943</v>
      </c>
      <c r="C444" s="25" t="s">
        <v>948</v>
      </c>
      <c r="D444" s="26" t="n">
        <v>5.43646064297341</v>
      </c>
      <c r="E444" s="26" t="n">
        <v>1.2258005585253</v>
      </c>
      <c r="F444" s="26" t="n">
        <v>-2.64749027926265</v>
      </c>
      <c r="G444" s="26" t="n">
        <v>-2.64749027926265</v>
      </c>
      <c r="H444" s="26" t="n">
        <v>-0.92168972073735</v>
      </c>
      <c r="I444" s="26" t="n">
        <v>-0.92168972073735</v>
      </c>
      <c r="J444" s="26" t="n">
        <v>20.94</v>
      </c>
      <c r="K444" s="27" t="n">
        <f aca="false">MIN(F444,G444)</f>
        <v>-2.64749027926265</v>
      </c>
      <c r="L444" s="27" t="n">
        <f aca="false">AVERAGE(F444,G444)</f>
        <v>-2.64749027926265</v>
      </c>
      <c r="M444" s="27" t="n">
        <f aca="false">MAX(0,NG-L444)</f>
        <v>1.94749027926265</v>
      </c>
      <c r="N444" s="27" t="n">
        <f aca="false">MAX(0,GWL-K444)</f>
        <v>1.14749027926265</v>
      </c>
      <c r="O444" s="27" t="n">
        <f aca="false">MAX(0,NG-MAX(K444,GWL))</f>
        <v>0.8</v>
      </c>
      <c r="P444" s="27" t="n">
        <f aca="false">E444/2+WS+SLOPE_A*O444+SLOPE_B*N444</f>
        <v>5.10788083778795</v>
      </c>
      <c r="Q444" s="28" t="str">
        <f aca="false">IF(AND(P444&lt;J444,N444&lt;=MAXOC),"Open cut","Shoring")</f>
        <v>Open cut</v>
      </c>
      <c r="R444" s="27" t="n">
        <f aca="false">IF(Q444="Shoring",D444,0)</f>
        <v>0</v>
      </c>
      <c r="S444" s="27" t="n">
        <f aca="false">MAX(0,GWL-L444)</f>
        <v>1.14749027926265</v>
      </c>
      <c r="T444" s="27" t="n">
        <f aca="false">MAX(0,NG-MAX(L444,GWL))</f>
        <v>0.8</v>
      </c>
      <c r="U444" s="27" t="n">
        <f aca="false">E444+2*WS</f>
        <v>3.2258005585253</v>
      </c>
      <c r="V444" s="27" t="n">
        <f aca="false">IF(Q444="Shoring",D444*M444*U444,0)</f>
        <v>0</v>
      </c>
      <c r="W444" s="27" t="n">
        <f aca="false">IF(Q444="Open cut",D444*(U444*M444+SLOPE_B*S444^2+2*SLOPE_B*S444*T444+SLOPE_A*T444^2),0)</f>
        <v>73.6512769364772</v>
      </c>
      <c r="X444" s="27" t="n">
        <f aca="false">IF(M444&gt;0,D444*(E444+2*SLABOVH)*SLAB,0)</f>
        <v>6.05023856776551</v>
      </c>
      <c r="Y444" s="27" t="n">
        <f aca="false">IF(M444&gt;0,D444*PI()*E444^2/4,0)</f>
        <v>6.41572528309907</v>
      </c>
      <c r="Z444" s="27" t="n">
        <f aca="false">IF(H444-E444&gt;=GWL,99,E444*(MAX(0,GWL-H444)*(GAM_S-GAM_W)+MAX(0,NG-MAX(H444,GWL))*GAM_D)/(GAM_W*PI()*E444^2/4))</f>
        <v>0.422512301261281</v>
      </c>
      <c r="AA444" s="27" t="n">
        <f aca="false">IF(I444-E444&gt;=GWL,99,E444*(MAX(0,GWL-I444)*(GAM_S-GAM_W)+MAX(0,NG-MAX(I444,GWL))*GAM_D)/(GAM_W*PI()*E444^2/4))</f>
        <v>0.422512301261281</v>
      </c>
      <c r="AB444" s="27" t="n">
        <f aca="false">IF(H444-E444&gt;=GWL,99,E444*(MAX(0,GWL-H444)*(GAM_S-GAM_W)+MAX(0,FL-MAX(H444,GWL))*GAM_D)/(GAM_W*PI()*E444^2/4))</f>
        <v>3.66249523666837</v>
      </c>
      <c r="AC444" s="27" t="n">
        <f aca="false">IF(I444-E444&gt;=GWL,99,E444*(MAX(0,GWL-I444)*(GAM_S-GAM_W)+MAX(0,FL-MAX(I444,GWL))*GAM_D)/(GAM_W*PI()*E444^2/4))</f>
        <v>3.66249523666837</v>
      </c>
    </row>
    <row r="445" customFormat="false" ht="15" hidden="false" customHeight="false" outlineLevel="0" collapsed="false">
      <c r="A445" s="25" t="s">
        <v>873</v>
      </c>
      <c r="B445" s="25" t="s">
        <v>943</v>
      </c>
      <c r="C445" s="25" t="s">
        <v>949</v>
      </c>
      <c r="D445" s="26" t="n">
        <v>5.25883577558066</v>
      </c>
      <c r="E445" s="26" t="n">
        <v>1.2258005585253</v>
      </c>
      <c r="F445" s="26" t="n">
        <v>-2.64749027926265</v>
      </c>
      <c r="G445" s="26" t="n">
        <v>-2.64749027926265</v>
      </c>
      <c r="H445" s="26" t="n">
        <v>-0.92168972073735</v>
      </c>
      <c r="I445" s="26" t="n">
        <v>-0.92168972073735</v>
      </c>
      <c r="J445" s="26" t="n">
        <v>21.6</v>
      </c>
      <c r="K445" s="27" t="n">
        <f aca="false">MIN(F445,G445)</f>
        <v>-2.64749027926265</v>
      </c>
      <c r="L445" s="27" t="n">
        <f aca="false">AVERAGE(F445,G445)</f>
        <v>-2.64749027926265</v>
      </c>
      <c r="M445" s="27" t="n">
        <f aca="false">MAX(0,NG-L445)</f>
        <v>1.94749027926265</v>
      </c>
      <c r="N445" s="27" t="n">
        <f aca="false">MAX(0,GWL-K445)</f>
        <v>1.14749027926265</v>
      </c>
      <c r="O445" s="27" t="n">
        <f aca="false">MAX(0,NG-MAX(K445,GWL))</f>
        <v>0.8</v>
      </c>
      <c r="P445" s="27" t="n">
        <f aca="false">E445/2+WS+SLOPE_A*O445+SLOPE_B*N445</f>
        <v>5.10788083778795</v>
      </c>
      <c r="Q445" s="28" t="str">
        <f aca="false">IF(AND(P445&lt;J445,N445&lt;=MAXOC),"Open cut","Shoring")</f>
        <v>Open cut</v>
      </c>
      <c r="R445" s="27" t="n">
        <f aca="false">IF(Q445="Shoring",D445,0)</f>
        <v>0</v>
      </c>
      <c r="S445" s="27" t="n">
        <f aca="false">MAX(0,GWL-L445)</f>
        <v>1.14749027926265</v>
      </c>
      <c r="T445" s="27" t="n">
        <f aca="false">MAX(0,NG-MAX(L445,GWL))</f>
        <v>0.8</v>
      </c>
      <c r="U445" s="27" t="n">
        <f aca="false">E445+2*WS</f>
        <v>3.2258005585253</v>
      </c>
      <c r="V445" s="27" t="n">
        <f aca="false">IF(Q445="Shoring",D445*M445*U445,0)</f>
        <v>0</v>
      </c>
      <c r="W445" s="27" t="n">
        <f aca="false">IF(Q445="Open cut",D445*(U445*M445+SLOPE_B*S445^2+2*SLOPE_B*S445*T445+SLOPE_A*T445^2),0)</f>
        <v>71.2448770453905</v>
      </c>
      <c r="X445" s="27" t="n">
        <f aca="false">IF(M445&gt;0,D445*(E445+2*SLABOVH)*SLAB,0)</f>
        <v>5.85255980324013</v>
      </c>
      <c r="Y445" s="27" t="n">
        <f aca="false">IF(M445&gt;0,D445*PI()*E445^2/4,0)</f>
        <v>6.20610501221351</v>
      </c>
      <c r="Z445" s="27" t="n">
        <f aca="false">IF(H445-E445&gt;=GWL,99,E445*(MAX(0,GWL-H445)*(GAM_S-GAM_W)+MAX(0,NG-MAX(H445,GWL))*GAM_D)/(GAM_W*PI()*E445^2/4))</f>
        <v>0.422512301261281</v>
      </c>
      <c r="AA445" s="27" t="n">
        <f aca="false">IF(I445-E445&gt;=GWL,99,E445*(MAX(0,GWL-I445)*(GAM_S-GAM_W)+MAX(0,NG-MAX(I445,GWL))*GAM_D)/(GAM_W*PI()*E445^2/4))</f>
        <v>0.422512301261281</v>
      </c>
      <c r="AB445" s="27" t="n">
        <f aca="false">IF(H445-E445&gt;=GWL,99,E445*(MAX(0,GWL-H445)*(GAM_S-GAM_W)+MAX(0,FL-MAX(H445,GWL))*GAM_D)/(GAM_W*PI()*E445^2/4))</f>
        <v>3.66249523666837</v>
      </c>
      <c r="AC445" s="27" t="n">
        <f aca="false">IF(I445-E445&gt;=GWL,99,E445*(MAX(0,GWL-I445)*(GAM_S-GAM_W)+MAX(0,FL-MAX(I445,GWL))*GAM_D)/(GAM_W*PI()*E445^2/4))</f>
        <v>3.66249523666837</v>
      </c>
    </row>
    <row r="446" customFormat="false" ht="15" hidden="false" customHeight="false" outlineLevel="0" collapsed="false">
      <c r="A446" s="25" t="s">
        <v>873</v>
      </c>
      <c r="B446" s="25" t="s">
        <v>950</v>
      </c>
      <c r="C446" s="25" t="s">
        <v>951</v>
      </c>
      <c r="D446" s="26" t="n">
        <v>5.9999999998824</v>
      </c>
      <c r="E446" s="26" t="n">
        <v>1.1999981460019</v>
      </c>
      <c r="F446" s="26" t="n">
        <v>-2.64335907300095</v>
      </c>
      <c r="G446" s="26" t="n">
        <v>-2.64335907300095</v>
      </c>
      <c r="H446" s="26" t="n">
        <v>-0.943360926999051</v>
      </c>
      <c r="I446" s="26" t="n">
        <v>-0.943360926999051</v>
      </c>
      <c r="J446" s="26" t="n">
        <v>99</v>
      </c>
      <c r="K446" s="27" t="n">
        <f aca="false">MIN(F446,G446)</f>
        <v>-2.64335907300095</v>
      </c>
      <c r="L446" s="27" t="n">
        <f aca="false">AVERAGE(F446,G446)</f>
        <v>-2.64335907300095</v>
      </c>
      <c r="M446" s="27" t="n">
        <f aca="false">MAX(0,NG-L446)</f>
        <v>1.94335907300095</v>
      </c>
      <c r="N446" s="27" t="n">
        <f aca="false">MAX(0,GWL-K446)</f>
        <v>1.14335907300095</v>
      </c>
      <c r="O446" s="27" t="n">
        <f aca="false">MAX(0,NG-MAX(K446,GWL))</f>
        <v>0.8</v>
      </c>
      <c r="P446" s="27" t="n">
        <f aca="false">E446/2+WS+SLOPE_A*O446+SLOPE_B*N446</f>
        <v>5.08671721900285</v>
      </c>
      <c r="Q446" s="28" t="str">
        <f aca="false">IF(AND(P446&lt;J446,N446&lt;=MAXOC),"Open cut","Shoring")</f>
        <v>Open cut</v>
      </c>
      <c r="R446" s="27" t="n">
        <f aca="false">IF(Q446="Shoring",D446,0)</f>
        <v>0</v>
      </c>
      <c r="S446" s="27" t="n">
        <f aca="false">MAX(0,GWL-L446)</f>
        <v>1.14335907300095</v>
      </c>
      <c r="T446" s="27" t="n">
        <f aca="false">MAX(0,NG-MAX(L446,GWL))</f>
        <v>0.8</v>
      </c>
      <c r="U446" s="27" t="n">
        <f aca="false">E446+2*WS</f>
        <v>3.1999981460019</v>
      </c>
      <c r="V446" s="27" t="n">
        <f aca="false">IF(Q446="Shoring",D446*M446*U446,0)</f>
        <v>0</v>
      </c>
      <c r="W446" s="27" t="n">
        <f aca="false">IF(Q446="Open cut",D446*(U446*M446+SLOPE_B*S446^2+2*SLOPE_B*S446*T446+SLOPE_A*T446^2),0)</f>
        <v>80.7122064215134</v>
      </c>
      <c r="X446" s="27" t="n">
        <f aca="false">IF(M446&gt;0,D446*(E446+2*SLABOVH)*SLAB,0)</f>
        <v>6.59999443787634</v>
      </c>
      <c r="Y446" s="27" t="n">
        <f aca="false">IF(M446&gt;0,D446*PI()*E446^2/4,0)</f>
        <v>6.78581916341262</v>
      </c>
      <c r="Z446" s="27" t="n">
        <f aca="false">IF(H446-E446&gt;=GWL,99,E446*(MAX(0,GWL-H446)*(GAM_S-GAM_W)+MAX(0,NG-MAX(H446,GWL))*GAM_D)/(GAM_W*PI()*E446^2/4))</f>
        <v>0.4737878205314</v>
      </c>
      <c r="AA446" s="27" t="n">
        <f aca="false">IF(I446-E446&gt;=GWL,99,E446*(MAX(0,GWL-I446)*(GAM_S-GAM_W)+MAX(0,NG-MAX(I446,GWL))*GAM_D)/(GAM_W*PI()*E446^2/4))</f>
        <v>0.4737878205314</v>
      </c>
      <c r="AB446" s="27" t="n">
        <f aca="false">IF(H446-E446&gt;=GWL,99,E446*(MAX(0,GWL-H446)*(GAM_S-GAM_W)+MAX(0,FL-MAX(H446,GWL))*GAM_D)/(GAM_W*PI()*E446^2/4))</f>
        <v>3.78343701046287</v>
      </c>
      <c r="AC446" s="27" t="n">
        <f aca="false">IF(I446-E446&gt;=GWL,99,E446*(MAX(0,GWL-I446)*(GAM_S-GAM_W)+MAX(0,FL-MAX(I446,GWL))*GAM_D)/(GAM_W*PI()*E446^2/4))</f>
        <v>3.78343701046287</v>
      </c>
    </row>
    <row r="447" customFormat="false" ht="15" hidden="false" customHeight="false" outlineLevel="0" collapsed="false">
      <c r="A447" s="25" t="s">
        <v>873</v>
      </c>
      <c r="B447" s="25" t="s">
        <v>952</v>
      </c>
      <c r="C447" s="25" t="s">
        <v>953</v>
      </c>
      <c r="D447" s="26" t="n">
        <v>3.87352999979787</v>
      </c>
      <c r="E447" s="26" t="n">
        <v>1.1999981460019</v>
      </c>
      <c r="F447" s="26" t="n">
        <v>-2.64335907300095</v>
      </c>
      <c r="G447" s="26" t="n">
        <v>-2.64335907300095</v>
      </c>
      <c r="H447" s="26" t="n">
        <v>-0.943360926999051</v>
      </c>
      <c r="I447" s="26" t="n">
        <v>-0.943360926999051</v>
      </c>
      <c r="J447" s="26" t="n">
        <v>99</v>
      </c>
      <c r="K447" s="27" t="n">
        <f aca="false">MIN(F447,G447)</f>
        <v>-2.64335907300095</v>
      </c>
      <c r="L447" s="27" t="n">
        <f aca="false">AVERAGE(F447,G447)</f>
        <v>-2.64335907300095</v>
      </c>
      <c r="M447" s="27" t="n">
        <f aca="false">MAX(0,NG-L447)</f>
        <v>1.94335907300095</v>
      </c>
      <c r="N447" s="27" t="n">
        <f aca="false">MAX(0,GWL-K447)</f>
        <v>1.14335907300095</v>
      </c>
      <c r="O447" s="27" t="n">
        <f aca="false">MAX(0,NG-MAX(K447,GWL))</f>
        <v>0.8</v>
      </c>
      <c r="P447" s="27" t="n">
        <f aca="false">E447/2+WS+SLOPE_A*O447+SLOPE_B*N447</f>
        <v>5.08671721900285</v>
      </c>
      <c r="Q447" s="28" t="str">
        <f aca="false">IF(AND(P447&lt;J447,N447&lt;=MAXOC),"Open cut","Shoring")</f>
        <v>Open cut</v>
      </c>
      <c r="R447" s="27" t="n">
        <f aca="false">IF(Q447="Shoring",D447,0)</f>
        <v>0</v>
      </c>
      <c r="S447" s="27" t="n">
        <f aca="false">MAX(0,GWL-L447)</f>
        <v>1.14335907300095</v>
      </c>
      <c r="T447" s="27" t="n">
        <f aca="false">MAX(0,NG-MAX(L447,GWL))</f>
        <v>0.8</v>
      </c>
      <c r="U447" s="27" t="n">
        <f aca="false">E447+2*WS</f>
        <v>3.1999981460019</v>
      </c>
      <c r="V447" s="27" t="n">
        <f aca="false">IF(Q447="Shoring",D447*M447*U447,0)</f>
        <v>0</v>
      </c>
      <c r="W447" s="27" t="n">
        <f aca="false">IF(Q447="Open cut",D447*(U447*M447+SLOPE_B*S447^2+2*SLOPE_B*S447*T447+SLOPE_A*T447^2),0)</f>
        <v>52.1068588216231</v>
      </c>
      <c r="X447" s="27" t="n">
        <f aca="false">IF(M447&gt;0,D447*(E447+2*SLABOVH)*SLAB,0)</f>
        <v>4.26087940901903</v>
      </c>
      <c r="Y447" s="27" t="n">
        <f aca="false">IF(M447&gt;0,D447*PI()*E447^2/4,0)</f>
        <v>4.38084568386621</v>
      </c>
      <c r="Z447" s="27" t="n">
        <f aca="false">IF(H447-E447&gt;=GWL,99,E447*(MAX(0,GWL-H447)*(GAM_S-GAM_W)+MAX(0,NG-MAX(H447,GWL))*GAM_D)/(GAM_W*PI()*E447^2/4))</f>
        <v>0.4737878205314</v>
      </c>
      <c r="AA447" s="27" t="n">
        <f aca="false">IF(I447-E447&gt;=GWL,99,E447*(MAX(0,GWL-I447)*(GAM_S-GAM_W)+MAX(0,NG-MAX(I447,GWL))*GAM_D)/(GAM_W*PI()*E447^2/4))</f>
        <v>0.4737878205314</v>
      </c>
      <c r="AB447" s="27" t="n">
        <f aca="false">IF(H447-E447&gt;=GWL,99,E447*(MAX(0,GWL-H447)*(GAM_S-GAM_W)+MAX(0,FL-MAX(H447,GWL))*GAM_D)/(GAM_W*PI()*E447^2/4))</f>
        <v>3.78343701046287</v>
      </c>
      <c r="AC447" s="27" t="n">
        <f aca="false">IF(I447-E447&gt;=GWL,99,E447*(MAX(0,GWL-I447)*(GAM_S-GAM_W)+MAX(0,FL-MAX(I447,GWL))*GAM_D)/(GAM_W*PI()*E447^2/4))</f>
        <v>3.78343701046287</v>
      </c>
    </row>
    <row r="448" customFormat="false" ht="15" hidden="false" customHeight="false" outlineLevel="0" collapsed="false">
      <c r="A448" s="25" t="s">
        <v>873</v>
      </c>
      <c r="B448" s="25" t="s">
        <v>952</v>
      </c>
      <c r="C448" s="25" t="s">
        <v>954</v>
      </c>
      <c r="D448" s="26" t="n">
        <v>0.17500382562323</v>
      </c>
      <c r="E448" s="26" t="n">
        <v>1.22580117869563</v>
      </c>
      <c r="F448" s="26" t="n">
        <v>-2.65626058934782</v>
      </c>
      <c r="G448" s="26" t="n">
        <v>-2.65626058934782</v>
      </c>
      <c r="H448" s="26" t="n">
        <v>-0.930459410652185</v>
      </c>
      <c r="I448" s="26" t="n">
        <v>-0.930459410652185</v>
      </c>
      <c r="J448" s="26" t="n">
        <v>99</v>
      </c>
      <c r="K448" s="27" t="n">
        <f aca="false">MIN(F448,G448)</f>
        <v>-2.65626058934782</v>
      </c>
      <c r="L448" s="27" t="n">
        <f aca="false">AVERAGE(F448,G448)</f>
        <v>-2.65626058934782</v>
      </c>
      <c r="M448" s="27" t="n">
        <f aca="false">MAX(0,NG-L448)</f>
        <v>1.95626058934782</v>
      </c>
      <c r="N448" s="27" t="n">
        <f aca="false">MAX(0,GWL-K448)</f>
        <v>1.15626058934782</v>
      </c>
      <c r="O448" s="27" t="n">
        <f aca="false">MAX(0,NG-MAX(K448,GWL))</f>
        <v>0.8</v>
      </c>
      <c r="P448" s="27" t="n">
        <f aca="false">E448/2+WS+SLOPE_A*O448+SLOPE_B*N448</f>
        <v>5.12542176804345</v>
      </c>
      <c r="Q448" s="28" t="str">
        <f aca="false">IF(AND(P448&lt;J448,N448&lt;=MAXOC),"Open cut","Shoring")</f>
        <v>Open cut</v>
      </c>
      <c r="R448" s="27" t="n">
        <f aca="false">IF(Q448="Shoring",D448,0)</f>
        <v>0</v>
      </c>
      <c r="S448" s="27" t="n">
        <f aca="false">MAX(0,GWL-L448)</f>
        <v>1.15626058934782</v>
      </c>
      <c r="T448" s="27" t="n">
        <f aca="false">MAX(0,NG-MAX(L448,GWL))</f>
        <v>0.8</v>
      </c>
      <c r="U448" s="27" t="n">
        <f aca="false">E448+2*WS</f>
        <v>3.22580117869563</v>
      </c>
      <c r="V448" s="27" t="n">
        <f aca="false">IF(Q448="Shoring",D448*M448*U448,0)</f>
        <v>0</v>
      </c>
      <c r="W448" s="27" t="n">
        <f aca="false">IF(Q448="Open cut",D448*(U448*M448+SLOPE_B*S448^2+2*SLOPE_B*S448*T448+SLOPE_A*T448^2),0)</f>
        <v>2.3878254712245</v>
      </c>
      <c r="X448" s="27" t="n">
        <f aca="false">IF(M448&gt;0,D448*(E448+2*SLABOVH)*SLAB,0)</f>
        <v>0.194761860674214</v>
      </c>
      <c r="Y448" s="27" t="n">
        <f aca="false">IF(M448&gt;0,D448*PI()*E448^2/4,0)</f>
        <v>0.206527312257105</v>
      </c>
      <c r="Z448" s="27" t="n">
        <f aca="false">IF(H448-E448&gt;=GWL,99,E448*(MAX(0,GWL-H448)*(GAM_S-GAM_W)+MAX(0,NG-MAX(H448,GWL))*GAM_D)/(GAM_W*PI()*E448^2/4))</f>
        <v>0.439225988262639</v>
      </c>
      <c r="AA448" s="27" t="n">
        <f aca="false">IF(I448-E448&gt;=GWL,99,E448*(MAX(0,GWL-I448)*(GAM_S-GAM_W)+MAX(0,NG-MAX(I448,GWL))*GAM_D)/(GAM_W*PI()*E448^2/4))</f>
        <v>0.439225988262639</v>
      </c>
      <c r="AB448" s="27" t="n">
        <f aca="false">IF(H448-E448&gt;=GWL,99,E448*(MAX(0,GWL-H448)*(GAM_S-GAM_W)+MAX(0,FL-MAX(H448,GWL))*GAM_D)/(GAM_W*PI()*E448^2/4))</f>
        <v>3.67920728446321</v>
      </c>
      <c r="AC448" s="27" t="n">
        <f aca="false">IF(I448-E448&gt;=GWL,99,E448*(MAX(0,GWL-I448)*(GAM_S-GAM_W)+MAX(0,FL-MAX(I448,GWL))*GAM_D)/(GAM_W*PI()*E448^2/4))</f>
        <v>3.67920728446321</v>
      </c>
    </row>
    <row r="449" customFormat="false" ht="15" hidden="false" customHeight="false" outlineLevel="0" collapsed="false">
      <c r="A449" s="25" t="s">
        <v>873</v>
      </c>
      <c r="B449" s="25" t="s">
        <v>952</v>
      </c>
      <c r="C449" s="25" t="s">
        <v>955</v>
      </c>
      <c r="D449" s="26" t="n">
        <v>4.12115227920076</v>
      </c>
      <c r="E449" s="26" t="n">
        <v>1.22580117869563</v>
      </c>
      <c r="F449" s="26" t="n">
        <v>-2.65626058934782</v>
      </c>
      <c r="G449" s="26" t="n">
        <v>-2.65626058934782</v>
      </c>
      <c r="H449" s="26" t="n">
        <v>-0.930459410652185</v>
      </c>
      <c r="I449" s="26" t="n">
        <v>-0.930459410652185</v>
      </c>
      <c r="J449" s="26" t="n">
        <v>99</v>
      </c>
      <c r="K449" s="27" t="n">
        <f aca="false">MIN(F449,G449)</f>
        <v>-2.65626058934782</v>
      </c>
      <c r="L449" s="27" t="n">
        <f aca="false">AVERAGE(F449,G449)</f>
        <v>-2.65626058934782</v>
      </c>
      <c r="M449" s="27" t="n">
        <f aca="false">MAX(0,NG-L449)</f>
        <v>1.95626058934782</v>
      </c>
      <c r="N449" s="27" t="n">
        <f aca="false">MAX(0,GWL-K449)</f>
        <v>1.15626058934782</v>
      </c>
      <c r="O449" s="27" t="n">
        <f aca="false">MAX(0,NG-MAX(K449,GWL))</f>
        <v>0.8</v>
      </c>
      <c r="P449" s="27" t="n">
        <f aca="false">E449/2+WS+SLOPE_A*O449+SLOPE_B*N449</f>
        <v>5.12542176804345</v>
      </c>
      <c r="Q449" s="28" t="str">
        <f aca="false">IF(AND(P449&lt;J449,N449&lt;=MAXOC),"Open cut","Shoring")</f>
        <v>Open cut</v>
      </c>
      <c r="R449" s="27" t="n">
        <f aca="false">IF(Q449="Shoring",D449,0)</f>
        <v>0</v>
      </c>
      <c r="S449" s="27" t="n">
        <f aca="false">MAX(0,GWL-L449)</f>
        <v>1.15626058934782</v>
      </c>
      <c r="T449" s="27" t="n">
        <f aca="false">MAX(0,NG-MAX(L449,GWL))</f>
        <v>0.8</v>
      </c>
      <c r="U449" s="27" t="n">
        <f aca="false">E449+2*WS</f>
        <v>3.22580117869563</v>
      </c>
      <c r="V449" s="27" t="n">
        <f aca="false">IF(Q449="Shoring",D449*M449*U449,0)</f>
        <v>0</v>
      </c>
      <c r="W449" s="27" t="n">
        <f aca="false">IF(Q449="Open cut",D449*(U449*M449+SLOPE_B*S449^2+2*SLOPE_B*S449*T449+SLOPE_A*T449^2),0)</f>
        <v>56.2307272313952</v>
      </c>
      <c r="X449" s="27" t="n">
        <f aca="false">IF(M449&gt;0,D449*(E449+2*SLABOVH)*SLAB,0)</f>
        <v>4.58643280031461</v>
      </c>
      <c r="Y449" s="27" t="n">
        <f aca="false">IF(M449&gt;0,D449*PI()*E449^2/4,0)</f>
        <v>4.86349655840093</v>
      </c>
      <c r="Z449" s="27" t="n">
        <f aca="false">IF(H449-E449&gt;=GWL,99,E449*(MAX(0,GWL-H449)*(GAM_S-GAM_W)+MAX(0,NG-MAX(H449,GWL))*GAM_D)/(GAM_W*PI()*E449^2/4))</f>
        <v>0.439225988262639</v>
      </c>
      <c r="AA449" s="27" t="n">
        <f aca="false">IF(I449-E449&gt;=GWL,99,E449*(MAX(0,GWL-I449)*(GAM_S-GAM_W)+MAX(0,NG-MAX(I449,GWL))*GAM_D)/(GAM_W*PI()*E449^2/4))</f>
        <v>0.439225988262639</v>
      </c>
      <c r="AB449" s="27" t="n">
        <f aca="false">IF(H449-E449&gt;=GWL,99,E449*(MAX(0,GWL-H449)*(GAM_S-GAM_W)+MAX(0,FL-MAX(H449,GWL))*GAM_D)/(GAM_W*PI()*E449^2/4))</f>
        <v>3.67920728446321</v>
      </c>
      <c r="AC449" s="27" t="n">
        <f aca="false">IF(I449-E449&gt;=GWL,99,E449*(MAX(0,GWL-I449)*(GAM_S-GAM_W)+MAX(0,FL-MAX(I449,GWL))*GAM_D)/(GAM_W*PI()*E449^2/4))</f>
        <v>3.67920728446321</v>
      </c>
    </row>
    <row r="450" customFormat="false" ht="15" hidden="false" customHeight="false" outlineLevel="0" collapsed="false">
      <c r="A450" s="25" t="s">
        <v>956</v>
      </c>
      <c r="B450" s="25" t="s">
        <v>957</v>
      </c>
      <c r="C450" s="25" t="s">
        <v>958</v>
      </c>
      <c r="D450" s="26" t="n">
        <v>0.599989541711427</v>
      </c>
      <c r="E450" s="26" t="n">
        <v>1.65520026701648</v>
      </c>
      <c r="F450" s="26" t="n">
        <v>-5.03299013350824</v>
      </c>
      <c r="G450" s="26" t="n">
        <v>-5.03830013350824</v>
      </c>
      <c r="H450" s="26" t="n">
        <v>-2.87778986649176</v>
      </c>
      <c r="I450" s="26" t="n">
        <v>-2.88309986649176</v>
      </c>
      <c r="J450" s="26" t="n">
        <v>8.82</v>
      </c>
      <c r="K450" s="27" t="n">
        <f aca="false">MIN(F450,G450)</f>
        <v>-5.03830013350824</v>
      </c>
      <c r="L450" s="27" t="n">
        <f aca="false">AVERAGE(F450,G450)</f>
        <v>-5.03564513350824</v>
      </c>
      <c r="M450" s="27" t="n">
        <f aca="false">MAX(0,NG-L450)</f>
        <v>4.33564513350824</v>
      </c>
      <c r="N450" s="27" t="n">
        <f aca="false">MAX(0,GWL-K450)</f>
        <v>3.53830013350824</v>
      </c>
      <c r="O450" s="27" t="n">
        <f aca="false">MAX(0,NG-MAX(K450,GWL))</f>
        <v>0.8</v>
      </c>
      <c r="P450" s="27" t="n">
        <f aca="false">E450/2+WS+SLOPE_A*O450+SLOPE_B*N450</f>
        <v>10.1042004005247</v>
      </c>
      <c r="Q450" s="28" t="str">
        <f aca="false">IF(AND(P450&lt;J450,N450&lt;=MAXOC),"Open cut","Shoring")</f>
        <v>Shoring</v>
      </c>
      <c r="R450" s="27" t="n">
        <f aca="false">IF(Q450="Shoring",D450,0)</f>
        <v>0.599989541711427</v>
      </c>
      <c r="S450" s="27" t="n">
        <f aca="false">MAX(0,GWL-L450)</f>
        <v>3.53564513350824</v>
      </c>
      <c r="T450" s="27" t="n">
        <f aca="false">MAX(0,NG-MAX(L450,GWL))</f>
        <v>0.8</v>
      </c>
      <c r="U450" s="27" t="n">
        <f aca="false">E450+2*WS</f>
        <v>3.65520026701648</v>
      </c>
      <c r="V450" s="27" t="n">
        <f aca="false">IF(Q450="Shoring",D450*M450*U450,0)</f>
        <v>9.50842501050284</v>
      </c>
      <c r="W450" s="27" t="n">
        <f aca="false">IF(Q450="Open cut",D450*(U450*M450+SLOPE_B*S450^2+2*SLOPE_B*S450*T450+SLOPE_A*T450^2),0)</f>
        <v>0</v>
      </c>
      <c r="X450" s="27" t="n">
        <f aca="false">IF(M450&gt;0,D450*(E450+2*SLABOVH)*SLAB,0)</f>
        <v>0.796546195679638</v>
      </c>
      <c r="Y450" s="27" t="n">
        <f aca="false">IF(M450&gt;0,D450*PI()*E450^2/4,0)</f>
        <v>1.29102501466357</v>
      </c>
      <c r="Z450" s="27" t="n">
        <f aca="false">IF(H450-E450&gt;=GWL,99,E450*(MAX(0,GWL-H450)*(GAM_S-GAM_W)+MAX(0,NG-MAX(H450,GWL))*GAM_D)/(GAM_W*PI()*E450^2/4))</f>
        <v>2.01397881957377</v>
      </c>
      <c r="AA450" s="27" t="n">
        <f aca="false">IF(I450-E450&gt;=GWL,99,E450*(MAX(0,GWL-I450)*(GAM_S-GAM_W)+MAX(0,NG-MAX(I450,GWL))*GAM_D)/(GAM_W*PI()*E450^2/4))</f>
        <v>2.01738893427019</v>
      </c>
      <c r="AB450" s="27" t="n">
        <f aca="false">IF(H450-E450&gt;=GWL,99,E450*(MAX(0,GWL-H450)*(GAM_S-GAM_W)+MAX(0,FL-MAX(H450,GWL))*GAM_D)/(GAM_W*PI()*E450^2/4))</f>
        <v>4.41343039711204</v>
      </c>
      <c r="AC450" s="27" t="n">
        <f aca="false">IF(I450-E450&gt;=GWL,99,E450*(MAX(0,GWL-I450)*(GAM_S-GAM_W)+MAX(0,FL-MAX(I450,GWL))*GAM_D)/(GAM_W*PI()*E450^2/4))</f>
        <v>4.41684051180846</v>
      </c>
    </row>
    <row r="451" customFormat="false" ht="15" hidden="false" customHeight="false" outlineLevel="0" collapsed="false">
      <c r="A451" s="25" t="s">
        <v>956</v>
      </c>
      <c r="B451" s="25" t="s">
        <v>957</v>
      </c>
      <c r="C451" s="25" t="s">
        <v>959</v>
      </c>
      <c r="D451" s="26" t="n">
        <v>1.61308599794767</v>
      </c>
      <c r="E451" s="26" t="n">
        <v>2.0696053161602</v>
      </c>
      <c r="F451" s="26" t="n">
        <v>-5.2455026580801</v>
      </c>
      <c r="G451" s="26" t="n">
        <v>-5.2597926580801</v>
      </c>
      <c r="H451" s="26" t="n">
        <v>-2.6758973419199</v>
      </c>
      <c r="I451" s="26" t="n">
        <v>-2.6901873419199</v>
      </c>
      <c r="J451" s="26" t="n">
        <v>8.8</v>
      </c>
      <c r="K451" s="27" t="n">
        <f aca="false">MIN(F451,G451)</f>
        <v>-5.2597926580801</v>
      </c>
      <c r="L451" s="27" t="n">
        <f aca="false">AVERAGE(F451,G451)</f>
        <v>-5.2526476580801</v>
      </c>
      <c r="M451" s="27" t="n">
        <f aca="false">MAX(0,NG-L451)</f>
        <v>4.5526476580801</v>
      </c>
      <c r="N451" s="27" t="n">
        <f aca="false">MAX(0,GWL-K451)</f>
        <v>3.7597926580801</v>
      </c>
      <c r="O451" s="27" t="n">
        <f aca="false">MAX(0,NG-MAX(K451,GWL))</f>
        <v>0.8</v>
      </c>
      <c r="P451" s="27" t="n">
        <f aca="false">E451/2+WS+SLOPE_A*O451+SLOPE_B*N451</f>
        <v>10.7543879742403</v>
      </c>
      <c r="Q451" s="28" t="str">
        <f aca="false">IF(AND(P451&lt;J451,N451&lt;=MAXOC),"Open cut","Shoring")</f>
        <v>Shoring</v>
      </c>
      <c r="R451" s="27" t="n">
        <f aca="false">IF(Q451="Shoring",D451,0)</f>
        <v>1.61308599794767</v>
      </c>
      <c r="S451" s="27" t="n">
        <f aca="false">MAX(0,GWL-L451)</f>
        <v>3.7526476580801</v>
      </c>
      <c r="T451" s="27" t="n">
        <f aca="false">MAX(0,NG-MAX(L451,GWL))</f>
        <v>0.8</v>
      </c>
      <c r="U451" s="27" t="n">
        <f aca="false">E451+2*WS</f>
        <v>4.0696053161602</v>
      </c>
      <c r="V451" s="27" t="n">
        <f aca="false">IF(Q451="Shoring",D451*M451*U451,0)</f>
        <v>29.8864171327174</v>
      </c>
      <c r="W451" s="27" t="n">
        <f aca="false">IF(Q451="Open cut",D451*(U451*M451+SLOPE_B*S451^2+2*SLOPE_B*S451*T451+SLOPE_A*T451^2),0)</f>
        <v>0</v>
      </c>
      <c r="X451" s="27" t="n">
        <f aca="false">IF(M451&gt;0,D451*(E451+2*SLABOVH)*SLAB,0)</f>
        <v>2.47576867736187</v>
      </c>
      <c r="Y451" s="27" t="n">
        <f aca="false">IF(M451&gt;0,D451*PI()*E451^2/4,0)</f>
        <v>5.42653321152002</v>
      </c>
      <c r="Z451" s="27" t="n">
        <f aca="false">IF(H451-E451&gt;=GWL,99,E451*(MAX(0,GWL-H451)*(GAM_S-GAM_W)+MAX(0,NG-MAX(H451,GWL))*GAM_D)/(GAM_W*PI()*E451^2/4))</f>
        <v>1.5070171010349</v>
      </c>
      <c r="AA451" s="27" t="n">
        <f aca="false">IF(I451-E451&gt;=GWL,99,E451*(MAX(0,GWL-I451)*(GAM_S-GAM_W)+MAX(0,NG-MAX(I451,GWL))*GAM_D)/(GAM_W*PI()*E451^2/4))</f>
        <v>1.51435665571811</v>
      </c>
      <c r="AB451" s="27" t="n">
        <f aca="false">IF(H451-E451&gt;=GWL,99,E451*(MAX(0,GWL-H451)*(GAM_S-GAM_W)+MAX(0,FL-MAX(H451,GWL))*GAM_D)/(GAM_W*PI()*E451^2/4))</f>
        <v>3.42601724121768</v>
      </c>
      <c r="AC451" s="27" t="n">
        <f aca="false">IF(I451-E451&gt;=GWL,99,E451*(MAX(0,GWL-I451)*(GAM_S-GAM_W)+MAX(0,FL-MAX(I451,GWL))*GAM_D)/(GAM_W*PI()*E451^2/4))</f>
        <v>3.43335679590089</v>
      </c>
    </row>
    <row r="452" customFormat="false" ht="15" hidden="false" customHeight="false" outlineLevel="0" collapsed="false">
      <c r="A452" s="25" t="s">
        <v>956</v>
      </c>
      <c r="B452" s="25" t="s">
        <v>957</v>
      </c>
      <c r="C452" s="25" t="s">
        <v>960</v>
      </c>
      <c r="D452" s="26" t="n">
        <v>7.78692446032906</v>
      </c>
      <c r="E452" s="26" t="n">
        <v>2.0696053161602</v>
      </c>
      <c r="F452" s="26" t="n">
        <v>-5.2597926580801</v>
      </c>
      <c r="G452" s="26" t="n">
        <v>-5.3287510592878</v>
      </c>
      <c r="H452" s="26" t="n">
        <v>-2.6901873419199</v>
      </c>
      <c r="I452" s="26" t="n">
        <v>-2.75914574312759</v>
      </c>
      <c r="J452" s="26" t="n">
        <v>8.8</v>
      </c>
      <c r="K452" s="27" t="n">
        <f aca="false">MIN(F452,G452)</f>
        <v>-5.3287510592878</v>
      </c>
      <c r="L452" s="27" t="n">
        <f aca="false">AVERAGE(F452,G452)</f>
        <v>-5.29427185868395</v>
      </c>
      <c r="M452" s="27" t="n">
        <f aca="false">MAX(0,NG-L452)</f>
        <v>4.59427185868395</v>
      </c>
      <c r="N452" s="27" t="n">
        <f aca="false">MAX(0,GWL-K452)</f>
        <v>3.82875105928779</v>
      </c>
      <c r="O452" s="27" t="n">
        <f aca="false">MAX(0,NG-MAX(K452,GWL))</f>
        <v>0.8</v>
      </c>
      <c r="P452" s="27" t="n">
        <f aca="false">E452/2+WS+SLOPE_A*O452+SLOPE_B*N452</f>
        <v>10.8923047766557</v>
      </c>
      <c r="Q452" s="28" t="str">
        <f aca="false">IF(AND(P452&lt;J452,N452&lt;=MAXOC),"Open cut","Shoring")</f>
        <v>Shoring</v>
      </c>
      <c r="R452" s="27" t="n">
        <f aca="false">IF(Q452="Shoring",D452,0)</f>
        <v>7.78692446032906</v>
      </c>
      <c r="S452" s="27" t="n">
        <f aca="false">MAX(0,GWL-L452)</f>
        <v>3.79427185868395</v>
      </c>
      <c r="T452" s="27" t="n">
        <f aca="false">MAX(0,NG-MAX(L452,GWL))</f>
        <v>0.8</v>
      </c>
      <c r="U452" s="27" t="n">
        <f aca="false">E452+2*WS</f>
        <v>4.0696053161602</v>
      </c>
      <c r="V452" s="27" t="n">
        <f aca="false">IF(Q452="Shoring",D452*M452*U452,0)</f>
        <v>145.591139096899</v>
      </c>
      <c r="W452" s="27" t="n">
        <f aca="false">IF(Q452="Open cut",D452*(U452*M452+SLOPE_B*S452^2+2*SLOPE_B*S452*T452+SLOPE_A*T452^2),0)</f>
        <v>0</v>
      </c>
      <c r="X452" s="27" t="n">
        <f aca="false">IF(M452&gt;0,D452*(E452+2*SLABOVH)*SLAB,0)</f>
        <v>11.951392359982</v>
      </c>
      <c r="Y452" s="27" t="n">
        <f aca="false">IF(M452&gt;0,D452*PI()*E452^2/4,0)</f>
        <v>26.1957541342097</v>
      </c>
      <c r="Z452" s="27" t="n">
        <f aca="false">IF(H452-E452&gt;=GWL,99,E452*(MAX(0,GWL-H452)*(GAM_S-GAM_W)+MAX(0,NG-MAX(H452,GWL))*GAM_D)/(GAM_W*PI()*E452^2/4))</f>
        <v>1.51435665571811</v>
      </c>
      <c r="AA452" s="27" t="n">
        <f aca="false">IF(I452-E452&gt;=GWL,99,E452*(MAX(0,GWL-I452)*(GAM_S-GAM_W)+MAX(0,NG-MAX(I452,GWL))*GAM_D)/(GAM_W*PI()*E452^2/4))</f>
        <v>1.5497747072598</v>
      </c>
      <c r="AB452" s="27" t="n">
        <f aca="false">IF(H452-E452&gt;=GWL,99,E452*(MAX(0,GWL-H452)*(GAM_S-GAM_W)+MAX(0,FL-MAX(H452,GWL))*GAM_D)/(GAM_W*PI()*E452^2/4))</f>
        <v>3.43335679590089</v>
      </c>
      <c r="AC452" s="27" t="n">
        <f aca="false">IF(I452-E452&gt;=GWL,99,E452*(MAX(0,GWL-I452)*(GAM_S-GAM_W)+MAX(0,FL-MAX(I452,GWL))*GAM_D)/(GAM_W*PI()*E452^2/4))</f>
        <v>3.46877484744258</v>
      </c>
    </row>
    <row r="453" customFormat="false" ht="15" hidden="false" customHeight="false" outlineLevel="0" collapsed="false">
      <c r="A453" s="25" t="s">
        <v>956</v>
      </c>
      <c r="B453" s="25" t="s">
        <v>957</v>
      </c>
      <c r="C453" s="25" t="s">
        <v>961</v>
      </c>
      <c r="D453" s="26" t="n">
        <v>1.8125795419269</v>
      </c>
      <c r="E453" s="26" t="n">
        <v>2.0696053161602</v>
      </c>
      <c r="F453" s="26" t="n">
        <v>-5.3287510592878</v>
      </c>
      <c r="G453" s="26" t="n">
        <v>-5.3448026580801</v>
      </c>
      <c r="H453" s="26" t="n">
        <v>-2.75914574312759</v>
      </c>
      <c r="I453" s="26" t="n">
        <v>-2.7751973419199</v>
      </c>
      <c r="J453" s="26" t="n">
        <v>9.7</v>
      </c>
      <c r="K453" s="27" t="n">
        <f aca="false">MIN(F453,G453)</f>
        <v>-5.3448026580801</v>
      </c>
      <c r="L453" s="27" t="n">
        <f aca="false">AVERAGE(F453,G453)</f>
        <v>-5.33677685868395</v>
      </c>
      <c r="M453" s="27" t="n">
        <f aca="false">MAX(0,NG-L453)</f>
        <v>4.63677685868395</v>
      </c>
      <c r="N453" s="27" t="n">
        <f aca="false">MAX(0,GWL-K453)</f>
        <v>3.8448026580801</v>
      </c>
      <c r="O453" s="27" t="n">
        <f aca="false">MAX(0,NG-MAX(K453,GWL))</f>
        <v>0.8</v>
      </c>
      <c r="P453" s="27" t="n">
        <f aca="false">E453/2+WS+SLOPE_A*O453+SLOPE_B*N453</f>
        <v>10.9244079742403</v>
      </c>
      <c r="Q453" s="28" t="str">
        <f aca="false">IF(AND(P453&lt;J453,N453&lt;=MAXOC),"Open cut","Shoring")</f>
        <v>Shoring</v>
      </c>
      <c r="R453" s="27" t="n">
        <f aca="false">IF(Q453="Shoring",D453,0)</f>
        <v>1.8125795419269</v>
      </c>
      <c r="S453" s="27" t="n">
        <f aca="false">MAX(0,GWL-L453)</f>
        <v>3.83677685868395</v>
      </c>
      <c r="T453" s="27" t="n">
        <f aca="false">MAX(0,NG-MAX(L453,GWL))</f>
        <v>0.8</v>
      </c>
      <c r="U453" s="27" t="n">
        <f aca="false">E453+2*WS</f>
        <v>4.0696053161602</v>
      </c>
      <c r="V453" s="27" t="n">
        <f aca="false">IF(Q453="Shoring",D453*M453*U453,0)</f>
        <v>34.203107248401</v>
      </c>
      <c r="W453" s="27" t="n">
        <f aca="false">IF(Q453="Open cut",D453*(U453*M453+SLOPE_B*S453^2+2*SLOPE_B*S453*T453+SLOPE_A*T453^2),0)</f>
        <v>0</v>
      </c>
      <c r="X453" s="27" t="n">
        <f aca="false">IF(M453&gt;0,D453*(E453+2*SLABOVH)*SLAB,0)</f>
        <v>2.78195189893102</v>
      </c>
      <c r="Y453" s="27" t="n">
        <f aca="false">IF(M453&gt;0,D453*PI()*E453^2/4,0)</f>
        <v>6.09764333414491</v>
      </c>
      <c r="Z453" s="27" t="n">
        <f aca="false">IF(H453-E453&gt;=GWL,99,E453*(MAX(0,GWL-H453)*(GAM_S-GAM_W)+MAX(0,NG-MAX(H453,GWL))*GAM_D)/(GAM_W*PI()*E453^2/4))</f>
        <v>1.5497747072598</v>
      </c>
      <c r="AA453" s="27" t="n">
        <f aca="false">IF(I453-E453&gt;=GWL,99,E453*(MAX(0,GWL-I453)*(GAM_S-GAM_W)+MAX(0,NG-MAX(I453,GWL))*GAM_D)/(GAM_W*PI()*E453^2/4))</f>
        <v>1.5580190450547</v>
      </c>
      <c r="AB453" s="27" t="n">
        <f aca="false">IF(H453-E453&gt;=GWL,99,E453*(MAX(0,GWL-H453)*(GAM_S-GAM_W)+MAX(0,FL-MAX(H453,GWL))*GAM_D)/(GAM_W*PI()*E453^2/4))</f>
        <v>3.46877484744258</v>
      </c>
      <c r="AC453" s="27" t="n">
        <f aca="false">IF(I453-E453&gt;=GWL,99,E453*(MAX(0,GWL-I453)*(GAM_S-GAM_W)+MAX(0,FL-MAX(I453,GWL))*GAM_D)/(GAM_W*PI()*E453^2/4))</f>
        <v>3.47701918523748</v>
      </c>
    </row>
    <row r="454" customFormat="false" ht="15" hidden="false" customHeight="false" outlineLevel="0" collapsed="false">
      <c r="A454" s="25" t="s">
        <v>956</v>
      </c>
      <c r="B454" s="25" t="s">
        <v>957</v>
      </c>
      <c r="C454" s="25" t="s">
        <v>962</v>
      </c>
      <c r="D454" s="26" t="n">
        <v>1.95429608498152</v>
      </c>
      <c r="E454" s="26" t="n">
        <v>2.0696053161602</v>
      </c>
      <c r="F454" s="26" t="n">
        <v>-5.3448026580801</v>
      </c>
      <c r="G454" s="26" t="n">
        <v>-5.3446626580801</v>
      </c>
      <c r="H454" s="26" t="n">
        <v>-2.7751973419199</v>
      </c>
      <c r="I454" s="26" t="n">
        <v>-2.7750573419199</v>
      </c>
      <c r="J454" s="26" t="n">
        <v>10.13</v>
      </c>
      <c r="K454" s="27" t="n">
        <f aca="false">MIN(F454,G454)</f>
        <v>-5.3448026580801</v>
      </c>
      <c r="L454" s="27" t="n">
        <f aca="false">AVERAGE(F454,G454)</f>
        <v>-5.3447326580801</v>
      </c>
      <c r="M454" s="27" t="n">
        <f aca="false">MAX(0,NG-L454)</f>
        <v>4.6447326580801</v>
      </c>
      <c r="N454" s="27" t="n">
        <f aca="false">MAX(0,GWL-K454)</f>
        <v>3.8448026580801</v>
      </c>
      <c r="O454" s="27" t="n">
        <f aca="false">MAX(0,NG-MAX(K454,GWL))</f>
        <v>0.8</v>
      </c>
      <c r="P454" s="27" t="n">
        <f aca="false">E454/2+WS+SLOPE_A*O454+SLOPE_B*N454</f>
        <v>10.9244079742403</v>
      </c>
      <c r="Q454" s="28" t="str">
        <f aca="false">IF(AND(P454&lt;J454,N454&lt;=MAXOC),"Open cut","Shoring")</f>
        <v>Shoring</v>
      </c>
      <c r="R454" s="27" t="n">
        <f aca="false">IF(Q454="Shoring",D454,0)</f>
        <v>1.95429608498152</v>
      </c>
      <c r="S454" s="27" t="n">
        <f aca="false">MAX(0,GWL-L454)</f>
        <v>3.8447326580801</v>
      </c>
      <c r="T454" s="27" t="n">
        <f aca="false">MAX(0,NG-MAX(L454,GWL))</f>
        <v>0.8</v>
      </c>
      <c r="U454" s="27" t="n">
        <f aca="false">E454+2*WS</f>
        <v>4.0696053161602</v>
      </c>
      <c r="V454" s="27" t="n">
        <f aca="false">IF(Q454="Shoring",D454*M454*U454,0)</f>
        <v>36.9405515799684</v>
      </c>
      <c r="W454" s="27" t="n">
        <f aca="false">IF(Q454="Open cut",D454*(U454*M454+SLOPE_B*S454^2+2*SLOPE_B*S454*T454+SLOPE_A*T454^2),0)</f>
        <v>0</v>
      </c>
      <c r="X454" s="27" t="n">
        <f aca="false">IF(M454&gt;0,D454*(E454+2*SLABOVH)*SLAB,0)</f>
        <v>2.99945882590517</v>
      </c>
      <c r="Y454" s="27" t="n">
        <f aca="false">IF(M454&gt;0,D454*PI()*E454^2/4,0)</f>
        <v>6.57438761714416</v>
      </c>
      <c r="Z454" s="27" t="n">
        <f aca="false">IF(H454-E454&gt;=GWL,99,E454*(MAX(0,GWL-H454)*(GAM_S-GAM_W)+MAX(0,NG-MAX(H454,GWL))*GAM_D)/(GAM_W*PI()*E454^2/4))</f>
        <v>1.5580190450547</v>
      </c>
      <c r="AA454" s="27" t="n">
        <f aca="false">IF(I454-E454&gt;=GWL,99,E454*(MAX(0,GWL-I454)*(GAM_S-GAM_W)+MAX(0,NG-MAX(I454,GWL))*GAM_D)/(GAM_W*PI()*E454^2/4))</f>
        <v>1.55794713899063</v>
      </c>
      <c r="AB454" s="27" t="n">
        <f aca="false">IF(H454-E454&gt;=GWL,99,E454*(MAX(0,GWL-H454)*(GAM_S-GAM_W)+MAX(0,FL-MAX(H454,GWL))*GAM_D)/(GAM_W*PI()*E454^2/4))</f>
        <v>3.47701918523748</v>
      </c>
      <c r="AC454" s="27" t="n">
        <f aca="false">IF(I454-E454&gt;=GWL,99,E454*(MAX(0,GWL-I454)*(GAM_S-GAM_W)+MAX(0,FL-MAX(I454,GWL))*GAM_D)/(GAM_W*PI()*E454^2/4))</f>
        <v>3.47694727917341</v>
      </c>
    </row>
    <row r="455" customFormat="false" ht="15" hidden="false" customHeight="false" outlineLevel="0" collapsed="false">
      <c r="A455" s="25" t="s">
        <v>956</v>
      </c>
      <c r="B455" s="25" t="s">
        <v>957</v>
      </c>
      <c r="C455" s="25" t="s">
        <v>963</v>
      </c>
      <c r="D455" s="26" t="n">
        <v>2.06338999954137</v>
      </c>
      <c r="E455" s="26" t="n">
        <v>2.04120982148155</v>
      </c>
      <c r="F455" s="26" t="n">
        <v>-5.33046491074078</v>
      </c>
      <c r="G455" s="26" t="n">
        <v>-5.33031491074078</v>
      </c>
      <c r="H455" s="26" t="n">
        <v>-2.78925508925923</v>
      </c>
      <c r="I455" s="26" t="n">
        <v>-2.78910508925922</v>
      </c>
      <c r="J455" s="26" t="n">
        <v>9.74</v>
      </c>
      <c r="K455" s="27" t="n">
        <f aca="false">MIN(F455,G455)</f>
        <v>-5.33046491074078</v>
      </c>
      <c r="L455" s="27" t="n">
        <f aca="false">AVERAGE(F455,G455)</f>
        <v>-5.33038991074078</v>
      </c>
      <c r="M455" s="27" t="n">
        <f aca="false">MAX(0,NG-L455)</f>
        <v>4.63038991074078</v>
      </c>
      <c r="N455" s="27" t="n">
        <f aca="false">MAX(0,GWL-K455)</f>
        <v>3.83046491074078</v>
      </c>
      <c r="O455" s="27" t="n">
        <f aca="false">MAX(0,NG-MAX(K455,GWL))</f>
        <v>0.8</v>
      </c>
      <c r="P455" s="27" t="n">
        <f aca="false">E455/2+WS+SLOPE_A*O455+SLOPE_B*N455</f>
        <v>10.8815347322223</v>
      </c>
      <c r="Q455" s="28" t="str">
        <f aca="false">IF(AND(P455&lt;J455,N455&lt;=MAXOC),"Open cut","Shoring")</f>
        <v>Shoring</v>
      </c>
      <c r="R455" s="27" t="n">
        <f aca="false">IF(Q455="Shoring",D455,0)</f>
        <v>2.06338999954137</v>
      </c>
      <c r="S455" s="27" t="n">
        <f aca="false">MAX(0,GWL-L455)</f>
        <v>3.83038991074078</v>
      </c>
      <c r="T455" s="27" t="n">
        <f aca="false">MAX(0,NG-MAX(L455,GWL))</f>
        <v>0.8</v>
      </c>
      <c r="U455" s="27" t="n">
        <f aca="false">E455+2*WS</f>
        <v>4.04120982148155</v>
      </c>
      <c r="V455" s="27" t="n">
        <f aca="false">IF(Q455="Shoring",D455*M455*U455,0)</f>
        <v>38.6109319502975</v>
      </c>
      <c r="W455" s="27" t="n">
        <f aca="false">IF(Q455="Open cut",D455*(U455*M455+SLOPE_B*S455^2+2*SLOPE_B*S455*T455+SLOPE_A*T455^2),0)</f>
        <v>0</v>
      </c>
      <c r="X455" s="27" t="n">
        <f aca="false">IF(M455&gt;0,D455*(E455+2*SLABOVH)*SLAB,0)</f>
        <v>3.13760096607601</v>
      </c>
      <c r="Y455" s="27" t="n">
        <f aca="false">IF(M455&gt;0,D455*PI()*E455^2/4,0)</f>
        <v>6.75221871534496</v>
      </c>
      <c r="Z455" s="27" t="n">
        <f aca="false">IF(H455-E455&gt;=GWL,99,E455*(MAX(0,GWL-H455)*(GAM_S-GAM_W)+MAX(0,NG-MAX(H455,GWL))*GAM_D)/(GAM_W*PI()*E455^2/4))</f>
        <v>1.58701352782824</v>
      </c>
      <c r="AA455" s="27" t="n">
        <f aca="false">IF(I455-E455&gt;=GWL,99,E455*(MAX(0,GWL-I455)*(GAM_S-GAM_W)+MAX(0,NG-MAX(I455,GWL))*GAM_D)/(GAM_W*PI()*E455^2/4))</f>
        <v>1.58693541387404</v>
      </c>
      <c r="AB455" s="27" t="n">
        <f aca="false">IF(H455-E455&gt;=GWL,99,E455*(MAX(0,GWL-H455)*(GAM_S-GAM_W)+MAX(0,FL-MAX(H455,GWL))*GAM_D)/(GAM_W*PI()*E455^2/4))</f>
        <v>3.53270909035097</v>
      </c>
      <c r="AC455" s="27" t="n">
        <f aca="false">IF(I455-E455&gt;=GWL,99,E455*(MAX(0,GWL-I455)*(GAM_S-GAM_W)+MAX(0,FL-MAX(I455,GWL))*GAM_D)/(GAM_W*PI()*E455^2/4))</f>
        <v>3.53263097639677</v>
      </c>
    </row>
    <row r="456" customFormat="false" ht="15" hidden="false" customHeight="false" outlineLevel="0" collapsed="false">
      <c r="A456" s="25" t="s">
        <v>956</v>
      </c>
      <c r="B456" s="25" t="s">
        <v>957</v>
      </c>
      <c r="C456" s="25" t="s">
        <v>964</v>
      </c>
      <c r="D456" s="26" t="n">
        <v>4.16973437352883</v>
      </c>
      <c r="E456" s="26" t="n">
        <v>2.04120982148155</v>
      </c>
      <c r="F456" s="26" t="n">
        <v>-5.33031491074078</v>
      </c>
      <c r="G456" s="26" t="n">
        <v>-5.3300103596236</v>
      </c>
      <c r="H456" s="26" t="n">
        <v>-2.78910508925922</v>
      </c>
      <c r="I456" s="26" t="n">
        <v>-2.78880053814205</v>
      </c>
      <c r="J456" s="26" t="n">
        <v>8.11</v>
      </c>
      <c r="K456" s="27" t="n">
        <f aca="false">MIN(F456,G456)</f>
        <v>-5.33031491074078</v>
      </c>
      <c r="L456" s="27" t="n">
        <f aca="false">AVERAGE(F456,G456)</f>
        <v>-5.33016263518219</v>
      </c>
      <c r="M456" s="27" t="n">
        <f aca="false">MAX(0,NG-L456)</f>
        <v>4.63016263518219</v>
      </c>
      <c r="N456" s="27" t="n">
        <f aca="false">MAX(0,GWL-K456)</f>
        <v>3.83031491074078</v>
      </c>
      <c r="O456" s="27" t="n">
        <f aca="false">MAX(0,NG-MAX(K456,GWL))</f>
        <v>0.8</v>
      </c>
      <c r="P456" s="27" t="n">
        <f aca="false">E456/2+WS+SLOPE_A*O456+SLOPE_B*N456</f>
        <v>10.8812347322223</v>
      </c>
      <c r="Q456" s="28" t="str">
        <f aca="false">IF(AND(P456&lt;J456,N456&lt;=MAXOC),"Open cut","Shoring")</f>
        <v>Shoring</v>
      </c>
      <c r="R456" s="27" t="n">
        <f aca="false">IF(Q456="Shoring",D456,0)</f>
        <v>4.16973437352883</v>
      </c>
      <c r="S456" s="27" t="n">
        <f aca="false">MAX(0,GWL-L456)</f>
        <v>3.83016263518219</v>
      </c>
      <c r="T456" s="27" t="n">
        <f aca="false">MAX(0,NG-MAX(L456,GWL))</f>
        <v>0.8</v>
      </c>
      <c r="U456" s="27" t="n">
        <f aca="false">E456+2*WS</f>
        <v>4.04120982148155</v>
      </c>
      <c r="V456" s="27" t="n">
        <f aca="false">IF(Q456="Shoring",D456*M456*U456,0)</f>
        <v>78.0218125884518</v>
      </c>
      <c r="W456" s="27" t="n">
        <f aca="false">IF(Q456="Open cut",D456*(U456*M456+SLOPE_B*S456^2+2*SLOPE_B*S456*T456+SLOPE_A*T456^2),0)</f>
        <v>0</v>
      </c>
      <c r="X456" s="27" t="n">
        <f aca="false">IF(M456&gt;0,D456*(E456+2*SLABOVH)*SLAB,0)</f>
        <v>6.34051856487255</v>
      </c>
      <c r="Y456" s="27" t="n">
        <f aca="false">IF(M456&gt;0,D456*PI()*E456^2/4,0)</f>
        <v>13.6450009359436</v>
      </c>
      <c r="Z456" s="27" t="n">
        <f aca="false">IF(H456-E456&gt;=GWL,99,E456*(MAX(0,GWL-H456)*(GAM_S-GAM_W)+MAX(0,NG-MAX(H456,GWL))*GAM_D)/(GAM_W*PI()*E456^2/4))</f>
        <v>1.58693541387404</v>
      </c>
      <c r="AA456" s="27" t="n">
        <f aca="false">IF(I456-E456&gt;=GWL,99,E456*(MAX(0,GWL-I456)*(GAM_S-GAM_W)+MAX(0,NG-MAX(I456,GWL))*GAM_D)/(GAM_W*PI()*E456^2/4))</f>
        <v>1.58677681592725</v>
      </c>
      <c r="AB456" s="27" t="n">
        <f aca="false">IF(H456-E456&gt;=GWL,99,E456*(MAX(0,GWL-H456)*(GAM_S-GAM_W)+MAX(0,FL-MAX(H456,GWL))*GAM_D)/(GAM_W*PI()*E456^2/4))</f>
        <v>3.53263097639677</v>
      </c>
      <c r="AC456" s="27" t="n">
        <f aca="false">IF(I456-E456&gt;=GWL,99,E456*(MAX(0,GWL-I456)*(GAM_S-GAM_W)+MAX(0,FL-MAX(I456,GWL))*GAM_D)/(GAM_W*PI()*E456^2/4))</f>
        <v>3.53247237844997</v>
      </c>
    </row>
    <row r="457" customFormat="false" ht="15" hidden="false" customHeight="false" outlineLevel="0" collapsed="false">
      <c r="A457" s="25" t="s">
        <v>956</v>
      </c>
      <c r="B457" s="25" t="s">
        <v>957</v>
      </c>
      <c r="C457" s="25" t="s">
        <v>965</v>
      </c>
      <c r="D457" s="26" t="n">
        <v>9.99999999946693</v>
      </c>
      <c r="E457" s="26" t="n">
        <v>2.04120982148155</v>
      </c>
      <c r="F457" s="26" t="n">
        <v>-5.3300103596236</v>
      </c>
      <c r="G457" s="26" t="n">
        <v>-5.32927997468799</v>
      </c>
      <c r="H457" s="26" t="n">
        <v>-2.78880053814205</v>
      </c>
      <c r="I457" s="26" t="n">
        <v>-2.78807015320644</v>
      </c>
      <c r="J457" s="26" t="n">
        <v>5.98</v>
      </c>
      <c r="K457" s="27" t="n">
        <f aca="false">MIN(F457,G457)</f>
        <v>-5.3300103596236</v>
      </c>
      <c r="L457" s="27" t="n">
        <f aca="false">AVERAGE(F457,G457)</f>
        <v>-5.3296451671558</v>
      </c>
      <c r="M457" s="27" t="n">
        <f aca="false">MAX(0,NG-L457)</f>
        <v>4.6296451671558</v>
      </c>
      <c r="N457" s="27" t="n">
        <f aca="false">MAX(0,GWL-K457)</f>
        <v>3.8300103596236</v>
      </c>
      <c r="O457" s="27" t="n">
        <f aca="false">MAX(0,NG-MAX(K457,GWL))</f>
        <v>0.8</v>
      </c>
      <c r="P457" s="27" t="n">
        <f aca="false">E457/2+WS+SLOPE_A*O457+SLOPE_B*N457</f>
        <v>10.880625629988</v>
      </c>
      <c r="Q457" s="28" t="str">
        <f aca="false">IF(AND(P457&lt;J457,N457&lt;=MAXOC),"Open cut","Shoring")</f>
        <v>Shoring</v>
      </c>
      <c r="R457" s="27" t="n">
        <f aca="false">IF(Q457="Shoring",D457,0)</f>
        <v>9.99999999946693</v>
      </c>
      <c r="S457" s="27" t="n">
        <f aca="false">MAX(0,GWL-L457)</f>
        <v>3.8296451671558</v>
      </c>
      <c r="T457" s="27" t="n">
        <f aca="false">MAX(0,NG-MAX(L457,GWL))</f>
        <v>0.8</v>
      </c>
      <c r="U457" s="27" t="n">
        <f aca="false">E457+2*WS</f>
        <v>4.04120982148155</v>
      </c>
      <c r="V457" s="27" t="n">
        <f aca="false">IF(Q457="Shoring",D457*M457*U457,0)</f>
        <v>187.093675184873</v>
      </c>
      <c r="W457" s="27" t="n">
        <f aca="false">IF(Q457="Open cut",D457*(U457*M457+SLOPE_B*S457^2+2*SLOPE_B*S457*T457+SLOPE_A*T457^2),0)</f>
        <v>0</v>
      </c>
      <c r="X457" s="27" t="n">
        <f aca="false">IF(M457&gt;0,D457*(E457+2*SLABOVH)*SLAB,0)</f>
        <v>15.2060491065972</v>
      </c>
      <c r="Y457" s="27" t="n">
        <f aca="false">IF(M457&gt;0,D457*PI()*E457^2/4,0)</f>
        <v>32.7239092778672</v>
      </c>
      <c r="Z457" s="27" t="n">
        <f aca="false">IF(H457-E457&gt;=GWL,99,E457*(MAX(0,GWL-H457)*(GAM_S-GAM_W)+MAX(0,NG-MAX(H457,GWL))*GAM_D)/(GAM_W*PI()*E457^2/4))</f>
        <v>1.58677681592725</v>
      </c>
      <c r="AA457" s="27" t="n">
        <f aca="false">IF(I457-E457&gt;=GWL,99,E457*(MAX(0,GWL-I457)*(GAM_S-GAM_W)+MAX(0,NG-MAX(I457,GWL))*GAM_D)/(GAM_W*PI()*E457^2/4))</f>
        <v>1.58639646089118</v>
      </c>
      <c r="AB457" s="27" t="n">
        <f aca="false">IF(H457-E457&gt;=GWL,99,E457*(MAX(0,GWL-H457)*(GAM_S-GAM_W)+MAX(0,FL-MAX(H457,GWL))*GAM_D)/(GAM_W*PI()*E457^2/4))</f>
        <v>3.53247237844997</v>
      </c>
      <c r="AC457" s="27" t="n">
        <f aca="false">IF(I457-E457&gt;=GWL,99,E457*(MAX(0,GWL-I457)*(GAM_S-GAM_W)+MAX(0,FL-MAX(I457,GWL))*GAM_D)/(GAM_W*PI()*E457^2/4))</f>
        <v>3.53209202341391</v>
      </c>
    </row>
    <row r="458" customFormat="false" ht="15" hidden="false" customHeight="false" outlineLevel="0" collapsed="false">
      <c r="A458" s="25" t="s">
        <v>956</v>
      </c>
      <c r="B458" s="25" t="s">
        <v>957</v>
      </c>
      <c r="C458" s="25" t="s">
        <v>966</v>
      </c>
      <c r="D458" s="26" t="n">
        <v>9.99999999993513</v>
      </c>
      <c r="E458" s="26" t="n">
        <v>2.04120982148155</v>
      </c>
      <c r="F458" s="26" t="n">
        <v>-5.32927997468799</v>
      </c>
      <c r="G458" s="26" t="n">
        <v>-5.32854958975237</v>
      </c>
      <c r="H458" s="26" t="n">
        <v>-2.78807015320644</v>
      </c>
      <c r="I458" s="26" t="n">
        <v>-2.78733976827082</v>
      </c>
      <c r="J458" s="26" t="n">
        <v>5.88</v>
      </c>
      <c r="K458" s="27" t="n">
        <f aca="false">MIN(F458,G458)</f>
        <v>-5.32927997468799</v>
      </c>
      <c r="L458" s="27" t="n">
        <f aca="false">AVERAGE(F458,G458)</f>
        <v>-5.32891478222018</v>
      </c>
      <c r="M458" s="27" t="n">
        <f aca="false">MAX(0,NG-L458)</f>
        <v>4.62891478222018</v>
      </c>
      <c r="N458" s="27" t="n">
        <f aca="false">MAX(0,GWL-K458)</f>
        <v>3.82927997468799</v>
      </c>
      <c r="O458" s="27" t="n">
        <f aca="false">MAX(0,NG-MAX(K458,GWL))</f>
        <v>0.8</v>
      </c>
      <c r="P458" s="27" t="n">
        <f aca="false">E458/2+WS+SLOPE_A*O458+SLOPE_B*N458</f>
        <v>10.8791648601167</v>
      </c>
      <c r="Q458" s="28" t="str">
        <f aca="false">IF(AND(P458&lt;J458,N458&lt;=MAXOC),"Open cut","Shoring")</f>
        <v>Shoring</v>
      </c>
      <c r="R458" s="27" t="n">
        <f aca="false">IF(Q458="Shoring",D458,0)</f>
        <v>9.99999999993513</v>
      </c>
      <c r="S458" s="27" t="n">
        <f aca="false">MAX(0,GWL-L458)</f>
        <v>3.82891478222018</v>
      </c>
      <c r="T458" s="27" t="n">
        <f aca="false">MAX(0,NG-MAX(L458,GWL))</f>
        <v>0.8</v>
      </c>
      <c r="U458" s="27" t="n">
        <f aca="false">E458+2*WS</f>
        <v>4.04120982148155</v>
      </c>
      <c r="V458" s="27" t="n">
        <f aca="false">IF(Q458="Shoring",D458*M458*U458,0)</f>
        <v>187.06415880588</v>
      </c>
      <c r="W458" s="27" t="n">
        <f aca="false">IF(Q458="Open cut",D458*(U458*M458+SLOPE_B*S458^2+2*SLOPE_B*S458*T458+SLOPE_A*T458^2),0)</f>
        <v>0</v>
      </c>
      <c r="X458" s="27" t="n">
        <f aca="false">IF(M458&gt;0,D458*(E458+2*SLABOVH)*SLAB,0)</f>
        <v>15.2060491073091</v>
      </c>
      <c r="Y458" s="27" t="n">
        <f aca="false">IF(M458&gt;0,D458*PI()*E458^2/4,0)</f>
        <v>32.7239092793993</v>
      </c>
      <c r="Z458" s="27" t="n">
        <f aca="false">IF(H458-E458&gt;=GWL,99,E458*(MAX(0,GWL-H458)*(GAM_S-GAM_W)+MAX(0,NG-MAX(H458,GWL))*GAM_D)/(GAM_W*PI()*E458^2/4))</f>
        <v>1.58639646089118</v>
      </c>
      <c r="AA458" s="27" t="n">
        <f aca="false">IF(I458-E458&gt;=GWL,99,E458*(MAX(0,GWL-I458)*(GAM_S-GAM_W)+MAX(0,NG-MAX(I458,GWL))*GAM_D)/(GAM_W*PI()*E458^2/4))</f>
        <v>1.58601610585512</v>
      </c>
      <c r="AB458" s="27" t="n">
        <f aca="false">IF(H458-E458&gt;=GWL,99,E458*(MAX(0,GWL-H458)*(GAM_S-GAM_W)+MAX(0,FL-MAX(H458,GWL))*GAM_D)/(GAM_W*PI()*E458^2/4))</f>
        <v>3.53209202341391</v>
      </c>
      <c r="AC458" s="27" t="n">
        <f aca="false">IF(I458-E458&gt;=GWL,99,E458*(MAX(0,GWL-I458)*(GAM_S-GAM_W)+MAX(0,FL-MAX(I458,GWL))*GAM_D)/(GAM_W*PI()*E458^2/4))</f>
        <v>3.53171166837784</v>
      </c>
    </row>
    <row r="459" customFormat="false" ht="15" hidden="false" customHeight="false" outlineLevel="0" collapsed="false">
      <c r="A459" s="25" t="s">
        <v>956</v>
      </c>
      <c r="B459" s="25" t="s">
        <v>957</v>
      </c>
      <c r="C459" s="25" t="s">
        <v>967</v>
      </c>
      <c r="D459" s="26" t="n">
        <v>9.30000000029211</v>
      </c>
      <c r="E459" s="26" t="n">
        <v>2.04120982148155</v>
      </c>
      <c r="F459" s="26" t="n">
        <v>-5.32854958975237</v>
      </c>
      <c r="G459" s="26" t="n">
        <v>-5.32787033176224</v>
      </c>
      <c r="H459" s="26" t="n">
        <v>-2.78733976827082</v>
      </c>
      <c r="I459" s="26" t="n">
        <v>-2.78666051028069</v>
      </c>
      <c r="J459" s="26" t="n">
        <v>6.64</v>
      </c>
      <c r="K459" s="27" t="n">
        <f aca="false">MIN(F459,G459)</f>
        <v>-5.32854958975237</v>
      </c>
      <c r="L459" s="27" t="n">
        <f aca="false">AVERAGE(F459,G459)</f>
        <v>-5.32820996075731</v>
      </c>
      <c r="M459" s="27" t="n">
        <f aca="false">MAX(0,NG-L459)</f>
        <v>4.62820996075731</v>
      </c>
      <c r="N459" s="27" t="n">
        <f aca="false">MAX(0,GWL-K459)</f>
        <v>3.82854958975237</v>
      </c>
      <c r="O459" s="27" t="n">
        <f aca="false">MAX(0,NG-MAX(K459,GWL))</f>
        <v>0.8</v>
      </c>
      <c r="P459" s="27" t="n">
        <f aca="false">E459/2+WS+SLOPE_A*O459+SLOPE_B*N459</f>
        <v>10.8777040902455</v>
      </c>
      <c r="Q459" s="28" t="str">
        <f aca="false">IF(AND(P459&lt;J459,N459&lt;=MAXOC),"Open cut","Shoring")</f>
        <v>Shoring</v>
      </c>
      <c r="R459" s="27" t="n">
        <f aca="false">IF(Q459="Shoring",D459,0)</f>
        <v>9.30000000029211</v>
      </c>
      <c r="S459" s="27" t="n">
        <f aca="false">MAX(0,GWL-L459)</f>
        <v>3.82820996075731</v>
      </c>
      <c r="T459" s="27" t="n">
        <f aca="false">MAX(0,NG-MAX(L459,GWL))</f>
        <v>0.8</v>
      </c>
      <c r="U459" s="27" t="n">
        <f aca="false">E459+2*WS</f>
        <v>4.04120982148155</v>
      </c>
      <c r="V459" s="27" t="n">
        <f aca="false">IF(Q459="Shoring",D459*M459*U459,0)</f>
        <v>173.943178213871</v>
      </c>
      <c r="W459" s="27" t="n">
        <f aca="false">IF(Q459="Open cut",D459*(U459*M459+SLOPE_B*S459^2+2*SLOPE_B*S459*T459+SLOPE_A*T459^2),0)</f>
        <v>0</v>
      </c>
      <c r="X459" s="27" t="n">
        <f aca="false">IF(M459&gt;0,D459*(E459+2*SLABOVH)*SLAB,0)</f>
        <v>14.1416256703334</v>
      </c>
      <c r="Y459" s="27" t="n">
        <f aca="false">IF(M459&gt;0,D459*PI()*E459^2/4,0)</f>
        <v>30.4332356309947</v>
      </c>
      <c r="Z459" s="27" t="n">
        <f aca="false">IF(H459-E459&gt;=GWL,99,E459*(MAX(0,GWL-H459)*(GAM_S-GAM_W)+MAX(0,NG-MAX(H459,GWL))*GAM_D)/(GAM_W*PI()*E459^2/4))</f>
        <v>1.58601610585512</v>
      </c>
      <c r="AA459" s="27" t="n">
        <f aca="false">IF(I459-E459&gt;=GWL,99,E459*(MAX(0,GWL-I459)*(GAM_S-GAM_W)+MAX(0,NG-MAX(I459,GWL))*GAM_D)/(GAM_W*PI()*E459^2/4))</f>
        <v>1.58566237567157</v>
      </c>
      <c r="AB459" s="27" t="n">
        <f aca="false">IF(H459-E459&gt;=GWL,99,E459*(MAX(0,GWL-H459)*(GAM_S-GAM_W)+MAX(0,FL-MAX(H459,GWL))*GAM_D)/(GAM_W*PI()*E459^2/4))</f>
        <v>3.53171166837784</v>
      </c>
      <c r="AC459" s="27" t="n">
        <f aca="false">IF(I459-E459&gt;=GWL,99,E459*(MAX(0,GWL-I459)*(GAM_S-GAM_W)+MAX(0,FL-MAX(I459,GWL))*GAM_D)/(GAM_W*PI()*E459^2/4))</f>
        <v>3.5313579381943</v>
      </c>
    </row>
    <row r="460" customFormat="false" ht="15" hidden="false" customHeight="false" outlineLevel="0" collapsed="false">
      <c r="A460" s="25" t="s">
        <v>956</v>
      </c>
      <c r="B460" s="25" t="s">
        <v>968</v>
      </c>
      <c r="C460" s="25" t="s">
        <v>969</v>
      </c>
      <c r="D460" s="26" t="n">
        <v>0.699999999743659</v>
      </c>
      <c r="E460" s="26" t="n">
        <v>2.04120982148155</v>
      </c>
      <c r="F460" s="26" t="n">
        <v>-5.32787033176224</v>
      </c>
      <c r="G460" s="26" t="n">
        <v>-5.32781920481675</v>
      </c>
      <c r="H460" s="26" t="n">
        <v>-2.78666051028069</v>
      </c>
      <c r="I460" s="26" t="n">
        <v>-2.7866093833352</v>
      </c>
      <c r="J460" s="26" t="n">
        <v>9.63</v>
      </c>
      <c r="K460" s="27" t="n">
        <f aca="false">MIN(F460,G460)</f>
        <v>-5.32787033176224</v>
      </c>
      <c r="L460" s="27" t="n">
        <f aca="false">AVERAGE(F460,G460)</f>
        <v>-5.3278447682895</v>
      </c>
      <c r="M460" s="27" t="n">
        <f aca="false">MAX(0,NG-L460)</f>
        <v>4.6278447682895</v>
      </c>
      <c r="N460" s="27" t="n">
        <f aca="false">MAX(0,GWL-K460)</f>
        <v>3.82787033176224</v>
      </c>
      <c r="O460" s="27" t="n">
        <f aca="false">MAX(0,NG-MAX(K460,GWL))</f>
        <v>0.8</v>
      </c>
      <c r="P460" s="27" t="n">
        <f aca="false">E460/2+WS+SLOPE_A*O460+SLOPE_B*N460</f>
        <v>10.8763455742653</v>
      </c>
      <c r="Q460" s="28" t="str">
        <f aca="false">IF(AND(P460&lt;J460,N460&lt;=MAXOC),"Open cut","Shoring")</f>
        <v>Shoring</v>
      </c>
      <c r="R460" s="27" t="n">
        <f aca="false">IF(Q460="Shoring",D460,0)</f>
        <v>0.699999999743659</v>
      </c>
      <c r="S460" s="27" t="n">
        <f aca="false">MAX(0,GWL-L460)</f>
        <v>3.8278447682895</v>
      </c>
      <c r="T460" s="27" t="n">
        <f aca="false">MAX(0,NG-MAX(L460,GWL))</f>
        <v>0.8</v>
      </c>
      <c r="U460" s="27" t="n">
        <f aca="false">E460+2*WS</f>
        <v>4.04120982148155</v>
      </c>
      <c r="V460" s="27" t="n">
        <f aca="false">IF(Q460="Shoring",D460*M460*U460,0)</f>
        <v>13.0914642061384</v>
      </c>
      <c r="W460" s="27" t="n">
        <f aca="false">IF(Q460="Open cut",D460*(U460*M460+SLOPE_B*S460^2+2*SLOPE_B*S460*T460+SLOPE_A*T460^2),0)</f>
        <v>0</v>
      </c>
      <c r="X460" s="27" t="n">
        <f aca="false">IF(M460&gt;0,D460*(E460+2*SLABOVH)*SLAB,0)</f>
        <v>1.06442343712875</v>
      </c>
      <c r="Y460" s="27" t="n">
        <f aca="false">IF(M460&gt;0,D460*PI()*E460^2/4,0)</f>
        <v>2.29067364873396</v>
      </c>
      <c r="Z460" s="27" t="n">
        <f aca="false">IF(H460-E460&gt;=GWL,99,E460*(MAX(0,GWL-H460)*(GAM_S-GAM_W)+MAX(0,NG-MAX(H460,GWL))*GAM_D)/(GAM_W*PI()*E460^2/4))</f>
        <v>1.58566237567157</v>
      </c>
      <c r="AA460" s="27" t="n">
        <f aca="false">IF(I460-E460&gt;=GWL,99,E460*(MAX(0,GWL-I460)*(GAM_S-GAM_W)+MAX(0,NG-MAX(I460,GWL))*GAM_D)/(GAM_W*PI()*E460^2/4))</f>
        <v>1.58563575081905</v>
      </c>
      <c r="AB460" s="27" t="n">
        <f aca="false">IF(H460-E460&gt;=GWL,99,E460*(MAX(0,GWL-H460)*(GAM_S-GAM_W)+MAX(0,FL-MAX(H460,GWL))*GAM_D)/(GAM_W*PI()*E460^2/4))</f>
        <v>3.5313579381943</v>
      </c>
      <c r="AC460" s="27" t="n">
        <f aca="false">IF(I460-E460&gt;=GWL,99,E460*(MAX(0,GWL-I460)*(GAM_S-GAM_W)+MAX(0,FL-MAX(I460,GWL))*GAM_D)/(GAM_W*PI()*E460^2/4))</f>
        <v>3.53133131334177</v>
      </c>
    </row>
    <row r="461" customFormat="false" ht="15" hidden="false" customHeight="false" outlineLevel="0" collapsed="false">
      <c r="A461" s="25" t="s">
        <v>956</v>
      </c>
      <c r="B461" s="25" t="s">
        <v>968</v>
      </c>
      <c r="C461" s="25" t="s">
        <v>970</v>
      </c>
      <c r="D461" s="26" t="n">
        <v>10.0000000001692</v>
      </c>
      <c r="E461" s="26" t="n">
        <v>2.04120982148155</v>
      </c>
      <c r="F461" s="26" t="n">
        <v>-5.32781920481675</v>
      </c>
      <c r="G461" s="26" t="n">
        <v>-5.32708881988113</v>
      </c>
      <c r="H461" s="26" t="n">
        <v>-2.7866093833352</v>
      </c>
      <c r="I461" s="26" t="n">
        <v>-2.78587899839958</v>
      </c>
      <c r="J461" s="26" t="n">
        <v>9.94</v>
      </c>
      <c r="K461" s="27" t="n">
        <f aca="false">MIN(F461,G461)</f>
        <v>-5.32781920481675</v>
      </c>
      <c r="L461" s="27" t="n">
        <f aca="false">AVERAGE(F461,G461)</f>
        <v>-5.32745401234894</v>
      </c>
      <c r="M461" s="27" t="n">
        <f aca="false">MAX(0,NG-L461)</f>
        <v>4.62745401234894</v>
      </c>
      <c r="N461" s="27" t="n">
        <f aca="false">MAX(0,GWL-K461)</f>
        <v>3.82781920481675</v>
      </c>
      <c r="O461" s="27" t="n">
        <f aca="false">MAX(0,NG-MAX(K461,GWL))</f>
        <v>0.8</v>
      </c>
      <c r="P461" s="27" t="n">
        <f aca="false">E461/2+WS+SLOPE_A*O461+SLOPE_B*N461</f>
        <v>10.8762433203743</v>
      </c>
      <c r="Q461" s="28" t="str">
        <f aca="false">IF(AND(P461&lt;J461,N461&lt;=MAXOC),"Open cut","Shoring")</f>
        <v>Shoring</v>
      </c>
      <c r="R461" s="27" t="n">
        <f aca="false">IF(Q461="Shoring",D461,0)</f>
        <v>10.0000000001692</v>
      </c>
      <c r="S461" s="27" t="n">
        <f aca="false">MAX(0,GWL-L461)</f>
        <v>3.82745401234894</v>
      </c>
      <c r="T461" s="27" t="n">
        <f aca="false">MAX(0,NG-MAX(L461,GWL))</f>
        <v>0.8</v>
      </c>
      <c r="U461" s="27" t="n">
        <f aca="false">E461+2*WS</f>
        <v>4.04120982148155</v>
      </c>
      <c r="V461" s="27" t="n">
        <f aca="false">IF(Q461="Shoring",D461*M461*U461,0)</f>
        <v>187.005126034752</v>
      </c>
      <c r="W461" s="27" t="n">
        <f aca="false">IF(Q461="Open cut",D461*(U461*M461+SLOPE_B*S461^2+2*SLOPE_B*S461*T461+SLOPE_A*T461^2),0)</f>
        <v>0</v>
      </c>
      <c r="X461" s="27" t="n">
        <f aca="false">IF(M461&gt;0,D461*(E461+2*SLABOVH)*SLAB,0)</f>
        <v>15.2060491076651</v>
      </c>
      <c r="Y461" s="27" t="n">
        <f aca="false">IF(M461&gt;0,D461*PI()*E461^2/4,0)</f>
        <v>32.7239092801654</v>
      </c>
      <c r="Z461" s="27" t="n">
        <f aca="false">IF(H461-E461&gt;=GWL,99,E461*(MAX(0,GWL-H461)*(GAM_S-GAM_W)+MAX(0,NG-MAX(H461,GWL))*GAM_D)/(GAM_W*PI()*E461^2/4))</f>
        <v>1.58563575081905</v>
      </c>
      <c r="AA461" s="27" t="n">
        <f aca="false">IF(I461-E461&gt;=GWL,99,E461*(MAX(0,GWL-I461)*(GAM_S-GAM_W)+MAX(0,NG-MAX(I461,GWL))*GAM_D)/(GAM_W*PI()*E461^2/4))</f>
        <v>1.58525539578298</v>
      </c>
      <c r="AB461" s="27" t="n">
        <f aca="false">IF(H461-E461&gt;=GWL,99,E461*(MAX(0,GWL-H461)*(GAM_S-GAM_W)+MAX(0,FL-MAX(H461,GWL))*GAM_D)/(GAM_W*PI()*E461^2/4))</f>
        <v>3.53133131334177</v>
      </c>
      <c r="AC461" s="27" t="n">
        <f aca="false">IF(I461-E461&gt;=GWL,99,E461*(MAX(0,GWL-I461)*(GAM_S-GAM_W)+MAX(0,FL-MAX(I461,GWL))*GAM_D)/(GAM_W*PI()*E461^2/4))</f>
        <v>3.5309509583057</v>
      </c>
    </row>
    <row r="462" customFormat="false" ht="15" hidden="false" customHeight="false" outlineLevel="0" collapsed="false">
      <c r="A462" s="25" t="s">
        <v>956</v>
      </c>
      <c r="B462" s="25" t="s">
        <v>968</v>
      </c>
      <c r="C462" s="25" t="s">
        <v>971</v>
      </c>
      <c r="D462" s="26" t="n">
        <v>5.4000000000766</v>
      </c>
      <c r="E462" s="26" t="n">
        <v>2.04120982148155</v>
      </c>
      <c r="F462" s="26" t="n">
        <v>-5.32708881988113</v>
      </c>
      <c r="G462" s="26" t="n">
        <v>-5.3266944120159</v>
      </c>
      <c r="H462" s="26" t="n">
        <v>-2.78587899839958</v>
      </c>
      <c r="I462" s="26" t="n">
        <v>-2.78548459053435</v>
      </c>
      <c r="J462" s="26" t="n">
        <v>14.47</v>
      </c>
      <c r="K462" s="27" t="n">
        <f aca="false">MIN(F462,G462)</f>
        <v>-5.32708881988113</v>
      </c>
      <c r="L462" s="27" t="n">
        <f aca="false">AVERAGE(F462,G462)</f>
        <v>-5.32689161594852</v>
      </c>
      <c r="M462" s="27" t="n">
        <f aca="false">MAX(0,NG-L462)</f>
        <v>4.62689161594852</v>
      </c>
      <c r="N462" s="27" t="n">
        <f aca="false">MAX(0,GWL-K462)</f>
        <v>3.82708881988113</v>
      </c>
      <c r="O462" s="27" t="n">
        <f aca="false">MAX(0,NG-MAX(K462,GWL))</f>
        <v>0.8</v>
      </c>
      <c r="P462" s="27" t="n">
        <f aca="false">E462/2+WS+SLOPE_A*O462+SLOPE_B*N462</f>
        <v>10.874782550503</v>
      </c>
      <c r="Q462" s="28" t="str">
        <f aca="false">IF(AND(P462&lt;J462,N462&lt;=MAXOC),"Open cut","Shoring")</f>
        <v>Shoring</v>
      </c>
      <c r="R462" s="27" t="n">
        <f aca="false">IF(Q462="Shoring",D462,0)</f>
        <v>5.4000000000766</v>
      </c>
      <c r="S462" s="27" t="n">
        <f aca="false">MAX(0,GWL-L462)</f>
        <v>3.82689161594852</v>
      </c>
      <c r="T462" s="27" t="n">
        <f aca="false">MAX(0,NG-MAX(L462,GWL))</f>
        <v>0.8</v>
      </c>
      <c r="U462" s="27" t="n">
        <f aca="false">E462+2*WS</f>
        <v>4.04120982148155</v>
      </c>
      <c r="V462" s="27" t="n">
        <f aca="false">IF(Q462="Shoring",D462*M462*U462,0)</f>
        <v>100.970495144462</v>
      </c>
      <c r="W462" s="27" t="n">
        <f aca="false">IF(Q462="Open cut",D462*(U462*M462+SLOPE_B*S462^2+2*SLOPE_B*S462*T462+SLOPE_A*T462^2),0)</f>
        <v>0</v>
      </c>
      <c r="X462" s="27" t="n">
        <f aca="false">IF(M462&gt;0,D462*(E462+2*SLABOVH)*SLAB,0)</f>
        <v>8.21126651811666</v>
      </c>
      <c r="Y462" s="27" t="n">
        <f aca="false">IF(M462&gt;0,D462*PI()*E462^2/4,0)</f>
        <v>17.6709110112409</v>
      </c>
      <c r="Z462" s="27" t="n">
        <f aca="false">IF(H462-E462&gt;=GWL,99,E462*(MAX(0,GWL-H462)*(GAM_S-GAM_W)+MAX(0,NG-MAX(H462,GWL))*GAM_D)/(GAM_W*PI()*E462^2/4))</f>
        <v>1.58525539578298</v>
      </c>
      <c r="AA462" s="27" t="n">
        <f aca="false">IF(I462-E462&gt;=GWL,99,E462*(MAX(0,GWL-I462)*(GAM_S-GAM_W)+MAX(0,NG-MAX(I462,GWL))*GAM_D)/(GAM_W*PI()*E462^2/4))</f>
        <v>1.58505000406351</v>
      </c>
      <c r="AB462" s="27" t="n">
        <f aca="false">IF(H462-E462&gt;=GWL,99,E462*(MAX(0,GWL-H462)*(GAM_S-GAM_W)+MAX(0,FL-MAX(H462,GWL))*GAM_D)/(GAM_W*PI()*E462^2/4))</f>
        <v>3.5309509583057</v>
      </c>
      <c r="AC462" s="27" t="n">
        <f aca="false">IF(I462-E462&gt;=GWL,99,E462*(MAX(0,GWL-I462)*(GAM_S-GAM_W)+MAX(0,FL-MAX(I462,GWL))*GAM_D)/(GAM_W*PI()*E462^2/4))</f>
        <v>3.53074556658623</v>
      </c>
    </row>
    <row r="463" customFormat="false" ht="15" hidden="false" customHeight="false" outlineLevel="0" collapsed="false">
      <c r="A463" s="25" t="s">
        <v>956</v>
      </c>
      <c r="B463" s="25" t="s">
        <v>972</v>
      </c>
      <c r="C463" s="25" t="s">
        <v>973</v>
      </c>
      <c r="D463" s="26" t="n">
        <v>4.59999999985853</v>
      </c>
      <c r="E463" s="26" t="n">
        <v>2.04120982148155</v>
      </c>
      <c r="F463" s="26" t="n">
        <v>-5.3266944120159</v>
      </c>
      <c r="G463" s="26" t="n">
        <v>-5.32635843494552</v>
      </c>
      <c r="H463" s="26" t="n">
        <v>-2.78548459053435</v>
      </c>
      <c r="I463" s="26" t="n">
        <v>-2.78514861346396</v>
      </c>
      <c r="J463" s="26" t="n">
        <v>14.45</v>
      </c>
      <c r="K463" s="27" t="n">
        <f aca="false">MIN(F463,G463)</f>
        <v>-5.3266944120159</v>
      </c>
      <c r="L463" s="27" t="n">
        <f aca="false">AVERAGE(F463,G463)</f>
        <v>-5.32652642348071</v>
      </c>
      <c r="M463" s="27" t="n">
        <f aca="false">MAX(0,NG-L463)</f>
        <v>4.62652642348071</v>
      </c>
      <c r="N463" s="27" t="n">
        <f aca="false">MAX(0,GWL-K463)</f>
        <v>3.8266944120159</v>
      </c>
      <c r="O463" s="27" t="n">
        <f aca="false">MAX(0,NG-MAX(K463,GWL))</f>
        <v>0.8</v>
      </c>
      <c r="P463" s="27" t="n">
        <f aca="false">E463/2+WS+SLOPE_A*O463+SLOPE_B*N463</f>
        <v>10.8739937347726</v>
      </c>
      <c r="Q463" s="28" t="str">
        <f aca="false">IF(AND(P463&lt;J463,N463&lt;=MAXOC),"Open cut","Shoring")</f>
        <v>Shoring</v>
      </c>
      <c r="R463" s="27" t="n">
        <f aca="false">IF(Q463="Shoring",D463,0)</f>
        <v>4.59999999985853</v>
      </c>
      <c r="S463" s="27" t="n">
        <f aca="false">MAX(0,GWL-L463)</f>
        <v>3.82652642348071</v>
      </c>
      <c r="T463" s="27" t="n">
        <f aca="false">MAX(0,NG-MAX(L463,GWL))</f>
        <v>0.8</v>
      </c>
      <c r="U463" s="27" t="n">
        <f aca="false">E463+2*WS</f>
        <v>4.04120982148155</v>
      </c>
      <c r="V463" s="27" t="n">
        <f aca="false">IF(Q463="Shoring",D463*M463*U463,0)</f>
        <v>86.0051144981601</v>
      </c>
      <c r="W463" s="27" t="n">
        <f aca="false">IF(Q463="Open cut",D463*(U463*M463+SLOPE_B*S463^2+2*SLOPE_B*S463*T463+SLOPE_A*T463^2),0)</f>
        <v>0</v>
      </c>
      <c r="X463" s="27" t="n">
        <f aca="false">IF(M463&gt;0,D463*(E463+2*SLABOVH)*SLAB,0)</f>
        <v>6.99478258919245</v>
      </c>
      <c r="Y463" s="27" t="n">
        <f aca="false">IF(M463&gt;0,D463*PI()*E463^2/4,0)</f>
        <v>15.0529982681584</v>
      </c>
      <c r="Z463" s="27" t="n">
        <f aca="false">IF(H463-E463&gt;=GWL,99,E463*(MAX(0,GWL-H463)*(GAM_S-GAM_W)+MAX(0,NG-MAX(H463,GWL))*GAM_D)/(GAM_W*PI()*E463^2/4))</f>
        <v>1.58505000406351</v>
      </c>
      <c r="AA463" s="27" t="n">
        <f aca="false">IF(I463-E463&gt;=GWL,99,E463*(MAX(0,GWL-I463)*(GAM_S-GAM_W)+MAX(0,NG-MAX(I463,GWL))*GAM_D)/(GAM_W*PI()*E463^2/4))</f>
        <v>1.58487504074691</v>
      </c>
      <c r="AB463" s="27" t="n">
        <f aca="false">IF(H463-E463&gt;=GWL,99,E463*(MAX(0,GWL-H463)*(GAM_S-GAM_W)+MAX(0,FL-MAX(H463,GWL))*GAM_D)/(GAM_W*PI()*E463^2/4))</f>
        <v>3.53074556658623</v>
      </c>
      <c r="AC463" s="27" t="n">
        <f aca="false">IF(I463-E463&gt;=GWL,99,E463*(MAX(0,GWL-I463)*(GAM_S-GAM_W)+MAX(0,FL-MAX(I463,GWL))*GAM_D)/(GAM_W*PI()*E463^2/4))</f>
        <v>3.53057060326964</v>
      </c>
    </row>
    <row r="464" customFormat="false" ht="15" hidden="false" customHeight="false" outlineLevel="0" collapsed="false">
      <c r="A464" s="25" t="s">
        <v>956</v>
      </c>
      <c r="B464" s="25" t="s">
        <v>972</v>
      </c>
      <c r="C464" s="25" t="s">
        <v>974</v>
      </c>
      <c r="D464" s="26" t="n">
        <v>10.0000000000358</v>
      </c>
      <c r="E464" s="26" t="n">
        <v>2.04120982148155</v>
      </c>
      <c r="F464" s="26" t="n">
        <v>-5.32635843494552</v>
      </c>
      <c r="G464" s="26" t="n">
        <v>-5.3256280500099</v>
      </c>
      <c r="H464" s="26" t="n">
        <v>-2.78514861346396</v>
      </c>
      <c r="I464" s="26" t="n">
        <v>-2.78441822852835</v>
      </c>
      <c r="J464" s="26" t="n">
        <v>13.12</v>
      </c>
      <c r="K464" s="27" t="n">
        <f aca="false">MIN(F464,G464)</f>
        <v>-5.32635843494552</v>
      </c>
      <c r="L464" s="27" t="n">
        <f aca="false">AVERAGE(F464,G464)</f>
        <v>-5.32599324247771</v>
      </c>
      <c r="M464" s="27" t="n">
        <f aca="false">MAX(0,NG-L464)</f>
        <v>4.62599324247771</v>
      </c>
      <c r="N464" s="27" t="n">
        <f aca="false">MAX(0,GWL-K464)</f>
        <v>3.82635843494552</v>
      </c>
      <c r="O464" s="27" t="n">
        <f aca="false">MAX(0,NG-MAX(K464,GWL))</f>
        <v>0.8</v>
      </c>
      <c r="P464" s="27" t="n">
        <f aca="false">E464/2+WS+SLOPE_A*O464+SLOPE_B*N464</f>
        <v>10.8733217806318</v>
      </c>
      <c r="Q464" s="28" t="str">
        <f aca="false">IF(AND(P464&lt;J464,N464&lt;=MAXOC),"Open cut","Shoring")</f>
        <v>Shoring</v>
      </c>
      <c r="R464" s="27" t="n">
        <f aca="false">IF(Q464="Shoring",D464,0)</f>
        <v>10.0000000000358</v>
      </c>
      <c r="S464" s="27" t="n">
        <f aca="false">MAX(0,GWL-L464)</f>
        <v>3.82599324247771</v>
      </c>
      <c r="T464" s="27" t="n">
        <f aca="false">MAX(0,NG-MAX(L464,GWL))</f>
        <v>0.8</v>
      </c>
      <c r="U464" s="27" t="n">
        <f aca="false">E464+2*WS</f>
        <v>4.04120982148155</v>
      </c>
      <c r="V464" s="27" t="n">
        <f aca="false">IF(Q464="Shoring",D464*M464*U464,0)</f>
        <v>186.946093256751</v>
      </c>
      <c r="W464" s="27" t="n">
        <f aca="false">IF(Q464="Open cut",D464*(U464*M464+SLOPE_B*S464^2+2*SLOPE_B*S464*T464+SLOPE_A*T464^2),0)</f>
        <v>0</v>
      </c>
      <c r="X464" s="27" t="n">
        <f aca="false">IF(M464&gt;0,D464*(E464+2*SLABOVH)*SLAB,0)</f>
        <v>15.2060491074621</v>
      </c>
      <c r="Y464" s="27" t="n">
        <f aca="false">IF(M464&gt;0,D464*PI()*E464^2/4,0)</f>
        <v>32.7239092797287</v>
      </c>
      <c r="Z464" s="27" t="n">
        <f aca="false">IF(H464-E464&gt;=GWL,99,E464*(MAX(0,GWL-H464)*(GAM_S-GAM_W)+MAX(0,NG-MAX(H464,GWL))*GAM_D)/(GAM_W*PI()*E464^2/4))</f>
        <v>1.58487504074691</v>
      </c>
      <c r="AA464" s="27" t="n">
        <f aca="false">IF(I464-E464&gt;=GWL,99,E464*(MAX(0,GWL-I464)*(GAM_S-GAM_W)+MAX(0,NG-MAX(I464,GWL))*GAM_D)/(GAM_W*PI()*E464^2/4))</f>
        <v>1.58449468571085</v>
      </c>
      <c r="AB464" s="27" t="n">
        <f aca="false">IF(H464-E464&gt;=GWL,99,E464*(MAX(0,GWL-H464)*(GAM_S-GAM_W)+MAX(0,FL-MAX(H464,GWL))*GAM_D)/(GAM_W*PI()*E464^2/4))</f>
        <v>3.53057060326964</v>
      </c>
      <c r="AC464" s="27" t="n">
        <f aca="false">IF(I464-E464&gt;=GWL,99,E464*(MAX(0,GWL-I464)*(GAM_S-GAM_W)+MAX(0,FL-MAX(I464,GWL))*GAM_D)/(GAM_W*PI()*E464^2/4))</f>
        <v>3.53019024823357</v>
      </c>
    </row>
    <row r="465" customFormat="false" ht="15" hidden="false" customHeight="false" outlineLevel="0" collapsed="false">
      <c r="A465" s="25" t="s">
        <v>956</v>
      </c>
      <c r="B465" s="25" t="s">
        <v>972</v>
      </c>
      <c r="C465" s="25" t="s">
        <v>975</v>
      </c>
      <c r="D465" s="26" t="n">
        <v>10.0000000001692</v>
      </c>
      <c r="E465" s="26" t="n">
        <v>2.04120982148155</v>
      </c>
      <c r="F465" s="26" t="n">
        <v>-5.3256280500099</v>
      </c>
      <c r="G465" s="26" t="n">
        <v>-5.32489766507428</v>
      </c>
      <c r="H465" s="26" t="n">
        <v>-2.78441822852835</v>
      </c>
      <c r="I465" s="26" t="n">
        <v>-2.78368784359273</v>
      </c>
      <c r="J465" s="26" t="n">
        <v>8.73</v>
      </c>
      <c r="K465" s="27" t="n">
        <f aca="false">MIN(F465,G465)</f>
        <v>-5.3256280500099</v>
      </c>
      <c r="L465" s="27" t="n">
        <f aca="false">AVERAGE(F465,G465)</f>
        <v>-5.32526285754209</v>
      </c>
      <c r="M465" s="27" t="n">
        <f aca="false">MAX(0,NG-L465)</f>
        <v>4.62526285754209</v>
      </c>
      <c r="N465" s="27" t="n">
        <f aca="false">MAX(0,GWL-K465)</f>
        <v>3.8256280500099</v>
      </c>
      <c r="O465" s="27" t="n">
        <f aca="false">MAX(0,NG-MAX(K465,GWL))</f>
        <v>0.8</v>
      </c>
      <c r="P465" s="27" t="n">
        <f aca="false">E465/2+WS+SLOPE_A*O465+SLOPE_B*N465</f>
        <v>10.8718610107606</v>
      </c>
      <c r="Q465" s="28" t="str">
        <f aca="false">IF(AND(P465&lt;J465,N465&lt;=MAXOC),"Open cut","Shoring")</f>
        <v>Shoring</v>
      </c>
      <c r="R465" s="27" t="n">
        <f aca="false">IF(Q465="Shoring",D465,0)</f>
        <v>10.0000000001692</v>
      </c>
      <c r="S465" s="27" t="n">
        <f aca="false">MAX(0,GWL-L465)</f>
        <v>3.82526285754209</v>
      </c>
      <c r="T465" s="27" t="n">
        <f aca="false">MAX(0,NG-MAX(L465,GWL))</f>
        <v>0.8</v>
      </c>
      <c r="U465" s="27" t="n">
        <f aca="false">E465+2*WS</f>
        <v>4.04120982148155</v>
      </c>
      <c r="V465" s="27" t="n">
        <f aca="false">IF(Q465="Shoring",D465*M465*U465,0)</f>
        <v>186.916576871492</v>
      </c>
      <c r="W465" s="27" t="n">
        <f aca="false">IF(Q465="Open cut",D465*(U465*M465+SLOPE_B*S465^2+2*SLOPE_B*S465*T465+SLOPE_A*T465^2),0)</f>
        <v>0</v>
      </c>
      <c r="X465" s="27" t="n">
        <f aca="false">IF(M465&gt;0,D465*(E465+2*SLABOVH)*SLAB,0)</f>
        <v>15.2060491076651</v>
      </c>
      <c r="Y465" s="27" t="n">
        <f aca="false">IF(M465&gt;0,D465*PI()*E465^2/4,0)</f>
        <v>32.7239092801654</v>
      </c>
      <c r="Z465" s="27" t="n">
        <f aca="false">IF(H465-E465&gt;=GWL,99,E465*(MAX(0,GWL-H465)*(GAM_S-GAM_W)+MAX(0,NG-MAX(H465,GWL))*GAM_D)/(GAM_W*PI()*E465^2/4))</f>
        <v>1.58449468571085</v>
      </c>
      <c r="AA465" s="27" t="n">
        <f aca="false">IF(I465-E465&gt;=GWL,99,E465*(MAX(0,GWL-I465)*(GAM_S-GAM_W)+MAX(0,NG-MAX(I465,GWL))*GAM_D)/(GAM_W*PI()*E465^2/4))</f>
        <v>1.58411433067478</v>
      </c>
      <c r="AB465" s="27" t="n">
        <f aca="false">IF(H465-E465&gt;=GWL,99,E465*(MAX(0,GWL-H465)*(GAM_S-GAM_W)+MAX(0,FL-MAX(H465,GWL))*GAM_D)/(GAM_W*PI()*E465^2/4))</f>
        <v>3.53019024823357</v>
      </c>
      <c r="AC465" s="27" t="n">
        <f aca="false">IF(I465-E465&gt;=GWL,99,E465*(MAX(0,GWL-I465)*(GAM_S-GAM_W)+MAX(0,FL-MAX(I465,GWL))*GAM_D)/(GAM_W*PI()*E465^2/4))</f>
        <v>3.5298098931975</v>
      </c>
    </row>
    <row r="466" customFormat="false" ht="15" hidden="false" customHeight="false" outlineLevel="0" collapsed="false">
      <c r="A466" s="25" t="s">
        <v>956</v>
      </c>
      <c r="B466" s="25" t="s">
        <v>972</v>
      </c>
      <c r="C466" s="25" t="s">
        <v>976</v>
      </c>
      <c r="D466" s="26" t="n">
        <v>9.99999999993513</v>
      </c>
      <c r="E466" s="26" t="n">
        <v>2.04120982148155</v>
      </c>
      <c r="F466" s="26" t="n">
        <v>-5.32489766507428</v>
      </c>
      <c r="G466" s="26" t="n">
        <v>-5.32416728013866</v>
      </c>
      <c r="H466" s="26" t="n">
        <v>-2.78368784359273</v>
      </c>
      <c r="I466" s="26" t="n">
        <v>-2.78295745865711</v>
      </c>
      <c r="J466" s="26" t="n">
        <v>6.69</v>
      </c>
      <c r="K466" s="27" t="n">
        <f aca="false">MIN(F466,G466)</f>
        <v>-5.32489766507428</v>
      </c>
      <c r="L466" s="27" t="n">
        <f aca="false">AVERAGE(F466,G466)</f>
        <v>-5.32453247260647</v>
      </c>
      <c r="M466" s="27" t="n">
        <f aca="false">MAX(0,NG-L466)</f>
        <v>4.62453247260647</v>
      </c>
      <c r="N466" s="27" t="n">
        <f aca="false">MAX(0,GWL-K466)</f>
        <v>3.82489766507428</v>
      </c>
      <c r="O466" s="27" t="n">
        <f aca="false">MAX(0,NG-MAX(K466,GWL))</f>
        <v>0.8</v>
      </c>
      <c r="P466" s="27" t="n">
        <f aca="false">E466/2+WS+SLOPE_A*O466+SLOPE_B*N466</f>
        <v>10.8704002408893</v>
      </c>
      <c r="Q466" s="28" t="str">
        <f aca="false">IF(AND(P466&lt;J466,N466&lt;=MAXOC),"Open cut","Shoring")</f>
        <v>Shoring</v>
      </c>
      <c r="R466" s="27" t="n">
        <f aca="false">IF(Q466="Shoring",D466,0)</f>
        <v>9.99999999993513</v>
      </c>
      <c r="S466" s="27" t="n">
        <f aca="false">MAX(0,GWL-L466)</f>
        <v>3.82453247260647</v>
      </c>
      <c r="T466" s="27" t="n">
        <f aca="false">MAX(0,NG-MAX(L466,GWL))</f>
        <v>0.8</v>
      </c>
      <c r="U466" s="27" t="n">
        <f aca="false">E466+2*WS</f>
        <v>4.04120982148155</v>
      </c>
      <c r="V466" s="27" t="n">
        <f aca="false">IF(Q466="Shoring",D466*M466*U466,0)</f>
        <v>186.887060479364</v>
      </c>
      <c r="W466" s="27" t="n">
        <f aca="false">IF(Q466="Open cut",D466*(U466*M466+SLOPE_B*S466^2+2*SLOPE_B*S466*T466+SLOPE_A*T466^2),0)</f>
        <v>0</v>
      </c>
      <c r="X466" s="27" t="n">
        <f aca="false">IF(M466&gt;0,D466*(E466+2*SLABOVH)*SLAB,0)</f>
        <v>15.2060491073091</v>
      </c>
      <c r="Y466" s="27" t="n">
        <f aca="false">IF(M466&gt;0,D466*PI()*E466^2/4,0)</f>
        <v>32.7239092793993</v>
      </c>
      <c r="Z466" s="27" t="n">
        <f aca="false">IF(H466-E466&gt;=GWL,99,E466*(MAX(0,GWL-H466)*(GAM_S-GAM_W)+MAX(0,NG-MAX(H466,GWL))*GAM_D)/(GAM_W*PI()*E466^2/4))</f>
        <v>1.58411433067478</v>
      </c>
      <c r="AA466" s="27" t="n">
        <f aca="false">IF(I466-E466&gt;=GWL,99,E466*(MAX(0,GWL-I466)*(GAM_S-GAM_W)+MAX(0,NG-MAX(I466,GWL))*GAM_D)/(GAM_W*PI()*E466^2/4))</f>
        <v>1.58373397563871</v>
      </c>
      <c r="AB466" s="27" t="n">
        <f aca="false">IF(H466-E466&gt;=GWL,99,E466*(MAX(0,GWL-H466)*(GAM_S-GAM_W)+MAX(0,FL-MAX(H466,GWL))*GAM_D)/(GAM_W*PI()*E466^2/4))</f>
        <v>3.5298098931975</v>
      </c>
      <c r="AC466" s="27" t="n">
        <f aca="false">IF(I466-E466&gt;=GWL,99,E466*(MAX(0,GWL-I466)*(GAM_S-GAM_W)+MAX(0,FL-MAX(I466,GWL))*GAM_D)/(GAM_W*PI()*E466^2/4))</f>
        <v>3.52942953816143</v>
      </c>
    </row>
    <row r="467" customFormat="false" ht="15" hidden="false" customHeight="false" outlineLevel="0" collapsed="false">
      <c r="A467" s="25" t="s">
        <v>956</v>
      </c>
      <c r="B467" s="25" t="s">
        <v>972</v>
      </c>
      <c r="C467" s="25" t="s">
        <v>977</v>
      </c>
      <c r="D467" s="26" t="n">
        <v>9.99999999993513</v>
      </c>
      <c r="E467" s="26" t="n">
        <v>2.04120982148155</v>
      </c>
      <c r="F467" s="26" t="n">
        <v>-5.32416728013866</v>
      </c>
      <c r="G467" s="26" t="n">
        <v>-5.32343689520305</v>
      </c>
      <c r="H467" s="26" t="n">
        <v>-2.78295745865711</v>
      </c>
      <c r="I467" s="26" t="n">
        <v>-2.78222707372149</v>
      </c>
      <c r="J467" s="26" t="n">
        <v>6.6</v>
      </c>
      <c r="K467" s="27" t="n">
        <f aca="false">MIN(F467,G467)</f>
        <v>-5.32416728013866</v>
      </c>
      <c r="L467" s="27" t="n">
        <f aca="false">AVERAGE(F467,G467)</f>
        <v>-5.32380208767085</v>
      </c>
      <c r="M467" s="27" t="n">
        <f aca="false">MAX(0,NG-L467)</f>
        <v>4.62380208767085</v>
      </c>
      <c r="N467" s="27" t="n">
        <f aca="false">MAX(0,GWL-K467)</f>
        <v>3.82416728013866</v>
      </c>
      <c r="O467" s="27" t="n">
        <f aca="false">MAX(0,NG-MAX(K467,GWL))</f>
        <v>0.8</v>
      </c>
      <c r="P467" s="27" t="n">
        <f aca="false">E467/2+WS+SLOPE_A*O467+SLOPE_B*N467</f>
        <v>10.8689394710181</v>
      </c>
      <c r="Q467" s="28" t="str">
        <f aca="false">IF(AND(P467&lt;J467,N467&lt;=MAXOC),"Open cut","Shoring")</f>
        <v>Shoring</v>
      </c>
      <c r="R467" s="27" t="n">
        <f aca="false">IF(Q467="Shoring",D467,0)</f>
        <v>9.99999999993513</v>
      </c>
      <c r="S467" s="27" t="n">
        <f aca="false">MAX(0,GWL-L467)</f>
        <v>3.82380208767085</v>
      </c>
      <c r="T467" s="27" t="n">
        <f aca="false">MAX(0,NG-MAX(L467,GWL))</f>
        <v>0.8</v>
      </c>
      <c r="U467" s="27" t="n">
        <f aca="false">E467+2*WS</f>
        <v>4.04120982148155</v>
      </c>
      <c r="V467" s="27" t="n">
        <f aca="false">IF(Q467="Shoring",D467*M467*U467,0)</f>
        <v>186.857544091611</v>
      </c>
      <c r="W467" s="27" t="n">
        <f aca="false">IF(Q467="Open cut",D467*(U467*M467+SLOPE_B*S467^2+2*SLOPE_B*S467*T467+SLOPE_A*T467^2),0)</f>
        <v>0</v>
      </c>
      <c r="X467" s="27" t="n">
        <f aca="false">IF(M467&gt;0,D467*(E467+2*SLABOVH)*SLAB,0)</f>
        <v>15.2060491073091</v>
      </c>
      <c r="Y467" s="27" t="n">
        <f aca="false">IF(M467&gt;0,D467*PI()*E467^2/4,0)</f>
        <v>32.7239092793993</v>
      </c>
      <c r="Z467" s="27" t="n">
        <f aca="false">IF(H467-E467&gt;=GWL,99,E467*(MAX(0,GWL-H467)*(GAM_S-GAM_W)+MAX(0,NG-MAX(H467,GWL))*GAM_D)/(GAM_W*PI()*E467^2/4))</f>
        <v>1.58373397563871</v>
      </c>
      <c r="AA467" s="27" t="n">
        <f aca="false">IF(I467-E467&gt;=GWL,99,E467*(MAX(0,GWL-I467)*(GAM_S-GAM_W)+MAX(0,NG-MAX(I467,GWL))*GAM_D)/(GAM_W*PI()*E467^2/4))</f>
        <v>1.58335362060264</v>
      </c>
      <c r="AB467" s="27" t="n">
        <f aca="false">IF(H467-E467&gt;=GWL,99,E467*(MAX(0,GWL-H467)*(GAM_S-GAM_W)+MAX(0,FL-MAX(H467,GWL))*GAM_D)/(GAM_W*PI()*E467^2/4))</f>
        <v>3.52942953816143</v>
      </c>
      <c r="AC467" s="27" t="n">
        <f aca="false">IF(I467-E467&gt;=GWL,99,E467*(MAX(0,GWL-I467)*(GAM_S-GAM_W)+MAX(0,FL-MAX(I467,GWL))*GAM_D)/(GAM_W*PI()*E467^2/4))</f>
        <v>3.52904918312537</v>
      </c>
    </row>
    <row r="468" customFormat="false" ht="15" hidden="false" customHeight="false" outlineLevel="0" collapsed="false">
      <c r="A468" s="25" t="s">
        <v>956</v>
      </c>
      <c r="B468" s="25" t="s">
        <v>972</v>
      </c>
      <c r="C468" s="25" t="s">
        <v>978</v>
      </c>
      <c r="D468" s="26" t="n">
        <v>10.0000000000358</v>
      </c>
      <c r="E468" s="26" t="n">
        <v>2.04120982148155</v>
      </c>
      <c r="F468" s="26" t="n">
        <v>-5.32343689520305</v>
      </c>
      <c r="G468" s="26" t="n">
        <v>-5.32270651026743</v>
      </c>
      <c r="H468" s="26" t="n">
        <v>-2.78222707372149</v>
      </c>
      <c r="I468" s="26" t="n">
        <v>-2.78149668878588</v>
      </c>
      <c r="J468" s="26" t="n">
        <v>7.39</v>
      </c>
      <c r="K468" s="27" t="n">
        <f aca="false">MIN(F468,G468)</f>
        <v>-5.32343689520305</v>
      </c>
      <c r="L468" s="27" t="n">
        <f aca="false">AVERAGE(F468,G468)</f>
        <v>-5.32307170273524</v>
      </c>
      <c r="M468" s="27" t="n">
        <f aca="false">MAX(0,NG-L468)</f>
        <v>4.62307170273524</v>
      </c>
      <c r="N468" s="27" t="n">
        <f aca="false">MAX(0,GWL-K468)</f>
        <v>3.82343689520305</v>
      </c>
      <c r="O468" s="27" t="n">
        <f aca="false">MAX(0,NG-MAX(K468,GWL))</f>
        <v>0.8</v>
      </c>
      <c r="P468" s="27" t="n">
        <f aca="false">E468/2+WS+SLOPE_A*O468+SLOPE_B*N468</f>
        <v>10.8674787011469</v>
      </c>
      <c r="Q468" s="28" t="str">
        <f aca="false">IF(AND(P468&lt;J468,N468&lt;=MAXOC),"Open cut","Shoring")</f>
        <v>Shoring</v>
      </c>
      <c r="R468" s="27" t="n">
        <f aca="false">IF(Q468="Shoring",D468,0)</f>
        <v>10.0000000000358</v>
      </c>
      <c r="S468" s="27" t="n">
        <f aca="false">MAX(0,GWL-L468)</f>
        <v>3.82307170273524</v>
      </c>
      <c r="T468" s="27" t="n">
        <f aca="false">MAX(0,NG-MAX(L468,GWL))</f>
        <v>0.8</v>
      </c>
      <c r="U468" s="27" t="n">
        <f aca="false">E468+2*WS</f>
        <v>4.04120982148155</v>
      </c>
      <c r="V468" s="27" t="n">
        <f aca="false">IF(Q468="Shoring",D468*M468*U468,0)</f>
        <v>186.828027705739</v>
      </c>
      <c r="W468" s="27" t="n">
        <f aca="false">IF(Q468="Open cut",D468*(U468*M468+SLOPE_B*S468^2+2*SLOPE_B*S468*T468+SLOPE_A*T468^2),0)</f>
        <v>0</v>
      </c>
      <c r="X468" s="27" t="n">
        <f aca="false">IF(M468&gt;0,D468*(E468+2*SLABOVH)*SLAB,0)</f>
        <v>15.2060491074621</v>
      </c>
      <c r="Y468" s="27" t="n">
        <f aca="false">IF(M468&gt;0,D468*PI()*E468^2/4,0)</f>
        <v>32.7239092797287</v>
      </c>
      <c r="Z468" s="27" t="n">
        <f aca="false">IF(H468-E468&gt;=GWL,99,E468*(MAX(0,GWL-H468)*(GAM_S-GAM_W)+MAX(0,NG-MAX(H468,GWL))*GAM_D)/(GAM_W*PI()*E468^2/4))</f>
        <v>1.58335362060264</v>
      </c>
      <c r="AA468" s="27" t="n">
        <f aca="false">IF(I468-E468&gt;=GWL,99,E468*(MAX(0,GWL-I468)*(GAM_S-GAM_W)+MAX(0,NG-MAX(I468,GWL))*GAM_D)/(GAM_W*PI()*E468^2/4))</f>
        <v>1.58297326556658</v>
      </c>
      <c r="AB468" s="27" t="n">
        <f aca="false">IF(H468-E468&gt;=GWL,99,E468*(MAX(0,GWL-H468)*(GAM_S-GAM_W)+MAX(0,FL-MAX(H468,GWL))*GAM_D)/(GAM_W*PI()*E468^2/4))</f>
        <v>3.52904918312537</v>
      </c>
      <c r="AC468" s="27" t="n">
        <f aca="false">IF(I468-E468&gt;=GWL,99,E468*(MAX(0,GWL-I468)*(GAM_S-GAM_W)+MAX(0,FL-MAX(I468,GWL))*GAM_D)/(GAM_W*PI()*E468^2/4))</f>
        <v>3.5286688280893</v>
      </c>
    </row>
    <row r="469" customFormat="false" ht="15" hidden="false" customHeight="false" outlineLevel="0" collapsed="false">
      <c r="A469" s="25" t="s">
        <v>956</v>
      </c>
      <c r="B469" s="25" t="s">
        <v>972</v>
      </c>
      <c r="C469" s="25" t="s">
        <v>979</v>
      </c>
      <c r="D469" s="26" t="n">
        <v>2.7000000000383</v>
      </c>
      <c r="E469" s="26" t="n">
        <v>2.04120982148155</v>
      </c>
      <c r="F469" s="26" t="n">
        <v>-5.32270651026743</v>
      </c>
      <c r="G469" s="26" t="n">
        <v>-5.32250930633481</v>
      </c>
      <c r="H469" s="26" t="n">
        <v>-2.78149668878588</v>
      </c>
      <c r="I469" s="26" t="n">
        <v>-2.78129948485326</v>
      </c>
      <c r="J469" s="26" t="n">
        <v>10.67</v>
      </c>
      <c r="K469" s="27" t="n">
        <f aca="false">MIN(F469,G469)</f>
        <v>-5.32270651026743</v>
      </c>
      <c r="L469" s="27" t="n">
        <f aca="false">AVERAGE(F469,G469)</f>
        <v>-5.32260790830112</v>
      </c>
      <c r="M469" s="27" t="n">
        <f aca="false">MAX(0,NG-L469)</f>
        <v>4.62260790830112</v>
      </c>
      <c r="N469" s="27" t="n">
        <f aca="false">MAX(0,GWL-K469)</f>
        <v>3.82270651026743</v>
      </c>
      <c r="O469" s="27" t="n">
        <f aca="false">MAX(0,NG-MAX(K469,GWL))</f>
        <v>0.8</v>
      </c>
      <c r="P469" s="27" t="n">
        <f aca="false">E469/2+WS+SLOPE_A*O469+SLOPE_B*N469</f>
        <v>10.8660179312756</v>
      </c>
      <c r="Q469" s="28" t="str">
        <f aca="false">IF(AND(P469&lt;J469,N469&lt;=MAXOC),"Open cut","Shoring")</f>
        <v>Shoring</v>
      </c>
      <c r="R469" s="27" t="n">
        <f aca="false">IF(Q469="Shoring",D469,0)</f>
        <v>2.7000000000383</v>
      </c>
      <c r="S469" s="27" t="n">
        <f aca="false">MAX(0,GWL-L469)</f>
        <v>3.82260790830112</v>
      </c>
      <c r="T469" s="27" t="n">
        <f aca="false">MAX(0,NG-MAX(L469,GWL))</f>
        <v>0.8</v>
      </c>
      <c r="U469" s="27" t="n">
        <f aca="false">E469+2*WS</f>
        <v>4.04120982148155</v>
      </c>
      <c r="V469" s="27" t="n">
        <f aca="false">IF(Q469="Shoring",D469*M469*U469,0)</f>
        <v>50.4385068964043</v>
      </c>
      <c r="W469" s="27" t="n">
        <f aca="false">IF(Q469="Open cut",D469*(U469*M469+SLOPE_B*S469^2+2*SLOPE_B*S469*T469+SLOPE_A*T469^2),0)</f>
        <v>0</v>
      </c>
      <c r="X469" s="27" t="n">
        <f aca="false">IF(M469&gt;0,D469*(E469+2*SLABOVH)*SLAB,0)</f>
        <v>4.10563325905833</v>
      </c>
      <c r="Y469" s="27" t="n">
        <f aca="false">IF(M469&gt;0,D469*PI()*E469^2/4,0)</f>
        <v>8.83545550562046</v>
      </c>
      <c r="Z469" s="27" t="n">
        <f aca="false">IF(H469-E469&gt;=GWL,99,E469*(MAX(0,GWL-H469)*(GAM_S-GAM_W)+MAX(0,NG-MAX(H469,GWL))*GAM_D)/(GAM_W*PI()*E469^2/4))</f>
        <v>1.58297326556658</v>
      </c>
      <c r="AA469" s="27" t="n">
        <f aca="false">IF(I469-E469&gt;=GWL,99,E469*(MAX(0,GWL-I469)*(GAM_S-GAM_W)+MAX(0,NG-MAX(I469,GWL))*GAM_D)/(GAM_W*PI()*E469^2/4))</f>
        <v>1.58287056970684</v>
      </c>
      <c r="AB469" s="27" t="n">
        <f aca="false">IF(H469-E469&gt;=GWL,99,E469*(MAX(0,GWL-H469)*(GAM_S-GAM_W)+MAX(0,FL-MAX(H469,GWL))*GAM_D)/(GAM_W*PI()*E469^2/4))</f>
        <v>3.5286688280893</v>
      </c>
      <c r="AC469" s="27" t="n">
        <f aca="false">IF(I469-E469&gt;=GWL,99,E469*(MAX(0,GWL-I469)*(GAM_S-GAM_W)+MAX(0,FL-MAX(I469,GWL))*GAM_D)/(GAM_W*PI()*E469^2/4))</f>
        <v>3.52856613222956</v>
      </c>
    </row>
    <row r="470" customFormat="false" ht="15" hidden="false" customHeight="false" outlineLevel="0" collapsed="false">
      <c r="A470" s="25" t="s">
        <v>956</v>
      </c>
      <c r="B470" s="25" t="s">
        <v>980</v>
      </c>
      <c r="C470" s="25" t="s">
        <v>981</v>
      </c>
      <c r="D470" s="26" t="n">
        <v>7.30000000013093</v>
      </c>
      <c r="E470" s="26" t="n">
        <v>2.04120982148155</v>
      </c>
      <c r="F470" s="26" t="n">
        <v>-5.32250930633481</v>
      </c>
      <c r="G470" s="26" t="n">
        <v>-5.32197612533181</v>
      </c>
      <c r="H470" s="26" t="n">
        <v>-2.78129948485326</v>
      </c>
      <c r="I470" s="26" t="n">
        <v>-2.78076630385026</v>
      </c>
      <c r="J470" s="26" t="n">
        <v>11.93</v>
      </c>
      <c r="K470" s="27" t="n">
        <f aca="false">MIN(F470,G470)</f>
        <v>-5.32250930633481</v>
      </c>
      <c r="L470" s="27" t="n">
        <f aca="false">AVERAGE(F470,G470)</f>
        <v>-5.32224271583331</v>
      </c>
      <c r="M470" s="27" t="n">
        <f aca="false">MAX(0,NG-L470)</f>
        <v>4.62224271583331</v>
      </c>
      <c r="N470" s="27" t="n">
        <f aca="false">MAX(0,GWL-K470)</f>
        <v>3.82250930633481</v>
      </c>
      <c r="O470" s="27" t="n">
        <f aca="false">MAX(0,NG-MAX(K470,GWL))</f>
        <v>0.8</v>
      </c>
      <c r="P470" s="27" t="n">
        <f aca="false">E470/2+WS+SLOPE_A*O470+SLOPE_B*N470</f>
        <v>10.8656235234104</v>
      </c>
      <c r="Q470" s="28" t="str">
        <f aca="false">IF(AND(P470&lt;J470,N470&lt;=MAXOC),"Open cut","Shoring")</f>
        <v>Shoring</v>
      </c>
      <c r="R470" s="27" t="n">
        <f aca="false">IF(Q470="Shoring",D470,0)</f>
        <v>7.30000000013093</v>
      </c>
      <c r="S470" s="27" t="n">
        <f aca="false">MAX(0,GWL-L470)</f>
        <v>3.82224271583331</v>
      </c>
      <c r="T470" s="27" t="n">
        <f aca="false">MAX(0,NG-MAX(L470,GWL))</f>
        <v>0.8</v>
      </c>
      <c r="U470" s="27" t="n">
        <f aca="false">E470+2*WS</f>
        <v>4.04120982148155</v>
      </c>
      <c r="V470" s="27" t="n">
        <f aca="false">IF(Q470="Shoring",D470*M470*U470,0)</f>
        <v>136.360004424075</v>
      </c>
      <c r="W470" s="27" t="n">
        <f aca="false">IF(Q470="Open cut",D470*(U470*M470+SLOPE_B*S470^2+2*SLOPE_B*S470*T470+SLOPE_A*T470^2),0)</f>
        <v>0</v>
      </c>
      <c r="X470" s="27" t="n">
        <f aca="false">IF(M470&gt;0,D470*(E470+2*SLABOVH)*SLAB,0)</f>
        <v>11.1004158486068</v>
      </c>
      <c r="Y470" s="27" t="n">
        <f aca="false">IF(M470&gt;0,D470*PI()*E470^2/4,0)</f>
        <v>23.8884537745449</v>
      </c>
      <c r="Z470" s="27" t="n">
        <f aca="false">IF(H470-E470&gt;=GWL,99,E470*(MAX(0,GWL-H470)*(GAM_S-GAM_W)+MAX(0,NG-MAX(H470,GWL))*GAM_D)/(GAM_W*PI()*E470^2/4))</f>
        <v>1.58287056970684</v>
      </c>
      <c r="AA470" s="27" t="n">
        <f aca="false">IF(I470-E470&gt;=GWL,99,E470*(MAX(0,GWL-I470)*(GAM_S-GAM_W)+MAX(0,NG-MAX(I470,GWL))*GAM_D)/(GAM_W*PI()*E470^2/4))</f>
        <v>1.58259291053051</v>
      </c>
      <c r="AB470" s="27" t="n">
        <f aca="false">IF(H470-E470&gt;=GWL,99,E470*(MAX(0,GWL-H470)*(GAM_S-GAM_W)+MAX(0,FL-MAX(H470,GWL))*GAM_D)/(GAM_W*PI()*E470^2/4))</f>
        <v>3.52856613222956</v>
      </c>
      <c r="AC470" s="27" t="n">
        <f aca="false">IF(I470-E470&gt;=GWL,99,E470*(MAX(0,GWL-I470)*(GAM_S-GAM_W)+MAX(0,FL-MAX(I470,GWL))*GAM_D)/(GAM_W*PI()*E470^2/4))</f>
        <v>3.52828847305323</v>
      </c>
    </row>
    <row r="471" customFormat="false" ht="15" hidden="false" customHeight="false" outlineLevel="0" collapsed="false">
      <c r="A471" s="25" t="s">
        <v>956</v>
      </c>
      <c r="B471" s="25" t="s">
        <v>980</v>
      </c>
      <c r="C471" s="25" t="s">
        <v>982</v>
      </c>
      <c r="D471" s="26" t="n">
        <v>0.975028201343005</v>
      </c>
      <c r="E471" s="26" t="n">
        <v>2.04120982148155</v>
      </c>
      <c r="F471" s="26" t="n">
        <v>-5.32197612533181</v>
      </c>
      <c r="G471" s="26" t="n">
        <v>-5.32190491074078</v>
      </c>
      <c r="H471" s="26" t="n">
        <v>-2.78076630385026</v>
      </c>
      <c r="I471" s="26" t="n">
        <v>-2.78069508925923</v>
      </c>
      <c r="J471" s="26" t="n">
        <v>14.26</v>
      </c>
      <c r="K471" s="27" t="n">
        <f aca="false">MIN(F471,G471)</f>
        <v>-5.32197612533181</v>
      </c>
      <c r="L471" s="27" t="n">
        <f aca="false">AVERAGE(F471,G471)</f>
        <v>-5.32194051803629</v>
      </c>
      <c r="M471" s="27" t="n">
        <f aca="false">MAX(0,NG-L471)</f>
        <v>4.62194051803629</v>
      </c>
      <c r="N471" s="27" t="n">
        <f aca="false">MAX(0,GWL-K471)</f>
        <v>3.82197612533181</v>
      </c>
      <c r="O471" s="27" t="n">
        <f aca="false">MAX(0,NG-MAX(K471,GWL))</f>
        <v>0.8</v>
      </c>
      <c r="P471" s="27" t="n">
        <f aca="false">E471/2+WS+SLOPE_A*O471+SLOPE_B*N471</f>
        <v>10.8645571614044</v>
      </c>
      <c r="Q471" s="28" t="str">
        <f aca="false">IF(AND(P471&lt;J471,N471&lt;=MAXOC),"Open cut","Shoring")</f>
        <v>Shoring</v>
      </c>
      <c r="R471" s="27" t="n">
        <f aca="false">IF(Q471="Shoring",D471,0)</f>
        <v>0.975028201343005</v>
      </c>
      <c r="S471" s="27" t="n">
        <f aca="false">MAX(0,GWL-L471)</f>
        <v>3.82194051803629</v>
      </c>
      <c r="T471" s="27" t="n">
        <f aca="false">MAX(0,NG-MAX(L471,GWL))</f>
        <v>0.8</v>
      </c>
      <c r="U471" s="27" t="n">
        <f aca="false">E471+2*WS</f>
        <v>4.04120982148155</v>
      </c>
      <c r="V471" s="27" t="n">
        <f aca="false">IF(Q471="Shoring",D471*M471*U471,0)</f>
        <v>18.2118023816079</v>
      </c>
      <c r="W471" s="27" t="n">
        <f aca="false">IF(Q471="Open cut",D471*(U471*M471+SLOPE_B*S471^2+2*SLOPE_B*S471*T471+SLOPE_A*T471^2),0)</f>
        <v>0</v>
      </c>
      <c r="X471" s="27" t="n">
        <f aca="false">IF(M471&gt;0,D471*(E471+2*SLABOVH)*SLAB,0)</f>
        <v>1.48263267107292</v>
      </c>
      <c r="Y471" s="27" t="n">
        <f aca="false">IF(M471&gt;0,D471*PI()*E471^2/4,0)</f>
        <v>3.19067344058114</v>
      </c>
      <c r="Z471" s="27" t="n">
        <f aca="false">IF(H471-E471&gt;=GWL,99,E471*(MAX(0,GWL-H471)*(GAM_S-GAM_W)+MAX(0,NG-MAX(H471,GWL))*GAM_D)/(GAM_W*PI()*E471^2/4))</f>
        <v>1.58259291053051</v>
      </c>
      <c r="AA471" s="27" t="n">
        <f aca="false">IF(I471-E471&gt;=GWL,99,E471*(MAX(0,GWL-I471)*(GAM_S-GAM_W)+MAX(0,NG-MAX(I471,GWL))*GAM_D)/(GAM_W*PI()*E471^2/4))</f>
        <v>1.58255582484182</v>
      </c>
      <c r="AB471" s="27" t="n">
        <f aca="false">IF(H471-E471&gt;=GWL,99,E471*(MAX(0,GWL-H471)*(GAM_S-GAM_W)+MAX(0,FL-MAX(H471,GWL))*GAM_D)/(GAM_W*PI()*E471^2/4))</f>
        <v>3.52828847305323</v>
      </c>
      <c r="AC471" s="27" t="n">
        <f aca="false">IF(I471-E471&gt;=GWL,99,E471*(MAX(0,GWL-I471)*(GAM_S-GAM_W)+MAX(0,FL-MAX(I471,GWL))*GAM_D)/(GAM_W*PI()*E471^2/4))</f>
        <v>3.52825138736455</v>
      </c>
    </row>
    <row r="472" customFormat="false" ht="15" hidden="false" customHeight="false" outlineLevel="0" collapsed="false">
      <c r="A472" s="25" t="s">
        <v>956</v>
      </c>
      <c r="B472" s="25" t="s">
        <v>980</v>
      </c>
      <c r="C472" s="25" t="s">
        <v>983</v>
      </c>
      <c r="D472" s="26" t="n">
        <v>7.82497179885028</v>
      </c>
      <c r="E472" s="26" t="n">
        <v>2.04120982148155</v>
      </c>
      <c r="F472" s="26" t="n">
        <v>-5.32190491074078</v>
      </c>
      <c r="G472" s="26" t="n">
        <v>-5.32133521976079</v>
      </c>
      <c r="H472" s="26" t="n">
        <v>-2.78069508925923</v>
      </c>
      <c r="I472" s="26" t="n">
        <v>-2.78012539827924</v>
      </c>
      <c r="J472" s="26" t="n">
        <v>14.23</v>
      </c>
      <c r="K472" s="27" t="n">
        <f aca="false">MIN(F472,G472)</f>
        <v>-5.32190491074078</v>
      </c>
      <c r="L472" s="27" t="n">
        <f aca="false">AVERAGE(F472,G472)</f>
        <v>-5.32162006525078</v>
      </c>
      <c r="M472" s="27" t="n">
        <f aca="false">MAX(0,NG-L472)</f>
        <v>4.62162006525078</v>
      </c>
      <c r="N472" s="27" t="n">
        <f aca="false">MAX(0,GWL-K472)</f>
        <v>3.82190491074078</v>
      </c>
      <c r="O472" s="27" t="n">
        <f aca="false">MAX(0,NG-MAX(K472,GWL))</f>
        <v>0.8</v>
      </c>
      <c r="P472" s="27" t="n">
        <f aca="false">E472/2+WS+SLOPE_A*O472+SLOPE_B*N472</f>
        <v>10.8644147322223</v>
      </c>
      <c r="Q472" s="28" t="str">
        <f aca="false">IF(AND(P472&lt;J472,N472&lt;=MAXOC),"Open cut","Shoring")</f>
        <v>Shoring</v>
      </c>
      <c r="R472" s="27" t="n">
        <f aca="false">IF(Q472="Shoring",D472,0)</f>
        <v>7.82497179885028</v>
      </c>
      <c r="S472" s="27" t="n">
        <f aca="false">MAX(0,GWL-L472)</f>
        <v>3.82162006525078</v>
      </c>
      <c r="T472" s="27" t="n">
        <f aca="false">MAX(0,NG-MAX(L472,GWL))</f>
        <v>0.8</v>
      </c>
      <c r="U472" s="27" t="n">
        <f aca="false">E472+2*WS</f>
        <v>4.04120982148155</v>
      </c>
      <c r="V472" s="27" t="n">
        <f aca="false">IF(Q472="Shoring",D472*M472*U472,0)</f>
        <v>146.146500609903</v>
      </c>
      <c r="W472" s="27" t="n">
        <f aca="false">IF(Q472="Open cut",D472*(U472*M472+SLOPE_B*S472^2+2*SLOPE_B*S472*T472+SLOPE_A*T472^2),0)</f>
        <v>0</v>
      </c>
      <c r="X472" s="27" t="n">
        <f aca="false">IF(M472&gt;0,D472*(E472+2*SLABOVH)*SLAB,0)</f>
        <v>11.8986905437398</v>
      </c>
      <c r="Y472" s="27" t="n">
        <f aca="false">IF(M472&gt;0,D472*PI()*E472^2/4,0)</f>
        <v>25.6063667261096</v>
      </c>
      <c r="Z472" s="27" t="n">
        <f aca="false">IF(H472-E472&gt;=GWL,99,E472*(MAX(0,GWL-H472)*(GAM_S-GAM_W)+MAX(0,NG-MAX(H472,GWL))*GAM_D)/(GAM_W*PI()*E472^2/4))</f>
        <v>1.58255582484182</v>
      </c>
      <c r="AA472" s="27" t="n">
        <f aca="false">IF(I472-E472&gt;=GWL,99,E472*(MAX(0,GWL-I472)*(GAM_S-GAM_W)+MAX(0,NG-MAX(I472,GWL))*GAM_D)/(GAM_W*PI()*E472^2/4))</f>
        <v>1.58225915274103</v>
      </c>
      <c r="AB472" s="27" t="n">
        <f aca="false">IF(H472-E472&gt;=GWL,99,E472*(MAX(0,GWL-H472)*(GAM_S-GAM_W)+MAX(0,FL-MAX(H472,GWL))*GAM_D)/(GAM_W*PI()*E472^2/4))</f>
        <v>3.52825138736455</v>
      </c>
      <c r="AC472" s="27" t="n">
        <f aca="false">IF(I472-E472&gt;=GWL,99,E472*(MAX(0,GWL-I472)*(GAM_S-GAM_W)+MAX(0,FL-MAX(I472,GWL))*GAM_D)/(GAM_W*PI()*E472^2/4))</f>
        <v>3.52795471526375</v>
      </c>
    </row>
    <row r="473" customFormat="false" ht="15" hidden="false" customHeight="false" outlineLevel="0" collapsed="false">
      <c r="A473" s="25" t="s">
        <v>956</v>
      </c>
      <c r="B473" s="25" t="s">
        <v>984</v>
      </c>
      <c r="C473" s="25" t="s">
        <v>985</v>
      </c>
      <c r="D473" s="26" t="n">
        <v>1.19999999974184</v>
      </c>
      <c r="E473" s="26" t="n">
        <v>2.04120982148155</v>
      </c>
      <c r="F473" s="26" t="n">
        <v>-5.32133521976079</v>
      </c>
      <c r="G473" s="26" t="n">
        <v>-5.321247854695</v>
      </c>
      <c r="H473" s="26" t="n">
        <v>-2.78012539827924</v>
      </c>
      <c r="I473" s="26" t="n">
        <v>-2.78003803321345</v>
      </c>
      <c r="J473" s="26" t="n">
        <v>14.23</v>
      </c>
      <c r="K473" s="27" t="n">
        <f aca="false">MIN(F473,G473)</f>
        <v>-5.32133521976079</v>
      </c>
      <c r="L473" s="27" t="n">
        <f aca="false">AVERAGE(F473,G473)</f>
        <v>-5.3212915372279</v>
      </c>
      <c r="M473" s="27" t="n">
        <f aca="false">MAX(0,NG-L473)</f>
        <v>4.62129153722789</v>
      </c>
      <c r="N473" s="27" t="n">
        <f aca="false">MAX(0,GWL-K473)</f>
        <v>3.82133521976079</v>
      </c>
      <c r="O473" s="27" t="n">
        <f aca="false">MAX(0,NG-MAX(K473,GWL))</f>
        <v>0.8</v>
      </c>
      <c r="P473" s="27" t="n">
        <f aca="false">E473/2+WS+SLOPE_A*O473+SLOPE_B*N473</f>
        <v>10.8632753502624</v>
      </c>
      <c r="Q473" s="28" t="str">
        <f aca="false">IF(AND(P473&lt;J473,N473&lt;=MAXOC),"Open cut","Shoring")</f>
        <v>Shoring</v>
      </c>
      <c r="R473" s="27" t="n">
        <f aca="false">IF(Q473="Shoring",D473,0)</f>
        <v>1.19999999974184</v>
      </c>
      <c r="S473" s="27" t="n">
        <f aca="false">MAX(0,GWL-L473)</f>
        <v>3.82129153722789</v>
      </c>
      <c r="T473" s="27" t="n">
        <f aca="false">MAX(0,NG-MAX(L473,GWL))</f>
        <v>0.8</v>
      </c>
      <c r="U473" s="27" t="n">
        <f aca="false">E473+2*WS</f>
        <v>4.04120982148155</v>
      </c>
      <c r="V473" s="27" t="n">
        <f aca="false">IF(Q473="Shoring",D473*M473*U473,0)</f>
        <v>22.4107304929887</v>
      </c>
      <c r="W473" s="27" t="n">
        <f aca="false">IF(Q473="Open cut",D473*(U473*M473+SLOPE_B*S473^2+2*SLOPE_B*S473*T473+SLOPE_A*T473^2),0)</f>
        <v>0</v>
      </c>
      <c r="X473" s="27" t="n">
        <f aca="false">IF(M473&gt;0,D473*(E473+2*SLABOVH)*SLAB,0)</f>
        <v>1.82472589249638</v>
      </c>
      <c r="Y473" s="27" t="n">
        <f aca="false">IF(M473&gt;0,D473*PI()*E473^2/4,0)</f>
        <v>3.9268691127086</v>
      </c>
      <c r="Z473" s="27" t="n">
        <f aca="false">IF(H473-E473&gt;=GWL,99,E473*(MAX(0,GWL-H473)*(GAM_S-GAM_W)+MAX(0,NG-MAX(H473,GWL))*GAM_D)/(GAM_W*PI()*E473^2/4))</f>
        <v>1.58225915274103</v>
      </c>
      <c r="AA473" s="27" t="n">
        <f aca="false">IF(I473-E473&gt;=GWL,99,E473*(MAX(0,GWL-I473)*(GAM_S-GAM_W)+MAX(0,NG-MAX(I473,GWL))*GAM_D)/(GAM_W*PI()*E473^2/4))</f>
        <v>1.58221365653604</v>
      </c>
      <c r="AB473" s="27" t="n">
        <f aca="false">IF(H473-E473&gt;=GWL,99,E473*(MAX(0,GWL-H473)*(GAM_S-GAM_W)+MAX(0,FL-MAX(H473,GWL))*GAM_D)/(GAM_W*PI()*E473^2/4))</f>
        <v>3.52795471526375</v>
      </c>
      <c r="AC473" s="27" t="n">
        <f aca="false">IF(I473-E473&gt;=GWL,99,E473*(MAX(0,GWL-I473)*(GAM_S-GAM_W)+MAX(0,FL-MAX(I473,GWL))*GAM_D)/(GAM_W*PI()*E473^2/4))</f>
        <v>3.52790921905876</v>
      </c>
    </row>
    <row r="474" customFormat="false" ht="15" hidden="false" customHeight="false" outlineLevel="0" collapsed="false">
      <c r="A474" s="25" t="s">
        <v>956</v>
      </c>
      <c r="B474" s="25" t="s">
        <v>984</v>
      </c>
      <c r="C474" s="25" t="s">
        <v>986</v>
      </c>
      <c r="D474" s="26" t="n">
        <v>8.8311356267992</v>
      </c>
      <c r="E474" s="26" t="n">
        <v>2.04120982148155</v>
      </c>
      <c r="F474" s="26" t="n">
        <v>-5.321247854695</v>
      </c>
      <c r="G474" s="26" t="n">
        <v>-5.32060491074078</v>
      </c>
      <c r="H474" s="26" t="n">
        <v>-2.78003803321345</v>
      </c>
      <c r="I474" s="26" t="n">
        <v>-2.77939508925922</v>
      </c>
      <c r="J474" s="26" t="n">
        <v>14.2</v>
      </c>
      <c r="K474" s="27" t="n">
        <f aca="false">MIN(F474,G474)</f>
        <v>-5.321247854695</v>
      </c>
      <c r="L474" s="27" t="n">
        <f aca="false">AVERAGE(F474,G474)</f>
        <v>-5.32092638271789</v>
      </c>
      <c r="M474" s="27" t="n">
        <f aca="false">MAX(0,NG-L474)</f>
        <v>4.62092638271789</v>
      </c>
      <c r="N474" s="27" t="n">
        <f aca="false">MAX(0,GWL-K474)</f>
        <v>3.821247854695</v>
      </c>
      <c r="O474" s="27" t="n">
        <f aca="false">MAX(0,NG-MAX(K474,GWL))</f>
        <v>0.8</v>
      </c>
      <c r="P474" s="27" t="n">
        <f aca="false">E474/2+WS+SLOPE_A*O474+SLOPE_B*N474</f>
        <v>10.8631006201308</v>
      </c>
      <c r="Q474" s="28" t="str">
        <f aca="false">IF(AND(P474&lt;J474,N474&lt;=MAXOC),"Open cut","Shoring")</f>
        <v>Shoring</v>
      </c>
      <c r="R474" s="27" t="n">
        <f aca="false">IF(Q474="Shoring",D474,0)</f>
        <v>8.8311356267992</v>
      </c>
      <c r="S474" s="27" t="n">
        <f aca="false">MAX(0,GWL-L474)</f>
        <v>3.82092638271789</v>
      </c>
      <c r="T474" s="27" t="n">
        <f aca="false">MAX(0,NG-MAX(L474,GWL))</f>
        <v>0.8</v>
      </c>
      <c r="U474" s="27" t="n">
        <f aca="false">E474+2*WS</f>
        <v>4.04120982148155</v>
      </c>
      <c r="V474" s="27" t="n">
        <f aca="false">IF(Q474="Shoring",D474*M474*U474,0)</f>
        <v>164.913801961654</v>
      </c>
      <c r="W474" s="27" t="n">
        <f aca="false">IF(Q474="Open cut",D474*(U474*M474+SLOPE_B*S474^2+2*SLOPE_B*S474*T474+SLOPE_A*T474^2),0)</f>
        <v>0</v>
      </c>
      <c r="X474" s="27" t="n">
        <f aca="false">IF(M474&gt;0,D474*(E474+2*SLABOVH)*SLAB,0)</f>
        <v>13.4286682015287</v>
      </c>
      <c r="Y474" s="27" t="n">
        <f aca="false">IF(M474&gt;0,D474*PI()*E474^2/4,0)</f>
        <v>28.8989281087323</v>
      </c>
      <c r="Z474" s="27" t="n">
        <f aca="false">IF(H474-E474&gt;=GWL,99,E474*(MAX(0,GWL-H474)*(GAM_S-GAM_W)+MAX(0,NG-MAX(H474,GWL))*GAM_D)/(GAM_W*PI()*E474^2/4))</f>
        <v>1.58221365653604</v>
      </c>
      <c r="AA474" s="27" t="n">
        <f aca="false">IF(I474-E474&gt;=GWL,99,E474*(MAX(0,GWL-I474)*(GAM_S-GAM_W)+MAX(0,NG-MAX(I474,GWL))*GAM_D)/(GAM_W*PI()*E474^2/4))</f>
        <v>1.58187883723875</v>
      </c>
      <c r="AB474" s="27" t="n">
        <f aca="false">IF(H474-E474&gt;=GWL,99,E474*(MAX(0,GWL-H474)*(GAM_S-GAM_W)+MAX(0,FL-MAX(H474,GWL))*GAM_D)/(GAM_W*PI()*E474^2/4))</f>
        <v>3.52790921905876</v>
      </c>
      <c r="AC474" s="27" t="n">
        <f aca="false">IF(I474-E474&gt;=GWL,99,E474*(MAX(0,GWL-I474)*(GAM_S-GAM_W)+MAX(0,FL-MAX(I474,GWL))*GAM_D)/(GAM_W*PI()*E474^2/4))</f>
        <v>3.52757439976147</v>
      </c>
    </row>
    <row r="475" customFormat="false" ht="15" hidden="false" customHeight="false" outlineLevel="0" collapsed="false">
      <c r="A475" s="25" t="s">
        <v>956</v>
      </c>
      <c r="B475" s="25" t="s">
        <v>984</v>
      </c>
      <c r="C475" s="25" t="s">
        <v>987</v>
      </c>
      <c r="D475" s="26" t="n">
        <v>1.16886437294313</v>
      </c>
      <c r="E475" s="26" t="n">
        <v>2.04120982148155</v>
      </c>
      <c r="F475" s="26" t="n">
        <v>-5.32060491074078</v>
      </c>
      <c r="G475" s="26" t="n">
        <v>-5.32060491074078</v>
      </c>
      <c r="H475" s="26" t="n">
        <v>-2.77939508925922</v>
      </c>
      <c r="I475" s="26" t="n">
        <v>-2.77939508925922</v>
      </c>
      <c r="J475" s="26" t="n">
        <v>14.19</v>
      </c>
      <c r="K475" s="27" t="n">
        <f aca="false">MIN(F475,G475)</f>
        <v>-5.32060491074078</v>
      </c>
      <c r="L475" s="27" t="n">
        <f aca="false">AVERAGE(F475,G475)</f>
        <v>-5.32060491074078</v>
      </c>
      <c r="M475" s="27" t="n">
        <f aca="false">MAX(0,NG-L475)</f>
        <v>4.62060491074078</v>
      </c>
      <c r="N475" s="27" t="n">
        <f aca="false">MAX(0,GWL-K475)</f>
        <v>3.82060491074078</v>
      </c>
      <c r="O475" s="27" t="n">
        <f aca="false">MAX(0,NG-MAX(K475,GWL))</f>
        <v>0.8</v>
      </c>
      <c r="P475" s="27" t="n">
        <f aca="false">E475/2+WS+SLOPE_A*O475+SLOPE_B*N475</f>
        <v>10.8618147322223</v>
      </c>
      <c r="Q475" s="28" t="str">
        <f aca="false">IF(AND(P475&lt;J475,N475&lt;=MAXOC),"Open cut","Shoring")</f>
        <v>Shoring</v>
      </c>
      <c r="R475" s="27" t="n">
        <f aca="false">IF(Q475="Shoring",D475,0)</f>
        <v>1.16886437294313</v>
      </c>
      <c r="S475" s="27" t="n">
        <f aca="false">MAX(0,GWL-L475)</f>
        <v>3.82060491074078</v>
      </c>
      <c r="T475" s="27" t="n">
        <f aca="false">MAX(0,NG-MAX(L475,GWL))</f>
        <v>0.8</v>
      </c>
      <c r="U475" s="27" t="n">
        <f aca="false">E475+2*WS</f>
        <v>4.04120982148155</v>
      </c>
      <c r="V475" s="27" t="n">
        <f aca="false">IF(Q475="Shoring",D475*M475*U475,0)</f>
        <v>21.8260103419137</v>
      </c>
      <c r="W475" s="27" t="n">
        <f aca="false">IF(Q475="Open cut",D475*(U475*M475+SLOPE_B*S475^2+2*SLOPE_B*S475*T475+SLOPE_A*T475^2),0)</f>
        <v>0</v>
      </c>
      <c r="X475" s="27" t="n">
        <f aca="false">IF(M475&gt;0,D475*(E475+2*SLABOVH)*SLAB,0)</f>
        <v>1.77738090548727</v>
      </c>
      <c r="Y475" s="27" t="n">
        <f aca="false">IF(M475&gt;0,D475*PI()*E475^2/4,0)</f>
        <v>3.82498117003612</v>
      </c>
      <c r="Z475" s="27" t="n">
        <f aca="false">IF(H475-E475&gt;=GWL,99,E475*(MAX(0,GWL-H475)*(GAM_S-GAM_W)+MAX(0,NG-MAX(H475,GWL))*GAM_D)/(GAM_W*PI()*E475^2/4))</f>
        <v>1.58187883723875</v>
      </c>
      <c r="AA475" s="27" t="n">
        <f aca="false">IF(I475-E475&gt;=GWL,99,E475*(MAX(0,GWL-I475)*(GAM_S-GAM_W)+MAX(0,NG-MAX(I475,GWL))*GAM_D)/(GAM_W*PI()*E475^2/4))</f>
        <v>1.58187883723875</v>
      </c>
      <c r="AB475" s="27" t="n">
        <f aca="false">IF(H475-E475&gt;=GWL,99,E475*(MAX(0,GWL-H475)*(GAM_S-GAM_W)+MAX(0,FL-MAX(H475,GWL))*GAM_D)/(GAM_W*PI()*E475^2/4))</f>
        <v>3.52757439976147</v>
      </c>
      <c r="AC475" s="27" t="n">
        <f aca="false">IF(I475-E475&gt;=GWL,99,E475*(MAX(0,GWL-I475)*(GAM_S-GAM_W)+MAX(0,FL-MAX(I475,GWL))*GAM_D)/(GAM_W*PI()*E475^2/4))</f>
        <v>3.52757439976147</v>
      </c>
    </row>
    <row r="476" customFormat="false" ht="15" hidden="false" customHeight="false" outlineLevel="0" collapsed="false">
      <c r="A476" s="25" t="s">
        <v>956</v>
      </c>
      <c r="B476" s="25" t="s">
        <v>984</v>
      </c>
      <c r="C476" s="25" t="s">
        <v>988</v>
      </c>
      <c r="D476" s="26" t="n">
        <v>1.93175309777833</v>
      </c>
      <c r="E476" s="26" t="n">
        <v>2.04120982148155</v>
      </c>
      <c r="F476" s="26" t="n">
        <v>-5.32060491074078</v>
      </c>
      <c r="G476" s="26" t="n">
        <v>-5.32060491074078</v>
      </c>
      <c r="H476" s="26" t="n">
        <v>-2.77939508925922</v>
      </c>
      <c r="I476" s="26" t="n">
        <v>-2.77939508925922</v>
      </c>
      <c r="J476" s="26" t="n">
        <v>14.19</v>
      </c>
      <c r="K476" s="27" t="n">
        <f aca="false">MIN(F476,G476)</f>
        <v>-5.32060491074078</v>
      </c>
      <c r="L476" s="27" t="n">
        <f aca="false">AVERAGE(F476,G476)</f>
        <v>-5.32060491074078</v>
      </c>
      <c r="M476" s="27" t="n">
        <f aca="false">MAX(0,NG-L476)</f>
        <v>4.62060491074078</v>
      </c>
      <c r="N476" s="27" t="n">
        <f aca="false">MAX(0,GWL-K476)</f>
        <v>3.82060491074078</v>
      </c>
      <c r="O476" s="27" t="n">
        <f aca="false">MAX(0,NG-MAX(K476,GWL))</f>
        <v>0.8</v>
      </c>
      <c r="P476" s="27" t="n">
        <f aca="false">E476/2+WS+SLOPE_A*O476+SLOPE_B*N476</f>
        <v>10.8618147322223</v>
      </c>
      <c r="Q476" s="28" t="str">
        <f aca="false">IF(AND(P476&lt;J476,N476&lt;=MAXOC),"Open cut","Shoring")</f>
        <v>Shoring</v>
      </c>
      <c r="R476" s="27" t="n">
        <f aca="false">IF(Q476="Shoring",D476,0)</f>
        <v>1.93175309777833</v>
      </c>
      <c r="S476" s="27" t="n">
        <f aca="false">MAX(0,GWL-L476)</f>
        <v>3.82060491074078</v>
      </c>
      <c r="T476" s="27" t="n">
        <f aca="false">MAX(0,NG-MAX(L476,GWL))</f>
        <v>0.8</v>
      </c>
      <c r="U476" s="27" t="n">
        <f aca="false">E476+2*WS</f>
        <v>4.04120982148155</v>
      </c>
      <c r="V476" s="27" t="n">
        <f aca="false">IF(Q476="Shoring",D476*M476*U476,0)</f>
        <v>36.0713048203967</v>
      </c>
      <c r="W476" s="27" t="n">
        <f aca="false">IF(Q476="Open cut",D476*(U476*M476+SLOPE_B*S476^2+2*SLOPE_B*S476*T476+SLOPE_A*T476^2),0)</f>
        <v>0</v>
      </c>
      <c r="X476" s="27" t="n">
        <f aca="false">IF(M476&gt;0,D476*(E476+2*SLABOVH)*SLAB,0)</f>
        <v>2.93743324682043</v>
      </c>
      <c r="Y476" s="27" t="n">
        <f aca="false">IF(M476&gt;0,D476*PI()*E476^2/4,0)</f>
        <v>6.32145131223067</v>
      </c>
      <c r="Z476" s="27" t="n">
        <f aca="false">IF(H476-E476&gt;=GWL,99,E476*(MAX(0,GWL-H476)*(GAM_S-GAM_W)+MAX(0,NG-MAX(H476,GWL))*GAM_D)/(GAM_W*PI()*E476^2/4))</f>
        <v>1.58187883723875</v>
      </c>
      <c r="AA476" s="27" t="n">
        <f aca="false">IF(I476-E476&gt;=GWL,99,E476*(MAX(0,GWL-I476)*(GAM_S-GAM_W)+MAX(0,NG-MAX(I476,GWL))*GAM_D)/(GAM_W*PI()*E476^2/4))</f>
        <v>1.58187883723875</v>
      </c>
      <c r="AB476" s="27" t="n">
        <f aca="false">IF(H476-E476&gt;=GWL,99,E476*(MAX(0,GWL-H476)*(GAM_S-GAM_W)+MAX(0,FL-MAX(H476,GWL))*GAM_D)/(GAM_W*PI()*E476^2/4))</f>
        <v>3.52757439976147</v>
      </c>
      <c r="AC476" s="27" t="n">
        <f aca="false">IF(I476-E476&gt;=GWL,99,E476*(MAX(0,GWL-I476)*(GAM_S-GAM_W)+MAX(0,FL-MAX(I476,GWL))*GAM_D)/(GAM_W*PI()*E476^2/4))</f>
        <v>3.52757439976147</v>
      </c>
    </row>
    <row r="477" customFormat="false" ht="15" hidden="false" customHeight="false" outlineLevel="0" collapsed="false">
      <c r="A477" s="25" t="s">
        <v>956</v>
      </c>
      <c r="B477" s="25" t="s">
        <v>984</v>
      </c>
      <c r="C477" s="25" t="s">
        <v>989</v>
      </c>
      <c r="D477" s="26" t="n">
        <v>3.09624156642311</v>
      </c>
      <c r="E477" s="26" t="n">
        <v>2.06960490240081</v>
      </c>
      <c r="F477" s="26" t="n">
        <v>-5.3348024512004</v>
      </c>
      <c r="G477" s="26" t="n">
        <v>-5.3348024512004</v>
      </c>
      <c r="H477" s="26" t="n">
        <v>-2.7651975487996</v>
      </c>
      <c r="I477" s="26" t="n">
        <v>-2.7651975487996</v>
      </c>
      <c r="J477" s="26" t="n">
        <v>33.71</v>
      </c>
      <c r="K477" s="27" t="n">
        <f aca="false">MIN(F477,G477)</f>
        <v>-5.3348024512004</v>
      </c>
      <c r="L477" s="27" t="n">
        <f aca="false">AVERAGE(F477,G477)</f>
        <v>-5.3348024512004</v>
      </c>
      <c r="M477" s="27" t="n">
        <f aca="false">MAX(0,NG-L477)</f>
        <v>4.6348024512004</v>
      </c>
      <c r="N477" s="27" t="n">
        <f aca="false">MAX(0,GWL-K477)</f>
        <v>3.8348024512004</v>
      </c>
      <c r="O477" s="27" t="n">
        <f aca="false">MAX(0,NG-MAX(K477,GWL))</f>
        <v>0.8</v>
      </c>
      <c r="P477" s="27" t="n">
        <f aca="false">E477/2+WS+SLOPE_A*O477+SLOPE_B*N477</f>
        <v>10.9044073536012</v>
      </c>
      <c r="Q477" s="28" t="str">
        <f aca="false">IF(AND(P477&lt;J477,N477&lt;=MAXOC),"Open cut","Shoring")</f>
        <v>Shoring</v>
      </c>
      <c r="R477" s="27" t="n">
        <f aca="false">IF(Q477="Shoring",D477,0)</f>
        <v>3.09624156642311</v>
      </c>
      <c r="S477" s="27" t="n">
        <f aca="false">MAX(0,GWL-L477)</f>
        <v>3.8348024512004</v>
      </c>
      <c r="T477" s="27" t="n">
        <f aca="false">MAX(0,NG-MAX(L477,GWL))</f>
        <v>0.8</v>
      </c>
      <c r="U477" s="27" t="n">
        <f aca="false">E477+2*WS</f>
        <v>4.06960490240081</v>
      </c>
      <c r="V477" s="27" t="n">
        <f aca="false">IF(Q477="Shoring",D477*M477*U477,0)</f>
        <v>58.4007349309205</v>
      </c>
      <c r="W477" s="27" t="n">
        <f aca="false">IF(Q477="Open cut",D477*(U477*M477+SLOPE_B*S477^2+2*SLOPE_B*S477*T477+SLOPE_A*T477^2),0)</f>
        <v>0</v>
      </c>
      <c r="X477" s="27" t="n">
        <f aca="false">IF(M477&gt;0,D477*(E477+2*SLABOVH)*SLAB,0)</f>
        <v>4.75211914565476</v>
      </c>
      <c r="Y477" s="27" t="n">
        <f aca="false">IF(M477&gt;0,D477*PI()*E477^2/4,0)</f>
        <v>10.4159672790808</v>
      </c>
      <c r="Z477" s="27" t="n">
        <f aca="false">IF(H477-E477&gt;=GWL,99,E477*(MAX(0,GWL-H477)*(GAM_S-GAM_W)+MAX(0,NG-MAX(H477,GWL))*GAM_D)/(GAM_W*PI()*E477^2/4))</f>
        <v>1.55288331433251</v>
      </c>
      <c r="AA477" s="27" t="n">
        <f aca="false">IF(I477-E477&gt;=GWL,99,E477*(MAX(0,GWL-I477)*(GAM_S-GAM_W)+MAX(0,NG-MAX(I477,GWL))*GAM_D)/(GAM_W*PI()*E477^2/4))</f>
        <v>1.55288331433251</v>
      </c>
      <c r="AB477" s="27" t="n">
        <f aca="false">IF(H477-E477&gt;=GWL,99,E477*(MAX(0,GWL-H477)*(GAM_S-GAM_W)+MAX(0,FL-MAX(H477,GWL))*GAM_D)/(GAM_W*PI()*E477^2/4))</f>
        <v>3.47188383816548</v>
      </c>
      <c r="AC477" s="27" t="n">
        <f aca="false">IF(I477-E477&gt;=GWL,99,E477*(MAX(0,GWL-I477)*(GAM_S-GAM_W)+MAX(0,FL-MAX(I477,GWL))*GAM_D)/(GAM_W*PI()*E477^2/4))</f>
        <v>3.47188383816548</v>
      </c>
    </row>
    <row r="478" customFormat="false" ht="15" hidden="false" customHeight="false" outlineLevel="0" collapsed="false">
      <c r="A478" s="25" t="s">
        <v>956</v>
      </c>
      <c r="B478" s="25" t="s">
        <v>990</v>
      </c>
      <c r="C478" s="25" t="s">
        <v>991</v>
      </c>
      <c r="D478" s="26" t="n">
        <v>4.97200533600342</v>
      </c>
      <c r="E478" s="26" t="n">
        <v>2.06960490240081</v>
      </c>
      <c r="F478" s="26" t="n">
        <v>-5.3348024512004</v>
      </c>
      <c r="G478" s="26" t="n">
        <v>-5.3348024512004</v>
      </c>
      <c r="H478" s="26" t="n">
        <v>-2.7651975487996</v>
      </c>
      <c r="I478" s="26" t="n">
        <v>-2.7651975487996</v>
      </c>
      <c r="J478" s="26" t="n">
        <v>23.41</v>
      </c>
      <c r="K478" s="27" t="n">
        <f aca="false">MIN(F478,G478)</f>
        <v>-5.3348024512004</v>
      </c>
      <c r="L478" s="27" t="n">
        <f aca="false">AVERAGE(F478,G478)</f>
        <v>-5.3348024512004</v>
      </c>
      <c r="M478" s="27" t="n">
        <f aca="false">MAX(0,NG-L478)</f>
        <v>4.6348024512004</v>
      </c>
      <c r="N478" s="27" t="n">
        <f aca="false">MAX(0,GWL-K478)</f>
        <v>3.8348024512004</v>
      </c>
      <c r="O478" s="27" t="n">
        <f aca="false">MAX(0,NG-MAX(K478,GWL))</f>
        <v>0.8</v>
      </c>
      <c r="P478" s="27" t="n">
        <f aca="false">E478/2+WS+SLOPE_A*O478+SLOPE_B*N478</f>
        <v>10.9044073536012</v>
      </c>
      <c r="Q478" s="28" t="str">
        <f aca="false">IF(AND(P478&lt;J478,N478&lt;=MAXOC),"Open cut","Shoring")</f>
        <v>Shoring</v>
      </c>
      <c r="R478" s="27" t="n">
        <f aca="false">IF(Q478="Shoring",D478,0)</f>
        <v>4.97200533600342</v>
      </c>
      <c r="S478" s="27" t="n">
        <f aca="false">MAX(0,GWL-L478)</f>
        <v>3.8348024512004</v>
      </c>
      <c r="T478" s="27" t="n">
        <f aca="false">MAX(0,NG-MAX(L478,GWL))</f>
        <v>0.8</v>
      </c>
      <c r="U478" s="27" t="n">
        <f aca="false">E478+2*WS</f>
        <v>4.06960490240081</v>
      </c>
      <c r="V478" s="27" t="n">
        <f aca="false">IF(Q478="Shoring",D478*M478*U478,0)</f>
        <v>93.7810437182726</v>
      </c>
      <c r="W478" s="27" t="n">
        <f aca="false">IF(Q478="Open cut",D478*(U478*M478+SLOPE_B*S478^2+2*SLOPE_B*S478*T478+SLOPE_A*T478^2),0)</f>
        <v>0</v>
      </c>
      <c r="X478" s="27" t="n">
        <f aca="false">IF(M478&gt;0,D478*(E478+2*SLABOVH)*SLAB,0)</f>
        <v>7.63104597707954</v>
      </c>
      <c r="Y478" s="27" t="n">
        <f aca="false">IF(M478&gt;0,D478*PI()*E478^2/4,0)</f>
        <v>16.7261642156218</v>
      </c>
      <c r="Z478" s="27" t="n">
        <f aca="false">IF(H478-E478&gt;=GWL,99,E478*(MAX(0,GWL-H478)*(GAM_S-GAM_W)+MAX(0,NG-MAX(H478,GWL))*GAM_D)/(GAM_W*PI()*E478^2/4))</f>
        <v>1.55288331433251</v>
      </c>
      <c r="AA478" s="27" t="n">
        <f aca="false">IF(I478-E478&gt;=GWL,99,E478*(MAX(0,GWL-I478)*(GAM_S-GAM_W)+MAX(0,NG-MAX(I478,GWL))*GAM_D)/(GAM_W*PI()*E478^2/4))</f>
        <v>1.55288331433251</v>
      </c>
      <c r="AB478" s="27" t="n">
        <f aca="false">IF(H478-E478&gt;=GWL,99,E478*(MAX(0,GWL-H478)*(GAM_S-GAM_W)+MAX(0,FL-MAX(H478,GWL))*GAM_D)/(GAM_W*PI()*E478^2/4))</f>
        <v>3.47188383816548</v>
      </c>
      <c r="AC478" s="27" t="n">
        <f aca="false">IF(I478-E478&gt;=GWL,99,E478*(MAX(0,GWL-I478)*(GAM_S-GAM_W)+MAX(0,FL-MAX(I478,GWL))*GAM_D)/(GAM_W*PI()*E478^2/4))</f>
        <v>3.47188383816548</v>
      </c>
    </row>
    <row r="479" customFormat="false" ht="15" hidden="false" customHeight="false" outlineLevel="0" collapsed="false">
      <c r="A479" s="25" t="s">
        <v>956</v>
      </c>
      <c r="B479" s="25" t="s">
        <v>990</v>
      </c>
      <c r="C479" s="25" t="s">
        <v>992</v>
      </c>
      <c r="D479" s="26" t="n">
        <v>7.99761466380278</v>
      </c>
      <c r="E479" s="26" t="n">
        <v>2.06960490240081</v>
      </c>
      <c r="F479" s="26" t="n">
        <v>-5.3348024512004</v>
      </c>
      <c r="G479" s="26" t="n">
        <v>-5.3348024512004</v>
      </c>
      <c r="H479" s="26" t="n">
        <v>-2.7651975487996</v>
      </c>
      <c r="I479" s="26" t="n">
        <v>-2.7651975487996</v>
      </c>
      <c r="J479" s="26" t="n">
        <v>15.82</v>
      </c>
      <c r="K479" s="27" t="n">
        <f aca="false">MIN(F479,G479)</f>
        <v>-5.3348024512004</v>
      </c>
      <c r="L479" s="27" t="n">
        <f aca="false">AVERAGE(F479,G479)</f>
        <v>-5.3348024512004</v>
      </c>
      <c r="M479" s="27" t="n">
        <f aca="false">MAX(0,NG-L479)</f>
        <v>4.6348024512004</v>
      </c>
      <c r="N479" s="27" t="n">
        <f aca="false">MAX(0,GWL-K479)</f>
        <v>3.8348024512004</v>
      </c>
      <c r="O479" s="27" t="n">
        <f aca="false">MAX(0,NG-MAX(K479,GWL))</f>
        <v>0.8</v>
      </c>
      <c r="P479" s="27" t="n">
        <f aca="false">E479/2+WS+SLOPE_A*O479+SLOPE_B*N479</f>
        <v>10.9044073536012</v>
      </c>
      <c r="Q479" s="28" t="str">
        <f aca="false">IF(AND(P479&lt;J479,N479&lt;=MAXOC),"Open cut","Shoring")</f>
        <v>Shoring</v>
      </c>
      <c r="R479" s="27" t="n">
        <f aca="false">IF(Q479="Shoring",D479,0)</f>
        <v>7.99761466380278</v>
      </c>
      <c r="S479" s="27" t="n">
        <f aca="false">MAX(0,GWL-L479)</f>
        <v>3.8348024512004</v>
      </c>
      <c r="T479" s="27" t="n">
        <f aca="false">MAX(0,NG-MAX(L479,GWL))</f>
        <v>0.8</v>
      </c>
      <c r="U479" s="27" t="n">
        <f aca="false">E479+2*WS</f>
        <v>4.06960490240081</v>
      </c>
      <c r="V479" s="27" t="n">
        <f aca="false">IF(Q479="Shoring",D479*M479*U479,0)</f>
        <v>150.849526446983</v>
      </c>
      <c r="W479" s="27" t="n">
        <f aca="false">IF(Q479="Open cut",D479*(U479*M479+SLOPE_B*S479^2+2*SLOPE_B*S479*T479+SLOPE_A*T479^2),0)</f>
        <v>0</v>
      </c>
      <c r="X479" s="27" t="n">
        <f aca="false">IF(M479&gt;0,D479*(E479+2*SLABOVH)*SLAB,0)</f>
        <v>12.2747585897608</v>
      </c>
      <c r="Y479" s="27" t="n">
        <f aca="false">IF(M479&gt;0,D479*PI()*E479^2/4,0)</f>
        <v>26.9045198385802</v>
      </c>
      <c r="Z479" s="27" t="n">
        <f aca="false">IF(H479-E479&gt;=GWL,99,E479*(MAX(0,GWL-H479)*(GAM_S-GAM_W)+MAX(0,NG-MAX(H479,GWL))*GAM_D)/(GAM_W*PI()*E479^2/4))</f>
        <v>1.55288331433251</v>
      </c>
      <c r="AA479" s="27" t="n">
        <f aca="false">IF(I479-E479&gt;=GWL,99,E479*(MAX(0,GWL-I479)*(GAM_S-GAM_W)+MAX(0,NG-MAX(I479,GWL))*GAM_D)/(GAM_W*PI()*E479^2/4))</f>
        <v>1.55288331433251</v>
      </c>
      <c r="AB479" s="27" t="n">
        <f aca="false">IF(H479-E479&gt;=GWL,99,E479*(MAX(0,GWL-H479)*(GAM_S-GAM_W)+MAX(0,FL-MAX(H479,GWL))*GAM_D)/(GAM_W*PI()*E479^2/4))</f>
        <v>3.47188383816548</v>
      </c>
      <c r="AC479" s="27" t="n">
        <f aca="false">IF(I479-E479&gt;=GWL,99,E479*(MAX(0,GWL-I479)*(GAM_S-GAM_W)+MAX(0,FL-MAX(I479,GWL))*GAM_D)/(GAM_W*PI()*E479^2/4))</f>
        <v>3.47188383816548</v>
      </c>
    </row>
    <row r="480" customFormat="false" ht="15" hidden="false" customHeight="false" outlineLevel="0" collapsed="false">
      <c r="A480" s="25" t="s">
        <v>993</v>
      </c>
      <c r="B480" s="25" t="s">
        <v>994</v>
      </c>
      <c r="C480" s="25" t="s">
        <v>995</v>
      </c>
      <c r="D480" s="26" t="n">
        <v>5.58762000011227</v>
      </c>
      <c r="E480" s="26" t="n">
        <v>1.19999699289259</v>
      </c>
      <c r="F480" s="26" t="n">
        <v>-4.90129849644629</v>
      </c>
      <c r="G480" s="26" t="n">
        <v>-4.90129849644629</v>
      </c>
      <c r="H480" s="26" t="n">
        <v>-3.20130150355371</v>
      </c>
      <c r="I480" s="26" t="n">
        <v>-3.20130150355371</v>
      </c>
      <c r="J480" s="26" t="n">
        <v>25.21</v>
      </c>
      <c r="K480" s="27" t="n">
        <f aca="false">MIN(F480,G480)</f>
        <v>-4.90129849644629</v>
      </c>
      <c r="L480" s="27" t="n">
        <f aca="false">AVERAGE(F480,G480)</f>
        <v>-4.90129849644629</v>
      </c>
      <c r="M480" s="27" t="n">
        <f aca="false">MAX(0,NG-L480)</f>
        <v>4.20129849644629</v>
      </c>
      <c r="N480" s="27" t="n">
        <f aca="false">MAX(0,GWL-K480)</f>
        <v>3.40129849644629</v>
      </c>
      <c r="O480" s="27" t="n">
        <f aca="false">MAX(0,NG-MAX(K480,GWL))</f>
        <v>0.8</v>
      </c>
      <c r="P480" s="27" t="n">
        <f aca="false">E480/2+WS+SLOPE_A*O480+SLOPE_B*N480</f>
        <v>9.60259548933888</v>
      </c>
      <c r="Q480" s="28" t="str">
        <f aca="false">IF(AND(P480&lt;J480,N480&lt;=MAXOC),"Open cut","Shoring")</f>
        <v>Shoring</v>
      </c>
      <c r="R480" s="27" t="n">
        <f aca="false">IF(Q480="Shoring",D480,0)</f>
        <v>5.58762000011227</v>
      </c>
      <c r="S480" s="27" t="n">
        <f aca="false">MAX(0,GWL-L480)</f>
        <v>3.40129849644629</v>
      </c>
      <c r="T480" s="27" t="n">
        <f aca="false">MAX(0,NG-MAX(L480,GWL))</f>
        <v>0.8</v>
      </c>
      <c r="U480" s="27" t="n">
        <f aca="false">E480+2*WS</f>
        <v>3.19999699289259</v>
      </c>
      <c r="V480" s="27" t="n">
        <f aca="false">IF(Q480="Shoring",D480*M480*U480,0)</f>
        <v>75.1207598239648</v>
      </c>
      <c r="W480" s="27" t="n">
        <f aca="false">IF(Q480="Open cut",D480*(U480*M480+SLOPE_B*S480^2+2*SLOPE_B*S480*T480+SLOPE_A*T480^2),0)</f>
        <v>0</v>
      </c>
      <c r="X480" s="27" t="n">
        <f aca="false">IF(M480&gt;0,D480*(E480+2*SLABOVH)*SLAB,0)</f>
        <v>6.14637359883673</v>
      </c>
      <c r="Y480" s="27" t="n">
        <f aca="false">IF(M480&gt;0,D480*PI()*E480^2/4,0)</f>
        <v>6.31941766756024</v>
      </c>
      <c r="Z480" s="27" t="n">
        <f aca="false">IF(H480-E480&gt;=GWL,99,E480*(MAX(0,GWL-H480)*(GAM_S-GAM_W)+MAX(0,NG-MAX(H480,GWL))*GAM_D)/(GAM_W*PI()*E480^2/4))</f>
        <v>3.06452819304341</v>
      </c>
      <c r="AA480" s="27" t="n">
        <f aca="false">IF(I480-E480&gt;=GWL,99,E480*(MAX(0,GWL-I480)*(GAM_S-GAM_W)+MAX(0,NG-MAX(I480,GWL))*GAM_D)/(GAM_W*PI()*E480^2/4))</f>
        <v>3.06452819304341</v>
      </c>
      <c r="AB480" s="27" t="n">
        <f aca="false">IF(H480-E480&gt;=GWL,99,E480*(MAX(0,GWL-H480)*(GAM_S-GAM_W)+MAX(0,FL-MAX(H480,GWL))*GAM_D)/(GAM_W*PI()*E480^2/4))</f>
        <v>6.3741805633056</v>
      </c>
      <c r="AC480" s="27" t="n">
        <f aca="false">IF(I480-E480&gt;=GWL,99,E480*(MAX(0,GWL-I480)*(GAM_S-GAM_W)+MAX(0,FL-MAX(I480,GWL))*GAM_D)/(GAM_W*PI()*E480^2/4))</f>
        <v>6.3741805633056</v>
      </c>
    </row>
    <row r="481" customFormat="false" ht="15" hidden="false" customHeight="false" outlineLevel="0" collapsed="false">
      <c r="A481" s="25" t="s">
        <v>993</v>
      </c>
      <c r="B481" s="25" t="s">
        <v>994</v>
      </c>
      <c r="C481" s="25" t="s">
        <v>996</v>
      </c>
      <c r="D481" s="26" t="n">
        <v>0.445425040733861</v>
      </c>
      <c r="E481" s="26" t="n">
        <v>1.16524847637563</v>
      </c>
      <c r="F481" s="26" t="n">
        <v>-4.88392423818781</v>
      </c>
      <c r="G481" s="26" t="n">
        <v>-4.88392423818781</v>
      </c>
      <c r="H481" s="26" t="n">
        <v>-3.21867576181219</v>
      </c>
      <c r="I481" s="26" t="n">
        <v>-3.21867576181219</v>
      </c>
      <c r="J481" s="26" t="n">
        <v>24.89</v>
      </c>
      <c r="K481" s="27" t="n">
        <f aca="false">MIN(F481,G481)</f>
        <v>-4.88392423818781</v>
      </c>
      <c r="L481" s="27" t="n">
        <f aca="false">AVERAGE(F481,G481)</f>
        <v>-4.88392423818781</v>
      </c>
      <c r="M481" s="27" t="n">
        <f aca="false">MAX(0,NG-L481)</f>
        <v>4.18392423818781</v>
      </c>
      <c r="N481" s="27" t="n">
        <f aca="false">MAX(0,GWL-K481)</f>
        <v>3.38392423818781</v>
      </c>
      <c r="O481" s="27" t="n">
        <f aca="false">MAX(0,NG-MAX(K481,GWL))</f>
        <v>0.8</v>
      </c>
      <c r="P481" s="27" t="n">
        <f aca="false">E481/2+WS+SLOPE_A*O481+SLOPE_B*N481</f>
        <v>9.55047271456344</v>
      </c>
      <c r="Q481" s="28" t="str">
        <f aca="false">IF(AND(P481&lt;J481,N481&lt;=MAXOC),"Open cut","Shoring")</f>
        <v>Shoring</v>
      </c>
      <c r="R481" s="27" t="n">
        <f aca="false">IF(Q481="Shoring",D481,0)</f>
        <v>0.445425040733861</v>
      </c>
      <c r="S481" s="27" t="n">
        <f aca="false">MAX(0,GWL-L481)</f>
        <v>3.38392423818781</v>
      </c>
      <c r="T481" s="27" t="n">
        <f aca="false">MAX(0,NG-MAX(L481,GWL))</f>
        <v>0.8</v>
      </c>
      <c r="U481" s="27" t="n">
        <f aca="false">E481+2*WS</f>
        <v>3.16524847637563</v>
      </c>
      <c r="V481" s="27" t="n">
        <f aca="false">IF(Q481="Shoring",D481*M481*U481,0)</f>
        <v>5.8988350023554</v>
      </c>
      <c r="W481" s="27" t="n">
        <f aca="false">IF(Q481="Open cut",D481*(U481*M481+SLOPE_B*S481^2+2*SLOPE_B*S481*T481+SLOPE_A*T481^2),0)</f>
        <v>0</v>
      </c>
      <c r="X481" s="27" t="n">
        <f aca="false">IF(M481&gt;0,D481*(E481+2*SLABOVH)*SLAB,0)</f>
        <v>0.482227945394272</v>
      </c>
      <c r="Y481" s="27" t="n">
        <f aca="false">IF(M481&gt;0,D481*PI()*E481^2/4,0)</f>
        <v>0.475008736352095</v>
      </c>
      <c r="Z481" s="27" t="n">
        <f aca="false">IF(H481-E481&gt;=GWL,99,E481*(MAX(0,GWL-H481)*(GAM_S-GAM_W)+MAX(0,NG-MAX(H481,GWL))*GAM_D)/(GAM_W*PI()*E481^2/4))</f>
        <v>3.17176394292329</v>
      </c>
      <c r="AA481" s="27" t="n">
        <f aca="false">IF(I481-E481&gt;=GWL,99,E481*(MAX(0,GWL-I481)*(GAM_S-GAM_W)+MAX(0,NG-MAX(I481,GWL))*GAM_D)/(GAM_W*PI()*E481^2/4))</f>
        <v>3.17176394292329</v>
      </c>
      <c r="AB481" s="27" t="n">
        <f aca="false">IF(H481-E481&gt;=GWL,99,E481*(MAX(0,GWL-H481)*(GAM_S-GAM_W)+MAX(0,FL-MAX(H481,GWL))*GAM_D)/(GAM_W*PI()*E481^2/4))</f>
        <v>6.58011243884888</v>
      </c>
      <c r="AC481" s="27" t="n">
        <f aca="false">IF(I481-E481&gt;=GWL,99,E481*(MAX(0,GWL-I481)*(GAM_S-GAM_W)+MAX(0,FL-MAX(I481,GWL))*GAM_D)/(GAM_W*PI()*E481^2/4))</f>
        <v>6.58011243884888</v>
      </c>
    </row>
    <row r="482" customFormat="false" ht="15" hidden="false" customHeight="false" outlineLevel="0" collapsed="false">
      <c r="A482" s="25" t="s">
        <v>993</v>
      </c>
      <c r="B482" s="25" t="s">
        <v>997</v>
      </c>
      <c r="C482" s="25" t="s">
        <v>998</v>
      </c>
      <c r="D482" s="26" t="n">
        <v>3.42733999985933</v>
      </c>
      <c r="E482" s="26" t="n">
        <v>1.20000411742542</v>
      </c>
      <c r="F482" s="26" t="n">
        <v>-4.90130205871271</v>
      </c>
      <c r="G482" s="26" t="n">
        <v>-4.90130205871271</v>
      </c>
      <c r="H482" s="26" t="n">
        <v>-3.20129794128729</v>
      </c>
      <c r="I482" s="26" t="n">
        <v>-3.20129794128729</v>
      </c>
      <c r="J482" s="26" t="n">
        <v>22.46</v>
      </c>
      <c r="K482" s="27" t="n">
        <f aca="false">MIN(F482,G482)</f>
        <v>-4.90130205871271</v>
      </c>
      <c r="L482" s="27" t="n">
        <f aca="false">AVERAGE(F482,G482)</f>
        <v>-4.90130205871271</v>
      </c>
      <c r="M482" s="27" t="n">
        <f aca="false">MAX(0,NG-L482)</f>
        <v>4.20130205871271</v>
      </c>
      <c r="N482" s="27" t="n">
        <f aca="false">MAX(0,GWL-K482)</f>
        <v>3.40130205871271</v>
      </c>
      <c r="O482" s="27" t="n">
        <f aca="false">MAX(0,NG-MAX(K482,GWL))</f>
        <v>0.8</v>
      </c>
      <c r="P482" s="27" t="n">
        <f aca="false">E482/2+WS+SLOPE_A*O482+SLOPE_B*N482</f>
        <v>9.60260617613812</v>
      </c>
      <c r="Q482" s="28" t="str">
        <f aca="false">IF(AND(P482&lt;J482,N482&lt;=MAXOC),"Open cut","Shoring")</f>
        <v>Shoring</v>
      </c>
      <c r="R482" s="27" t="n">
        <f aca="false">IF(Q482="Shoring",D482,0)</f>
        <v>3.42733999985933</v>
      </c>
      <c r="S482" s="27" t="n">
        <f aca="false">MAX(0,GWL-L482)</f>
        <v>3.40130205871271</v>
      </c>
      <c r="T482" s="27" t="n">
        <f aca="false">MAX(0,NG-MAX(L482,GWL))</f>
        <v>0.8</v>
      </c>
      <c r="U482" s="27" t="n">
        <f aca="false">E482+2*WS</f>
        <v>3.20000411742542</v>
      </c>
      <c r="V482" s="27" t="n">
        <f aca="false">IF(Q482="Shoring",D482*M482*U482,0)</f>
        <v>46.0777891994208</v>
      </c>
      <c r="W482" s="27" t="n">
        <f aca="false">IF(Q482="Open cut",D482*(U482*M482+SLOPE_B*S482^2+2*SLOPE_B*S482*T482+SLOPE_A*T482^2),0)</f>
        <v>0</v>
      </c>
      <c r="X482" s="27" t="n">
        <f aca="false">IF(M482&gt;0,D482*(E482+2*SLABOVH)*SLAB,0)</f>
        <v>3.77008105575368</v>
      </c>
      <c r="Y482" s="27" t="n">
        <f aca="false">IF(M482&gt;0,D482*PI()*E482^2/4,0)</f>
        <v>3.87625681956218</v>
      </c>
      <c r="Z482" s="27" t="n">
        <f aca="false">IF(H482-E482&gt;=GWL,99,E482*(MAX(0,GWL-H482)*(GAM_S-GAM_W)+MAX(0,NG-MAX(H482,GWL))*GAM_D)/(GAM_W*PI()*E482^2/4))</f>
        <v>3.0645068431592</v>
      </c>
      <c r="AA482" s="27" t="n">
        <f aca="false">IF(I482-E482&gt;=GWL,99,E482*(MAX(0,GWL-I482)*(GAM_S-GAM_W)+MAX(0,NG-MAX(I482,GWL))*GAM_D)/(GAM_W*PI()*E482^2/4))</f>
        <v>3.0645068431592</v>
      </c>
      <c r="AB482" s="27" t="n">
        <f aca="false">IF(H482-E482&gt;=GWL,99,E482*(MAX(0,GWL-H482)*(GAM_S-GAM_W)+MAX(0,FL-MAX(H482,GWL))*GAM_D)/(GAM_W*PI()*E482^2/4))</f>
        <v>6.37413956371634</v>
      </c>
      <c r="AC482" s="27" t="n">
        <f aca="false">IF(I482-E482&gt;=GWL,99,E482*(MAX(0,GWL-I482)*(GAM_S-GAM_W)+MAX(0,FL-MAX(I482,GWL))*GAM_D)/(GAM_W*PI()*E482^2/4))</f>
        <v>6.37413956371634</v>
      </c>
    </row>
    <row r="483" customFormat="false" ht="15" hidden="false" customHeight="false" outlineLevel="0" collapsed="false">
      <c r="A483" s="25" t="s">
        <v>993</v>
      </c>
      <c r="B483" s="25" t="s">
        <v>997</v>
      </c>
      <c r="C483" s="25" t="s">
        <v>999</v>
      </c>
      <c r="D483" s="26" t="n">
        <v>0.48000795860375</v>
      </c>
      <c r="E483" s="26" t="n">
        <v>1.15910821330891</v>
      </c>
      <c r="F483" s="26" t="n">
        <v>-4.88085410665446</v>
      </c>
      <c r="G483" s="26" t="n">
        <v>-4.88085410665446</v>
      </c>
      <c r="H483" s="26" t="n">
        <v>-3.22174589334555</v>
      </c>
      <c r="I483" s="26" t="n">
        <v>-3.22174589334555</v>
      </c>
      <c r="J483" s="26" t="n">
        <v>22.12</v>
      </c>
      <c r="K483" s="27" t="n">
        <f aca="false">MIN(F483,G483)</f>
        <v>-4.88085410665446</v>
      </c>
      <c r="L483" s="27" t="n">
        <f aca="false">AVERAGE(F483,G483)</f>
        <v>-4.88085410665446</v>
      </c>
      <c r="M483" s="27" t="n">
        <f aca="false">MAX(0,NG-L483)</f>
        <v>4.18085410665446</v>
      </c>
      <c r="N483" s="27" t="n">
        <f aca="false">MAX(0,GWL-K483)</f>
        <v>3.38085410665446</v>
      </c>
      <c r="O483" s="27" t="n">
        <f aca="false">MAX(0,NG-MAX(K483,GWL))</f>
        <v>0.8</v>
      </c>
      <c r="P483" s="27" t="n">
        <f aca="false">E483/2+WS+SLOPE_A*O483+SLOPE_B*N483</f>
        <v>9.54126231996337</v>
      </c>
      <c r="Q483" s="28" t="str">
        <f aca="false">IF(AND(P483&lt;J483,N483&lt;=MAXOC),"Open cut","Shoring")</f>
        <v>Shoring</v>
      </c>
      <c r="R483" s="27" t="n">
        <f aca="false">IF(Q483="Shoring",D483,0)</f>
        <v>0.48000795860375</v>
      </c>
      <c r="S483" s="27" t="n">
        <f aca="false">MAX(0,GWL-L483)</f>
        <v>3.38085410665446</v>
      </c>
      <c r="T483" s="27" t="n">
        <f aca="false">MAX(0,NG-MAX(L483,GWL))</f>
        <v>0.8</v>
      </c>
      <c r="U483" s="27" t="n">
        <f aca="false">E483+2*WS</f>
        <v>3.15910821330891</v>
      </c>
      <c r="V483" s="27" t="n">
        <f aca="false">IF(Q483="Shoring",D483*M483*U483,0)</f>
        <v>6.33983497796182</v>
      </c>
      <c r="W483" s="27" t="n">
        <f aca="false">IF(Q483="Open cut",D483*(U483*M483+SLOPE_B*S483^2+2*SLOPE_B*S483*T483+SLOPE_A*T483^2),0)</f>
        <v>0</v>
      </c>
      <c r="X483" s="27" t="n">
        <f aca="false">IF(M483&gt;0,D483*(E483+2*SLABOVH)*SLAB,0)</f>
        <v>0.5181945629375</v>
      </c>
      <c r="Y483" s="27" t="n">
        <f aca="false">IF(M483&gt;0,D483*PI()*E483^2/4,0)</f>
        <v>0.506507972817203</v>
      </c>
      <c r="Z483" s="27" t="n">
        <f aca="false">IF(H483-E483&gt;=GWL,99,E483*(MAX(0,GWL-H483)*(GAM_S-GAM_W)+MAX(0,NG-MAX(H483,GWL))*GAM_D)/(GAM_W*PI()*E483^2/4))</f>
        <v>3.19138157011956</v>
      </c>
      <c r="AA483" s="27" t="n">
        <f aca="false">IF(I483-E483&gt;=GWL,99,E483*(MAX(0,GWL-I483)*(GAM_S-GAM_W)+MAX(0,NG-MAX(I483,GWL))*GAM_D)/(GAM_W*PI()*E483^2/4))</f>
        <v>3.19138157011956</v>
      </c>
      <c r="AB483" s="27" t="n">
        <f aca="false">IF(H483-E483&gt;=GWL,99,E483*(MAX(0,GWL-H483)*(GAM_S-GAM_W)+MAX(0,FL-MAX(H483,GWL))*GAM_D)/(GAM_W*PI()*E483^2/4))</f>
        <v>6.6177854608286</v>
      </c>
      <c r="AC483" s="27" t="n">
        <f aca="false">IF(I483-E483&gt;=GWL,99,E483*(MAX(0,GWL-I483)*(GAM_S-GAM_W)+MAX(0,FL-MAX(I483,GWL))*GAM_D)/(GAM_W*PI()*E483^2/4))</f>
        <v>6.6177854608286</v>
      </c>
    </row>
    <row r="484" customFormat="false" ht="15" hidden="false" customHeight="false" outlineLevel="0" collapsed="false">
      <c r="A484" s="25" t="s">
        <v>993</v>
      </c>
      <c r="B484" s="25" t="s">
        <v>997</v>
      </c>
      <c r="C484" s="25" t="s">
        <v>1000</v>
      </c>
      <c r="D484" s="26" t="n">
        <v>0.0596070006954025</v>
      </c>
      <c r="E484" s="26" t="n">
        <v>1.19999110551818</v>
      </c>
      <c r="F484" s="26" t="n">
        <v>-4.90129555275909</v>
      </c>
      <c r="G484" s="26" t="n">
        <v>-4.90129555275909</v>
      </c>
      <c r="H484" s="26" t="n">
        <v>-3.20130444724091</v>
      </c>
      <c r="I484" s="26" t="n">
        <v>-3.20130444724091</v>
      </c>
      <c r="J484" s="26" t="n">
        <v>22.08</v>
      </c>
      <c r="K484" s="27" t="n">
        <f aca="false">MIN(F484,G484)</f>
        <v>-4.90129555275909</v>
      </c>
      <c r="L484" s="27" t="n">
        <f aca="false">AVERAGE(F484,G484)</f>
        <v>-4.90129555275909</v>
      </c>
      <c r="M484" s="27" t="n">
        <f aca="false">MAX(0,NG-L484)</f>
        <v>4.20129555275909</v>
      </c>
      <c r="N484" s="27" t="n">
        <f aca="false">MAX(0,GWL-K484)</f>
        <v>3.40129555275909</v>
      </c>
      <c r="O484" s="27" t="n">
        <f aca="false">MAX(0,NG-MAX(K484,GWL))</f>
        <v>0.8</v>
      </c>
      <c r="P484" s="27" t="n">
        <f aca="false">E484/2+WS+SLOPE_A*O484+SLOPE_B*N484</f>
        <v>9.60258665827727</v>
      </c>
      <c r="Q484" s="28" t="str">
        <f aca="false">IF(AND(P484&lt;J484,N484&lt;=MAXOC),"Open cut","Shoring")</f>
        <v>Shoring</v>
      </c>
      <c r="R484" s="27" t="n">
        <f aca="false">IF(Q484="Shoring",D484,0)</f>
        <v>0.0596070006954025</v>
      </c>
      <c r="S484" s="27" t="n">
        <f aca="false">MAX(0,GWL-L484)</f>
        <v>3.40129555275909</v>
      </c>
      <c r="T484" s="27" t="n">
        <f aca="false">MAX(0,NG-MAX(L484,GWL))</f>
        <v>0.8</v>
      </c>
      <c r="U484" s="27" t="n">
        <f aca="false">E484+2*WS</f>
        <v>3.19999110551818</v>
      </c>
      <c r="V484" s="27" t="n">
        <f aca="false">IF(Q484="Shoring",D484*M484*U484,0)</f>
        <v>0.801362978776607</v>
      </c>
      <c r="W484" s="27" t="n">
        <f aca="false">IF(Q484="Open cut",D484*(U484*M484+SLOPE_B*S484^2+2*SLOPE_B*S484*T484+SLOPE_A*T484^2),0)</f>
        <v>0</v>
      </c>
      <c r="X484" s="27" t="n">
        <f aca="false">IF(M484&gt;0,D484*(E484+2*SLABOVH)*SLAB,0)</f>
        <v>0.0655674356782507</v>
      </c>
      <c r="Y484" s="27" t="n">
        <f aca="false">IF(M484&gt;0,D484*PI()*E484^2/4,0)</f>
        <v>0.0674129302258099</v>
      </c>
      <c r="Z484" s="27" t="n">
        <f aca="false">IF(H484-E484&gt;=GWL,99,E484*(MAX(0,GWL-H484)*(GAM_S-GAM_W)+MAX(0,NG-MAX(H484,GWL))*GAM_D)/(GAM_W*PI()*E484^2/4))</f>
        <v>3.0645458357616</v>
      </c>
      <c r="AA484" s="27" t="n">
        <f aca="false">IF(I484-E484&gt;=GWL,99,E484*(MAX(0,GWL-I484)*(GAM_S-GAM_W)+MAX(0,NG-MAX(I484,GWL))*GAM_D)/(GAM_W*PI()*E484^2/4))</f>
        <v>3.0645458357616</v>
      </c>
      <c r="AB484" s="27" t="n">
        <f aca="false">IF(H484-E484&gt;=GWL,99,E484*(MAX(0,GWL-H484)*(GAM_S-GAM_W)+MAX(0,FL-MAX(H484,GWL))*GAM_D)/(GAM_W*PI()*E484^2/4))</f>
        <v>6.3742144437797</v>
      </c>
      <c r="AC484" s="27" t="n">
        <f aca="false">IF(I484-E484&gt;=GWL,99,E484*(MAX(0,GWL-I484)*(GAM_S-GAM_W)+MAX(0,FL-MAX(I484,GWL))*GAM_D)/(GAM_W*PI()*E484^2/4))</f>
        <v>6.3742144437797</v>
      </c>
    </row>
    <row r="485" customFormat="false" ht="15" hidden="false" customHeight="false" outlineLevel="0" collapsed="false">
      <c r="A485" s="25" t="s">
        <v>993</v>
      </c>
      <c r="B485" s="25" t="s">
        <v>997</v>
      </c>
      <c r="C485" s="25" t="s">
        <v>1001</v>
      </c>
      <c r="D485" s="26" t="n">
        <v>0.945392999231326</v>
      </c>
      <c r="E485" s="26" t="n">
        <v>1.19999110551818</v>
      </c>
      <c r="F485" s="26" t="n">
        <v>-4.90129555275909</v>
      </c>
      <c r="G485" s="26" t="n">
        <v>-4.90129555275909</v>
      </c>
      <c r="H485" s="26" t="n">
        <v>-3.20130444724091</v>
      </c>
      <c r="I485" s="26" t="n">
        <v>-3.20130444724091</v>
      </c>
      <c r="J485" s="26" t="n">
        <v>21.41</v>
      </c>
      <c r="K485" s="27" t="n">
        <f aca="false">MIN(F485,G485)</f>
        <v>-4.90129555275909</v>
      </c>
      <c r="L485" s="27" t="n">
        <f aca="false">AVERAGE(F485,G485)</f>
        <v>-4.90129555275909</v>
      </c>
      <c r="M485" s="27" t="n">
        <f aca="false">MAX(0,NG-L485)</f>
        <v>4.20129555275909</v>
      </c>
      <c r="N485" s="27" t="n">
        <f aca="false">MAX(0,GWL-K485)</f>
        <v>3.40129555275909</v>
      </c>
      <c r="O485" s="27" t="n">
        <f aca="false">MAX(0,NG-MAX(K485,GWL))</f>
        <v>0.8</v>
      </c>
      <c r="P485" s="27" t="n">
        <f aca="false">E485/2+WS+SLOPE_A*O485+SLOPE_B*N485</f>
        <v>9.60258665827727</v>
      </c>
      <c r="Q485" s="28" t="str">
        <f aca="false">IF(AND(P485&lt;J485,N485&lt;=MAXOC),"Open cut","Shoring")</f>
        <v>Shoring</v>
      </c>
      <c r="R485" s="27" t="n">
        <f aca="false">IF(Q485="Shoring",D485,0)</f>
        <v>0.945392999231326</v>
      </c>
      <c r="S485" s="27" t="n">
        <f aca="false">MAX(0,GWL-L485)</f>
        <v>3.40129555275909</v>
      </c>
      <c r="T485" s="27" t="n">
        <f aca="false">MAX(0,NG-MAX(L485,GWL))</f>
        <v>0.8</v>
      </c>
      <c r="U485" s="27" t="n">
        <f aca="false">E485+2*WS</f>
        <v>3.19999110551818</v>
      </c>
      <c r="V485" s="27" t="n">
        <f aca="false">IF(Q485="Shoring",D485*M485*U485,0)</f>
        <v>12.7099659627229</v>
      </c>
      <c r="W485" s="27" t="n">
        <f aca="false">IF(Q485="Open cut",D485*(U485*M485+SLOPE_B*S485^2+2*SLOPE_B*S485*T485+SLOPE_A*T485^2),0)</f>
        <v>0</v>
      </c>
      <c r="X485" s="27" t="n">
        <f aca="false">IF(M485&gt;0,D485*(E485+2*SLABOVH)*SLAB,0)</f>
        <v>1.03992809476404</v>
      </c>
      <c r="Y485" s="27" t="n">
        <f aca="false">IF(M485&gt;0,D485*PI()*E485^2/4,0)</f>
        <v>1.06919844229079</v>
      </c>
      <c r="Z485" s="27" t="n">
        <f aca="false">IF(H485-E485&gt;=GWL,99,E485*(MAX(0,GWL-H485)*(GAM_S-GAM_W)+MAX(0,NG-MAX(H485,GWL))*GAM_D)/(GAM_W*PI()*E485^2/4))</f>
        <v>3.0645458357616</v>
      </c>
      <c r="AA485" s="27" t="n">
        <f aca="false">IF(I485-E485&gt;=GWL,99,E485*(MAX(0,GWL-I485)*(GAM_S-GAM_W)+MAX(0,NG-MAX(I485,GWL))*GAM_D)/(GAM_W*PI()*E485^2/4))</f>
        <v>3.0645458357616</v>
      </c>
      <c r="AB485" s="27" t="n">
        <f aca="false">IF(H485-E485&gt;=GWL,99,E485*(MAX(0,GWL-H485)*(GAM_S-GAM_W)+MAX(0,FL-MAX(H485,GWL))*GAM_D)/(GAM_W*PI()*E485^2/4))</f>
        <v>6.3742144437797</v>
      </c>
      <c r="AC485" s="27" t="n">
        <f aca="false">IF(I485-E485&gt;=GWL,99,E485*(MAX(0,GWL-I485)*(GAM_S-GAM_W)+MAX(0,FL-MAX(I485,GWL))*GAM_D)/(GAM_W*PI()*E485^2/4))</f>
        <v>6.3742144437797</v>
      </c>
    </row>
    <row r="486" customFormat="false" ht="15" hidden="false" customHeight="false" outlineLevel="0" collapsed="false">
      <c r="A486" s="25" t="s">
        <v>993</v>
      </c>
      <c r="B486" s="25" t="s">
        <v>997</v>
      </c>
      <c r="C486" s="25" t="s">
        <v>1002</v>
      </c>
      <c r="D486" s="26" t="n">
        <v>1.00500146744563</v>
      </c>
      <c r="E486" s="26" t="n">
        <v>1.19999819800258</v>
      </c>
      <c r="F486" s="26" t="n">
        <v>-4.90129909900129</v>
      </c>
      <c r="G486" s="26" t="n">
        <v>-4.90129909900129</v>
      </c>
      <c r="H486" s="26" t="n">
        <v>-3.20130090099871</v>
      </c>
      <c r="I486" s="26" t="n">
        <v>-3.20130090099871</v>
      </c>
      <c r="J486" s="26" t="n">
        <v>20.4</v>
      </c>
      <c r="K486" s="27" t="n">
        <f aca="false">MIN(F486,G486)</f>
        <v>-4.90129909900129</v>
      </c>
      <c r="L486" s="27" t="n">
        <f aca="false">AVERAGE(F486,G486)</f>
        <v>-4.90129909900129</v>
      </c>
      <c r="M486" s="27" t="n">
        <f aca="false">MAX(0,NG-L486)</f>
        <v>4.20129909900129</v>
      </c>
      <c r="N486" s="27" t="n">
        <f aca="false">MAX(0,GWL-K486)</f>
        <v>3.40129909900129</v>
      </c>
      <c r="O486" s="27" t="n">
        <f aca="false">MAX(0,NG-MAX(K486,GWL))</f>
        <v>0.8</v>
      </c>
      <c r="P486" s="27" t="n">
        <f aca="false">E486/2+WS+SLOPE_A*O486+SLOPE_B*N486</f>
        <v>9.60259729700388</v>
      </c>
      <c r="Q486" s="28" t="str">
        <f aca="false">IF(AND(P486&lt;J486,N486&lt;=MAXOC),"Open cut","Shoring")</f>
        <v>Shoring</v>
      </c>
      <c r="R486" s="27" t="n">
        <f aca="false">IF(Q486="Shoring",D486,0)</f>
        <v>1.00500146744563</v>
      </c>
      <c r="S486" s="27" t="n">
        <f aca="false">MAX(0,GWL-L486)</f>
        <v>3.40129909900129</v>
      </c>
      <c r="T486" s="27" t="n">
        <f aca="false">MAX(0,NG-MAX(L486,GWL))</f>
        <v>0.8</v>
      </c>
      <c r="U486" s="27" t="n">
        <f aca="false">E486+2*WS</f>
        <v>3.19999819800258</v>
      </c>
      <c r="V486" s="27" t="n">
        <f aca="false">IF(Q486="Shoring",D486*M486*U486,0)</f>
        <v>13.5113900223629</v>
      </c>
      <c r="W486" s="27" t="n">
        <f aca="false">IF(Q486="Open cut",D486*(U486*M486+SLOPE_B*S486^2+2*SLOPE_B*S486*T486+SLOPE_A*T486^2),0)</f>
        <v>0</v>
      </c>
      <c r="X486" s="27" t="n">
        <f aca="false">IF(M486&gt;0,D486*(E486+2*SLABOVH)*SLAB,0)</f>
        <v>1.10550070868517</v>
      </c>
      <c r="Y486" s="27" t="n">
        <f aca="false">IF(M486&gt;0,D486*PI()*E486^2/4,0)</f>
        <v>1.13662646803975</v>
      </c>
      <c r="Z486" s="27" t="n">
        <f aca="false">IF(H486-E486&gt;=GWL,99,E486*(MAX(0,GWL-H486)*(GAM_S-GAM_W)+MAX(0,NG-MAX(H486,GWL))*GAM_D)/(GAM_W*PI()*E486^2/4))</f>
        <v>3.06452458170686</v>
      </c>
      <c r="AA486" s="27" t="n">
        <f aca="false">IF(I486-E486&gt;=GWL,99,E486*(MAX(0,GWL-I486)*(GAM_S-GAM_W)+MAX(0,NG-MAX(I486,GWL))*GAM_D)/(GAM_W*PI()*E486^2/4))</f>
        <v>3.06452458170686</v>
      </c>
      <c r="AB486" s="27" t="n">
        <f aca="false">IF(H486-E486&gt;=GWL,99,E486*(MAX(0,GWL-H486)*(GAM_S-GAM_W)+MAX(0,FL-MAX(H486,GWL))*GAM_D)/(GAM_W*PI()*E486^2/4))</f>
        <v>6.3741736282181</v>
      </c>
      <c r="AC486" s="27" t="n">
        <f aca="false">IF(I486-E486&gt;=GWL,99,E486*(MAX(0,GWL-I486)*(GAM_S-GAM_W)+MAX(0,FL-MAX(I486,GWL))*GAM_D)/(GAM_W*PI()*E486^2/4))</f>
        <v>6.3741736282181</v>
      </c>
    </row>
    <row r="487" customFormat="false" ht="15" hidden="false" customHeight="false" outlineLevel="0" collapsed="false">
      <c r="A487" s="25" t="s">
        <v>993</v>
      </c>
      <c r="B487" s="25" t="s">
        <v>997</v>
      </c>
      <c r="C487" s="25" t="s">
        <v>1003</v>
      </c>
      <c r="D487" s="26" t="n">
        <v>1.34145799966463</v>
      </c>
      <c r="E487" s="26" t="n">
        <v>1.19999836709133</v>
      </c>
      <c r="F487" s="26" t="n">
        <v>-4.90129918354566</v>
      </c>
      <c r="G487" s="26" t="n">
        <v>-4.90129918354566</v>
      </c>
      <c r="H487" s="26" t="n">
        <v>-3.20130081645434</v>
      </c>
      <c r="I487" s="26" t="n">
        <v>-3.20130081645434</v>
      </c>
      <c r="J487" s="26" t="n">
        <v>19.06</v>
      </c>
      <c r="K487" s="27" t="n">
        <f aca="false">MIN(F487,G487)</f>
        <v>-4.90129918354566</v>
      </c>
      <c r="L487" s="27" t="n">
        <f aca="false">AVERAGE(F487,G487)</f>
        <v>-4.90129918354566</v>
      </c>
      <c r="M487" s="27" t="n">
        <f aca="false">MAX(0,NG-L487)</f>
        <v>4.20129918354566</v>
      </c>
      <c r="N487" s="27" t="n">
        <f aca="false">MAX(0,GWL-K487)</f>
        <v>3.40129918354566</v>
      </c>
      <c r="O487" s="27" t="n">
        <f aca="false">MAX(0,NG-MAX(K487,GWL))</f>
        <v>0.8</v>
      </c>
      <c r="P487" s="27" t="n">
        <f aca="false">E487/2+WS+SLOPE_A*O487+SLOPE_B*N487</f>
        <v>9.60259755063699</v>
      </c>
      <c r="Q487" s="28" t="str">
        <f aca="false">IF(AND(P487&lt;J487,N487&lt;=MAXOC),"Open cut","Shoring")</f>
        <v>Shoring</v>
      </c>
      <c r="R487" s="27" t="n">
        <f aca="false">IF(Q487="Shoring",D487,0)</f>
        <v>1.34145799966463</v>
      </c>
      <c r="S487" s="27" t="n">
        <f aca="false">MAX(0,GWL-L487)</f>
        <v>3.40129918354566</v>
      </c>
      <c r="T487" s="27" t="n">
        <f aca="false">MAX(0,NG-MAX(L487,GWL))</f>
        <v>0.8</v>
      </c>
      <c r="U487" s="27" t="n">
        <f aca="false">E487+2*WS</f>
        <v>3.19999836709133</v>
      </c>
      <c r="V487" s="27" t="n">
        <f aca="false">IF(Q487="Shoring",D487*M487*U487,0)</f>
        <v>18.0347632731507</v>
      </c>
      <c r="W487" s="27" t="n">
        <f aca="false">IF(Q487="Open cut",D487*(U487*M487+SLOPE_B*S487^2+2*SLOPE_B*S487*T487+SLOPE_A*T487^2),0)</f>
        <v>0</v>
      </c>
      <c r="X487" s="27" t="n">
        <f aca="false">IF(M487&gt;0,D487*(E487+2*SLABOVH)*SLAB,0)</f>
        <v>1.4756027043919</v>
      </c>
      <c r="Y487" s="27" t="n">
        <f aca="false">IF(M487&gt;0,D487*PI()*E487^2/4,0)</f>
        <v>1.51714912591274</v>
      </c>
      <c r="Z487" s="27" t="n">
        <f aca="false">IF(H487-E487&gt;=GWL,99,E487*(MAX(0,GWL-H487)*(GAM_S-GAM_W)+MAX(0,NG-MAX(H487,GWL))*GAM_D)/(GAM_W*PI()*E487^2/4))</f>
        <v>3.06452407500153</v>
      </c>
      <c r="AA487" s="27" t="n">
        <f aca="false">IF(I487-E487&gt;=GWL,99,E487*(MAX(0,GWL-I487)*(GAM_S-GAM_W)+MAX(0,NG-MAX(I487,GWL))*GAM_D)/(GAM_W*PI()*E487^2/4))</f>
        <v>3.06452407500153</v>
      </c>
      <c r="AB487" s="27" t="n">
        <f aca="false">IF(H487-E487&gt;=GWL,99,E487*(MAX(0,GWL-H487)*(GAM_S-GAM_W)+MAX(0,FL-MAX(H487,GWL))*GAM_D)/(GAM_W*PI()*E487^2/4))</f>
        <v>6.37417265515847</v>
      </c>
      <c r="AC487" s="27" t="n">
        <f aca="false">IF(I487-E487&gt;=GWL,99,E487*(MAX(0,GWL-I487)*(GAM_S-GAM_W)+MAX(0,FL-MAX(I487,GWL))*GAM_D)/(GAM_W*PI()*E487^2/4))</f>
        <v>6.37417265515847</v>
      </c>
    </row>
    <row r="488" customFormat="false" ht="15" hidden="false" customHeight="false" outlineLevel="0" collapsed="false">
      <c r="A488" s="25" t="s">
        <v>993</v>
      </c>
      <c r="B488" s="25" t="s">
        <v>997</v>
      </c>
      <c r="C488" s="25" t="s">
        <v>1004</v>
      </c>
      <c r="D488" s="26" t="n">
        <v>0.175009013366919</v>
      </c>
      <c r="E488" s="26" t="n">
        <v>1.19999836709133</v>
      </c>
      <c r="F488" s="26" t="n">
        <v>-4.90129918354566</v>
      </c>
      <c r="G488" s="26" t="n">
        <v>-4.90129918354566</v>
      </c>
      <c r="H488" s="26" t="n">
        <v>-3.20130081645434</v>
      </c>
      <c r="I488" s="26" t="n">
        <v>-3.20130081645434</v>
      </c>
      <c r="J488" s="26" t="n">
        <v>18.89</v>
      </c>
      <c r="K488" s="27" t="n">
        <f aca="false">MIN(F488,G488)</f>
        <v>-4.90129918354566</v>
      </c>
      <c r="L488" s="27" t="n">
        <f aca="false">AVERAGE(F488,G488)</f>
        <v>-4.90129918354566</v>
      </c>
      <c r="M488" s="27" t="n">
        <f aca="false">MAX(0,NG-L488)</f>
        <v>4.20129918354566</v>
      </c>
      <c r="N488" s="27" t="n">
        <f aca="false">MAX(0,GWL-K488)</f>
        <v>3.40129918354566</v>
      </c>
      <c r="O488" s="27" t="n">
        <f aca="false">MAX(0,NG-MAX(K488,GWL))</f>
        <v>0.8</v>
      </c>
      <c r="P488" s="27" t="n">
        <f aca="false">E488/2+WS+SLOPE_A*O488+SLOPE_B*N488</f>
        <v>9.60259755063699</v>
      </c>
      <c r="Q488" s="28" t="str">
        <f aca="false">IF(AND(P488&lt;J488,N488&lt;=MAXOC),"Open cut","Shoring")</f>
        <v>Shoring</v>
      </c>
      <c r="R488" s="27" t="n">
        <f aca="false">IF(Q488="Shoring",D488,0)</f>
        <v>0.175009013366919</v>
      </c>
      <c r="S488" s="27" t="n">
        <f aca="false">MAX(0,GWL-L488)</f>
        <v>3.40129918354566</v>
      </c>
      <c r="T488" s="27" t="n">
        <f aca="false">MAX(0,NG-MAX(L488,GWL))</f>
        <v>0.8</v>
      </c>
      <c r="U488" s="27" t="n">
        <f aca="false">E488+2*WS</f>
        <v>3.19999836709133</v>
      </c>
      <c r="V488" s="27" t="n">
        <f aca="false">IF(Q488="Shoring",D488*M488*U488,0)</f>
        <v>2.35284751928806</v>
      </c>
      <c r="W488" s="27" t="n">
        <f aca="false">IF(Q488="Open cut",D488*(U488*M488+SLOPE_B*S488^2+2*SLOPE_B*S488*T488+SLOPE_A*T488^2),0)</f>
        <v>0</v>
      </c>
      <c r="X488" s="27" t="n">
        <f aca="false">IF(M488&gt;0,D488*(E488+2*SLABOVH)*SLAB,0)</f>
        <v>0.192509771816743</v>
      </c>
      <c r="Y488" s="27" t="n">
        <f aca="false">IF(M488&gt;0,D488*PI()*E488^2/4,0)</f>
        <v>0.197929992383549</v>
      </c>
      <c r="Z488" s="27" t="n">
        <f aca="false">IF(H488-E488&gt;=GWL,99,E488*(MAX(0,GWL-H488)*(GAM_S-GAM_W)+MAX(0,NG-MAX(H488,GWL))*GAM_D)/(GAM_W*PI()*E488^2/4))</f>
        <v>3.06452407500153</v>
      </c>
      <c r="AA488" s="27" t="n">
        <f aca="false">IF(I488-E488&gt;=GWL,99,E488*(MAX(0,GWL-I488)*(GAM_S-GAM_W)+MAX(0,NG-MAX(I488,GWL))*GAM_D)/(GAM_W*PI()*E488^2/4))</f>
        <v>3.06452407500153</v>
      </c>
      <c r="AB488" s="27" t="n">
        <f aca="false">IF(H488-E488&gt;=GWL,99,E488*(MAX(0,GWL-H488)*(GAM_S-GAM_W)+MAX(0,FL-MAX(H488,GWL))*GAM_D)/(GAM_W*PI()*E488^2/4))</f>
        <v>6.37417265515847</v>
      </c>
      <c r="AC488" s="27" t="n">
        <f aca="false">IF(I488-E488&gt;=GWL,99,E488*(MAX(0,GWL-I488)*(GAM_S-GAM_W)+MAX(0,FL-MAX(I488,GWL))*GAM_D)/(GAM_W*PI()*E488^2/4))</f>
        <v>6.37417265515847</v>
      </c>
    </row>
    <row r="489" customFormat="false" ht="15" hidden="false" customHeight="false" outlineLevel="0" collapsed="false">
      <c r="A489" s="25" t="s">
        <v>993</v>
      </c>
      <c r="B489" s="25" t="s">
        <v>997</v>
      </c>
      <c r="C489" s="25" t="s">
        <v>1005</v>
      </c>
      <c r="D489" s="26" t="n">
        <v>4.63247930963285</v>
      </c>
      <c r="E489" s="26" t="n">
        <v>1.22583541970415</v>
      </c>
      <c r="F489" s="26" t="n">
        <v>-4.91421770985208</v>
      </c>
      <c r="G489" s="26" t="n">
        <v>-4.91421770985208</v>
      </c>
      <c r="H489" s="26" t="n">
        <v>-3.18838229014793</v>
      </c>
      <c r="I489" s="26" t="n">
        <v>-3.18838229014793</v>
      </c>
      <c r="J489" s="26" t="n">
        <v>14.26</v>
      </c>
      <c r="K489" s="27" t="n">
        <f aca="false">MIN(F489,G489)</f>
        <v>-4.91421770985208</v>
      </c>
      <c r="L489" s="27" t="n">
        <f aca="false">AVERAGE(F489,G489)</f>
        <v>-4.91421770985208</v>
      </c>
      <c r="M489" s="27" t="n">
        <f aca="false">MAX(0,NG-L489)</f>
        <v>4.21421770985208</v>
      </c>
      <c r="N489" s="27" t="n">
        <f aca="false">MAX(0,GWL-K489)</f>
        <v>3.41421770985207</v>
      </c>
      <c r="O489" s="27" t="n">
        <f aca="false">MAX(0,NG-MAX(K489,GWL))</f>
        <v>0.8</v>
      </c>
      <c r="P489" s="27" t="n">
        <f aca="false">E489/2+WS+SLOPE_A*O489+SLOPE_B*N489</f>
        <v>9.64135312955622</v>
      </c>
      <c r="Q489" s="28" t="str">
        <f aca="false">IF(AND(P489&lt;J489,N489&lt;=MAXOC),"Open cut","Shoring")</f>
        <v>Shoring</v>
      </c>
      <c r="R489" s="27" t="n">
        <f aca="false">IF(Q489="Shoring",D489,0)</f>
        <v>4.63247930963285</v>
      </c>
      <c r="S489" s="27" t="n">
        <f aca="false">MAX(0,GWL-L489)</f>
        <v>3.41421770985207</v>
      </c>
      <c r="T489" s="27" t="n">
        <f aca="false">MAX(0,NG-MAX(L489,GWL))</f>
        <v>0.8</v>
      </c>
      <c r="U489" s="27" t="n">
        <f aca="false">E489+2*WS</f>
        <v>3.22583541970415</v>
      </c>
      <c r="V489" s="27" t="n">
        <f aca="false">IF(Q489="Shoring",D489*M489*U489,0)</f>
        <v>62.9756505139795</v>
      </c>
      <c r="W489" s="27" t="n">
        <f aca="false">IF(Q489="Open cut",D489*(U489*M489+SLOPE_B*S489^2+2*SLOPE_B*S489*T489+SLOPE_A*T489^2),0)</f>
        <v>0</v>
      </c>
      <c r="X489" s="27" t="n">
        <f aca="false">IF(M489&gt;0,D489*(E489+2*SLABOVH)*SLAB,0)</f>
        <v>5.15556826421371</v>
      </c>
      <c r="Y489" s="27" t="n">
        <f aca="false">IF(M489&gt;0,D489*PI()*E489^2/4,0)</f>
        <v>5.46723449168787</v>
      </c>
      <c r="Z489" s="27" t="n">
        <f aca="false">IF(H489-E489&gt;=GWL,99,E489*(MAX(0,GWL-H489)*(GAM_S-GAM_W)+MAX(0,NG-MAX(H489,GWL))*GAM_D)/(GAM_W*PI()*E489^2/4))</f>
        <v>2.98873053794177</v>
      </c>
      <c r="AA489" s="27" t="n">
        <f aca="false">IF(I489-E489&gt;=GWL,99,E489*(MAX(0,GWL-I489)*(GAM_S-GAM_W)+MAX(0,NG-MAX(I489,GWL))*GAM_D)/(GAM_W*PI()*E489^2/4))</f>
        <v>2.98873053794177</v>
      </c>
      <c r="AB489" s="27" t="n">
        <f aca="false">IF(H489-E489&gt;=GWL,99,E489*(MAX(0,GWL-H489)*(GAM_S-GAM_W)+MAX(0,FL-MAX(H489,GWL))*GAM_D)/(GAM_W*PI()*E489^2/4))</f>
        <v>6.22862133241154</v>
      </c>
      <c r="AC489" s="27" t="n">
        <f aca="false">IF(I489-E489&gt;=GWL,99,E489*(MAX(0,GWL-I489)*(GAM_S-GAM_W)+MAX(0,FL-MAX(I489,GWL))*GAM_D)/(GAM_W*PI()*E489^2/4))</f>
        <v>6.22862133241154</v>
      </c>
    </row>
    <row r="490" customFormat="false" ht="15" hidden="false" customHeight="false" outlineLevel="0" collapsed="false">
      <c r="A490" s="25" t="s">
        <v>993</v>
      </c>
      <c r="B490" s="25" t="s">
        <v>1006</v>
      </c>
      <c r="C490" s="25" t="s">
        <v>1007</v>
      </c>
      <c r="D490" s="26" t="n">
        <v>2.22250999999174</v>
      </c>
      <c r="E490" s="26" t="n">
        <v>1.19999830344695</v>
      </c>
      <c r="F490" s="26" t="n">
        <v>-2.71999915172348</v>
      </c>
      <c r="G490" s="26" t="n">
        <v>-2.71999915172348</v>
      </c>
      <c r="H490" s="26" t="n">
        <v>-1.02000084827652</v>
      </c>
      <c r="I490" s="26" t="n">
        <v>-1.02000084827652</v>
      </c>
      <c r="J490" s="26" t="n">
        <v>24.39</v>
      </c>
      <c r="K490" s="27" t="n">
        <f aca="false">MIN(F490,G490)</f>
        <v>-2.71999915172348</v>
      </c>
      <c r="L490" s="27" t="n">
        <f aca="false">AVERAGE(F490,G490)</f>
        <v>-2.71999915172348</v>
      </c>
      <c r="M490" s="27" t="n">
        <f aca="false">MAX(0,NG-L490)</f>
        <v>2.01999915172348</v>
      </c>
      <c r="N490" s="27" t="n">
        <f aca="false">MAX(0,GWL-K490)</f>
        <v>1.21999915172348</v>
      </c>
      <c r="O490" s="27" t="n">
        <f aca="false">MAX(0,NG-MAX(K490,GWL))</f>
        <v>0.8</v>
      </c>
      <c r="P490" s="27" t="n">
        <f aca="false">E490/2+WS+SLOPE_A*O490+SLOPE_B*N490</f>
        <v>5.23999745517043</v>
      </c>
      <c r="Q490" s="28" t="str">
        <f aca="false">IF(AND(P490&lt;J490,N490&lt;=MAXOC),"Open cut","Shoring")</f>
        <v>Open cut</v>
      </c>
      <c r="R490" s="27" t="n">
        <f aca="false">IF(Q490="Shoring",D490,0)</f>
        <v>0</v>
      </c>
      <c r="S490" s="27" t="n">
        <f aca="false">MAX(0,GWL-L490)</f>
        <v>1.21999915172348</v>
      </c>
      <c r="T490" s="27" t="n">
        <f aca="false">MAX(0,NG-MAX(L490,GWL))</f>
        <v>0.8</v>
      </c>
      <c r="U490" s="27" t="n">
        <f aca="false">E490+2*WS</f>
        <v>3.19999830344695</v>
      </c>
      <c r="V490" s="27" t="n">
        <f aca="false">IF(Q490="Shoring",D490*M490*U490,0)</f>
        <v>0</v>
      </c>
      <c r="W490" s="27" t="n">
        <f aca="false">IF(Q490="Open cut",D490*(U490*M490+SLOPE_B*S490^2+2*SLOPE_B*S490*T490+SLOPE_A*T490^2),0)</f>
        <v>31.7925321650453</v>
      </c>
      <c r="X490" s="27" t="n">
        <f aca="false">IF(M490&gt;0,D490*(E490+2*SLABOVH)*SLAB,0)</f>
        <v>2.44475911468785</v>
      </c>
      <c r="Y490" s="27" t="n">
        <f aca="false">IF(M490&gt;0,D490*PI()*E490^2/4,0)</f>
        <v>2.51359248444134</v>
      </c>
      <c r="Z490" s="27" t="n">
        <f aca="false">IF(H490-E490&gt;=GWL,99,E490*(MAX(0,GWL-H490)*(GAM_S-GAM_W)+MAX(0,NG-MAX(H490,GWL))*GAM_D)/(GAM_W*PI()*E490^2/4))</f>
        <v>0.622994358422615</v>
      </c>
      <c r="AA490" s="27" t="n">
        <f aca="false">IF(I490-E490&gt;=GWL,99,E490*(MAX(0,GWL-I490)*(GAM_S-GAM_W)+MAX(0,NG-MAX(I490,GWL))*GAM_D)/(GAM_W*PI()*E490^2/4))</f>
        <v>0.622994358422615</v>
      </c>
      <c r="AB490" s="27" t="n">
        <f aca="false">IF(H490-E490&gt;=GWL,99,E490*(MAX(0,GWL-H490)*(GAM_S-GAM_W)+MAX(0,FL-MAX(H490,GWL))*GAM_D)/(GAM_W*PI()*E490^2/4))</f>
        <v>3.93264311411356</v>
      </c>
      <c r="AC490" s="27" t="n">
        <f aca="false">IF(I490-E490&gt;=GWL,99,E490*(MAX(0,GWL-I490)*(GAM_S-GAM_W)+MAX(0,FL-MAX(I490,GWL))*GAM_D)/(GAM_W*PI()*E490^2/4))</f>
        <v>3.93264311411356</v>
      </c>
    </row>
    <row r="491" customFormat="false" ht="15" hidden="false" customHeight="false" outlineLevel="0" collapsed="false">
      <c r="A491" s="25" t="s">
        <v>993</v>
      </c>
      <c r="B491" s="25" t="s">
        <v>1006</v>
      </c>
      <c r="C491" s="25" t="s">
        <v>1008</v>
      </c>
      <c r="D491" s="26" t="n">
        <v>7.77749000000072</v>
      </c>
      <c r="E491" s="26" t="n">
        <v>1.20000089162482</v>
      </c>
      <c r="F491" s="26" t="n">
        <v>-2.72000044581241</v>
      </c>
      <c r="G491" s="26" t="n">
        <v>-2.72000044581241</v>
      </c>
      <c r="H491" s="26" t="n">
        <v>-1.01999955418759</v>
      </c>
      <c r="I491" s="26" t="n">
        <v>-1.01999955418759</v>
      </c>
      <c r="J491" s="26" t="n">
        <v>22.27</v>
      </c>
      <c r="K491" s="27" t="n">
        <f aca="false">MIN(F491,G491)</f>
        <v>-2.72000044581241</v>
      </c>
      <c r="L491" s="27" t="n">
        <f aca="false">AVERAGE(F491,G491)</f>
        <v>-2.72000044581241</v>
      </c>
      <c r="M491" s="27" t="n">
        <f aca="false">MAX(0,NG-L491)</f>
        <v>2.02000044581241</v>
      </c>
      <c r="N491" s="27" t="n">
        <f aca="false">MAX(0,GWL-K491)</f>
        <v>1.22000044581241</v>
      </c>
      <c r="O491" s="27" t="n">
        <f aca="false">MAX(0,NG-MAX(K491,GWL))</f>
        <v>0.8</v>
      </c>
      <c r="P491" s="27" t="n">
        <f aca="false">E491/2+WS+SLOPE_A*O491+SLOPE_B*N491</f>
        <v>5.24000133743722</v>
      </c>
      <c r="Q491" s="28" t="str">
        <f aca="false">IF(AND(P491&lt;J491,N491&lt;=MAXOC),"Open cut","Shoring")</f>
        <v>Open cut</v>
      </c>
      <c r="R491" s="27" t="n">
        <f aca="false">IF(Q491="Shoring",D491,0)</f>
        <v>0</v>
      </c>
      <c r="S491" s="27" t="n">
        <f aca="false">MAX(0,GWL-L491)</f>
        <v>1.22000044581241</v>
      </c>
      <c r="T491" s="27" t="n">
        <f aca="false">MAX(0,NG-MAX(L491,GWL))</f>
        <v>0.8</v>
      </c>
      <c r="U491" s="27" t="n">
        <f aca="false">E491+2*WS</f>
        <v>3.20000089162482</v>
      </c>
      <c r="V491" s="27" t="n">
        <f aca="false">IF(Q491="Shoring",D491*M491*U491,0)</f>
        <v>0</v>
      </c>
      <c r="W491" s="27" t="n">
        <f aca="false">IF(Q491="Open cut",D491*(U491*M491+SLOPE_B*S491^2+2*SLOPE_B*S491*T491+SLOPE_A*T491^2),0)</f>
        <v>111.255492071076</v>
      </c>
      <c r="X491" s="27" t="n">
        <f aca="false">IF(M491&gt;0,D491*(E491+2*SLABOVH)*SLAB,0)</f>
        <v>8.55524246730234</v>
      </c>
      <c r="Y491" s="27" t="n">
        <f aca="false">IF(M491&gt;0,D491*PI()*E491^2/4,0)</f>
        <v>8.79614703247704</v>
      </c>
      <c r="Z491" s="27" t="n">
        <f aca="false">IF(H491-E491&gt;=GWL,99,E491*(MAX(0,GWL-H491)*(GAM_S-GAM_W)+MAX(0,NG-MAX(H491,GWL))*GAM_D)/(GAM_W*PI()*E491^2/4))</f>
        <v>0.622990495345647</v>
      </c>
      <c r="AA491" s="27" t="n">
        <f aca="false">IF(I491-E491&gt;=GWL,99,E491*(MAX(0,GWL-I491)*(GAM_S-GAM_W)+MAX(0,NG-MAX(I491,GWL))*GAM_D)/(GAM_W*PI()*E491^2/4))</f>
        <v>0.622990495345647</v>
      </c>
      <c r="AB491" s="27" t="n">
        <f aca="false">IF(H491-E491&gt;=GWL,99,E491*(MAX(0,GWL-H491)*(GAM_S-GAM_W)+MAX(0,FL-MAX(H491,GWL))*GAM_D)/(GAM_W*PI()*E491^2/4))</f>
        <v>3.93263211274219</v>
      </c>
      <c r="AC491" s="27" t="n">
        <f aca="false">IF(I491-E491&gt;=GWL,99,E491*(MAX(0,GWL-I491)*(GAM_S-GAM_W)+MAX(0,FL-MAX(I491,GWL))*GAM_D)/(GAM_W*PI()*E491^2/4))</f>
        <v>3.93263211274219</v>
      </c>
    </row>
    <row r="492" customFormat="false" ht="15" hidden="false" customHeight="false" outlineLevel="0" collapsed="false">
      <c r="A492" s="25" t="s">
        <v>993</v>
      </c>
      <c r="B492" s="25" t="s">
        <v>1006</v>
      </c>
      <c r="C492" s="25" t="s">
        <v>1009</v>
      </c>
      <c r="D492" s="26" t="n">
        <v>1.25438951956638</v>
      </c>
      <c r="E492" s="26" t="n">
        <v>1.20000089162482</v>
      </c>
      <c r="F492" s="26" t="n">
        <v>-2.72000044581241</v>
      </c>
      <c r="G492" s="26" t="n">
        <v>-2.72000044581241</v>
      </c>
      <c r="H492" s="26" t="n">
        <v>-1.01999955418759</v>
      </c>
      <c r="I492" s="26" t="n">
        <v>-1.01999955418759</v>
      </c>
      <c r="J492" s="26" t="n">
        <v>22.03</v>
      </c>
      <c r="K492" s="27" t="n">
        <f aca="false">MIN(F492,G492)</f>
        <v>-2.72000044581241</v>
      </c>
      <c r="L492" s="27" t="n">
        <f aca="false">AVERAGE(F492,G492)</f>
        <v>-2.72000044581241</v>
      </c>
      <c r="M492" s="27" t="n">
        <f aca="false">MAX(0,NG-L492)</f>
        <v>2.02000044581241</v>
      </c>
      <c r="N492" s="27" t="n">
        <f aca="false">MAX(0,GWL-K492)</f>
        <v>1.22000044581241</v>
      </c>
      <c r="O492" s="27" t="n">
        <f aca="false">MAX(0,NG-MAX(K492,GWL))</f>
        <v>0.8</v>
      </c>
      <c r="P492" s="27" t="n">
        <f aca="false">E492/2+WS+SLOPE_A*O492+SLOPE_B*N492</f>
        <v>5.24000133743722</v>
      </c>
      <c r="Q492" s="28" t="str">
        <f aca="false">IF(AND(P492&lt;J492,N492&lt;=MAXOC),"Open cut","Shoring")</f>
        <v>Open cut</v>
      </c>
      <c r="R492" s="27" t="n">
        <f aca="false">IF(Q492="Shoring",D492,0)</f>
        <v>0</v>
      </c>
      <c r="S492" s="27" t="n">
        <f aca="false">MAX(0,GWL-L492)</f>
        <v>1.22000044581241</v>
      </c>
      <c r="T492" s="27" t="n">
        <f aca="false">MAX(0,NG-MAX(L492,GWL))</f>
        <v>0.8</v>
      </c>
      <c r="U492" s="27" t="n">
        <f aca="false">E492+2*WS</f>
        <v>3.20000089162482</v>
      </c>
      <c r="V492" s="27" t="n">
        <f aca="false">IF(Q492="Shoring",D492*M492*U492,0)</f>
        <v>0</v>
      </c>
      <c r="W492" s="27" t="n">
        <f aca="false">IF(Q492="Open cut",D492*(U492*M492+SLOPE_B*S492^2+2*SLOPE_B*S492*T492+SLOPE_A*T492^2),0)</f>
        <v>17.9437997667815</v>
      </c>
      <c r="X492" s="27" t="n">
        <f aca="false">IF(M492&gt;0,D492*(E492+2*SLABOVH)*SLAB,0)</f>
        <v>1.37982903074543</v>
      </c>
      <c r="Y492" s="27" t="n">
        <f aca="false">IF(M492&gt;0,D492*PI()*E492^2/4,0)</f>
        <v>1.41868323200712</v>
      </c>
      <c r="Z492" s="27" t="n">
        <f aca="false">IF(H492-E492&gt;=GWL,99,E492*(MAX(0,GWL-H492)*(GAM_S-GAM_W)+MAX(0,NG-MAX(H492,GWL))*GAM_D)/(GAM_W*PI()*E492^2/4))</f>
        <v>0.622990495345647</v>
      </c>
      <c r="AA492" s="27" t="n">
        <f aca="false">IF(I492-E492&gt;=GWL,99,E492*(MAX(0,GWL-I492)*(GAM_S-GAM_W)+MAX(0,NG-MAX(I492,GWL))*GAM_D)/(GAM_W*PI()*E492^2/4))</f>
        <v>0.622990495345647</v>
      </c>
      <c r="AB492" s="27" t="n">
        <f aca="false">IF(H492-E492&gt;=GWL,99,E492*(MAX(0,GWL-H492)*(GAM_S-GAM_W)+MAX(0,FL-MAX(H492,GWL))*GAM_D)/(GAM_W*PI()*E492^2/4))</f>
        <v>3.93263211274219</v>
      </c>
      <c r="AC492" s="27" t="n">
        <f aca="false">IF(I492-E492&gt;=GWL,99,E492*(MAX(0,GWL-I492)*(GAM_S-GAM_W)+MAX(0,FL-MAX(I492,GWL))*GAM_D)/(GAM_W*PI()*E492^2/4))</f>
        <v>3.93263211274219</v>
      </c>
    </row>
    <row r="493" customFormat="false" ht="15" hidden="false" customHeight="false" outlineLevel="0" collapsed="false">
      <c r="A493" s="25" t="s">
        <v>993</v>
      </c>
      <c r="B493" s="25" t="s">
        <v>1006</v>
      </c>
      <c r="C493" s="25" t="s">
        <v>1010</v>
      </c>
      <c r="D493" s="26" t="n">
        <v>4.18483350787309</v>
      </c>
      <c r="E493" s="26" t="n">
        <v>1.20000089161657</v>
      </c>
      <c r="F493" s="26" t="n">
        <v>-2.72000044580828</v>
      </c>
      <c r="G493" s="26" t="n">
        <v>-2.72000044580828</v>
      </c>
      <c r="H493" s="26" t="n">
        <v>-1.01999955419172</v>
      </c>
      <c r="I493" s="26" t="n">
        <v>-1.01999955419172</v>
      </c>
      <c r="J493" s="26" t="n">
        <v>21.45</v>
      </c>
      <c r="K493" s="27" t="n">
        <f aca="false">MIN(F493,G493)</f>
        <v>-2.72000044580828</v>
      </c>
      <c r="L493" s="27" t="n">
        <f aca="false">AVERAGE(F493,G493)</f>
        <v>-2.72000044580828</v>
      </c>
      <c r="M493" s="27" t="n">
        <f aca="false">MAX(0,NG-L493)</f>
        <v>2.02000044580828</v>
      </c>
      <c r="N493" s="27" t="n">
        <f aca="false">MAX(0,GWL-K493)</f>
        <v>1.22000044580828</v>
      </c>
      <c r="O493" s="27" t="n">
        <f aca="false">MAX(0,NG-MAX(K493,GWL))</f>
        <v>0.8</v>
      </c>
      <c r="P493" s="27" t="n">
        <f aca="false">E493/2+WS+SLOPE_A*O493+SLOPE_B*N493</f>
        <v>5.24000133742485</v>
      </c>
      <c r="Q493" s="28" t="str">
        <f aca="false">IF(AND(P493&lt;J493,N493&lt;=MAXOC),"Open cut","Shoring")</f>
        <v>Open cut</v>
      </c>
      <c r="R493" s="27" t="n">
        <f aca="false">IF(Q493="Shoring",D493,0)</f>
        <v>0</v>
      </c>
      <c r="S493" s="27" t="n">
        <f aca="false">MAX(0,GWL-L493)</f>
        <v>1.22000044580828</v>
      </c>
      <c r="T493" s="27" t="n">
        <f aca="false">MAX(0,NG-MAX(L493,GWL))</f>
        <v>0.8</v>
      </c>
      <c r="U493" s="27" t="n">
        <f aca="false">E493+2*WS</f>
        <v>3.20000089161657</v>
      </c>
      <c r="V493" s="27" t="n">
        <f aca="false">IF(Q493="Shoring",D493*M493*U493,0)</f>
        <v>0</v>
      </c>
      <c r="W493" s="27" t="n">
        <f aca="false">IF(Q493="Open cut",D493*(U493*M493+SLOPE_B*S493^2+2*SLOPE_B*S493*T493+SLOPE_A*T493^2),0)</f>
        <v>59.8632349449306</v>
      </c>
      <c r="X493" s="27" t="n">
        <f aca="false">IF(M493&gt;0,D493*(E493+2*SLABOVH)*SLAB,0)</f>
        <v>4.60331872429384</v>
      </c>
      <c r="Y493" s="27" t="n">
        <f aca="false">IF(M493&gt;0,D493*PI()*E493^2/4,0)</f>
        <v>4.73294222701398</v>
      </c>
      <c r="Z493" s="27" t="n">
        <f aca="false">IF(H493-E493&gt;=GWL,99,E493*(MAX(0,GWL-H493)*(GAM_S-GAM_W)+MAX(0,NG-MAX(H493,GWL))*GAM_D)/(GAM_W*PI()*E493^2/4))</f>
        <v>0.622990495357958</v>
      </c>
      <c r="AA493" s="27" t="n">
        <f aca="false">IF(I493-E493&gt;=GWL,99,E493*(MAX(0,GWL-I493)*(GAM_S-GAM_W)+MAX(0,NG-MAX(I493,GWL))*GAM_D)/(GAM_W*PI()*E493^2/4))</f>
        <v>0.622990495357958</v>
      </c>
      <c r="AB493" s="27" t="n">
        <f aca="false">IF(H493-E493&gt;=GWL,99,E493*(MAX(0,GWL-H493)*(GAM_S-GAM_W)+MAX(0,FL-MAX(H493,GWL))*GAM_D)/(GAM_W*PI()*E493^2/4))</f>
        <v>3.93263211277725</v>
      </c>
      <c r="AC493" s="27" t="n">
        <f aca="false">IF(I493-E493&gt;=GWL,99,E493*(MAX(0,GWL-I493)*(GAM_S-GAM_W)+MAX(0,FL-MAX(I493,GWL))*GAM_D)/(GAM_W*PI()*E493^2/4))</f>
        <v>3.93263211277725</v>
      </c>
    </row>
    <row r="494" customFormat="false" ht="15" hidden="false" customHeight="false" outlineLevel="0" collapsed="false">
      <c r="A494" s="25" t="s">
        <v>993</v>
      </c>
      <c r="B494" s="25" t="s">
        <v>1006</v>
      </c>
      <c r="C494" s="25" t="s">
        <v>1011</v>
      </c>
      <c r="D494" s="26" t="n">
        <v>1.00863000011858</v>
      </c>
      <c r="E494" s="26" t="n">
        <v>1.20000089161657</v>
      </c>
      <c r="F494" s="26" t="n">
        <v>-2.72000044580828</v>
      </c>
      <c r="G494" s="26" t="n">
        <v>-2.72000044580828</v>
      </c>
      <c r="H494" s="26" t="n">
        <v>-1.01999955419172</v>
      </c>
      <c r="I494" s="26" t="n">
        <v>-1.01999955419172</v>
      </c>
      <c r="J494" s="26" t="n">
        <v>21.36</v>
      </c>
      <c r="K494" s="27" t="n">
        <f aca="false">MIN(F494,G494)</f>
        <v>-2.72000044580828</v>
      </c>
      <c r="L494" s="27" t="n">
        <f aca="false">AVERAGE(F494,G494)</f>
        <v>-2.72000044580828</v>
      </c>
      <c r="M494" s="27" t="n">
        <f aca="false">MAX(0,NG-L494)</f>
        <v>2.02000044580828</v>
      </c>
      <c r="N494" s="27" t="n">
        <f aca="false">MAX(0,GWL-K494)</f>
        <v>1.22000044580828</v>
      </c>
      <c r="O494" s="27" t="n">
        <f aca="false">MAX(0,NG-MAX(K494,GWL))</f>
        <v>0.8</v>
      </c>
      <c r="P494" s="27" t="n">
        <f aca="false">E494/2+WS+SLOPE_A*O494+SLOPE_B*N494</f>
        <v>5.24000133742485</v>
      </c>
      <c r="Q494" s="28" t="str">
        <f aca="false">IF(AND(P494&lt;J494,N494&lt;=MAXOC),"Open cut","Shoring")</f>
        <v>Open cut</v>
      </c>
      <c r="R494" s="27" t="n">
        <f aca="false">IF(Q494="Shoring",D494,0)</f>
        <v>0</v>
      </c>
      <c r="S494" s="27" t="n">
        <f aca="false">MAX(0,GWL-L494)</f>
        <v>1.22000044580828</v>
      </c>
      <c r="T494" s="27" t="n">
        <f aca="false">MAX(0,NG-MAX(L494,GWL))</f>
        <v>0.8</v>
      </c>
      <c r="U494" s="27" t="n">
        <f aca="false">E494+2*WS</f>
        <v>3.20000089161657</v>
      </c>
      <c r="V494" s="27" t="n">
        <f aca="false">IF(Q494="Shoring",D494*M494*U494,0)</f>
        <v>0</v>
      </c>
      <c r="W494" s="27" t="n">
        <f aca="false">IF(Q494="Open cut",D494*(U494*M494+SLOPE_B*S494^2+2*SLOPE_B*S494*T494+SLOPE_A*T494^2),0)</f>
        <v>14.4282573144209</v>
      </c>
      <c r="X494" s="27" t="n">
        <f aca="false">IF(M494&gt;0,D494*(E494+2*SLABOVH)*SLAB,0)</f>
        <v>1.10949344978604</v>
      </c>
      <c r="Y494" s="27" t="n">
        <f aca="false">IF(M494&gt;0,D494*PI()*E494^2/4,0)</f>
        <v>1.14073535064494</v>
      </c>
      <c r="Z494" s="27" t="n">
        <f aca="false">IF(H494-E494&gt;=GWL,99,E494*(MAX(0,GWL-H494)*(GAM_S-GAM_W)+MAX(0,NG-MAX(H494,GWL))*GAM_D)/(GAM_W*PI()*E494^2/4))</f>
        <v>0.622990495357958</v>
      </c>
      <c r="AA494" s="27" t="n">
        <f aca="false">IF(I494-E494&gt;=GWL,99,E494*(MAX(0,GWL-I494)*(GAM_S-GAM_W)+MAX(0,NG-MAX(I494,GWL))*GAM_D)/(GAM_W*PI()*E494^2/4))</f>
        <v>0.622990495357958</v>
      </c>
      <c r="AB494" s="27" t="n">
        <f aca="false">IF(H494-E494&gt;=GWL,99,E494*(MAX(0,GWL-H494)*(GAM_S-GAM_W)+MAX(0,FL-MAX(H494,GWL))*GAM_D)/(GAM_W*PI()*E494^2/4))</f>
        <v>3.93263211277725</v>
      </c>
      <c r="AC494" s="27" t="n">
        <f aca="false">IF(I494-E494&gt;=GWL,99,E494*(MAX(0,GWL-I494)*(GAM_S-GAM_W)+MAX(0,FL-MAX(I494,GWL))*GAM_D)/(GAM_W*PI()*E494^2/4))</f>
        <v>3.93263211277725</v>
      </c>
    </row>
    <row r="495" customFormat="false" ht="15" hidden="false" customHeight="false" outlineLevel="0" collapsed="false">
      <c r="A495" s="25" t="s">
        <v>993</v>
      </c>
      <c r="B495" s="25" t="s">
        <v>1006</v>
      </c>
      <c r="C495" s="25" t="s">
        <v>1012</v>
      </c>
      <c r="D495" s="26" t="n">
        <v>1.00257292033338</v>
      </c>
      <c r="E495" s="26" t="n">
        <v>1.20000707533732</v>
      </c>
      <c r="F495" s="26" t="n">
        <v>-2.72000353766866</v>
      </c>
      <c r="G495" s="26" t="n">
        <v>-2.72000353766866</v>
      </c>
      <c r="H495" s="26" t="n">
        <v>-1.01999646233134</v>
      </c>
      <c r="I495" s="26" t="n">
        <v>-1.01999646233134</v>
      </c>
      <c r="J495" s="26" t="n">
        <v>20.6</v>
      </c>
      <c r="K495" s="27" t="n">
        <f aca="false">MIN(F495,G495)</f>
        <v>-2.72000353766866</v>
      </c>
      <c r="L495" s="27" t="n">
        <f aca="false">AVERAGE(F495,G495)</f>
        <v>-2.72000353766866</v>
      </c>
      <c r="M495" s="27" t="n">
        <f aca="false">MAX(0,NG-L495)</f>
        <v>2.02000353766866</v>
      </c>
      <c r="N495" s="27" t="n">
        <f aca="false">MAX(0,GWL-K495)</f>
        <v>1.22000353766866</v>
      </c>
      <c r="O495" s="27" t="n">
        <f aca="false">MAX(0,NG-MAX(K495,GWL))</f>
        <v>0.8</v>
      </c>
      <c r="P495" s="27" t="n">
        <f aca="false">E495/2+WS+SLOPE_A*O495+SLOPE_B*N495</f>
        <v>5.24001061300598</v>
      </c>
      <c r="Q495" s="28" t="str">
        <f aca="false">IF(AND(P495&lt;J495,N495&lt;=MAXOC),"Open cut","Shoring")</f>
        <v>Open cut</v>
      </c>
      <c r="R495" s="27" t="n">
        <f aca="false">IF(Q495="Shoring",D495,0)</f>
        <v>0</v>
      </c>
      <c r="S495" s="27" t="n">
        <f aca="false">MAX(0,GWL-L495)</f>
        <v>1.22000353766866</v>
      </c>
      <c r="T495" s="27" t="n">
        <f aca="false">MAX(0,NG-MAX(L495,GWL))</f>
        <v>0.8</v>
      </c>
      <c r="U495" s="27" t="n">
        <f aca="false">E495+2*WS</f>
        <v>3.20000707533732</v>
      </c>
      <c r="V495" s="27" t="n">
        <f aca="false">IF(Q495="Shoring",D495*M495*U495,0)</f>
        <v>0</v>
      </c>
      <c r="W495" s="27" t="n">
        <f aca="false">IF(Q495="Open cut",D495*(U495*M495+SLOPE_B*S495^2+2*SLOPE_B*S495*T495+SLOPE_A*T495^2),0)</f>
        <v>14.3416594473637</v>
      </c>
      <c r="X495" s="27" t="n">
        <f aca="false">IF(M495&gt;0,D495*(E495+2*SLABOVH)*SLAB,0)</f>
        <v>1.10283375913751</v>
      </c>
      <c r="Y495" s="27" t="n">
        <f aca="false">IF(M495&gt;0,D495*PI()*E495^2/4,0)</f>
        <v>1.13389663068498</v>
      </c>
      <c r="Z495" s="27" t="n">
        <f aca="false">IF(H495-E495&gt;=GWL,99,E495*(MAX(0,GWL-H495)*(GAM_S-GAM_W)+MAX(0,NG-MAX(H495,GWL))*GAM_D)/(GAM_W*PI()*E495^2/4))</f>
        <v>0.622981265692972</v>
      </c>
      <c r="AA495" s="27" t="n">
        <f aca="false">IF(I495-E495&gt;=GWL,99,E495*(MAX(0,GWL-I495)*(GAM_S-GAM_W)+MAX(0,NG-MAX(I495,GWL))*GAM_D)/(GAM_W*PI()*E495^2/4))</f>
        <v>0.622981265692972</v>
      </c>
      <c r="AB495" s="27" t="n">
        <f aca="false">IF(H495-E495&gt;=GWL,99,E495*(MAX(0,GWL-H495)*(GAM_S-GAM_W)+MAX(0,FL-MAX(H495,GWL))*GAM_D)/(GAM_W*PI()*E495^2/4))</f>
        <v>3.93260582829654</v>
      </c>
      <c r="AC495" s="27" t="n">
        <f aca="false">IF(I495-E495&gt;=GWL,99,E495*(MAX(0,GWL-I495)*(GAM_S-GAM_W)+MAX(0,FL-MAX(I495,GWL))*GAM_D)/(GAM_W*PI()*E495^2/4))</f>
        <v>3.93260582829654</v>
      </c>
    </row>
    <row r="496" customFormat="false" ht="15" hidden="false" customHeight="false" outlineLevel="0" collapsed="false">
      <c r="A496" s="25" t="s">
        <v>993</v>
      </c>
      <c r="B496" s="25" t="s">
        <v>1013</v>
      </c>
      <c r="C496" s="25" t="s">
        <v>1014</v>
      </c>
      <c r="D496" s="26" t="n">
        <v>1.23267999981294</v>
      </c>
      <c r="E496" s="26" t="n">
        <v>1.20000707533732</v>
      </c>
      <c r="F496" s="26" t="n">
        <v>-2.72000353766866</v>
      </c>
      <c r="G496" s="26" t="n">
        <v>-2.72000353766866</v>
      </c>
      <c r="H496" s="26" t="n">
        <v>-1.01999646233134</v>
      </c>
      <c r="I496" s="26" t="n">
        <v>-1.01999646233134</v>
      </c>
      <c r="J496" s="26" t="n">
        <v>16.79</v>
      </c>
      <c r="K496" s="27" t="n">
        <f aca="false">MIN(F496,G496)</f>
        <v>-2.72000353766866</v>
      </c>
      <c r="L496" s="27" t="n">
        <f aca="false">AVERAGE(F496,G496)</f>
        <v>-2.72000353766866</v>
      </c>
      <c r="M496" s="27" t="n">
        <f aca="false">MAX(0,NG-L496)</f>
        <v>2.02000353766866</v>
      </c>
      <c r="N496" s="27" t="n">
        <f aca="false">MAX(0,GWL-K496)</f>
        <v>1.22000353766866</v>
      </c>
      <c r="O496" s="27" t="n">
        <f aca="false">MAX(0,NG-MAX(K496,GWL))</f>
        <v>0.8</v>
      </c>
      <c r="P496" s="27" t="n">
        <f aca="false">E496/2+WS+SLOPE_A*O496+SLOPE_B*N496</f>
        <v>5.24001061300598</v>
      </c>
      <c r="Q496" s="28" t="str">
        <f aca="false">IF(AND(P496&lt;J496,N496&lt;=MAXOC),"Open cut","Shoring")</f>
        <v>Open cut</v>
      </c>
      <c r="R496" s="27" t="n">
        <f aca="false">IF(Q496="Shoring",D496,0)</f>
        <v>0</v>
      </c>
      <c r="S496" s="27" t="n">
        <f aca="false">MAX(0,GWL-L496)</f>
        <v>1.22000353766866</v>
      </c>
      <c r="T496" s="27" t="n">
        <f aca="false">MAX(0,NG-MAX(L496,GWL))</f>
        <v>0.8</v>
      </c>
      <c r="U496" s="27" t="n">
        <f aca="false">E496+2*WS</f>
        <v>3.20000707533732</v>
      </c>
      <c r="V496" s="27" t="n">
        <f aca="false">IF(Q496="Shoring",D496*M496*U496,0)</f>
        <v>0</v>
      </c>
      <c r="W496" s="27" t="n">
        <f aca="false">IF(Q496="Open cut",D496*(U496*M496+SLOPE_B*S496^2+2*SLOPE_B*S496*T496+SLOPE_A*T496^2),0)</f>
        <v>17.6333076690471</v>
      </c>
      <c r="X496" s="27" t="n">
        <f aca="false">IF(M496&gt;0,D496*(E496+2*SLABOVH)*SLAB,0)</f>
        <v>1.35595236060763</v>
      </c>
      <c r="Y496" s="27" t="n">
        <f aca="false">IF(M496&gt;0,D496*PI()*E496^2/4,0)</f>
        <v>1.39414467531786</v>
      </c>
      <c r="Z496" s="27" t="n">
        <f aca="false">IF(H496-E496&gt;=GWL,99,E496*(MAX(0,GWL-H496)*(GAM_S-GAM_W)+MAX(0,NG-MAX(H496,GWL))*GAM_D)/(GAM_W*PI()*E496^2/4))</f>
        <v>0.622981265692972</v>
      </c>
      <c r="AA496" s="27" t="n">
        <f aca="false">IF(I496-E496&gt;=GWL,99,E496*(MAX(0,GWL-I496)*(GAM_S-GAM_W)+MAX(0,NG-MAX(I496,GWL))*GAM_D)/(GAM_W*PI()*E496^2/4))</f>
        <v>0.622981265692972</v>
      </c>
      <c r="AB496" s="27" t="n">
        <f aca="false">IF(H496-E496&gt;=GWL,99,E496*(MAX(0,GWL-H496)*(GAM_S-GAM_W)+MAX(0,FL-MAX(H496,GWL))*GAM_D)/(GAM_W*PI()*E496^2/4))</f>
        <v>3.93260582829654</v>
      </c>
      <c r="AC496" s="27" t="n">
        <f aca="false">IF(I496-E496&gt;=GWL,99,E496*(MAX(0,GWL-I496)*(GAM_S-GAM_W)+MAX(0,FL-MAX(I496,GWL))*GAM_D)/(GAM_W*PI()*E496^2/4))</f>
        <v>3.93260582829654</v>
      </c>
    </row>
    <row r="497" customFormat="false" ht="15" hidden="false" customHeight="false" outlineLevel="0" collapsed="false">
      <c r="A497" s="25" t="s">
        <v>993</v>
      </c>
      <c r="B497" s="25" t="s">
        <v>1013</v>
      </c>
      <c r="C497" s="25" t="s">
        <v>1015</v>
      </c>
      <c r="D497" s="26" t="n">
        <v>0.116374217320551</v>
      </c>
      <c r="E497" s="26" t="n">
        <v>1.20000067804353</v>
      </c>
      <c r="F497" s="26" t="n">
        <v>-2.72000033902176</v>
      </c>
      <c r="G497" s="26" t="n">
        <v>-2.72000033902176</v>
      </c>
      <c r="H497" s="26" t="n">
        <v>-1.01999966097824</v>
      </c>
      <c r="I497" s="26" t="n">
        <v>-1.01999966097824</v>
      </c>
      <c r="J497" s="26" t="n">
        <v>17.68</v>
      </c>
      <c r="K497" s="27" t="n">
        <f aca="false">MIN(F497,G497)</f>
        <v>-2.72000033902176</v>
      </c>
      <c r="L497" s="27" t="n">
        <f aca="false">AVERAGE(F497,G497)</f>
        <v>-2.72000033902176</v>
      </c>
      <c r="M497" s="27" t="n">
        <f aca="false">MAX(0,NG-L497)</f>
        <v>2.02000033902176</v>
      </c>
      <c r="N497" s="27" t="n">
        <f aca="false">MAX(0,GWL-K497)</f>
        <v>1.22000033902176</v>
      </c>
      <c r="O497" s="27" t="n">
        <f aca="false">MAX(0,NG-MAX(K497,GWL))</f>
        <v>0.8</v>
      </c>
      <c r="P497" s="27" t="n">
        <f aca="false">E497/2+WS+SLOPE_A*O497+SLOPE_B*N497</f>
        <v>5.24000101706529</v>
      </c>
      <c r="Q497" s="28" t="str">
        <f aca="false">IF(AND(P497&lt;J497,N497&lt;=MAXOC),"Open cut","Shoring")</f>
        <v>Open cut</v>
      </c>
      <c r="R497" s="27" t="n">
        <f aca="false">IF(Q497="Shoring",D497,0)</f>
        <v>0</v>
      </c>
      <c r="S497" s="27" t="n">
        <f aca="false">MAX(0,GWL-L497)</f>
        <v>1.22000033902176</v>
      </c>
      <c r="T497" s="27" t="n">
        <f aca="false">MAX(0,NG-MAX(L497,GWL))</f>
        <v>0.8</v>
      </c>
      <c r="U497" s="27" t="n">
        <f aca="false">E497+2*WS</f>
        <v>3.20000067804353</v>
      </c>
      <c r="V497" s="27" t="n">
        <f aca="false">IF(Q497="Shoring",D497*M497*U497,0)</f>
        <v>0</v>
      </c>
      <c r="W497" s="27" t="n">
        <f aca="false">IF(Q497="Open cut",D497*(U497*M497+SLOPE_B*S497^2+2*SLOPE_B*S497*T497+SLOPE_A*T497^2),0)</f>
        <v>1.66471050835305</v>
      </c>
      <c r="X497" s="27" t="n">
        <f aca="false">IF(M497&gt;0,D497*(E497+2*SLABOVH)*SLAB,0)</f>
        <v>0.128011678505999</v>
      </c>
      <c r="Y497" s="27" t="n">
        <f aca="false">IF(M497&gt;0,D497*PI()*E497^2/4,0)</f>
        <v>0.131616287768369</v>
      </c>
      <c r="Z497" s="27" t="n">
        <f aca="false">IF(H497-E497&gt;=GWL,99,E497*(MAX(0,GWL-H497)*(GAM_S-GAM_W)+MAX(0,NG-MAX(H497,GWL))*GAM_D)/(GAM_W*PI()*E497^2/4))</f>
        <v>0.622990814133366</v>
      </c>
      <c r="AA497" s="27" t="n">
        <f aca="false">IF(I497-E497&gt;=GWL,99,E497*(MAX(0,GWL-I497)*(GAM_S-GAM_W)+MAX(0,NG-MAX(I497,GWL))*GAM_D)/(GAM_W*PI()*E497^2/4))</f>
        <v>0.622990814133366</v>
      </c>
      <c r="AB497" s="27" t="n">
        <f aca="false">IF(H497-E497&gt;=GWL,99,E497*(MAX(0,GWL-H497)*(GAM_S-GAM_W)+MAX(0,FL-MAX(H497,GWL))*GAM_D)/(GAM_W*PI()*E497^2/4))</f>
        <v>3.93263302059418</v>
      </c>
      <c r="AC497" s="27" t="n">
        <f aca="false">IF(I497-E497&gt;=GWL,99,E497*(MAX(0,GWL-I497)*(GAM_S-GAM_W)+MAX(0,FL-MAX(I497,GWL))*GAM_D)/(GAM_W*PI()*E497^2/4))</f>
        <v>3.93263302059418</v>
      </c>
    </row>
    <row r="498" customFormat="false" ht="15" hidden="false" customHeight="false" outlineLevel="0" collapsed="false">
      <c r="A498" s="25" t="s">
        <v>993</v>
      </c>
      <c r="B498" s="25" t="s">
        <v>1013</v>
      </c>
      <c r="C498" s="25" t="s">
        <v>1016</v>
      </c>
      <c r="D498" s="26" t="n">
        <v>0.315739999716895</v>
      </c>
      <c r="E498" s="26" t="n">
        <v>1.20000067804353</v>
      </c>
      <c r="F498" s="26" t="n">
        <v>-2.72000033902176</v>
      </c>
      <c r="G498" s="26" t="n">
        <v>-2.88830033902176</v>
      </c>
      <c r="H498" s="26" t="n">
        <v>-1.01999966097824</v>
      </c>
      <c r="I498" s="26" t="n">
        <v>-1.18829966097824</v>
      </c>
      <c r="J498" s="26" t="n">
        <v>17.76</v>
      </c>
      <c r="K498" s="27" t="n">
        <f aca="false">MIN(F498,G498)</f>
        <v>-2.88830033902176</v>
      </c>
      <c r="L498" s="27" t="n">
        <f aca="false">AVERAGE(F498,G498)</f>
        <v>-2.80415033902176</v>
      </c>
      <c r="M498" s="27" t="n">
        <f aca="false">MAX(0,NG-L498)</f>
        <v>2.10415033902176</v>
      </c>
      <c r="N498" s="27" t="n">
        <f aca="false">MAX(0,GWL-K498)</f>
        <v>1.38830033902176</v>
      </c>
      <c r="O498" s="27" t="n">
        <f aca="false">MAX(0,NG-MAX(K498,GWL))</f>
        <v>0.8</v>
      </c>
      <c r="P498" s="27" t="n">
        <f aca="false">E498/2+WS+SLOPE_A*O498+SLOPE_B*N498</f>
        <v>5.57660101706529</v>
      </c>
      <c r="Q498" s="28" t="str">
        <f aca="false">IF(AND(P498&lt;J498,N498&lt;=MAXOC),"Open cut","Shoring")</f>
        <v>Open cut</v>
      </c>
      <c r="R498" s="27" t="n">
        <f aca="false">IF(Q498="Shoring",D498,0)</f>
        <v>0</v>
      </c>
      <c r="S498" s="27" t="n">
        <f aca="false">MAX(0,GWL-L498)</f>
        <v>1.30415033902176</v>
      </c>
      <c r="T498" s="27" t="n">
        <f aca="false">MAX(0,NG-MAX(L498,GWL))</f>
        <v>0.8</v>
      </c>
      <c r="U498" s="27" t="n">
        <f aca="false">E498+2*WS</f>
        <v>3.20000067804353</v>
      </c>
      <c r="V498" s="27" t="n">
        <f aca="false">IF(Q498="Shoring",D498*M498*U498,0)</f>
        <v>0</v>
      </c>
      <c r="W498" s="27" t="n">
        <f aca="false">IF(Q498="Open cut",D498*(U498*M498+SLOPE_B*S498^2+2*SLOPE_B*S498*T498+SLOPE_A*T498^2),0)</f>
        <v>4.82077508888248</v>
      </c>
      <c r="X498" s="27" t="n">
        <f aca="false">IF(M498&gt;0,D498*(E498+2*SLABOVH)*SLAB,0)</f>
        <v>0.347314106731317</v>
      </c>
      <c r="Y498" s="27" t="n">
        <f aca="false">IF(M498&gt;0,D498*PI()*E498^2/4,0)</f>
        <v>0.35709393042152</v>
      </c>
      <c r="Z498" s="27" t="n">
        <f aca="false">IF(H498-E498&gt;=GWL,99,E498*(MAX(0,GWL-H498)*(GAM_S-GAM_W)+MAX(0,NG-MAX(H498,GWL))*GAM_D)/(GAM_W*PI()*E498^2/4))</f>
        <v>0.622990814133366</v>
      </c>
      <c r="AA498" s="27" t="n">
        <f aca="false">IF(I498-E498&gt;=GWL,99,E498*(MAX(0,GWL-I498)*(GAM_S-GAM_W)+MAX(0,NG-MAX(I498,GWL))*GAM_D)/(GAM_W*PI()*E498^2/4))</f>
        <v>0.950645392572986</v>
      </c>
      <c r="AB498" s="27" t="n">
        <f aca="false">IF(H498-E498&gt;=GWL,99,E498*(MAX(0,GWL-H498)*(GAM_S-GAM_W)+MAX(0,FL-MAX(H498,GWL))*GAM_D)/(GAM_W*PI()*E498^2/4))</f>
        <v>3.93263302059418</v>
      </c>
      <c r="AC498" s="27" t="n">
        <f aca="false">IF(I498-E498&gt;=GWL,99,E498*(MAX(0,GWL-I498)*(GAM_S-GAM_W)+MAX(0,FL-MAX(I498,GWL))*GAM_D)/(GAM_W*PI()*E498^2/4))</f>
        <v>4.2602875990338</v>
      </c>
    </row>
    <row r="499" customFormat="false" ht="15" hidden="false" customHeight="false" outlineLevel="0" collapsed="false">
      <c r="A499" s="25" t="s">
        <v>993</v>
      </c>
      <c r="B499" s="25" t="s">
        <v>1013</v>
      </c>
      <c r="C499" s="25" t="s">
        <v>1017</v>
      </c>
      <c r="D499" s="26" t="n">
        <v>0.884779835293965</v>
      </c>
      <c r="E499" s="26" t="n">
        <v>1.19999753660774</v>
      </c>
      <c r="F499" s="26" t="n">
        <v>-2.88829876830387</v>
      </c>
      <c r="G499" s="26" t="n">
        <v>-3.3599182807349</v>
      </c>
      <c r="H499" s="26" t="n">
        <v>-1.18830123169613</v>
      </c>
      <c r="I499" s="26" t="n">
        <v>-1.65992074412715</v>
      </c>
      <c r="J499" s="26" t="n">
        <v>17.99</v>
      </c>
      <c r="K499" s="27" t="n">
        <f aca="false">MIN(F499,G499)</f>
        <v>-3.3599182807349</v>
      </c>
      <c r="L499" s="27" t="n">
        <f aca="false">AVERAGE(F499,G499)</f>
        <v>-3.12410852451938</v>
      </c>
      <c r="M499" s="27" t="n">
        <f aca="false">MAX(0,NG-L499)</f>
        <v>2.42410852451938</v>
      </c>
      <c r="N499" s="27" t="n">
        <f aca="false">MAX(0,GWL-K499)</f>
        <v>1.85991828073489</v>
      </c>
      <c r="O499" s="27" t="n">
        <f aca="false">MAX(0,NG-MAX(K499,GWL))</f>
        <v>0.8</v>
      </c>
      <c r="P499" s="27" t="n">
        <f aca="false">E499/2+WS+SLOPE_A*O499+SLOPE_B*N499</f>
        <v>6.51983532977366</v>
      </c>
      <c r="Q499" s="28" t="str">
        <f aca="false">IF(AND(P499&lt;J499,N499&lt;=MAXOC),"Open cut","Shoring")</f>
        <v>Open cut</v>
      </c>
      <c r="R499" s="27" t="n">
        <f aca="false">IF(Q499="Shoring",D499,0)</f>
        <v>0</v>
      </c>
      <c r="S499" s="27" t="n">
        <f aca="false">MAX(0,GWL-L499)</f>
        <v>1.62410852451938</v>
      </c>
      <c r="T499" s="27" t="n">
        <f aca="false">MAX(0,NG-MAX(L499,GWL))</f>
        <v>0.8</v>
      </c>
      <c r="U499" s="27" t="n">
        <f aca="false">E499+2*WS</f>
        <v>3.19999753660774</v>
      </c>
      <c r="V499" s="27" t="n">
        <f aca="false">IF(Q499="Shoring",D499*M499*U499,0)</f>
        <v>0</v>
      </c>
      <c r="W499" s="27" t="n">
        <f aca="false">IF(Q499="Open cut",D499*(U499*M499+SLOPE_B*S499^2+2*SLOPE_B*S499*T499+SLOPE_A*T499^2),0)</f>
        <v>16.9786999373454</v>
      </c>
      <c r="X499" s="27" t="n">
        <f aca="false">IF(M499&gt;0,D499*(E499+2*SLABOVH)*SLAB,0)</f>
        <v>0.973256729043464</v>
      </c>
      <c r="Y499" s="27" t="n">
        <f aca="false">IF(M499&gt;0,D499*PI()*E499^2/4,0)</f>
        <v>1.0006583106482</v>
      </c>
      <c r="Z499" s="27" t="n">
        <f aca="false">IF(H499-E499&gt;=GWL,99,E499*(MAX(0,GWL-H499)*(GAM_S-GAM_W)+MAX(0,NG-MAX(H499,GWL))*GAM_D)/(GAM_W*PI()*E499^2/4))</f>
        <v>0.950650939195194</v>
      </c>
      <c r="AA499" s="27" t="n">
        <f aca="false">IF(I499-E499&gt;=GWL,99,E499*(MAX(0,GWL-I499)*(GAM_S-GAM_W)+MAX(0,NG-MAX(I499,GWL))*GAM_D)/(GAM_W*PI()*E499^2/4))</f>
        <v>1.69914348776629</v>
      </c>
      <c r="AB499" s="27" t="n">
        <f aca="false">IF(H499-E499&gt;=GWL,99,E499*(MAX(0,GWL-H499)*(GAM_S-GAM_W)+MAX(0,FL-MAX(H499,GWL))*GAM_D)/(GAM_W*PI()*E499^2/4))</f>
        <v>4.26030180986418</v>
      </c>
      <c r="AC499" s="27" t="n">
        <f aca="false">IF(I499-E499&gt;=GWL,99,E499*(MAX(0,GWL-I499)*(GAM_S-GAM_W)+MAX(0,FL-MAX(I499,GWL))*GAM_D)/(GAM_W*PI()*E499^2/4))</f>
        <v>5.00879435843527</v>
      </c>
    </row>
    <row r="500" customFormat="false" ht="15" hidden="false" customHeight="false" outlineLevel="0" collapsed="false">
      <c r="A500" s="25" t="s">
        <v>993</v>
      </c>
      <c r="B500" s="25" t="s">
        <v>1013</v>
      </c>
      <c r="C500" s="25" t="s">
        <v>1018</v>
      </c>
      <c r="D500" s="26" t="n">
        <v>1.96060016485332</v>
      </c>
      <c r="E500" s="26" t="n">
        <v>1.19999753660774</v>
      </c>
      <c r="F500" s="26" t="n">
        <v>-3.3599182807349</v>
      </c>
      <c r="G500" s="26" t="n">
        <v>-4.40498876830387</v>
      </c>
      <c r="H500" s="26" t="n">
        <v>-1.65992074412715</v>
      </c>
      <c r="I500" s="26" t="n">
        <v>-2.70499123169613</v>
      </c>
      <c r="J500" s="26" t="n">
        <v>17.31</v>
      </c>
      <c r="K500" s="27" t="n">
        <f aca="false">MIN(F500,G500)</f>
        <v>-4.40498876830387</v>
      </c>
      <c r="L500" s="27" t="n">
        <f aca="false">AVERAGE(F500,G500)</f>
        <v>-3.88245352451938</v>
      </c>
      <c r="M500" s="27" t="n">
        <f aca="false">MAX(0,NG-L500)</f>
        <v>3.18245352451938</v>
      </c>
      <c r="N500" s="27" t="n">
        <f aca="false">MAX(0,GWL-K500)</f>
        <v>2.90498876830387</v>
      </c>
      <c r="O500" s="27" t="n">
        <f aca="false">MAX(0,NG-MAX(K500,GWL))</f>
        <v>0.8</v>
      </c>
      <c r="P500" s="27" t="n">
        <f aca="false">E500/2+WS+SLOPE_A*O500+SLOPE_B*N500</f>
        <v>8.60997630491162</v>
      </c>
      <c r="Q500" s="28" t="str">
        <f aca="false">IF(AND(P500&lt;J500,N500&lt;=MAXOC),"Open cut","Shoring")</f>
        <v>Shoring</v>
      </c>
      <c r="R500" s="27" t="n">
        <f aca="false">IF(Q500="Shoring",D500,0)</f>
        <v>1.96060016485332</v>
      </c>
      <c r="S500" s="27" t="n">
        <f aca="false">MAX(0,GWL-L500)</f>
        <v>2.38245352451938</v>
      </c>
      <c r="T500" s="27" t="n">
        <f aca="false">MAX(0,NG-MAX(L500,GWL))</f>
        <v>0.8</v>
      </c>
      <c r="U500" s="27" t="n">
        <f aca="false">E500+2*WS</f>
        <v>3.19999753660774</v>
      </c>
      <c r="V500" s="27" t="n">
        <f aca="false">IF(Q500="Shoring",D500*M500*U500,0)</f>
        <v>19.9664451250118</v>
      </c>
      <c r="W500" s="27" t="n">
        <f aca="false">IF(Q500="Open cut",D500*(U500*M500+SLOPE_B*S500^2+2*SLOPE_B*S500*T500+SLOPE_A*T500^2),0)</f>
        <v>0</v>
      </c>
      <c r="X500" s="27" t="n">
        <f aca="false">IF(M500&gt;0,D500*(E500+2*SLABOVH)*SLAB,0)</f>
        <v>2.15665776647502</v>
      </c>
      <c r="Y500" s="27" t="n">
        <f aca="false">IF(M500&gt;0,D500*PI()*E500^2/4,0)</f>
        <v>2.21737744301878</v>
      </c>
      <c r="Z500" s="27" t="n">
        <f aca="false">IF(H500-E500&gt;=GWL,99,E500*(MAX(0,GWL-H500)*(GAM_S-GAM_W)+MAX(0,NG-MAX(H500,GWL))*GAM_D)/(GAM_W*PI()*E500^2/4))</f>
        <v>1.69914348776629</v>
      </c>
      <c r="AA500" s="27" t="n">
        <f aca="false">IF(I500-E500&gt;=GWL,99,E500*(MAX(0,GWL-I500)*(GAM_S-GAM_W)+MAX(0,NG-MAX(I500,GWL))*GAM_D)/(GAM_W*PI()*E500^2/4))</f>
        <v>2.62488607267062</v>
      </c>
      <c r="AB500" s="27" t="n">
        <f aca="false">IF(H500-E500&gt;=GWL,99,E500*(MAX(0,GWL-H500)*(GAM_S-GAM_W)+MAX(0,FL-MAX(H500,GWL))*GAM_D)/(GAM_W*PI()*E500^2/4))</f>
        <v>5.00879435843527</v>
      </c>
      <c r="AC500" s="27" t="n">
        <f aca="false">IF(I500-E500&gt;=GWL,99,E500*(MAX(0,GWL-I500)*(GAM_S-GAM_W)+MAX(0,FL-MAX(I500,GWL))*GAM_D)/(GAM_W*PI()*E500^2/4))</f>
        <v>5.93453694333961</v>
      </c>
    </row>
    <row r="501" customFormat="false" ht="15" hidden="false" customHeight="false" outlineLevel="0" collapsed="false">
      <c r="A501" s="25" t="s">
        <v>993</v>
      </c>
      <c r="B501" s="25" t="s">
        <v>1013</v>
      </c>
      <c r="C501" s="25" t="s">
        <v>1019</v>
      </c>
      <c r="D501" s="26" t="n">
        <v>0.478406225445124</v>
      </c>
      <c r="E501" s="26" t="n">
        <v>1.15909584459408</v>
      </c>
      <c r="F501" s="26" t="n">
        <v>-4.38453792229704</v>
      </c>
      <c r="G501" s="26" t="n">
        <v>-4.63954792229704</v>
      </c>
      <c r="H501" s="26" t="n">
        <v>-2.72544207770296</v>
      </c>
      <c r="I501" s="26" t="n">
        <v>-2.98045207770296</v>
      </c>
      <c r="J501" s="26" t="n">
        <v>16.97</v>
      </c>
      <c r="K501" s="27" t="n">
        <f aca="false">MIN(F501,G501)</f>
        <v>-4.63954792229704</v>
      </c>
      <c r="L501" s="27" t="n">
        <f aca="false">AVERAGE(F501,G501)</f>
        <v>-4.51204292229704</v>
      </c>
      <c r="M501" s="27" t="n">
        <f aca="false">MAX(0,NG-L501)</f>
        <v>3.81204292229704</v>
      </c>
      <c r="N501" s="27" t="n">
        <f aca="false">MAX(0,GWL-K501)</f>
        <v>3.13954792229704</v>
      </c>
      <c r="O501" s="27" t="n">
        <f aca="false">MAX(0,NG-MAX(K501,GWL))</f>
        <v>0.8</v>
      </c>
      <c r="P501" s="27" t="n">
        <f aca="false">E501/2+WS+SLOPE_A*O501+SLOPE_B*N501</f>
        <v>9.05864376689112</v>
      </c>
      <c r="Q501" s="28" t="str">
        <f aca="false">IF(AND(P501&lt;J501,N501&lt;=MAXOC),"Open cut","Shoring")</f>
        <v>Shoring</v>
      </c>
      <c r="R501" s="27" t="n">
        <f aca="false">IF(Q501="Shoring",D501,0)</f>
        <v>0.478406225445124</v>
      </c>
      <c r="S501" s="27" t="n">
        <f aca="false">MAX(0,GWL-L501)</f>
        <v>3.01204292229704</v>
      </c>
      <c r="T501" s="27" t="n">
        <f aca="false">MAX(0,NG-MAX(L501,GWL))</f>
        <v>0.8</v>
      </c>
      <c r="U501" s="27" t="n">
        <f aca="false">E501+2*WS</f>
        <v>3.15909584459408</v>
      </c>
      <c r="V501" s="27" t="n">
        <f aca="false">IF(Q501="Shoring",D501*M501*U501,0)</f>
        <v>5.76125909478937</v>
      </c>
      <c r="W501" s="27" t="n">
        <f aca="false">IF(Q501="Open cut",D501*(U501*M501+SLOPE_B*S501^2+2*SLOPE_B*S501*T501+SLOPE_A*T501^2),0)</f>
        <v>0</v>
      </c>
      <c r="X501" s="27" t="n">
        <f aca="false">IF(M501&gt;0,D501*(E501+2*SLABOVH)*SLAB,0)</f>
        <v>0.516462446693252</v>
      </c>
      <c r="Y501" s="27" t="n">
        <f aca="false">IF(M501&gt;0,D501*PI()*E501^2/4,0)</f>
        <v>0.504807038407207</v>
      </c>
      <c r="Z501" s="27" t="n">
        <f aca="false">IF(H501-E501&gt;=GWL,99,E501*(MAX(0,GWL-H501)*(GAM_S-GAM_W)+MAX(0,NG-MAX(H501,GWL))*GAM_D)/(GAM_W*PI()*E501^2/4))</f>
        <v>2.73626695509308</v>
      </c>
      <c r="AA501" s="27" t="n">
        <f aca="false">IF(I501-E501&gt;=GWL,99,E501*(MAX(0,GWL-I501)*(GAM_S-GAM_W)+MAX(0,NG-MAX(I501,GWL))*GAM_D)/(GAM_W*PI()*E501^2/4))</f>
        <v>2.97013068683708</v>
      </c>
      <c r="AB501" s="27" t="n">
        <f aca="false">IF(H501-E501&gt;=GWL,99,E501*(MAX(0,GWL-H501)*(GAM_S-GAM_W)+MAX(0,FL-MAX(H501,GWL))*GAM_D)/(GAM_W*PI()*E501^2/4))</f>
        <v>6.16270740896712</v>
      </c>
      <c r="AC501" s="27" t="n">
        <f aca="false">IF(I501-E501&gt;=GWL,99,E501*(MAX(0,GWL-I501)*(GAM_S-GAM_W)+MAX(0,FL-MAX(I501,GWL))*GAM_D)/(GAM_W*PI()*E501^2/4))</f>
        <v>6.39657114071112</v>
      </c>
    </row>
    <row r="502" customFormat="false" ht="15" hidden="false" customHeight="false" outlineLevel="0" collapsed="false">
      <c r="A502" s="25" t="s">
        <v>993</v>
      </c>
      <c r="B502" s="25" t="s">
        <v>1013</v>
      </c>
      <c r="C502" s="25" t="s">
        <v>1020</v>
      </c>
      <c r="D502" s="26" t="n">
        <v>4.6609936096083</v>
      </c>
      <c r="E502" s="26" t="n">
        <v>1.19999592035593</v>
      </c>
      <c r="F502" s="26" t="n">
        <v>-4.65999796017796</v>
      </c>
      <c r="G502" s="26" t="n">
        <v>-4.66238779358714</v>
      </c>
      <c r="H502" s="26" t="n">
        <v>-2.96000203982204</v>
      </c>
      <c r="I502" s="26" t="n">
        <v>-2.96239187323121</v>
      </c>
      <c r="J502" s="26" t="n">
        <v>13.82</v>
      </c>
      <c r="K502" s="27" t="n">
        <f aca="false">MIN(F502,G502)</f>
        <v>-4.66238779358714</v>
      </c>
      <c r="L502" s="27" t="n">
        <f aca="false">AVERAGE(F502,G502)</f>
        <v>-4.66119287688255</v>
      </c>
      <c r="M502" s="27" t="n">
        <f aca="false">MAX(0,NG-L502)</f>
        <v>3.96119287688255</v>
      </c>
      <c r="N502" s="27" t="n">
        <f aca="false">MAX(0,GWL-K502)</f>
        <v>3.16238779358714</v>
      </c>
      <c r="O502" s="27" t="n">
        <f aca="false">MAX(0,NG-MAX(K502,GWL))</f>
        <v>0.8</v>
      </c>
      <c r="P502" s="27" t="n">
        <f aca="false">E502/2+WS+SLOPE_A*O502+SLOPE_B*N502</f>
        <v>9.12477354735224</v>
      </c>
      <c r="Q502" s="28" t="str">
        <f aca="false">IF(AND(P502&lt;J502,N502&lt;=MAXOC),"Open cut","Shoring")</f>
        <v>Shoring</v>
      </c>
      <c r="R502" s="27" t="n">
        <f aca="false">IF(Q502="Shoring",D502,0)</f>
        <v>4.6609936096083</v>
      </c>
      <c r="S502" s="27" t="n">
        <f aca="false">MAX(0,GWL-L502)</f>
        <v>3.16119287688255</v>
      </c>
      <c r="T502" s="27" t="n">
        <f aca="false">MAX(0,NG-MAX(L502,GWL))</f>
        <v>0.8</v>
      </c>
      <c r="U502" s="27" t="n">
        <f aca="false">E502+2*WS</f>
        <v>3.19999592035593</v>
      </c>
      <c r="V502" s="27" t="n">
        <f aca="false">IF(Q502="Shoring",D502*M502*U502,0)</f>
        <v>59.0818276709868</v>
      </c>
      <c r="W502" s="27" t="n">
        <f aca="false">IF(Q502="Open cut",D502*(U502*M502+SLOPE_B*S502^2+2*SLOPE_B*S502*T502+SLOPE_A*T502^2),0)</f>
        <v>0</v>
      </c>
      <c r="X502" s="27" t="n">
        <f aca="false">IF(M502&gt;0,D502*(E502+2*SLABOVH)*SLAB,0)</f>
        <v>5.12708346297166</v>
      </c>
      <c r="Y502" s="27" t="n">
        <f aca="false">IF(M502&gt;0,D502*PI()*E502^2/4,0)</f>
        <v>5.27142373891765</v>
      </c>
      <c r="Z502" s="27" t="n">
        <f aca="false">IF(H502-E502&gt;=GWL,99,E502*(MAX(0,GWL-H502)*(GAM_S-GAM_W)+MAX(0,NG-MAX(H502,GWL))*GAM_D)/(GAM_W*PI()*E502^2/4))</f>
        <v>2.85078315829049</v>
      </c>
      <c r="AA502" s="27" t="n">
        <f aca="false">IF(I502-E502&gt;=GWL,99,E502*(MAX(0,GWL-I502)*(GAM_S-GAM_W)+MAX(0,NG-MAX(I502,GWL))*GAM_D)/(GAM_W*PI()*E502^2/4))</f>
        <v>2.85290011936041</v>
      </c>
      <c r="AB502" s="27" t="n">
        <f aca="false">IF(H502-E502&gt;=GWL,99,E502*(MAX(0,GWL-H502)*(GAM_S-GAM_W)+MAX(0,FL-MAX(H502,GWL))*GAM_D)/(GAM_W*PI()*E502^2/4))</f>
        <v>6.16043848666566</v>
      </c>
      <c r="AC502" s="27" t="n">
        <f aca="false">IF(I502-E502&gt;=GWL,99,E502*(MAX(0,GWL-I502)*(GAM_S-GAM_W)+MAX(0,FL-MAX(I502,GWL))*GAM_D)/(GAM_W*PI()*E502^2/4))</f>
        <v>6.16255544773557</v>
      </c>
    </row>
    <row r="503" customFormat="false" ht="15" hidden="false" customHeight="false" outlineLevel="0" collapsed="false">
      <c r="A503" s="25" t="s">
        <v>993</v>
      </c>
      <c r="B503" s="25" t="s">
        <v>1021</v>
      </c>
      <c r="C503" s="25" t="s">
        <v>1022</v>
      </c>
      <c r="D503" s="26" t="n">
        <v>2.90000000033479</v>
      </c>
      <c r="E503" s="26" t="n">
        <v>1.19999592035593</v>
      </c>
      <c r="F503" s="26" t="n">
        <v>-4.66238779358714</v>
      </c>
      <c r="G503" s="26" t="n">
        <v>-4.66387471192838</v>
      </c>
      <c r="H503" s="26" t="n">
        <v>-2.96239187323121</v>
      </c>
      <c r="I503" s="26" t="n">
        <v>-2.96387879157245</v>
      </c>
      <c r="J503" s="26" t="n">
        <v>12.01</v>
      </c>
      <c r="K503" s="27" t="n">
        <f aca="false">MIN(F503,G503)</f>
        <v>-4.66387471192838</v>
      </c>
      <c r="L503" s="27" t="n">
        <f aca="false">AVERAGE(F503,G503)</f>
        <v>-4.66313125275776</v>
      </c>
      <c r="M503" s="27" t="n">
        <f aca="false">MAX(0,NG-L503)</f>
        <v>3.96313125275776</v>
      </c>
      <c r="N503" s="27" t="n">
        <f aca="false">MAX(0,GWL-K503)</f>
        <v>3.16387471192838</v>
      </c>
      <c r="O503" s="27" t="n">
        <f aca="false">MAX(0,NG-MAX(K503,GWL))</f>
        <v>0.8</v>
      </c>
      <c r="P503" s="27" t="n">
        <f aca="false">E503/2+WS+SLOPE_A*O503+SLOPE_B*N503</f>
        <v>9.12774738403472</v>
      </c>
      <c r="Q503" s="28" t="str">
        <f aca="false">IF(AND(P503&lt;J503,N503&lt;=MAXOC),"Open cut","Shoring")</f>
        <v>Shoring</v>
      </c>
      <c r="R503" s="27" t="n">
        <f aca="false">IF(Q503="Shoring",D503,0)</f>
        <v>2.90000000033479</v>
      </c>
      <c r="S503" s="27" t="n">
        <f aca="false">MAX(0,GWL-L503)</f>
        <v>3.16313125275776</v>
      </c>
      <c r="T503" s="27" t="n">
        <f aca="false">MAX(0,NG-MAX(L503,GWL))</f>
        <v>0.8</v>
      </c>
      <c r="U503" s="27" t="n">
        <f aca="false">E503+2*WS</f>
        <v>3.19999592035593</v>
      </c>
      <c r="V503" s="27" t="n">
        <f aca="false">IF(Q503="Shoring",D503*M503*U503,0)</f>
        <v>36.7778111421595</v>
      </c>
      <c r="W503" s="27" t="n">
        <f aca="false">IF(Q503="Open cut",D503*(U503*M503+SLOPE_B*S503^2+2*SLOPE_B*S503*T503+SLOPE_A*T503^2),0)</f>
        <v>0</v>
      </c>
      <c r="X503" s="27" t="n">
        <f aca="false">IF(M503&gt;0,D503*(E503+2*SLABOVH)*SLAB,0)</f>
        <v>3.18999408488436</v>
      </c>
      <c r="Y503" s="27" t="n">
        <f aca="false">IF(M503&gt;0,D503*PI()*E503^2/4,0)</f>
        <v>3.27980042991535</v>
      </c>
      <c r="Z503" s="27" t="n">
        <f aca="false">IF(H503-E503&gt;=GWL,99,E503*(MAX(0,GWL-H503)*(GAM_S-GAM_W)+MAX(0,NG-MAX(H503,GWL))*GAM_D)/(GAM_W*PI()*E503^2/4))</f>
        <v>2.85290011936041</v>
      </c>
      <c r="AA503" s="27" t="n">
        <f aca="false">IF(I503-E503&gt;=GWL,99,E503*(MAX(0,GWL-I503)*(GAM_S-GAM_W)+MAX(0,NG-MAX(I503,GWL))*GAM_D)/(GAM_W*PI()*E503^2/4))</f>
        <v>2.85421726064333</v>
      </c>
      <c r="AB503" s="27" t="n">
        <f aca="false">IF(H503-E503&gt;=GWL,99,E503*(MAX(0,GWL-H503)*(GAM_S-GAM_W)+MAX(0,FL-MAX(H503,GWL))*GAM_D)/(GAM_W*PI()*E503^2/4))</f>
        <v>6.16255544773557</v>
      </c>
      <c r="AC503" s="27" t="n">
        <f aca="false">IF(I503-E503&gt;=GWL,99,E503*(MAX(0,GWL-I503)*(GAM_S-GAM_W)+MAX(0,FL-MAX(I503,GWL))*GAM_D)/(GAM_W*PI()*E503^2/4))</f>
        <v>6.1638725890185</v>
      </c>
    </row>
    <row r="504" customFormat="false" ht="15" hidden="false" customHeight="false" outlineLevel="0" collapsed="false">
      <c r="A504" s="25" t="s">
        <v>993</v>
      </c>
      <c r="B504" s="25" t="s">
        <v>1021</v>
      </c>
      <c r="C504" s="25" t="s">
        <v>1023</v>
      </c>
      <c r="D504" s="26" t="n">
        <v>9.99999999975544</v>
      </c>
      <c r="E504" s="26" t="n">
        <v>1.19999592035593</v>
      </c>
      <c r="F504" s="26" t="n">
        <v>-4.66387471192838</v>
      </c>
      <c r="G504" s="26" t="n">
        <v>-4.66900201655333</v>
      </c>
      <c r="H504" s="26" t="n">
        <v>-2.96387879157245</v>
      </c>
      <c r="I504" s="26" t="n">
        <v>-2.96900609619741</v>
      </c>
      <c r="J504" s="26" t="n">
        <v>6.88</v>
      </c>
      <c r="K504" s="27" t="n">
        <f aca="false">MIN(F504,G504)</f>
        <v>-4.66900201655333</v>
      </c>
      <c r="L504" s="27" t="n">
        <f aca="false">AVERAGE(F504,G504)</f>
        <v>-4.66643836424086</v>
      </c>
      <c r="M504" s="27" t="n">
        <f aca="false">MAX(0,NG-L504)</f>
        <v>3.96643836424085</v>
      </c>
      <c r="N504" s="27" t="n">
        <f aca="false">MAX(0,GWL-K504)</f>
        <v>3.16900201655333</v>
      </c>
      <c r="O504" s="27" t="n">
        <f aca="false">MAX(0,NG-MAX(K504,GWL))</f>
        <v>0.8</v>
      </c>
      <c r="P504" s="27" t="n">
        <f aca="false">E504/2+WS+SLOPE_A*O504+SLOPE_B*N504</f>
        <v>9.13800199328463</v>
      </c>
      <c r="Q504" s="28" t="str">
        <f aca="false">IF(AND(P504&lt;J504,N504&lt;=MAXOC),"Open cut","Shoring")</f>
        <v>Shoring</v>
      </c>
      <c r="R504" s="27" t="n">
        <f aca="false">IF(Q504="Shoring",D504,0)</f>
        <v>9.99999999975544</v>
      </c>
      <c r="S504" s="27" t="n">
        <f aca="false">MAX(0,GWL-L504)</f>
        <v>3.16643836424085</v>
      </c>
      <c r="T504" s="27" t="n">
        <f aca="false">MAX(0,NG-MAX(L504,GWL))</f>
        <v>0.8</v>
      </c>
      <c r="U504" s="27" t="n">
        <f aca="false">E504+2*WS</f>
        <v>3.19999592035593</v>
      </c>
      <c r="V504" s="27" t="n">
        <f aca="false">IF(Q504="Shoring",D504*M504*U504,0)</f>
        <v>126.925865836036</v>
      </c>
      <c r="W504" s="27" t="n">
        <f aca="false">IF(Q504="Open cut",D504*(U504*M504+SLOPE_B*S504^2+2*SLOPE_B*S504*T504+SLOPE_A*T504^2),0)</f>
        <v>0</v>
      </c>
      <c r="X504" s="27" t="n">
        <f aca="false">IF(M504&gt;0,D504*(E504+2*SLABOVH)*SLAB,0)</f>
        <v>10.9999796015106</v>
      </c>
      <c r="Y504" s="27" t="n">
        <f aca="false">IF(M504&gt;0,D504*PI()*E504^2/4,0)</f>
        <v>11.3096566532983</v>
      </c>
      <c r="Z504" s="27" t="n">
        <f aca="false">IF(H504-E504&gt;=GWL,99,E504*(MAX(0,GWL-H504)*(GAM_S-GAM_W)+MAX(0,NG-MAX(H504,GWL))*GAM_D)/(GAM_W*PI()*E504^2/4))</f>
        <v>2.85421726064333</v>
      </c>
      <c r="AA504" s="27" t="n">
        <f aca="false">IF(I504-E504&gt;=GWL,99,E504*(MAX(0,GWL-I504)*(GAM_S-GAM_W)+MAX(0,NG-MAX(I504,GWL))*GAM_D)/(GAM_W*PI()*E504^2/4))</f>
        <v>2.85875912713618</v>
      </c>
      <c r="AB504" s="27" t="n">
        <f aca="false">IF(H504-E504&gt;=GWL,99,E504*(MAX(0,GWL-H504)*(GAM_S-GAM_W)+MAX(0,FL-MAX(H504,GWL))*GAM_D)/(GAM_W*PI()*E504^2/4))</f>
        <v>6.1638725890185</v>
      </c>
      <c r="AC504" s="27" t="n">
        <f aca="false">IF(I504-E504&gt;=GWL,99,E504*(MAX(0,GWL-I504)*(GAM_S-GAM_W)+MAX(0,FL-MAX(I504,GWL))*GAM_D)/(GAM_W*PI()*E504^2/4))</f>
        <v>6.16841445551135</v>
      </c>
    </row>
    <row r="505" customFormat="false" ht="15" hidden="false" customHeight="false" outlineLevel="0" collapsed="false">
      <c r="A505" s="25" t="s">
        <v>993</v>
      </c>
      <c r="B505" s="25" t="s">
        <v>1021</v>
      </c>
      <c r="C505" s="25" t="s">
        <v>1024</v>
      </c>
      <c r="D505" s="26" t="n">
        <v>9.99999999985626</v>
      </c>
      <c r="E505" s="26" t="n">
        <v>1.19999592035593</v>
      </c>
      <c r="F505" s="26" t="n">
        <v>-4.66900201655333</v>
      </c>
      <c r="G505" s="26" t="n">
        <v>-4.67412932117829</v>
      </c>
      <c r="H505" s="26" t="n">
        <v>-2.96900609619741</v>
      </c>
      <c r="I505" s="26" t="n">
        <v>-2.97413340082236</v>
      </c>
      <c r="J505" s="26" t="n">
        <v>4.05</v>
      </c>
      <c r="K505" s="27" t="n">
        <f aca="false">MIN(F505,G505)</f>
        <v>-4.67412932117829</v>
      </c>
      <c r="L505" s="27" t="n">
        <f aca="false">AVERAGE(F505,G505)</f>
        <v>-4.67156566886581</v>
      </c>
      <c r="M505" s="27" t="n">
        <f aca="false">MAX(0,NG-L505)</f>
        <v>3.97156566886581</v>
      </c>
      <c r="N505" s="27" t="n">
        <f aca="false">MAX(0,GWL-K505)</f>
        <v>3.17412932117829</v>
      </c>
      <c r="O505" s="27" t="n">
        <f aca="false">MAX(0,NG-MAX(K505,GWL))</f>
        <v>0.8</v>
      </c>
      <c r="P505" s="27" t="n">
        <f aca="false">E505/2+WS+SLOPE_A*O505+SLOPE_B*N505</f>
        <v>9.14825660253454</v>
      </c>
      <c r="Q505" s="28" t="str">
        <f aca="false">IF(AND(P505&lt;J505,N505&lt;=MAXOC),"Open cut","Shoring")</f>
        <v>Shoring</v>
      </c>
      <c r="R505" s="27" t="n">
        <f aca="false">IF(Q505="Shoring",D505,0)</f>
        <v>9.99999999985626</v>
      </c>
      <c r="S505" s="27" t="n">
        <f aca="false">MAX(0,GWL-L505)</f>
        <v>3.17156566886581</v>
      </c>
      <c r="T505" s="27" t="n">
        <f aca="false">MAX(0,NG-MAX(L505,GWL))</f>
        <v>0.8</v>
      </c>
      <c r="U505" s="27" t="n">
        <f aca="false">E505+2*WS</f>
        <v>3.19999592035593</v>
      </c>
      <c r="V505" s="27" t="n">
        <f aca="false">IF(Q505="Shoring",D505*M505*U505,0)</f>
        <v>127.089939376136</v>
      </c>
      <c r="W505" s="27" t="n">
        <f aca="false">IF(Q505="Open cut",D505*(U505*M505+SLOPE_B*S505^2+2*SLOPE_B*S505*T505+SLOPE_A*T505^2),0)</f>
        <v>0</v>
      </c>
      <c r="X505" s="27" t="n">
        <f aca="false">IF(M505&gt;0,D505*(E505+2*SLABOVH)*SLAB,0)</f>
        <v>10.9999796016215</v>
      </c>
      <c r="Y505" s="27" t="n">
        <f aca="false">IF(M505&gt;0,D505*PI()*E505^2/4,0)</f>
        <v>11.3096566534123</v>
      </c>
      <c r="Z505" s="27" t="n">
        <f aca="false">IF(H505-E505&gt;=GWL,99,E505*(MAX(0,GWL-H505)*(GAM_S-GAM_W)+MAX(0,NG-MAX(H505,GWL))*GAM_D)/(GAM_W*PI()*E505^2/4))</f>
        <v>2.85875912713618</v>
      </c>
      <c r="AA505" s="27" t="n">
        <f aca="false">IF(I505-E505&gt;=GWL,99,E505*(MAX(0,GWL-I505)*(GAM_S-GAM_W)+MAX(0,NG-MAX(I505,GWL))*GAM_D)/(GAM_W*PI()*E505^2/4))</f>
        <v>2.86330099362903</v>
      </c>
      <c r="AB505" s="27" t="n">
        <f aca="false">IF(H505-E505&gt;=GWL,99,E505*(MAX(0,GWL-H505)*(GAM_S-GAM_W)+MAX(0,FL-MAX(H505,GWL))*GAM_D)/(GAM_W*PI()*E505^2/4))</f>
        <v>6.16841445551135</v>
      </c>
      <c r="AC505" s="27" t="n">
        <f aca="false">IF(I505-E505&gt;=GWL,99,E505*(MAX(0,GWL-I505)*(GAM_S-GAM_W)+MAX(0,FL-MAX(I505,GWL))*GAM_D)/(GAM_W*PI()*E505^2/4))</f>
        <v>6.1729563220042</v>
      </c>
    </row>
    <row r="506" customFormat="false" ht="15" hidden="false" customHeight="false" outlineLevel="0" collapsed="false">
      <c r="A506" s="25" t="s">
        <v>993</v>
      </c>
      <c r="B506" s="25" t="s">
        <v>1021</v>
      </c>
      <c r="C506" s="25" t="s">
        <v>1025</v>
      </c>
      <c r="D506" s="26" t="n">
        <v>10.0000000000891</v>
      </c>
      <c r="E506" s="26" t="n">
        <v>1.19999592035593</v>
      </c>
      <c r="F506" s="26" t="n">
        <v>-4.67412932117829</v>
      </c>
      <c r="G506" s="26" t="n">
        <v>-4.67925662580324</v>
      </c>
      <c r="H506" s="26" t="n">
        <v>-2.97413340082236</v>
      </c>
      <c r="I506" s="26" t="n">
        <v>-2.97926070544731</v>
      </c>
      <c r="J506" s="26" t="n">
        <v>3.71</v>
      </c>
      <c r="K506" s="27" t="n">
        <f aca="false">MIN(F506,G506)</f>
        <v>-4.67925662580324</v>
      </c>
      <c r="L506" s="27" t="n">
        <f aca="false">AVERAGE(F506,G506)</f>
        <v>-4.67669297349076</v>
      </c>
      <c r="M506" s="27" t="n">
        <f aca="false">MAX(0,NG-L506)</f>
        <v>3.97669297349076</v>
      </c>
      <c r="N506" s="27" t="n">
        <f aca="false">MAX(0,GWL-K506)</f>
        <v>3.17925662580324</v>
      </c>
      <c r="O506" s="27" t="n">
        <f aca="false">MAX(0,NG-MAX(K506,GWL))</f>
        <v>0.8</v>
      </c>
      <c r="P506" s="27" t="n">
        <f aca="false">E506/2+WS+SLOPE_A*O506+SLOPE_B*N506</f>
        <v>9.15851121178445</v>
      </c>
      <c r="Q506" s="28" t="str">
        <f aca="false">IF(AND(P506&lt;J506,N506&lt;=MAXOC),"Open cut","Shoring")</f>
        <v>Shoring</v>
      </c>
      <c r="R506" s="27" t="n">
        <f aca="false">IF(Q506="Shoring",D506,0)</f>
        <v>10.0000000000891</v>
      </c>
      <c r="S506" s="27" t="n">
        <f aca="false">MAX(0,GWL-L506)</f>
        <v>3.17669297349076</v>
      </c>
      <c r="T506" s="27" t="n">
        <f aca="false">MAX(0,NG-MAX(L506,GWL))</f>
        <v>0.8</v>
      </c>
      <c r="U506" s="27" t="n">
        <f aca="false">E506+2*WS</f>
        <v>3.19999592035593</v>
      </c>
      <c r="V506" s="27" t="n">
        <f aca="false">IF(Q506="Shoring",D506*M506*U506,0)</f>
        <v>127.254012917919</v>
      </c>
      <c r="W506" s="27" t="n">
        <f aca="false">IF(Q506="Open cut",D506*(U506*M506+SLOPE_B*S506^2+2*SLOPE_B*S506*T506+SLOPE_A*T506^2),0)</f>
        <v>0</v>
      </c>
      <c r="X506" s="27" t="n">
        <f aca="false">IF(M506&gt;0,D506*(E506+2*SLABOVH)*SLAB,0)</f>
        <v>10.9999796018776</v>
      </c>
      <c r="Y506" s="27" t="n">
        <f aca="false">IF(M506&gt;0,D506*PI()*E506^2/4,0)</f>
        <v>11.3096566536756</v>
      </c>
      <c r="Z506" s="27" t="n">
        <f aca="false">IF(H506-E506&gt;=GWL,99,E506*(MAX(0,GWL-H506)*(GAM_S-GAM_W)+MAX(0,NG-MAX(H506,GWL))*GAM_D)/(GAM_W*PI()*E506^2/4))</f>
        <v>2.86330099362903</v>
      </c>
      <c r="AA506" s="27" t="n">
        <f aca="false">IF(I506-E506&gt;=GWL,99,E506*(MAX(0,GWL-I506)*(GAM_S-GAM_W)+MAX(0,NG-MAX(I506,GWL))*GAM_D)/(GAM_W*PI()*E506^2/4))</f>
        <v>2.86784286012188</v>
      </c>
      <c r="AB506" s="27" t="n">
        <f aca="false">IF(H506-E506&gt;=GWL,99,E506*(MAX(0,GWL-H506)*(GAM_S-GAM_W)+MAX(0,FL-MAX(H506,GWL))*GAM_D)/(GAM_W*PI()*E506^2/4))</f>
        <v>6.1729563220042</v>
      </c>
      <c r="AC506" s="27" t="n">
        <f aca="false">IF(I506-E506&gt;=GWL,99,E506*(MAX(0,GWL-I506)*(GAM_S-GAM_W)+MAX(0,FL-MAX(I506,GWL))*GAM_D)/(GAM_W*PI()*E506^2/4))</f>
        <v>6.17749818849704</v>
      </c>
    </row>
    <row r="507" customFormat="false" ht="15" hidden="false" customHeight="false" outlineLevel="0" collapsed="false">
      <c r="A507" s="25" t="s">
        <v>993</v>
      </c>
      <c r="B507" s="25" t="s">
        <v>1021</v>
      </c>
      <c r="C507" s="25" t="s">
        <v>1026</v>
      </c>
      <c r="D507" s="26" t="n">
        <v>9.99999999985626</v>
      </c>
      <c r="E507" s="26" t="n">
        <v>1.19999592035593</v>
      </c>
      <c r="F507" s="26" t="n">
        <v>-4.67925662580324</v>
      </c>
      <c r="G507" s="26" t="n">
        <v>-4.6843839304282</v>
      </c>
      <c r="H507" s="26" t="n">
        <v>-2.97926070544731</v>
      </c>
      <c r="I507" s="26" t="n">
        <v>-2.98438801007227</v>
      </c>
      <c r="J507" s="26" t="n">
        <v>4.13</v>
      </c>
      <c r="K507" s="27" t="n">
        <f aca="false">MIN(F507,G507)</f>
        <v>-4.6843839304282</v>
      </c>
      <c r="L507" s="27" t="n">
        <f aca="false">AVERAGE(F507,G507)</f>
        <v>-4.68182027811572</v>
      </c>
      <c r="M507" s="27" t="n">
        <f aca="false">MAX(0,NG-L507)</f>
        <v>3.98182027811572</v>
      </c>
      <c r="N507" s="27" t="n">
        <f aca="false">MAX(0,GWL-K507)</f>
        <v>3.1843839304282</v>
      </c>
      <c r="O507" s="27" t="n">
        <f aca="false">MAX(0,NG-MAX(K507,GWL))</f>
        <v>0.8</v>
      </c>
      <c r="P507" s="27" t="n">
        <f aca="false">E507/2+WS+SLOPE_A*O507+SLOPE_B*N507</f>
        <v>9.16876582103436</v>
      </c>
      <c r="Q507" s="28" t="str">
        <f aca="false">IF(AND(P507&lt;J507,N507&lt;=MAXOC),"Open cut","Shoring")</f>
        <v>Shoring</v>
      </c>
      <c r="R507" s="27" t="n">
        <f aca="false">IF(Q507="Shoring",D507,0)</f>
        <v>9.99999999985626</v>
      </c>
      <c r="S507" s="27" t="n">
        <f aca="false">MAX(0,GWL-L507)</f>
        <v>3.18182027811572</v>
      </c>
      <c r="T507" s="27" t="n">
        <f aca="false">MAX(0,NG-MAX(L507,GWL))</f>
        <v>0.8</v>
      </c>
      <c r="U507" s="27" t="n">
        <f aca="false">E507+2*WS</f>
        <v>3.19999592035593</v>
      </c>
      <c r="V507" s="27" t="n">
        <f aca="false">IF(Q507="Shoring",D507*M507*U507,0)</f>
        <v>127.418086453777</v>
      </c>
      <c r="W507" s="27" t="n">
        <f aca="false">IF(Q507="Open cut",D507*(U507*M507+SLOPE_B*S507^2+2*SLOPE_B*S507*T507+SLOPE_A*T507^2),0)</f>
        <v>0</v>
      </c>
      <c r="X507" s="27" t="n">
        <f aca="false">IF(M507&gt;0,D507*(E507+2*SLABOVH)*SLAB,0)</f>
        <v>10.9999796016215</v>
      </c>
      <c r="Y507" s="27" t="n">
        <f aca="false">IF(M507&gt;0,D507*PI()*E507^2/4,0)</f>
        <v>11.3096566534123</v>
      </c>
      <c r="Z507" s="27" t="n">
        <f aca="false">IF(H507-E507&gt;=GWL,99,E507*(MAX(0,GWL-H507)*(GAM_S-GAM_W)+MAX(0,NG-MAX(H507,GWL))*GAM_D)/(GAM_W*PI()*E507^2/4))</f>
        <v>2.86784286012188</v>
      </c>
      <c r="AA507" s="27" t="n">
        <f aca="false">IF(I507-E507&gt;=GWL,99,E507*(MAX(0,GWL-I507)*(GAM_S-GAM_W)+MAX(0,NG-MAX(I507,GWL))*GAM_D)/(GAM_W*PI()*E507^2/4))</f>
        <v>2.87238472661473</v>
      </c>
      <c r="AB507" s="27" t="n">
        <f aca="false">IF(H507-E507&gt;=GWL,99,E507*(MAX(0,GWL-H507)*(GAM_S-GAM_W)+MAX(0,FL-MAX(H507,GWL))*GAM_D)/(GAM_W*PI()*E507^2/4))</f>
        <v>6.17749818849704</v>
      </c>
      <c r="AC507" s="27" t="n">
        <f aca="false">IF(I507-E507&gt;=GWL,99,E507*(MAX(0,GWL-I507)*(GAM_S-GAM_W)+MAX(0,FL-MAX(I507,GWL))*GAM_D)/(GAM_W*PI()*E507^2/4))</f>
        <v>6.1820400549899</v>
      </c>
    </row>
    <row r="508" customFormat="false" ht="15" hidden="false" customHeight="false" outlineLevel="0" collapsed="false">
      <c r="A508" s="25" t="s">
        <v>993</v>
      </c>
      <c r="B508" s="25" t="s">
        <v>1021</v>
      </c>
      <c r="C508" s="25" t="s">
        <v>1027</v>
      </c>
      <c r="D508" s="26" t="n">
        <v>2.21174639075717</v>
      </c>
      <c r="E508" s="26" t="n">
        <v>1.19999592035593</v>
      </c>
      <c r="F508" s="26" t="n">
        <v>-4.6843839304282</v>
      </c>
      <c r="G508" s="26" t="n">
        <v>-4.68551796017796</v>
      </c>
      <c r="H508" s="26" t="n">
        <v>-2.98438801007227</v>
      </c>
      <c r="I508" s="26" t="n">
        <v>-2.98552203982204</v>
      </c>
      <c r="J508" s="26" t="n">
        <v>7.1</v>
      </c>
      <c r="K508" s="27" t="n">
        <f aca="false">MIN(F508,G508)</f>
        <v>-4.68551796017796</v>
      </c>
      <c r="L508" s="27" t="n">
        <f aca="false">AVERAGE(F508,G508)</f>
        <v>-4.68495094530308</v>
      </c>
      <c r="M508" s="27" t="n">
        <f aca="false">MAX(0,NG-L508)</f>
        <v>3.98495094530308</v>
      </c>
      <c r="N508" s="27" t="n">
        <f aca="false">MAX(0,GWL-K508)</f>
        <v>3.18551796017796</v>
      </c>
      <c r="O508" s="27" t="n">
        <f aca="false">MAX(0,NG-MAX(K508,GWL))</f>
        <v>0.8</v>
      </c>
      <c r="P508" s="27" t="n">
        <f aca="false">E508/2+WS+SLOPE_A*O508+SLOPE_B*N508</f>
        <v>9.17103388053389</v>
      </c>
      <c r="Q508" s="28" t="str">
        <f aca="false">IF(AND(P508&lt;J508,N508&lt;=MAXOC),"Open cut","Shoring")</f>
        <v>Shoring</v>
      </c>
      <c r="R508" s="27" t="n">
        <f aca="false">IF(Q508="Shoring",D508,0)</f>
        <v>2.21174639075717</v>
      </c>
      <c r="S508" s="27" t="n">
        <f aca="false">MAX(0,GWL-L508)</f>
        <v>3.18495094530308</v>
      </c>
      <c r="T508" s="27" t="n">
        <f aca="false">MAX(0,NG-MAX(L508,GWL))</f>
        <v>0.8</v>
      </c>
      <c r="U508" s="27" t="n">
        <f aca="false">E508+2*WS</f>
        <v>3.19999592035593</v>
      </c>
      <c r="V508" s="27" t="n">
        <f aca="false">IF(Q508="Shoring",D508*M508*U508,0)</f>
        <v>28.2038068292166</v>
      </c>
      <c r="W508" s="27" t="n">
        <f aca="false">IF(Q508="Open cut",D508*(U508*M508+SLOPE_B*S508^2+2*SLOPE_B*S508*T508+SLOPE_A*T508^2),0)</f>
        <v>0</v>
      </c>
      <c r="X508" s="27" t="n">
        <f aca="false">IF(M508&gt;0,D508*(E508+2*SLABOVH)*SLAB,0)</f>
        <v>2.43291651826386</v>
      </c>
      <c r="Y508" s="27" t="n">
        <f aca="false">IF(M508&gt;0,D508*PI()*E508^2/4,0)</f>
        <v>2.50140922842471</v>
      </c>
      <c r="Z508" s="27" t="n">
        <f aca="false">IF(H508-E508&gt;=GWL,99,E508*(MAX(0,GWL-H508)*(GAM_S-GAM_W)+MAX(0,NG-MAX(H508,GWL))*GAM_D)/(GAM_W*PI()*E508^2/4))</f>
        <v>2.87238472661473</v>
      </c>
      <c r="AA508" s="27" t="n">
        <f aca="false">IF(I508-E508&gt;=GWL,99,E508*(MAX(0,GWL-I508)*(GAM_S-GAM_W)+MAX(0,NG-MAX(I508,GWL))*GAM_D)/(GAM_W*PI()*E508^2/4))</f>
        <v>2.87338927229694</v>
      </c>
      <c r="AB508" s="27" t="n">
        <f aca="false">IF(H508-E508&gt;=GWL,99,E508*(MAX(0,GWL-H508)*(GAM_S-GAM_W)+MAX(0,FL-MAX(H508,GWL))*GAM_D)/(GAM_W*PI()*E508^2/4))</f>
        <v>6.1820400549899</v>
      </c>
      <c r="AC508" s="27" t="n">
        <f aca="false">IF(I508-E508&gt;=GWL,99,E508*(MAX(0,GWL-I508)*(GAM_S-GAM_W)+MAX(0,FL-MAX(I508,GWL))*GAM_D)/(GAM_W*PI()*E508^2/4))</f>
        <v>6.1830446006721</v>
      </c>
    </row>
    <row r="509" customFormat="false" ht="15" hidden="false" customHeight="false" outlineLevel="0" collapsed="false">
      <c r="A509" s="25" t="s">
        <v>993</v>
      </c>
      <c r="B509" s="25" t="s">
        <v>1021</v>
      </c>
      <c r="C509" s="25" t="s">
        <v>1028</v>
      </c>
      <c r="D509" s="26" t="n">
        <v>1.00501695616591</v>
      </c>
      <c r="E509" s="26" t="n">
        <v>1.19999592035593</v>
      </c>
      <c r="F509" s="26" t="n">
        <v>-4.68551796017796</v>
      </c>
      <c r="G509" s="26" t="n">
        <v>-4.68603796017796</v>
      </c>
      <c r="H509" s="26" t="n">
        <v>-2.98552203982204</v>
      </c>
      <c r="I509" s="26" t="n">
        <v>-2.98604203982204</v>
      </c>
      <c r="J509" s="26" t="n">
        <v>8.09</v>
      </c>
      <c r="K509" s="27" t="n">
        <f aca="false">MIN(F509,G509)</f>
        <v>-4.68603796017796</v>
      </c>
      <c r="L509" s="27" t="n">
        <f aca="false">AVERAGE(F509,G509)</f>
        <v>-4.68577796017796</v>
      </c>
      <c r="M509" s="27" t="n">
        <f aca="false">MAX(0,NG-L509)</f>
        <v>3.98577796017796</v>
      </c>
      <c r="N509" s="27" t="n">
        <f aca="false">MAX(0,GWL-K509)</f>
        <v>3.18603796017796</v>
      </c>
      <c r="O509" s="27" t="n">
        <f aca="false">MAX(0,NG-MAX(K509,GWL))</f>
        <v>0.8</v>
      </c>
      <c r="P509" s="27" t="n">
        <f aca="false">E509/2+WS+SLOPE_A*O509+SLOPE_B*N509</f>
        <v>9.17207388053389</v>
      </c>
      <c r="Q509" s="28" t="str">
        <f aca="false">IF(AND(P509&lt;J509,N509&lt;=MAXOC),"Open cut","Shoring")</f>
        <v>Shoring</v>
      </c>
      <c r="R509" s="27" t="n">
        <f aca="false">IF(Q509="Shoring",D509,0)</f>
        <v>1.00501695616591</v>
      </c>
      <c r="S509" s="27" t="n">
        <f aca="false">MAX(0,GWL-L509)</f>
        <v>3.18577796017796</v>
      </c>
      <c r="T509" s="27" t="n">
        <f aca="false">MAX(0,NG-MAX(L509,GWL))</f>
        <v>0.8</v>
      </c>
      <c r="U509" s="27" t="n">
        <f aca="false">E509+2*WS</f>
        <v>3.19999592035593</v>
      </c>
      <c r="V509" s="27" t="n">
        <f aca="false">IF(Q509="Shoring",D509*M509*U509,0)</f>
        <v>12.818461845038</v>
      </c>
      <c r="W509" s="27" t="n">
        <f aca="false">IF(Q509="Open cut",D509*(U509*M509+SLOPE_B*S509^2+2*SLOPE_B*S509*T509+SLOPE_A*T509^2),0)</f>
        <v>0</v>
      </c>
      <c r="X509" s="27" t="n">
        <f aca="false">IF(M509&gt;0,D509*(E509+2*SLABOVH)*SLAB,0)</f>
        <v>1.10551660172676</v>
      </c>
      <c r="Y509" s="27" t="n">
        <f aca="false">IF(M509&gt;0,D509*PI()*E509^2/4,0)</f>
        <v>1.13663967052573</v>
      </c>
      <c r="Z509" s="27" t="n">
        <f aca="false">IF(H509-E509&gt;=GWL,99,E509*(MAX(0,GWL-H509)*(GAM_S-GAM_W)+MAX(0,NG-MAX(H509,GWL))*GAM_D)/(GAM_W*PI()*E509^2/4))</f>
        <v>2.87338927229694</v>
      </c>
      <c r="AA509" s="27" t="n">
        <f aca="false">IF(I509-E509&gt;=GWL,99,E509*(MAX(0,GWL-I509)*(GAM_S-GAM_W)+MAX(0,NG-MAX(I509,GWL))*GAM_D)/(GAM_W*PI()*E509^2/4))</f>
        <v>2.87384989844441</v>
      </c>
      <c r="AB509" s="27" t="n">
        <f aca="false">IF(H509-E509&gt;=GWL,99,E509*(MAX(0,GWL-H509)*(GAM_S-GAM_W)+MAX(0,FL-MAX(H509,GWL))*GAM_D)/(GAM_W*PI()*E509^2/4))</f>
        <v>6.1830446006721</v>
      </c>
      <c r="AC509" s="27" t="n">
        <f aca="false">IF(I509-E509&gt;=GWL,99,E509*(MAX(0,GWL-I509)*(GAM_S-GAM_W)+MAX(0,FL-MAX(I509,GWL))*GAM_D)/(GAM_W*PI()*E509^2/4))</f>
        <v>6.18350522681957</v>
      </c>
    </row>
    <row r="510" customFormat="false" ht="15" hidden="false" customHeight="false" outlineLevel="0" collapsed="false">
      <c r="A510" s="25" t="s">
        <v>993</v>
      </c>
      <c r="B510" s="25" t="s">
        <v>1021</v>
      </c>
      <c r="C510" s="25" t="s">
        <v>1029</v>
      </c>
      <c r="D510" s="26" t="n">
        <v>1.00497999983631</v>
      </c>
      <c r="E510" s="26" t="n">
        <v>1.19998864428637</v>
      </c>
      <c r="F510" s="26" t="n">
        <v>-4.68603432214319</v>
      </c>
      <c r="G510" s="26" t="n">
        <v>-4.68654432214319</v>
      </c>
      <c r="H510" s="26" t="n">
        <v>-2.98604567785681</v>
      </c>
      <c r="I510" s="26" t="n">
        <v>-2.98655567785681</v>
      </c>
      <c r="J510" s="26" t="n">
        <v>8.32</v>
      </c>
      <c r="K510" s="27" t="n">
        <f aca="false">MIN(F510,G510)</f>
        <v>-4.68654432214319</v>
      </c>
      <c r="L510" s="27" t="n">
        <f aca="false">AVERAGE(F510,G510)</f>
        <v>-4.68628932214319</v>
      </c>
      <c r="M510" s="27" t="n">
        <f aca="false">MAX(0,NG-L510)</f>
        <v>3.98628932214319</v>
      </c>
      <c r="N510" s="27" t="n">
        <f aca="false">MAX(0,GWL-K510)</f>
        <v>3.18654432214319</v>
      </c>
      <c r="O510" s="27" t="n">
        <f aca="false">MAX(0,NG-MAX(K510,GWL))</f>
        <v>0.8</v>
      </c>
      <c r="P510" s="27" t="n">
        <f aca="false">E510/2+WS+SLOPE_A*O510+SLOPE_B*N510</f>
        <v>9.17308296642956</v>
      </c>
      <c r="Q510" s="28" t="str">
        <f aca="false">IF(AND(P510&lt;J510,N510&lt;=MAXOC),"Open cut","Shoring")</f>
        <v>Shoring</v>
      </c>
      <c r="R510" s="27" t="n">
        <f aca="false">IF(Q510="Shoring",D510,0)</f>
        <v>1.00497999983631</v>
      </c>
      <c r="S510" s="27" t="n">
        <f aca="false">MAX(0,GWL-L510)</f>
        <v>3.18628932214319</v>
      </c>
      <c r="T510" s="27" t="n">
        <f aca="false">MAX(0,NG-MAX(L510,GWL))</f>
        <v>0.8</v>
      </c>
      <c r="U510" s="27" t="n">
        <f aca="false">E510+2*WS</f>
        <v>3.19998864428637</v>
      </c>
      <c r="V510" s="27" t="n">
        <f aca="false">IF(Q510="Shoring",D510*M510*U510,0)</f>
        <v>12.8196058428174</v>
      </c>
      <c r="W510" s="27" t="n">
        <f aca="false">IF(Q510="Open cut",D510*(U510*M510+SLOPE_B*S510^2+2*SLOPE_B*S510*T510+SLOPE_A*T510^2),0)</f>
        <v>0</v>
      </c>
      <c r="X510" s="27" t="n">
        <f aca="false">IF(M510&gt;0,D510*(E510+2*SLABOVH)*SLAB,0)</f>
        <v>1.1054722936874</v>
      </c>
      <c r="Y510" s="27" t="n">
        <f aca="false">IF(M510&gt;0,D510*PI()*E510^2/4,0)</f>
        <v>1.13658409090545</v>
      </c>
      <c r="Z510" s="27" t="n">
        <f aca="false">IF(H510-E510&gt;=GWL,99,E510*(MAX(0,GWL-H510)*(GAM_S-GAM_W)+MAX(0,NG-MAX(H510,GWL))*GAM_D)/(GAM_W*PI()*E510^2/4))</f>
        <v>2.8738705465475</v>
      </c>
      <c r="AA510" s="27" t="n">
        <f aca="false">IF(I510-E510&gt;=GWL,99,E510*(MAX(0,GWL-I510)*(GAM_S-GAM_W)+MAX(0,NG-MAX(I510,GWL))*GAM_D)/(GAM_W*PI()*E510^2/4))</f>
        <v>2.8743223172391</v>
      </c>
      <c r="AB510" s="27" t="n">
        <f aca="false">IF(H510-E510&gt;=GWL,99,E510*(MAX(0,GWL-H510)*(GAM_S-GAM_W)+MAX(0,FL-MAX(H510,GWL))*GAM_D)/(GAM_W*PI()*E510^2/4))</f>
        <v>6.18354594284788</v>
      </c>
      <c r="AC510" s="27" t="n">
        <f aca="false">IF(I510-E510&gt;=GWL,99,E510*(MAX(0,GWL-I510)*(GAM_S-GAM_W)+MAX(0,FL-MAX(I510,GWL))*GAM_D)/(GAM_W*PI()*E510^2/4))</f>
        <v>6.18399771353948</v>
      </c>
    </row>
    <row r="511" customFormat="false" ht="15" hidden="false" customHeight="false" outlineLevel="0" collapsed="false">
      <c r="A511" s="25" t="s">
        <v>993</v>
      </c>
      <c r="B511" s="25" t="s">
        <v>1021</v>
      </c>
      <c r="C511" s="25" t="s">
        <v>1030</v>
      </c>
      <c r="D511" s="26" t="n">
        <v>5.77825665306228</v>
      </c>
      <c r="E511" s="26" t="n">
        <v>1.19998864428637</v>
      </c>
      <c r="F511" s="26" t="n">
        <v>-4.68654432214319</v>
      </c>
      <c r="G511" s="26" t="n">
        <v>-4.68950832795293</v>
      </c>
      <c r="H511" s="26" t="n">
        <v>-2.98655567785681</v>
      </c>
      <c r="I511" s="26" t="n">
        <v>-2.98951968366656</v>
      </c>
      <c r="J511" s="26" t="n">
        <v>7.35</v>
      </c>
      <c r="K511" s="27" t="n">
        <f aca="false">MIN(F511,G511)</f>
        <v>-4.68950832795293</v>
      </c>
      <c r="L511" s="27" t="n">
        <f aca="false">AVERAGE(F511,G511)</f>
        <v>-4.68802632504806</v>
      </c>
      <c r="M511" s="27" t="n">
        <f aca="false">MAX(0,NG-L511)</f>
        <v>3.98802632504806</v>
      </c>
      <c r="N511" s="27" t="n">
        <f aca="false">MAX(0,GWL-K511)</f>
        <v>3.18950832795293</v>
      </c>
      <c r="O511" s="27" t="n">
        <f aca="false">MAX(0,NG-MAX(K511,GWL))</f>
        <v>0.8</v>
      </c>
      <c r="P511" s="27" t="n">
        <f aca="false">E511/2+WS+SLOPE_A*O511+SLOPE_B*N511</f>
        <v>9.17901097804905</v>
      </c>
      <c r="Q511" s="28" t="str">
        <f aca="false">IF(AND(P511&lt;J511,N511&lt;=MAXOC),"Open cut","Shoring")</f>
        <v>Shoring</v>
      </c>
      <c r="R511" s="27" t="n">
        <f aca="false">IF(Q511="Shoring",D511,0)</f>
        <v>5.77825665306228</v>
      </c>
      <c r="S511" s="27" t="n">
        <f aca="false">MAX(0,GWL-L511)</f>
        <v>3.18802632504806</v>
      </c>
      <c r="T511" s="27" t="n">
        <f aca="false">MAX(0,NG-MAX(L511,GWL))</f>
        <v>0.8</v>
      </c>
      <c r="U511" s="27" t="n">
        <f aca="false">E511+2*WS</f>
        <v>3.19998864428637</v>
      </c>
      <c r="V511" s="27" t="n">
        <f aca="false">IF(Q511="Shoring",D511*M511*U511,0)</f>
        <v>73.7400251857047</v>
      </c>
      <c r="W511" s="27" t="n">
        <f aca="false">IF(Q511="Open cut",D511*(U511*M511+SLOPE_B*S511^2+2*SLOPE_B*S511*T511+SLOPE_A*T511^2),0)</f>
        <v>0</v>
      </c>
      <c r="X511" s="27" t="n">
        <f aca="false">IF(M511&gt;0,D511*(E511+2*SLABOVH)*SLAB,0)</f>
        <v>6.3560495102546</v>
      </c>
      <c r="Y511" s="27" t="n">
        <f aca="false">IF(M511&gt;0,D511*PI()*E511^2/4,0)</f>
        <v>6.53493063156369</v>
      </c>
      <c r="Z511" s="27" t="n">
        <f aca="false">IF(H511-E511&gt;=GWL,99,E511*(MAX(0,GWL-H511)*(GAM_S-GAM_W)+MAX(0,NG-MAX(H511,GWL))*GAM_D)/(GAM_W*PI()*E511^2/4))</f>
        <v>2.8743223172391</v>
      </c>
      <c r="AA511" s="27" t="n">
        <f aca="false">IF(I511-E511&gt;=GWL,99,E511*(MAX(0,GWL-I511)*(GAM_S-GAM_W)+MAX(0,NG-MAX(I511,GWL))*GAM_D)/(GAM_W*PI()*E511^2/4))</f>
        <v>2.87694790734608</v>
      </c>
      <c r="AB511" s="27" t="n">
        <f aca="false">IF(H511-E511&gt;=GWL,99,E511*(MAX(0,GWL-H511)*(GAM_S-GAM_W)+MAX(0,FL-MAX(H511,GWL))*GAM_D)/(GAM_W*PI()*E511^2/4))</f>
        <v>6.18399771353948</v>
      </c>
      <c r="AC511" s="27" t="n">
        <f aca="false">IF(I511-E511&gt;=GWL,99,E511*(MAX(0,GWL-I511)*(GAM_S-GAM_W)+MAX(0,FL-MAX(I511,GWL))*GAM_D)/(GAM_W*PI()*E511^2/4))</f>
        <v>6.18662330364646</v>
      </c>
    </row>
    <row r="512" customFormat="false" ht="15" hidden="false" customHeight="false" outlineLevel="0" collapsed="false">
      <c r="A512" s="25" t="s">
        <v>993</v>
      </c>
      <c r="B512" s="25" t="s">
        <v>1021</v>
      </c>
      <c r="C512" s="25" t="s">
        <v>1031</v>
      </c>
      <c r="D512" s="26" t="n">
        <v>10.0000000004319</v>
      </c>
      <c r="E512" s="26" t="n">
        <v>1.19998864428637</v>
      </c>
      <c r="F512" s="26" t="n">
        <v>-4.68950832795293</v>
      </c>
      <c r="G512" s="26" t="n">
        <v>-4.69463791285636</v>
      </c>
      <c r="H512" s="26" t="n">
        <v>-2.98951968366656</v>
      </c>
      <c r="I512" s="26" t="n">
        <v>-2.99464926856998</v>
      </c>
      <c r="J512" s="26" t="n">
        <v>7.2</v>
      </c>
      <c r="K512" s="27" t="n">
        <f aca="false">MIN(F512,G512)</f>
        <v>-4.69463791285636</v>
      </c>
      <c r="L512" s="27" t="n">
        <f aca="false">AVERAGE(F512,G512)</f>
        <v>-4.69207312040464</v>
      </c>
      <c r="M512" s="27" t="n">
        <f aca="false">MAX(0,NG-L512)</f>
        <v>3.99207312040464</v>
      </c>
      <c r="N512" s="27" t="n">
        <f aca="false">MAX(0,GWL-K512)</f>
        <v>3.19463791285636</v>
      </c>
      <c r="O512" s="27" t="n">
        <f aca="false">MAX(0,NG-MAX(K512,GWL))</f>
        <v>0.8</v>
      </c>
      <c r="P512" s="27" t="n">
        <f aca="false">E512/2+WS+SLOPE_A*O512+SLOPE_B*N512</f>
        <v>9.1892701478559</v>
      </c>
      <c r="Q512" s="28" t="str">
        <f aca="false">IF(AND(P512&lt;J512,N512&lt;=MAXOC),"Open cut","Shoring")</f>
        <v>Shoring</v>
      </c>
      <c r="R512" s="27" t="n">
        <f aca="false">IF(Q512="Shoring",D512,0)</f>
        <v>10.0000000004319</v>
      </c>
      <c r="S512" s="27" t="n">
        <f aca="false">MAX(0,GWL-L512)</f>
        <v>3.19207312040464</v>
      </c>
      <c r="T512" s="27" t="n">
        <f aca="false">MAX(0,NG-MAX(L512,GWL))</f>
        <v>0.8</v>
      </c>
      <c r="U512" s="27" t="n">
        <f aca="false">E512+2*WS</f>
        <v>3.19998864428637</v>
      </c>
      <c r="V512" s="27" t="n">
        <f aca="false">IF(Q512="Shoring",D512*M512*U512,0)</f>
        <v>127.745886530075</v>
      </c>
      <c r="W512" s="27" t="n">
        <f aca="false">IF(Q512="Open cut",D512*(U512*M512+SLOPE_B*S512^2+2*SLOPE_B*S512*T512+SLOPE_A*T512^2),0)</f>
        <v>0</v>
      </c>
      <c r="X512" s="27" t="n">
        <f aca="false">IF(M512&gt;0,D512*(E512+2*SLABOVH)*SLAB,0)</f>
        <v>10.999943221907</v>
      </c>
      <c r="Y512" s="27" t="n">
        <f aca="false">IF(M512&gt;0,D512*PI()*E512^2/4,0)</f>
        <v>11.3095195042655</v>
      </c>
      <c r="Z512" s="27" t="n">
        <f aca="false">IF(H512-E512&gt;=GWL,99,E512*(MAX(0,GWL-H512)*(GAM_S-GAM_W)+MAX(0,NG-MAX(H512,GWL))*GAM_D)/(GAM_W*PI()*E512^2/4))</f>
        <v>2.87694790734608</v>
      </c>
      <c r="AA512" s="27" t="n">
        <f aca="false">IF(I512-E512&gt;=GWL,99,E512*(MAX(0,GWL-I512)*(GAM_S-GAM_W)+MAX(0,NG-MAX(I512,GWL))*GAM_D)/(GAM_W*PI()*E512^2/4))</f>
        <v>2.88149182130572</v>
      </c>
      <c r="AB512" s="27" t="n">
        <f aca="false">IF(H512-E512&gt;=GWL,99,E512*(MAX(0,GWL-H512)*(GAM_S-GAM_W)+MAX(0,FL-MAX(H512,GWL))*GAM_D)/(GAM_W*PI()*E512^2/4))</f>
        <v>6.18662330364646</v>
      </c>
      <c r="AC512" s="27" t="n">
        <f aca="false">IF(I512-E512&gt;=GWL,99,E512*(MAX(0,GWL-I512)*(GAM_S-GAM_W)+MAX(0,FL-MAX(I512,GWL))*GAM_D)/(GAM_W*PI()*E512^2/4))</f>
        <v>6.1911672176061</v>
      </c>
    </row>
    <row r="513" customFormat="false" ht="15" hidden="false" customHeight="false" outlineLevel="0" collapsed="false">
      <c r="A513" s="25" t="s">
        <v>993</v>
      </c>
      <c r="B513" s="25" t="s">
        <v>1021</v>
      </c>
      <c r="C513" s="25" t="s">
        <v>1032</v>
      </c>
      <c r="D513" s="26" t="n">
        <v>6.48475334635498</v>
      </c>
      <c r="E513" s="26" t="n">
        <v>1.19998864428637</v>
      </c>
      <c r="F513" s="26" t="n">
        <v>-4.69463791285636</v>
      </c>
      <c r="G513" s="26" t="n">
        <v>-4.69796432214319</v>
      </c>
      <c r="H513" s="26" t="n">
        <v>-2.99464926856998</v>
      </c>
      <c r="I513" s="26" t="n">
        <v>-2.99797567785681</v>
      </c>
      <c r="J513" s="26" t="n">
        <v>7.82</v>
      </c>
      <c r="K513" s="27" t="n">
        <f aca="false">MIN(F513,G513)</f>
        <v>-4.69796432214319</v>
      </c>
      <c r="L513" s="27" t="n">
        <f aca="false">AVERAGE(F513,G513)</f>
        <v>-4.69630111749977</v>
      </c>
      <c r="M513" s="27" t="n">
        <f aca="false">MAX(0,NG-L513)</f>
        <v>3.99630111749977</v>
      </c>
      <c r="N513" s="27" t="n">
        <f aca="false">MAX(0,GWL-K513)</f>
        <v>3.19796432214319</v>
      </c>
      <c r="O513" s="27" t="n">
        <f aca="false">MAX(0,NG-MAX(K513,GWL))</f>
        <v>0.8</v>
      </c>
      <c r="P513" s="27" t="n">
        <f aca="false">E513/2+WS+SLOPE_A*O513+SLOPE_B*N513</f>
        <v>9.19592296642956</v>
      </c>
      <c r="Q513" s="28" t="str">
        <f aca="false">IF(AND(P513&lt;J513,N513&lt;=MAXOC),"Open cut","Shoring")</f>
        <v>Shoring</v>
      </c>
      <c r="R513" s="27" t="n">
        <f aca="false">IF(Q513="Shoring",D513,0)</f>
        <v>6.48475334635498</v>
      </c>
      <c r="S513" s="27" t="n">
        <f aca="false">MAX(0,GWL-L513)</f>
        <v>3.19630111749977</v>
      </c>
      <c r="T513" s="27" t="n">
        <f aca="false">MAX(0,NG-MAX(L513,GWL))</f>
        <v>0.8</v>
      </c>
      <c r="U513" s="27" t="n">
        <f aca="false">E513+2*WS</f>
        <v>3.19998864428637</v>
      </c>
      <c r="V513" s="27" t="n">
        <f aca="false">IF(Q513="Shoring",D513*M513*U513,0)</f>
        <v>82.9277922595703</v>
      </c>
      <c r="W513" s="27" t="n">
        <f aca="false">IF(Q513="Open cut",D513*(U513*M513+SLOPE_B*S513^2+2*SLOPE_B*S513*T513+SLOPE_A*T513^2),0)</f>
        <v>0</v>
      </c>
      <c r="X513" s="27" t="n">
        <f aca="false">IF(M513&gt;0,D513*(E513+2*SLABOVH)*SLAB,0)</f>
        <v>7.1331918614895</v>
      </c>
      <c r="Y513" s="27" t="n">
        <f aca="false">IF(M513&gt;0,D513*PI()*E513^2/4,0)</f>
        <v>7.33394444477847</v>
      </c>
      <c r="Z513" s="27" t="n">
        <f aca="false">IF(H513-E513&gt;=GWL,99,E513*(MAX(0,GWL-H513)*(GAM_S-GAM_W)+MAX(0,NG-MAX(H513,GWL))*GAM_D)/(GAM_W*PI()*E513^2/4))</f>
        <v>2.88149182130572</v>
      </c>
      <c r="AA513" s="27" t="n">
        <f aca="false">IF(I513-E513&gt;=GWL,99,E513*(MAX(0,GWL-I513)*(GAM_S-GAM_W)+MAX(0,NG-MAX(I513,GWL))*GAM_D)/(GAM_W*PI()*E513^2/4))</f>
        <v>2.88443843743129</v>
      </c>
      <c r="AB513" s="27" t="n">
        <f aca="false">IF(H513-E513&gt;=GWL,99,E513*(MAX(0,GWL-H513)*(GAM_S-GAM_W)+MAX(0,FL-MAX(H513,GWL))*GAM_D)/(GAM_W*PI()*E513^2/4))</f>
        <v>6.1911672176061</v>
      </c>
      <c r="AC513" s="27" t="n">
        <f aca="false">IF(I513-E513&gt;=GWL,99,E513*(MAX(0,GWL-I513)*(GAM_S-GAM_W)+MAX(0,FL-MAX(I513,GWL))*GAM_D)/(GAM_W*PI()*E513^2/4))</f>
        <v>6.19411383373166</v>
      </c>
    </row>
    <row r="514" customFormat="false" ht="15" hidden="false" customHeight="false" outlineLevel="0" collapsed="false">
      <c r="A514" s="25" t="s">
        <v>993</v>
      </c>
      <c r="B514" s="25" t="s">
        <v>1021</v>
      </c>
      <c r="C514" s="25" t="s">
        <v>1033</v>
      </c>
      <c r="D514" s="26" t="n">
        <v>1.97800647386986</v>
      </c>
      <c r="E514" s="26" t="n">
        <v>1.19999533036076</v>
      </c>
      <c r="F514" s="26" t="n">
        <v>-4.69796766518038</v>
      </c>
      <c r="G514" s="26" t="n">
        <v>-4.69898766518038</v>
      </c>
      <c r="H514" s="26" t="n">
        <v>-2.99797233481962</v>
      </c>
      <c r="I514" s="26" t="n">
        <v>-2.99899233481962</v>
      </c>
      <c r="J514" s="26" t="n">
        <v>9.54</v>
      </c>
      <c r="K514" s="27" t="n">
        <f aca="false">MIN(F514,G514)</f>
        <v>-4.69898766518038</v>
      </c>
      <c r="L514" s="27" t="n">
        <f aca="false">AVERAGE(F514,G514)</f>
        <v>-4.69847766518038</v>
      </c>
      <c r="M514" s="27" t="n">
        <f aca="false">MAX(0,NG-L514)</f>
        <v>3.99847766518038</v>
      </c>
      <c r="N514" s="27" t="n">
        <f aca="false">MAX(0,GWL-K514)</f>
        <v>3.19898766518038</v>
      </c>
      <c r="O514" s="27" t="n">
        <f aca="false">MAX(0,NG-MAX(K514,GWL))</f>
        <v>0.8</v>
      </c>
      <c r="P514" s="27" t="n">
        <f aca="false">E514/2+WS+SLOPE_A*O514+SLOPE_B*N514</f>
        <v>9.19797299554114</v>
      </c>
      <c r="Q514" s="28" t="str">
        <f aca="false">IF(AND(P514&lt;J514,N514&lt;=MAXOC),"Open cut","Shoring")</f>
        <v>Shoring</v>
      </c>
      <c r="R514" s="27" t="n">
        <f aca="false">IF(Q514="Shoring",D514,0)</f>
        <v>1.97800647386986</v>
      </c>
      <c r="S514" s="27" t="n">
        <f aca="false">MAX(0,GWL-L514)</f>
        <v>3.19847766518038</v>
      </c>
      <c r="T514" s="27" t="n">
        <f aca="false">MAX(0,NG-MAX(L514,GWL))</f>
        <v>0.8</v>
      </c>
      <c r="U514" s="27" t="n">
        <f aca="false">E514+2*WS</f>
        <v>3.19999533036076</v>
      </c>
      <c r="V514" s="27" t="n">
        <f aca="false">IF(Q514="Shoring",D514*M514*U514,0)</f>
        <v>25.3088101312773</v>
      </c>
      <c r="W514" s="27" t="n">
        <f aca="false">IF(Q514="Open cut",D514*(U514*M514+SLOPE_B*S514^2+2*SLOPE_B*S514*T514+SLOPE_A*T514^2),0)</f>
        <v>0</v>
      </c>
      <c r="X514" s="27" t="n">
        <f aca="false">IF(M514&gt;0,D514*(E514+2*SLABOVH)*SLAB,0)</f>
        <v>2.17580250296853</v>
      </c>
      <c r="Y514" s="27" t="n">
        <f aca="false">IF(M514&gt;0,D514*PI()*E514^2/4,0)</f>
        <v>2.23705520803962</v>
      </c>
      <c r="Z514" s="27" t="n">
        <f aca="false">IF(H514-E514&gt;=GWL,99,E514*(MAX(0,GWL-H514)*(GAM_S-GAM_W)+MAX(0,NG-MAX(H514,GWL))*GAM_D)/(GAM_W*PI()*E514^2/4))</f>
        <v>2.8844194047314</v>
      </c>
      <c r="AA514" s="27" t="n">
        <f aca="false">IF(I514-E514&gt;=GWL,99,E514*(MAX(0,GWL-I514)*(GAM_S-GAM_W)+MAX(0,NG-MAX(I514,GWL))*GAM_D)/(GAM_W*PI()*E514^2/4))</f>
        <v>2.88532294108028</v>
      </c>
      <c r="AB514" s="27" t="n">
        <f aca="false">IF(H514-E514&gt;=GWL,99,E514*(MAX(0,GWL-H514)*(GAM_S-GAM_W)+MAX(0,FL-MAX(H514,GWL))*GAM_D)/(GAM_W*PI()*E514^2/4))</f>
        <v>6.19407636034676</v>
      </c>
      <c r="AC514" s="27" t="n">
        <f aca="false">IF(I514-E514&gt;=GWL,99,E514*(MAX(0,GWL-I514)*(GAM_S-GAM_W)+MAX(0,FL-MAX(I514,GWL))*GAM_D)/(GAM_W*PI()*E514^2/4))</f>
        <v>6.19497989669565</v>
      </c>
    </row>
    <row r="515" customFormat="false" ht="15" hidden="false" customHeight="false" outlineLevel="0" collapsed="false">
      <c r="A515" s="25" t="s">
        <v>993</v>
      </c>
      <c r="B515" s="25" t="s">
        <v>1021</v>
      </c>
      <c r="C515" s="25" t="s">
        <v>1034</v>
      </c>
      <c r="D515" s="26" t="n">
        <v>1.53724017949006</v>
      </c>
      <c r="E515" s="26" t="n">
        <v>1.19999526984851</v>
      </c>
      <c r="F515" s="26" t="n">
        <v>-4.69898763492426</v>
      </c>
      <c r="G515" s="26" t="n">
        <v>-4.69977257556207</v>
      </c>
      <c r="H515" s="26" t="n">
        <v>-2.99899236507574</v>
      </c>
      <c r="I515" s="26" t="n">
        <v>-2.99977730571356</v>
      </c>
      <c r="J515" s="26" t="n">
        <v>9.69</v>
      </c>
      <c r="K515" s="27" t="n">
        <f aca="false">MIN(F515,G515)</f>
        <v>-4.69977257556207</v>
      </c>
      <c r="L515" s="27" t="n">
        <f aca="false">AVERAGE(F515,G515)</f>
        <v>-4.69938010524317</v>
      </c>
      <c r="M515" s="27" t="n">
        <f aca="false">MAX(0,NG-L515)</f>
        <v>3.99938010524317</v>
      </c>
      <c r="N515" s="27" t="n">
        <f aca="false">MAX(0,GWL-K515)</f>
        <v>3.19977257556207</v>
      </c>
      <c r="O515" s="27" t="n">
        <f aca="false">MAX(0,NG-MAX(K515,GWL))</f>
        <v>0.8</v>
      </c>
      <c r="P515" s="27" t="n">
        <f aca="false">E515/2+WS+SLOPE_A*O515+SLOPE_B*N515</f>
        <v>9.1995427860484</v>
      </c>
      <c r="Q515" s="28" t="str">
        <f aca="false">IF(AND(P515&lt;J515,N515&lt;=MAXOC),"Open cut","Shoring")</f>
        <v>Shoring</v>
      </c>
      <c r="R515" s="27" t="n">
        <f aca="false">IF(Q515="Shoring",D515,0)</f>
        <v>1.53724017949006</v>
      </c>
      <c r="S515" s="27" t="n">
        <f aca="false">MAX(0,GWL-L515)</f>
        <v>3.19938010524317</v>
      </c>
      <c r="T515" s="27" t="n">
        <f aca="false">MAX(0,NG-MAX(L515,GWL))</f>
        <v>0.8</v>
      </c>
      <c r="U515" s="27" t="n">
        <f aca="false">E515+2*WS</f>
        <v>3.19999526984851</v>
      </c>
      <c r="V515" s="27" t="n">
        <f aca="false">IF(Q515="Shoring",D515*M515*U515,0)</f>
        <v>19.6735958496573</v>
      </c>
      <c r="W515" s="27" t="n">
        <f aca="false">IF(Q515="Open cut",D515*(U515*M515+SLOPE_B*S515^2+2*SLOPE_B*S515*T515+SLOPE_A*T515^2),0)</f>
        <v>0</v>
      </c>
      <c r="X515" s="27" t="n">
        <f aca="false">IF(M515&gt;0,D515*(E515+2*SLABOVH)*SLAB,0)</f>
        <v>1.6909605617496</v>
      </c>
      <c r="Y515" s="27" t="n">
        <f aca="false">IF(M515&gt;0,D515*PI()*E515^2/4,0)</f>
        <v>1.7385639774887</v>
      </c>
      <c r="Z515" s="27" t="n">
        <f aca="false">IF(H515-E515&gt;=GWL,99,E515*(MAX(0,GWL-H515)*(GAM_S-GAM_W)+MAX(0,NG-MAX(H515,GWL))*GAM_D)/(GAM_W*PI()*E515^2/4))</f>
        <v>2.88532311338015</v>
      </c>
      <c r="AA515" s="27" t="n">
        <f aca="false">IF(I515-E515&gt;=GWL,99,E515*(MAX(0,GWL-I515)*(GAM_S-GAM_W)+MAX(0,NG-MAX(I515,GWL))*GAM_D)/(GAM_W*PI()*E515^2/4))</f>
        <v>2.88601842949167</v>
      </c>
      <c r="AB515" s="27" t="n">
        <f aca="false">IF(H515-E515&gt;=GWL,99,E515*(MAX(0,GWL-H515)*(GAM_S-GAM_W)+MAX(0,FL-MAX(H515,GWL))*GAM_D)/(GAM_W*PI()*E515^2/4))</f>
        <v>6.19498023589182</v>
      </c>
      <c r="AC515" s="27" t="n">
        <f aca="false">IF(I515-E515&gt;=GWL,99,E515*(MAX(0,GWL-I515)*(GAM_S-GAM_W)+MAX(0,FL-MAX(I515,GWL))*GAM_D)/(GAM_W*PI()*E515^2/4))</f>
        <v>6.19567555200334</v>
      </c>
    </row>
    <row r="516" customFormat="false" ht="15" hidden="false" customHeight="false" outlineLevel="0" collapsed="false">
      <c r="A516" s="25" t="s">
        <v>993</v>
      </c>
      <c r="B516" s="25" t="s">
        <v>1021</v>
      </c>
      <c r="C516" s="25" t="s">
        <v>1035</v>
      </c>
      <c r="D516" s="26" t="n">
        <v>0.440759820778655</v>
      </c>
      <c r="E516" s="26" t="n">
        <v>1.19999526984851</v>
      </c>
      <c r="F516" s="26" t="n">
        <v>-4.69977257556207</v>
      </c>
      <c r="G516" s="26" t="n">
        <v>-4.69999763492426</v>
      </c>
      <c r="H516" s="26" t="n">
        <v>-2.99977730571356</v>
      </c>
      <c r="I516" s="26" t="n">
        <v>-3.00000236507574</v>
      </c>
      <c r="J516" s="26" t="n">
        <v>9.54</v>
      </c>
      <c r="K516" s="27" t="n">
        <f aca="false">MIN(F516,G516)</f>
        <v>-4.69999763492426</v>
      </c>
      <c r="L516" s="27" t="n">
        <f aca="false">AVERAGE(F516,G516)</f>
        <v>-4.69988510524316</v>
      </c>
      <c r="M516" s="27" t="n">
        <f aca="false">MAX(0,NG-L516)</f>
        <v>3.99988510524316</v>
      </c>
      <c r="N516" s="27" t="n">
        <f aca="false">MAX(0,GWL-K516)</f>
        <v>3.19999763492426</v>
      </c>
      <c r="O516" s="27" t="n">
        <f aca="false">MAX(0,NG-MAX(K516,GWL))</f>
        <v>0.8</v>
      </c>
      <c r="P516" s="27" t="n">
        <f aca="false">E516/2+WS+SLOPE_A*O516+SLOPE_B*N516</f>
        <v>9.19999290477277</v>
      </c>
      <c r="Q516" s="28" t="str">
        <f aca="false">IF(AND(P516&lt;J516,N516&lt;=MAXOC),"Open cut","Shoring")</f>
        <v>Shoring</v>
      </c>
      <c r="R516" s="27" t="n">
        <f aca="false">IF(Q516="Shoring",D516,0)</f>
        <v>0.440759820778655</v>
      </c>
      <c r="S516" s="27" t="n">
        <f aca="false">MAX(0,GWL-L516)</f>
        <v>3.19988510524316</v>
      </c>
      <c r="T516" s="27" t="n">
        <f aca="false">MAX(0,NG-MAX(L516,GWL))</f>
        <v>0.8</v>
      </c>
      <c r="U516" s="27" t="n">
        <f aca="false">E516+2*WS</f>
        <v>3.19999526984851</v>
      </c>
      <c r="V516" s="27" t="n">
        <f aca="false">IF(Q516="Shoring",D516*M516*U516,0)</f>
        <v>5.64155531558766</v>
      </c>
      <c r="W516" s="27" t="n">
        <f aca="false">IF(Q516="Open cut",D516*(U516*M516+SLOPE_B*S516^2+2*SLOPE_B*S516*T516+SLOPE_A*T516^2),0)</f>
        <v>0</v>
      </c>
      <c r="X516" s="27" t="n">
        <f aca="false">IF(M516&gt;0,D516*(E516+2*SLABOVH)*SLAB,0)</f>
        <v>0.48483476042616</v>
      </c>
      <c r="Y516" s="27" t="n">
        <f aca="false">IF(M516&gt;0,D516*PI()*E516^2/4,0)</f>
        <v>0.49848368352195</v>
      </c>
      <c r="Z516" s="27" t="n">
        <f aca="false">IF(H516-E516&gt;=GWL,99,E516*(MAX(0,GWL-H516)*(GAM_S-GAM_W)+MAX(0,NG-MAX(H516,GWL))*GAM_D)/(GAM_W*PI()*E516^2/4))</f>
        <v>2.88601842949167</v>
      </c>
      <c r="AA516" s="27" t="n">
        <f aca="false">IF(I516-E516&gt;=GWL,99,E516*(MAX(0,GWL-I516)*(GAM_S-GAM_W)+MAX(0,NG-MAX(I516,GWL))*GAM_D)/(GAM_W*PI()*E516^2/4))</f>
        <v>2.88621779157465</v>
      </c>
      <c r="AB516" s="27" t="n">
        <f aca="false">IF(H516-E516&gt;=GWL,99,E516*(MAX(0,GWL-H516)*(GAM_S-GAM_W)+MAX(0,FL-MAX(H516,GWL))*GAM_D)/(GAM_W*PI()*E516^2/4))</f>
        <v>6.19567555200334</v>
      </c>
      <c r="AC516" s="27" t="n">
        <f aca="false">IF(I516-E516&gt;=GWL,99,E516*(MAX(0,GWL-I516)*(GAM_S-GAM_W)+MAX(0,FL-MAX(I516,GWL))*GAM_D)/(GAM_W*PI()*E516^2/4))</f>
        <v>6.19587491408632</v>
      </c>
    </row>
    <row r="517" customFormat="false" ht="15" hidden="false" customHeight="false" outlineLevel="0" collapsed="false">
      <c r="A517" s="25" t="s">
        <v>993</v>
      </c>
      <c r="B517" s="25" t="s">
        <v>1021</v>
      </c>
      <c r="C517" s="25" t="s">
        <v>1036</v>
      </c>
      <c r="D517" s="26" t="n">
        <v>9.55924017959708</v>
      </c>
      <c r="E517" s="26" t="n">
        <v>1.19999836708595</v>
      </c>
      <c r="F517" s="26" t="n">
        <v>-4.69999918354298</v>
      </c>
      <c r="G517" s="26" t="n">
        <v>-4.69999918354298</v>
      </c>
      <c r="H517" s="26" t="n">
        <v>-3.00000081645702</v>
      </c>
      <c r="I517" s="26" t="n">
        <v>-3.00000081645702</v>
      </c>
      <c r="J517" s="26" t="n">
        <v>7.44</v>
      </c>
      <c r="K517" s="27" t="n">
        <f aca="false">MIN(F517,G517)</f>
        <v>-4.69999918354298</v>
      </c>
      <c r="L517" s="27" t="n">
        <f aca="false">AVERAGE(F517,G517)</f>
        <v>-4.69999918354298</v>
      </c>
      <c r="M517" s="27" t="n">
        <f aca="false">MAX(0,NG-L517)</f>
        <v>3.99999918354298</v>
      </c>
      <c r="N517" s="27" t="n">
        <f aca="false">MAX(0,GWL-K517)</f>
        <v>3.19999918354298</v>
      </c>
      <c r="O517" s="27" t="n">
        <f aca="false">MAX(0,NG-MAX(K517,GWL))</f>
        <v>0.8</v>
      </c>
      <c r="P517" s="27" t="n">
        <f aca="false">E517/2+WS+SLOPE_A*O517+SLOPE_B*N517</f>
        <v>9.19999755062893</v>
      </c>
      <c r="Q517" s="28" t="str">
        <f aca="false">IF(AND(P517&lt;J517,N517&lt;=MAXOC),"Open cut","Shoring")</f>
        <v>Shoring</v>
      </c>
      <c r="R517" s="27" t="n">
        <f aca="false">IF(Q517="Shoring",D517,0)</f>
        <v>9.55924017959708</v>
      </c>
      <c r="S517" s="27" t="n">
        <f aca="false">MAX(0,GWL-L517)</f>
        <v>3.19999918354298</v>
      </c>
      <c r="T517" s="27" t="n">
        <f aca="false">MAX(0,NG-MAX(L517,GWL))</f>
        <v>0.8</v>
      </c>
      <c r="U517" s="27" t="n">
        <f aca="false">E517+2*WS</f>
        <v>3.19999836708595</v>
      </c>
      <c r="V517" s="27" t="n">
        <f aca="false">IF(Q517="Shoring",D517*M517*U517,0)</f>
        <v>122.358186886117</v>
      </c>
      <c r="W517" s="27" t="n">
        <f aca="false">IF(Q517="Open cut",D517*(U517*M517+SLOPE_B*S517^2+2*SLOPE_B*S517*T517+SLOPE_A*T517^2),0)</f>
        <v>0</v>
      </c>
      <c r="X517" s="27" t="n">
        <f aca="false">IF(M517&gt;0,D517*(E517+2*SLABOVH)*SLAB,0)</f>
        <v>10.515156392848</v>
      </c>
      <c r="Y517" s="27" t="n">
        <f aca="false">IF(M517&gt;0,D517*PI()*E517^2/4,0)</f>
        <v>10.8112165169252</v>
      </c>
      <c r="Z517" s="27" t="n">
        <f aca="false">IF(H517-E517&gt;=GWL,99,E517*(MAX(0,GWL-H517)*(GAM_S-GAM_W)+MAX(0,NG-MAX(H517,GWL))*GAM_D)/(GAM_W*PI()*E517^2/4))</f>
        <v>2.88620897035246</v>
      </c>
      <c r="AA517" s="27" t="n">
        <f aca="false">IF(I517-E517&gt;=GWL,99,E517*(MAX(0,GWL-I517)*(GAM_S-GAM_W)+MAX(0,NG-MAX(I517,GWL))*GAM_D)/(GAM_W*PI()*E517^2/4))</f>
        <v>2.88620897035246</v>
      </c>
      <c r="AB517" s="27" t="n">
        <f aca="false">IF(H517-E517&gt;=GWL,99,E517*(MAX(0,GWL-H517)*(GAM_S-GAM_W)+MAX(0,FL-MAX(H517,GWL))*GAM_D)/(GAM_W*PI()*E517^2/4))</f>
        <v>6.19585755052421</v>
      </c>
      <c r="AC517" s="27" t="n">
        <f aca="false">IF(I517-E517&gt;=GWL,99,E517*(MAX(0,GWL-I517)*(GAM_S-GAM_W)+MAX(0,FL-MAX(I517,GWL))*GAM_D)/(GAM_W*PI()*E517^2/4))</f>
        <v>6.19585755052421</v>
      </c>
    </row>
    <row r="518" customFormat="false" ht="15" hidden="false" customHeight="false" outlineLevel="0" collapsed="false">
      <c r="A518" s="25" t="s">
        <v>993</v>
      </c>
      <c r="B518" s="25" t="s">
        <v>1021</v>
      </c>
      <c r="C518" s="25" t="s">
        <v>1037</v>
      </c>
      <c r="D518" s="26" t="n">
        <v>10.0000000002933</v>
      </c>
      <c r="E518" s="26" t="n">
        <v>1.19999836708595</v>
      </c>
      <c r="F518" s="26" t="n">
        <v>-4.69999918354298</v>
      </c>
      <c r="G518" s="26" t="n">
        <v>-4.69999918354298</v>
      </c>
      <c r="H518" s="26" t="n">
        <v>-3.00000081645702</v>
      </c>
      <c r="I518" s="26" t="n">
        <v>-3.00000081645702</v>
      </c>
      <c r="J518" s="26" t="n">
        <v>7.27</v>
      </c>
      <c r="K518" s="27" t="n">
        <f aca="false">MIN(F518,G518)</f>
        <v>-4.69999918354298</v>
      </c>
      <c r="L518" s="27" t="n">
        <f aca="false">AVERAGE(F518,G518)</f>
        <v>-4.69999918354298</v>
      </c>
      <c r="M518" s="27" t="n">
        <f aca="false">MAX(0,NG-L518)</f>
        <v>3.99999918354298</v>
      </c>
      <c r="N518" s="27" t="n">
        <f aca="false">MAX(0,GWL-K518)</f>
        <v>3.19999918354298</v>
      </c>
      <c r="O518" s="27" t="n">
        <f aca="false">MAX(0,NG-MAX(K518,GWL))</f>
        <v>0.8</v>
      </c>
      <c r="P518" s="27" t="n">
        <f aca="false">E518/2+WS+SLOPE_A*O518+SLOPE_B*N518</f>
        <v>9.19999755062893</v>
      </c>
      <c r="Q518" s="28" t="str">
        <f aca="false">IF(AND(P518&lt;J518,N518&lt;=MAXOC),"Open cut","Shoring")</f>
        <v>Shoring</v>
      </c>
      <c r="R518" s="27" t="n">
        <f aca="false">IF(Q518="Shoring",D518,0)</f>
        <v>10.0000000002933</v>
      </c>
      <c r="S518" s="27" t="n">
        <f aca="false">MAX(0,GWL-L518)</f>
        <v>3.19999918354298</v>
      </c>
      <c r="T518" s="27" t="n">
        <f aca="false">MAX(0,NG-MAX(L518,GWL))</f>
        <v>0.8</v>
      </c>
      <c r="U518" s="27" t="n">
        <f aca="false">E518+2*WS</f>
        <v>3.19999836708595</v>
      </c>
      <c r="V518" s="27" t="n">
        <f aca="false">IF(Q518="Shoring",D518*M518*U518,0)</f>
        <v>127.99990856058</v>
      </c>
      <c r="W518" s="27" t="n">
        <f aca="false">IF(Q518="Open cut",D518*(U518*M518+SLOPE_B*S518^2+2*SLOPE_B*S518*T518+SLOPE_A*T518^2),0)</f>
        <v>0</v>
      </c>
      <c r="X518" s="27" t="n">
        <f aca="false">IF(M518&gt;0,D518*(E518+2*SLABOVH)*SLAB,0)</f>
        <v>10.9999918357523</v>
      </c>
      <c r="Y518" s="27" t="n">
        <f aca="false">IF(M518&gt;0,D518*PI()*E518^2/4,0)</f>
        <v>11.3097027735712</v>
      </c>
      <c r="Z518" s="27" t="n">
        <f aca="false">IF(H518-E518&gt;=GWL,99,E518*(MAX(0,GWL-H518)*(GAM_S-GAM_W)+MAX(0,NG-MAX(H518,GWL))*GAM_D)/(GAM_W*PI()*E518^2/4))</f>
        <v>2.88620897035246</v>
      </c>
      <c r="AA518" s="27" t="n">
        <f aca="false">IF(I518-E518&gt;=GWL,99,E518*(MAX(0,GWL-I518)*(GAM_S-GAM_W)+MAX(0,NG-MAX(I518,GWL))*GAM_D)/(GAM_W*PI()*E518^2/4))</f>
        <v>2.88620897035246</v>
      </c>
      <c r="AB518" s="27" t="n">
        <f aca="false">IF(H518-E518&gt;=GWL,99,E518*(MAX(0,GWL-H518)*(GAM_S-GAM_W)+MAX(0,FL-MAX(H518,GWL))*GAM_D)/(GAM_W*PI()*E518^2/4))</f>
        <v>6.19585755052421</v>
      </c>
      <c r="AC518" s="27" t="n">
        <f aca="false">IF(I518-E518&gt;=GWL,99,E518*(MAX(0,GWL-I518)*(GAM_S-GAM_W)+MAX(0,FL-MAX(I518,GWL))*GAM_D)/(GAM_W*PI()*E518^2/4))</f>
        <v>6.19585755052421</v>
      </c>
    </row>
    <row r="519" customFormat="false" ht="15" hidden="false" customHeight="false" outlineLevel="0" collapsed="false">
      <c r="A519" s="25" t="s">
        <v>993</v>
      </c>
      <c r="B519" s="25" t="s">
        <v>1021</v>
      </c>
      <c r="C519" s="25" t="s">
        <v>1038</v>
      </c>
      <c r="D519" s="26" t="n">
        <v>9.99999999994964</v>
      </c>
      <c r="E519" s="26" t="n">
        <v>1.19999836708595</v>
      </c>
      <c r="F519" s="26" t="n">
        <v>-4.69999918354298</v>
      </c>
      <c r="G519" s="26" t="n">
        <v>-4.69999918354298</v>
      </c>
      <c r="H519" s="26" t="n">
        <v>-3.00000081645702</v>
      </c>
      <c r="I519" s="26" t="n">
        <v>-3.00000081645702</v>
      </c>
      <c r="J519" s="26" t="n">
        <v>7.85</v>
      </c>
      <c r="K519" s="27" t="n">
        <f aca="false">MIN(F519,G519)</f>
        <v>-4.69999918354298</v>
      </c>
      <c r="L519" s="27" t="n">
        <f aca="false">AVERAGE(F519,G519)</f>
        <v>-4.69999918354298</v>
      </c>
      <c r="M519" s="27" t="n">
        <f aca="false">MAX(0,NG-L519)</f>
        <v>3.99999918354298</v>
      </c>
      <c r="N519" s="27" t="n">
        <f aca="false">MAX(0,GWL-K519)</f>
        <v>3.19999918354298</v>
      </c>
      <c r="O519" s="27" t="n">
        <f aca="false">MAX(0,NG-MAX(K519,GWL))</f>
        <v>0.8</v>
      </c>
      <c r="P519" s="27" t="n">
        <f aca="false">E519/2+WS+SLOPE_A*O519+SLOPE_B*N519</f>
        <v>9.19999755062893</v>
      </c>
      <c r="Q519" s="28" t="str">
        <f aca="false">IF(AND(P519&lt;J519,N519&lt;=MAXOC),"Open cut","Shoring")</f>
        <v>Shoring</v>
      </c>
      <c r="R519" s="27" t="n">
        <f aca="false">IF(Q519="Shoring",D519,0)</f>
        <v>9.99999999994964</v>
      </c>
      <c r="S519" s="27" t="n">
        <f aca="false">MAX(0,GWL-L519)</f>
        <v>3.19999918354298</v>
      </c>
      <c r="T519" s="27" t="n">
        <f aca="false">MAX(0,NG-MAX(L519,GWL))</f>
        <v>0.8</v>
      </c>
      <c r="U519" s="27" t="n">
        <f aca="false">E519+2*WS</f>
        <v>3.19999836708595</v>
      </c>
      <c r="V519" s="27" t="n">
        <f aca="false">IF(Q519="Shoring",D519*M519*U519,0)</f>
        <v>127.999908556182</v>
      </c>
      <c r="W519" s="27" t="n">
        <f aca="false">IF(Q519="Open cut",D519*(U519*M519+SLOPE_B*S519^2+2*SLOPE_B*S519*T519+SLOPE_A*T519^2),0)</f>
        <v>0</v>
      </c>
      <c r="X519" s="27" t="n">
        <f aca="false">IF(M519&gt;0,D519*(E519+2*SLABOVH)*SLAB,0)</f>
        <v>10.9999918353744</v>
      </c>
      <c r="Y519" s="27" t="n">
        <f aca="false">IF(M519&gt;0,D519*PI()*E519^2/4,0)</f>
        <v>11.3097027731826</v>
      </c>
      <c r="Z519" s="27" t="n">
        <f aca="false">IF(H519-E519&gt;=GWL,99,E519*(MAX(0,GWL-H519)*(GAM_S-GAM_W)+MAX(0,NG-MAX(H519,GWL))*GAM_D)/(GAM_W*PI()*E519^2/4))</f>
        <v>2.88620897035246</v>
      </c>
      <c r="AA519" s="27" t="n">
        <f aca="false">IF(I519-E519&gt;=GWL,99,E519*(MAX(0,GWL-I519)*(GAM_S-GAM_W)+MAX(0,NG-MAX(I519,GWL))*GAM_D)/(GAM_W*PI()*E519^2/4))</f>
        <v>2.88620897035246</v>
      </c>
      <c r="AB519" s="27" t="n">
        <f aca="false">IF(H519-E519&gt;=GWL,99,E519*(MAX(0,GWL-H519)*(GAM_S-GAM_W)+MAX(0,FL-MAX(H519,GWL))*GAM_D)/(GAM_W*PI()*E519^2/4))</f>
        <v>6.19585755052421</v>
      </c>
      <c r="AC519" s="27" t="n">
        <f aca="false">IF(I519-E519&gt;=GWL,99,E519*(MAX(0,GWL-I519)*(GAM_S-GAM_W)+MAX(0,FL-MAX(I519,GWL))*GAM_D)/(GAM_W*PI()*E519^2/4))</f>
        <v>6.19585755052421</v>
      </c>
    </row>
    <row r="520" customFormat="false" ht="15" hidden="false" customHeight="false" outlineLevel="0" collapsed="false">
      <c r="A520" s="25" t="s">
        <v>993</v>
      </c>
      <c r="B520" s="25" t="s">
        <v>1021</v>
      </c>
      <c r="C520" s="25" t="s">
        <v>1039</v>
      </c>
      <c r="D520" s="26" t="n">
        <v>9.99999999908649</v>
      </c>
      <c r="E520" s="26" t="n">
        <v>1.19999836708595</v>
      </c>
      <c r="F520" s="26" t="n">
        <v>-4.69999918354298</v>
      </c>
      <c r="G520" s="26" t="n">
        <v>-4.69999918354298</v>
      </c>
      <c r="H520" s="26" t="n">
        <v>-3.00000081645702</v>
      </c>
      <c r="I520" s="26" t="n">
        <v>-3.00000081645702</v>
      </c>
      <c r="J520" s="26" t="n">
        <v>10.86</v>
      </c>
      <c r="K520" s="27" t="n">
        <f aca="false">MIN(F520,G520)</f>
        <v>-4.69999918354298</v>
      </c>
      <c r="L520" s="27" t="n">
        <f aca="false">AVERAGE(F520,G520)</f>
        <v>-4.69999918354298</v>
      </c>
      <c r="M520" s="27" t="n">
        <f aca="false">MAX(0,NG-L520)</f>
        <v>3.99999918354298</v>
      </c>
      <c r="N520" s="27" t="n">
        <f aca="false">MAX(0,GWL-K520)</f>
        <v>3.19999918354298</v>
      </c>
      <c r="O520" s="27" t="n">
        <f aca="false">MAX(0,NG-MAX(K520,GWL))</f>
        <v>0.8</v>
      </c>
      <c r="P520" s="27" t="n">
        <f aca="false">E520/2+WS+SLOPE_A*O520+SLOPE_B*N520</f>
        <v>9.19999755062893</v>
      </c>
      <c r="Q520" s="28" t="str">
        <f aca="false">IF(AND(P520&lt;J520,N520&lt;=MAXOC),"Open cut","Shoring")</f>
        <v>Shoring</v>
      </c>
      <c r="R520" s="27" t="n">
        <f aca="false">IF(Q520="Shoring",D520,0)</f>
        <v>9.99999999908649</v>
      </c>
      <c r="S520" s="27" t="n">
        <f aca="false">MAX(0,GWL-L520)</f>
        <v>3.19999918354298</v>
      </c>
      <c r="T520" s="27" t="n">
        <f aca="false">MAX(0,NG-MAX(L520,GWL))</f>
        <v>0.8</v>
      </c>
      <c r="U520" s="27" t="n">
        <f aca="false">E520+2*WS</f>
        <v>3.19999836708595</v>
      </c>
      <c r="V520" s="27" t="n">
        <f aca="false">IF(Q520="Shoring",D520*M520*U520,0)</f>
        <v>127.999908545134</v>
      </c>
      <c r="W520" s="27" t="n">
        <f aca="false">IF(Q520="Open cut",D520*(U520*M520+SLOPE_B*S520^2+2*SLOPE_B*S520*T520+SLOPE_A*T520^2),0)</f>
        <v>0</v>
      </c>
      <c r="X520" s="27" t="n">
        <f aca="false">IF(M520&gt;0,D520*(E520+2*SLABOVH)*SLAB,0)</f>
        <v>10.9999918344249</v>
      </c>
      <c r="Y520" s="27" t="n">
        <f aca="false">IF(M520&gt;0,D520*PI()*E520^2/4,0)</f>
        <v>11.3097027722064</v>
      </c>
      <c r="Z520" s="27" t="n">
        <f aca="false">IF(H520-E520&gt;=GWL,99,E520*(MAX(0,GWL-H520)*(GAM_S-GAM_W)+MAX(0,NG-MAX(H520,GWL))*GAM_D)/(GAM_W*PI()*E520^2/4))</f>
        <v>2.88620897035246</v>
      </c>
      <c r="AA520" s="27" t="n">
        <f aca="false">IF(I520-E520&gt;=GWL,99,E520*(MAX(0,GWL-I520)*(GAM_S-GAM_W)+MAX(0,NG-MAX(I520,GWL))*GAM_D)/(GAM_W*PI()*E520^2/4))</f>
        <v>2.88620897035246</v>
      </c>
      <c r="AB520" s="27" t="n">
        <f aca="false">IF(H520-E520&gt;=GWL,99,E520*(MAX(0,GWL-H520)*(GAM_S-GAM_W)+MAX(0,FL-MAX(H520,GWL))*GAM_D)/(GAM_W*PI()*E520^2/4))</f>
        <v>6.19585755052421</v>
      </c>
      <c r="AC520" s="27" t="n">
        <f aca="false">IF(I520-E520&gt;=GWL,99,E520*(MAX(0,GWL-I520)*(GAM_S-GAM_W)+MAX(0,FL-MAX(I520,GWL))*GAM_D)/(GAM_W*PI()*E520^2/4))</f>
        <v>6.19585755052421</v>
      </c>
    </row>
    <row r="521" customFormat="false" ht="15" hidden="false" customHeight="false" outlineLevel="0" collapsed="false">
      <c r="A521" s="25" t="s">
        <v>993</v>
      </c>
      <c r="B521" s="25" t="s">
        <v>1021</v>
      </c>
      <c r="C521" s="25" t="s">
        <v>1040</v>
      </c>
      <c r="D521" s="26" t="n">
        <v>4.52935728350251</v>
      </c>
      <c r="E521" s="26" t="n">
        <v>1.19999836708595</v>
      </c>
      <c r="F521" s="26" t="n">
        <v>-4.69999918354298</v>
      </c>
      <c r="G521" s="26" t="n">
        <v>-4.69999918354298</v>
      </c>
      <c r="H521" s="26" t="n">
        <v>-3.00000081645702</v>
      </c>
      <c r="I521" s="26" t="n">
        <v>-3.00000081645702</v>
      </c>
      <c r="J521" s="26" t="n">
        <v>15.93</v>
      </c>
      <c r="K521" s="27" t="n">
        <f aca="false">MIN(F521,G521)</f>
        <v>-4.69999918354298</v>
      </c>
      <c r="L521" s="27" t="n">
        <f aca="false">AVERAGE(F521,G521)</f>
        <v>-4.69999918354298</v>
      </c>
      <c r="M521" s="27" t="n">
        <f aca="false">MAX(0,NG-L521)</f>
        <v>3.99999918354298</v>
      </c>
      <c r="N521" s="27" t="n">
        <f aca="false">MAX(0,GWL-K521)</f>
        <v>3.19999918354298</v>
      </c>
      <c r="O521" s="27" t="n">
        <f aca="false">MAX(0,NG-MAX(K521,GWL))</f>
        <v>0.8</v>
      </c>
      <c r="P521" s="27" t="n">
        <f aca="false">E521/2+WS+SLOPE_A*O521+SLOPE_B*N521</f>
        <v>9.19999755062893</v>
      </c>
      <c r="Q521" s="28" t="str">
        <f aca="false">IF(AND(P521&lt;J521,N521&lt;=MAXOC),"Open cut","Shoring")</f>
        <v>Shoring</v>
      </c>
      <c r="R521" s="27" t="n">
        <f aca="false">IF(Q521="Shoring",D521,0)</f>
        <v>4.52935728350251</v>
      </c>
      <c r="S521" s="27" t="n">
        <f aca="false">MAX(0,GWL-L521)</f>
        <v>3.19999918354298</v>
      </c>
      <c r="T521" s="27" t="n">
        <f aca="false">MAX(0,NG-MAX(L521,GWL))</f>
        <v>0.8</v>
      </c>
      <c r="U521" s="27" t="n">
        <f aca="false">E521+2*WS</f>
        <v>3.19999836708595</v>
      </c>
      <c r="V521" s="27" t="n">
        <f aca="false">IF(Q521="Shoring",D521*M521*U521,0)</f>
        <v>57.9757318109519</v>
      </c>
      <c r="W521" s="27" t="n">
        <f aca="false">IF(Q521="Open cut",D521*(U521*M521+SLOPE_B*S521^2+2*SLOPE_B*S521*T521+SLOPE_A*T521^2),0)</f>
        <v>0</v>
      </c>
      <c r="X521" s="27" t="n">
        <f aca="false">IF(M521&gt;0,D521*(E521+2*SLABOVH)*SLAB,0)</f>
        <v>4.9822893138272</v>
      </c>
      <c r="Y521" s="27" t="n">
        <f aca="false">IF(M521&gt;0,D521*PI()*E521^2/4,0)</f>
        <v>5.12256846302212</v>
      </c>
      <c r="Z521" s="27" t="n">
        <f aca="false">IF(H521-E521&gt;=GWL,99,E521*(MAX(0,GWL-H521)*(GAM_S-GAM_W)+MAX(0,NG-MAX(H521,GWL))*GAM_D)/(GAM_W*PI()*E521^2/4))</f>
        <v>2.88620897035246</v>
      </c>
      <c r="AA521" s="27" t="n">
        <f aca="false">IF(I521-E521&gt;=GWL,99,E521*(MAX(0,GWL-I521)*(GAM_S-GAM_W)+MAX(0,NG-MAX(I521,GWL))*GAM_D)/(GAM_W*PI()*E521^2/4))</f>
        <v>2.88620897035246</v>
      </c>
      <c r="AB521" s="27" t="n">
        <f aca="false">IF(H521-E521&gt;=GWL,99,E521*(MAX(0,GWL-H521)*(GAM_S-GAM_W)+MAX(0,FL-MAX(H521,GWL))*GAM_D)/(GAM_W*PI()*E521^2/4))</f>
        <v>6.19585755052421</v>
      </c>
      <c r="AC521" s="27" t="n">
        <f aca="false">IF(I521-E521&gt;=GWL,99,E521*(MAX(0,GWL-I521)*(GAM_S-GAM_W)+MAX(0,FL-MAX(I521,GWL))*GAM_D)/(GAM_W*PI()*E521^2/4))</f>
        <v>6.19585755052421</v>
      </c>
    </row>
    <row r="522" customFormat="false" ht="15" hidden="false" customHeight="false" outlineLevel="0" collapsed="false">
      <c r="A522" s="25" t="s">
        <v>993</v>
      </c>
      <c r="B522" s="25" t="s">
        <v>1021</v>
      </c>
      <c r="C522" s="25" t="s">
        <v>1041</v>
      </c>
      <c r="D522" s="26" t="n">
        <v>0.210000088854854</v>
      </c>
      <c r="E522" s="26" t="n">
        <v>1.19999775111375</v>
      </c>
      <c r="F522" s="26" t="n">
        <v>-4.69999887555688</v>
      </c>
      <c r="G522" s="26" t="n">
        <v>-4.69999887555688</v>
      </c>
      <c r="H522" s="26" t="n">
        <v>-3.00000112444312</v>
      </c>
      <c r="I522" s="26" t="n">
        <v>-3.00000112444312</v>
      </c>
      <c r="J522" s="26" t="n">
        <v>18.74</v>
      </c>
      <c r="K522" s="27" t="n">
        <f aca="false">MIN(F522,G522)</f>
        <v>-4.69999887555688</v>
      </c>
      <c r="L522" s="27" t="n">
        <f aca="false">AVERAGE(F522,G522)</f>
        <v>-4.69999887555688</v>
      </c>
      <c r="M522" s="27" t="n">
        <f aca="false">MAX(0,NG-L522)</f>
        <v>3.99999887555688</v>
      </c>
      <c r="N522" s="27" t="n">
        <f aca="false">MAX(0,GWL-K522)</f>
        <v>3.19999887555688</v>
      </c>
      <c r="O522" s="27" t="n">
        <f aca="false">MAX(0,NG-MAX(K522,GWL))</f>
        <v>0.8</v>
      </c>
      <c r="P522" s="27" t="n">
        <f aca="false">E522/2+WS+SLOPE_A*O522+SLOPE_B*N522</f>
        <v>9.19999662667063</v>
      </c>
      <c r="Q522" s="28" t="str">
        <f aca="false">IF(AND(P522&lt;J522,N522&lt;=MAXOC),"Open cut","Shoring")</f>
        <v>Shoring</v>
      </c>
      <c r="R522" s="27" t="n">
        <f aca="false">IF(Q522="Shoring",D522,0)</f>
        <v>0.210000088854854</v>
      </c>
      <c r="S522" s="27" t="n">
        <f aca="false">MAX(0,GWL-L522)</f>
        <v>3.19999887555688</v>
      </c>
      <c r="T522" s="27" t="n">
        <f aca="false">MAX(0,NG-MAX(L522,GWL))</f>
        <v>0.8</v>
      </c>
      <c r="U522" s="27" t="n">
        <f aca="false">E522+2*WS</f>
        <v>3.19999775111375</v>
      </c>
      <c r="V522" s="27" t="n">
        <f aca="false">IF(Q522="Shoring",D522*M522*U522,0)</f>
        <v>2.68799849265131</v>
      </c>
      <c r="W522" s="27" t="n">
        <f aca="false">IF(Q522="Open cut",D522*(U522*M522+SLOPE_B*S522^2+2*SLOPE_B*S522*T522+SLOPE_A*T522^2),0)</f>
        <v>0</v>
      </c>
      <c r="X522" s="27" t="n">
        <f aca="false">IF(M522&gt;0,D522*(E522+2*SLABOVH)*SLAB,0)</f>
        <v>0.230999861607183</v>
      </c>
      <c r="Y522" s="27" t="n">
        <f aca="false">IF(M522&gt;0,D522*PI()*E522^2/4,0)</f>
        <v>0.237503614903669</v>
      </c>
      <c r="Z522" s="27" t="n">
        <f aca="false">IF(H522-E522&gt;=GWL,99,E522*(MAX(0,GWL-H522)*(GAM_S-GAM_W)+MAX(0,NG-MAX(H522,GWL))*GAM_D)/(GAM_W*PI()*E522^2/4))</f>
        <v>2.88621072469533</v>
      </c>
      <c r="AA522" s="27" t="n">
        <f aca="false">IF(I522-E522&gt;=GWL,99,E522*(MAX(0,GWL-I522)*(GAM_S-GAM_W)+MAX(0,NG-MAX(I522,GWL))*GAM_D)/(GAM_W*PI()*E522^2/4))</f>
        <v>2.88621072469533</v>
      </c>
      <c r="AB522" s="27" t="n">
        <f aca="false">IF(H522-E522&gt;=GWL,99,E522*(MAX(0,GWL-H522)*(GAM_S-GAM_W)+MAX(0,FL-MAX(H522,GWL))*GAM_D)/(GAM_W*PI()*E522^2/4))</f>
        <v>6.19586100374654</v>
      </c>
      <c r="AC522" s="27" t="n">
        <f aca="false">IF(I522-E522&gt;=GWL,99,E522*(MAX(0,GWL-I522)*(GAM_S-GAM_W)+MAX(0,FL-MAX(I522,GWL))*GAM_D)/(GAM_W*PI()*E522^2/4))</f>
        <v>6.19586100374654</v>
      </c>
    </row>
    <row r="523" customFormat="false" ht="15" hidden="false" customHeight="false" outlineLevel="0" collapsed="false">
      <c r="A523" s="25" t="s">
        <v>993</v>
      </c>
      <c r="B523" s="25" t="s">
        <v>1021</v>
      </c>
      <c r="C523" s="25" t="s">
        <v>1042</v>
      </c>
      <c r="D523" s="26" t="n">
        <v>0.200000000114274</v>
      </c>
      <c r="E523" s="26" t="n">
        <v>1.39999595218842</v>
      </c>
      <c r="F523" s="26" t="n">
        <v>-4.79999797609421</v>
      </c>
      <c r="G523" s="26" t="n">
        <v>-4.79999797609421</v>
      </c>
      <c r="H523" s="26" t="n">
        <v>-2.90000202390579</v>
      </c>
      <c r="I523" s="26" t="n">
        <v>-2.90000202390579</v>
      </c>
      <c r="J523" s="26" t="n">
        <v>18.88</v>
      </c>
      <c r="K523" s="27" t="n">
        <f aca="false">MIN(F523,G523)</f>
        <v>-4.79999797609421</v>
      </c>
      <c r="L523" s="27" t="n">
        <f aca="false">AVERAGE(F523,G523)</f>
        <v>-4.79999797609421</v>
      </c>
      <c r="M523" s="27" t="n">
        <f aca="false">MAX(0,NG-L523)</f>
        <v>4.09999797609421</v>
      </c>
      <c r="N523" s="27" t="n">
        <f aca="false">MAX(0,GWL-K523)</f>
        <v>3.29999797609421</v>
      </c>
      <c r="O523" s="27" t="n">
        <f aca="false">MAX(0,NG-MAX(K523,GWL))</f>
        <v>0.8</v>
      </c>
      <c r="P523" s="27" t="n">
        <f aca="false">E523/2+WS+SLOPE_A*O523+SLOPE_B*N523</f>
        <v>9.49999392828263</v>
      </c>
      <c r="Q523" s="28" t="str">
        <f aca="false">IF(AND(P523&lt;J523,N523&lt;=MAXOC),"Open cut","Shoring")</f>
        <v>Shoring</v>
      </c>
      <c r="R523" s="27" t="n">
        <f aca="false">IF(Q523="Shoring",D523,0)</f>
        <v>0.200000000114274</v>
      </c>
      <c r="S523" s="27" t="n">
        <f aca="false">MAX(0,GWL-L523)</f>
        <v>3.29999797609421</v>
      </c>
      <c r="T523" s="27" t="n">
        <f aca="false">MAX(0,NG-MAX(L523,GWL))</f>
        <v>0.8</v>
      </c>
      <c r="U523" s="27" t="n">
        <f aca="false">E523+2*WS</f>
        <v>3.39999595218842</v>
      </c>
      <c r="V523" s="27" t="n">
        <f aca="false">IF(Q523="Shoring",D523*M523*U523,0)</f>
        <v>2.78799530613318</v>
      </c>
      <c r="W523" s="27" t="n">
        <f aca="false">IF(Q523="Open cut",D523*(U523*M523+SLOPE_B*S523^2+2*SLOPE_B*S523*T523+SLOPE_A*T523^2),0)</f>
        <v>0</v>
      </c>
      <c r="X523" s="27" t="n">
        <f aca="false">IF(M523&gt;0,D523*(E523+2*SLABOVH)*SLAB,0)</f>
        <v>0.239999595355971</v>
      </c>
      <c r="Y523" s="27" t="n">
        <f aca="false">IF(M523&gt;0,D523*PI()*E523^2/4,0)</f>
        <v>0.307874299909766</v>
      </c>
      <c r="Z523" s="27" t="n">
        <f aca="false">IF(H523-E523&gt;=GWL,99,E523*(MAX(0,GWL-H523)*(GAM_S-GAM_W)+MAX(0,NG-MAX(H523,GWL))*GAM_D)/(GAM_W*PI()*E523^2/4))</f>
        <v>2.39797075798497</v>
      </c>
      <c r="AA523" s="27" t="n">
        <f aca="false">IF(I523-E523&gt;=GWL,99,E523*(MAX(0,GWL-I523)*(GAM_S-GAM_W)+MAX(0,NG-MAX(I523,GWL))*GAM_D)/(GAM_W*PI()*E523^2/4))</f>
        <v>2.39797075798497</v>
      </c>
      <c r="AB523" s="27" t="n">
        <f aca="false">IF(H523-E523&gt;=GWL,99,E523*(MAX(0,GWL-H523)*(GAM_S-GAM_W)+MAX(0,FL-MAX(H523,GWL))*GAM_D)/(GAM_W*PI()*E523^2/4))</f>
        <v>5.23481674002245</v>
      </c>
      <c r="AC523" s="27" t="n">
        <f aca="false">IF(I523-E523&gt;=GWL,99,E523*(MAX(0,GWL-I523)*(GAM_S-GAM_W)+MAX(0,FL-MAX(I523,GWL))*GAM_D)/(GAM_W*PI()*E523^2/4))</f>
        <v>5.23481674002245</v>
      </c>
    </row>
    <row r="524" customFormat="false" ht="15" hidden="false" customHeight="false" outlineLevel="0" collapsed="false">
      <c r="A524" s="25" t="s">
        <v>993</v>
      </c>
      <c r="B524" s="25" t="s">
        <v>1021</v>
      </c>
      <c r="C524" s="25" t="s">
        <v>1043</v>
      </c>
      <c r="D524" s="26" t="n">
        <v>4.28046843745489</v>
      </c>
      <c r="E524" s="26" t="n">
        <v>1.60000106284297</v>
      </c>
      <c r="F524" s="26" t="n">
        <v>-4.90000053142148</v>
      </c>
      <c r="G524" s="26" t="n">
        <v>-4.90000053142148</v>
      </c>
      <c r="H524" s="26" t="n">
        <v>-2.79999946857852</v>
      </c>
      <c r="I524" s="26" t="n">
        <v>-2.79999946857852</v>
      </c>
      <c r="J524" s="26" t="n">
        <v>19.01</v>
      </c>
      <c r="K524" s="27" t="n">
        <f aca="false">MIN(F524,G524)</f>
        <v>-4.90000053142148</v>
      </c>
      <c r="L524" s="27" t="n">
        <f aca="false">AVERAGE(F524,G524)</f>
        <v>-4.90000053142148</v>
      </c>
      <c r="M524" s="27" t="n">
        <f aca="false">MAX(0,NG-L524)</f>
        <v>4.20000053142148</v>
      </c>
      <c r="N524" s="27" t="n">
        <f aca="false">MAX(0,GWL-K524)</f>
        <v>3.40000053142148</v>
      </c>
      <c r="O524" s="27" t="n">
        <f aca="false">MAX(0,NG-MAX(K524,GWL))</f>
        <v>0.8</v>
      </c>
      <c r="P524" s="27" t="n">
        <f aca="false">E524/2+WS+SLOPE_A*O524+SLOPE_B*N524</f>
        <v>9.80000159426445</v>
      </c>
      <c r="Q524" s="28" t="str">
        <f aca="false">IF(AND(P524&lt;J524,N524&lt;=MAXOC),"Open cut","Shoring")</f>
        <v>Shoring</v>
      </c>
      <c r="R524" s="27" t="n">
        <f aca="false">IF(Q524="Shoring",D524,0)</f>
        <v>4.28046843745489</v>
      </c>
      <c r="S524" s="27" t="n">
        <f aca="false">MAX(0,GWL-L524)</f>
        <v>3.40000053142148</v>
      </c>
      <c r="T524" s="27" t="n">
        <f aca="false">MAX(0,NG-MAX(L524,GWL))</f>
        <v>0.8</v>
      </c>
      <c r="U524" s="27" t="n">
        <f aca="false">E524+2*WS</f>
        <v>3.60000106284297</v>
      </c>
      <c r="V524" s="27" t="n">
        <f aca="false">IF(Q524="Shoring",D524*M524*U524,0)</f>
        <v>64.720710071115</v>
      </c>
      <c r="W524" s="27" t="n">
        <f aca="false">IF(Q524="Open cut",D524*(U524*M524+SLOPE_B*S524^2+2*SLOPE_B*S524*T524+SLOPE_A*T524^2),0)</f>
        <v>0</v>
      </c>
      <c r="X524" s="27" t="n">
        <f aca="false">IF(M524&gt;0,D524*(E524+2*SLABOVH)*SLAB,0)</f>
        <v>5.56461124342425</v>
      </c>
      <c r="Y524" s="27" t="n">
        <f aca="false">IF(M524&gt;0,D524*PI()*E524^2/4,0)</f>
        <v>8.60640388015841</v>
      </c>
      <c r="Z524" s="27" t="n">
        <f aca="false">IF(H524-E524&gt;=GWL,99,E524*(MAX(0,GWL-H524)*(GAM_S-GAM_W)+MAX(0,NG-MAX(H524,GWL))*GAM_D)/(GAM_W*PI()*E524^2/4))</f>
        <v>2.03177906161345</v>
      </c>
      <c r="AA524" s="27" t="n">
        <f aca="false">IF(I524-E524&gt;=GWL,99,E524*(MAX(0,GWL-I524)*(GAM_S-GAM_W)+MAX(0,NG-MAX(I524,GWL))*GAM_D)/(GAM_W*PI()*E524^2/4))</f>
        <v>2.03177906161345</v>
      </c>
      <c r="AB524" s="27" t="n">
        <f aca="false">IF(H524-E524&gt;=GWL,99,E524*(MAX(0,GWL-H524)*(GAM_S-GAM_W)+MAX(0,FL-MAX(H524,GWL))*GAM_D)/(GAM_W*PI()*E524^2/4))</f>
        <v>4.51401047012111</v>
      </c>
      <c r="AC524" s="27" t="n">
        <f aca="false">IF(I524-E524&gt;=GWL,99,E524*(MAX(0,GWL-I524)*(GAM_S-GAM_W)+MAX(0,FL-MAX(I524,GWL))*GAM_D)/(GAM_W*PI()*E524^2/4))</f>
        <v>4.51401047012111</v>
      </c>
    </row>
    <row r="525" customFormat="false" ht="15" hidden="false" customHeight="false" outlineLevel="0" collapsed="false">
      <c r="A525" s="25" t="s">
        <v>993</v>
      </c>
      <c r="B525" s="25" t="s">
        <v>1044</v>
      </c>
      <c r="C525" s="25" t="s">
        <v>1045</v>
      </c>
      <c r="D525" s="26" t="n">
        <v>0.780174190521434</v>
      </c>
      <c r="E525" s="26" t="n">
        <v>1.60000106284297</v>
      </c>
      <c r="F525" s="26" t="n">
        <v>-4.90000053142148</v>
      </c>
      <c r="G525" s="26" t="n">
        <v>-4.90000053142148</v>
      </c>
      <c r="H525" s="26" t="n">
        <v>-2.79999946857852</v>
      </c>
      <c r="I525" s="26" t="n">
        <v>-2.79999946857852</v>
      </c>
      <c r="J525" s="26" t="n">
        <v>20.41</v>
      </c>
      <c r="K525" s="27" t="n">
        <f aca="false">MIN(F525,G525)</f>
        <v>-4.90000053142148</v>
      </c>
      <c r="L525" s="27" t="n">
        <f aca="false">AVERAGE(F525,G525)</f>
        <v>-4.90000053142148</v>
      </c>
      <c r="M525" s="27" t="n">
        <f aca="false">MAX(0,NG-L525)</f>
        <v>4.20000053142148</v>
      </c>
      <c r="N525" s="27" t="n">
        <f aca="false">MAX(0,GWL-K525)</f>
        <v>3.40000053142148</v>
      </c>
      <c r="O525" s="27" t="n">
        <f aca="false">MAX(0,NG-MAX(K525,GWL))</f>
        <v>0.8</v>
      </c>
      <c r="P525" s="27" t="n">
        <f aca="false">E525/2+WS+SLOPE_A*O525+SLOPE_B*N525</f>
        <v>9.80000159426445</v>
      </c>
      <c r="Q525" s="28" t="str">
        <f aca="false">IF(AND(P525&lt;J525,N525&lt;=MAXOC),"Open cut","Shoring")</f>
        <v>Shoring</v>
      </c>
      <c r="R525" s="27" t="n">
        <f aca="false">IF(Q525="Shoring",D525,0)</f>
        <v>0.780174190521434</v>
      </c>
      <c r="S525" s="27" t="n">
        <f aca="false">MAX(0,GWL-L525)</f>
        <v>3.40000053142148</v>
      </c>
      <c r="T525" s="27" t="n">
        <f aca="false">MAX(0,NG-MAX(L525,GWL))</f>
        <v>0.8</v>
      </c>
      <c r="U525" s="27" t="n">
        <f aca="false">E525+2*WS</f>
        <v>3.60000106284297</v>
      </c>
      <c r="V525" s="27" t="n">
        <f aca="false">IF(Q525="Shoring",D525*M525*U525,0)</f>
        <v>11.7962387359004</v>
      </c>
      <c r="W525" s="27" t="n">
        <f aca="false">IF(Q525="Open cut",D525*(U525*M525+SLOPE_B*S525^2+2*SLOPE_B*S525*T525+SLOPE_A*T525^2),0)</f>
        <v>0</v>
      </c>
      <c r="X525" s="27" t="n">
        <f aca="false">IF(M525&gt;0,D525*(E525+2*SLABOVH)*SLAB,0)</f>
        <v>1.01422686227919</v>
      </c>
      <c r="Y525" s="27" t="n">
        <f aca="false">IF(M525&gt;0,D525*PI()*E525^2/4,0)</f>
        <v>1.56863536751026</v>
      </c>
      <c r="Z525" s="27" t="n">
        <f aca="false">IF(H525-E525&gt;=GWL,99,E525*(MAX(0,GWL-H525)*(GAM_S-GAM_W)+MAX(0,NG-MAX(H525,GWL))*GAM_D)/(GAM_W*PI()*E525^2/4))</f>
        <v>2.03177906161345</v>
      </c>
      <c r="AA525" s="27" t="n">
        <f aca="false">IF(I525-E525&gt;=GWL,99,E525*(MAX(0,GWL-I525)*(GAM_S-GAM_W)+MAX(0,NG-MAX(I525,GWL))*GAM_D)/(GAM_W*PI()*E525^2/4))</f>
        <v>2.03177906161345</v>
      </c>
      <c r="AB525" s="27" t="n">
        <f aca="false">IF(H525-E525&gt;=GWL,99,E525*(MAX(0,GWL-H525)*(GAM_S-GAM_W)+MAX(0,FL-MAX(H525,GWL))*GAM_D)/(GAM_W*PI()*E525^2/4))</f>
        <v>4.51401047012111</v>
      </c>
      <c r="AC525" s="27" t="n">
        <f aca="false">IF(I525-E525&gt;=GWL,99,E525*(MAX(0,GWL-I525)*(GAM_S-GAM_W)+MAX(0,FL-MAX(I525,GWL))*GAM_D)/(GAM_W*PI()*E525^2/4))</f>
        <v>4.51401047012111</v>
      </c>
    </row>
    <row r="526" customFormat="false" ht="15" hidden="false" customHeight="false" outlineLevel="0" collapsed="false">
      <c r="A526" s="25" t="s">
        <v>993</v>
      </c>
      <c r="B526" s="25" t="s">
        <v>1044</v>
      </c>
      <c r="C526" s="25" t="s">
        <v>1046</v>
      </c>
      <c r="D526" s="26" t="n">
        <v>9.99999999984696</v>
      </c>
      <c r="E526" s="26" t="n">
        <v>1.60000106284297</v>
      </c>
      <c r="F526" s="26" t="n">
        <v>-4.90000053142148</v>
      </c>
      <c r="G526" s="26" t="n">
        <v>-4.90000053142148</v>
      </c>
      <c r="H526" s="26" t="n">
        <v>-2.79999946857852</v>
      </c>
      <c r="I526" s="26" t="n">
        <v>-2.79999946857852</v>
      </c>
      <c r="J526" s="26" t="n">
        <v>14.21</v>
      </c>
      <c r="K526" s="27" t="n">
        <f aca="false">MIN(F526,G526)</f>
        <v>-4.90000053142148</v>
      </c>
      <c r="L526" s="27" t="n">
        <f aca="false">AVERAGE(F526,G526)</f>
        <v>-4.90000053142148</v>
      </c>
      <c r="M526" s="27" t="n">
        <f aca="false">MAX(0,NG-L526)</f>
        <v>4.20000053142148</v>
      </c>
      <c r="N526" s="27" t="n">
        <f aca="false">MAX(0,GWL-K526)</f>
        <v>3.40000053142148</v>
      </c>
      <c r="O526" s="27" t="n">
        <f aca="false">MAX(0,NG-MAX(K526,GWL))</f>
        <v>0.8</v>
      </c>
      <c r="P526" s="27" t="n">
        <f aca="false">E526/2+WS+SLOPE_A*O526+SLOPE_B*N526</f>
        <v>9.80000159426445</v>
      </c>
      <c r="Q526" s="28" t="str">
        <f aca="false">IF(AND(P526&lt;J526,N526&lt;=MAXOC),"Open cut","Shoring")</f>
        <v>Shoring</v>
      </c>
      <c r="R526" s="27" t="n">
        <f aca="false">IF(Q526="Shoring",D526,0)</f>
        <v>9.99999999984696</v>
      </c>
      <c r="S526" s="27" t="n">
        <f aca="false">MAX(0,GWL-L526)</f>
        <v>3.40000053142148</v>
      </c>
      <c r="T526" s="27" t="n">
        <f aca="false">MAX(0,NG-MAX(L526,GWL))</f>
        <v>0.8</v>
      </c>
      <c r="U526" s="27" t="n">
        <f aca="false">E526+2*WS</f>
        <v>3.60000106284297</v>
      </c>
      <c r="V526" s="27" t="n">
        <f aca="false">IF(Q526="Shoring",D526*M526*U526,0)</f>
        <v>151.20006376827</v>
      </c>
      <c r="W526" s="27" t="n">
        <f aca="false">IF(Q526="Open cut",D526*(U526*M526+SLOPE_B*S526^2+2*SLOPE_B*S526*T526+SLOPE_A*T526^2),0)</f>
        <v>0</v>
      </c>
      <c r="X526" s="27" t="n">
        <f aca="false">IF(M526&gt;0,D526*(E526+2*SLABOVH)*SLAB,0)</f>
        <v>13.0000053140159</v>
      </c>
      <c r="Y526" s="27" t="n">
        <f aca="false">IF(M526&gt;0,D526*PI()*E526^2/4,0)</f>
        <v>20.1062196948331</v>
      </c>
      <c r="Z526" s="27" t="n">
        <f aca="false">IF(H526-E526&gt;=GWL,99,E526*(MAX(0,GWL-H526)*(GAM_S-GAM_W)+MAX(0,NG-MAX(H526,GWL))*GAM_D)/(GAM_W*PI()*E526^2/4))</f>
        <v>2.03177906161345</v>
      </c>
      <c r="AA526" s="27" t="n">
        <f aca="false">IF(I526-E526&gt;=GWL,99,E526*(MAX(0,GWL-I526)*(GAM_S-GAM_W)+MAX(0,NG-MAX(I526,GWL))*GAM_D)/(GAM_W*PI()*E526^2/4))</f>
        <v>2.03177906161345</v>
      </c>
      <c r="AB526" s="27" t="n">
        <f aca="false">IF(H526-E526&gt;=GWL,99,E526*(MAX(0,GWL-H526)*(GAM_S-GAM_W)+MAX(0,FL-MAX(H526,GWL))*GAM_D)/(GAM_W*PI()*E526^2/4))</f>
        <v>4.51401047012111</v>
      </c>
      <c r="AC526" s="27" t="n">
        <f aca="false">IF(I526-E526&gt;=GWL,99,E526*(MAX(0,GWL-I526)*(GAM_S-GAM_W)+MAX(0,FL-MAX(I526,GWL))*GAM_D)/(GAM_W*PI()*E526^2/4))</f>
        <v>4.51401047012111</v>
      </c>
    </row>
    <row r="527" customFormat="false" ht="15" hidden="false" customHeight="false" outlineLevel="0" collapsed="false">
      <c r="A527" s="25" t="s">
        <v>993</v>
      </c>
      <c r="B527" s="25" t="s">
        <v>1044</v>
      </c>
      <c r="C527" s="25" t="s">
        <v>1047</v>
      </c>
      <c r="D527" s="26" t="n">
        <v>10.0000000003079</v>
      </c>
      <c r="E527" s="26" t="n">
        <v>1.60000106284297</v>
      </c>
      <c r="F527" s="26" t="n">
        <v>-4.90000053142148</v>
      </c>
      <c r="G527" s="26" t="n">
        <v>-4.90000053142148</v>
      </c>
      <c r="H527" s="26" t="n">
        <v>-2.79999946857852</v>
      </c>
      <c r="I527" s="26" t="n">
        <v>-2.79999946857852</v>
      </c>
      <c r="J527" s="26" t="n">
        <v>9.62</v>
      </c>
      <c r="K527" s="27" t="n">
        <f aca="false">MIN(F527,G527)</f>
        <v>-4.90000053142148</v>
      </c>
      <c r="L527" s="27" t="n">
        <f aca="false">AVERAGE(F527,G527)</f>
        <v>-4.90000053142148</v>
      </c>
      <c r="M527" s="27" t="n">
        <f aca="false">MAX(0,NG-L527)</f>
        <v>4.20000053142148</v>
      </c>
      <c r="N527" s="27" t="n">
        <f aca="false">MAX(0,GWL-K527)</f>
        <v>3.40000053142148</v>
      </c>
      <c r="O527" s="27" t="n">
        <f aca="false">MAX(0,NG-MAX(K527,GWL))</f>
        <v>0.8</v>
      </c>
      <c r="P527" s="27" t="n">
        <f aca="false">E527/2+WS+SLOPE_A*O527+SLOPE_B*N527</f>
        <v>9.80000159426445</v>
      </c>
      <c r="Q527" s="28" t="str">
        <f aca="false">IF(AND(P527&lt;J527,N527&lt;=MAXOC),"Open cut","Shoring")</f>
        <v>Shoring</v>
      </c>
      <c r="R527" s="27" t="n">
        <f aca="false">IF(Q527="Shoring",D527,0)</f>
        <v>10.0000000003079</v>
      </c>
      <c r="S527" s="27" t="n">
        <f aca="false">MAX(0,GWL-L527)</f>
        <v>3.40000053142148</v>
      </c>
      <c r="T527" s="27" t="n">
        <f aca="false">MAX(0,NG-MAX(L527,GWL))</f>
        <v>0.8</v>
      </c>
      <c r="U527" s="27" t="n">
        <f aca="false">E527+2*WS</f>
        <v>3.60000106284297</v>
      </c>
      <c r="V527" s="27" t="n">
        <f aca="false">IF(Q527="Shoring",D527*M527*U527,0)</f>
        <v>151.200063775238</v>
      </c>
      <c r="W527" s="27" t="n">
        <f aca="false">IF(Q527="Open cut",D527*(U527*M527+SLOPE_B*S527^2+2*SLOPE_B*S527*T527+SLOPE_A*T527^2),0)</f>
        <v>0</v>
      </c>
      <c r="X527" s="27" t="n">
        <f aca="false">IF(M527&gt;0,D527*(E527+2*SLABOVH)*SLAB,0)</f>
        <v>13.0000053146151</v>
      </c>
      <c r="Y527" s="27" t="n">
        <f aca="false">IF(M527&gt;0,D527*PI()*E527^2/4,0)</f>
        <v>20.1062196957598</v>
      </c>
      <c r="Z527" s="27" t="n">
        <f aca="false">IF(H527-E527&gt;=GWL,99,E527*(MAX(0,GWL-H527)*(GAM_S-GAM_W)+MAX(0,NG-MAX(H527,GWL))*GAM_D)/(GAM_W*PI()*E527^2/4))</f>
        <v>2.03177906161345</v>
      </c>
      <c r="AA527" s="27" t="n">
        <f aca="false">IF(I527-E527&gt;=GWL,99,E527*(MAX(0,GWL-I527)*(GAM_S-GAM_W)+MAX(0,NG-MAX(I527,GWL))*GAM_D)/(GAM_W*PI()*E527^2/4))</f>
        <v>2.03177906161345</v>
      </c>
      <c r="AB527" s="27" t="n">
        <f aca="false">IF(H527-E527&gt;=GWL,99,E527*(MAX(0,GWL-H527)*(GAM_S-GAM_W)+MAX(0,FL-MAX(H527,GWL))*GAM_D)/(GAM_W*PI()*E527^2/4))</f>
        <v>4.51401047012111</v>
      </c>
      <c r="AC527" s="27" t="n">
        <f aca="false">IF(I527-E527&gt;=GWL,99,E527*(MAX(0,GWL-I527)*(GAM_S-GAM_W)+MAX(0,FL-MAX(I527,GWL))*GAM_D)/(GAM_W*PI()*E527^2/4))</f>
        <v>4.51401047012111</v>
      </c>
    </row>
    <row r="528" customFormat="false" ht="15" hidden="false" customHeight="false" outlineLevel="0" collapsed="false">
      <c r="A528" s="25" t="s">
        <v>993</v>
      </c>
      <c r="B528" s="25" t="s">
        <v>1044</v>
      </c>
      <c r="C528" s="25" t="s">
        <v>1048</v>
      </c>
      <c r="D528" s="26" t="n">
        <v>9.99999999984696</v>
      </c>
      <c r="E528" s="26" t="n">
        <v>1.60000106284297</v>
      </c>
      <c r="F528" s="26" t="n">
        <v>-4.90000053142148</v>
      </c>
      <c r="G528" s="26" t="n">
        <v>-4.90000053142148</v>
      </c>
      <c r="H528" s="26" t="n">
        <v>-2.79999946857852</v>
      </c>
      <c r="I528" s="26" t="n">
        <v>-2.79999946857852</v>
      </c>
      <c r="J528" s="26" t="n">
        <v>7.29</v>
      </c>
      <c r="K528" s="27" t="n">
        <f aca="false">MIN(F528,G528)</f>
        <v>-4.90000053142148</v>
      </c>
      <c r="L528" s="27" t="n">
        <f aca="false">AVERAGE(F528,G528)</f>
        <v>-4.90000053142148</v>
      </c>
      <c r="M528" s="27" t="n">
        <f aca="false">MAX(0,NG-L528)</f>
        <v>4.20000053142148</v>
      </c>
      <c r="N528" s="27" t="n">
        <f aca="false">MAX(0,GWL-K528)</f>
        <v>3.40000053142148</v>
      </c>
      <c r="O528" s="27" t="n">
        <f aca="false">MAX(0,NG-MAX(K528,GWL))</f>
        <v>0.8</v>
      </c>
      <c r="P528" s="27" t="n">
        <f aca="false">E528/2+WS+SLOPE_A*O528+SLOPE_B*N528</f>
        <v>9.80000159426445</v>
      </c>
      <c r="Q528" s="28" t="str">
        <f aca="false">IF(AND(P528&lt;J528,N528&lt;=MAXOC),"Open cut","Shoring")</f>
        <v>Shoring</v>
      </c>
      <c r="R528" s="27" t="n">
        <f aca="false">IF(Q528="Shoring",D528,0)</f>
        <v>9.99999999984696</v>
      </c>
      <c r="S528" s="27" t="n">
        <f aca="false">MAX(0,GWL-L528)</f>
        <v>3.40000053142148</v>
      </c>
      <c r="T528" s="27" t="n">
        <f aca="false">MAX(0,NG-MAX(L528,GWL))</f>
        <v>0.8</v>
      </c>
      <c r="U528" s="27" t="n">
        <f aca="false">E528+2*WS</f>
        <v>3.60000106284297</v>
      </c>
      <c r="V528" s="27" t="n">
        <f aca="false">IF(Q528="Shoring",D528*M528*U528,0)</f>
        <v>151.20006376827</v>
      </c>
      <c r="W528" s="27" t="n">
        <f aca="false">IF(Q528="Open cut",D528*(U528*M528+SLOPE_B*S528^2+2*SLOPE_B*S528*T528+SLOPE_A*T528^2),0)</f>
        <v>0</v>
      </c>
      <c r="X528" s="27" t="n">
        <f aca="false">IF(M528&gt;0,D528*(E528+2*SLABOVH)*SLAB,0)</f>
        <v>13.0000053140159</v>
      </c>
      <c r="Y528" s="27" t="n">
        <f aca="false">IF(M528&gt;0,D528*PI()*E528^2/4,0)</f>
        <v>20.1062196948331</v>
      </c>
      <c r="Z528" s="27" t="n">
        <f aca="false">IF(H528-E528&gt;=GWL,99,E528*(MAX(0,GWL-H528)*(GAM_S-GAM_W)+MAX(0,NG-MAX(H528,GWL))*GAM_D)/(GAM_W*PI()*E528^2/4))</f>
        <v>2.03177906161345</v>
      </c>
      <c r="AA528" s="27" t="n">
        <f aca="false">IF(I528-E528&gt;=GWL,99,E528*(MAX(0,GWL-I528)*(GAM_S-GAM_W)+MAX(0,NG-MAX(I528,GWL))*GAM_D)/(GAM_W*PI()*E528^2/4))</f>
        <v>2.03177906161345</v>
      </c>
      <c r="AB528" s="27" t="n">
        <f aca="false">IF(H528-E528&gt;=GWL,99,E528*(MAX(0,GWL-H528)*(GAM_S-GAM_W)+MAX(0,FL-MAX(H528,GWL))*GAM_D)/(GAM_W*PI()*E528^2/4))</f>
        <v>4.51401047012111</v>
      </c>
      <c r="AC528" s="27" t="n">
        <f aca="false">IF(I528-E528&gt;=GWL,99,E528*(MAX(0,GWL-I528)*(GAM_S-GAM_W)+MAX(0,FL-MAX(I528,GWL))*GAM_D)/(GAM_W*PI()*E528^2/4))</f>
        <v>4.51401047012111</v>
      </c>
    </row>
    <row r="529" customFormat="false" ht="15" hidden="false" customHeight="false" outlineLevel="0" collapsed="false">
      <c r="A529" s="25" t="s">
        <v>993</v>
      </c>
      <c r="B529" s="25" t="s">
        <v>1044</v>
      </c>
      <c r="C529" s="25" t="s">
        <v>1049</v>
      </c>
      <c r="D529" s="26" t="n">
        <v>9.9999999999056</v>
      </c>
      <c r="E529" s="26" t="n">
        <v>1.60000106284297</v>
      </c>
      <c r="F529" s="26" t="n">
        <v>-4.90000053142148</v>
      </c>
      <c r="G529" s="26" t="n">
        <v>-4.90000053142148</v>
      </c>
      <c r="H529" s="26" t="n">
        <v>-2.79999946857852</v>
      </c>
      <c r="I529" s="26" t="n">
        <v>-2.79999946857852</v>
      </c>
      <c r="J529" s="26" t="n">
        <v>7.09</v>
      </c>
      <c r="K529" s="27" t="n">
        <f aca="false">MIN(F529,G529)</f>
        <v>-4.90000053142148</v>
      </c>
      <c r="L529" s="27" t="n">
        <f aca="false">AVERAGE(F529,G529)</f>
        <v>-4.90000053142148</v>
      </c>
      <c r="M529" s="27" t="n">
        <f aca="false">MAX(0,NG-L529)</f>
        <v>4.20000053142148</v>
      </c>
      <c r="N529" s="27" t="n">
        <f aca="false">MAX(0,GWL-K529)</f>
        <v>3.40000053142148</v>
      </c>
      <c r="O529" s="27" t="n">
        <f aca="false">MAX(0,NG-MAX(K529,GWL))</f>
        <v>0.8</v>
      </c>
      <c r="P529" s="27" t="n">
        <f aca="false">E529/2+WS+SLOPE_A*O529+SLOPE_B*N529</f>
        <v>9.80000159426445</v>
      </c>
      <c r="Q529" s="28" t="str">
        <f aca="false">IF(AND(P529&lt;J529,N529&lt;=MAXOC),"Open cut","Shoring")</f>
        <v>Shoring</v>
      </c>
      <c r="R529" s="27" t="n">
        <f aca="false">IF(Q529="Shoring",D529,0)</f>
        <v>9.9999999999056</v>
      </c>
      <c r="S529" s="27" t="n">
        <f aca="false">MAX(0,GWL-L529)</f>
        <v>3.40000053142148</v>
      </c>
      <c r="T529" s="27" t="n">
        <f aca="false">MAX(0,NG-MAX(L529,GWL))</f>
        <v>0.8</v>
      </c>
      <c r="U529" s="27" t="n">
        <f aca="false">E529+2*WS</f>
        <v>3.60000106284297</v>
      </c>
      <c r="V529" s="27" t="n">
        <f aca="false">IF(Q529="Shoring",D529*M529*U529,0)</f>
        <v>151.200063769156</v>
      </c>
      <c r="W529" s="27" t="n">
        <f aca="false">IF(Q529="Open cut",D529*(U529*M529+SLOPE_B*S529^2+2*SLOPE_B*S529*T529+SLOPE_A*T529^2),0)</f>
        <v>0</v>
      </c>
      <c r="X529" s="27" t="n">
        <f aca="false">IF(M529&gt;0,D529*(E529+2*SLABOVH)*SLAB,0)</f>
        <v>13.0000053140921</v>
      </c>
      <c r="Y529" s="27" t="n">
        <f aca="false">IF(M529&gt;0,D529*PI()*E529^2/4,0)</f>
        <v>20.106219694951</v>
      </c>
      <c r="Z529" s="27" t="n">
        <f aca="false">IF(H529-E529&gt;=GWL,99,E529*(MAX(0,GWL-H529)*(GAM_S-GAM_W)+MAX(0,NG-MAX(H529,GWL))*GAM_D)/(GAM_W*PI()*E529^2/4))</f>
        <v>2.03177906161345</v>
      </c>
      <c r="AA529" s="27" t="n">
        <f aca="false">IF(I529-E529&gt;=GWL,99,E529*(MAX(0,GWL-I529)*(GAM_S-GAM_W)+MAX(0,NG-MAX(I529,GWL))*GAM_D)/(GAM_W*PI()*E529^2/4))</f>
        <v>2.03177906161345</v>
      </c>
      <c r="AB529" s="27" t="n">
        <f aca="false">IF(H529-E529&gt;=GWL,99,E529*(MAX(0,GWL-H529)*(GAM_S-GAM_W)+MAX(0,FL-MAX(H529,GWL))*GAM_D)/(GAM_W*PI()*E529^2/4))</f>
        <v>4.51401047012111</v>
      </c>
      <c r="AC529" s="27" t="n">
        <f aca="false">IF(I529-E529&gt;=GWL,99,E529*(MAX(0,GWL-I529)*(GAM_S-GAM_W)+MAX(0,FL-MAX(I529,GWL))*GAM_D)/(GAM_W*PI()*E529^2/4))</f>
        <v>4.51401047012111</v>
      </c>
    </row>
    <row r="530" customFormat="false" ht="15" hidden="false" customHeight="false" outlineLevel="0" collapsed="false">
      <c r="A530" s="25" t="s">
        <v>993</v>
      </c>
      <c r="B530" s="25" t="s">
        <v>1044</v>
      </c>
      <c r="C530" s="25" t="s">
        <v>1050</v>
      </c>
      <c r="D530" s="26" t="n">
        <v>5.55428236270882</v>
      </c>
      <c r="E530" s="26" t="n">
        <v>1.60000106284297</v>
      </c>
      <c r="F530" s="26" t="n">
        <v>-4.90000053142148</v>
      </c>
      <c r="G530" s="26" t="n">
        <v>-4.90000053142148</v>
      </c>
      <c r="H530" s="26" t="n">
        <v>-2.79999946857852</v>
      </c>
      <c r="I530" s="26" t="n">
        <v>-2.79999946857852</v>
      </c>
      <c r="J530" s="26" t="n">
        <v>7.63</v>
      </c>
      <c r="K530" s="27" t="n">
        <f aca="false">MIN(F530,G530)</f>
        <v>-4.90000053142148</v>
      </c>
      <c r="L530" s="27" t="n">
        <f aca="false">AVERAGE(F530,G530)</f>
        <v>-4.90000053142148</v>
      </c>
      <c r="M530" s="27" t="n">
        <f aca="false">MAX(0,NG-L530)</f>
        <v>4.20000053142148</v>
      </c>
      <c r="N530" s="27" t="n">
        <f aca="false">MAX(0,GWL-K530)</f>
        <v>3.40000053142148</v>
      </c>
      <c r="O530" s="27" t="n">
        <f aca="false">MAX(0,NG-MAX(K530,GWL))</f>
        <v>0.8</v>
      </c>
      <c r="P530" s="27" t="n">
        <f aca="false">E530/2+WS+SLOPE_A*O530+SLOPE_B*N530</f>
        <v>9.80000159426445</v>
      </c>
      <c r="Q530" s="28" t="str">
        <f aca="false">IF(AND(P530&lt;J530,N530&lt;=MAXOC),"Open cut","Shoring")</f>
        <v>Shoring</v>
      </c>
      <c r="R530" s="27" t="n">
        <f aca="false">IF(Q530="Shoring",D530,0)</f>
        <v>5.55428236270882</v>
      </c>
      <c r="S530" s="27" t="n">
        <f aca="false">MAX(0,GWL-L530)</f>
        <v>3.40000053142148</v>
      </c>
      <c r="T530" s="27" t="n">
        <f aca="false">MAX(0,NG-MAX(L530,GWL))</f>
        <v>0.8</v>
      </c>
      <c r="U530" s="27" t="n">
        <f aca="false">E530+2*WS</f>
        <v>3.60000106284297</v>
      </c>
      <c r="V530" s="27" t="n">
        <f aca="false">IF(Q530="Shoring",D530*M530*U530,0)</f>
        <v>83.9807847441402</v>
      </c>
      <c r="W530" s="27" t="n">
        <f aca="false">IF(Q530="Open cut",D530*(U530*M530+SLOPE_B*S530^2+2*SLOPE_B*S530*T530+SLOPE_A*T530^2),0)</f>
        <v>0</v>
      </c>
      <c r="X530" s="27" t="n">
        <f aca="false">IF(M530&gt;0,D530*(E530+2*SLABOVH)*SLAB,0)</f>
        <v>7.22057002318644</v>
      </c>
      <c r="Y530" s="27" t="n">
        <f aca="false">IF(M530&gt;0,D530*PI()*E530^2/4,0)</f>
        <v>11.1675621433469</v>
      </c>
      <c r="Z530" s="27" t="n">
        <f aca="false">IF(H530-E530&gt;=GWL,99,E530*(MAX(0,GWL-H530)*(GAM_S-GAM_W)+MAX(0,NG-MAX(H530,GWL))*GAM_D)/(GAM_W*PI()*E530^2/4))</f>
        <v>2.03177906161345</v>
      </c>
      <c r="AA530" s="27" t="n">
        <f aca="false">IF(I530-E530&gt;=GWL,99,E530*(MAX(0,GWL-I530)*(GAM_S-GAM_W)+MAX(0,NG-MAX(I530,GWL))*GAM_D)/(GAM_W*PI()*E530^2/4))</f>
        <v>2.03177906161345</v>
      </c>
      <c r="AB530" s="27" t="n">
        <f aca="false">IF(H530-E530&gt;=GWL,99,E530*(MAX(0,GWL-H530)*(GAM_S-GAM_W)+MAX(0,FL-MAX(H530,GWL))*GAM_D)/(GAM_W*PI()*E530^2/4))</f>
        <v>4.51401047012111</v>
      </c>
      <c r="AC530" s="27" t="n">
        <f aca="false">IF(I530-E530&gt;=GWL,99,E530*(MAX(0,GWL-I530)*(GAM_S-GAM_W)+MAX(0,FL-MAX(I530,GWL))*GAM_D)/(GAM_W*PI()*E530^2/4))</f>
        <v>4.51401047012111</v>
      </c>
    </row>
    <row r="531" customFormat="false" ht="15" hidden="false" customHeight="false" outlineLevel="0" collapsed="false">
      <c r="A531" s="25" t="s">
        <v>993</v>
      </c>
      <c r="B531" s="25" t="s">
        <v>1044</v>
      </c>
      <c r="C531" s="25" t="s">
        <v>1051</v>
      </c>
      <c r="D531" s="26" t="n">
        <v>4.2912100003573</v>
      </c>
      <c r="E531" s="26" t="n">
        <v>1.59999494326341</v>
      </c>
      <c r="F531" s="26" t="n">
        <v>-4.89999747163171</v>
      </c>
      <c r="G531" s="26" t="n">
        <v>-4.89999747163171</v>
      </c>
      <c r="H531" s="26" t="n">
        <v>-2.80000252836829</v>
      </c>
      <c r="I531" s="26" t="n">
        <v>-2.80000252836829</v>
      </c>
      <c r="J531" s="26" t="n">
        <v>8.97</v>
      </c>
      <c r="K531" s="27" t="n">
        <f aca="false">MIN(F531,G531)</f>
        <v>-4.89999747163171</v>
      </c>
      <c r="L531" s="27" t="n">
        <f aca="false">AVERAGE(F531,G531)</f>
        <v>-4.89999747163171</v>
      </c>
      <c r="M531" s="27" t="n">
        <f aca="false">MAX(0,NG-L531)</f>
        <v>4.19999747163171</v>
      </c>
      <c r="N531" s="27" t="n">
        <f aca="false">MAX(0,GWL-K531)</f>
        <v>3.39999747163171</v>
      </c>
      <c r="O531" s="27" t="n">
        <f aca="false">MAX(0,NG-MAX(K531,GWL))</f>
        <v>0.8</v>
      </c>
      <c r="P531" s="27" t="n">
        <f aca="false">E531/2+WS+SLOPE_A*O531+SLOPE_B*N531</f>
        <v>9.79999241489512</v>
      </c>
      <c r="Q531" s="28" t="str">
        <f aca="false">IF(AND(P531&lt;J531,N531&lt;=MAXOC),"Open cut","Shoring")</f>
        <v>Shoring</v>
      </c>
      <c r="R531" s="27" t="n">
        <f aca="false">IF(Q531="Shoring",D531,0)</f>
        <v>4.2912100003573</v>
      </c>
      <c r="S531" s="27" t="n">
        <f aca="false">MAX(0,GWL-L531)</f>
        <v>3.39999747163171</v>
      </c>
      <c r="T531" s="27" t="n">
        <f aca="false">MAX(0,NG-MAX(L531,GWL))</f>
        <v>0.8</v>
      </c>
      <c r="U531" s="27" t="n">
        <f aca="false">E531+2*WS</f>
        <v>3.59999494326341</v>
      </c>
      <c r="V531" s="27" t="n">
        <f aca="false">IF(Q531="Shoring",D531*M531*U531,0)</f>
        <v>64.8829650083455</v>
      </c>
      <c r="W531" s="27" t="n">
        <f aca="false">IF(Q531="Open cut",D531*(U531*M531+SLOPE_B*S531^2+2*SLOPE_B*S531*T531+SLOPE_A*T531^2),0)</f>
        <v>0</v>
      </c>
      <c r="X531" s="27" t="n">
        <f aca="false">IF(M531&gt;0,D531*(E531+2*SLABOVH)*SLAB,0)</f>
        <v>5.57856215070518</v>
      </c>
      <c r="Y531" s="27" t="n">
        <f aca="false">IF(M531&gt;0,D531*PI()*E531^2/4,0)</f>
        <v>8.62793510301303</v>
      </c>
      <c r="Z531" s="27" t="n">
        <f aca="false">IF(H531-E531&gt;=GWL,99,E531*(MAX(0,GWL-H531)*(GAM_S-GAM_W)+MAX(0,NG-MAX(H531,GWL))*GAM_D)/(GAM_W*PI()*E531^2/4))</f>
        <v>2.03178886547465</v>
      </c>
      <c r="AA531" s="27" t="n">
        <f aca="false">IF(I531-E531&gt;=GWL,99,E531*(MAX(0,GWL-I531)*(GAM_S-GAM_W)+MAX(0,NG-MAX(I531,GWL))*GAM_D)/(GAM_W*PI()*E531^2/4))</f>
        <v>2.03178886547465</v>
      </c>
      <c r="AB531" s="27" t="n">
        <f aca="false">IF(H531-E531&gt;=GWL,99,E531*(MAX(0,GWL-H531)*(GAM_S-GAM_W)+MAX(0,FL-MAX(H531,GWL))*GAM_D)/(GAM_W*PI()*E531^2/4))</f>
        <v>4.51402976789517</v>
      </c>
      <c r="AC531" s="27" t="n">
        <f aca="false">IF(I531-E531&gt;=GWL,99,E531*(MAX(0,GWL-I531)*(GAM_S-GAM_W)+MAX(0,FL-MAX(I531,GWL))*GAM_D)/(GAM_W*PI()*E531^2/4))</f>
        <v>4.51402976789517</v>
      </c>
    </row>
    <row r="532" customFormat="false" ht="15" hidden="false" customHeight="false" outlineLevel="0" collapsed="false">
      <c r="A532" s="25" t="s">
        <v>993</v>
      </c>
      <c r="B532" s="25" t="s">
        <v>1044</v>
      </c>
      <c r="C532" s="25" t="s">
        <v>1052</v>
      </c>
      <c r="D532" s="26" t="n">
        <v>0.154507636781448</v>
      </c>
      <c r="E532" s="26" t="n">
        <v>1.60000064238856</v>
      </c>
      <c r="F532" s="26" t="n">
        <v>-4.90000032119428</v>
      </c>
      <c r="G532" s="26" t="n">
        <v>-4.90136790689798</v>
      </c>
      <c r="H532" s="26" t="n">
        <v>-2.79999967880572</v>
      </c>
      <c r="I532" s="26" t="n">
        <v>-2.80136726450941</v>
      </c>
      <c r="J532" s="26" t="n">
        <v>10.52</v>
      </c>
      <c r="K532" s="27" t="n">
        <f aca="false">MIN(F532,G532)</f>
        <v>-4.90136790689798</v>
      </c>
      <c r="L532" s="27" t="n">
        <f aca="false">AVERAGE(F532,G532)</f>
        <v>-4.90068411404613</v>
      </c>
      <c r="M532" s="27" t="n">
        <f aca="false">MAX(0,NG-L532)</f>
        <v>4.20068411404613</v>
      </c>
      <c r="N532" s="27" t="n">
        <f aca="false">MAX(0,GWL-K532)</f>
        <v>3.40136790689798</v>
      </c>
      <c r="O532" s="27" t="n">
        <f aca="false">MAX(0,NG-MAX(K532,GWL))</f>
        <v>0.8</v>
      </c>
      <c r="P532" s="27" t="n">
        <f aca="false">E532/2+WS+SLOPE_A*O532+SLOPE_B*N532</f>
        <v>9.80273613499024</v>
      </c>
      <c r="Q532" s="28" t="str">
        <f aca="false">IF(AND(P532&lt;J532,N532&lt;=MAXOC),"Open cut","Shoring")</f>
        <v>Shoring</v>
      </c>
      <c r="R532" s="27" t="n">
        <f aca="false">IF(Q532="Shoring",D532,0)</f>
        <v>0.154507636781448</v>
      </c>
      <c r="S532" s="27" t="n">
        <f aca="false">MAX(0,GWL-L532)</f>
        <v>3.40068411404613</v>
      </c>
      <c r="T532" s="27" t="n">
        <f aca="false">MAX(0,NG-MAX(L532,GWL))</f>
        <v>0.8</v>
      </c>
      <c r="U532" s="27" t="n">
        <f aca="false">E532+2*WS</f>
        <v>3.60000064238856</v>
      </c>
      <c r="V532" s="27" t="n">
        <f aca="false">IF(Q532="Shoring",D532*M532*U532,0)</f>
        <v>2.33653640811034</v>
      </c>
      <c r="W532" s="27" t="n">
        <f aca="false">IF(Q532="Open cut",D532*(U532*M532+SLOPE_B*S532^2+2*SLOPE_B*S532*T532+SLOPE_A*T532^2),0)</f>
        <v>0</v>
      </c>
      <c r="X532" s="27" t="n">
        <f aca="false">IF(M532&gt;0,D532*(E532+2*SLABOVH)*SLAB,0)</f>
        <v>0.200859977442852</v>
      </c>
      <c r="Y532" s="27" t="n">
        <f aca="false">IF(M532&gt;0,D532*PI()*E532^2/4,0)</f>
        <v>0.310656285699521</v>
      </c>
      <c r="Z532" s="27" t="n">
        <f aca="false">IF(H532-E532&gt;=GWL,99,E532*(MAX(0,GWL-H532)*(GAM_S-GAM_W)+MAX(0,NG-MAX(H532,GWL))*GAM_D)/(GAM_W*PI()*E532^2/4))</f>
        <v>2.03177973519925</v>
      </c>
      <c r="AA532" s="27" t="n">
        <f aca="false">IF(I532-E532&gt;=GWL,99,E532*(MAX(0,GWL-I532)*(GAM_S-GAM_W)+MAX(0,NG-MAX(I532,GWL))*GAM_D)/(GAM_W*PI()*E532^2/4))</f>
        <v>2.0326883073235</v>
      </c>
      <c r="AB532" s="27" t="n">
        <f aca="false">IF(H532-E532&gt;=GWL,99,E532*(MAX(0,GWL-H532)*(GAM_S-GAM_W)+MAX(0,FL-MAX(H532,GWL))*GAM_D)/(GAM_W*PI()*E532^2/4))</f>
        <v>4.51401179599735</v>
      </c>
      <c r="AC532" s="27" t="n">
        <f aca="false">IF(I532-E532&gt;=GWL,99,E532*(MAX(0,GWL-I532)*(GAM_S-GAM_W)+MAX(0,FL-MAX(I532,GWL))*GAM_D)/(GAM_W*PI()*E532^2/4))</f>
        <v>4.5149203681216</v>
      </c>
    </row>
    <row r="533" customFormat="false" ht="15" hidden="false" customHeight="false" outlineLevel="0" collapsed="false">
      <c r="A533" s="25" t="s">
        <v>993</v>
      </c>
      <c r="B533" s="25" t="s">
        <v>1044</v>
      </c>
      <c r="C533" s="25" t="s">
        <v>1053</v>
      </c>
      <c r="D533" s="26" t="n">
        <v>0.820495906936811</v>
      </c>
      <c r="E533" s="26" t="n">
        <v>1.60000064238856</v>
      </c>
      <c r="F533" s="26" t="n">
        <v>-4.90136790689798</v>
      </c>
      <c r="G533" s="26" t="n">
        <v>-4.90863032119428</v>
      </c>
      <c r="H533" s="26" t="n">
        <v>-2.80136726450941</v>
      </c>
      <c r="I533" s="26" t="n">
        <v>-2.80862967880572</v>
      </c>
      <c r="J533" s="26" t="n">
        <v>10.58</v>
      </c>
      <c r="K533" s="27" t="n">
        <f aca="false">MIN(F533,G533)</f>
        <v>-4.90863032119428</v>
      </c>
      <c r="L533" s="27" t="n">
        <f aca="false">AVERAGE(F533,G533)</f>
        <v>-4.90499911404613</v>
      </c>
      <c r="M533" s="27" t="n">
        <f aca="false">MAX(0,NG-L533)</f>
        <v>4.20499911404613</v>
      </c>
      <c r="N533" s="27" t="n">
        <f aca="false">MAX(0,GWL-K533)</f>
        <v>3.40863032119428</v>
      </c>
      <c r="O533" s="27" t="n">
        <f aca="false">MAX(0,NG-MAX(K533,GWL))</f>
        <v>0.8</v>
      </c>
      <c r="P533" s="27" t="n">
        <f aca="false">E533/2+WS+SLOPE_A*O533+SLOPE_B*N533</f>
        <v>9.81726096358285</v>
      </c>
      <c r="Q533" s="28" t="str">
        <f aca="false">IF(AND(P533&lt;J533,N533&lt;=MAXOC),"Open cut","Shoring")</f>
        <v>Shoring</v>
      </c>
      <c r="R533" s="27" t="n">
        <f aca="false">IF(Q533="Shoring",D533,0)</f>
        <v>0.820495906936811</v>
      </c>
      <c r="S533" s="27" t="n">
        <f aca="false">MAX(0,GWL-L533)</f>
        <v>3.40499911404613</v>
      </c>
      <c r="T533" s="27" t="n">
        <f aca="false">MAX(0,NG-MAX(L533,GWL))</f>
        <v>0.8</v>
      </c>
      <c r="U533" s="27" t="n">
        <f aca="false">E533+2*WS</f>
        <v>3.60000064238856</v>
      </c>
      <c r="V533" s="27" t="n">
        <f aca="false">IF(Q533="Shoring",D533*M533*U533,0)</f>
        <v>12.4206666386511</v>
      </c>
      <c r="W533" s="27" t="n">
        <f aca="false">IF(Q533="Open cut",D533*(U533*M533+SLOPE_B*S533^2+2*SLOPE_B*S533*T533+SLOPE_A*T533^2),0)</f>
        <v>0</v>
      </c>
      <c r="X533" s="27" t="n">
        <f aca="false">IF(M533&gt;0,D533*(E533+2*SLABOVH)*SLAB,0)</f>
        <v>1.06664494255645</v>
      </c>
      <c r="Y533" s="27" t="n">
        <f aca="false">IF(M533&gt;0,D533*PI()*E533^2/4,0)</f>
        <v>1.64970622935096</v>
      </c>
      <c r="Z533" s="27" t="n">
        <f aca="false">IF(H533-E533&gt;=GWL,99,E533*(MAX(0,GWL-H533)*(GAM_S-GAM_W)+MAX(0,NG-MAX(H533,GWL))*GAM_D)/(GAM_W*PI()*E533^2/4))</f>
        <v>2.0326883073235</v>
      </c>
      <c r="AA533" s="27" t="n">
        <f aca="false">IF(I533-E533&gt;=GWL,99,E533*(MAX(0,GWL-I533)*(GAM_S-GAM_W)+MAX(0,NG-MAX(I533,GWL))*GAM_D)/(GAM_W*PI()*E533^2/4))</f>
        <v>2.03751318021192</v>
      </c>
      <c r="AB533" s="27" t="n">
        <f aca="false">IF(H533-E533&gt;=GWL,99,E533*(MAX(0,GWL-H533)*(GAM_S-GAM_W)+MAX(0,FL-MAX(H533,GWL))*GAM_D)/(GAM_W*PI()*E533^2/4))</f>
        <v>4.5149203681216</v>
      </c>
      <c r="AC533" s="27" t="n">
        <f aca="false">IF(I533-E533&gt;=GWL,99,E533*(MAX(0,GWL-I533)*(GAM_S-GAM_W)+MAX(0,FL-MAX(I533,GWL))*GAM_D)/(GAM_W*PI()*E533^2/4))</f>
        <v>4.51974524101002</v>
      </c>
    </row>
    <row r="534" customFormat="false" ht="15" hidden="false" customHeight="false" outlineLevel="0" collapsed="false">
      <c r="A534" s="25" t="s">
        <v>993</v>
      </c>
      <c r="B534" s="25" t="s">
        <v>1044</v>
      </c>
      <c r="C534" s="25" t="s">
        <v>1054</v>
      </c>
      <c r="D534" s="26" t="n">
        <v>0.974989716027911</v>
      </c>
      <c r="E534" s="26" t="n">
        <v>1.59999887133456</v>
      </c>
      <c r="F534" s="26" t="n">
        <v>-4.90862943566728</v>
      </c>
      <c r="G534" s="26" t="n">
        <v>-4.91726943566728</v>
      </c>
      <c r="H534" s="26" t="n">
        <v>-2.80863056433272</v>
      </c>
      <c r="I534" s="26" t="n">
        <v>-2.81727056433272</v>
      </c>
      <c r="J534" s="26" t="n">
        <v>10.62</v>
      </c>
      <c r="K534" s="27" t="n">
        <f aca="false">MIN(F534,G534)</f>
        <v>-4.91726943566728</v>
      </c>
      <c r="L534" s="27" t="n">
        <f aca="false">AVERAGE(F534,G534)</f>
        <v>-4.91294943566728</v>
      </c>
      <c r="M534" s="27" t="n">
        <f aca="false">MAX(0,NG-L534)</f>
        <v>4.21294943566728</v>
      </c>
      <c r="N534" s="27" t="n">
        <f aca="false">MAX(0,GWL-K534)</f>
        <v>3.41726943566728</v>
      </c>
      <c r="O534" s="27" t="n">
        <f aca="false">MAX(0,NG-MAX(K534,GWL))</f>
        <v>0.8</v>
      </c>
      <c r="P534" s="27" t="n">
        <f aca="false">E534/2+WS+SLOPE_A*O534+SLOPE_B*N534</f>
        <v>9.83453830700184</v>
      </c>
      <c r="Q534" s="28" t="str">
        <f aca="false">IF(AND(P534&lt;J534,N534&lt;=MAXOC),"Open cut","Shoring")</f>
        <v>Shoring</v>
      </c>
      <c r="R534" s="27" t="n">
        <f aca="false">IF(Q534="Shoring",D534,0)</f>
        <v>0.974989716027911</v>
      </c>
      <c r="S534" s="27" t="n">
        <f aca="false">MAX(0,GWL-L534)</f>
        <v>3.41294943566728</v>
      </c>
      <c r="T534" s="27" t="n">
        <f aca="false">MAX(0,NG-MAX(L534,GWL))</f>
        <v>0.8</v>
      </c>
      <c r="U534" s="27" t="n">
        <f aca="false">E534+2*WS</f>
        <v>3.59999887133456</v>
      </c>
      <c r="V534" s="27" t="n">
        <f aca="false">IF(Q534="Shoring",D534*M534*U534,0)</f>
        <v>14.78729191003</v>
      </c>
      <c r="W534" s="27" t="n">
        <f aca="false">IF(Q534="Open cut",D534*(U534*M534+SLOPE_B*S534^2+2*SLOPE_B*S534*T534+SLOPE_A*T534^2),0)</f>
        <v>0</v>
      </c>
      <c r="X534" s="27" t="n">
        <f aca="false">IF(M534&gt;0,D534*(E534+2*SLABOVH)*SLAB,0)</f>
        <v>1.26748608061769</v>
      </c>
      <c r="Y534" s="27" t="n">
        <f aca="false">IF(M534&gt;0,D534*PI()*E534^2/4,0)</f>
        <v>1.96033037298794</v>
      </c>
      <c r="Z534" s="27" t="n">
        <f aca="false">IF(H534-E534&gt;=GWL,99,E534*(MAX(0,GWL-H534)*(GAM_S-GAM_W)+MAX(0,NG-MAX(H534,GWL))*GAM_D)/(GAM_W*PI()*E534^2/4))</f>
        <v>2.03751602386592</v>
      </c>
      <c r="AA534" s="27" t="n">
        <f aca="false">IF(I534-E534&gt;=GWL,99,E534*(MAX(0,GWL-I534)*(GAM_S-GAM_W)+MAX(0,NG-MAX(I534,GWL))*GAM_D)/(GAM_W*PI()*E534^2/4))</f>
        <v>2.04325611885345</v>
      </c>
      <c r="AB534" s="27" t="n">
        <f aca="false">IF(H534-E534&gt;=GWL,99,E534*(MAX(0,GWL-H534)*(GAM_S-GAM_W)+MAX(0,FL-MAX(H534,GWL))*GAM_D)/(GAM_W*PI()*E534^2/4))</f>
        <v>4.51975083227035</v>
      </c>
      <c r="AC534" s="27" t="n">
        <f aca="false">IF(I534-E534&gt;=GWL,99,E534*(MAX(0,GWL-I534)*(GAM_S-GAM_W)+MAX(0,FL-MAX(I534,GWL))*GAM_D)/(GAM_W*PI()*E534^2/4))</f>
        <v>4.52549092725787</v>
      </c>
    </row>
    <row r="535" customFormat="false" ht="15" hidden="false" customHeight="false" outlineLevel="0" collapsed="false">
      <c r="A535" s="25" t="s">
        <v>993</v>
      </c>
      <c r="B535" s="25" t="s">
        <v>1044</v>
      </c>
      <c r="C535" s="25" t="s">
        <v>1055</v>
      </c>
      <c r="D535" s="26" t="n">
        <v>3.25321000009135</v>
      </c>
      <c r="E535" s="26" t="n">
        <v>1.59998409798642</v>
      </c>
      <c r="F535" s="26" t="n">
        <v>-4.91726204899321</v>
      </c>
      <c r="G535" s="26" t="n">
        <v>-4.94607204899321</v>
      </c>
      <c r="H535" s="26" t="n">
        <v>-2.81727795100679</v>
      </c>
      <c r="I535" s="26" t="n">
        <v>-2.84608795100679</v>
      </c>
      <c r="J535" s="26" t="n">
        <v>9.77</v>
      </c>
      <c r="K535" s="27" t="n">
        <f aca="false">MIN(F535,G535)</f>
        <v>-4.94607204899321</v>
      </c>
      <c r="L535" s="27" t="n">
        <f aca="false">AVERAGE(F535,G535)</f>
        <v>-4.93166704899321</v>
      </c>
      <c r="M535" s="27" t="n">
        <f aca="false">MAX(0,NG-L535)</f>
        <v>4.23166704899321</v>
      </c>
      <c r="N535" s="27" t="n">
        <f aca="false">MAX(0,GWL-K535)</f>
        <v>3.44607204899321</v>
      </c>
      <c r="O535" s="27" t="n">
        <f aca="false">MAX(0,NG-MAX(K535,GWL))</f>
        <v>0.8</v>
      </c>
      <c r="P535" s="27" t="n">
        <f aca="false">E535/2+WS+SLOPE_A*O535+SLOPE_B*N535</f>
        <v>9.89213614697962</v>
      </c>
      <c r="Q535" s="28" t="str">
        <f aca="false">IF(AND(P535&lt;J535,N535&lt;=MAXOC),"Open cut","Shoring")</f>
        <v>Shoring</v>
      </c>
      <c r="R535" s="27" t="n">
        <f aca="false">IF(Q535="Shoring",D535,0)</f>
        <v>3.25321000009135</v>
      </c>
      <c r="S535" s="27" t="n">
        <f aca="false">MAX(0,GWL-L535)</f>
        <v>3.43166704899321</v>
      </c>
      <c r="T535" s="27" t="n">
        <f aca="false">MAX(0,NG-MAX(L535,GWL))</f>
        <v>0.8</v>
      </c>
      <c r="U535" s="27" t="n">
        <f aca="false">E535+2*WS</f>
        <v>3.59998409798642</v>
      </c>
      <c r="V535" s="27" t="n">
        <f aca="false">IF(Q535="Shoring",D535*M535*U535,0)</f>
        <v>49.5591867039355</v>
      </c>
      <c r="W535" s="27" t="n">
        <f aca="false">IF(Q535="Open cut",D535*(U535*M535+SLOPE_B*S535^2+2*SLOPE_B*S535*T535+SLOPE_A*T535^2),0)</f>
        <v>0</v>
      </c>
      <c r="X535" s="27" t="n">
        <f aca="false">IF(M535&gt;0,D535*(E535+2*SLABOVH)*SLAB,0)</f>
        <v>4.22914713382395</v>
      </c>
      <c r="Y535" s="27" t="n">
        <f aca="false">IF(M535&gt;0,D535*PI()*E535^2/4,0)</f>
        <v>6.5408367900653</v>
      </c>
      <c r="Z535" s="27" t="n">
        <f aca="false">IF(H535-E535&gt;=GWL,99,E535*(MAX(0,GWL-H535)*(GAM_S-GAM_W)+MAX(0,NG-MAX(H535,GWL))*GAM_D)/(GAM_W*PI()*E535^2/4))</f>
        <v>2.04327989260182</v>
      </c>
      <c r="AA535" s="27" t="n">
        <f aca="false">IF(I535-E535&gt;=GWL,99,E535*(MAX(0,GWL-I535)*(GAM_S-GAM_W)+MAX(0,NG-MAX(I535,GWL))*GAM_D)/(GAM_W*PI()*E535^2/4))</f>
        <v>2.06242036291936</v>
      </c>
      <c r="AB535" s="27" t="n">
        <f aca="false">IF(H535-E535&gt;=GWL,99,E535*(MAX(0,GWL-H535)*(GAM_S-GAM_W)+MAX(0,FL-MAX(H535,GWL))*GAM_D)/(GAM_W*PI()*E535^2/4))</f>
        <v>4.52553762055842</v>
      </c>
      <c r="AC535" s="27" t="n">
        <f aca="false">IF(I535-E535&gt;=GWL,99,E535*(MAX(0,GWL-I535)*(GAM_S-GAM_W)+MAX(0,FL-MAX(I535,GWL))*GAM_D)/(GAM_W*PI()*E535^2/4))</f>
        <v>4.54467809087596</v>
      </c>
    </row>
    <row r="536" customFormat="false" ht="15" hidden="false" customHeight="false" outlineLevel="0" collapsed="false">
      <c r="A536" s="25" t="s">
        <v>993</v>
      </c>
      <c r="B536" s="25" t="s">
        <v>1044</v>
      </c>
      <c r="C536" s="25" t="s">
        <v>1056</v>
      </c>
      <c r="D536" s="26" t="n">
        <v>0.205003498992113</v>
      </c>
      <c r="E536" s="26" t="n">
        <v>1.59998409798642</v>
      </c>
      <c r="F536" s="26" t="n">
        <v>-4.94607204899321</v>
      </c>
      <c r="G536" s="26" t="n">
        <v>-4.94788204899321</v>
      </c>
      <c r="H536" s="26" t="n">
        <v>-2.84608795100679</v>
      </c>
      <c r="I536" s="26" t="n">
        <v>-2.84789795100679</v>
      </c>
      <c r="J536" s="26" t="n">
        <v>9.73</v>
      </c>
      <c r="K536" s="27" t="n">
        <f aca="false">MIN(F536,G536)</f>
        <v>-4.94788204899321</v>
      </c>
      <c r="L536" s="27" t="n">
        <f aca="false">AVERAGE(F536,G536)</f>
        <v>-4.94697704899321</v>
      </c>
      <c r="M536" s="27" t="n">
        <f aca="false">MAX(0,NG-L536)</f>
        <v>4.24697704899321</v>
      </c>
      <c r="N536" s="27" t="n">
        <f aca="false">MAX(0,GWL-K536)</f>
        <v>3.44788204899321</v>
      </c>
      <c r="O536" s="27" t="n">
        <f aca="false">MAX(0,NG-MAX(K536,GWL))</f>
        <v>0.8</v>
      </c>
      <c r="P536" s="27" t="n">
        <f aca="false">E536/2+WS+SLOPE_A*O536+SLOPE_B*N536</f>
        <v>9.89575614697962</v>
      </c>
      <c r="Q536" s="28" t="str">
        <f aca="false">IF(AND(P536&lt;J536,N536&lt;=MAXOC),"Open cut","Shoring")</f>
        <v>Shoring</v>
      </c>
      <c r="R536" s="27" t="n">
        <f aca="false">IF(Q536="Shoring",D536,0)</f>
        <v>0.205003498992113</v>
      </c>
      <c r="S536" s="27" t="n">
        <f aca="false">MAX(0,GWL-L536)</f>
        <v>3.44697704899321</v>
      </c>
      <c r="T536" s="27" t="n">
        <f aca="false">MAX(0,NG-MAX(L536,GWL))</f>
        <v>0.8</v>
      </c>
      <c r="U536" s="27" t="n">
        <f aca="false">E536+2*WS</f>
        <v>3.59998409798642</v>
      </c>
      <c r="V536" s="27" t="n">
        <f aca="false">IF(Q536="Shoring",D536*M536*U536,0)</f>
        <v>3.13430871364701</v>
      </c>
      <c r="W536" s="27" t="n">
        <f aca="false">IF(Q536="Open cut",D536*(U536*M536+SLOPE_B*S536^2+2*SLOPE_B*S536*T536+SLOPE_A*T536^2),0)</f>
        <v>0</v>
      </c>
      <c r="X536" s="27" t="n">
        <f aca="false">IF(M536&gt;0,D536*(E536+2*SLABOVH)*SLAB,0)</f>
        <v>0.266502918705534</v>
      </c>
      <c r="Y536" s="27" t="n">
        <f aca="false">IF(M536&gt;0,D536*PI()*E536^2/4,0)</f>
        <v>0.412175798138477</v>
      </c>
      <c r="Z536" s="27" t="n">
        <f aca="false">IF(H536-E536&gt;=GWL,99,E536*(MAX(0,GWL-H536)*(GAM_S-GAM_W)+MAX(0,NG-MAX(H536,GWL))*GAM_D)/(GAM_W*PI()*E536^2/4))</f>
        <v>2.06242036291936</v>
      </c>
      <c r="AA536" s="27" t="n">
        <f aca="false">IF(I536-E536&gt;=GWL,99,E536*(MAX(0,GWL-I536)*(GAM_S-GAM_W)+MAX(0,NG-MAX(I536,GWL))*GAM_D)/(GAM_W*PI()*E536^2/4))</f>
        <v>2.06362287077339</v>
      </c>
      <c r="AB536" s="27" t="n">
        <f aca="false">IF(H536-E536&gt;=GWL,99,E536*(MAX(0,GWL-H536)*(GAM_S-GAM_W)+MAX(0,FL-MAX(H536,GWL))*GAM_D)/(GAM_W*PI()*E536^2/4))</f>
        <v>4.54467809087596</v>
      </c>
      <c r="AC536" s="27" t="n">
        <f aca="false">IF(I536-E536&gt;=GWL,99,E536*(MAX(0,GWL-I536)*(GAM_S-GAM_W)+MAX(0,FL-MAX(I536,GWL))*GAM_D)/(GAM_W*PI()*E536^2/4))</f>
        <v>4.54588059872999</v>
      </c>
    </row>
    <row r="537" customFormat="false" ht="15" hidden="false" customHeight="false" outlineLevel="0" collapsed="false">
      <c r="A537" s="25" t="s">
        <v>993</v>
      </c>
      <c r="B537" s="25" t="s">
        <v>1044</v>
      </c>
      <c r="C537" s="25" t="s">
        <v>1057</v>
      </c>
      <c r="D537" s="26" t="n">
        <v>4.74630087787052</v>
      </c>
      <c r="E537" s="26" t="n">
        <v>1.65520026701648</v>
      </c>
      <c r="F537" s="26" t="n">
        <v>-4.97549013350824</v>
      </c>
      <c r="G537" s="26" t="n">
        <v>-5.01752307150535</v>
      </c>
      <c r="H537" s="26" t="n">
        <v>-2.82028986649176</v>
      </c>
      <c r="I537" s="26" t="n">
        <v>-2.86232280448887</v>
      </c>
      <c r="J537" s="26" t="n">
        <v>8.98</v>
      </c>
      <c r="K537" s="27" t="n">
        <f aca="false">MIN(F537,G537)</f>
        <v>-5.01752307150535</v>
      </c>
      <c r="L537" s="27" t="n">
        <f aca="false">AVERAGE(F537,G537)</f>
        <v>-4.99650660250679</v>
      </c>
      <c r="M537" s="27" t="n">
        <f aca="false">MAX(0,NG-L537)</f>
        <v>4.29650660250679</v>
      </c>
      <c r="N537" s="27" t="n">
        <f aca="false">MAX(0,GWL-K537)</f>
        <v>3.51752307150535</v>
      </c>
      <c r="O537" s="27" t="n">
        <f aca="false">MAX(0,NG-MAX(K537,GWL))</f>
        <v>0.8</v>
      </c>
      <c r="P537" s="27" t="n">
        <f aca="false">E537/2+WS+SLOPE_A*O537+SLOPE_B*N537</f>
        <v>10.0626462765189</v>
      </c>
      <c r="Q537" s="28" t="str">
        <f aca="false">IF(AND(P537&lt;J537,N537&lt;=MAXOC),"Open cut","Shoring")</f>
        <v>Shoring</v>
      </c>
      <c r="R537" s="27" t="n">
        <f aca="false">IF(Q537="Shoring",D537,0)</f>
        <v>4.74630087787052</v>
      </c>
      <c r="S537" s="27" t="n">
        <f aca="false">MAX(0,GWL-L537)</f>
        <v>3.49650660250679</v>
      </c>
      <c r="T537" s="27" t="n">
        <f aca="false">MAX(0,NG-MAX(L537,GWL))</f>
        <v>0.8</v>
      </c>
      <c r="U537" s="27" t="n">
        <f aca="false">E537+2*WS</f>
        <v>3.65520026701648</v>
      </c>
      <c r="V537" s="27" t="n">
        <f aca="false">IF(Q537="Shoring",D537*M537*U537,0)</f>
        <v>74.538719179324</v>
      </c>
      <c r="W537" s="27" t="n">
        <f aca="false">IF(Q537="Open cut",D537*(U537*M537+SLOPE_B*S537^2+2*SLOPE_B*S537*T537+SLOPE_A*T537^2),0)</f>
        <v>0</v>
      </c>
      <c r="X537" s="27" t="n">
        <f aca="false">IF(M537&gt;0,D537*(E537+2*SLABOVH)*SLAB,0)</f>
        <v>6.30118967913118</v>
      </c>
      <c r="Y537" s="27" t="n">
        <f aca="false">IF(M537&gt;0,D537*PI()*E537^2/4,0)</f>
        <v>10.2128332820135</v>
      </c>
      <c r="Z537" s="27" t="n">
        <f aca="false">IF(H537-E537&gt;=GWL,99,E537*(MAX(0,GWL-H537)*(GAM_S-GAM_W)+MAX(0,NG-MAX(H537,GWL))*GAM_D)/(GAM_W*PI()*E537^2/4))</f>
        <v>1.97705196551651</v>
      </c>
      <c r="AA537" s="27" t="n">
        <f aca="false">IF(I537-E537&gt;=GWL,99,E537*(MAX(0,GWL-I537)*(GAM_S-GAM_W)+MAX(0,NG-MAX(I537,GWL))*GAM_D)/(GAM_W*PI()*E537^2/4))</f>
        <v>2.00404577711681</v>
      </c>
      <c r="AB537" s="27" t="n">
        <f aca="false">IF(H537-E537&gt;=GWL,99,E537*(MAX(0,GWL-H537)*(GAM_S-GAM_W)+MAX(0,FL-MAX(H537,GWL))*GAM_D)/(GAM_W*PI()*E537^2/4))</f>
        <v>4.37650354305478</v>
      </c>
      <c r="AC537" s="27" t="n">
        <f aca="false">IF(I537-E537&gt;=GWL,99,E537*(MAX(0,GWL-I537)*(GAM_S-GAM_W)+MAX(0,FL-MAX(I537,GWL))*GAM_D)/(GAM_W*PI()*E537^2/4))</f>
        <v>4.40349735465507</v>
      </c>
    </row>
    <row r="538" customFormat="false" ht="15" hidden="false" customHeight="false" outlineLevel="0" collapsed="false">
      <c r="A538" s="25" t="s">
        <v>993</v>
      </c>
      <c r="B538" s="25" t="s">
        <v>1044</v>
      </c>
      <c r="C538" s="25" t="s">
        <v>1058</v>
      </c>
      <c r="D538" s="26" t="n">
        <v>1.7465191220599</v>
      </c>
      <c r="E538" s="26" t="n">
        <v>1.65520026701648</v>
      </c>
      <c r="F538" s="26" t="n">
        <v>-5.01752307150535</v>
      </c>
      <c r="G538" s="26" t="n">
        <v>-5.03299013350824</v>
      </c>
      <c r="H538" s="26" t="n">
        <v>-2.86232280448887</v>
      </c>
      <c r="I538" s="26" t="n">
        <v>-2.87778986649176</v>
      </c>
      <c r="J538" s="26" t="n">
        <v>8.85</v>
      </c>
      <c r="K538" s="27" t="n">
        <f aca="false">MIN(F538,G538)</f>
        <v>-5.03299013350824</v>
      </c>
      <c r="L538" s="27" t="n">
        <f aca="false">AVERAGE(F538,G538)</f>
        <v>-5.02525660250679</v>
      </c>
      <c r="M538" s="27" t="n">
        <f aca="false">MAX(0,NG-L538)</f>
        <v>4.32525660250679</v>
      </c>
      <c r="N538" s="27" t="n">
        <f aca="false">MAX(0,GWL-K538)</f>
        <v>3.53299013350824</v>
      </c>
      <c r="O538" s="27" t="n">
        <f aca="false">MAX(0,NG-MAX(K538,GWL))</f>
        <v>0.8</v>
      </c>
      <c r="P538" s="27" t="n">
        <f aca="false">E538/2+WS+SLOPE_A*O538+SLOPE_B*N538</f>
        <v>10.0935804005247</v>
      </c>
      <c r="Q538" s="28" t="str">
        <f aca="false">IF(AND(P538&lt;J538,N538&lt;=MAXOC),"Open cut","Shoring")</f>
        <v>Shoring</v>
      </c>
      <c r="R538" s="27" t="n">
        <f aca="false">IF(Q538="Shoring",D538,0)</f>
        <v>1.7465191220599</v>
      </c>
      <c r="S538" s="27" t="n">
        <f aca="false">MAX(0,GWL-L538)</f>
        <v>3.52525660250679</v>
      </c>
      <c r="T538" s="27" t="n">
        <f aca="false">MAX(0,NG-MAX(L538,GWL))</f>
        <v>0.8</v>
      </c>
      <c r="U538" s="27" t="n">
        <f aca="false">E538+2*WS</f>
        <v>3.65520026701648</v>
      </c>
      <c r="V538" s="27" t="n">
        <f aca="false">IF(Q538="Shoring",D538*M538*U538,0)</f>
        <v>27.611906841517</v>
      </c>
      <c r="W538" s="27" t="n">
        <f aca="false">IF(Q538="Open cut",D538*(U538*M538+SLOPE_B*S538^2+2*SLOPE_B*S538*T538+SLOPE_A*T538^2),0)</f>
        <v>0</v>
      </c>
      <c r="X538" s="27" t="n">
        <f aca="false">IF(M538&gt;0,D538*(E538+2*SLABOVH)*SLAB,0)</f>
        <v>2.31867901962142</v>
      </c>
      <c r="Y538" s="27" t="n">
        <f aca="false">IF(M538&gt;0,D538*PI()*E538^2/4,0)</f>
        <v>3.75806529683156</v>
      </c>
      <c r="Z538" s="27" t="n">
        <f aca="false">IF(H538-E538&gt;=GWL,99,E538*(MAX(0,GWL-H538)*(GAM_S-GAM_W)+MAX(0,NG-MAX(H538,GWL))*GAM_D)/(GAM_W*PI()*E538^2/4))</f>
        <v>2.00404577711681</v>
      </c>
      <c r="AA538" s="27" t="n">
        <f aca="false">IF(I538-E538&gt;=GWL,99,E538*(MAX(0,GWL-I538)*(GAM_S-GAM_W)+MAX(0,NG-MAX(I538,GWL))*GAM_D)/(GAM_W*PI()*E538^2/4))</f>
        <v>2.01397881957377</v>
      </c>
      <c r="AB538" s="27" t="n">
        <f aca="false">IF(H538-E538&gt;=GWL,99,E538*(MAX(0,GWL-H538)*(GAM_S-GAM_W)+MAX(0,FL-MAX(H538,GWL))*GAM_D)/(GAM_W*PI()*E538^2/4))</f>
        <v>4.40349735465507</v>
      </c>
      <c r="AC538" s="27" t="n">
        <f aca="false">IF(I538-E538&gt;=GWL,99,E538*(MAX(0,GWL-I538)*(GAM_S-GAM_W)+MAX(0,FL-MAX(I538,GWL))*GAM_D)/(GAM_W*PI()*E538^2/4))</f>
        <v>4.41343039711204</v>
      </c>
    </row>
    <row r="539" customFormat="false" ht="15" hidden="false" customHeight="false" outlineLevel="0" collapsed="false">
      <c r="A539" s="25" t="s">
        <v>993</v>
      </c>
      <c r="B539" s="25" t="s">
        <v>1059</v>
      </c>
      <c r="C539" s="25" t="s">
        <v>1060</v>
      </c>
      <c r="D539" s="26" t="n">
        <v>5.94058000059831</v>
      </c>
      <c r="E539" s="26" t="n">
        <v>1.19999907096165</v>
      </c>
      <c r="F539" s="26" t="n">
        <v>-4.69999953548082</v>
      </c>
      <c r="G539" s="26" t="n">
        <v>-4.69999953548082</v>
      </c>
      <c r="H539" s="26" t="n">
        <v>-3.00000046451918</v>
      </c>
      <c r="I539" s="26" t="n">
        <v>-3.00000046451918</v>
      </c>
      <c r="J539" s="26" t="n">
        <v>23.01</v>
      </c>
      <c r="K539" s="27" t="n">
        <f aca="false">MIN(F539,G539)</f>
        <v>-4.69999953548082</v>
      </c>
      <c r="L539" s="27" t="n">
        <f aca="false">AVERAGE(F539,G539)</f>
        <v>-4.69999953548082</v>
      </c>
      <c r="M539" s="27" t="n">
        <f aca="false">MAX(0,NG-L539)</f>
        <v>3.99999953548082</v>
      </c>
      <c r="N539" s="27" t="n">
        <f aca="false">MAX(0,GWL-K539)</f>
        <v>3.19999953548082</v>
      </c>
      <c r="O539" s="27" t="n">
        <f aca="false">MAX(0,NG-MAX(K539,GWL))</f>
        <v>0.8</v>
      </c>
      <c r="P539" s="27" t="n">
        <f aca="false">E539/2+WS+SLOPE_A*O539+SLOPE_B*N539</f>
        <v>9.19999860644247</v>
      </c>
      <c r="Q539" s="28" t="str">
        <f aca="false">IF(AND(P539&lt;J539,N539&lt;=MAXOC),"Open cut","Shoring")</f>
        <v>Shoring</v>
      </c>
      <c r="R539" s="27" t="n">
        <f aca="false">IF(Q539="Shoring",D539,0)</f>
        <v>5.94058000059831</v>
      </c>
      <c r="S539" s="27" t="n">
        <f aca="false">MAX(0,GWL-L539)</f>
        <v>3.19999953548082</v>
      </c>
      <c r="T539" s="27" t="n">
        <f aca="false">MAX(0,NG-MAX(L539,GWL))</f>
        <v>0.8</v>
      </c>
      <c r="U539" s="27" t="n">
        <f aca="false">E539+2*WS</f>
        <v>3.19999907096165</v>
      </c>
      <c r="V539" s="27" t="n">
        <f aca="false">IF(Q539="Shoring",D539*M539*U539,0)</f>
        <v>76.0393931011116</v>
      </c>
      <c r="W539" s="27" t="n">
        <f aca="false">IF(Q539="Open cut",D539*(U539*M539+SLOPE_B*S539^2+2*SLOPE_B*S539*T539+SLOPE_A*T539^2),0)</f>
        <v>0</v>
      </c>
      <c r="X539" s="27" t="n">
        <f aca="false">IF(M539&gt;0,D539*(E539+2*SLABOVH)*SLAB,0)</f>
        <v>6.53463524114481</v>
      </c>
      <c r="Y539" s="27" t="n">
        <f aca="false">IF(M539&gt;0,D539*PI()*E539^2/4,0)</f>
        <v>6.71862729254302</v>
      </c>
      <c r="Z539" s="27" t="n">
        <f aca="false">IF(H539-E539&gt;=GWL,99,E539*(MAX(0,GWL-H539)*(GAM_S-GAM_W)+MAX(0,NG-MAX(H539,GWL))*GAM_D)/(GAM_W*PI()*E539^2/4))</f>
        <v>2.88620696565494</v>
      </c>
      <c r="AA539" s="27" t="n">
        <f aca="false">IF(I539-E539&gt;=GWL,99,E539*(MAX(0,GWL-I539)*(GAM_S-GAM_W)+MAX(0,NG-MAX(I539,GWL))*GAM_D)/(GAM_W*PI()*E539^2/4))</f>
        <v>2.88620696565494</v>
      </c>
      <c r="AB539" s="27" t="n">
        <f aca="false">IF(H539-E539&gt;=GWL,99,E539*(MAX(0,GWL-H539)*(GAM_S-GAM_W)+MAX(0,FL-MAX(H539,GWL))*GAM_D)/(GAM_W*PI()*E539^2/4))</f>
        <v>6.19585360450753</v>
      </c>
      <c r="AC539" s="27" t="n">
        <f aca="false">IF(I539-E539&gt;=GWL,99,E539*(MAX(0,GWL-I539)*(GAM_S-GAM_W)+MAX(0,FL-MAX(I539,GWL))*GAM_D)/(GAM_W*PI()*E539^2/4))</f>
        <v>6.19585360450753</v>
      </c>
    </row>
    <row r="540" customFormat="false" ht="15" hidden="false" customHeight="false" outlineLevel="0" collapsed="false">
      <c r="A540" s="25" t="s">
        <v>993</v>
      </c>
      <c r="B540" s="25" t="s">
        <v>1059</v>
      </c>
      <c r="C540" s="25" t="s">
        <v>1061</v>
      </c>
      <c r="D540" s="26" t="n">
        <v>4.05941999919242</v>
      </c>
      <c r="E540" s="26" t="n">
        <v>1.19999451928037</v>
      </c>
      <c r="F540" s="26" t="n">
        <v>-4.69999725964019</v>
      </c>
      <c r="G540" s="26" t="n">
        <v>-4.69999725964019</v>
      </c>
      <c r="H540" s="26" t="n">
        <v>-3.00000274035982</v>
      </c>
      <c r="I540" s="26" t="n">
        <v>-3.00000274035982</v>
      </c>
      <c r="J540" s="26" t="n">
        <v>22.02</v>
      </c>
      <c r="K540" s="27" t="n">
        <f aca="false">MIN(F540,G540)</f>
        <v>-4.69999725964019</v>
      </c>
      <c r="L540" s="27" t="n">
        <f aca="false">AVERAGE(F540,G540)</f>
        <v>-4.69999725964019</v>
      </c>
      <c r="M540" s="27" t="n">
        <f aca="false">MAX(0,NG-L540)</f>
        <v>3.99999725964019</v>
      </c>
      <c r="N540" s="27" t="n">
        <f aca="false">MAX(0,GWL-K540)</f>
        <v>3.19999725964019</v>
      </c>
      <c r="O540" s="27" t="n">
        <f aca="false">MAX(0,NG-MAX(K540,GWL))</f>
        <v>0.8</v>
      </c>
      <c r="P540" s="27" t="n">
        <f aca="false">E540/2+WS+SLOPE_A*O540+SLOPE_B*N540</f>
        <v>9.19999177892056</v>
      </c>
      <c r="Q540" s="28" t="str">
        <f aca="false">IF(AND(P540&lt;J540,N540&lt;=MAXOC),"Open cut","Shoring")</f>
        <v>Shoring</v>
      </c>
      <c r="R540" s="27" t="n">
        <f aca="false">IF(Q540="Shoring",D540,0)</f>
        <v>4.05941999919242</v>
      </c>
      <c r="S540" s="27" t="n">
        <f aca="false">MAX(0,GWL-L540)</f>
        <v>3.19999725964019</v>
      </c>
      <c r="T540" s="27" t="n">
        <f aca="false">MAX(0,NG-MAX(L540,GWL))</f>
        <v>0.8</v>
      </c>
      <c r="U540" s="27" t="n">
        <f aca="false">E540+2*WS</f>
        <v>3.19999451928037</v>
      </c>
      <c r="V540" s="27" t="n">
        <f aca="false">IF(Q540="Shoring",D540*M540*U540,0)</f>
        <v>51.9604513978839</v>
      </c>
      <c r="W540" s="27" t="n">
        <f aca="false">IF(Q540="Open cut",D540*(U540*M540+SLOPE_B*S540^2+2*SLOPE_B*S540*T540+SLOPE_A*T540^2),0)</f>
        <v>0</v>
      </c>
      <c r="X540" s="27" t="n">
        <f aca="false">IF(M540&gt;0,D540*(E540+2*SLABOVH)*SLAB,0)</f>
        <v>4.46535087484022</v>
      </c>
      <c r="Y540" s="27" t="n">
        <f aca="false">IF(M540&gt;0,D540*PI()*E540^2/4,0)</f>
        <v>4.59105391960789</v>
      </c>
      <c r="Z540" s="27" t="n">
        <f aca="false">IF(H540-E540&gt;=GWL,99,E540*(MAX(0,GWL-H540)*(GAM_S-GAM_W)+MAX(0,NG-MAX(H540,GWL))*GAM_D)/(GAM_W*PI()*E540^2/4))</f>
        <v>2.88621992926984</v>
      </c>
      <c r="AA540" s="27" t="n">
        <f aca="false">IF(I540-E540&gt;=GWL,99,E540*(MAX(0,GWL-I540)*(GAM_S-GAM_W)+MAX(0,NG-MAX(I540,GWL))*GAM_D)/(GAM_W*PI()*E540^2/4))</f>
        <v>2.88621992926984</v>
      </c>
      <c r="AB540" s="27" t="n">
        <f aca="false">IF(H540-E540&gt;=GWL,99,E540*(MAX(0,GWL-H540)*(GAM_S-GAM_W)+MAX(0,FL-MAX(H540,GWL))*GAM_D)/(GAM_W*PI()*E540^2/4))</f>
        <v>6.19587912189364</v>
      </c>
      <c r="AC540" s="27" t="n">
        <f aca="false">IF(I540-E540&gt;=GWL,99,E540*(MAX(0,GWL-I540)*(GAM_S-GAM_W)+MAX(0,FL-MAX(I540,GWL))*GAM_D)/(GAM_W*PI()*E540^2/4))</f>
        <v>6.19587912189364</v>
      </c>
    </row>
    <row r="541" customFormat="false" ht="15" hidden="false" customHeight="false" outlineLevel="0" collapsed="false">
      <c r="A541" s="25" t="s">
        <v>993</v>
      </c>
      <c r="B541" s="25" t="s">
        <v>1059</v>
      </c>
      <c r="C541" s="25" t="s">
        <v>1062</v>
      </c>
      <c r="D541" s="26" t="n">
        <v>0.539380000645716</v>
      </c>
      <c r="E541" s="26" t="n">
        <v>1.19999451928037</v>
      </c>
      <c r="F541" s="26" t="n">
        <v>-4.69999725964019</v>
      </c>
      <c r="G541" s="26" t="n">
        <v>-4.69999725964019</v>
      </c>
      <c r="H541" s="26" t="n">
        <v>-3.00000274035982</v>
      </c>
      <c r="I541" s="26" t="n">
        <v>-3.00000274035982</v>
      </c>
      <c r="J541" s="26" t="n">
        <v>21.91</v>
      </c>
      <c r="K541" s="27" t="n">
        <f aca="false">MIN(F541,G541)</f>
        <v>-4.69999725964019</v>
      </c>
      <c r="L541" s="27" t="n">
        <f aca="false">AVERAGE(F541,G541)</f>
        <v>-4.69999725964019</v>
      </c>
      <c r="M541" s="27" t="n">
        <f aca="false">MAX(0,NG-L541)</f>
        <v>3.99999725964019</v>
      </c>
      <c r="N541" s="27" t="n">
        <f aca="false">MAX(0,GWL-K541)</f>
        <v>3.19999725964019</v>
      </c>
      <c r="O541" s="27" t="n">
        <f aca="false">MAX(0,NG-MAX(K541,GWL))</f>
        <v>0.8</v>
      </c>
      <c r="P541" s="27" t="n">
        <f aca="false">E541/2+WS+SLOPE_A*O541+SLOPE_B*N541</f>
        <v>9.19999177892056</v>
      </c>
      <c r="Q541" s="28" t="str">
        <f aca="false">IF(AND(P541&lt;J541,N541&lt;=MAXOC),"Open cut","Shoring")</f>
        <v>Shoring</v>
      </c>
      <c r="R541" s="27" t="n">
        <f aca="false">IF(Q541="Shoring",D541,0)</f>
        <v>0.539380000645716</v>
      </c>
      <c r="S541" s="27" t="n">
        <f aca="false">MAX(0,GWL-L541)</f>
        <v>3.19999725964019</v>
      </c>
      <c r="T541" s="27" t="n">
        <f aca="false">MAX(0,NG-MAX(L541,GWL))</f>
        <v>0.8</v>
      </c>
      <c r="U541" s="27" t="n">
        <f aca="false">E541+2*WS</f>
        <v>3.19999451928037</v>
      </c>
      <c r="V541" s="27" t="n">
        <f aca="false">IF(Q541="Shoring",D541*M541*U541,0)</f>
        <v>6.90404745360614</v>
      </c>
      <c r="W541" s="27" t="n">
        <f aca="false">IF(Q541="Open cut",D541*(U541*M541+SLOPE_B*S541^2+2*SLOPE_B*S541*T541+SLOPE_A*T541^2),0)</f>
        <v>0</v>
      </c>
      <c r="X541" s="27" t="n">
        <f aca="false">IF(M541&gt;0,D541*(E541+2*SLABOVH)*SLAB,0)</f>
        <v>0.593316522615008</v>
      </c>
      <c r="Y541" s="27" t="n">
        <f aca="false">IF(M541&gt;0,D541*PI()*E541^2/4,0)</f>
        <v>0.610018836832665</v>
      </c>
      <c r="Z541" s="27" t="n">
        <f aca="false">IF(H541-E541&gt;=GWL,99,E541*(MAX(0,GWL-H541)*(GAM_S-GAM_W)+MAX(0,NG-MAX(H541,GWL))*GAM_D)/(GAM_W*PI()*E541^2/4))</f>
        <v>2.88621992926984</v>
      </c>
      <c r="AA541" s="27" t="n">
        <f aca="false">IF(I541-E541&gt;=GWL,99,E541*(MAX(0,GWL-I541)*(GAM_S-GAM_W)+MAX(0,NG-MAX(I541,GWL))*GAM_D)/(GAM_W*PI()*E541^2/4))</f>
        <v>2.88621992926984</v>
      </c>
      <c r="AB541" s="27" t="n">
        <f aca="false">IF(H541-E541&gt;=GWL,99,E541*(MAX(0,GWL-H541)*(GAM_S-GAM_W)+MAX(0,FL-MAX(H541,GWL))*GAM_D)/(GAM_W*PI()*E541^2/4))</f>
        <v>6.19587912189364</v>
      </c>
      <c r="AC541" s="27" t="n">
        <f aca="false">IF(I541-E541&gt;=GWL,99,E541*(MAX(0,GWL-I541)*(GAM_S-GAM_W)+MAX(0,FL-MAX(I541,GWL))*GAM_D)/(GAM_W*PI()*E541^2/4))</f>
        <v>6.19587912189364</v>
      </c>
    </row>
    <row r="542" customFormat="false" ht="15" hidden="false" customHeight="false" outlineLevel="0" collapsed="false">
      <c r="A542" s="25" t="s">
        <v>993</v>
      </c>
      <c r="B542" s="25" t="s">
        <v>1059</v>
      </c>
      <c r="C542" s="25" t="s">
        <v>1063</v>
      </c>
      <c r="D542" s="26" t="n">
        <v>0.17346918921392</v>
      </c>
      <c r="E542" s="26" t="n">
        <v>1.19504570844743</v>
      </c>
      <c r="F542" s="26" t="n">
        <v>-4.69752285422371</v>
      </c>
      <c r="G542" s="26" t="n">
        <v>-4.69752285422371</v>
      </c>
      <c r="H542" s="26" t="n">
        <v>-3.00247714577629</v>
      </c>
      <c r="I542" s="26" t="n">
        <v>-3.00247714577629</v>
      </c>
      <c r="J542" s="26" t="n">
        <v>21.87</v>
      </c>
      <c r="K542" s="27" t="n">
        <f aca="false">MIN(F542,G542)</f>
        <v>-4.69752285422371</v>
      </c>
      <c r="L542" s="27" t="n">
        <f aca="false">AVERAGE(F542,G542)</f>
        <v>-4.69752285422371</v>
      </c>
      <c r="M542" s="27" t="n">
        <f aca="false">MAX(0,NG-L542)</f>
        <v>3.99752285422371</v>
      </c>
      <c r="N542" s="27" t="n">
        <f aca="false">MAX(0,GWL-K542)</f>
        <v>3.19752285422371</v>
      </c>
      <c r="O542" s="27" t="n">
        <f aca="false">MAX(0,NG-MAX(K542,GWL))</f>
        <v>0.8</v>
      </c>
      <c r="P542" s="27" t="n">
        <f aca="false">E542/2+WS+SLOPE_A*O542+SLOPE_B*N542</f>
        <v>9.19256856267114</v>
      </c>
      <c r="Q542" s="28" t="str">
        <f aca="false">IF(AND(P542&lt;J542,N542&lt;=MAXOC),"Open cut","Shoring")</f>
        <v>Shoring</v>
      </c>
      <c r="R542" s="27" t="n">
        <f aca="false">IF(Q542="Shoring",D542,0)</f>
        <v>0.17346918921392</v>
      </c>
      <c r="S542" s="27" t="n">
        <f aca="false">MAX(0,GWL-L542)</f>
        <v>3.19752285422371</v>
      </c>
      <c r="T542" s="27" t="n">
        <f aca="false">MAX(0,NG-MAX(L542,GWL))</f>
        <v>0.8</v>
      </c>
      <c r="U542" s="27" t="n">
        <f aca="false">E542+2*WS</f>
        <v>3.19504570844743</v>
      </c>
      <c r="V542" s="27" t="n">
        <f aca="false">IF(Q542="Shoring",D542*M542*U542,0)</f>
        <v>2.21559501598219</v>
      </c>
      <c r="W542" s="27" t="n">
        <f aca="false">IF(Q542="Open cut",D542*(U542*M542+SLOPE_B*S542^2+2*SLOPE_B*S542*T542+SLOPE_A*T542^2),0)</f>
        <v>0</v>
      </c>
      <c r="X542" s="27" t="n">
        <f aca="false">IF(M542&gt;0,D542*(E542+2*SLABOVH)*SLAB,0)</f>
        <v>0.190386399665935</v>
      </c>
      <c r="Y542" s="27" t="n">
        <f aca="false">IF(M542&gt;0,D542*PI()*E542^2/4,0)</f>
        <v>0.194572412270344</v>
      </c>
      <c r="Z542" s="27" t="n">
        <f aca="false">IF(H542-E542&gt;=GWL,99,E542*(MAX(0,GWL-H542)*(GAM_S-GAM_W)+MAX(0,NG-MAX(H542,GWL))*GAM_D)/(GAM_W*PI()*E542^2/4))</f>
        <v>2.90037302761229</v>
      </c>
      <c r="AA542" s="27" t="n">
        <f aca="false">IF(I542-E542&gt;=GWL,99,E542*(MAX(0,GWL-I542)*(GAM_S-GAM_W)+MAX(0,NG-MAX(I542,GWL))*GAM_D)/(GAM_W*PI()*E542^2/4))</f>
        <v>2.90037302761229</v>
      </c>
      <c r="AB542" s="27" t="n">
        <f aca="false">IF(H542-E542&gt;=GWL,99,E542*(MAX(0,GWL-H542)*(GAM_S-GAM_W)+MAX(0,FL-MAX(H542,GWL))*GAM_D)/(GAM_W*PI()*E542^2/4))</f>
        <v>6.22373786944266</v>
      </c>
      <c r="AC542" s="27" t="n">
        <f aca="false">IF(I542-E542&gt;=GWL,99,E542*(MAX(0,GWL-I542)*(GAM_S-GAM_W)+MAX(0,FL-MAX(I542,GWL))*GAM_D)/(GAM_W*PI()*E542^2/4))</f>
        <v>6.22373786944266</v>
      </c>
    </row>
    <row r="543" customFormat="false" ht="15" hidden="false" customHeight="false" outlineLevel="0" collapsed="false">
      <c r="A543" s="25" t="s">
        <v>993</v>
      </c>
      <c r="B543" s="25" t="s">
        <v>1064</v>
      </c>
      <c r="C543" s="25" t="s">
        <v>1065</v>
      </c>
      <c r="D543" s="26" t="n">
        <v>9.28715081032911</v>
      </c>
      <c r="E543" s="26" t="n">
        <v>1.20000165587043</v>
      </c>
      <c r="F543" s="26" t="n">
        <v>-4.70000082793521</v>
      </c>
      <c r="G543" s="26" t="n">
        <v>-4.70000082793521</v>
      </c>
      <c r="H543" s="26" t="n">
        <v>-2.99999917206479</v>
      </c>
      <c r="I543" s="26" t="n">
        <v>-2.99999917206479</v>
      </c>
      <c r="J543" s="26" t="n">
        <v>20.94</v>
      </c>
      <c r="K543" s="27" t="n">
        <f aca="false">MIN(F543,G543)</f>
        <v>-4.70000082793521</v>
      </c>
      <c r="L543" s="27" t="n">
        <f aca="false">AVERAGE(F543,G543)</f>
        <v>-4.70000082793521</v>
      </c>
      <c r="M543" s="27" t="n">
        <f aca="false">MAX(0,NG-L543)</f>
        <v>4.00000082793521</v>
      </c>
      <c r="N543" s="27" t="n">
        <f aca="false">MAX(0,GWL-K543)</f>
        <v>3.20000082793521</v>
      </c>
      <c r="O543" s="27" t="n">
        <f aca="false">MAX(0,NG-MAX(K543,GWL))</f>
        <v>0.8</v>
      </c>
      <c r="P543" s="27" t="n">
        <f aca="false">E543/2+WS+SLOPE_A*O543+SLOPE_B*N543</f>
        <v>9.20000248380564</v>
      </c>
      <c r="Q543" s="28" t="str">
        <f aca="false">IF(AND(P543&lt;J543,N543&lt;=MAXOC),"Open cut","Shoring")</f>
        <v>Shoring</v>
      </c>
      <c r="R543" s="27" t="n">
        <f aca="false">IF(Q543="Shoring",D543,0)</f>
        <v>9.28715081032911</v>
      </c>
      <c r="S543" s="27" t="n">
        <f aca="false">MAX(0,GWL-L543)</f>
        <v>3.20000082793521</v>
      </c>
      <c r="T543" s="27" t="n">
        <f aca="false">MAX(0,NG-MAX(L543,GWL))</f>
        <v>0.8</v>
      </c>
      <c r="U543" s="27" t="n">
        <f aca="false">E543+2*WS</f>
        <v>3.20000165587043</v>
      </c>
      <c r="V543" s="27" t="n">
        <f aca="false">IF(Q543="Shoring",D543*M543*U543,0)</f>
        <v>118.875616490808</v>
      </c>
      <c r="W543" s="27" t="n">
        <f aca="false">IF(Q543="Open cut",D543*(U543*M543+SLOPE_B*S543^2+2*SLOPE_B*S543*T543+SLOPE_A*T543^2),0)</f>
        <v>0</v>
      </c>
      <c r="X543" s="27" t="n">
        <f aca="false">IF(M543&gt;0,D543*(E543+2*SLABOVH)*SLAB,0)</f>
        <v>10.2158735805212</v>
      </c>
      <c r="Y543" s="27" t="n">
        <f aca="false">IF(M543&gt;0,D543*PI()*E543^2/4,0)</f>
        <v>10.503549100531</v>
      </c>
      <c r="Z543" s="27" t="n">
        <f aca="false">IF(H543-E543&gt;=GWL,99,E543*(MAX(0,GWL-H543)*(GAM_S-GAM_W)+MAX(0,NG-MAX(H543,GWL))*GAM_D)/(GAM_W*PI()*E543^2/4))</f>
        <v>2.88619960363623</v>
      </c>
      <c r="AA543" s="27" t="n">
        <f aca="false">IF(I543-E543&gt;=GWL,99,E543*(MAX(0,GWL-I543)*(GAM_S-GAM_W)+MAX(0,NG-MAX(I543,GWL))*GAM_D)/(GAM_W*PI()*E543^2/4))</f>
        <v>2.88619960363623</v>
      </c>
      <c r="AB543" s="27" t="n">
        <f aca="false">IF(H543-E543&gt;=GWL,99,E543*(MAX(0,GWL-H543)*(GAM_S-GAM_W)+MAX(0,FL-MAX(H543,GWL))*GAM_D)/(GAM_W*PI()*E543^2/4))</f>
        <v>6.19583911321979</v>
      </c>
      <c r="AC543" s="27" t="n">
        <f aca="false">IF(I543-E543&gt;=GWL,99,E543*(MAX(0,GWL-I543)*(GAM_S-GAM_W)+MAX(0,FL-MAX(I543,GWL))*GAM_D)/(GAM_W*PI()*E543^2/4))</f>
        <v>6.19583911321979</v>
      </c>
    </row>
    <row r="544" customFormat="false" ht="15" hidden="false" customHeight="false" outlineLevel="0" collapsed="false">
      <c r="A544" s="25" t="s">
        <v>993</v>
      </c>
      <c r="B544" s="25" t="s">
        <v>1064</v>
      </c>
      <c r="C544" s="25" t="s">
        <v>1066</v>
      </c>
      <c r="D544" s="26" t="n">
        <v>1.6946531610213</v>
      </c>
      <c r="E544" s="26" t="n">
        <v>1.20000165587043</v>
      </c>
      <c r="F544" s="26" t="n">
        <v>-4.70000082793521</v>
      </c>
      <c r="G544" s="26" t="n">
        <v>-4.70000082793521</v>
      </c>
      <c r="H544" s="26" t="n">
        <v>-2.99999917206479</v>
      </c>
      <c r="I544" s="26" t="n">
        <v>-2.99999917206479</v>
      </c>
      <c r="J544" s="26" t="n">
        <v>20.23</v>
      </c>
      <c r="K544" s="27" t="n">
        <f aca="false">MIN(F544,G544)</f>
        <v>-4.70000082793521</v>
      </c>
      <c r="L544" s="27" t="n">
        <f aca="false">AVERAGE(F544,G544)</f>
        <v>-4.70000082793521</v>
      </c>
      <c r="M544" s="27" t="n">
        <f aca="false">MAX(0,NG-L544)</f>
        <v>4.00000082793521</v>
      </c>
      <c r="N544" s="27" t="n">
        <f aca="false">MAX(0,GWL-K544)</f>
        <v>3.20000082793521</v>
      </c>
      <c r="O544" s="27" t="n">
        <f aca="false">MAX(0,NG-MAX(K544,GWL))</f>
        <v>0.8</v>
      </c>
      <c r="P544" s="27" t="n">
        <f aca="false">E544/2+WS+SLOPE_A*O544+SLOPE_B*N544</f>
        <v>9.20000248380564</v>
      </c>
      <c r="Q544" s="28" t="str">
        <f aca="false">IF(AND(P544&lt;J544,N544&lt;=MAXOC),"Open cut","Shoring")</f>
        <v>Shoring</v>
      </c>
      <c r="R544" s="27" t="n">
        <f aca="false">IF(Q544="Shoring",D544,0)</f>
        <v>1.6946531610213</v>
      </c>
      <c r="S544" s="27" t="n">
        <f aca="false">MAX(0,GWL-L544)</f>
        <v>3.20000082793521</v>
      </c>
      <c r="T544" s="27" t="n">
        <f aca="false">MAX(0,NG-MAX(L544,GWL))</f>
        <v>0.8</v>
      </c>
      <c r="U544" s="27" t="n">
        <f aca="false">E544+2*WS</f>
        <v>3.20000165587043</v>
      </c>
      <c r="V544" s="27" t="n">
        <f aca="false">IF(Q544="Shoring",D544*M544*U544,0)</f>
        <v>21.6915761753809</v>
      </c>
      <c r="W544" s="27" t="n">
        <f aca="false">IF(Q544="Open cut",D544*(U544*M544+SLOPE_B*S544^2+2*SLOPE_B*S544*T544+SLOPE_A*T544^2),0)</f>
        <v>0</v>
      </c>
      <c r="X544" s="27" t="n">
        <f aca="false">IF(M544&gt;0,D544*(E544+2*SLABOVH)*SLAB,0)</f>
        <v>1.86411988018646</v>
      </c>
      <c r="Y544" s="27" t="n">
        <f aca="false">IF(M544&gt;0,D544*PI()*E544^2/4,0)</f>
        <v>1.91661286100365</v>
      </c>
      <c r="Z544" s="27" t="n">
        <f aca="false">IF(H544-E544&gt;=GWL,99,E544*(MAX(0,GWL-H544)*(GAM_S-GAM_W)+MAX(0,NG-MAX(H544,GWL))*GAM_D)/(GAM_W*PI()*E544^2/4))</f>
        <v>2.88619960363623</v>
      </c>
      <c r="AA544" s="27" t="n">
        <f aca="false">IF(I544-E544&gt;=GWL,99,E544*(MAX(0,GWL-I544)*(GAM_S-GAM_W)+MAX(0,NG-MAX(I544,GWL))*GAM_D)/(GAM_W*PI()*E544^2/4))</f>
        <v>2.88619960363623</v>
      </c>
      <c r="AB544" s="27" t="n">
        <f aca="false">IF(H544-E544&gt;=GWL,99,E544*(MAX(0,GWL-H544)*(GAM_S-GAM_W)+MAX(0,FL-MAX(H544,GWL))*GAM_D)/(GAM_W*PI()*E544^2/4))</f>
        <v>6.19583911321979</v>
      </c>
      <c r="AC544" s="27" t="n">
        <f aca="false">IF(I544-E544&gt;=GWL,99,E544*(MAX(0,GWL-I544)*(GAM_S-GAM_W)+MAX(0,FL-MAX(I544,GWL))*GAM_D)/(GAM_W*PI()*E544^2/4))</f>
        <v>6.19583911321979</v>
      </c>
    </row>
    <row r="545" customFormat="false" ht="15" hidden="false" customHeight="false" outlineLevel="0" collapsed="false">
      <c r="A545" s="25" t="s">
        <v>993</v>
      </c>
      <c r="B545" s="25" t="s">
        <v>1067</v>
      </c>
      <c r="C545" s="25" t="s">
        <v>1068</v>
      </c>
      <c r="D545" s="26" t="n">
        <v>0.560280000138882</v>
      </c>
      <c r="E545" s="26" t="n">
        <v>1.19999444697793</v>
      </c>
      <c r="F545" s="26" t="n">
        <v>-4.82498722348897</v>
      </c>
      <c r="G545" s="26" t="n">
        <v>-4.82498722348897</v>
      </c>
      <c r="H545" s="26" t="n">
        <v>-3.12499277651103</v>
      </c>
      <c r="I545" s="26" t="n">
        <v>-3.12499277651103</v>
      </c>
      <c r="J545" s="26" t="n">
        <v>34.24</v>
      </c>
      <c r="K545" s="27" t="n">
        <f aca="false">MIN(F545,G545)</f>
        <v>-4.82498722348897</v>
      </c>
      <c r="L545" s="27" t="n">
        <f aca="false">AVERAGE(F545,G545)</f>
        <v>-4.82498722348897</v>
      </c>
      <c r="M545" s="27" t="n">
        <f aca="false">MAX(0,NG-L545)</f>
        <v>4.12498722348897</v>
      </c>
      <c r="N545" s="27" t="n">
        <f aca="false">MAX(0,GWL-K545)</f>
        <v>3.32498722348897</v>
      </c>
      <c r="O545" s="27" t="n">
        <f aca="false">MAX(0,NG-MAX(K545,GWL))</f>
        <v>0.8</v>
      </c>
      <c r="P545" s="27" t="n">
        <f aca="false">E545/2+WS+SLOPE_A*O545+SLOPE_B*N545</f>
        <v>9.4499716704669</v>
      </c>
      <c r="Q545" s="28" t="str">
        <f aca="false">IF(AND(P545&lt;J545,N545&lt;=MAXOC),"Open cut","Shoring")</f>
        <v>Shoring</v>
      </c>
      <c r="R545" s="27" t="n">
        <f aca="false">IF(Q545="Shoring",D545,0)</f>
        <v>0.560280000138882</v>
      </c>
      <c r="S545" s="27" t="n">
        <f aca="false">MAX(0,GWL-L545)</f>
        <v>3.32498722348897</v>
      </c>
      <c r="T545" s="27" t="n">
        <f aca="false">MAX(0,NG-MAX(L545,GWL))</f>
        <v>0.8</v>
      </c>
      <c r="U545" s="27" t="n">
        <f aca="false">E545+2*WS</f>
        <v>3.19999444697793</v>
      </c>
      <c r="V545" s="27" t="n">
        <f aca="false">IF(Q545="Shoring",D545*M545*U545,0)</f>
        <v>7.39566026102275</v>
      </c>
      <c r="W545" s="27" t="n">
        <f aca="false">IF(Q545="Open cut",D545*(U545*M545+SLOPE_B*S545^2+2*SLOPE_B*S545*T545+SLOPE_A*T545^2),0)</f>
        <v>0</v>
      </c>
      <c r="X545" s="27" t="n">
        <f aca="false">IF(M545&gt;0,D545*(E545+2*SLABOVH)*SLAB,0)</f>
        <v>0.616306444529168</v>
      </c>
      <c r="Y545" s="27" t="n">
        <f aca="false">IF(M545&gt;0,D545*PI()*E545^2/4,0)</f>
        <v>0.633655887111009</v>
      </c>
      <c r="Z545" s="27" t="n">
        <f aca="false">IF(H545-E545&gt;=GWL,99,E545*(MAX(0,GWL-H545)*(GAM_S-GAM_W)+MAX(0,NG-MAX(H545,GWL))*GAM_D)/(GAM_W*PI()*E545^2/4))</f>
        <v>2.99693885223708</v>
      </c>
      <c r="AA545" s="27" t="n">
        <f aca="false">IF(I545-E545&gt;=GWL,99,E545*(MAX(0,GWL-I545)*(GAM_S-GAM_W)+MAX(0,NG-MAX(I545,GWL))*GAM_D)/(GAM_W*PI()*E545^2/4))</f>
        <v>2.99693885223708</v>
      </c>
      <c r="AB545" s="27" t="n">
        <f aca="false">IF(H545-E545&gt;=GWL,99,E545*(MAX(0,GWL-H545)*(GAM_S-GAM_W)+MAX(0,FL-MAX(H545,GWL))*GAM_D)/(GAM_W*PI()*E545^2/4))</f>
        <v>6.30659824427549</v>
      </c>
      <c r="AC545" s="27" t="n">
        <f aca="false">IF(I545-E545&gt;=GWL,99,E545*(MAX(0,GWL-I545)*(GAM_S-GAM_W)+MAX(0,FL-MAX(I545,GWL))*GAM_D)/(GAM_W*PI()*E545^2/4))</f>
        <v>6.30659824427549</v>
      </c>
    </row>
    <row r="546" customFormat="false" ht="15" hidden="false" customHeight="false" outlineLevel="0" collapsed="false">
      <c r="A546" s="25" t="s">
        <v>993</v>
      </c>
      <c r="B546" s="25" t="s">
        <v>1067</v>
      </c>
      <c r="C546" s="25" t="s">
        <v>1069</v>
      </c>
      <c r="D546" s="26" t="n">
        <v>0.320540655320328</v>
      </c>
      <c r="E546" s="26" t="n">
        <v>1.18265429199675</v>
      </c>
      <c r="F546" s="26" t="n">
        <v>-4.81631714599838</v>
      </c>
      <c r="G546" s="26" t="n">
        <v>-4.81631714599838</v>
      </c>
      <c r="H546" s="26" t="n">
        <v>-3.13366285400163</v>
      </c>
      <c r="I546" s="26" t="n">
        <v>-3.13366285400163</v>
      </c>
      <c r="J546" s="26" t="n">
        <v>34.07</v>
      </c>
      <c r="K546" s="27" t="n">
        <f aca="false">MIN(F546,G546)</f>
        <v>-4.81631714599838</v>
      </c>
      <c r="L546" s="27" t="n">
        <f aca="false">AVERAGE(F546,G546)</f>
        <v>-4.81631714599838</v>
      </c>
      <c r="M546" s="27" t="n">
        <f aca="false">MAX(0,NG-L546)</f>
        <v>4.11631714599838</v>
      </c>
      <c r="N546" s="27" t="n">
        <f aca="false">MAX(0,GWL-K546)</f>
        <v>3.31631714599838</v>
      </c>
      <c r="O546" s="27" t="n">
        <f aca="false">MAX(0,NG-MAX(K546,GWL))</f>
        <v>0.8</v>
      </c>
      <c r="P546" s="27" t="n">
        <f aca="false">E546/2+WS+SLOPE_A*O546+SLOPE_B*N546</f>
        <v>9.42396143799513</v>
      </c>
      <c r="Q546" s="28" t="str">
        <f aca="false">IF(AND(P546&lt;J546,N546&lt;=MAXOC),"Open cut","Shoring")</f>
        <v>Shoring</v>
      </c>
      <c r="R546" s="27" t="n">
        <f aca="false">IF(Q546="Shoring",D546,0)</f>
        <v>0.320540655320328</v>
      </c>
      <c r="S546" s="27" t="n">
        <f aca="false">MAX(0,GWL-L546)</f>
        <v>3.31631714599838</v>
      </c>
      <c r="T546" s="27" t="n">
        <f aca="false">MAX(0,NG-MAX(L546,GWL))</f>
        <v>0.8</v>
      </c>
      <c r="U546" s="27" t="n">
        <f aca="false">E546+2*WS</f>
        <v>3.18265429199675</v>
      </c>
      <c r="V546" s="27" t="n">
        <f aca="false">IF(Q546="Shoring",D546*M546*U546,0)</f>
        <v>4.19934364324135</v>
      </c>
      <c r="W546" s="27" t="n">
        <f aca="false">IF(Q546="Open cut",D546*(U546*M546+SLOPE_B*S546^2+2*SLOPE_B*S546*T546+SLOPE_A*T546^2),0)</f>
        <v>0</v>
      </c>
      <c r="X546" s="27" t="n">
        <f aca="false">IF(M546&gt;0,D546*(E546+2*SLABOVH)*SLAB,0)</f>
        <v>0.349814718547183</v>
      </c>
      <c r="Y546" s="27" t="n">
        <f aca="false">IF(M546&gt;0,D546*PI()*E546^2/4,0)</f>
        <v>0.352118324212227</v>
      </c>
      <c r="Z546" s="27" t="n">
        <f aca="false">IF(H546-E546&gt;=GWL,99,E546*(MAX(0,GWL-H546)*(GAM_S-GAM_W)+MAX(0,NG-MAX(H546,GWL))*GAM_D)/(GAM_W*PI()*E546^2/4))</f>
        <v>3.04867290659887</v>
      </c>
      <c r="AA546" s="27" t="n">
        <f aca="false">IF(I546-E546&gt;=GWL,99,E546*(MAX(0,GWL-I546)*(GAM_S-GAM_W)+MAX(0,NG-MAX(I546,GWL))*GAM_D)/(GAM_W*PI()*E546^2/4))</f>
        <v>3.04867290659887</v>
      </c>
      <c r="AB546" s="27" t="n">
        <f aca="false">IF(H546-E546&gt;=GWL,99,E546*(MAX(0,GWL-H546)*(GAM_S-GAM_W)+MAX(0,FL-MAX(H546,GWL))*GAM_D)/(GAM_W*PI()*E546^2/4))</f>
        <v>6.4068587422322</v>
      </c>
      <c r="AC546" s="27" t="n">
        <f aca="false">IF(I546-E546&gt;=GWL,99,E546*(MAX(0,GWL-I546)*(GAM_S-GAM_W)+MAX(0,FL-MAX(I546,GWL))*GAM_D)/(GAM_W*PI()*E546^2/4))</f>
        <v>6.4068587422322</v>
      </c>
    </row>
    <row r="547" customFormat="false" ht="15" hidden="false" customHeight="false" outlineLevel="0" collapsed="false">
      <c r="A547" s="25" t="s">
        <v>993</v>
      </c>
      <c r="B547" s="25" t="s">
        <v>1070</v>
      </c>
      <c r="C547" s="25" t="s">
        <v>1071</v>
      </c>
      <c r="D547" s="26" t="n">
        <v>2.54875000012654</v>
      </c>
      <c r="E547" s="26" t="n">
        <v>1.19999699302754</v>
      </c>
      <c r="F547" s="26" t="n">
        <v>-4.82498849651377</v>
      </c>
      <c r="G547" s="26" t="n">
        <v>-4.82498849651377</v>
      </c>
      <c r="H547" s="26" t="n">
        <v>-3.12499150348623</v>
      </c>
      <c r="I547" s="26" t="n">
        <v>-3.12499150348623</v>
      </c>
      <c r="J547" s="26" t="n">
        <v>32.85</v>
      </c>
      <c r="K547" s="27" t="n">
        <f aca="false">MIN(F547,G547)</f>
        <v>-4.82498849651377</v>
      </c>
      <c r="L547" s="27" t="n">
        <f aca="false">AVERAGE(F547,G547)</f>
        <v>-4.82498849651377</v>
      </c>
      <c r="M547" s="27" t="n">
        <f aca="false">MAX(0,NG-L547)</f>
        <v>4.12498849651377</v>
      </c>
      <c r="N547" s="27" t="n">
        <f aca="false">MAX(0,GWL-K547)</f>
        <v>3.32498849651377</v>
      </c>
      <c r="O547" s="27" t="n">
        <f aca="false">MAX(0,NG-MAX(K547,GWL))</f>
        <v>0.8</v>
      </c>
      <c r="P547" s="27" t="n">
        <f aca="false">E547/2+WS+SLOPE_A*O547+SLOPE_B*N547</f>
        <v>9.44997548954131</v>
      </c>
      <c r="Q547" s="28" t="str">
        <f aca="false">IF(AND(P547&lt;J547,N547&lt;=MAXOC),"Open cut","Shoring")</f>
        <v>Shoring</v>
      </c>
      <c r="R547" s="27" t="n">
        <f aca="false">IF(Q547="Shoring",D547,0)</f>
        <v>2.54875000012654</v>
      </c>
      <c r="S547" s="27" t="n">
        <f aca="false">MAX(0,GWL-L547)</f>
        <v>3.32498849651377</v>
      </c>
      <c r="T547" s="27" t="n">
        <f aca="false">MAX(0,NG-MAX(L547,GWL))</f>
        <v>0.8</v>
      </c>
      <c r="U547" s="27" t="n">
        <f aca="false">E547+2*WS</f>
        <v>3.19999699302754</v>
      </c>
      <c r="V547" s="27" t="n">
        <f aca="false">IF(Q547="Shoring",D547*M547*U547,0)</f>
        <v>33.6433745652379</v>
      </c>
      <c r="W547" s="27" t="n">
        <f aca="false">IF(Q547="Open cut",D547*(U547*M547+SLOPE_B*S547^2+2*SLOPE_B*S547*T547+SLOPE_A*T547^2),0)</f>
        <v>0</v>
      </c>
      <c r="X547" s="27" t="n">
        <f aca="false">IF(M547&gt;0,D547*(E547+2*SLABOVH)*SLAB,0)</f>
        <v>2.80362116812866</v>
      </c>
      <c r="Y547" s="27" t="n">
        <f aca="false">IF(M547&gt;0,D547*PI()*E547^2/4,0)</f>
        <v>2.88255389312317</v>
      </c>
      <c r="Z547" s="27" t="n">
        <f aca="false">IF(H547-E547&gt;=GWL,99,E547*(MAX(0,GWL-H547)*(GAM_S-GAM_W)+MAX(0,NG-MAX(H547,GWL))*GAM_D)/(GAM_W*PI()*E547^2/4))</f>
        <v>2.99693136592279</v>
      </c>
      <c r="AA547" s="27" t="n">
        <f aca="false">IF(I547-E547&gt;=GWL,99,E547*(MAX(0,GWL-I547)*(GAM_S-GAM_W)+MAX(0,NG-MAX(I547,GWL))*GAM_D)/(GAM_W*PI()*E547^2/4))</f>
        <v>2.99693136592279</v>
      </c>
      <c r="AB547" s="27" t="n">
        <f aca="false">IF(H547-E547&gt;=GWL,99,E547*(MAX(0,GWL-H547)*(GAM_S-GAM_W)+MAX(0,FL-MAX(H547,GWL))*GAM_D)/(GAM_W*PI()*E547^2/4))</f>
        <v>6.30658373581278</v>
      </c>
      <c r="AC547" s="27" t="n">
        <f aca="false">IF(I547-E547&gt;=GWL,99,E547*(MAX(0,GWL-I547)*(GAM_S-GAM_W)+MAX(0,FL-MAX(I547,GWL))*GAM_D)/(GAM_W*PI()*E547^2/4))</f>
        <v>6.30658373581278</v>
      </c>
    </row>
    <row r="548" customFormat="false" ht="15" hidden="false" customHeight="false" outlineLevel="0" collapsed="false">
      <c r="A548" s="25" t="s">
        <v>993</v>
      </c>
      <c r="B548" s="25" t="s">
        <v>1070</v>
      </c>
      <c r="C548" s="25" t="s">
        <v>1072</v>
      </c>
      <c r="D548" s="26" t="n">
        <v>0.576508552240622</v>
      </c>
      <c r="E548" s="26" t="n">
        <v>1.20000411748776</v>
      </c>
      <c r="F548" s="26" t="n">
        <v>-4.82499205874388</v>
      </c>
      <c r="G548" s="26" t="n">
        <v>-4.82499205874388</v>
      </c>
      <c r="H548" s="26" t="n">
        <v>-3.12498794125612</v>
      </c>
      <c r="I548" s="26" t="n">
        <v>-3.12498794125612</v>
      </c>
      <c r="J548" s="26" t="n">
        <v>32.59</v>
      </c>
      <c r="K548" s="27" t="n">
        <f aca="false">MIN(F548,G548)</f>
        <v>-4.82499205874388</v>
      </c>
      <c r="L548" s="27" t="n">
        <f aca="false">AVERAGE(F548,G548)</f>
        <v>-4.82499205874388</v>
      </c>
      <c r="M548" s="27" t="n">
        <f aca="false">MAX(0,NG-L548)</f>
        <v>4.12499205874388</v>
      </c>
      <c r="N548" s="27" t="n">
        <f aca="false">MAX(0,GWL-K548)</f>
        <v>3.32499205874388</v>
      </c>
      <c r="O548" s="27" t="n">
        <f aca="false">MAX(0,NG-MAX(K548,GWL))</f>
        <v>0.8</v>
      </c>
      <c r="P548" s="27" t="n">
        <f aca="false">E548/2+WS+SLOPE_A*O548+SLOPE_B*N548</f>
        <v>9.44998617623164</v>
      </c>
      <c r="Q548" s="28" t="str">
        <f aca="false">IF(AND(P548&lt;J548,N548&lt;=MAXOC),"Open cut","Shoring")</f>
        <v>Shoring</v>
      </c>
      <c r="R548" s="27" t="n">
        <f aca="false">IF(Q548="Shoring",D548,0)</f>
        <v>0.576508552240622</v>
      </c>
      <c r="S548" s="27" t="n">
        <f aca="false">MAX(0,GWL-L548)</f>
        <v>3.32499205874388</v>
      </c>
      <c r="T548" s="27" t="n">
        <f aca="false">MAX(0,NG-MAX(L548,GWL))</f>
        <v>0.8</v>
      </c>
      <c r="U548" s="27" t="n">
        <f aca="false">E548+2*WS</f>
        <v>3.20000411748776</v>
      </c>
      <c r="V548" s="27" t="n">
        <f aca="false">IF(Q548="Shoring",D548*M548*U548,0)</f>
        <v>7.60990803109922</v>
      </c>
      <c r="W548" s="27" t="n">
        <f aca="false">IF(Q548="Open cut",D548*(U548*M548+SLOPE_B*S548^2+2*SLOPE_B*S548*T548+SLOPE_A*T548^2),0)</f>
        <v>0</v>
      </c>
      <c r="X548" s="27" t="n">
        <f aca="false">IF(M548&gt;0,D548*(E548+2*SLABOVH)*SLAB,0)</f>
        <v>0.634160594348137</v>
      </c>
      <c r="Y548" s="27" t="n">
        <f aca="false">IF(M548&gt;0,D548*PI()*E548^2/4,0)</f>
        <v>0.652020286135178</v>
      </c>
      <c r="Z548" s="27" t="n">
        <f aca="false">IF(H548-E548&gt;=GWL,99,E548*(MAX(0,GWL-H548)*(GAM_S-GAM_W)+MAX(0,NG-MAX(H548,GWL))*GAM_D)/(GAM_W*PI()*E548^2/4))</f>
        <v>2.99691041758054</v>
      </c>
      <c r="AA548" s="27" t="n">
        <f aca="false">IF(I548-E548&gt;=GWL,99,E548*(MAX(0,GWL-I548)*(GAM_S-GAM_W)+MAX(0,NG-MAX(I548,GWL))*GAM_D)/(GAM_W*PI()*E548^2/4))</f>
        <v>2.99691041758054</v>
      </c>
      <c r="AB548" s="27" t="n">
        <f aca="false">IF(H548-E548&gt;=GWL,99,E548*(MAX(0,GWL-H548)*(GAM_S-GAM_W)+MAX(0,FL-MAX(H548,GWL))*GAM_D)/(GAM_W*PI()*E548^2/4))</f>
        <v>6.30654313796574</v>
      </c>
      <c r="AC548" s="27" t="n">
        <f aca="false">IF(I548-E548&gt;=GWL,99,E548*(MAX(0,GWL-I548)*(GAM_S-GAM_W)+MAX(0,FL-MAX(I548,GWL))*GAM_D)/(GAM_W*PI()*E548^2/4))</f>
        <v>6.30654313796574</v>
      </c>
    </row>
    <row r="549" customFormat="false" ht="15" hidden="false" customHeight="false" outlineLevel="0" collapsed="false">
      <c r="A549" s="25" t="s">
        <v>993</v>
      </c>
      <c r="B549" s="25" t="s">
        <v>1070</v>
      </c>
      <c r="C549" s="25" t="s">
        <v>1073</v>
      </c>
      <c r="D549" s="26" t="n">
        <v>0.168142168541176</v>
      </c>
      <c r="E549" s="26" t="n">
        <v>1.20000411748776</v>
      </c>
      <c r="F549" s="26" t="n">
        <v>-4.82499205874388</v>
      </c>
      <c r="G549" s="26" t="n">
        <v>-4.82499205874388</v>
      </c>
      <c r="H549" s="26" t="n">
        <v>-3.12498794125612</v>
      </c>
      <c r="I549" s="26" t="n">
        <v>-3.12498794125612</v>
      </c>
      <c r="J549" s="26" t="n">
        <v>32.52</v>
      </c>
      <c r="K549" s="27" t="n">
        <f aca="false">MIN(F549,G549)</f>
        <v>-4.82499205874388</v>
      </c>
      <c r="L549" s="27" t="n">
        <f aca="false">AVERAGE(F549,G549)</f>
        <v>-4.82499205874388</v>
      </c>
      <c r="M549" s="27" t="n">
        <f aca="false">MAX(0,NG-L549)</f>
        <v>4.12499205874388</v>
      </c>
      <c r="N549" s="27" t="n">
        <f aca="false">MAX(0,GWL-K549)</f>
        <v>3.32499205874388</v>
      </c>
      <c r="O549" s="27" t="n">
        <f aca="false">MAX(0,NG-MAX(K549,GWL))</f>
        <v>0.8</v>
      </c>
      <c r="P549" s="27" t="n">
        <f aca="false">E549/2+WS+SLOPE_A*O549+SLOPE_B*N549</f>
        <v>9.44998617623164</v>
      </c>
      <c r="Q549" s="28" t="str">
        <f aca="false">IF(AND(P549&lt;J549,N549&lt;=MAXOC),"Open cut","Shoring")</f>
        <v>Shoring</v>
      </c>
      <c r="R549" s="27" t="n">
        <f aca="false">IF(Q549="Shoring",D549,0)</f>
        <v>0.168142168541176</v>
      </c>
      <c r="S549" s="27" t="n">
        <f aca="false">MAX(0,GWL-L549)</f>
        <v>3.32499205874388</v>
      </c>
      <c r="T549" s="27" t="n">
        <f aca="false">MAX(0,NG-MAX(L549,GWL))</f>
        <v>0.8</v>
      </c>
      <c r="U549" s="27" t="n">
        <f aca="false">E549+2*WS</f>
        <v>3.20000411748776</v>
      </c>
      <c r="V549" s="27" t="n">
        <f aca="false">IF(Q549="Shoring",D549*M549*U549,0)</f>
        <v>2.21947520773965</v>
      </c>
      <c r="W549" s="27" t="n">
        <f aca="false">IF(Q549="Open cut",D549*(U549*M549+SLOPE_B*S549^2+2*SLOPE_B*S549*T549+SLOPE_A*T549^2),0)</f>
        <v>0</v>
      </c>
      <c r="X549" s="27" t="n">
        <f aca="false">IF(M549&gt;0,D549*(E549+2*SLABOVH)*SLAB,0)</f>
        <v>0.184956731556954</v>
      </c>
      <c r="Y549" s="27" t="n">
        <f aca="false">IF(M549&gt;0,D549*PI()*E549^2/4,0)</f>
        <v>0.190165617522096</v>
      </c>
      <c r="Z549" s="27" t="n">
        <f aca="false">IF(H549-E549&gt;=GWL,99,E549*(MAX(0,GWL-H549)*(GAM_S-GAM_W)+MAX(0,NG-MAX(H549,GWL))*GAM_D)/(GAM_W*PI()*E549^2/4))</f>
        <v>2.99691041758054</v>
      </c>
      <c r="AA549" s="27" t="n">
        <f aca="false">IF(I549-E549&gt;=GWL,99,E549*(MAX(0,GWL-I549)*(GAM_S-GAM_W)+MAX(0,NG-MAX(I549,GWL))*GAM_D)/(GAM_W*PI()*E549^2/4))</f>
        <v>2.99691041758054</v>
      </c>
      <c r="AB549" s="27" t="n">
        <f aca="false">IF(H549-E549&gt;=GWL,99,E549*(MAX(0,GWL-H549)*(GAM_S-GAM_W)+MAX(0,FL-MAX(H549,GWL))*GAM_D)/(GAM_W*PI()*E549^2/4))</f>
        <v>6.30654313796574</v>
      </c>
      <c r="AC549" s="27" t="n">
        <f aca="false">IF(I549-E549&gt;=GWL,99,E549*(MAX(0,GWL-I549)*(GAM_S-GAM_W)+MAX(0,FL-MAX(I549,GWL))*GAM_D)/(GAM_W*PI()*E549^2/4))</f>
        <v>6.30654313796574</v>
      </c>
    </row>
    <row r="550" customFormat="false" ht="15" hidden="false" customHeight="false" outlineLevel="0" collapsed="false">
      <c r="A550" s="25" t="s">
        <v>993</v>
      </c>
      <c r="B550" s="25" t="s">
        <v>1070</v>
      </c>
      <c r="C550" s="25" t="s">
        <v>1074</v>
      </c>
      <c r="D550" s="26" t="n">
        <v>3.01906070730023</v>
      </c>
      <c r="E550" s="26" t="n">
        <v>1.22583740752726</v>
      </c>
      <c r="F550" s="26" t="n">
        <v>-4.83790870376363</v>
      </c>
      <c r="G550" s="26" t="n">
        <v>-4.83790870376363</v>
      </c>
      <c r="H550" s="26" t="n">
        <v>-3.11207129623637</v>
      </c>
      <c r="I550" s="26" t="n">
        <v>-3.11207129623637</v>
      </c>
      <c r="J550" s="26" t="n">
        <v>31.33</v>
      </c>
      <c r="K550" s="27" t="n">
        <f aca="false">MIN(F550,G550)</f>
        <v>-4.83790870376363</v>
      </c>
      <c r="L550" s="27" t="n">
        <f aca="false">AVERAGE(F550,G550)</f>
        <v>-4.83790870376363</v>
      </c>
      <c r="M550" s="27" t="n">
        <f aca="false">MAX(0,NG-L550)</f>
        <v>4.13790870376363</v>
      </c>
      <c r="N550" s="27" t="n">
        <f aca="false">MAX(0,GWL-K550)</f>
        <v>3.33790870376363</v>
      </c>
      <c r="O550" s="27" t="n">
        <f aca="false">MAX(0,NG-MAX(K550,GWL))</f>
        <v>0.8</v>
      </c>
      <c r="P550" s="27" t="n">
        <f aca="false">E550/2+WS+SLOPE_A*O550+SLOPE_B*N550</f>
        <v>9.48873611129089</v>
      </c>
      <c r="Q550" s="28" t="str">
        <f aca="false">IF(AND(P550&lt;J550,N550&lt;=MAXOC),"Open cut","Shoring")</f>
        <v>Shoring</v>
      </c>
      <c r="R550" s="27" t="n">
        <f aca="false">IF(Q550="Shoring",D550,0)</f>
        <v>3.01906070730023</v>
      </c>
      <c r="S550" s="27" t="n">
        <f aca="false">MAX(0,GWL-L550)</f>
        <v>3.33790870376363</v>
      </c>
      <c r="T550" s="27" t="n">
        <f aca="false">MAX(0,NG-MAX(L550,GWL))</f>
        <v>0.8</v>
      </c>
      <c r="U550" s="27" t="n">
        <f aca="false">E550+2*WS</f>
        <v>3.22583740752726</v>
      </c>
      <c r="V550" s="27" t="n">
        <f aca="false">IF(Q550="Shoring",D550*M550*U550,0)</f>
        <v>40.2990885840659</v>
      </c>
      <c r="W550" s="27" t="n">
        <f aca="false">IF(Q550="Open cut",D550*(U550*M550+SLOPE_B*S550^2+2*SLOPE_B*S550*T550+SLOPE_A*T550^2),0)</f>
        <v>0</v>
      </c>
      <c r="X550" s="27" t="n">
        <f aca="false">IF(M550&gt;0,D550*(E550+2*SLABOVH)*SLAB,0)</f>
        <v>3.35996912895228</v>
      </c>
      <c r="Y550" s="27" t="n">
        <f aca="false">IF(M550&gt;0,D550*PI()*E550^2/4,0)</f>
        <v>3.56309553922336</v>
      </c>
      <c r="Z550" s="27" t="n">
        <f aca="false">IF(H550-E550&gt;=GWL,99,E550*(MAX(0,GWL-H550)*(GAM_S-GAM_W)+MAX(0,NG-MAX(H550,GWL))*GAM_D)/(GAM_W*PI()*E550^2/4))</f>
        <v>2.92255293080149</v>
      </c>
      <c r="AA550" s="27" t="n">
        <f aca="false">IF(I550-E550&gt;=GWL,99,E550*(MAX(0,GWL-I550)*(GAM_S-GAM_W)+MAX(0,NG-MAX(I550,GWL))*GAM_D)/(GAM_W*PI()*E550^2/4))</f>
        <v>2.92255293080149</v>
      </c>
      <c r="AB550" s="27" t="n">
        <f aca="false">IF(H550-E550&gt;=GWL,99,E550*(MAX(0,GWL-H550)*(GAM_S-GAM_W)+MAX(0,FL-MAX(H550,GWL))*GAM_D)/(GAM_W*PI()*E550^2/4))</f>
        <v>6.16243847145068</v>
      </c>
      <c r="AC550" s="27" t="n">
        <f aca="false">IF(I550-E550&gt;=GWL,99,E550*(MAX(0,GWL-I550)*(GAM_S-GAM_W)+MAX(0,FL-MAX(I550,GWL))*GAM_D)/(GAM_W*PI()*E550^2/4))</f>
        <v>6.16243847145068</v>
      </c>
    </row>
    <row r="551" customFormat="false" ht="15" hidden="false" customHeight="false" outlineLevel="0" collapsed="false">
      <c r="A551" s="25" t="s">
        <v>1075</v>
      </c>
      <c r="B551" s="25" t="s">
        <v>1076</v>
      </c>
      <c r="C551" s="25" t="s">
        <v>1077</v>
      </c>
      <c r="D551" s="26" t="n">
        <v>10.0000000001458</v>
      </c>
      <c r="E551" s="26" t="n">
        <v>2.68999339034444</v>
      </c>
      <c r="F551" s="26" t="n">
        <v>-3.17499669517222</v>
      </c>
      <c r="G551" s="26" t="n">
        <v>-3.17499669517222</v>
      </c>
      <c r="H551" s="26" t="n">
        <v>0.0149966951722205</v>
      </c>
      <c r="I551" s="26" t="n">
        <v>0.0149966951722205</v>
      </c>
      <c r="J551" s="26" t="n">
        <v>12.49</v>
      </c>
      <c r="K551" s="27" t="n">
        <f aca="false">MIN(F551,G551)</f>
        <v>-3.17499669517222</v>
      </c>
      <c r="L551" s="27" t="n">
        <f aca="false">AVERAGE(F551,G551)</f>
        <v>-3.17499669517222</v>
      </c>
      <c r="M551" s="27" t="n">
        <f aca="false">MAX(0,NG-L551)</f>
        <v>2.47499669517222</v>
      </c>
      <c r="N551" s="27" t="n">
        <f aca="false">MAX(0,GWL-K551)</f>
        <v>1.67499669517222</v>
      </c>
      <c r="O551" s="27" t="n">
        <f aca="false">MAX(0,NG-MAX(K551,GWL))</f>
        <v>0.8</v>
      </c>
      <c r="P551" s="27" t="n">
        <f aca="false">E551/2+WS+SLOPE_A*O551+SLOPE_B*N551</f>
        <v>6.89499008551666</v>
      </c>
      <c r="Q551" s="28" t="str">
        <f aca="false">IF(AND(P551&lt;J551,N551&lt;=MAXOC),"Open cut","Shoring")</f>
        <v>Open cut</v>
      </c>
      <c r="R551" s="27" t="n">
        <f aca="false">IF(Q551="Shoring",D551,0)</f>
        <v>0</v>
      </c>
      <c r="S551" s="27" t="n">
        <f aca="false">MAX(0,GWL-L551)</f>
        <v>1.67499669517222</v>
      </c>
      <c r="T551" s="27" t="n">
        <f aca="false">MAX(0,NG-MAX(L551,GWL))</f>
        <v>0.8</v>
      </c>
      <c r="U551" s="27" t="n">
        <f aca="false">E551+2*WS</f>
        <v>4.68999339034444</v>
      </c>
      <c r="V551" s="27" t="n">
        <f aca="false">IF(Q551="Shoring",D551*M551*U551,0)</f>
        <v>0</v>
      </c>
      <c r="W551" s="27" t="n">
        <f aca="false">IF(Q551="Open cut",D551*(U551*M551+SLOPE_B*S551^2+2*SLOPE_B*S551*T551+SLOPE_A*T551^2),0)</f>
        <v>235.38935424052</v>
      </c>
      <c r="X551" s="27" t="n">
        <f aca="false">IF(M551&gt;0,D551*(E551+2*SLABOVH)*SLAB,0)</f>
        <v>18.4499669519912</v>
      </c>
      <c r="Y551" s="27" t="n">
        <f aca="false">IF(M551&gt;0,D551*PI()*E551^2/4,0)</f>
        <v>56.8319172156045</v>
      </c>
      <c r="Z551" s="27" t="n">
        <f aca="false">IF(H551-E551&gt;=GWL,99,E551*(MAX(0,GWL-H551)*(GAM_S-GAM_W)+MAX(0,NG-MAX(H551,GWL))*GAM_D)/(GAM_W*PI()*E551^2/4))</f>
        <v>0</v>
      </c>
      <c r="AA551" s="27" t="n">
        <f aca="false">IF(I551-E551&gt;=GWL,99,E551*(MAX(0,GWL-I551)*(GAM_S-GAM_W)+MAX(0,NG-MAX(I551,GWL))*GAM_D)/(GAM_W*PI()*E551^2/4))</f>
        <v>0</v>
      </c>
      <c r="AB551" s="27" t="n">
        <f aca="false">IF(H551-E551&gt;=GWL,99,E551*(MAX(0,GWL-H551)*(GAM_S-GAM_W)+MAX(0,FL-MAX(H551,GWL))*GAM_D)/(GAM_W*PI()*E551^2/4))</f>
        <v>0.855460755769288</v>
      </c>
      <c r="AC551" s="27" t="n">
        <f aca="false">IF(I551-E551&gt;=GWL,99,E551*(MAX(0,GWL-I551)*(GAM_S-GAM_W)+MAX(0,FL-MAX(I551,GWL))*GAM_D)/(GAM_W*PI()*E551^2/4))</f>
        <v>0.855460755769288</v>
      </c>
    </row>
    <row r="552" customFormat="false" ht="15" hidden="false" customHeight="false" outlineLevel="0" collapsed="false">
      <c r="A552" s="25" t="s">
        <v>1075</v>
      </c>
      <c r="B552" s="25" t="s">
        <v>1076</v>
      </c>
      <c r="C552" s="25" t="s">
        <v>1078</v>
      </c>
      <c r="D552" s="26" t="n">
        <v>5.3211299998763</v>
      </c>
      <c r="E552" s="26" t="n">
        <v>2.68999339034444</v>
      </c>
      <c r="F552" s="26" t="n">
        <v>-3.17499669517222</v>
      </c>
      <c r="G552" s="26" t="n">
        <v>-3.17499669517222</v>
      </c>
      <c r="H552" s="26" t="n">
        <v>0.0149966951722205</v>
      </c>
      <c r="I552" s="26" t="n">
        <v>0.0149966951722205</v>
      </c>
      <c r="J552" s="26" t="n">
        <v>12.49</v>
      </c>
      <c r="K552" s="27" t="n">
        <f aca="false">MIN(F552,G552)</f>
        <v>-3.17499669517222</v>
      </c>
      <c r="L552" s="27" t="n">
        <f aca="false">AVERAGE(F552,G552)</f>
        <v>-3.17499669517222</v>
      </c>
      <c r="M552" s="27" t="n">
        <f aca="false">MAX(0,NG-L552)</f>
        <v>2.47499669517222</v>
      </c>
      <c r="N552" s="27" t="n">
        <f aca="false">MAX(0,GWL-K552)</f>
        <v>1.67499669517222</v>
      </c>
      <c r="O552" s="27" t="n">
        <f aca="false">MAX(0,NG-MAX(K552,GWL))</f>
        <v>0.8</v>
      </c>
      <c r="P552" s="27" t="n">
        <f aca="false">E552/2+WS+SLOPE_A*O552+SLOPE_B*N552</f>
        <v>6.89499008551666</v>
      </c>
      <c r="Q552" s="28" t="str">
        <f aca="false">IF(AND(P552&lt;J552,N552&lt;=MAXOC),"Open cut","Shoring")</f>
        <v>Open cut</v>
      </c>
      <c r="R552" s="27" t="n">
        <f aca="false">IF(Q552="Shoring",D552,0)</f>
        <v>0</v>
      </c>
      <c r="S552" s="27" t="n">
        <f aca="false">MAX(0,GWL-L552)</f>
        <v>1.67499669517222</v>
      </c>
      <c r="T552" s="27" t="n">
        <f aca="false">MAX(0,NG-MAX(L552,GWL))</f>
        <v>0.8</v>
      </c>
      <c r="U552" s="27" t="n">
        <f aca="false">E552+2*WS</f>
        <v>4.68999339034444</v>
      </c>
      <c r="V552" s="27" t="n">
        <f aca="false">IF(Q552="Shoring",D552*M552*U552,0)</f>
        <v>0</v>
      </c>
      <c r="W552" s="27" t="n">
        <f aca="false">IF(Q552="Open cut",D552*(U552*M552+SLOPE_B*S552^2+2*SLOPE_B*S552*T552+SLOPE_A*T552^2),0)</f>
        <v>125.253735448248</v>
      </c>
      <c r="X552" s="27" t="n">
        <f aca="false">IF(M552&gt;0,D552*(E552+2*SLABOVH)*SLAB,0)</f>
        <v>9.81746726435354</v>
      </c>
      <c r="Y552" s="27" t="n">
        <f aca="false">IF(M552&gt;0,D552*PI()*E552^2/4,0)</f>
        <v>30.2410019642031</v>
      </c>
      <c r="Z552" s="27" t="n">
        <f aca="false">IF(H552-E552&gt;=GWL,99,E552*(MAX(0,GWL-H552)*(GAM_S-GAM_W)+MAX(0,NG-MAX(H552,GWL))*GAM_D)/(GAM_W*PI()*E552^2/4))</f>
        <v>0</v>
      </c>
      <c r="AA552" s="27" t="n">
        <f aca="false">IF(I552-E552&gt;=GWL,99,E552*(MAX(0,GWL-I552)*(GAM_S-GAM_W)+MAX(0,NG-MAX(I552,GWL))*GAM_D)/(GAM_W*PI()*E552^2/4))</f>
        <v>0</v>
      </c>
      <c r="AB552" s="27" t="n">
        <f aca="false">IF(H552-E552&gt;=GWL,99,E552*(MAX(0,GWL-H552)*(GAM_S-GAM_W)+MAX(0,FL-MAX(H552,GWL))*GAM_D)/(GAM_W*PI()*E552^2/4))</f>
        <v>0.855460755769288</v>
      </c>
      <c r="AC552" s="27" t="n">
        <f aca="false">IF(I552-E552&gt;=GWL,99,E552*(MAX(0,GWL-I552)*(GAM_S-GAM_W)+MAX(0,FL-MAX(I552,GWL))*GAM_D)/(GAM_W*PI()*E552^2/4))</f>
        <v>0.855460755769288</v>
      </c>
    </row>
    <row r="553" customFormat="false" ht="15" hidden="false" customHeight="false" outlineLevel="0" collapsed="false">
      <c r="A553" s="25" t="s">
        <v>1075</v>
      </c>
      <c r="B553" s="25" t="s">
        <v>1076</v>
      </c>
      <c r="C553" s="25" t="s">
        <v>1079</v>
      </c>
      <c r="D553" s="26" t="n">
        <v>2.59995717611942</v>
      </c>
      <c r="E553" s="26" t="n">
        <v>2.68999339034444</v>
      </c>
      <c r="F553" s="26" t="n">
        <v>-3.17499669517222</v>
      </c>
      <c r="G553" s="26" t="n">
        <v>-3.17499669517222</v>
      </c>
      <c r="H553" s="26" t="n">
        <v>0.0149966951722205</v>
      </c>
      <c r="I553" s="26" t="n">
        <v>0.0149966951722205</v>
      </c>
      <c r="J553" s="26" t="n">
        <v>12.59</v>
      </c>
      <c r="K553" s="27" t="n">
        <f aca="false">MIN(F553,G553)</f>
        <v>-3.17499669517222</v>
      </c>
      <c r="L553" s="27" t="n">
        <f aca="false">AVERAGE(F553,G553)</f>
        <v>-3.17499669517222</v>
      </c>
      <c r="M553" s="27" t="n">
        <f aca="false">MAX(0,NG-L553)</f>
        <v>2.47499669517222</v>
      </c>
      <c r="N553" s="27" t="n">
        <f aca="false">MAX(0,GWL-K553)</f>
        <v>1.67499669517222</v>
      </c>
      <c r="O553" s="27" t="n">
        <f aca="false">MAX(0,NG-MAX(K553,GWL))</f>
        <v>0.8</v>
      </c>
      <c r="P553" s="27" t="n">
        <f aca="false">E553/2+WS+SLOPE_A*O553+SLOPE_B*N553</f>
        <v>6.89499008551666</v>
      </c>
      <c r="Q553" s="28" t="str">
        <f aca="false">IF(AND(P553&lt;J553,N553&lt;=MAXOC),"Open cut","Shoring")</f>
        <v>Open cut</v>
      </c>
      <c r="R553" s="27" t="n">
        <f aca="false">IF(Q553="Shoring",D553,0)</f>
        <v>0</v>
      </c>
      <c r="S553" s="27" t="n">
        <f aca="false">MAX(0,GWL-L553)</f>
        <v>1.67499669517222</v>
      </c>
      <c r="T553" s="27" t="n">
        <f aca="false">MAX(0,NG-MAX(L553,GWL))</f>
        <v>0.8</v>
      </c>
      <c r="U553" s="27" t="n">
        <f aca="false">E553+2*WS</f>
        <v>4.68999339034444</v>
      </c>
      <c r="V553" s="27" t="n">
        <f aca="false">IF(Q553="Shoring",D553*M553*U553,0)</f>
        <v>0</v>
      </c>
      <c r="W553" s="27" t="n">
        <f aca="false">IF(Q553="Open cut",D553*(U553*M553+SLOPE_B*S553^2+2*SLOPE_B*S553*T553+SLOPE_A*T553^2),0)</f>
        <v>61.2002240730835</v>
      </c>
      <c r="X553" s="27" t="n">
        <f aca="false">IF(M553&gt;0,D553*(E553+2*SLABOVH)*SLAB,0)</f>
        <v>4.79691239752963</v>
      </c>
      <c r="Y553" s="27" t="n">
        <f aca="false">IF(M553&gt;0,D553*PI()*E553^2/4,0)</f>
        <v>14.7760550995182</v>
      </c>
      <c r="Z553" s="27" t="n">
        <f aca="false">IF(H553-E553&gt;=GWL,99,E553*(MAX(0,GWL-H553)*(GAM_S-GAM_W)+MAX(0,NG-MAX(H553,GWL))*GAM_D)/(GAM_W*PI()*E553^2/4))</f>
        <v>0</v>
      </c>
      <c r="AA553" s="27" t="n">
        <f aca="false">IF(I553-E553&gt;=GWL,99,E553*(MAX(0,GWL-I553)*(GAM_S-GAM_W)+MAX(0,NG-MAX(I553,GWL))*GAM_D)/(GAM_W*PI()*E553^2/4))</f>
        <v>0</v>
      </c>
      <c r="AB553" s="27" t="n">
        <f aca="false">IF(H553-E553&gt;=GWL,99,E553*(MAX(0,GWL-H553)*(GAM_S-GAM_W)+MAX(0,FL-MAX(H553,GWL))*GAM_D)/(GAM_W*PI()*E553^2/4))</f>
        <v>0.855460755769288</v>
      </c>
      <c r="AC553" s="27" t="n">
        <f aca="false">IF(I553-E553&gt;=GWL,99,E553*(MAX(0,GWL-I553)*(GAM_S-GAM_W)+MAX(0,FL-MAX(I553,GWL))*GAM_D)/(GAM_W*PI()*E553^2/4))</f>
        <v>0.855460755769288</v>
      </c>
    </row>
    <row r="554" customFormat="false" ht="15" hidden="false" customHeight="false" outlineLevel="0" collapsed="false">
      <c r="A554" s="25" t="s">
        <v>1075</v>
      </c>
      <c r="B554" s="25" t="s">
        <v>1076</v>
      </c>
      <c r="C554" s="25" t="s">
        <v>1080</v>
      </c>
      <c r="D554" s="26" t="n">
        <v>2.0789128246198</v>
      </c>
      <c r="E554" s="26" t="n">
        <v>2.65699778179981</v>
      </c>
      <c r="F554" s="26" t="n">
        <v>-3.1584988908999</v>
      </c>
      <c r="G554" s="26" t="n">
        <v>-3.1584988908999</v>
      </c>
      <c r="H554" s="26" t="n">
        <v>-0.00150110910009604</v>
      </c>
      <c r="I554" s="26" t="n">
        <v>-0.00150110910009604</v>
      </c>
      <c r="J554" s="26" t="n">
        <v>10.88</v>
      </c>
      <c r="K554" s="27" t="n">
        <f aca="false">MIN(F554,G554)</f>
        <v>-3.1584988908999</v>
      </c>
      <c r="L554" s="27" t="n">
        <f aca="false">AVERAGE(F554,G554)</f>
        <v>-3.1584988908999</v>
      </c>
      <c r="M554" s="27" t="n">
        <f aca="false">MAX(0,NG-L554)</f>
        <v>2.4584988908999</v>
      </c>
      <c r="N554" s="27" t="n">
        <f aca="false">MAX(0,GWL-K554)</f>
        <v>1.6584988908999</v>
      </c>
      <c r="O554" s="27" t="n">
        <f aca="false">MAX(0,NG-MAX(K554,GWL))</f>
        <v>0.8</v>
      </c>
      <c r="P554" s="27" t="n">
        <f aca="false">E554/2+WS+SLOPE_A*O554+SLOPE_B*N554</f>
        <v>6.84549667269971</v>
      </c>
      <c r="Q554" s="28" t="str">
        <f aca="false">IF(AND(P554&lt;J554,N554&lt;=MAXOC),"Open cut","Shoring")</f>
        <v>Open cut</v>
      </c>
      <c r="R554" s="27" t="n">
        <f aca="false">IF(Q554="Shoring",D554,0)</f>
        <v>0</v>
      </c>
      <c r="S554" s="27" t="n">
        <f aca="false">MAX(0,GWL-L554)</f>
        <v>1.6584988908999</v>
      </c>
      <c r="T554" s="27" t="n">
        <f aca="false">MAX(0,NG-MAX(L554,GWL))</f>
        <v>0.8</v>
      </c>
      <c r="U554" s="27" t="n">
        <f aca="false">E554+2*WS</f>
        <v>4.65699778179981</v>
      </c>
      <c r="V554" s="27" t="n">
        <f aca="false">IF(Q554="Shoring",D554*M554*U554,0)</f>
        <v>0</v>
      </c>
      <c r="W554" s="27" t="n">
        <f aca="false">IF(Q554="Open cut",D554*(U554*M554+SLOPE_B*S554^2+2*SLOPE_B*S554*T554+SLOPE_A*T554^2),0)</f>
        <v>48.2674858815553</v>
      </c>
      <c r="X554" s="27" t="n">
        <f aca="false">IF(M554&gt;0,D554*(E554+2*SLABOVH)*SLAB,0)</f>
        <v>3.80128979409488</v>
      </c>
      <c r="Y554" s="27" t="n">
        <f aca="false">IF(M554&gt;0,D554*PI()*E554^2/4,0)</f>
        <v>11.5267943089684</v>
      </c>
      <c r="Z554" s="27" t="n">
        <f aca="false">IF(H554-E554&gt;=GWL,99,E554*(MAX(0,GWL-H554)*(GAM_S-GAM_W)+MAX(0,NG-MAX(H554,GWL))*GAM_D)/(GAM_W*PI()*E554^2/4))</f>
        <v>0</v>
      </c>
      <c r="AA554" s="27" t="n">
        <f aca="false">IF(I554-E554&gt;=GWL,99,E554*(MAX(0,GWL-I554)*(GAM_S-GAM_W)+MAX(0,NG-MAX(I554,GWL))*GAM_D)/(GAM_W*PI()*E554^2/4))</f>
        <v>0</v>
      </c>
      <c r="AB554" s="27" t="n">
        <f aca="false">IF(H554-E554&gt;=GWL,99,E554*(MAX(0,GWL-H554)*(GAM_S-GAM_W)+MAX(0,FL-MAX(H554,GWL))*GAM_D)/(GAM_W*PI()*E554^2/4))</f>
        <v>0.880590222652098</v>
      </c>
      <c r="AC554" s="27" t="n">
        <f aca="false">IF(I554-E554&gt;=GWL,99,E554*(MAX(0,GWL-I554)*(GAM_S-GAM_W)+MAX(0,FL-MAX(I554,GWL))*GAM_D)/(GAM_W*PI()*E554^2/4))</f>
        <v>0.880590222652098</v>
      </c>
    </row>
    <row r="555" customFormat="false" ht="15" hidden="false" customHeight="false" outlineLevel="0" collapsed="false">
      <c r="A555" s="25" t="s">
        <v>1075</v>
      </c>
      <c r="B555" s="25" t="s">
        <v>1076</v>
      </c>
      <c r="C555" s="25" t="s">
        <v>1081</v>
      </c>
      <c r="D555" s="26" t="n">
        <v>0.521096581577918</v>
      </c>
      <c r="E555" s="26" t="n">
        <v>2.65699778179981</v>
      </c>
      <c r="F555" s="26" t="n">
        <v>-3.1584988908999</v>
      </c>
      <c r="G555" s="26" t="n">
        <v>-3.1584988908999</v>
      </c>
      <c r="H555" s="26" t="n">
        <v>-0.00150110910009604</v>
      </c>
      <c r="I555" s="26" t="n">
        <v>-0.00150110910009604</v>
      </c>
      <c r="J555" s="26" t="n">
        <v>10.38</v>
      </c>
      <c r="K555" s="27" t="n">
        <f aca="false">MIN(F555,G555)</f>
        <v>-3.1584988908999</v>
      </c>
      <c r="L555" s="27" t="n">
        <f aca="false">AVERAGE(F555,G555)</f>
        <v>-3.1584988908999</v>
      </c>
      <c r="M555" s="27" t="n">
        <f aca="false">MAX(0,NG-L555)</f>
        <v>2.4584988908999</v>
      </c>
      <c r="N555" s="27" t="n">
        <f aca="false">MAX(0,GWL-K555)</f>
        <v>1.6584988908999</v>
      </c>
      <c r="O555" s="27" t="n">
        <f aca="false">MAX(0,NG-MAX(K555,GWL))</f>
        <v>0.8</v>
      </c>
      <c r="P555" s="27" t="n">
        <f aca="false">E555/2+WS+SLOPE_A*O555+SLOPE_B*N555</f>
        <v>6.84549667269971</v>
      </c>
      <c r="Q555" s="28" t="str">
        <f aca="false">IF(AND(P555&lt;J555,N555&lt;=MAXOC),"Open cut","Shoring")</f>
        <v>Open cut</v>
      </c>
      <c r="R555" s="27" t="n">
        <f aca="false">IF(Q555="Shoring",D555,0)</f>
        <v>0</v>
      </c>
      <c r="S555" s="27" t="n">
        <f aca="false">MAX(0,GWL-L555)</f>
        <v>1.6584988908999</v>
      </c>
      <c r="T555" s="27" t="n">
        <f aca="false">MAX(0,NG-MAX(L555,GWL))</f>
        <v>0.8</v>
      </c>
      <c r="U555" s="27" t="n">
        <f aca="false">E555+2*WS</f>
        <v>4.65699778179981</v>
      </c>
      <c r="V555" s="27" t="n">
        <f aca="false">IF(Q555="Shoring",D555*M555*U555,0)</f>
        <v>0</v>
      </c>
      <c r="W555" s="27" t="n">
        <f aca="false">IF(Q555="Open cut",D555*(U555*M555+SLOPE_B*S555^2+2*SLOPE_B*S555*T555+SLOPE_A*T555^2),0)</f>
        <v>12.098641942256</v>
      </c>
      <c r="X555" s="27" t="n">
        <f aca="false">IF(M555&gt;0,D555*(E555+2*SLABOVH)*SLAB,0)</f>
        <v>0.952824521466954</v>
      </c>
      <c r="Y555" s="27" t="n">
        <f aca="false">IF(M555&gt;0,D555*PI()*E555^2/4,0)</f>
        <v>2.88928570732817</v>
      </c>
      <c r="Z555" s="27" t="n">
        <f aca="false">IF(H555-E555&gt;=GWL,99,E555*(MAX(0,GWL-H555)*(GAM_S-GAM_W)+MAX(0,NG-MAX(H555,GWL))*GAM_D)/(GAM_W*PI()*E555^2/4))</f>
        <v>0</v>
      </c>
      <c r="AA555" s="27" t="n">
        <f aca="false">IF(I555-E555&gt;=GWL,99,E555*(MAX(0,GWL-I555)*(GAM_S-GAM_W)+MAX(0,NG-MAX(I555,GWL))*GAM_D)/(GAM_W*PI()*E555^2/4))</f>
        <v>0</v>
      </c>
      <c r="AB555" s="27" t="n">
        <f aca="false">IF(H555-E555&gt;=GWL,99,E555*(MAX(0,GWL-H555)*(GAM_S-GAM_W)+MAX(0,FL-MAX(H555,GWL))*GAM_D)/(GAM_W*PI()*E555^2/4))</f>
        <v>0.880590222652098</v>
      </c>
      <c r="AC555" s="27" t="n">
        <f aca="false">IF(I555-E555&gt;=GWL,99,E555*(MAX(0,GWL-I555)*(GAM_S-GAM_W)+MAX(0,FL-MAX(I555,GWL))*GAM_D)/(GAM_W*PI()*E555^2/4))</f>
        <v>0.880590222652098</v>
      </c>
    </row>
    <row r="556" customFormat="false" ht="15" hidden="false" customHeight="false" outlineLevel="0" collapsed="false">
      <c r="A556" s="25" t="s">
        <v>1075</v>
      </c>
      <c r="B556" s="25" t="s">
        <v>1082</v>
      </c>
      <c r="C556" s="25" t="s">
        <v>1083</v>
      </c>
      <c r="D556" s="26" t="n">
        <v>9.47890341871845</v>
      </c>
      <c r="E556" s="26" t="n">
        <v>2.65699778179981</v>
      </c>
      <c r="F556" s="26" t="n">
        <v>-3.1584988908999</v>
      </c>
      <c r="G556" s="26" t="n">
        <v>-3.1584988908999</v>
      </c>
      <c r="H556" s="26" t="n">
        <v>-0.00150110910009604</v>
      </c>
      <c r="I556" s="26" t="n">
        <v>-0.00150110910009604</v>
      </c>
      <c r="J556" s="26" t="n">
        <v>2.89</v>
      </c>
      <c r="K556" s="27" t="n">
        <f aca="false">MIN(F556,G556)</f>
        <v>-3.1584988908999</v>
      </c>
      <c r="L556" s="27" t="n">
        <f aca="false">AVERAGE(F556,G556)</f>
        <v>-3.1584988908999</v>
      </c>
      <c r="M556" s="27" t="n">
        <f aca="false">MAX(0,NG-L556)</f>
        <v>2.4584988908999</v>
      </c>
      <c r="N556" s="27" t="n">
        <f aca="false">MAX(0,GWL-K556)</f>
        <v>1.6584988908999</v>
      </c>
      <c r="O556" s="27" t="n">
        <f aca="false">MAX(0,NG-MAX(K556,GWL))</f>
        <v>0.8</v>
      </c>
      <c r="P556" s="27" t="n">
        <f aca="false">E556/2+WS+SLOPE_A*O556+SLOPE_B*N556</f>
        <v>6.84549667269971</v>
      </c>
      <c r="Q556" s="28" t="str">
        <f aca="false">IF(AND(P556&lt;J556,N556&lt;=MAXOC),"Open cut","Shoring")</f>
        <v>Shoring</v>
      </c>
      <c r="R556" s="27" t="n">
        <f aca="false">IF(Q556="Shoring",D556,0)</f>
        <v>9.47890341871845</v>
      </c>
      <c r="S556" s="27" t="n">
        <f aca="false">MAX(0,GWL-L556)</f>
        <v>1.6584988908999</v>
      </c>
      <c r="T556" s="27" t="n">
        <f aca="false">MAX(0,NG-MAX(L556,GWL))</f>
        <v>0.8</v>
      </c>
      <c r="U556" s="27" t="n">
        <f aca="false">E556+2*WS</f>
        <v>4.65699778179981</v>
      </c>
      <c r="V556" s="27" t="n">
        <f aca="false">IF(Q556="Shoring",D556*M556*U556,0)</f>
        <v>108.526087391816</v>
      </c>
      <c r="W556" s="27" t="n">
        <f aca="false">IF(Q556="Open cut",D556*(U556*M556+SLOPE_B*S556^2+2*SLOPE_B*S556*T556+SLOPE_A*T556^2),0)</f>
        <v>0</v>
      </c>
      <c r="X556" s="27" t="n">
        <f aca="false">IF(M556&gt;0,D556*(E556+2*SLABOVH)*SLAB,0)</f>
        <v>17.332164388074</v>
      </c>
      <c r="Y556" s="27" t="n">
        <f aca="false">IF(M556&gt;0,D556*PI()*E556^2/4,0)</f>
        <v>52.5569753037273</v>
      </c>
      <c r="Z556" s="27" t="n">
        <f aca="false">IF(H556-E556&gt;=GWL,99,E556*(MAX(0,GWL-H556)*(GAM_S-GAM_W)+MAX(0,NG-MAX(H556,GWL))*GAM_D)/(GAM_W*PI()*E556^2/4))</f>
        <v>0</v>
      </c>
      <c r="AA556" s="27" t="n">
        <f aca="false">IF(I556-E556&gt;=GWL,99,E556*(MAX(0,GWL-I556)*(GAM_S-GAM_W)+MAX(0,NG-MAX(I556,GWL))*GAM_D)/(GAM_W*PI()*E556^2/4))</f>
        <v>0</v>
      </c>
      <c r="AB556" s="27" t="n">
        <f aca="false">IF(H556-E556&gt;=GWL,99,E556*(MAX(0,GWL-H556)*(GAM_S-GAM_W)+MAX(0,FL-MAX(H556,GWL))*GAM_D)/(GAM_W*PI()*E556^2/4))</f>
        <v>0.880590222652098</v>
      </c>
      <c r="AC556" s="27" t="n">
        <f aca="false">IF(I556-E556&gt;=GWL,99,E556*(MAX(0,GWL-I556)*(GAM_S-GAM_W)+MAX(0,FL-MAX(I556,GWL))*GAM_D)/(GAM_W*PI()*E556^2/4))</f>
        <v>0.880590222652098</v>
      </c>
    </row>
    <row r="557" customFormat="false" ht="15" hidden="false" customHeight="false" outlineLevel="0" collapsed="false">
      <c r="A557" s="25" t="s">
        <v>1075</v>
      </c>
      <c r="B557" s="25" t="s">
        <v>1082</v>
      </c>
      <c r="C557" s="25" t="s">
        <v>1084</v>
      </c>
      <c r="D557" s="26" t="n">
        <v>7.99999999941345</v>
      </c>
      <c r="E557" s="26" t="n">
        <v>2.65699778179981</v>
      </c>
      <c r="F557" s="26" t="n">
        <v>-3.1584988908999</v>
      </c>
      <c r="G557" s="26" t="n">
        <v>-3.1584988908999</v>
      </c>
      <c r="H557" s="26" t="n">
        <v>-0.00150110910009604</v>
      </c>
      <c r="I557" s="26" t="n">
        <v>-0.00150110910009604</v>
      </c>
      <c r="J557" s="26" t="n">
        <v>2.83</v>
      </c>
      <c r="K557" s="27" t="n">
        <f aca="false">MIN(F557,G557)</f>
        <v>-3.1584988908999</v>
      </c>
      <c r="L557" s="27" t="n">
        <f aca="false">AVERAGE(F557,G557)</f>
        <v>-3.1584988908999</v>
      </c>
      <c r="M557" s="27" t="n">
        <f aca="false">MAX(0,NG-L557)</f>
        <v>2.4584988908999</v>
      </c>
      <c r="N557" s="27" t="n">
        <f aca="false">MAX(0,GWL-K557)</f>
        <v>1.6584988908999</v>
      </c>
      <c r="O557" s="27" t="n">
        <f aca="false">MAX(0,NG-MAX(K557,GWL))</f>
        <v>0.8</v>
      </c>
      <c r="P557" s="27" t="n">
        <f aca="false">E557/2+WS+SLOPE_A*O557+SLOPE_B*N557</f>
        <v>6.84549667269971</v>
      </c>
      <c r="Q557" s="28" t="str">
        <f aca="false">IF(AND(P557&lt;J557,N557&lt;=MAXOC),"Open cut","Shoring")</f>
        <v>Shoring</v>
      </c>
      <c r="R557" s="27" t="n">
        <f aca="false">IF(Q557="Shoring",D557,0)</f>
        <v>7.99999999941345</v>
      </c>
      <c r="S557" s="27" t="n">
        <f aca="false">MAX(0,GWL-L557)</f>
        <v>1.6584988908999</v>
      </c>
      <c r="T557" s="27" t="n">
        <f aca="false">MAX(0,NG-MAX(L557,GWL))</f>
        <v>0.8</v>
      </c>
      <c r="U557" s="27" t="n">
        <f aca="false">E557+2*WS</f>
        <v>4.65699778179981</v>
      </c>
      <c r="V557" s="27" t="n">
        <f aca="false">IF(Q557="Shoring",D557*M557*U557,0)</f>
        <v>91.5937910451096</v>
      </c>
      <c r="W557" s="27" t="n">
        <f aca="false">IF(Q557="Open cut",D557*(U557*M557+SLOPE_B*S557^2+2*SLOPE_B*S557*T557+SLOPE_A*T557^2),0)</f>
        <v>0</v>
      </c>
      <c r="X557" s="27" t="n">
        <f aca="false">IF(M557&gt;0,D557*(E557+2*SLABOVH)*SLAB,0)</f>
        <v>14.6279911261267</v>
      </c>
      <c r="Y557" s="27" t="n">
        <f aca="false">IF(M557&gt;0,D557*PI()*E557^2/4,0)</f>
        <v>44.3570088042776</v>
      </c>
      <c r="Z557" s="27" t="n">
        <f aca="false">IF(H557-E557&gt;=GWL,99,E557*(MAX(0,GWL-H557)*(GAM_S-GAM_W)+MAX(0,NG-MAX(H557,GWL))*GAM_D)/(GAM_W*PI()*E557^2/4))</f>
        <v>0</v>
      </c>
      <c r="AA557" s="27" t="n">
        <f aca="false">IF(I557-E557&gt;=GWL,99,E557*(MAX(0,GWL-I557)*(GAM_S-GAM_W)+MAX(0,NG-MAX(I557,GWL))*GAM_D)/(GAM_W*PI()*E557^2/4))</f>
        <v>0</v>
      </c>
      <c r="AB557" s="27" t="n">
        <f aca="false">IF(H557-E557&gt;=GWL,99,E557*(MAX(0,GWL-H557)*(GAM_S-GAM_W)+MAX(0,FL-MAX(H557,GWL))*GAM_D)/(GAM_W*PI()*E557^2/4))</f>
        <v>0.880590222652098</v>
      </c>
      <c r="AC557" s="27" t="n">
        <f aca="false">IF(I557-E557&gt;=GWL,99,E557*(MAX(0,GWL-I557)*(GAM_S-GAM_W)+MAX(0,FL-MAX(I557,GWL))*GAM_D)/(GAM_W*PI()*E557^2/4))</f>
        <v>0.880590222652098</v>
      </c>
    </row>
    <row r="558" customFormat="false" ht="15" hidden="false" customHeight="false" outlineLevel="0" collapsed="false">
      <c r="A558" s="25" t="s">
        <v>1075</v>
      </c>
      <c r="B558" s="25" t="s">
        <v>1085</v>
      </c>
      <c r="C558" s="25" t="s">
        <v>1086</v>
      </c>
      <c r="D558" s="26" t="n">
        <v>2.00000000034122</v>
      </c>
      <c r="E558" s="26" t="n">
        <v>2.65699778179981</v>
      </c>
      <c r="F558" s="26" t="n">
        <v>-3.1584988908999</v>
      </c>
      <c r="G558" s="26" t="n">
        <v>-3.1584988908999</v>
      </c>
      <c r="H558" s="26" t="n">
        <v>-0.00150110910009604</v>
      </c>
      <c r="I558" s="26" t="n">
        <v>-0.00150110910009604</v>
      </c>
      <c r="J558" s="26" t="n">
        <v>3.49</v>
      </c>
      <c r="K558" s="27" t="n">
        <f aca="false">MIN(F558,G558)</f>
        <v>-3.1584988908999</v>
      </c>
      <c r="L558" s="27" t="n">
        <f aca="false">AVERAGE(F558,G558)</f>
        <v>-3.1584988908999</v>
      </c>
      <c r="M558" s="27" t="n">
        <f aca="false">MAX(0,NG-L558)</f>
        <v>2.4584988908999</v>
      </c>
      <c r="N558" s="27" t="n">
        <f aca="false">MAX(0,GWL-K558)</f>
        <v>1.6584988908999</v>
      </c>
      <c r="O558" s="27" t="n">
        <f aca="false">MAX(0,NG-MAX(K558,GWL))</f>
        <v>0.8</v>
      </c>
      <c r="P558" s="27" t="n">
        <f aca="false">E558/2+WS+SLOPE_A*O558+SLOPE_B*N558</f>
        <v>6.84549667269971</v>
      </c>
      <c r="Q558" s="28" t="str">
        <f aca="false">IF(AND(P558&lt;J558,N558&lt;=MAXOC),"Open cut","Shoring")</f>
        <v>Shoring</v>
      </c>
      <c r="R558" s="27" t="n">
        <f aca="false">IF(Q558="Shoring",D558,0)</f>
        <v>2.00000000034122</v>
      </c>
      <c r="S558" s="27" t="n">
        <f aca="false">MAX(0,GWL-L558)</f>
        <v>1.6584988908999</v>
      </c>
      <c r="T558" s="27" t="n">
        <f aca="false">MAX(0,NG-MAX(L558,GWL))</f>
        <v>0.8</v>
      </c>
      <c r="U558" s="27" t="n">
        <f aca="false">E558+2*WS</f>
        <v>4.65699778179981</v>
      </c>
      <c r="V558" s="27" t="n">
        <f aca="false">IF(Q558="Shoring",D558*M558*U558,0)</f>
        <v>22.898447766863</v>
      </c>
      <c r="W558" s="27" t="n">
        <f aca="false">IF(Q558="Open cut",D558*(U558*M558+SLOPE_B*S558^2+2*SLOPE_B*S558*T558+SLOPE_A*T558^2),0)</f>
        <v>0</v>
      </c>
      <c r="X558" s="27" t="n">
        <f aca="false">IF(M558&gt;0,D558*(E558+2*SLABOVH)*SLAB,0)</f>
        <v>3.65699778242373</v>
      </c>
      <c r="Y558" s="27" t="n">
        <f aca="false">IF(M558&gt;0,D558*PI()*E558^2/4,0)</f>
        <v>11.0892522037744</v>
      </c>
      <c r="Z558" s="27" t="n">
        <f aca="false">IF(H558-E558&gt;=GWL,99,E558*(MAX(0,GWL-H558)*(GAM_S-GAM_W)+MAX(0,NG-MAX(H558,GWL))*GAM_D)/(GAM_W*PI()*E558^2/4))</f>
        <v>0</v>
      </c>
      <c r="AA558" s="27" t="n">
        <f aca="false">IF(I558-E558&gt;=GWL,99,E558*(MAX(0,GWL-I558)*(GAM_S-GAM_W)+MAX(0,NG-MAX(I558,GWL))*GAM_D)/(GAM_W*PI()*E558^2/4))</f>
        <v>0</v>
      </c>
      <c r="AB558" s="27" t="n">
        <f aca="false">IF(H558-E558&gt;=GWL,99,E558*(MAX(0,GWL-H558)*(GAM_S-GAM_W)+MAX(0,FL-MAX(H558,GWL))*GAM_D)/(GAM_W*PI()*E558^2/4))</f>
        <v>0.880590222652098</v>
      </c>
      <c r="AC558" s="27" t="n">
        <f aca="false">IF(I558-E558&gt;=GWL,99,E558*(MAX(0,GWL-I558)*(GAM_S-GAM_W)+MAX(0,FL-MAX(I558,GWL))*GAM_D)/(GAM_W*PI()*E558^2/4))</f>
        <v>0.880590222652098</v>
      </c>
    </row>
    <row r="559" customFormat="false" ht="15" hidden="false" customHeight="false" outlineLevel="0" collapsed="false">
      <c r="A559" s="25" t="s">
        <v>1075</v>
      </c>
      <c r="B559" s="25" t="s">
        <v>1085</v>
      </c>
      <c r="C559" s="25" t="s">
        <v>1087</v>
      </c>
      <c r="D559" s="26" t="n">
        <v>10.000000000098</v>
      </c>
      <c r="E559" s="26" t="n">
        <v>2.65699778179981</v>
      </c>
      <c r="F559" s="26" t="n">
        <v>-3.1584988908999</v>
      </c>
      <c r="G559" s="26" t="n">
        <v>-3.1584988908999</v>
      </c>
      <c r="H559" s="26" t="n">
        <v>-0.00150110910009604</v>
      </c>
      <c r="I559" s="26" t="n">
        <v>-0.00150110910009604</v>
      </c>
      <c r="J559" s="26" t="n">
        <v>4.94</v>
      </c>
      <c r="K559" s="27" t="n">
        <f aca="false">MIN(F559,G559)</f>
        <v>-3.1584988908999</v>
      </c>
      <c r="L559" s="27" t="n">
        <f aca="false">AVERAGE(F559,G559)</f>
        <v>-3.1584988908999</v>
      </c>
      <c r="M559" s="27" t="n">
        <f aca="false">MAX(0,NG-L559)</f>
        <v>2.4584988908999</v>
      </c>
      <c r="N559" s="27" t="n">
        <f aca="false">MAX(0,GWL-K559)</f>
        <v>1.6584988908999</v>
      </c>
      <c r="O559" s="27" t="n">
        <f aca="false">MAX(0,NG-MAX(K559,GWL))</f>
        <v>0.8</v>
      </c>
      <c r="P559" s="27" t="n">
        <f aca="false">E559/2+WS+SLOPE_A*O559+SLOPE_B*N559</f>
        <v>6.84549667269971</v>
      </c>
      <c r="Q559" s="28" t="str">
        <f aca="false">IF(AND(P559&lt;J559,N559&lt;=MAXOC),"Open cut","Shoring")</f>
        <v>Shoring</v>
      </c>
      <c r="R559" s="27" t="n">
        <f aca="false">IF(Q559="Shoring",D559,0)</f>
        <v>10.000000000098</v>
      </c>
      <c r="S559" s="27" t="n">
        <f aca="false">MAX(0,GWL-L559)</f>
        <v>1.6584988908999</v>
      </c>
      <c r="T559" s="27" t="n">
        <f aca="false">MAX(0,NG-MAX(L559,GWL))</f>
        <v>0.8</v>
      </c>
      <c r="U559" s="27" t="n">
        <f aca="false">E559+2*WS</f>
        <v>4.65699778179981</v>
      </c>
      <c r="V559" s="27" t="n">
        <f aca="false">IF(Q559="Shoring",D559*M559*U559,0)</f>
        <v>114.492238815903</v>
      </c>
      <c r="W559" s="27" t="n">
        <f aca="false">IF(Q559="Open cut",D559*(U559*M559+SLOPE_B*S559^2+2*SLOPE_B*S559*T559+SLOPE_A*T559^2),0)</f>
        <v>0</v>
      </c>
      <c r="X559" s="27" t="n">
        <f aca="false">IF(M559&gt;0,D559*(E559+2*SLABOVH)*SLAB,0)</f>
        <v>18.2849889091782</v>
      </c>
      <c r="Y559" s="27" t="n">
        <f aca="false">IF(M559&gt;0,D559*PI()*E559^2/4,0)</f>
        <v>55.4462610099554</v>
      </c>
      <c r="Z559" s="27" t="n">
        <f aca="false">IF(H559-E559&gt;=GWL,99,E559*(MAX(0,GWL-H559)*(GAM_S-GAM_W)+MAX(0,NG-MAX(H559,GWL))*GAM_D)/(GAM_W*PI()*E559^2/4))</f>
        <v>0</v>
      </c>
      <c r="AA559" s="27" t="n">
        <f aca="false">IF(I559-E559&gt;=GWL,99,E559*(MAX(0,GWL-I559)*(GAM_S-GAM_W)+MAX(0,NG-MAX(I559,GWL))*GAM_D)/(GAM_W*PI()*E559^2/4))</f>
        <v>0</v>
      </c>
      <c r="AB559" s="27" t="n">
        <f aca="false">IF(H559-E559&gt;=GWL,99,E559*(MAX(0,GWL-H559)*(GAM_S-GAM_W)+MAX(0,FL-MAX(H559,GWL))*GAM_D)/(GAM_W*PI()*E559^2/4))</f>
        <v>0.880590222652098</v>
      </c>
      <c r="AC559" s="27" t="n">
        <f aca="false">IF(I559-E559&gt;=GWL,99,E559*(MAX(0,GWL-I559)*(GAM_S-GAM_W)+MAX(0,FL-MAX(I559,GWL))*GAM_D)/(GAM_W*PI()*E559^2/4))</f>
        <v>0.880590222652098</v>
      </c>
    </row>
    <row r="560" customFormat="false" ht="15" hidden="false" customHeight="false" outlineLevel="0" collapsed="false">
      <c r="A560" s="25" t="s">
        <v>1075</v>
      </c>
      <c r="B560" s="25" t="s">
        <v>1085</v>
      </c>
      <c r="C560" s="25" t="s">
        <v>1088</v>
      </c>
      <c r="D560" s="26" t="n">
        <v>6.90803658178164</v>
      </c>
      <c r="E560" s="26" t="n">
        <v>2.65699778179981</v>
      </c>
      <c r="F560" s="26" t="n">
        <v>-3.1584988908999</v>
      </c>
      <c r="G560" s="26" t="n">
        <v>-3.1584988908999</v>
      </c>
      <c r="H560" s="26" t="n">
        <v>-0.00150110910009604</v>
      </c>
      <c r="I560" s="26" t="n">
        <v>-0.00150110910009604</v>
      </c>
      <c r="J560" s="26" t="n">
        <v>6.76</v>
      </c>
      <c r="K560" s="27" t="n">
        <f aca="false">MIN(F560,G560)</f>
        <v>-3.1584988908999</v>
      </c>
      <c r="L560" s="27" t="n">
        <f aca="false">AVERAGE(F560,G560)</f>
        <v>-3.1584988908999</v>
      </c>
      <c r="M560" s="27" t="n">
        <f aca="false">MAX(0,NG-L560)</f>
        <v>2.4584988908999</v>
      </c>
      <c r="N560" s="27" t="n">
        <f aca="false">MAX(0,GWL-K560)</f>
        <v>1.6584988908999</v>
      </c>
      <c r="O560" s="27" t="n">
        <f aca="false">MAX(0,NG-MAX(K560,GWL))</f>
        <v>0.8</v>
      </c>
      <c r="P560" s="27" t="n">
        <f aca="false">E560/2+WS+SLOPE_A*O560+SLOPE_B*N560</f>
        <v>6.84549667269971</v>
      </c>
      <c r="Q560" s="28" t="str">
        <f aca="false">IF(AND(P560&lt;J560,N560&lt;=MAXOC),"Open cut","Shoring")</f>
        <v>Shoring</v>
      </c>
      <c r="R560" s="27" t="n">
        <f aca="false">IF(Q560="Shoring",D560,0)</f>
        <v>6.90803658178164</v>
      </c>
      <c r="S560" s="27" t="n">
        <f aca="false">MAX(0,GWL-L560)</f>
        <v>1.6584988908999</v>
      </c>
      <c r="T560" s="27" t="n">
        <f aca="false">MAX(0,NG-MAX(L560,GWL))</f>
        <v>0.8</v>
      </c>
      <c r="U560" s="27" t="n">
        <f aca="false">E560+2*WS</f>
        <v>4.65699778179981</v>
      </c>
      <c r="V560" s="27" t="n">
        <f aca="false">IF(Q560="Shoring",D560*M560*U560,0)</f>
        <v>79.0916574062589</v>
      </c>
      <c r="W560" s="27" t="n">
        <f aca="false">IF(Q560="Open cut",D560*(U560*M560+SLOPE_B*S560^2+2*SLOPE_B*S560*T560+SLOPE_A*T560^2),0)</f>
        <v>0</v>
      </c>
      <c r="X560" s="27" t="n">
        <f aca="false">IF(M560&gt;0,D560*(E560+2*SLABOVH)*SLAB,0)</f>
        <v>12.6313372280837</v>
      </c>
      <c r="Y560" s="27" t="n">
        <f aca="false">IF(M560&gt;0,D560*PI()*E560^2/4,0)</f>
        <v>38.3024799376032</v>
      </c>
      <c r="Z560" s="27" t="n">
        <f aca="false">IF(H560-E560&gt;=GWL,99,E560*(MAX(0,GWL-H560)*(GAM_S-GAM_W)+MAX(0,NG-MAX(H560,GWL))*GAM_D)/(GAM_W*PI()*E560^2/4))</f>
        <v>0</v>
      </c>
      <c r="AA560" s="27" t="n">
        <f aca="false">IF(I560-E560&gt;=GWL,99,E560*(MAX(0,GWL-I560)*(GAM_S-GAM_W)+MAX(0,NG-MAX(I560,GWL))*GAM_D)/(GAM_W*PI()*E560^2/4))</f>
        <v>0</v>
      </c>
      <c r="AB560" s="27" t="n">
        <f aca="false">IF(H560-E560&gt;=GWL,99,E560*(MAX(0,GWL-H560)*(GAM_S-GAM_W)+MAX(0,FL-MAX(H560,GWL))*GAM_D)/(GAM_W*PI()*E560^2/4))</f>
        <v>0.880590222652098</v>
      </c>
      <c r="AC560" s="27" t="n">
        <f aca="false">IF(I560-E560&gt;=GWL,99,E560*(MAX(0,GWL-I560)*(GAM_S-GAM_W)+MAX(0,FL-MAX(I560,GWL))*GAM_D)/(GAM_W*PI()*E560^2/4))</f>
        <v>0.880590222652098</v>
      </c>
    </row>
    <row r="561" customFormat="false" ht="15" hidden="false" customHeight="false" outlineLevel="0" collapsed="false">
      <c r="A561" s="25" t="s">
        <v>1075</v>
      </c>
      <c r="B561" s="25" t="s">
        <v>1085</v>
      </c>
      <c r="C561" s="25" t="s">
        <v>1089</v>
      </c>
      <c r="D561" s="26" t="n">
        <v>2.6000422906097</v>
      </c>
      <c r="E561" s="26" t="n">
        <v>2.65699778179981</v>
      </c>
      <c r="F561" s="26" t="n">
        <v>-3.1584988908999</v>
      </c>
      <c r="G561" s="26" t="n">
        <v>-3.1584988908999</v>
      </c>
      <c r="H561" s="26" t="n">
        <v>-0.00150110910009604</v>
      </c>
      <c r="I561" s="26" t="n">
        <v>-0.00150110910009604</v>
      </c>
      <c r="J561" s="26" t="n">
        <v>10.21</v>
      </c>
      <c r="K561" s="27" t="n">
        <f aca="false">MIN(F561,G561)</f>
        <v>-3.1584988908999</v>
      </c>
      <c r="L561" s="27" t="n">
        <f aca="false">AVERAGE(F561,G561)</f>
        <v>-3.1584988908999</v>
      </c>
      <c r="M561" s="27" t="n">
        <f aca="false">MAX(0,NG-L561)</f>
        <v>2.4584988908999</v>
      </c>
      <c r="N561" s="27" t="n">
        <f aca="false">MAX(0,GWL-K561)</f>
        <v>1.6584988908999</v>
      </c>
      <c r="O561" s="27" t="n">
        <f aca="false">MAX(0,NG-MAX(K561,GWL))</f>
        <v>0.8</v>
      </c>
      <c r="P561" s="27" t="n">
        <f aca="false">E561/2+WS+SLOPE_A*O561+SLOPE_B*N561</f>
        <v>6.84549667269971</v>
      </c>
      <c r="Q561" s="28" t="str">
        <f aca="false">IF(AND(P561&lt;J561,N561&lt;=MAXOC),"Open cut","Shoring")</f>
        <v>Open cut</v>
      </c>
      <c r="R561" s="27" t="n">
        <f aca="false">IF(Q561="Shoring",D561,0)</f>
        <v>0</v>
      </c>
      <c r="S561" s="27" t="n">
        <f aca="false">MAX(0,GWL-L561)</f>
        <v>1.6584988908999</v>
      </c>
      <c r="T561" s="27" t="n">
        <f aca="false">MAX(0,NG-MAX(L561,GWL))</f>
        <v>0.8</v>
      </c>
      <c r="U561" s="27" t="n">
        <f aca="false">E561+2*WS</f>
        <v>4.65699778179981</v>
      </c>
      <c r="V561" s="27" t="n">
        <f aca="false">IF(Q561="Shoring",D561*M561*U561,0)</f>
        <v>0</v>
      </c>
      <c r="W561" s="27" t="n">
        <f aca="false">IF(Q561="Open cut",D561*(U561*M561+SLOPE_B*S561^2+2*SLOPE_B*S561*T561+SLOPE_A*T561^2),0)</f>
        <v>60.366891322825</v>
      </c>
      <c r="X561" s="27" t="n">
        <f aca="false">IF(M561&gt;0,D561*(E561+2*SLABOVH)*SLAB,0)</f>
        <v>4.75417444467268</v>
      </c>
      <c r="Y561" s="27" t="n">
        <f aca="false">IF(M561&gt;0,D561*PI()*E561^2/4,0)</f>
        <v>14.4162623480655</v>
      </c>
      <c r="Z561" s="27" t="n">
        <f aca="false">IF(H561-E561&gt;=GWL,99,E561*(MAX(0,GWL-H561)*(GAM_S-GAM_W)+MAX(0,NG-MAX(H561,GWL))*GAM_D)/(GAM_W*PI()*E561^2/4))</f>
        <v>0</v>
      </c>
      <c r="AA561" s="27" t="n">
        <f aca="false">IF(I561-E561&gt;=GWL,99,E561*(MAX(0,GWL-I561)*(GAM_S-GAM_W)+MAX(0,NG-MAX(I561,GWL))*GAM_D)/(GAM_W*PI()*E561^2/4))</f>
        <v>0</v>
      </c>
      <c r="AB561" s="27" t="n">
        <f aca="false">IF(H561-E561&gt;=GWL,99,E561*(MAX(0,GWL-H561)*(GAM_S-GAM_W)+MAX(0,FL-MAX(H561,GWL))*GAM_D)/(GAM_W*PI()*E561^2/4))</f>
        <v>0.880590222652098</v>
      </c>
      <c r="AC561" s="27" t="n">
        <f aca="false">IF(I561-E561&gt;=GWL,99,E561*(MAX(0,GWL-I561)*(GAM_S-GAM_W)+MAX(0,FL-MAX(I561,GWL))*GAM_D)/(GAM_W*PI()*E561^2/4))</f>
        <v>0.880590222652098</v>
      </c>
    </row>
    <row r="562" customFormat="false" ht="15" hidden="false" customHeight="false" outlineLevel="0" collapsed="false">
      <c r="A562" s="25" t="s">
        <v>1075</v>
      </c>
      <c r="B562" s="25" t="s">
        <v>1085</v>
      </c>
      <c r="C562" s="25" t="s">
        <v>1090</v>
      </c>
      <c r="D562" s="26" t="n">
        <v>0.491921127158009</v>
      </c>
      <c r="E562" s="26" t="n">
        <v>2.68999049987954</v>
      </c>
      <c r="F562" s="26" t="n">
        <v>-3.17499524993977</v>
      </c>
      <c r="G562" s="26" t="n">
        <v>-3.17499524993977</v>
      </c>
      <c r="H562" s="26" t="n">
        <v>0.0149952499397674</v>
      </c>
      <c r="I562" s="26" t="n">
        <v>0.0149952499397674</v>
      </c>
      <c r="J562" s="26" t="n">
        <v>12.29</v>
      </c>
      <c r="K562" s="27" t="n">
        <f aca="false">MIN(F562,G562)</f>
        <v>-3.17499524993977</v>
      </c>
      <c r="L562" s="27" t="n">
        <f aca="false">AVERAGE(F562,G562)</f>
        <v>-3.17499524993977</v>
      </c>
      <c r="M562" s="27" t="n">
        <f aca="false">MAX(0,NG-L562)</f>
        <v>2.47499524993977</v>
      </c>
      <c r="N562" s="27" t="n">
        <f aca="false">MAX(0,GWL-K562)</f>
        <v>1.67499524993977</v>
      </c>
      <c r="O562" s="27" t="n">
        <f aca="false">MAX(0,NG-MAX(K562,GWL))</f>
        <v>0.8</v>
      </c>
      <c r="P562" s="27" t="n">
        <f aca="false">E562/2+WS+SLOPE_A*O562+SLOPE_B*N562</f>
        <v>6.8949857498193</v>
      </c>
      <c r="Q562" s="28" t="str">
        <f aca="false">IF(AND(P562&lt;J562,N562&lt;=MAXOC),"Open cut","Shoring")</f>
        <v>Open cut</v>
      </c>
      <c r="R562" s="27" t="n">
        <f aca="false">IF(Q562="Shoring",D562,0)</f>
        <v>0</v>
      </c>
      <c r="S562" s="27" t="n">
        <f aca="false">MAX(0,GWL-L562)</f>
        <v>1.67499524993977</v>
      </c>
      <c r="T562" s="27" t="n">
        <f aca="false">MAX(0,NG-MAX(L562,GWL))</f>
        <v>0.8</v>
      </c>
      <c r="U562" s="27" t="n">
        <f aca="false">E562+2*WS</f>
        <v>4.68999049987954</v>
      </c>
      <c r="V562" s="27" t="n">
        <f aca="false">IF(Q562="Shoring",D562*M562*U562,0)</f>
        <v>0</v>
      </c>
      <c r="W562" s="27" t="n">
        <f aca="false">IF(Q562="Open cut",D562*(U562*M562+SLOPE_B*S562^2+2*SLOPE_B*S562*T562+SLOPE_A*T562^2),0)</f>
        <v>11.5792857539784</v>
      </c>
      <c r="X562" s="27" t="n">
        <f aca="false">IF(M562&gt;0,D562*(E562+2*SLABOVH)*SLAB,0)</f>
        <v>0.907592142951543</v>
      </c>
      <c r="Y562" s="27" t="n">
        <f aca="false">IF(M562&gt;0,D562*PI()*E562^2/4,0)</f>
        <v>2.79567606942749</v>
      </c>
      <c r="Z562" s="27" t="n">
        <f aca="false">IF(H562-E562&gt;=GWL,99,E562*(MAX(0,GWL-H562)*(GAM_S-GAM_W)+MAX(0,NG-MAX(H562,GWL))*GAM_D)/(GAM_W*PI()*E562^2/4))</f>
        <v>0</v>
      </c>
      <c r="AA562" s="27" t="n">
        <f aca="false">IF(I562-E562&gt;=GWL,99,E562*(MAX(0,GWL-I562)*(GAM_S-GAM_W)+MAX(0,NG-MAX(I562,GWL))*GAM_D)/(GAM_W*PI()*E562^2/4))</f>
        <v>0</v>
      </c>
      <c r="AB562" s="27" t="n">
        <f aca="false">IF(H562-E562&gt;=GWL,99,E562*(MAX(0,GWL-H562)*(GAM_S-GAM_W)+MAX(0,FL-MAX(H562,GWL))*GAM_D)/(GAM_W*PI()*E562^2/4))</f>
        <v>0.855462930148459</v>
      </c>
      <c r="AC562" s="27" t="n">
        <f aca="false">IF(I562-E562&gt;=GWL,99,E562*(MAX(0,GWL-I562)*(GAM_S-GAM_W)+MAX(0,FL-MAX(I562,GWL))*GAM_D)/(GAM_W*PI()*E562^2/4))</f>
        <v>0.855462930148459</v>
      </c>
    </row>
    <row r="563" customFormat="false" ht="15" hidden="false" customHeight="false" outlineLevel="0" collapsed="false">
      <c r="A563" s="25" t="s">
        <v>1075</v>
      </c>
      <c r="B563" s="25" t="s">
        <v>1091</v>
      </c>
      <c r="C563" s="25" t="s">
        <v>1092</v>
      </c>
      <c r="D563" s="26" t="n">
        <v>2.10800720597416</v>
      </c>
      <c r="E563" s="26" t="n">
        <v>2.68999049987954</v>
      </c>
      <c r="F563" s="26" t="n">
        <v>-3.17499524993977</v>
      </c>
      <c r="G563" s="26" t="n">
        <v>-3.17499524993977</v>
      </c>
      <c r="H563" s="26" t="n">
        <v>0.0149952499397674</v>
      </c>
      <c r="I563" s="26" t="n">
        <v>0.0149952499397674</v>
      </c>
      <c r="J563" s="26" t="n">
        <v>12.77</v>
      </c>
      <c r="K563" s="27" t="n">
        <f aca="false">MIN(F563,G563)</f>
        <v>-3.17499524993977</v>
      </c>
      <c r="L563" s="27" t="n">
        <f aca="false">AVERAGE(F563,G563)</f>
        <v>-3.17499524993977</v>
      </c>
      <c r="M563" s="27" t="n">
        <f aca="false">MAX(0,NG-L563)</f>
        <v>2.47499524993977</v>
      </c>
      <c r="N563" s="27" t="n">
        <f aca="false">MAX(0,GWL-K563)</f>
        <v>1.67499524993977</v>
      </c>
      <c r="O563" s="27" t="n">
        <f aca="false">MAX(0,NG-MAX(K563,GWL))</f>
        <v>0.8</v>
      </c>
      <c r="P563" s="27" t="n">
        <f aca="false">E563/2+WS+SLOPE_A*O563+SLOPE_B*N563</f>
        <v>6.8949857498193</v>
      </c>
      <c r="Q563" s="28" t="str">
        <f aca="false">IF(AND(P563&lt;J563,N563&lt;=MAXOC),"Open cut","Shoring")</f>
        <v>Open cut</v>
      </c>
      <c r="R563" s="27" t="n">
        <f aca="false">IF(Q563="Shoring",D563,0)</f>
        <v>0</v>
      </c>
      <c r="S563" s="27" t="n">
        <f aca="false">MAX(0,GWL-L563)</f>
        <v>1.67499524993977</v>
      </c>
      <c r="T563" s="27" t="n">
        <f aca="false">MAX(0,NG-MAX(L563,GWL))</f>
        <v>0.8</v>
      </c>
      <c r="U563" s="27" t="n">
        <f aca="false">E563+2*WS</f>
        <v>4.68999049987954</v>
      </c>
      <c r="V563" s="27" t="n">
        <f aca="false">IF(Q563="Shoring",D563*M563*U563,0)</f>
        <v>0</v>
      </c>
      <c r="W563" s="27" t="n">
        <f aca="false">IF(Q563="Open cut",D563*(U563*M563+SLOPE_B*S563^2+2*SLOPE_B*S563*T563+SLOPE_A*T563^2),0)</f>
        <v>49.6201859644463</v>
      </c>
      <c r="X563" s="27" t="n">
        <f aca="false">IF(M563&gt;0,D563*(E563+2*SLABOVH)*SLAB,0)</f>
        <v>3.88926328186113</v>
      </c>
      <c r="Y563" s="27" t="n">
        <f aca="false">IF(M563&gt;0,D563*PI()*E563^2/4,0)</f>
        <v>11.9801833557551</v>
      </c>
      <c r="Z563" s="27" t="n">
        <f aca="false">IF(H563-E563&gt;=GWL,99,E563*(MAX(0,GWL-H563)*(GAM_S-GAM_W)+MAX(0,NG-MAX(H563,GWL))*GAM_D)/(GAM_W*PI()*E563^2/4))</f>
        <v>0</v>
      </c>
      <c r="AA563" s="27" t="n">
        <f aca="false">IF(I563-E563&gt;=GWL,99,E563*(MAX(0,GWL-I563)*(GAM_S-GAM_W)+MAX(0,NG-MAX(I563,GWL))*GAM_D)/(GAM_W*PI()*E563^2/4))</f>
        <v>0</v>
      </c>
      <c r="AB563" s="27" t="n">
        <f aca="false">IF(H563-E563&gt;=GWL,99,E563*(MAX(0,GWL-H563)*(GAM_S-GAM_W)+MAX(0,FL-MAX(H563,GWL))*GAM_D)/(GAM_W*PI()*E563^2/4))</f>
        <v>0.855462930148459</v>
      </c>
      <c r="AC563" s="27" t="n">
        <f aca="false">IF(I563-E563&gt;=GWL,99,E563*(MAX(0,GWL-I563)*(GAM_S-GAM_W)+MAX(0,FL-MAX(I563,GWL))*GAM_D)/(GAM_W*PI()*E563^2/4))</f>
        <v>0.855462930148459</v>
      </c>
    </row>
    <row r="564" customFormat="false" ht="15" hidden="false" customHeight="false" outlineLevel="0" collapsed="false">
      <c r="A564" s="25" t="s">
        <v>1075</v>
      </c>
      <c r="B564" s="25" t="s">
        <v>1091</v>
      </c>
      <c r="C564" s="25" t="s">
        <v>1093</v>
      </c>
      <c r="D564" s="26" t="n">
        <v>7.89199279410339</v>
      </c>
      <c r="E564" s="26" t="n">
        <v>2.68999049987954</v>
      </c>
      <c r="F564" s="26" t="n">
        <v>-3.17499524993977</v>
      </c>
      <c r="G564" s="26" t="n">
        <v>-3.17499524993977</v>
      </c>
      <c r="H564" s="26" t="n">
        <v>0.0149952499397674</v>
      </c>
      <c r="I564" s="26" t="n">
        <v>0.0149952499397674</v>
      </c>
      <c r="J564" s="26" t="n">
        <v>14.85</v>
      </c>
      <c r="K564" s="27" t="n">
        <f aca="false">MIN(F564,G564)</f>
        <v>-3.17499524993977</v>
      </c>
      <c r="L564" s="27" t="n">
        <f aca="false">AVERAGE(F564,G564)</f>
        <v>-3.17499524993977</v>
      </c>
      <c r="M564" s="27" t="n">
        <f aca="false">MAX(0,NG-L564)</f>
        <v>2.47499524993977</v>
      </c>
      <c r="N564" s="27" t="n">
        <f aca="false">MAX(0,GWL-K564)</f>
        <v>1.67499524993977</v>
      </c>
      <c r="O564" s="27" t="n">
        <f aca="false">MAX(0,NG-MAX(K564,GWL))</f>
        <v>0.8</v>
      </c>
      <c r="P564" s="27" t="n">
        <f aca="false">E564/2+WS+SLOPE_A*O564+SLOPE_B*N564</f>
        <v>6.8949857498193</v>
      </c>
      <c r="Q564" s="28" t="str">
        <f aca="false">IF(AND(P564&lt;J564,N564&lt;=MAXOC),"Open cut","Shoring")</f>
        <v>Open cut</v>
      </c>
      <c r="R564" s="27" t="n">
        <f aca="false">IF(Q564="Shoring",D564,0)</f>
        <v>0</v>
      </c>
      <c r="S564" s="27" t="n">
        <f aca="false">MAX(0,GWL-L564)</f>
        <v>1.67499524993977</v>
      </c>
      <c r="T564" s="27" t="n">
        <f aca="false">MAX(0,NG-MAX(L564,GWL))</f>
        <v>0.8</v>
      </c>
      <c r="U564" s="27" t="n">
        <f aca="false">E564+2*WS</f>
        <v>4.68999049987954</v>
      </c>
      <c r="V564" s="27" t="n">
        <f aca="false">IF(Q564="Shoring",D564*M564*U564,0)</f>
        <v>0</v>
      </c>
      <c r="W564" s="27" t="n">
        <f aca="false">IF(Q564="Open cut",D564*(U564*M564+SLOPE_B*S564^2+2*SLOPE_B*S564*T564+SLOPE_A*T564^2),0)</f>
        <v>185.768885876512</v>
      </c>
      <c r="X564" s="27" t="n">
        <f aca="false">IF(M564&gt;0,D564*(E564+2*SLABOVH)*SLAB,0)</f>
        <v>14.5606892176796</v>
      </c>
      <c r="Y564" s="27" t="n">
        <f aca="false">IF(M564&gt;0,D564*PI()*E564^2/4,0)</f>
        <v>44.8516117249057</v>
      </c>
      <c r="Z564" s="27" t="n">
        <f aca="false">IF(H564-E564&gt;=GWL,99,E564*(MAX(0,GWL-H564)*(GAM_S-GAM_W)+MAX(0,NG-MAX(H564,GWL))*GAM_D)/(GAM_W*PI()*E564^2/4))</f>
        <v>0</v>
      </c>
      <c r="AA564" s="27" t="n">
        <f aca="false">IF(I564-E564&gt;=GWL,99,E564*(MAX(0,GWL-I564)*(GAM_S-GAM_W)+MAX(0,NG-MAX(I564,GWL))*GAM_D)/(GAM_W*PI()*E564^2/4))</f>
        <v>0</v>
      </c>
      <c r="AB564" s="27" t="n">
        <f aca="false">IF(H564-E564&gt;=GWL,99,E564*(MAX(0,GWL-H564)*(GAM_S-GAM_W)+MAX(0,FL-MAX(H564,GWL))*GAM_D)/(GAM_W*PI()*E564^2/4))</f>
        <v>0.855462930148459</v>
      </c>
      <c r="AC564" s="27" t="n">
        <f aca="false">IF(I564-E564&gt;=GWL,99,E564*(MAX(0,GWL-I564)*(GAM_S-GAM_W)+MAX(0,FL-MAX(I564,GWL))*GAM_D)/(GAM_W*PI()*E564^2/4))</f>
        <v>0.855462930148459</v>
      </c>
    </row>
    <row r="565" customFormat="false" ht="15" hidden="false" customHeight="false" outlineLevel="0" collapsed="false">
      <c r="A565" s="25" t="s">
        <v>1075</v>
      </c>
      <c r="B565" s="25" t="s">
        <v>1091</v>
      </c>
      <c r="C565" s="25" t="s">
        <v>1094</v>
      </c>
      <c r="D565" s="26" t="n">
        <v>2.9716672059117</v>
      </c>
      <c r="E565" s="26" t="n">
        <v>2.68999049987954</v>
      </c>
      <c r="F565" s="26" t="n">
        <v>-3.17499524993977</v>
      </c>
      <c r="G565" s="26" t="n">
        <v>-3.17499524993977</v>
      </c>
      <c r="H565" s="26" t="n">
        <v>0.0149952499397674</v>
      </c>
      <c r="I565" s="26" t="n">
        <v>0.0149952499397674</v>
      </c>
      <c r="J565" s="26" t="n">
        <v>15.1</v>
      </c>
      <c r="K565" s="27" t="n">
        <f aca="false">MIN(F565,G565)</f>
        <v>-3.17499524993977</v>
      </c>
      <c r="L565" s="27" t="n">
        <f aca="false">AVERAGE(F565,G565)</f>
        <v>-3.17499524993977</v>
      </c>
      <c r="M565" s="27" t="n">
        <f aca="false">MAX(0,NG-L565)</f>
        <v>2.47499524993977</v>
      </c>
      <c r="N565" s="27" t="n">
        <f aca="false">MAX(0,GWL-K565)</f>
        <v>1.67499524993977</v>
      </c>
      <c r="O565" s="27" t="n">
        <f aca="false">MAX(0,NG-MAX(K565,GWL))</f>
        <v>0.8</v>
      </c>
      <c r="P565" s="27" t="n">
        <f aca="false">E565/2+WS+SLOPE_A*O565+SLOPE_B*N565</f>
        <v>6.8949857498193</v>
      </c>
      <c r="Q565" s="28" t="str">
        <f aca="false">IF(AND(P565&lt;J565,N565&lt;=MAXOC),"Open cut","Shoring")</f>
        <v>Open cut</v>
      </c>
      <c r="R565" s="27" t="n">
        <f aca="false">IF(Q565="Shoring",D565,0)</f>
        <v>0</v>
      </c>
      <c r="S565" s="27" t="n">
        <f aca="false">MAX(0,GWL-L565)</f>
        <v>1.67499524993977</v>
      </c>
      <c r="T565" s="27" t="n">
        <f aca="false">MAX(0,NG-MAX(L565,GWL))</f>
        <v>0.8</v>
      </c>
      <c r="U565" s="27" t="n">
        <f aca="false">E565+2*WS</f>
        <v>4.68999049987954</v>
      </c>
      <c r="V565" s="27" t="n">
        <f aca="false">IF(Q565="Shoring",D565*M565*U565,0)</f>
        <v>0</v>
      </c>
      <c r="W565" s="27" t="n">
        <f aca="false">IF(Q565="Open cut",D565*(U565*M565+SLOPE_B*S565^2+2*SLOPE_B*S565*T565+SLOPE_A*T565^2),0)</f>
        <v>69.9497985414345</v>
      </c>
      <c r="X565" s="27" t="n">
        <f aca="false">IF(M565&gt;0,D565*(E565+2*SLABOVH)*SLAB,0)</f>
        <v>5.48271187930887</v>
      </c>
      <c r="Y565" s="27" t="n">
        <f aca="false">IF(M565&gt;0,D565*PI()*E565^2/4,0)</f>
        <v>16.8885181692984</v>
      </c>
      <c r="Z565" s="27" t="n">
        <f aca="false">IF(H565-E565&gt;=GWL,99,E565*(MAX(0,GWL-H565)*(GAM_S-GAM_W)+MAX(0,NG-MAX(H565,GWL))*GAM_D)/(GAM_W*PI()*E565^2/4))</f>
        <v>0</v>
      </c>
      <c r="AA565" s="27" t="n">
        <f aca="false">IF(I565-E565&gt;=GWL,99,E565*(MAX(0,GWL-I565)*(GAM_S-GAM_W)+MAX(0,NG-MAX(I565,GWL))*GAM_D)/(GAM_W*PI()*E565^2/4))</f>
        <v>0</v>
      </c>
      <c r="AB565" s="27" t="n">
        <f aca="false">IF(H565-E565&gt;=GWL,99,E565*(MAX(0,GWL-H565)*(GAM_S-GAM_W)+MAX(0,FL-MAX(H565,GWL))*GAM_D)/(GAM_W*PI()*E565^2/4))</f>
        <v>0.855462930148459</v>
      </c>
      <c r="AC565" s="27" t="n">
        <f aca="false">IF(I565-E565&gt;=GWL,99,E565*(MAX(0,GWL-I565)*(GAM_S-GAM_W)+MAX(0,FL-MAX(I565,GWL))*GAM_D)/(GAM_W*PI()*E565^2/4))</f>
        <v>0.855462930148459</v>
      </c>
    </row>
    <row r="566" customFormat="false" ht="15" hidden="false" customHeight="false" outlineLevel="0" collapsed="false">
      <c r="A566" s="25" t="s">
        <v>1075</v>
      </c>
      <c r="B566" s="25" t="s">
        <v>1091</v>
      </c>
      <c r="C566" s="25" t="s">
        <v>1095</v>
      </c>
      <c r="D566" s="26" t="n">
        <v>2.59999765315964</v>
      </c>
      <c r="E566" s="26" t="n">
        <v>2.68999049987954</v>
      </c>
      <c r="F566" s="26" t="n">
        <v>-3.17499524993977</v>
      </c>
      <c r="G566" s="26" t="n">
        <v>-3.17499524993977</v>
      </c>
      <c r="H566" s="26" t="n">
        <v>0.0149952499397674</v>
      </c>
      <c r="I566" s="26" t="n">
        <v>0.0149952499397674</v>
      </c>
      <c r="J566" s="26" t="n">
        <v>14.13</v>
      </c>
      <c r="K566" s="27" t="n">
        <f aca="false">MIN(F566,G566)</f>
        <v>-3.17499524993977</v>
      </c>
      <c r="L566" s="27" t="n">
        <f aca="false">AVERAGE(F566,G566)</f>
        <v>-3.17499524993977</v>
      </c>
      <c r="M566" s="27" t="n">
        <f aca="false">MAX(0,NG-L566)</f>
        <v>2.47499524993977</v>
      </c>
      <c r="N566" s="27" t="n">
        <f aca="false">MAX(0,GWL-K566)</f>
        <v>1.67499524993977</v>
      </c>
      <c r="O566" s="27" t="n">
        <f aca="false">MAX(0,NG-MAX(K566,GWL))</f>
        <v>0.8</v>
      </c>
      <c r="P566" s="27" t="n">
        <f aca="false">E566/2+WS+SLOPE_A*O566+SLOPE_B*N566</f>
        <v>6.8949857498193</v>
      </c>
      <c r="Q566" s="28" t="str">
        <f aca="false">IF(AND(P566&lt;J566,N566&lt;=MAXOC),"Open cut","Shoring")</f>
        <v>Open cut</v>
      </c>
      <c r="R566" s="27" t="n">
        <f aca="false">IF(Q566="Shoring",D566,0)</f>
        <v>0</v>
      </c>
      <c r="S566" s="27" t="n">
        <f aca="false">MAX(0,GWL-L566)</f>
        <v>1.67499524993977</v>
      </c>
      <c r="T566" s="27" t="n">
        <f aca="false">MAX(0,NG-MAX(L566,GWL))</f>
        <v>0.8</v>
      </c>
      <c r="U566" s="27" t="n">
        <f aca="false">E566+2*WS</f>
        <v>4.68999049987954</v>
      </c>
      <c r="V566" s="27" t="n">
        <f aca="false">IF(Q566="Shoring",D566*M566*U566,0)</f>
        <v>0</v>
      </c>
      <c r="W566" s="27" t="n">
        <f aca="false">IF(Q566="Open cut",D566*(U566*M566+SLOPE_B*S566^2+2*SLOPE_B*S566*T566+SLOPE_A*T566^2),0)</f>
        <v>61.2011034361172</v>
      </c>
      <c r="X566" s="27" t="n">
        <f aca="false">IF(M566&gt;0,D566*(E566+2*SLABOVH)*SLAB,0)</f>
        <v>4.79698331993408</v>
      </c>
      <c r="Y566" s="27" t="n">
        <f aca="false">IF(M566&gt;0,D566*PI()*E566^2/4,0)</f>
        <v>14.7762533833422</v>
      </c>
      <c r="Z566" s="27" t="n">
        <f aca="false">IF(H566-E566&gt;=GWL,99,E566*(MAX(0,GWL-H566)*(GAM_S-GAM_W)+MAX(0,NG-MAX(H566,GWL))*GAM_D)/(GAM_W*PI()*E566^2/4))</f>
        <v>0</v>
      </c>
      <c r="AA566" s="27" t="n">
        <f aca="false">IF(I566-E566&gt;=GWL,99,E566*(MAX(0,GWL-I566)*(GAM_S-GAM_W)+MAX(0,NG-MAX(I566,GWL))*GAM_D)/(GAM_W*PI()*E566^2/4))</f>
        <v>0</v>
      </c>
      <c r="AB566" s="27" t="n">
        <f aca="false">IF(H566-E566&gt;=GWL,99,E566*(MAX(0,GWL-H566)*(GAM_S-GAM_W)+MAX(0,FL-MAX(H566,GWL))*GAM_D)/(GAM_W*PI()*E566^2/4))</f>
        <v>0.855462930148459</v>
      </c>
      <c r="AC566" s="27" t="n">
        <f aca="false">IF(I566-E566&gt;=GWL,99,E566*(MAX(0,GWL-I566)*(GAM_S-GAM_W)+MAX(0,FL-MAX(I566,GWL))*GAM_D)/(GAM_W*PI()*E566^2/4))</f>
        <v>0.855462930148459</v>
      </c>
    </row>
    <row r="567" customFormat="false" ht="15" hidden="false" customHeight="false" outlineLevel="0" collapsed="false">
      <c r="A567" s="25" t="s">
        <v>1075</v>
      </c>
      <c r="B567" s="25" t="s">
        <v>1091</v>
      </c>
      <c r="C567" s="25" t="s">
        <v>1096</v>
      </c>
      <c r="D567" s="26" t="n">
        <v>2.59999999998176</v>
      </c>
      <c r="E567" s="26" t="n">
        <v>2.69000084962693</v>
      </c>
      <c r="F567" s="26" t="n">
        <v>-3.17500042481346</v>
      </c>
      <c r="G567" s="26" t="n">
        <v>-3.17500042481346</v>
      </c>
      <c r="H567" s="26" t="n">
        <v>0.0150004248134634</v>
      </c>
      <c r="I567" s="26" t="n">
        <v>0.0150004248134634</v>
      </c>
      <c r="J567" s="26" t="n">
        <v>14.13</v>
      </c>
      <c r="K567" s="27" t="n">
        <f aca="false">MIN(F567,G567)</f>
        <v>-3.17500042481346</v>
      </c>
      <c r="L567" s="27" t="n">
        <f aca="false">AVERAGE(F567,G567)</f>
        <v>-3.17500042481346</v>
      </c>
      <c r="M567" s="27" t="n">
        <f aca="false">MAX(0,NG-L567)</f>
        <v>2.47500042481346</v>
      </c>
      <c r="N567" s="27" t="n">
        <f aca="false">MAX(0,GWL-K567)</f>
        <v>1.67500042481346</v>
      </c>
      <c r="O567" s="27" t="n">
        <f aca="false">MAX(0,NG-MAX(K567,GWL))</f>
        <v>0.8</v>
      </c>
      <c r="P567" s="27" t="n">
        <f aca="false">E567/2+WS+SLOPE_A*O567+SLOPE_B*N567</f>
        <v>6.89500127444039</v>
      </c>
      <c r="Q567" s="28" t="str">
        <f aca="false">IF(AND(P567&lt;J567,N567&lt;=MAXOC),"Open cut","Shoring")</f>
        <v>Open cut</v>
      </c>
      <c r="R567" s="27" t="n">
        <f aca="false">IF(Q567="Shoring",D567,0)</f>
        <v>0</v>
      </c>
      <c r="S567" s="27" t="n">
        <f aca="false">MAX(0,GWL-L567)</f>
        <v>1.67500042481346</v>
      </c>
      <c r="T567" s="27" t="n">
        <f aca="false">MAX(0,NG-MAX(L567,GWL))</f>
        <v>0.8</v>
      </c>
      <c r="U567" s="27" t="n">
        <f aca="false">E567+2*WS</f>
        <v>4.69000084962693</v>
      </c>
      <c r="V567" s="27" t="n">
        <f aca="false">IF(Q567="Shoring",D567*M567*U567,0)</f>
        <v>0</v>
      </c>
      <c r="W567" s="27" t="n">
        <f aca="false">IF(Q567="Open cut",D567*(U567*M567+SLOPE_B*S567^2+2*SLOPE_B*S567*T567+SLOPE_A*T567^2),0)</f>
        <v>61.2014215817957</v>
      </c>
      <c r="X567" s="27" t="n">
        <f aca="false">IF(M567&gt;0,D567*(E567+2*SLABOVH)*SLAB,0)</f>
        <v>4.79700110448135</v>
      </c>
      <c r="Y567" s="27" t="n">
        <f aca="false">IF(M567&gt;0,D567*PI()*E567^2/4,0)</f>
        <v>14.776380424443</v>
      </c>
      <c r="Z567" s="27" t="n">
        <f aca="false">IF(H567-E567&gt;=GWL,99,E567*(MAX(0,GWL-H567)*(GAM_S-GAM_W)+MAX(0,NG-MAX(H567,GWL))*GAM_D)/(GAM_W*PI()*E567^2/4))</f>
        <v>0</v>
      </c>
      <c r="AA567" s="27" t="n">
        <f aca="false">IF(I567-E567&gt;=GWL,99,E567*(MAX(0,GWL-I567)*(GAM_S-GAM_W)+MAX(0,NG-MAX(I567,GWL))*GAM_D)/(GAM_W*PI()*E567^2/4))</f>
        <v>0</v>
      </c>
      <c r="AB567" s="27" t="n">
        <f aca="false">IF(H567-E567&gt;=GWL,99,E567*(MAX(0,GWL-H567)*(GAM_S-GAM_W)+MAX(0,FL-MAX(H567,GWL))*GAM_D)/(GAM_W*PI()*E567^2/4))</f>
        <v>0.855455144476092</v>
      </c>
      <c r="AC567" s="27" t="n">
        <f aca="false">IF(I567-E567&gt;=GWL,99,E567*(MAX(0,GWL-I567)*(GAM_S-GAM_W)+MAX(0,FL-MAX(I567,GWL))*GAM_D)/(GAM_W*PI()*E567^2/4))</f>
        <v>0.855455144476092</v>
      </c>
    </row>
    <row r="568" customFormat="false" ht="15" hidden="false" customHeight="false" outlineLevel="0" collapsed="false">
      <c r="A568" s="25" t="s">
        <v>1075</v>
      </c>
      <c r="B568" s="25" t="s">
        <v>1091</v>
      </c>
      <c r="C568" s="25" t="s">
        <v>1097</v>
      </c>
      <c r="D568" s="26" t="n">
        <v>1.82833514109321</v>
      </c>
      <c r="E568" s="26" t="n">
        <v>2.69000084962693</v>
      </c>
      <c r="F568" s="26" t="n">
        <v>-3.17500042481346</v>
      </c>
      <c r="G568" s="26" t="n">
        <v>-3.17500042481346</v>
      </c>
      <c r="H568" s="26" t="n">
        <v>0.0150004248134634</v>
      </c>
      <c r="I568" s="26" t="n">
        <v>0.0150004248134634</v>
      </c>
      <c r="J568" s="26" t="n">
        <v>15.56</v>
      </c>
      <c r="K568" s="27" t="n">
        <f aca="false">MIN(F568,G568)</f>
        <v>-3.17500042481346</v>
      </c>
      <c r="L568" s="27" t="n">
        <f aca="false">AVERAGE(F568,G568)</f>
        <v>-3.17500042481346</v>
      </c>
      <c r="M568" s="27" t="n">
        <f aca="false">MAX(0,NG-L568)</f>
        <v>2.47500042481346</v>
      </c>
      <c r="N568" s="27" t="n">
        <f aca="false">MAX(0,GWL-K568)</f>
        <v>1.67500042481346</v>
      </c>
      <c r="O568" s="27" t="n">
        <f aca="false">MAX(0,NG-MAX(K568,GWL))</f>
        <v>0.8</v>
      </c>
      <c r="P568" s="27" t="n">
        <f aca="false">E568/2+WS+SLOPE_A*O568+SLOPE_B*N568</f>
        <v>6.89500127444039</v>
      </c>
      <c r="Q568" s="28" t="str">
        <f aca="false">IF(AND(P568&lt;J568,N568&lt;=MAXOC),"Open cut","Shoring")</f>
        <v>Open cut</v>
      </c>
      <c r="R568" s="27" t="n">
        <f aca="false">IF(Q568="Shoring",D568,0)</f>
        <v>0</v>
      </c>
      <c r="S568" s="27" t="n">
        <f aca="false">MAX(0,GWL-L568)</f>
        <v>1.67500042481346</v>
      </c>
      <c r="T568" s="27" t="n">
        <f aca="false">MAX(0,NG-MAX(L568,GWL))</f>
        <v>0.8</v>
      </c>
      <c r="U568" s="27" t="n">
        <f aca="false">E568+2*WS</f>
        <v>4.69000084962693</v>
      </c>
      <c r="V568" s="27" t="n">
        <f aca="false">IF(Q568="Shoring",D568*M568*U568,0)</f>
        <v>0</v>
      </c>
      <c r="W568" s="27" t="n">
        <f aca="false">IF(Q568="Open cut",D568*(U568*M568+SLOPE_B*S568^2+2*SLOPE_B*S568*T568+SLOPE_A*T568^2),0)</f>
        <v>43.0371960629395</v>
      </c>
      <c r="X568" s="27" t="n">
        <f aca="false">IF(M568&gt;0,D568*(E568+2*SLABOVH)*SLAB,0)</f>
        <v>3.37327911201836</v>
      </c>
      <c r="Y568" s="27" t="n">
        <f aca="false">IF(M568&gt;0,D568*PI()*E568^2/4,0)</f>
        <v>10.390836764754</v>
      </c>
      <c r="Z568" s="27" t="n">
        <f aca="false">IF(H568-E568&gt;=GWL,99,E568*(MAX(0,GWL-H568)*(GAM_S-GAM_W)+MAX(0,NG-MAX(H568,GWL))*GAM_D)/(GAM_W*PI()*E568^2/4))</f>
        <v>0</v>
      </c>
      <c r="AA568" s="27" t="n">
        <f aca="false">IF(I568-E568&gt;=GWL,99,E568*(MAX(0,GWL-I568)*(GAM_S-GAM_W)+MAX(0,NG-MAX(I568,GWL))*GAM_D)/(GAM_W*PI()*E568^2/4))</f>
        <v>0</v>
      </c>
      <c r="AB568" s="27" t="n">
        <f aca="false">IF(H568-E568&gt;=GWL,99,E568*(MAX(0,GWL-H568)*(GAM_S-GAM_W)+MAX(0,FL-MAX(H568,GWL))*GAM_D)/(GAM_W*PI()*E568^2/4))</f>
        <v>0.855455144476092</v>
      </c>
      <c r="AC568" s="27" t="n">
        <f aca="false">IF(I568-E568&gt;=GWL,99,E568*(MAX(0,GWL-I568)*(GAM_S-GAM_W)+MAX(0,FL-MAX(I568,GWL))*GAM_D)/(GAM_W*PI()*E568^2/4))</f>
        <v>0.855455144476092</v>
      </c>
    </row>
    <row r="569" customFormat="false" ht="15" hidden="false" customHeight="false" outlineLevel="0" collapsed="false">
      <c r="A569" s="25" t="s">
        <v>1075</v>
      </c>
      <c r="B569" s="25" t="s">
        <v>1091</v>
      </c>
      <c r="C569" s="25" t="s">
        <v>1098</v>
      </c>
      <c r="D569" s="26" t="n">
        <v>9.99999999996807</v>
      </c>
      <c r="E569" s="26" t="n">
        <v>2.69000084962693</v>
      </c>
      <c r="F569" s="26" t="n">
        <v>-3.17500042481346</v>
      </c>
      <c r="G569" s="26" t="n">
        <v>-3.17500042481346</v>
      </c>
      <c r="H569" s="26" t="n">
        <v>0.0150004248134634</v>
      </c>
      <c r="I569" s="26" t="n">
        <v>0.0150004248134634</v>
      </c>
      <c r="J569" s="26" t="n">
        <v>16.73</v>
      </c>
      <c r="K569" s="27" t="n">
        <f aca="false">MIN(F569,G569)</f>
        <v>-3.17500042481346</v>
      </c>
      <c r="L569" s="27" t="n">
        <f aca="false">AVERAGE(F569,G569)</f>
        <v>-3.17500042481346</v>
      </c>
      <c r="M569" s="27" t="n">
        <f aca="false">MAX(0,NG-L569)</f>
        <v>2.47500042481346</v>
      </c>
      <c r="N569" s="27" t="n">
        <f aca="false">MAX(0,GWL-K569)</f>
        <v>1.67500042481346</v>
      </c>
      <c r="O569" s="27" t="n">
        <f aca="false">MAX(0,NG-MAX(K569,GWL))</f>
        <v>0.8</v>
      </c>
      <c r="P569" s="27" t="n">
        <f aca="false">E569/2+WS+SLOPE_A*O569+SLOPE_B*N569</f>
        <v>6.89500127444039</v>
      </c>
      <c r="Q569" s="28" t="str">
        <f aca="false">IF(AND(P569&lt;J569,N569&lt;=MAXOC),"Open cut","Shoring")</f>
        <v>Open cut</v>
      </c>
      <c r="R569" s="27" t="n">
        <f aca="false">IF(Q569="Shoring",D569,0)</f>
        <v>0</v>
      </c>
      <c r="S569" s="27" t="n">
        <f aca="false">MAX(0,GWL-L569)</f>
        <v>1.67500042481346</v>
      </c>
      <c r="T569" s="27" t="n">
        <f aca="false">MAX(0,NG-MAX(L569,GWL))</f>
        <v>0.8</v>
      </c>
      <c r="U569" s="27" t="n">
        <f aca="false">E569+2*WS</f>
        <v>4.69000084962693</v>
      </c>
      <c r="V569" s="27" t="n">
        <f aca="false">IF(Q569="Shoring",D569*M569*U569,0)</f>
        <v>0</v>
      </c>
      <c r="W569" s="27" t="n">
        <f aca="false">IF(Q569="Open cut",D569*(U569*M569+SLOPE_B*S569^2+2*SLOPE_B*S569*T569+SLOPE_A*T569^2),0)</f>
        <v>235.390083007806</v>
      </c>
      <c r="X569" s="27" t="n">
        <f aca="false">IF(M569&gt;0,D569*(E569+2*SLABOVH)*SLAB,0)</f>
        <v>18.4500042480757</v>
      </c>
      <c r="Y569" s="27" t="n">
        <f aca="false">IF(M569&gt;0,D569*PI()*E569^2/4,0)</f>
        <v>56.832232401921</v>
      </c>
      <c r="Z569" s="27" t="n">
        <f aca="false">IF(H569-E569&gt;=GWL,99,E569*(MAX(0,GWL-H569)*(GAM_S-GAM_W)+MAX(0,NG-MAX(H569,GWL))*GAM_D)/(GAM_W*PI()*E569^2/4))</f>
        <v>0</v>
      </c>
      <c r="AA569" s="27" t="n">
        <f aca="false">IF(I569-E569&gt;=GWL,99,E569*(MAX(0,GWL-I569)*(GAM_S-GAM_W)+MAX(0,NG-MAX(I569,GWL))*GAM_D)/(GAM_W*PI()*E569^2/4))</f>
        <v>0</v>
      </c>
      <c r="AB569" s="27" t="n">
        <f aca="false">IF(H569-E569&gt;=GWL,99,E569*(MAX(0,GWL-H569)*(GAM_S-GAM_W)+MAX(0,FL-MAX(H569,GWL))*GAM_D)/(GAM_W*PI()*E569^2/4))</f>
        <v>0.855455144476092</v>
      </c>
      <c r="AC569" s="27" t="n">
        <f aca="false">IF(I569-E569&gt;=GWL,99,E569*(MAX(0,GWL-I569)*(GAM_S-GAM_W)+MAX(0,FL-MAX(I569,GWL))*GAM_D)/(GAM_W*PI()*E569^2/4))</f>
        <v>0.855455144476092</v>
      </c>
    </row>
    <row r="570" customFormat="false" ht="15" hidden="false" customHeight="false" outlineLevel="0" collapsed="false">
      <c r="A570" s="25" t="s">
        <v>1075</v>
      </c>
      <c r="B570" s="25" t="s">
        <v>1091</v>
      </c>
      <c r="C570" s="25" t="s">
        <v>1099</v>
      </c>
      <c r="D570" s="26" t="n">
        <v>10.0000000002109</v>
      </c>
      <c r="E570" s="26" t="n">
        <v>2.69000084962693</v>
      </c>
      <c r="F570" s="26" t="n">
        <v>-3.17500042481346</v>
      </c>
      <c r="G570" s="26" t="n">
        <v>-3.17500042481346</v>
      </c>
      <c r="H570" s="26" t="n">
        <v>0.0150004248134634</v>
      </c>
      <c r="I570" s="26" t="n">
        <v>0.0150004248134634</v>
      </c>
      <c r="J570" s="26" t="n">
        <v>23.07</v>
      </c>
      <c r="K570" s="27" t="n">
        <f aca="false">MIN(F570,G570)</f>
        <v>-3.17500042481346</v>
      </c>
      <c r="L570" s="27" t="n">
        <f aca="false">AVERAGE(F570,G570)</f>
        <v>-3.17500042481346</v>
      </c>
      <c r="M570" s="27" t="n">
        <f aca="false">MAX(0,NG-L570)</f>
        <v>2.47500042481346</v>
      </c>
      <c r="N570" s="27" t="n">
        <f aca="false">MAX(0,GWL-K570)</f>
        <v>1.67500042481346</v>
      </c>
      <c r="O570" s="27" t="n">
        <f aca="false">MAX(0,NG-MAX(K570,GWL))</f>
        <v>0.8</v>
      </c>
      <c r="P570" s="27" t="n">
        <f aca="false">E570/2+WS+SLOPE_A*O570+SLOPE_B*N570</f>
        <v>6.89500127444039</v>
      </c>
      <c r="Q570" s="28" t="str">
        <f aca="false">IF(AND(P570&lt;J570,N570&lt;=MAXOC),"Open cut","Shoring")</f>
        <v>Open cut</v>
      </c>
      <c r="R570" s="27" t="n">
        <f aca="false">IF(Q570="Shoring",D570,0)</f>
        <v>0</v>
      </c>
      <c r="S570" s="27" t="n">
        <f aca="false">MAX(0,GWL-L570)</f>
        <v>1.67500042481346</v>
      </c>
      <c r="T570" s="27" t="n">
        <f aca="false">MAX(0,NG-MAX(L570,GWL))</f>
        <v>0.8</v>
      </c>
      <c r="U570" s="27" t="n">
        <f aca="false">E570+2*WS</f>
        <v>4.69000084962693</v>
      </c>
      <c r="V570" s="27" t="n">
        <f aca="false">IF(Q570="Shoring",D570*M570*U570,0)</f>
        <v>0</v>
      </c>
      <c r="W570" s="27" t="n">
        <f aca="false">IF(Q570="Open cut",D570*(U570*M570+SLOPE_B*S570^2+2*SLOPE_B*S570*T570+SLOPE_A*T570^2),0)</f>
        <v>235.390083013523</v>
      </c>
      <c r="X570" s="27" t="n">
        <f aca="false">IF(M570&gt;0,D570*(E570+2*SLABOVH)*SLAB,0)</f>
        <v>18.4500042485238</v>
      </c>
      <c r="Y570" s="27" t="n">
        <f aca="false">IF(M570&gt;0,D570*PI()*E570^2/4,0)</f>
        <v>56.8322324033011</v>
      </c>
      <c r="Z570" s="27" t="n">
        <f aca="false">IF(H570-E570&gt;=GWL,99,E570*(MAX(0,GWL-H570)*(GAM_S-GAM_W)+MAX(0,NG-MAX(H570,GWL))*GAM_D)/(GAM_W*PI()*E570^2/4))</f>
        <v>0</v>
      </c>
      <c r="AA570" s="27" t="n">
        <f aca="false">IF(I570-E570&gt;=GWL,99,E570*(MAX(0,GWL-I570)*(GAM_S-GAM_W)+MAX(0,NG-MAX(I570,GWL))*GAM_D)/(GAM_W*PI()*E570^2/4))</f>
        <v>0</v>
      </c>
      <c r="AB570" s="27" t="n">
        <f aca="false">IF(H570-E570&gt;=GWL,99,E570*(MAX(0,GWL-H570)*(GAM_S-GAM_W)+MAX(0,FL-MAX(H570,GWL))*GAM_D)/(GAM_W*PI()*E570^2/4))</f>
        <v>0.855455144476092</v>
      </c>
      <c r="AC570" s="27" t="n">
        <f aca="false">IF(I570-E570&gt;=GWL,99,E570*(MAX(0,GWL-I570)*(GAM_S-GAM_W)+MAX(0,FL-MAX(I570,GWL))*GAM_D)/(GAM_W*PI()*E570^2/4))</f>
        <v>0.855455144476092</v>
      </c>
    </row>
    <row r="571" customFormat="false" ht="15" hidden="false" customHeight="false" outlineLevel="0" collapsed="false">
      <c r="A571" s="25" t="s">
        <v>1075</v>
      </c>
      <c r="B571" s="25" t="s">
        <v>1091</v>
      </c>
      <c r="C571" s="25" t="s">
        <v>1100</v>
      </c>
      <c r="D571" s="26" t="n">
        <v>7.99999999965434</v>
      </c>
      <c r="E571" s="26" t="n">
        <v>2.69000084962693</v>
      </c>
      <c r="F571" s="26" t="n">
        <v>-3.17500042481346</v>
      </c>
      <c r="G571" s="26" t="n">
        <v>-3.17500042481346</v>
      </c>
      <c r="H571" s="26" t="n">
        <v>0.0150004248134634</v>
      </c>
      <c r="I571" s="26" t="n">
        <v>0.0150004248134634</v>
      </c>
      <c r="J571" s="26" t="n">
        <v>69.23</v>
      </c>
      <c r="K571" s="27" t="n">
        <f aca="false">MIN(F571,G571)</f>
        <v>-3.17500042481346</v>
      </c>
      <c r="L571" s="27" t="n">
        <f aca="false">AVERAGE(F571,G571)</f>
        <v>-3.17500042481346</v>
      </c>
      <c r="M571" s="27" t="n">
        <f aca="false">MAX(0,NG-L571)</f>
        <v>2.47500042481346</v>
      </c>
      <c r="N571" s="27" t="n">
        <f aca="false">MAX(0,GWL-K571)</f>
        <v>1.67500042481346</v>
      </c>
      <c r="O571" s="27" t="n">
        <f aca="false">MAX(0,NG-MAX(K571,GWL))</f>
        <v>0.8</v>
      </c>
      <c r="P571" s="27" t="n">
        <f aca="false">E571/2+WS+SLOPE_A*O571+SLOPE_B*N571</f>
        <v>6.89500127444039</v>
      </c>
      <c r="Q571" s="28" t="str">
        <f aca="false">IF(AND(P571&lt;J571,N571&lt;=MAXOC),"Open cut","Shoring")</f>
        <v>Open cut</v>
      </c>
      <c r="R571" s="27" t="n">
        <f aca="false">IF(Q571="Shoring",D571,0)</f>
        <v>0</v>
      </c>
      <c r="S571" s="27" t="n">
        <f aca="false">MAX(0,GWL-L571)</f>
        <v>1.67500042481346</v>
      </c>
      <c r="T571" s="27" t="n">
        <f aca="false">MAX(0,NG-MAX(L571,GWL))</f>
        <v>0.8</v>
      </c>
      <c r="U571" s="27" t="n">
        <f aca="false">E571+2*WS</f>
        <v>4.69000084962693</v>
      </c>
      <c r="V571" s="27" t="n">
        <f aca="false">IF(Q571="Shoring",D571*M571*U571,0)</f>
        <v>0</v>
      </c>
      <c r="W571" s="27" t="n">
        <f aca="false">IF(Q571="Open cut",D571*(U571*M571+SLOPE_B*S571^2+2*SLOPE_B*S571*T571+SLOPE_A*T571^2),0)</f>
        <v>188.31206639871</v>
      </c>
      <c r="X571" s="27" t="n">
        <f aca="false">IF(M571&gt;0,D571*(E571+2*SLABOVH)*SLAB,0)</f>
        <v>14.76000339787</v>
      </c>
      <c r="Y571" s="27" t="n">
        <f aca="false">IF(M571&gt;0,D571*PI()*E571^2/4,0)</f>
        <v>45.4657859197175</v>
      </c>
      <c r="Z571" s="27" t="n">
        <f aca="false">IF(H571-E571&gt;=GWL,99,E571*(MAX(0,GWL-H571)*(GAM_S-GAM_W)+MAX(0,NG-MAX(H571,GWL))*GAM_D)/(GAM_W*PI()*E571^2/4))</f>
        <v>0</v>
      </c>
      <c r="AA571" s="27" t="n">
        <f aca="false">IF(I571-E571&gt;=GWL,99,E571*(MAX(0,GWL-I571)*(GAM_S-GAM_W)+MAX(0,NG-MAX(I571,GWL))*GAM_D)/(GAM_W*PI()*E571^2/4))</f>
        <v>0</v>
      </c>
      <c r="AB571" s="27" t="n">
        <f aca="false">IF(H571-E571&gt;=GWL,99,E571*(MAX(0,GWL-H571)*(GAM_S-GAM_W)+MAX(0,FL-MAX(H571,GWL))*GAM_D)/(GAM_W*PI()*E571^2/4))</f>
        <v>0.855455144476092</v>
      </c>
      <c r="AC571" s="27" t="n">
        <f aca="false">IF(I571-E571&gt;=GWL,99,E571*(MAX(0,GWL-I571)*(GAM_S-GAM_W)+MAX(0,FL-MAX(I571,GWL))*GAM_D)/(GAM_W*PI()*E571^2/4))</f>
        <v>0.855455144476092</v>
      </c>
    </row>
    <row r="572" customFormat="false" ht="15" hidden="false" customHeight="false" outlineLevel="0" collapsed="false">
      <c r="A572" s="25" t="s">
        <v>1075</v>
      </c>
      <c r="B572" s="25" t="s">
        <v>1101</v>
      </c>
      <c r="C572" s="25" t="s">
        <v>1102</v>
      </c>
      <c r="D572" s="26" t="n">
        <v>2.00000000031373</v>
      </c>
      <c r="E572" s="26" t="n">
        <v>2.69000084962693</v>
      </c>
      <c r="F572" s="26" t="n">
        <v>-3.17500042481346</v>
      </c>
      <c r="G572" s="26" t="n">
        <v>-3.17500042481346</v>
      </c>
      <c r="H572" s="26" t="n">
        <v>0.0150004248134634</v>
      </c>
      <c r="I572" s="26" t="n">
        <v>0.0150004248134634</v>
      </c>
      <c r="J572" s="26" t="n">
        <v>99</v>
      </c>
      <c r="K572" s="27" t="n">
        <f aca="false">MIN(F572,G572)</f>
        <v>-3.17500042481346</v>
      </c>
      <c r="L572" s="27" t="n">
        <f aca="false">AVERAGE(F572,G572)</f>
        <v>-3.17500042481346</v>
      </c>
      <c r="M572" s="27" t="n">
        <f aca="false">MAX(0,NG-L572)</f>
        <v>2.47500042481346</v>
      </c>
      <c r="N572" s="27" t="n">
        <f aca="false">MAX(0,GWL-K572)</f>
        <v>1.67500042481346</v>
      </c>
      <c r="O572" s="27" t="n">
        <f aca="false">MAX(0,NG-MAX(K572,GWL))</f>
        <v>0.8</v>
      </c>
      <c r="P572" s="27" t="n">
        <f aca="false">E572/2+WS+SLOPE_A*O572+SLOPE_B*N572</f>
        <v>6.89500127444039</v>
      </c>
      <c r="Q572" s="28" t="str">
        <f aca="false">IF(AND(P572&lt;J572,N572&lt;=MAXOC),"Open cut","Shoring")</f>
        <v>Open cut</v>
      </c>
      <c r="R572" s="27" t="n">
        <f aca="false">IF(Q572="Shoring",D572,0)</f>
        <v>0</v>
      </c>
      <c r="S572" s="27" t="n">
        <f aca="false">MAX(0,GWL-L572)</f>
        <v>1.67500042481346</v>
      </c>
      <c r="T572" s="27" t="n">
        <f aca="false">MAX(0,NG-MAX(L572,GWL))</f>
        <v>0.8</v>
      </c>
      <c r="U572" s="27" t="n">
        <f aca="false">E572+2*WS</f>
        <v>4.69000084962693</v>
      </c>
      <c r="V572" s="27" t="n">
        <f aca="false">IF(Q572="Shoring",D572*M572*U572,0)</f>
        <v>0</v>
      </c>
      <c r="W572" s="27" t="n">
        <f aca="false">IF(Q572="Open cut",D572*(U572*M572+SLOPE_B*S572^2+2*SLOPE_B*S572*T572+SLOPE_A*T572^2),0)</f>
        <v>47.0780166090964</v>
      </c>
      <c r="X572" s="27" t="n">
        <f aca="false">IF(M572&gt;0,D572*(E572+2*SLABOVH)*SLAB,0)</f>
        <v>3.69000085020575</v>
      </c>
      <c r="Y572" s="27" t="n">
        <f aca="false">IF(M572&gt;0,D572*PI()*E572^2/4,0)</f>
        <v>11.3664464822035</v>
      </c>
      <c r="Z572" s="27" t="n">
        <f aca="false">IF(H572-E572&gt;=GWL,99,E572*(MAX(0,GWL-H572)*(GAM_S-GAM_W)+MAX(0,NG-MAX(H572,GWL))*GAM_D)/(GAM_W*PI()*E572^2/4))</f>
        <v>0</v>
      </c>
      <c r="AA572" s="27" t="n">
        <f aca="false">IF(I572-E572&gt;=GWL,99,E572*(MAX(0,GWL-I572)*(GAM_S-GAM_W)+MAX(0,NG-MAX(I572,GWL))*GAM_D)/(GAM_W*PI()*E572^2/4))</f>
        <v>0</v>
      </c>
      <c r="AB572" s="27" t="n">
        <f aca="false">IF(H572-E572&gt;=GWL,99,E572*(MAX(0,GWL-H572)*(GAM_S-GAM_W)+MAX(0,FL-MAX(H572,GWL))*GAM_D)/(GAM_W*PI()*E572^2/4))</f>
        <v>0.855455144476092</v>
      </c>
      <c r="AC572" s="27" t="n">
        <f aca="false">IF(I572-E572&gt;=GWL,99,E572*(MAX(0,GWL-I572)*(GAM_S-GAM_W)+MAX(0,FL-MAX(I572,GWL))*GAM_D)/(GAM_W*PI()*E572^2/4))</f>
        <v>0.855455144476092</v>
      </c>
    </row>
    <row r="573" customFormat="false" ht="15" hidden="false" customHeight="false" outlineLevel="0" collapsed="false">
      <c r="A573" s="25" t="s">
        <v>1075</v>
      </c>
      <c r="B573" s="25" t="s">
        <v>1101</v>
      </c>
      <c r="C573" s="25" t="s">
        <v>1103</v>
      </c>
      <c r="D573" s="26" t="n">
        <v>9.99999999948238</v>
      </c>
      <c r="E573" s="26" t="n">
        <v>2.69000084962693</v>
      </c>
      <c r="F573" s="26" t="n">
        <v>-3.17500042481346</v>
      </c>
      <c r="G573" s="26" t="n">
        <v>-3.17500042481346</v>
      </c>
      <c r="H573" s="26" t="n">
        <v>0.0150004248134634</v>
      </c>
      <c r="I573" s="26" t="n">
        <v>0.0150004248134634</v>
      </c>
      <c r="J573" s="26" t="n">
        <v>99</v>
      </c>
      <c r="K573" s="27" t="n">
        <f aca="false">MIN(F573,G573)</f>
        <v>-3.17500042481346</v>
      </c>
      <c r="L573" s="27" t="n">
        <f aca="false">AVERAGE(F573,G573)</f>
        <v>-3.17500042481346</v>
      </c>
      <c r="M573" s="27" t="n">
        <f aca="false">MAX(0,NG-L573)</f>
        <v>2.47500042481346</v>
      </c>
      <c r="N573" s="27" t="n">
        <f aca="false">MAX(0,GWL-K573)</f>
        <v>1.67500042481346</v>
      </c>
      <c r="O573" s="27" t="n">
        <f aca="false">MAX(0,NG-MAX(K573,GWL))</f>
        <v>0.8</v>
      </c>
      <c r="P573" s="27" t="n">
        <f aca="false">E573/2+WS+SLOPE_A*O573+SLOPE_B*N573</f>
        <v>6.89500127444039</v>
      </c>
      <c r="Q573" s="28" t="str">
        <f aca="false">IF(AND(P573&lt;J573,N573&lt;=MAXOC),"Open cut","Shoring")</f>
        <v>Open cut</v>
      </c>
      <c r="R573" s="27" t="n">
        <f aca="false">IF(Q573="Shoring",D573,0)</f>
        <v>0</v>
      </c>
      <c r="S573" s="27" t="n">
        <f aca="false">MAX(0,GWL-L573)</f>
        <v>1.67500042481346</v>
      </c>
      <c r="T573" s="27" t="n">
        <f aca="false">MAX(0,NG-MAX(L573,GWL))</f>
        <v>0.8</v>
      </c>
      <c r="U573" s="27" t="n">
        <f aca="false">E573+2*WS</f>
        <v>4.69000084962693</v>
      </c>
      <c r="V573" s="27" t="n">
        <f aca="false">IF(Q573="Shoring",D573*M573*U573,0)</f>
        <v>0</v>
      </c>
      <c r="W573" s="27" t="n">
        <f aca="false">IF(Q573="Open cut",D573*(U573*M573+SLOPE_B*S573^2+2*SLOPE_B*S573*T573+SLOPE_A*T573^2),0)</f>
        <v>235.390082996374</v>
      </c>
      <c r="X573" s="27" t="n">
        <f aca="false">IF(M573&gt;0,D573*(E573+2*SLABOVH)*SLAB,0)</f>
        <v>18.4500042471796</v>
      </c>
      <c r="Y573" s="27" t="n">
        <f aca="false">IF(M573&gt;0,D573*PI()*E573^2/4,0)</f>
        <v>56.8322323991607</v>
      </c>
      <c r="Z573" s="27" t="n">
        <f aca="false">IF(H573-E573&gt;=GWL,99,E573*(MAX(0,GWL-H573)*(GAM_S-GAM_W)+MAX(0,NG-MAX(H573,GWL))*GAM_D)/(GAM_W*PI()*E573^2/4))</f>
        <v>0</v>
      </c>
      <c r="AA573" s="27" t="n">
        <f aca="false">IF(I573-E573&gt;=GWL,99,E573*(MAX(0,GWL-I573)*(GAM_S-GAM_W)+MAX(0,NG-MAX(I573,GWL))*GAM_D)/(GAM_W*PI()*E573^2/4))</f>
        <v>0</v>
      </c>
      <c r="AB573" s="27" t="n">
        <f aca="false">IF(H573-E573&gt;=GWL,99,E573*(MAX(0,GWL-H573)*(GAM_S-GAM_W)+MAX(0,FL-MAX(H573,GWL))*GAM_D)/(GAM_W*PI()*E573^2/4))</f>
        <v>0.855455144476092</v>
      </c>
      <c r="AC573" s="27" t="n">
        <f aca="false">IF(I573-E573&gt;=GWL,99,E573*(MAX(0,GWL-I573)*(GAM_S-GAM_W)+MAX(0,FL-MAX(I573,GWL))*GAM_D)/(GAM_W*PI()*E573^2/4))</f>
        <v>0.855455144476092</v>
      </c>
    </row>
    <row r="574" customFormat="false" ht="15" hidden="false" customHeight="false" outlineLevel="0" collapsed="false">
      <c r="A574" s="25" t="s">
        <v>1075</v>
      </c>
      <c r="B574" s="25" t="s">
        <v>1101</v>
      </c>
      <c r="C574" s="25" t="s">
        <v>1104</v>
      </c>
      <c r="D574" s="26" t="n">
        <v>9.99999999996807</v>
      </c>
      <c r="E574" s="26" t="n">
        <v>2.69000084962693</v>
      </c>
      <c r="F574" s="26" t="n">
        <v>-3.17500042481346</v>
      </c>
      <c r="G574" s="26" t="n">
        <v>-3.17500042481346</v>
      </c>
      <c r="H574" s="26" t="n">
        <v>0.0150004248134634</v>
      </c>
      <c r="I574" s="26" t="n">
        <v>0.0150004248134634</v>
      </c>
      <c r="J574" s="26" t="n">
        <v>99</v>
      </c>
      <c r="K574" s="27" t="n">
        <f aca="false">MIN(F574,G574)</f>
        <v>-3.17500042481346</v>
      </c>
      <c r="L574" s="27" t="n">
        <f aca="false">AVERAGE(F574,G574)</f>
        <v>-3.17500042481346</v>
      </c>
      <c r="M574" s="27" t="n">
        <f aca="false">MAX(0,NG-L574)</f>
        <v>2.47500042481346</v>
      </c>
      <c r="N574" s="27" t="n">
        <f aca="false">MAX(0,GWL-K574)</f>
        <v>1.67500042481346</v>
      </c>
      <c r="O574" s="27" t="n">
        <f aca="false">MAX(0,NG-MAX(K574,GWL))</f>
        <v>0.8</v>
      </c>
      <c r="P574" s="27" t="n">
        <f aca="false">E574/2+WS+SLOPE_A*O574+SLOPE_B*N574</f>
        <v>6.89500127444039</v>
      </c>
      <c r="Q574" s="28" t="str">
        <f aca="false">IF(AND(P574&lt;J574,N574&lt;=MAXOC),"Open cut","Shoring")</f>
        <v>Open cut</v>
      </c>
      <c r="R574" s="27" t="n">
        <f aca="false">IF(Q574="Shoring",D574,0)</f>
        <v>0</v>
      </c>
      <c r="S574" s="27" t="n">
        <f aca="false">MAX(0,GWL-L574)</f>
        <v>1.67500042481346</v>
      </c>
      <c r="T574" s="27" t="n">
        <f aca="false">MAX(0,NG-MAX(L574,GWL))</f>
        <v>0.8</v>
      </c>
      <c r="U574" s="27" t="n">
        <f aca="false">E574+2*WS</f>
        <v>4.69000084962693</v>
      </c>
      <c r="V574" s="27" t="n">
        <f aca="false">IF(Q574="Shoring",D574*M574*U574,0)</f>
        <v>0</v>
      </c>
      <c r="W574" s="27" t="n">
        <f aca="false">IF(Q574="Open cut",D574*(U574*M574+SLOPE_B*S574^2+2*SLOPE_B*S574*T574+SLOPE_A*T574^2),0)</f>
        <v>235.390083007806</v>
      </c>
      <c r="X574" s="27" t="n">
        <f aca="false">IF(M574&gt;0,D574*(E574+2*SLABOVH)*SLAB,0)</f>
        <v>18.4500042480757</v>
      </c>
      <c r="Y574" s="27" t="n">
        <f aca="false">IF(M574&gt;0,D574*PI()*E574^2/4,0)</f>
        <v>56.832232401921</v>
      </c>
      <c r="Z574" s="27" t="n">
        <f aca="false">IF(H574-E574&gt;=GWL,99,E574*(MAX(0,GWL-H574)*(GAM_S-GAM_W)+MAX(0,NG-MAX(H574,GWL))*GAM_D)/(GAM_W*PI()*E574^2/4))</f>
        <v>0</v>
      </c>
      <c r="AA574" s="27" t="n">
        <f aca="false">IF(I574-E574&gt;=GWL,99,E574*(MAX(0,GWL-I574)*(GAM_S-GAM_W)+MAX(0,NG-MAX(I574,GWL))*GAM_D)/(GAM_W*PI()*E574^2/4))</f>
        <v>0</v>
      </c>
      <c r="AB574" s="27" t="n">
        <f aca="false">IF(H574-E574&gt;=GWL,99,E574*(MAX(0,GWL-H574)*(GAM_S-GAM_W)+MAX(0,FL-MAX(H574,GWL))*GAM_D)/(GAM_W*PI()*E574^2/4))</f>
        <v>0.855455144476092</v>
      </c>
      <c r="AC574" s="27" t="n">
        <f aca="false">IF(I574-E574&gt;=GWL,99,E574*(MAX(0,GWL-I574)*(GAM_S-GAM_W)+MAX(0,FL-MAX(I574,GWL))*GAM_D)/(GAM_W*PI()*E574^2/4))</f>
        <v>0.855455144476092</v>
      </c>
    </row>
    <row r="575" customFormat="false" ht="15" hidden="false" customHeight="false" outlineLevel="0" collapsed="false">
      <c r="A575" s="25" t="s">
        <v>1075</v>
      </c>
      <c r="B575" s="25" t="s">
        <v>1101</v>
      </c>
      <c r="C575" s="25" t="s">
        <v>1105</v>
      </c>
      <c r="D575" s="26" t="n">
        <v>9.99999999996807</v>
      </c>
      <c r="E575" s="26" t="n">
        <v>2.69000084962693</v>
      </c>
      <c r="F575" s="26" t="n">
        <v>-3.17500042481346</v>
      </c>
      <c r="G575" s="26" t="n">
        <v>-3.17500042481346</v>
      </c>
      <c r="H575" s="26" t="n">
        <v>0.0150004248134634</v>
      </c>
      <c r="I575" s="26" t="n">
        <v>0.0150004248134634</v>
      </c>
      <c r="J575" s="26" t="n">
        <v>24.65</v>
      </c>
      <c r="K575" s="27" t="n">
        <f aca="false">MIN(F575,G575)</f>
        <v>-3.17500042481346</v>
      </c>
      <c r="L575" s="27" t="n">
        <f aca="false">AVERAGE(F575,G575)</f>
        <v>-3.17500042481346</v>
      </c>
      <c r="M575" s="27" t="n">
        <f aca="false">MAX(0,NG-L575)</f>
        <v>2.47500042481346</v>
      </c>
      <c r="N575" s="27" t="n">
        <f aca="false">MAX(0,GWL-K575)</f>
        <v>1.67500042481346</v>
      </c>
      <c r="O575" s="27" t="n">
        <f aca="false">MAX(0,NG-MAX(K575,GWL))</f>
        <v>0.8</v>
      </c>
      <c r="P575" s="27" t="n">
        <f aca="false">E575/2+WS+SLOPE_A*O575+SLOPE_B*N575</f>
        <v>6.89500127444039</v>
      </c>
      <c r="Q575" s="28" t="str">
        <f aca="false">IF(AND(P575&lt;J575,N575&lt;=MAXOC),"Open cut","Shoring")</f>
        <v>Open cut</v>
      </c>
      <c r="R575" s="27" t="n">
        <f aca="false">IF(Q575="Shoring",D575,0)</f>
        <v>0</v>
      </c>
      <c r="S575" s="27" t="n">
        <f aca="false">MAX(0,GWL-L575)</f>
        <v>1.67500042481346</v>
      </c>
      <c r="T575" s="27" t="n">
        <f aca="false">MAX(0,NG-MAX(L575,GWL))</f>
        <v>0.8</v>
      </c>
      <c r="U575" s="27" t="n">
        <f aca="false">E575+2*WS</f>
        <v>4.69000084962693</v>
      </c>
      <c r="V575" s="27" t="n">
        <f aca="false">IF(Q575="Shoring",D575*M575*U575,0)</f>
        <v>0</v>
      </c>
      <c r="W575" s="27" t="n">
        <f aca="false">IF(Q575="Open cut",D575*(U575*M575+SLOPE_B*S575^2+2*SLOPE_B*S575*T575+SLOPE_A*T575^2),0)</f>
        <v>235.390083007806</v>
      </c>
      <c r="X575" s="27" t="n">
        <f aca="false">IF(M575&gt;0,D575*(E575+2*SLABOVH)*SLAB,0)</f>
        <v>18.4500042480757</v>
      </c>
      <c r="Y575" s="27" t="n">
        <f aca="false">IF(M575&gt;0,D575*PI()*E575^2/4,0)</f>
        <v>56.832232401921</v>
      </c>
      <c r="Z575" s="27" t="n">
        <f aca="false">IF(H575-E575&gt;=GWL,99,E575*(MAX(0,GWL-H575)*(GAM_S-GAM_W)+MAX(0,NG-MAX(H575,GWL))*GAM_D)/(GAM_W*PI()*E575^2/4))</f>
        <v>0</v>
      </c>
      <c r="AA575" s="27" t="n">
        <f aca="false">IF(I575-E575&gt;=GWL,99,E575*(MAX(0,GWL-I575)*(GAM_S-GAM_W)+MAX(0,NG-MAX(I575,GWL))*GAM_D)/(GAM_W*PI()*E575^2/4))</f>
        <v>0</v>
      </c>
      <c r="AB575" s="27" t="n">
        <f aca="false">IF(H575-E575&gt;=GWL,99,E575*(MAX(0,GWL-H575)*(GAM_S-GAM_W)+MAX(0,FL-MAX(H575,GWL))*GAM_D)/(GAM_W*PI()*E575^2/4))</f>
        <v>0.855455144476092</v>
      </c>
      <c r="AC575" s="27" t="n">
        <f aca="false">IF(I575-E575&gt;=GWL,99,E575*(MAX(0,GWL-I575)*(GAM_S-GAM_W)+MAX(0,FL-MAX(I575,GWL))*GAM_D)/(GAM_W*PI()*E575^2/4))</f>
        <v>0.855455144476092</v>
      </c>
    </row>
    <row r="576" customFormat="false" ht="15" hidden="false" customHeight="false" outlineLevel="0" collapsed="false">
      <c r="A576" s="25" t="s">
        <v>1075</v>
      </c>
      <c r="B576" s="25" t="s">
        <v>1101</v>
      </c>
      <c r="C576" s="25" t="s">
        <v>1106</v>
      </c>
      <c r="D576" s="26" t="n">
        <v>10.0000000006966</v>
      </c>
      <c r="E576" s="26" t="n">
        <v>2.69000084962693</v>
      </c>
      <c r="F576" s="26" t="n">
        <v>-3.17500042481346</v>
      </c>
      <c r="G576" s="26" t="n">
        <v>-3.17500042481346</v>
      </c>
      <c r="H576" s="26" t="n">
        <v>0.0150004248134634</v>
      </c>
      <c r="I576" s="26" t="n">
        <v>0.0150004248134634</v>
      </c>
      <c r="J576" s="26" t="n">
        <v>16.63</v>
      </c>
      <c r="K576" s="27" t="n">
        <f aca="false">MIN(F576,G576)</f>
        <v>-3.17500042481346</v>
      </c>
      <c r="L576" s="27" t="n">
        <f aca="false">AVERAGE(F576,G576)</f>
        <v>-3.17500042481346</v>
      </c>
      <c r="M576" s="27" t="n">
        <f aca="false">MAX(0,NG-L576)</f>
        <v>2.47500042481346</v>
      </c>
      <c r="N576" s="27" t="n">
        <f aca="false">MAX(0,GWL-K576)</f>
        <v>1.67500042481346</v>
      </c>
      <c r="O576" s="27" t="n">
        <f aca="false">MAX(0,NG-MAX(K576,GWL))</f>
        <v>0.8</v>
      </c>
      <c r="P576" s="27" t="n">
        <f aca="false">E576/2+WS+SLOPE_A*O576+SLOPE_B*N576</f>
        <v>6.89500127444039</v>
      </c>
      <c r="Q576" s="28" t="str">
        <f aca="false">IF(AND(P576&lt;J576,N576&lt;=MAXOC),"Open cut","Shoring")</f>
        <v>Open cut</v>
      </c>
      <c r="R576" s="27" t="n">
        <f aca="false">IF(Q576="Shoring",D576,0)</f>
        <v>0</v>
      </c>
      <c r="S576" s="27" t="n">
        <f aca="false">MAX(0,GWL-L576)</f>
        <v>1.67500042481346</v>
      </c>
      <c r="T576" s="27" t="n">
        <f aca="false">MAX(0,NG-MAX(L576,GWL))</f>
        <v>0.8</v>
      </c>
      <c r="U576" s="27" t="n">
        <f aca="false">E576+2*WS</f>
        <v>4.69000084962693</v>
      </c>
      <c r="V576" s="27" t="n">
        <f aca="false">IF(Q576="Shoring",D576*M576*U576,0)</f>
        <v>0</v>
      </c>
      <c r="W576" s="27" t="n">
        <f aca="false">IF(Q576="Open cut",D576*(U576*M576+SLOPE_B*S576^2+2*SLOPE_B*S576*T576+SLOPE_A*T576^2),0)</f>
        <v>235.390083024955</v>
      </c>
      <c r="X576" s="27" t="n">
        <f aca="false">IF(M576&gt;0,D576*(E576+2*SLABOVH)*SLAB,0)</f>
        <v>18.4500042494198</v>
      </c>
      <c r="Y576" s="27" t="n">
        <f aca="false">IF(M576&gt;0,D576*PI()*E576^2/4,0)</f>
        <v>56.8322324060613</v>
      </c>
      <c r="Z576" s="27" t="n">
        <f aca="false">IF(H576-E576&gt;=GWL,99,E576*(MAX(0,GWL-H576)*(GAM_S-GAM_W)+MAX(0,NG-MAX(H576,GWL))*GAM_D)/(GAM_W*PI()*E576^2/4))</f>
        <v>0</v>
      </c>
      <c r="AA576" s="27" t="n">
        <f aca="false">IF(I576-E576&gt;=GWL,99,E576*(MAX(0,GWL-I576)*(GAM_S-GAM_W)+MAX(0,NG-MAX(I576,GWL))*GAM_D)/(GAM_W*PI()*E576^2/4))</f>
        <v>0</v>
      </c>
      <c r="AB576" s="27" t="n">
        <f aca="false">IF(H576-E576&gt;=GWL,99,E576*(MAX(0,GWL-H576)*(GAM_S-GAM_W)+MAX(0,FL-MAX(H576,GWL))*GAM_D)/(GAM_W*PI()*E576^2/4))</f>
        <v>0.855455144476092</v>
      </c>
      <c r="AC576" s="27" t="n">
        <f aca="false">IF(I576-E576&gt;=GWL,99,E576*(MAX(0,GWL-I576)*(GAM_S-GAM_W)+MAX(0,FL-MAX(I576,GWL))*GAM_D)/(GAM_W*PI()*E576^2/4))</f>
        <v>0.855455144476092</v>
      </c>
    </row>
    <row r="577" customFormat="false" ht="15" hidden="false" customHeight="false" outlineLevel="0" collapsed="false">
      <c r="A577" s="25" t="s">
        <v>1075</v>
      </c>
      <c r="B577" s="25" t="s">
        <v>1101</v>
      </c>
      <c r="C577" s="25" t="s">
        <v>1107</v>
      </c>
      <c r="D577" s="26" t="n">
        <v>3.73145485884758</v>
      </c>
      <c r="E577" s="26" t="n">
        <v>2.69000084962693</v>
      </c>
      <c r="F577" s="26" t="n">
        <v>-3.17500042481346</v>
      </c>
      <c r="G577" s="26" t="n">
        <v>-3.17500042481346</v>
      </c>
      <c r="H577" s="26" t="n">
        <v>0.0150004248134634</v>
      </c>
      <c r="I577" s="26" t="n">
        <v>0.0150004248134634</v>
      </c>
      <c r="J577" s="26" t="n">
        <v>13.84</v>
      </c>
      <c r="K577" s="27" t="n">
        <f aca="false">MIN(F577,G577)</f>
        <v>-3.17500042481346</v>
      </c>
      <c r="L577" s="27" t="n">
        <f aca="false">AVERAGE(F577,G577)</f>
        <v>-3.17500042481346</v>
      </c>
      <c r="M577" s="27" t="n">
        <f aca="false">MAX(0,NG-L577)</f>
        <v>2.47500042481346</v>
      </c>
      <c r="N577" s="27" t="n">
        <f aca="false">MAX(0,GWL-K577)</f>
        <v>1.67500042481346</v>
      </c>
      <c r="O577" s="27" t="n">
        <f aca="false">MAX(0,NG-MAX(K577,GWL))</f>
        <v>0.8</v>
      </c>
      <c r="P577" s="27" t="n">
        <f aca="false">E577/2+WS+SLOPE_A*O577+SLOPE_B*N577</f>
        <v>6.89500127444039</v>
      </c>
      <c r="Q577" s="28" t="str">
        <f aca="false">IF(AND(P577&lt;J577,N577&lt;=MAXOC),"Open cut","Shoring")</f>
        <v>Open cut</v>
      </c>
      <c r="R577" s="27" t="n">
        <f aca="false">IF(Q577="Shoring",D577,0)</f>
        <v>0</v>
      </c>
      <c r="S577" s="27" t="n">
        <f aca="false">MAX(0,GWL-L577)</f>
        <v>1.67500042481346</v>
      </c>
      <c r="T577" s="27" t="n">
        <f aca="false">MAX(0,NG-MAX(L577,GWL))</f>
        <v>0.8</v>
      </c>
      <c r="U577" s="27" t="n">
        <f aca="false">E577+2*WS</f>
        <v>4.69000084962693</v>
      </c>
      <c r="V577" s="27" t="n">
        <f aca="false">IF(Q577="Shoring",D577*M577*U577,0)</f>
        <v>0</v>
      </c>
      <c r="W577" s="27" t="n">
        <f aca="false">IF(Q577="Open cut",D577*(U577*M577+SLOPE_B*S577^2+2*SLOPE_B*S577*T577+SLOPE_A*T577^2),0)</f>
        <v>87.8347468966818</v>
      </c>
      <c r="X577" s="27" t="n">
        <f aca="false">IF(M577&gt;0,D577*(E577+2*SLABOVH)*SLAB,0)</f>
        <v>6.88453579974604</v>
      </c>
      <c r="Y577" s="27" t="n">
        <f aca="false">IF(M577&gt;0,D577*PI()*E577^2/4,0)</f>
        <v>21.206690973598</v>
      </c>
      <c r="Z577" s="27" t="n">
        <f aca="false">IF(H577-E577&gt;=GWL,99,E577*(MAX(0,GWL-H577)*(GAM_S-GAM_W)+MAX(0,NG-MAX(H577,GWL))*GAM_D)/(GAM_W*PI()*E577^2/4))</f>
        <v>0</v>
      </c>
      <c r="AA577" s="27" t="n">
        <f aca="false">IF(I577-E577&gt;=GWL,99,E577*(MAX(0,GWL-I577)*(GAM_S-GAM_W)+MAX(0,NG-MAX(I577,GWL))*GAM_D)/(GAM_W*PI()*E577^2/4))</f>
        <v>0</v>
      </c>
      <c r="AB577" s="27" t="n">
        <f aca="false">IF(H577-E577&gt;=GWL,99,E577*(MAX(0,GWL-H577)*(GAM_S-GAM_W)+MAX(0,FL-MAX(H577,GWL))*GAM_D)/(GAM_W*PI()*E577^2/4))</f>
        <v>0.855455144476092</v>
      </c>
      <c r="AC577" s="27" t="n">
        <f aca="false">IF(I577-E577&gt;=GWL,99,E577*(MAX(0,GWL-I577)*(GAM_S-GAM_W)+MAX(0,FL-MAX(I577,GWL))*GAM_D)/(GAM_W*PI()*E577^2/4))</f>
        <v>0.855455144476092</v>
      </c>
    </row>
    <row r="578" customFormat="false" ht="15" hidden="false" customHeight="false" outlineLevel="0" collapsed="false">
      <c r="A578" s="25" t="s">
        <v>1075</v>
      </c>
      <c r="B578" s="25" t="s">
        <v>1101</v>
      </c>
      <c r="C578" s="25" t="s">
        <v>1108</v>
      </c>
      <c r="D578" s="26" t="n">
        <v>1.73856054338408</v>
      </c>
      <c r="E578" s="26" t="n">
        <v>2.65699827872002</v>
      </c>
      <c r="F578" s="26" t="n">
        <v>-3.15849913936001</v>
      </c>
      <c r="G578" s="26" t="n">
        <v>-3.17199913936001</v>
      </c>
      <c r="H578" s="26" t="n">
        <v>-0.00150086063999155</v>
      </c>
      <c r="I578" s="26" t="n">
        <v>-0.0150008606399914</v>
      </c>
      <c r="J578" s="26" t="n">
        <v>12.6</v>
      </c>
      <c r="K578" s="27" t="n">
        <f aca="false">MIN(F578,G578)</f>
        <v>-3.17199913936001</v>
      </c>
      <c r="L578" s="27" t="n">
        <f aca="false">AVERAGE(F578,G578)</f>
        <v>-3.16524913936001</v>
      </c>
      <c r="M578" s="27" t="n">
        <f aca="false">MAX(0,NG-L578)</f>
        <v>2.46524913936001</v>
      </c>
      <c r="N578" s="27" t="n">
        <f aca="false">MAX(0,GWL-K578)</f>
        <v>1.67199913936001</v>
      </c>
      <c r="O578" s="27" t="n">
        <f aca="false">MAX(0,NG-MAX(K578,GWL))</f>
        <v>0.8</v>
      </c>
      <c r="P578" s="27" t="n">
        <f aca="false">E578/2+WS+SLOPE_A*O578+SLOPE_B*N578</f>
        <v>6.87249741808003</v>
      </c>
      <c r="Q578" s="28" t="str">
        <f aca="false">IF(AND(P578&lt;J578,N578&lt;=MAXOC),"Open cut","Shoring")</f>
        <v>Open cut</v>
      </c>
      <c r="R578" s="27" t="n">
        <f aca="false">IF(Q578="Shoring",D578,0)</f>
        <v>0</v>
      </c>
      <c r="S578" s="27" t="n">
        <f aca="false">MAX(0,GWL-L578)</f>
        <v>1.66524913936001</v>
      </c>
      <c r="T578" s="27" t="n">
        <f aca="false">MAX(0,NG-MAX(L578,GWL))</f>
        <v>0.8</v>
      </c>
      <c r="U578" s="27" t="n">
        <f aca="false">E578+2*WS</f>
        <v>4.65699827872002</v>
      </c>
      <c r="V578" s="27" t="n">
        <f aca="false">IF(Q578="Shoring",D578*M578*U578,0)</f>
        <v>0</v>
      </c>
      <c r="W578" s="27" t="n">
        <f aca="false">IF(Q578="Open cut",D578*(U578*M578+SLOPE_B*S578^2+2*SLOPE_B*S578*T578+SLOPE_A*T578^2),0)</f>
        <v>40.5355259400234</v>
      </c>
      <c r="X578" s="27" t="n">
        <f aca="false">IF(M578&gt;0,D578*(E578+2*SLABOVH)*SLAB,0)</f>
        <v>3.17895645730306</v>
      </c>
      <c r="Y578" s="27" t="n">
        <f aca="false">IF(M578&gt;0,D578*PI()*E578^2/4,0)</f>
        <v>9.63967177259729</v>
      </c>
      <c r="Z578" s="27" t="n">
        <f aca="false">IF(H578-E578&gt;=GWL,99,E578*(MAX(0,GWL-H578)*(GAM_S-GAM_W)+MAX(0,NG-MAX(H578,GWL))*GAM_D)/(GAM_W*PI()*E578^2/4))</f>
        <v>0</v>
      </c>
      <c r="AA578" s="27" t="n">
        <f aca="false">IF(I578-E578&gt;=GWL,99,E578*(MAX(0,GWL-I578)*(GAM_S-GAM_W)+MAX(0,NG-MAX(I578,GWL))*GAM_D)/(GAM_W*PI()*E578^2/4))</f>
        <v>0</v>
      </c>
      <c r="AB578" s="27" t="n">
        <f aca="false">IF(H578-E578&gt;=GWL,99,E578*(MAX(0,GWL-H578)*(GAM_S-GAM_W)+MAX(0,FL-MAX(H578,GWL))*GAM_D)/(GAM_W*PI()*E578^2/4))</f>
        <v>0.880589839497774</v>
      </c>
      <c r="AC578" s="27" t="n">
        <f aca="false">IF(I578-E578&gt;=GWL,99,E578*(MAX(0,GWL-I578)*(GAM_S-GAM_W)+MAX(0,FL-MAX(I578,GWL))*GAM_D)/(GAM_W*PI()*E578^2/4))</f>
        <v>0.892459986893975</v>
      </c>
    </row>
    <row r="579" customFormat="false" ht="15" hidden="false" customHeight="false" outlineLevel="0" collapsed="false">
      <c r="A579" s="25" t="s">
        <v>1075</v>
      </c>
      <c r="B579" s="25" t="s">
        <v>1101</v>
      </c>
      <c r="C579" s="25" t="s">
        <v>1109</v>
      </c>
      <c r="D579" s="26" t="n">
        <v>0.811450053655301</v>
      </c>
      <c r="E579" s="26" t="n">
        <v>2.60595451747421</v>
      </c>
      <c r="F579" s="26" t="n">
        <v>-3.1464772587371</v>
      </c>
      <c r="G579" s="26" t="n">
        <v>-3.1527872587371</v>
      </c>
      <c r="H579" s="26" t="n">
        <v>-0.0405227412628959</v>
      </c>
      <c r="I579" s="26" t="n">
        <v>-0.0468327412628959</v>
      </c>
      <c r="J579" s="26" t="n">
        <v>12.15</v>
      </c>
      <c r="K579" s="27" t="n">
        <f aca="false">MIN(F579,G579)</f>
        <v>-3.1527872587371</v>
      </c>
      <c r="L579" s="27" t="n">
        <f aca="false">AVERAGE(F579,G579)</f>
        <v>-3.1496322587371</v>
      </c>
      <c r="M579" s="27" t="n">
        <f aca="false">MAX(0,NG-L579)</f>
        <v>2.4496322587371</v>
      </c>
      <c r="N579" s="27" t="n">
        <f aca="false">MAX(0,GWL-K579)</f>
        <v>1.6527872587371</v>
      </c>
      <c r="O579" s="27" t="n">
        <f aca="false">MAX(0,NG-MAX(K579,GWL))</f>
        <v>0.8</v>
      </c>
      <c r="P579" s="27" t="n">
        <f aca="false">E579/2+WS+SLOPE_A*O579+SLOPE_B*N579</f>
        <v>6.80855177621131</v>
      </c>
      <c r="Q579" s="28" t="str">
        <f aca="false">IF(AND(P579&lt;J579,N579&lt;=MAXOC),"Open cut","Shoring")</f>
        <v>Open cut</v>
      </c>
      <c r="R579" s="27" t="n">
        <f aca="false">IF(Q579="Shoring",D579,0)</f>
        <v>0</v>
      </c>
      <c r="S579" s="27" t="n">
        <f aca="false">MAX(0,GWL-L579)</f>
        <v>1.6496322587371</v>
      </c>
      <c r="T579" s="27" t="n">
        <f aca="false">MAX(0,NG-MAX(L579,GWL))</f>
        <v>0.8</v>
      </c>
      <c r="U579" s="27" t="n">
        <f aca="false">E579+2*WS</f>
        <v>4.60595451747421</v>
      </c>
      <c r="V579" s="27" t="n">
        <f aca="false">IF(Q579="Shoring",D579*M579*U579,0)</f>
        <v>0</v>
      </c>
      <c r="W579" s="27" t="n">
        <f aca="false">IF(Q579="Open cut",D579*(U579*M579+SLOPE_B*S579^2+2*SLOPE_B*S579*T579+SLOPE_A*T579^2),0)</f>
        <v>18.6343753055998</v>
      </c>
      <c r="X579" s="27" t="n">
        <f aca="false">IF(M579&gt;0,D579*(E579+2*SLABOVH)*SLAB,0)</f>
        <v>1.46302599334151</v>
      </c>
      <c r="Y579" s="27" t="n">
        <f aca="false">IF(M579&gt;0,D579*PI()*E579^2/4,0)</f>
        <v>4.32798092300808</v>
      </c>
      <c r="Z579" s="27" t="n">
        <f aca="false">IF(H579-E579&gt;=GWL,99,E579*(MAX(0,GWL-H579)*(GAM_S-GAM_W)+MAX(0,NG-MAX(H579,GWL))*GAM_D)/(GAM_W*PI()*E579^2/4))</f>
        <v>0</v>
      </c>
      <c r="AA579" s="27" t="n">
        <f aca="false">IF(I579-E579&gt;=GWL,99,E579*(MAX(0,GWL-I579)*(GAM_S-GAM_W)+MAX(0,NG-MAX(I579,GWL))*GAM_D)/(GAM_W*PI()*E579^2/4))</f>
        <v>0</v>
      </c>
      <c r="AB579" s="27" t="n">
        <f aca="false">IF(H579-E579&gt;=GWL,99,E579*(MAX(0,GWL-H579)*(GAM_S-GAM_W)+MAX(0,FL-MAX(H579,GWL))*GAM_D)/(GAM_W*PI()*E579^2/4))</f>
        <v>0.932821100297633</v>
      </c>
      <c r="AC579" s="27" t="n">
        <f aca="false">IF(I579-E579&gt;=GWL,99,E579*(MAX(0,GWL-I579)*(GAM_S-GAM_W)+MAX(0,FL-MAX(I579,GWL))*GAM_D)/(GAM_W*PI()*E579^2/4))</f>
        <v>0.938477969589825</v>
      </c>
    </row>
    <row r="580" customFormat="false" ht="15" hidden="false" customHeight="false" outlineLevel="0" collapsed="false">
      <c r="A580" s="25" t="s">
        <v>1075</v>
      </c>
      <c r="B580" s="25" t="s">
        <v>1101</v>
      </c>
      <c r="C580" s="25" t="s">
        <v>1110</v>
      </c>
      <c r="D580" s="26" t="n">
        <v>0.811573163153624</v>
      </c>
      <c r="E580" s="26" t="n">
        <v>2.60594730195074</v>
      </c>
      <c r="F580" s="26" t="n">
        <v>-3.15278365097537</v>
      </c>
      <c r="G580" s="26" t="n">
        <v>-3.15908365097537</v>
      </c>
      <c r="H580" s="26" t="n">
        <v>-0.04683634902463</v>
      </c>
      <c r="I580" s="26" t="n">
        <v>-0.0531363490246299</v>
      </c>
      <c r="J580" s="26" t="n">
        <v>12.02</v>
      </c>
      <c r="K580" s="27" t="n">
        <f aca="false">MIN(F580,G580)</f>
        <v>-3.15908365097537</v>
      </c>
      <c r="L580" s="27" t="n">
        <f aca="false">AVERAGE(F580,G580)</f>
        <v>-3.15593365097537</v>
      </c>
      <c r="M580" s="27" t="n">
        <f aca="false">MAX(0,NG-L580)</f>
        <v>2.45593365097537</v>
      </c>
      <c r="N580" s="27" t="n">
        <f aca="false">MAX(0,GWL-K580)</f>
        <v>1.65908365097537</v>
      </c>
      <c r="O580" s="27" t="n">
        <f aca="false">MAX(0,NG-MAX(K580,GWL))</f>
        <v>0.8</v>
      </c>
      <c r="P580" s="27" t="n">
        <f aca="false">E580/2+WS+SLOPE_A*O580+SLOPE_B*N580</f>
        <v>6.82114095292611</v>
      </c>
      <c r="Q580" s="28" t="str">
        <f aca="false">IF(AND(P580&lt;J580,N580&lt;=MAXOC),"Open cut","Shoring")</f>
        <v>Open cut</v>
      </c>
      <c r="R580" s="27" t="n">
        <f aca="false">IF(Q580="Shoring",D580,0)</f>
        <v>0</v>
      </c>
      <c r="S580" s="27" t="n">
        <f aca="false">MAX(0,GWL-L580)</f>
        <v>1.65593365097537</v>
      </c>
      <c r="T580" s="27" t="n">
        <f aca="false">MAX(0,NG-MAX(L580,GWL))</f>
        <v>0.8</v>
      </c>
      <c r="U580" s="27" t="n">
        <f aca="false">E580+2*WS</f>
        <v>4.60594730195074</v>
      </c>
      <c r="V580" s="27" t="n">
        <f aca="false">IF(Q580="Shoring",D580*M580*U580,0)</f>
        <v>0</v>
      </c>
      <c r="W580" s="27" t="n">
        <f aca="false">IF(Q580="Open cut",D580*(U580*M580+SLOPE_B*S580^2+2*SLOPE_B*S580*T580+SLOPE_A*T580^2),0)</f>
        <v>18.710917614394</v>
      </c>
      <c r="X580" s="27" t="n">
        <f aca="false">IF(M580&gt;0,D580*(E580+2*SLABOVH)*SLAB,0)</f>
        <v>1.46324502900472</v>
      </c>
      <c r="Y580" s="27" t="n">
        <f aca="false">IF(M580&gt;0,D580*PI()*E580^2/4,0)</f>
        <v>4.32861357376858</v>
      </c>
      <c r="Z580" s="27" t="n">
        <f aca="false">IF(H580-E580&gt;=GWL,99,E580*(MAX(0,GWL-H580)*(GAM_S-GAM_W)+MAX(0,NG-MAX(H580,GWL))*GAM_D)/(GAM_W*PI()*E580^2/4))</f>
        <v>0</v>
      </c>
      <c r="AA580" s="27" t="n">
        <f aca="false">IF(I580-E580&gt;=GWL,99,E580*(MAX(0,GWL-I580)*(GAM_S-GAM_W)+MAX(0,NG-MAX(I580,GWL))*GAM_D)/(GAM_W*PI()*E580^2/4))</f>
        <v>0</v>
      </c>
      <c r="AB580" s="27" t="n">
        <f aca="false">IF(H580-E580&gt;=GWL,99,E580*(MAX(0,GWL-H580)*(GAM_S-GAM_W)+MAX(0,FL-MAX(H580,GWL))*GAM_D)/(GAM_W*PI()*E580^2/4))</f>
        <v>0.938483802452435</v>
      </c>
      <c r="AC580" s="27" t="n">
        <f aca="false">IF(I580-E580&gt;=GWL,99,E580*(MAX(0,GWL-I580)*(GAM_S-GAM_W)+MAX(0,FL-MAX(I580,GWL))*GAM_D)/(GAM_W*PI()*E580^2/4))</f>
        <v>0.944131722455365</v>
      </c>
    </row>
    <row r="581" customFormat="false" ht="15" hidden="false" customHeight="false" outlineLevel="0" collapsed="false">
      <c r="A581" s="25" t="s">
        <v>1075</v>
      </c>
      <c r="B581" s="25" t="s">
        <v>1101</v>
      </c>
      <c r="C581" s="25" t="s">
        <v>1111</v>
      </c>
      <c r="D581" s="26" t="n">
        <v>1.73844164920521</v>
      </c>
      <c r="E581" s="26" t="n">
        <v>2.65700135557846</v>
      </c>
      <c r="F581" s="26" t="n">
        <v>-3.18461067778923</v>
      </c>
      <c r="G581" s="26" t="n">
        <v>-3.19811067778923</v>
      </c>
      <c r="H581" s="26" t="n">
        <v>-0.0276093222107678</v>
      </c>
      <c r="I581" s="26" t="n">
        <v>-0.0411093222107679</v>
      </c>
      <c r="J581" s="26" t="n">
        <v>12.02</v>
      </c>
      <c r="K581" s="27" t="n">
        <f aca="false">MIN(F581,G581)</f>
        <v>-3.19811067778923</v>
      </c>
      <c r="L581" s="27" t="n">
        <f aca="false">AVERAGE(F581,G581)</f>
        <v>-3.19136067778923</v>
      </c>
      <c r="M581" s="27" t="n">
        <f aca="false">MAX(0,NG-L581)</f>
        <v>2.49136067778923</v>
      </c>
      <c r="N581" s="27" t="n">
        <f aca="false">MAX(0,GWL-K581)</f>
        <v>1.69811067778923</v>
      </c>
      <c r="O581" s="27" t="n">
        <f aca="false">MAX(0,NG-MAX(K581,GWL))</f>
        <v>0.8</v>
      </c>
      <c r="P581" s="27" t="n">
        <f aca="false">E581/2+WS+SLOPE_A*O581+SLOPE_B*N581</f>
        <v>6.9247220333677</v>
      </c>
      <c r="Q581" s="28" t="str">
        <f aca="false">IF(AND(P581&lt;J581,N581&lt;=MAXOC),"Open cut","Shoring")</f>
        <v>Open cut</v>
      </c>
      <c r="R581" s="27" t="n">
        <f aca="false">IF(Q581="Shoring",D581,0)</f>
        <v>0</v>
      </c>
      <c r="S581" s="27" t="n">
        <f aca="false">MAX(0,GWL-L581)</f>
        <v>1.69136067778923</v>
      </c>
      <c r="T581" s="27" t="n">
        <f aca="false">MAX(0,NG-MAX(L581,GWL))</f>
        <v>0.8</v>
      </c>
      <c r="U581" s="27" t="n">
        <f aca="false">E581+2*WS</f>
        <v>4.65700135557846</v>
      </c>
      <c r="V581" s="27" t="n">
        <f aca="false">IF(Q581="Shoring",D581*M581*U581,0)</f>
        <v>0</v>
      </c>
      <c r="W581" s="27" t="n">
        <f aca="false">IF(Q581="Open cut",D581*(U581*M581+SLOPE_B*S581^2+2*SLOPE_B*S581*T581+SLOPE_A*T581^2),0)</f>
        <v>41.1941587057028</v>
      </c>
      <c r="X581" s="27" t="n">
        <f aca="false">IF(M581&gt;0,D581*(E581+2*SLABOVH)*SLAB,0)</f>
        <v>3.17874173386875</v>
      </c>
      <c r="Y581" s="27" t="n">
        <f aca="false">IF(M581&gt;0,D581*PI()*E581^2/4,0)</f>
        <v>9.63903487294428</v>
      </c>
      <c r="Z581" s="27" t="n">
        <f aca="false">IF(H581-E581&gt;=GWL,99,E581*(MAX(0,GWL-H581)*(GAM_S-GAM_W)+MAX(0,NG-MAX(H581,GWL))*GAM_D)/(GAM_W*PI()*E581^2/4))</f>
        <v>0</v>
      </c>
      <c r="AA581" s="27" t="n">
        <f aca="false">IF(I581-E581&gt;=GWL,99,E581*(MAX(0,GWL-I581)*(GAM_S-GAM_W)+MAX(0,NG-MAX(I581,GWL))*GAM_D)/(GAM_W*PI()*E581^2/4))</f>
        <v>0</v>
      </c>
      <c r="AB581" s="27" t="n">
        <f aca="false">IF(H581-E581&gt;=GWL,99,E581*(MAX(0,GWL-H581)*(GAM_S-GAM_W)+MAX(0,FL-MAX(H581,GWL))*GAM_D)/(GAM_W*PI()*E581^2/4))</f>
        <v>0.903545184813432</v>
      </c>
      <c r="AC581" s="27" t="n">
        <f aca="false">IF(I581-E581&gt;=GWL,99,E581*(MAX(0,GWL-I581)*(GAM_S-GAM_W)+MAX(0,FL-MAX(I581,GWL))*GAM_D)/(GAM_W*PI()*E581^2/4))</f>
        <v>0.915415318463776</v>
      </c>
    </row>
    <row r="582" customFormat="false" ht="15" hidden="false" customHeight="false" outlineLevel="0" collapsed="false">
      <c r="A582" s="25" t="s">
        <v>1075</v>
      </c>
      <c r="B582" s="25" t="s">
        <v>1101</v>
      </c>
      <c r="C582" s="25" t="s">
        <v>1112</v>
      </c>
      <c r="D582" s="26" t="n">
        <v>1.16851973192089</v>
      </c>
      <c r="E582" s="26" t="n">
        <v>2.65700135557846</v>
      </c>
      <c r="F582" s="26" t="n">
        <v>-3.19811067778923</v>
      </c>
      <c r="G582" s="26" t="n">
        <v>-3.20718717679136</v>
      </c>
      <c r="H582" s="26" t="n">
        <v>-0.0411093222107679</v>
      </c>
      <c r="I582" s="26" t="n">
        <v>-0.050185821212891</v>
      </c>
      <c r="J582" s="26" t="n">
        <v>12.12</v>
      </c>
      <c r="K582" s="27" t="n">
        <f aca="false">MIN(F582,G582)</f>
        <v>-3.20718717679136</v>
      </c>
      <c r="L582" s="27" t="n">
        <f aca="false">AVERAGE(F582,G582)</f>
        <v>-3.20264892729029</v>
      </c>
      <c r="M582" s="27" t="n">
        <f aca="false">MAX(0,NG-L582)</f>
        <v>2.50264892729029</v>
      </c>
      <c r="N582" s="27" t="n">
        <f aca="false">MAX(0,GWL-K582)</f>
        <v>1.70718717679136</v>
      </c>
      <c r="O582" s="27" t="n">
        <f aca="false">MAX(0,NG-MAX(K582,GWL))</f>
        <v>0.8</v>
      </c>
      <c r="P582" s="27" t="n">
        <f aca="false">E582/2+WS+SLOPE_A*O582+SLOPE_B*N582</f>
        <v>6.94287503137194</v>
      </c>
      <c r="Q582" s="28" t="str">
        <f aca="false">IF(AND(P582&lt;J582,N582&lt;=MAXOC),"Open cut","Shoring")</f>
        <v>Open cut</v>
      </c>
      <c r="R582" s="27" t="n">
        <f aca="false">IF(Q582="Shoring",D582,0)</f>
        <v>0</v>
      </c>
      <c r="S582" s="27" t="n">
        <f aca="false">MAX(0,GWL-L582)</f>
        <v>1.70264892729029</v>
      </c>
      <c r="T582" s="27" t="n">
        <f aca="false">MAX(0,NG-MAX(L582,GWL))</f>
        <v>0.8</v>
      </c>
      <c r="U582" s="27" t="n">
        <f aca="false">E582+2*WS</f>
        <v>4.65700135557846</v>
      </c>
      <c r="V582" s="27" t="n">
        <f aca="false">IF(Q582="Shoring",D582*M582*U582,0)</f>
        <v>0</v>
      </c>
      <c r="W582" s="27" t="n">
        <f aca="false">IF(Q582="Open cut",D582*(U582*M582+SLOPE_B*S582^2+2*SLOPE_B*S582*T582+SLOPE_A*T582^2),0)</f>
        <v>27.8824498375483</v>
      </c>
      <c r="X582" s="27" t="n">
        <f aca="false">IF(M582&gt;0,D582*(E582+2*SLABOVH)*SLAB,0)</f>
        <v>2.13663912182744</v>
      </c>
      <c r="Y582" s="27" t="n">
        <f aca="false">IF(M582&gt;0,D582*PI()*E582^2/4,0)</f>
        <v>6.47902243417743</v>
      </c>
      <c r="Z582" s="27" t="n">
        <f aca="false">IF(H582-E582&gt;=GWL,99,E582*(MAX(0,GWL-H582)*(GAM_S-GAM_W)+MAX(0,NG-MAX(H582,GWL))*GAM_D)/(GAM_W*PI()*E582^2/4))</f>
        <v>0</v>
      </c>
      <c r="AA582" s="27" t="n">
        <f aca="false">IF(I582-E582&gt;=GWL,99,E582*(MAX(0,GWL-I582)*(GAM_S-GAM_W)+MAX(0,NG-MAX(I582,GWL))*GAM_D)/(GAM_W*PI()*E582^2/4))</f>
        <v>0</v>
      </c>
      <c r="AB582" s="27" t="n">
        <f aca="false">IF(H582-E582&gt;=GWL,99,E582*(MAX(0,GWL-H582)*(GAM_S-GAM_W)+MAX(0,FL-MAX(H582,GWL))*GAM_D)/(GAM_W*PI()*E582^2/4))</f>
        <v>0.915415318463776</v>
      </c>
      <c r="AC582" s="27" t="n">
        <f aca="false">IF(I582-E582&gt;=GWL,99,E582*(MAX(0,GWL-I582)*(GAM_S-GAM_W)+MAX(0,FL-MAX(I582,GWL))*GAM_D)/(GAM_W*PI()*E582^2/4))</f>
        <v>0.923396004110622</v>
      </c>
    </row>
    <row r="583" customFormat="false" ht="15" hidden="false" customHeight="false" outlineLevel="0" collapsed="false">
      <c r="A583" s="25" t="s">
        <v>1075</v>
      </c>
      <c r="B583" s="25" t="s">
        <v>1101</v>
      </c>
      <c r="C583" s="25" t="s">
        <v>1113</v>
      </c>
      <c r="D583" s="26" t="n">
        <v>1.43334071825837</v>
      </c>
      <c r="E583" s="26" t="n">
        <v>2.65700135557846</v>
      </c>
      <c r="F583" s="26" t="n">
        <v>-3.20718717679136</v>
      </c>
      <c r="G583" s="26" t="n">
        <v>-3.21832067778923</v>
      </c>
      <c r="H583" s="26" t="n">
        <v>-0.050185821212891</v>
      </c>
      <c r="I583" s="26" t="n">
        <v>-0.061319322210768</v>
      </c>
      <c r="J583" s="26" t="n">
        <v>12.22</v>
      </c>
      <c r="K583" s="27" t="n">
        <f aca="false">MIN(F583,G583)</f>
        <v>-3.21832067778923</v>
      </c>
      <c r="L583" s="27" t="n">
        <f aca="false">AVERAGE(F583,G583)</f>
        <v>-3.21275392729029</v>
      </c>
      <c r="M583" s="27" t="n">
        <f aca="false">MAX(0,NG-L583)</f>
        <v>2.51275392729029</v>
      </c>
      <c r="N583" s="27" t="n">
        <f aca="false">MAX(0,GWL-K583)</f>
        <v>1.71832067778923</v>
      </c>
      <c r="O583" s="27" t="n">
        <f aca="false">MAX(0,NG-MAX(K583,GWL))</f>
        <v>0.8</v>
      </c>
      <c r="P583" s="27" t="n">
        <f aca="false">E583/2+WS+SLOPE_A*O583+SLOPE_B*N583</f>
        <v>6.9651420333677</v>
      </c>
      <c r="Q583" s="28" t="str">
        <f aca="false">IF(AND(P583&lt;J583,N583&lt;=MAXOC),"Open cut","Shoring")</f>
        <v>Open cut</v>
      </c>
      <c r="R583" s="27" t="n">
        <f aca="false">IF(Q583="Shoring",D583,0)</f>
        <v>0</v>
      </c>
      <c r="S583" s="27" t="n">
        <f aca="false">MAX(0,GWL-L583)</f>
        <v>1.71275392729029</v>
      </c>
      <c r="T583" s="27" t="n">
        <f aca="false">MAX(0,NG-MAX(L583,GWL))</f>
        <v>0.8</v>
      </c>
      <c r="U583" s="27" t="n">
        <f aca="false">E583+2*WS</f>
        <v>4.65700135557846</v>
      </c>
      <c r="V583" s="27" t="n">
        <f aca="false">IF(Q583="Shoring",D583*M583*U583,0)</f>
        <v>0</v>
      </c>
      <c r="W583" s="27" t="n">
        <f aca="false">IF(Q583="Open cut",D583*(U583*M583+SLOPE_B*S583^2+2*SLOPE_B*S583*T583+SLOPE_A*T583^2),0)</f>
        <v>34.4141710064874</v>
      </c>
      <c r="X583" s="27" t="n">
        <f aca="false">IF(M583&gt;0,D583*(E583+2*SLABOVH)*SLAB,0)</f>
        <v>2.62086447483833</v>
      </c>
      <c r="Y583" s="27" t="n">
        <f aca="false">IF(M583&gt;0,D583*PI()*E583^2/4,0)</f>
        <v>7.94735973704949</v>
      </c>
      <c r="Z583" s="27" t="n">
        <f aca="false">IF(H583-E583&gt;=GWL,99,E583*(MAX(0,GWL-H583)*(GAM_S-GAM_W)+MAX(0,NG-MAX(H583,GWL))*GAM_D)/(GAM_W*PI()*E583^2/4))</f>
        <v>0</v>
      </c>
      <c r="AA583" s="27" t="n">
        <f aca="false">IF(I583-E583&gt;=GWL,99,E583*(MAX(0,GWL-I583)*(GAM_S-GAM_W)+MAX(0,NG-MAX(I583,GWL))*GAM_D)/(GAM_W*PI()*E583^2/4))</f>
        <v>0</v>
      </c>
      <c r="AB583" s="27" t="n">
        <f aca="false">IF(H583-E583&gt;=GWL,99,E583*(MAX(0,GWL-H583)*(GAM_S-GAM_W)+MAX(0,FL-MAX(H583,GWL))*GAM_D)/(GAM_W*PI()*E583^2/4))</f>
        <v>0.923396004110622</v>
      </c>
      <c r="AC583" s="27" t="n">
        <f aca="false">IF(I583-E583&gt;=GWL,99,E583*(MAX(0,GWL-I583)*(GAM_S-GAM_W)+MAX(0,FL-MAX(I583,GWL))*GAM_D)/(GAM_W*PI()*E583^2/4))</f>
        <v>0.933185348172921</v>
      </c>
    </row>
    <row r="584" customFormat="false" ht="15" hidden="false" customHeight="false" outlineLevel="0" collapsed="false">
      <c r="A584" s="25" t="s">
        <v>1075</v>
      </c>
      <c r="B584" s="25" t="s">
        <v>1101</v>
      </c>
      <c r="C584" s="25" t="s">
        <v>1114</v>
      </c>
      <c r="D584" s="26" t="n">
        <v>2.59759999999909</v>
      </c>
      <c r="E584" s="26" t="n">
        <v>2.65700004094516</v>
      </c>
      <c r="F584" s="26" t="n">
        <v>-3.21832002047258</v>
      </c>
      <c r="G584" s="26" t="n">
        <v>-3.23850002047258</v>
      </c>
      <c r="H584" s="26" t="n">
        <v>-0.0613199795274211</v>
      </c>
      <c r="I584" s="26" t="n">
        <v>-0.0814999795274209</v>
      </c>
      <c r="J584" s="26" t="n">
        <v>10.9</v>
      </c>
      <c r="K584" s="27" t="n">
        <f aca="false">MIN(F584,G584)</f>
        <v>-3.23850002047258</v>
      </c>
      <c r="L584" s="27" t="n">
        <f aca="false">AVERAGE(F584,G584)</f>
        <v>-3.22841002047258</v>
      </c>
      <c r="M584" s="27" t="n">
        <f aca="false">MAX(0,NG-L584)</f>
        <v>2.52841002047258</v>
      </c>
      <c r="N584" s="27" t="n">
        <f aca="false">MAX(0,GWL-K584)</f>
        <v>1.73850002047258</v>
      </c>
      <c r="O584" s="27" t="n">
        <f aca="false">MAX(0,NG-MAX(K584,GWL))</f>
        <v>0.8</v>
      </c>
      <c r="P584" s="27" t="n">
        <f aca="false">E584/2+WS+SLOPE_A*O584+SLOPE_B*N584</f>
        <v>7.00550006141774</v>
      </c>
      <c r="Q584" s="28" t="str">
        <f aca="false">IF(AND(P584&lt;J584,N584&lt;=MAXOC),"Open cut","Shoring")</f>
        <v>Open cut</v>
      </c>
      <c r="R584" s="27" t="n">
        <f aca="false">IF(Q584="Shoring",D584,0)</f>
        <v>0</v>
      </c>
      <c r="S584" s="27" t="n">
        <f aca="false">MAX(0,GWL-L584)</f>
        <v>1.72841002047258</v>
      </c>
      <c r="T584" s="27" t="n">
        <f aca="false">MAX(0,NG-MAX(L584,GWL))</f>
        <v>0.8</v>
      </c>
      <c r="U584" s="27" t="n">
        <f aca="false">E584+2*WS</f>
        <v>4.65700004094516</v>
      </c>
      <c r="V584" s="27" t="n">
        <f aca="false">IF(Q584="Shoring",D584*M584*U584,0)</f>
        <v>0</v>
      </c>
      <c r="W584" s="27" t="n">
        <f aca="false">IF(Q584="Open cut",D584*(U584*M584+SLOPE_B*S584^2+2*SLOPE_B*S584*T584+SLOPE_A*T584^2),0)</f>
        <v>62.9671748354108</v>
      </c>
      <c r="X584" s="27" t="n">
        <f aca="false">IF(M584&gt;0,D584*(E584+2*SLABOVH)*SLAB,0)</f>
        <v>4.7497116531779</v>
      </c>
      <c r="Y584" s="27" t="n">
        <f aca="false">IF(M584&gt;0,D584*PI()*E584^2/4,0)</f>
        <v>14.4027452519945</v>
      </c>
      <c r="Z584" s="27" t="n">
        <f aca="false">IF(H584-E584&gt;=GWL,99,E584*(MAX(0,GWL-H584)*(GAM_S-GAM_W)+MAX(0,NG-MAX(H584,GWL))*GAM_D)/(GAM_W*PI()*E584^2/4))</f>
        <v>0</v>
      </c>
      <c r="AA584" s="27" t="n">
        <f aca="false">IF(I584-E584&gt;=GWL,99,E584*(MAX(0,GWL-I584)*(GAM_S-GAM_W)+MAX(0,NG-MAX(I584,GWL))*GAM_D)/(GAM_W*PI()*E584^2/4))</f>
        <v>0</v>
      </c>
      <c r="AB584" s="27" t="n">
        <f aca="false">IF(H584-E584&gt;=GWL,99,E584*(MAX(0,GWL-H584)*(GAM_S-GAM_W)+MAX(0,FL-MAX(H584,GWL))*GAM_D)/(GAM_W*PI()*E584^2/4))</f>
        <v>0.933186387853907</v>
      </c>
      <c r="AC584" s="27" t="n">
        <f aca="false">IF(I584-E584&gt;=GWL,99,E584*(MAX(0,GWL-I584)*(GAM_S-GAM_W)+MAX(0,FL-MAX(I584,GWL))*GAM_D)/(GAM_W*PI()*E584^2/4))</f>
        <v>0.950930048267496</v>
      </c>
    </row>
    <row r="585" customFormat="false" ht="15" hidden="false" customHeight="false" outlineLevel="0" collapsed="false">
      <c r="A585" s="25" t="s">
        <v>1075</v>
      </c>
      <c r="B585" s="25" t="s">
        <v>1101</v>
      </c>
      <c r="C585" s="25" t="s">
        <v>1115</v>
      </c>
      <c r="D585" s="26" t="n">
        <v>5.96905928126317</v>
      </c>
      <c r="E585" s="26" t="n">
        <v>2.65700004094516</v>
      </c>
      <c r="F585" s="26" t="n">
        <v>-3.23850002047258</v>
      </c>
      <c r="G585" s="26" t="n">
        <v>-3.41599244441551</v>
      </c>
      <c r="H585" s="26" t="n">
        <v>-0.0814999795274209</v>
      </c>
      <c r="I585" s="26" t="n">
        <v>-0.258992403470353</v>
      </c>
      <c r="J585" s="26" t="n">
        <v>7.91</v>
      </c>
      <c r="K585" s="27" t="n">
        <f aca="false">MIN(F585,G585)</f>
        <v>-3.41599244441551</v>
      </c>
      <c r="L585" s="27" t="n">
        <f aca="false">AVERAGE(F585,G585)</f>
        <v>-3.32724623244405</v>
      </c>
      <c r="M585" s="27" t="n">
        <f aca="false">MAX(0,NG-L585)</f>
        <v>2.62724623244405</v>
      </c>
      <c r="N585" s="27" t="n">
        <f aca="false">MAX(0,GWL-K585)</f>
        <v>1.91599244441551</v>
      </c>
      <c r="O585" s="27" t="n">
        <f aca="false">MAX(0,NG-MAX(K585,GWL))</f>
        <v>0.8</v>
      </c>
      <c r="P585" s="27" t="n">
        <f aca="false">E585/2+WS+SLOPE_A*O585+SLOPE_B*N585</f>
        <v>7.3604849093036</v>
      </c>
      <c r="Q585" s="28" t="str">
        <f aca="false">IF(AND(P585&lt;J585,N585&lt;=MAXOC),"Open cut","Shoring")</f>
        <v>Open cut</v>
      </c>
      <c r="R585" s="27" t="n">
        <f aca="false">IF(Q585="Shoring",D585,0)</f>
        <v>0</v>
      </c>
      <c r="S585" s="27" t="n">
        <f aca="false">MAX(0,GWL-L585)</f>
        <v>1.82724623244405</v>
      </c>
      <c r="T585" s="27" t="n">
        <f aca="false">MAX(0,NG-MAX(L585,GWL))</f>
        <v>0.8</v>
      </c>
      <c r="U585" s="27" t="n">
        <f aca="false">E585+2*WS</f>
        <v>4.65700004094516</v>
      </c>
      <c r="V585" s="27" t="n">
        <f aca="false">IF(Q585="Shoring",D585*M585*U585,0)</f>
        <v>0</v>
      </c>
      <c r="W585" s="27" t="n">
        <f aca="false">IF(Q585="Open cut",D585*(U585*M585+SLOPE_B*S585^2+2*SLOPE_B*S585*T585+SLOPE_A*T585^2),0)</f>
        <v>153.523794901446</v>
      </c>
      <c r="X585" s="27" t="n">
        <f aca="false">IF(M585&gt;0,D585*(E585+2*SLABOVH)*SLAB,0)</f>
        <v>10.9144250179917</v>
      </c>
      <c r="Y585" s="27" t="n">
        <f aca="false">IF(M585&gt;0,D585*PI()*E585^2/4,0)</f>
        <v>33.0962581698942</v>
      </c>
      <c r="Z585" s="27" t="n">
        <f aca="false">IF(H585-E585&gt;=GWL,99,E585*(MAX(0,GWL-H585)*(GAM_S-GAM_W)+MAX(0,NG-MAX(H585,GWL))*GAM_D)/(GAM_W*PI()*E585^2/4))</f>
        <v>0</v>
      </c>
      <c r="AA585" s="27" t="n">
        <f aca="false">IF(I585-E585&gt;=GWL,99,E585*(MAX(0,GWL-I585)*(GAM_S-GAM_W)+MAX(0,NG-MAX(I585,GWL))*GAM_D)/(GAM_W*PI()*E585^2/4))</f>
        <v>0</v>
      </c>
      <c r="AB585" s="27" t="n">
        <f aca="false">IF(H585-E585&gt;=GWL,99,E585*(MAX(0,GWL-H585)*(GAM_S-GAM_W)+MAX(0,FL-MAX(H585,GWL))*GAM_D)/(GAM_W*PI()*E585^2/4))</f>
        <v>0.950930048267496</v>
      </c>
      <c r="AC585" s="27" t="n">
        <f aca="false">IF(I585-E585&gt;=GWL,99,E585*(MAX(0,GWL-I585)*(GAM_S-GAM_W)+MAX(0,FL-MAX(I585,GWL))*GAM_D)/(GAM_W*PI()*E585^2/4))</f>
        <v>1.10699373986453</v>
      </c>
    </row>
    <row r="586" customFormat="false" ht="15" hidden="false" customHeight="false" outlineLevel="0" collapsed="false">
      <c r="A586" s="25" t="s">
        <v>1075</v>
      </c>
      <c r="B586" s="25" t="s">
        <v>1101</v>
      </c>
      <c r="C586" s="25" t="s">
        <v>1116</v>
      </c>
      <c r="D586" s="26" t="n">
        <v>10.0000000000119</v>
      </c>
      <c r="E586" s="26" t="n">
        <v>2.65700004094516</v>
      </c>
      <c r="F586" s="26" t="n">
        <v>-3.41599244441551</v>
      </c>
      <c r="G586" s="26" t="n">
        <v>-3.71334654257971</v>
      </c>
      <c r="H586" s="26" t="n">
        <v>-0.258992403470353</v>
      </c>
      <c r="I586" s="26" t="n">
        <v>-0.556346501634554</v>
      </c>
      <c r="J586" s="26" t="n">
        <v>4.73</v>
      </c>
      <c r="K586" s="27" t="n">
        <f aca="false">MIN(F586,G586)</f>
        <v>-3.71334654257971</v>
      </c>
      <c r="L586" s="27" t="n">
        <f aca="false">AVERAGE(F586,G586)</f>
        <v>-3.56466949349761</v>
      </c>
      <c r="M586" s="27" t="n">
        <f aca="false">MAX(0,NG-L586)</f>
        <v>2.86466949349761</v>
      </c>
      <c r="N586" s="27" t="n">
        <f aca="false">MAX(0,GWL-K586)</f>
        <v>2.21334654257971</v>
      </c>
      <c r="O586" s="27" t="n">
        <f aca="false">MAX(0,NG-MAX(K586,GWL))</f>
        <v>0.8</v>
      </c>
      <c r="P586" s="27" t="n">
        <f aca="false">E586/2+WS+SLOPE_A*O586+SLOPE_B*N586</f>
        <v>7.955193105632</v>
      </c>
      <c r="Q586" s="28" t="str">
        <f aca="false">IF(AND(P586&lt;J586,N586&lt;=MAXOC),"Open cut","Shoring")</f>
        <v>Shoring</v>
      </c>
      <c r="R586" s="27" t="n">
        <f aca="false">IF(Q586="Shoring",D586,0)</f>
        <v>10.0000000000119</v>
      </c>
      <c r="S586" s="27" t="n">
        <f aca="false">MAX(0,GWL-L586)</f>
        <v>2.06466949349761</v>
      </c>
      <c r="T586" s="27" t="n">
        <f aca="false">MAX(0,NG-MAX(L586,GWL))</f>
        <v>0.8</v>
      </c>
      <c r="U586" s="27" t="n">
        <f aca="false">E586+2*WS</f>
        <v>4.65700004094516</v>
      </c>
      <c r="V586" s="27" t="n">
        <f aca="false">IF(Q586="Shoring",D586*M586*U586,0)</f>
        <v>133.407659485286</v>
      </c>
      <c r="W586" s="27" t="n">
        <f aca="false">IF(Q586="Open cut",D586*(U586*M586+SLOPE_B*S586^2+2*SLOPE_B*S586*T586+SLOPE_A*T586^2),0)</f>
        <v>0</v>
      </c>
      <c r="X586" s="27" t="n">
        <f aca="false">IF(M586&gt;0,D586*(E586+2*SLABOVH)*SLAB,0)</f>
        <v>18.2850002047476</v>
      </c>
      <c r="Y586" s="27" t="n">
        <f aca="false">IF(M586&gt;0,D586*PI()*E586^2/4,0)</f>
        <v>55.4463552972619</v>
      </c>
      <c r="Z586" s="27" t="n">
        <f aca="false">IF(H586-E586&gt;=GWL,99,E586*(MAX(0,GWL-H586)*(GAM_S-GAM_W)+MAX(0,NG-MAX(H586,GWL))*GAM_D)/(GAM_W*PI()*E586^2/4))</f>
        <v>0</v>
      </c>
      <c r="AA586" s="27" t="n">
        <f aca="false">IF(I586-E586&gt;=GWL,99,E586*(MAX(0,GWL-I586)*(GAM_S-GAM_W)+MAX(0,NG-MAX(I586,GWL))*GAM_D)/(GAM_W*PI()*E586^2/4))</f>
        <v>0</v>
      </c>
      <c r="AB586" s="27" t="n">
        <f aca="false">IF(H586-E586&gt;=GWL,99,E586*(MAX(0,GWL-H586)*(GAM_S-GAM_W)+MAX(0,FL-MAX(H586,GWL))*GAM_D)/(GAM_W*PI()*E586^2/4))</f>
        <v>1.10699373986453</v>
      </c>
      <c r="AC586" s="27" t="n">
        <f aca="false">IF(I586-E586&gt;=GWL,99,E586*(MAX(0,GWL-I586)*(GAM_S-GAM_W)+MAX(0,FL-MAX(I586,GWL))*GAM_D)/(GAM_W*PI()*E586^2/4))</f>
        <v>1.36844815712987</v>
      </c>
    </row>
    <row r="587" customFormat="false" ht="15" hidden="false" customHeight="false" outlineLevel="0" collapsed="false">
      <c r="A587" s="25" t="s">
        <v>1075</v>
      </c>
      <c r="B587" s="25" t="s">
        <v>1101</v>
      </c>
      <c r="C587" s="25" t="s">
        <v>1117</v>
      </c>
      <c r="D587" s="26" t="n">
        <v>9.99999999976863</v>
      </c>
      <c r="E587" s="26" t="n">
        <v>2.65700004094516</v>
      </c>
      <c r="F587" s="26" t="n">
        <v>-3.71334654257971</v>
      </c>
      <c r="G587" s="26" t="n">
        <v>-4.01070064074391</v>
      </c>
      <c r="H587" s="26" t="n">
        <v>-0.556346501634554</v>
      </c>
      <c r="I587" s="26" t="n">
        <v>-0.853700599798756</v>
      </c>
      <c r="J587" s="26" t="n">
        <v>4.14</v>
      </c>
      <c r="K587" s="27" t="n">
        <f aca="false">MIN(F587,G587)</f>
        <v>-4.01070064074391</v>
      </c>
      <c r="L587" s="27" t="n">
        <f aca="false">AVERAGE(F587,G587)</f>
        <v>-3.86202359166181</v>
      </c>
      <c r="M587" s="27" t="n">
        <f aca="false">MAX(0,NG-L587)</f>
        <v>3.16202359166181</v>
      </c>
      <c r="N587" s="27" t="n">
        <f aca="false">MAX(0,GWL-K587)</f>
        <v>2.51070064074391</v>
      </c>
      <c r="O587" s="27" t="n">
        <f aca="false">MAX(0,NG-MAX(K587,GWL))</f>
        <v>0.8</v>
      </c>
      <c r="P587" s="27" t="n">
        <f aca="false">E587/2+WS+SLOPE_A*O587+SLOPE_B*N587</f>
        <v>8.54990130196041</v>
      </c>
      <c r="Q587" s="28" t="str">
        <f aca="false">IF(AND(P587&lt;J587,N587&lt;=MAXOC),"Open cut","Shoring")</f>
        <v>Shoring</v>
      </c>
      <c r="R587" s="27" t="n">
        <f aca="false">IF(Q587="Shoring",D587,0)</f>
        <v>9.99999999976863</v>
      </c>
      <c r="S587" s="27" t="n">
        <f aca="false">MAX(0,GWL-L587)</f>
        <v>2.36202359166181</v>
      </c>
      <c r="T587" s="27" t="n">
        <f aca="false">MAX(0,NG-MAX(L587,GWL))</f>
        <v>0.8</v>
      </c>
      <c r="U587" s="27" t="n">
        <f aca="false">E587+2*WS</f>
        <v>4.65700004094516</v>
      </c>
      <c r="V587" s="27" t="n">
        <f aca="false">IF(Q587="Shoring",D587*M587*U587,0)</f>
        <v>147.255439954979</v>
      </c>
      <c r="W587" s="27" t="n">
        <f aca="false">IF(Q587="Open cut",D587*(U587*M587+SLOPE_B*S587^2+2*SLOPE_B*S587*T587+SLOPE_A*T587^2),0)</f>
        <v>0</v>
      </c>
      <c r="X587" s="27" t="n">
        <f aca="false">IF(M587&gt;0,D587*(E587+2*SLABOVH)*SLAB,0)</f>
        <v>18.2850002043027</v>
      </c>
      <c r="Y587" s="27" t="n">
        <f aca="false">IF(M587&gt;0,D587*PI()*E587^2/4,0)</f>
        <v>55.446355295913</v>
      </c>
      <c r="Z587" s="27" t="n">
        <f aca="false">IF(H587-E587&gt;=GWL,99,E587*(MAX(0,GWL-H587)*(GAM_S-GAM_W)+MAX(0,NG-MAX(H587,GWL))*GAM_D)/(GAM_W*PI()*E587^2/4))</f>
        <v>0</v>
      </c>
      <c r="AA587" s="27" t="n">
        <f aca="false">IF(I587-E587&gt;=GWL,99,E587*(MAX(0,GWL-I587)*(GAM_S-GAM_W)+MAX(0,NG-MAX(I587,GWL))*GAM_D)/(GAM_W*PI()*E587^2/4))</f>
        <v>0.135144264033404</v>
      </c>
      <c r="AB587" s="27" t="n">
        <f aca="false">IF(H587-E587&gt;=GWL,99,E587*(MAX(0,GWL-H587)*(GAM_S-GAM_W)+MAX(0,FL-MAX(H587,GWL))*GAM_D)/(GAM_W*PI()*E587^2/4))</f>
        <v>1.36844815712987</v>
      </c>
      <c r="AC587" s="27" t="n">
        <f aca="false">IF(I587-E587&gt;=GWL,99,E587*(MAX(0,GWL-I587)*(GAM_S-GAM_W)+MAX(0,FL-MAX(I587,GWL))*GAM_D)/(GAM_W*PI()*E587^2/4))</f>
        <v>1.62990257439522</v>
      </c>
    </row>
    <row r="588" customFormat="false" ht="15" hidden="false" customHeight="false" outlineLevel="0" collapsed="false">
      <c r="A588" s="25" t="s">
        <v>1075</v>
      </c>
      <c r="B588" s="25" t="s">
        <v>1101</v>
      </c>
      <c r="C588" s="25" t="s">
        <v>1118</v>
      </c>
      <c r="D588" s="26" t="n">
        <v>10.0000000004985</v>
      </c>
      <c r="E588" s="26" t="n">
        <v>2.65700004094516</v>
      </c>
      <c r="F588" s="26" t="n">
        <v>-4.01070064074391</v>
      </c>
      <c r="G588" s="26" t="n">
        <v>-4.30805473890812</v>
      </c>
      <c r="H588" s="26" t="n">
        <v>-0.853700599798756</v>
      </c>
      <c r="I588" s="26" t="n">
        <v>-1.15105469796296</v>
      </c>
      <c r="J588" s="26" t="n">
        <v>4.36</v>
      </c>
      <c r="K588" s="27" t="n">
        <f aca="false">MIN(F588,G588)</f>
        <v>-4.30805473890812</v>
      </c>
      <c r="L588" s="27" t="n">
        <f aca="false">AVERAGE(F588,G588)</f>
        <v>-4.15937768982602</v>
      </c>
      <c r="M588" s="27" t="n">
        <f aca="false">MAX(0,NG-L588)</f>
        <v>3.45937768982602</v>
      </c>
      <c r="N588" s="27" t="n">
        <f aca="false">MAX(0,GWL-K588)</f>
        <v>2.80805473890812</v>
      </c>
      <c r="O588" s="27" t="n">
        <f aca="false">MAX(0,NG-MAX(K588,GWL))</f>
        <v>0.8</v>
      </c>
      <c r="P588" s="27" t="n">
        <f aca="false">E588/2+WS+SLOPE_A*O588+SLOPE_B*N588</f>
        <v>9.14460949828881</v>
      </c>
      <c r="Q588" s="28" t="str">
        <f aca="false">IF(AND(P588&lt;J588,N588&lt;=MAXOC),"Open cut","Shoring")</f>
        <v>Shoring</v>
      </c>
      <c r="R588" s="27" t="n">
        <f aca="false">IF(Q588="Shoring",D588,0)</f>
        <v>10.0000000004985</v>
      </c>
      <c r="S588" s="27" t="n">
        <f aca="false">MAX(0,GWL-L588)</f>
        <v>2.65937768982602</v>
      </c>
      <c r="T588" s="27" t="n">
        <f aca="false">MAX(0,NG-MAX(L588,GWL))</f>
        <v>0.8</v>
      </c>
      <c r="U588" s="27" t="n">
        <f aca="false">E588+2*WS</f>
        <v>4.65700004094516</v>
      </c>
      <c r="V588" s="27" t="n">
        <f aca="false">IF(Q588="Shoring",D588*M588*U588,0)</f>
        <v>161.103220439676</v>
      </c>
      <c r="W588" s="27" t="n">
        <f aca="false">IF(Q588="Open cut",D588*(U588*M588+SLOPE_B*S588^2+2*SLOPE_B*S588*T588+SLOPE_A*T588^2),0)</f>
        <v>0</v>
      </c>
      <c r="X588" s="27" t="n">
        <f aca="false">IF(M588&gt;0,D588*(E588+2*SLABOVH)*SLAB,0)</f>
        <v>18.2850002056373</v>
      </c>
      <c r="Y588" s="27" t="n">
        <f aca="false">IF(M588&gt;0,D588*PI()*E588^2/4,0)</f>
        <v>55.4463552999598</v>
      </c>
      <c r="Z588" s="27" t="n">
        <f aca="false">IF(H588-E588&gt;=GWL,99,E588*(MAX(0,GWL-H588)*(GAM_S-GAM_W)+MAX(0,NG-MAX(H588,GWL))*GAM_D)/(GAM_W*PI()*E588^2/4))</f>
        <v>0.135144264033404</v>
      </c>
      <c r="AA588" s="27" t="n">
        <f aca="false">IF(I588-E588&gt;=GWL,99,E588*(MAX(0,GWL-I588)*(GAM_S-GAM_W)+MAX(0,NG-MAX(I588,GWL))*GAM_D)/(GAM_W*PI()*E588^2/4))</f>
        <v>0.396598681298746</v>
      </c>
      <c r="AB588" s="27" t="n">
        <f aca="false">IF(H588-E588&gt;=GWL,99,E588*(MAX(0,GWL-H588)*(GAM_S-GAM_W)+MAX(0,FL-MAX(H588,GWL))*GAM_D)/(GAM_W*PI()*E588^2/4))</f>
        <v>1.62990257439522</v>
      </c>
      <c r="AC588" s="27" t="n">
        <f aca="false">IF(I588-E588&gt;=GWL,99,E588*(MAX(0,GWL-I588)*(GAM_S-GAM_W)+MAX(0,FL-MAX(I588,GWL))*GAM_D)/(GAM_W*PI()*E588^2/4))</f>
        <v>1.89135699166056</v>
      </c>
    </row>
    <row r="589" customFormat="false" ht="15" hidden="false" customHeight="false" outlineLevel="0" collapsed="false">
      <c r="A589" s="25" t="s">
        <v>1075</v>
      </c>
      <c r="B589" s="25" t="s">
        <v>1101</v>
      </c>
      <c r="C589" s="25" t="s">
        <v>1119</v>
      </c>
      <c r="D589" s="26" t="n">
        <v>9.99999999966936</v>
      </c>
      <c r="E589" s="26" t="n">
        <v>2.65700004094516</v>
      </c>
      <c r="F589" s="26" t="n">
        <v>-4.30805473890812</v>
      </c>
      <c r="G589" s="26" t="n">
        <v>-4.60540883707232</v>
      </c>
      <c r="H589" s="26" t="n">
        <v>-1.15105469796296</v>
      </c>
      <c r="I589" s="26" t="n">
        <v>-1.44840879612716</v>
      </c>
      <c r="J589" s="26" t="n">
        <v>6.88</v>
      </c>
      <c r="K589" s="27" t="n">
        <f aca="false">MIN(F589,G589)</f>
        <v>-4.60540883707232</v>
      </c>
      <c r="L589" s="27" t="n">
        <f aca="false">AVERAGE(F589,G589)</f>
        <v>-4.45673178799022</v>
      </c>
      <c r="M589" s="27" t="n">
        <f aca="false">MAX(0,NG-L589)</f>
        <v>3.75673178799022</v>
      </c>
      <c r="N589" s="27" t="n">
        <f aca="false">MAX(0,GWL-K589)</f>
        <v>3.10540883707232</v>
      </c>
      <c r="O589" s="27" t="n">
        <f aca="false">MAX(0,NG-MAX(K589,GWL))</f>
        <v>0.8</v>
      </c>
      <c r="P589" s="27" t="n">
        <f aca="false">E589/2+WS+SLOPE_A*O589+SLOPE_B*N589</f>
        <v>9.73931769461722</v>
      </c>
      <c r="Q589" s="28" t="str">
        <f aca="false">IF(AND(P589&lt;J589,N589&lt;=MAXOC),"Open cut","Shoring")</f>
        <v>Shoring</v>
      </c>
      <c r="R589" s="27" t="n">
        <f aca="false">IF(Q589="Shoring",D589,0)</f>
        <v>9.99999999966936</v>
      </c>
      <c r="S589" s="27" t="n">
        <f aca="false">MAX(0,GWL-L589)</f>
        <v>2.95673178799022</v>
      </c>
      <c r="T589" s="27" t="n">
        <f aca="false">MAX(0,NG-MAX(L589,GWL))</f>
        <v>0.8</v>
      </c>
      <c r="U589" s="27" t="n">
        <f aca="false">E589+2*WS</f>
        <v>4.65700004094516</v>
      </c>
      <c r="V589" s="27" t="n">
        <f aca="false">IF(Q589="Shoring",D589*M589*U589,0)</f>
        <v>174.95100089912</v>
      </c>
      <c r="W589" s="27" t="n">
        <f aca="false">IF(Q589="Open cut",D589*(U589*M589+SLOPE_B*S589^2+2*SLOPE_B*S589*T589+SLOPE_A*T589^2),0)</f>
        <v>0</v>
      </c>
      <c r="X589" s="27" t="n">
        <f aca="false">IF(M589&gt;0,D589*(E589+2*SLABOVH)*SLAB,0)</f>
        <v>18.2850002041212</v>
      </c>
      <c r="Y589" s="27" t="n">
        <f aca="false">IF(M589&gt;0,D589*PI()*E589^2/4,0)</f>
        <v>55.4463552953626</v>
      </c>
      <c r="Z589" s="27" t="n">
        <f aca="false">IF(H589-E589&gt;=GWL,99,E589*(MAX(0,GWL-H589)*(GAM_S-GAM_W)+MAX(0,NG-MAX(H589,GWL))*GAM_D)/(GAM_W*PI()*E589^2/4))</f>
        <v>0.396598681298746</v>
      </c>
      <c r="AA589" s="27" t="n">
        <f aca="false">IF(I589-E589&gt;=GWL,99,E589*(MAX(0,GWL-I589)*(GAM_S-GAM_W)+MAX(0,NG-MAX(I589,GWL))*GAM_D)/(GAM_W*PI()*E589^2/4))</f>
        <v>0.65805309856409</v>
      </c>
      <c r="AB589" s="27" t="n">
        <f aca="false">IF(H589-E589&gt;=GWL,99,E589*(MAX(0,GWL-H589)*(GAM_S-GAM_W)+MAX(0,FL-MAX(H589,GWL))*GAM_D)/(GAM_W*PI()*E589^2/4))</f>
        <v>1.89135699166056</v>
      </c>
      <c r="AC589" s="27" t="n">
        <f aca="false">IF(I589-E589&gt;=GWL,99,E589*(MAX(0,GWL-I589)*(GAM_S-GAM_W)+MAX(0,FL-MAX(I589,GWL))*GAM_D)/(GAM_W*PI()*E589^2/4))</f>
        <v>2.1528114089259</v>
      </c>
    </row>
    <row r="590" customFormat="false" ht="15" hidden="false" customHeight="false" outlineLevel="0" collapsed="false">
      <c r="A590" s="25" t="s">
        <v>1075</v>
      </c>
      <c r="B590" s="25" t="s">
        <v>1101</v>
      </c>
      <c r="C590" s="25" t="s">
        <v>1120</v>
      </c>
      <c r="D590" s="26" t="n">
        <v>7.6844807189748</v>
      </c>
      <c r="E590" s="26" t="n">
        <v>2.65700004094516</v>
      </c>
      <c r="F590" s="26" t="n">
        <v>-4.60540883707232</v>
      </c>
      <c r="G590" s="26" t="n">
        <v>-4.83391002047258</v>
      </c>
      <c r="H590" s="26" t="n">
        <v>-1.44840879612716</v>
      </c>
      <c r="I590" s="26" t="n">
        <v>-1.67690997952742</v>
      </c>
      <c r="J590" s="26" t="n">
        <v>11.78</v>
      </c>
      <c r="K590" s="27" t="n">
        <f aca="false">MIN(F590,G590)</f>
        <v>-4.83391002047258</v>
      </c>
      <c r="L590" s="27" t="n">
        <f aca="false">AVERAGE(F590,G590)</f>
        <v>-4.71965942877245</v>
      </c>
      <c r="M590" s="27" t="n">
        <f aca="false">MAX(0,NG-L590)</f>
        <v>4.01965942877245</v>
      </c>
      <c r="N590" s="27" t="n">
        <f aca="false">MAX(0,GWL-K590)</f>
        <v>3.33391002047258</v>
      </c>
      <c r="O590" s="27" t="n">
        <f aca="false">MAX(0,NG-MAX(K590,GWL))</f>
        <v>0.8</v>
      </c>
      <c r="P590" s="27" t="n">
        <f aca="false">E590/2+WS+SLOPE_A*O590+SLOPE_B*N590</f>
        <v>10.1963200614177</v>
      </c>
      <c r="Q590" s="28" t="str">
        <f aca="false">IF(AND(P590&lt;J590,N590&lt;=MAXOC),"Open cut","Shoring")</f>
        <v>Shoring</v>
      </c>
      <c r="R590" s="27" t="n">
        <f aca="false">IF(Q590="Shoring",D590,0)</f>
        <v>7.6844807189748</v>
      </c>
      <c r="S590" s="27" t="n">
        <f aca="false">MAX(0,GWL-L590)</f>
        <v>3.21965942877245</v>
      </c>
      <c r="T590" s="27" t="n">
        <f aca="false">MAX(0,NG-MAX(L590,GWL))</f>
        <v>0.8</v>
      </c>
      <c r="U590" s="27" t="n">
        <f aca="false">E590+2*WS</f>
        <v>4.65700004094516</v>
      </c>
      <c r="V590" s="27" t="n">
        <f aca="false">IF(Q590="Shoring",D590*M590*U590,0)</f>
        <v>143.850052736595</v>
      </c>
      <c r="W590" s="27" t="n">
        <f aca="false">IF(Q590="Open cut",D590*(U590*M590+SLOPE_B*S590^2+2*SLOPE_B*S590*T590+SLOPE_A*T590^2),0)</f>
        <v>0</v>
      </c>
      <c r="X590" s="27" t="n">
        <f aca="false">IF(M590&gt;0,D590*(E590+2*SLABOVH)*SLAB,0)</f>
        <v>14.0510731519666</v>
      </c>
      <c r="Y590" s="27" t="n">
        <f aca="false">IF(M590&gt;0,D590*PI()*E590^2/4,0)</f>
        <v>42.6076448218728</v>
      </c>
      <c r="Z590" s="27" t="n">
        <f aca="false">IF(H590-E590&gt;=GWL,99,E590*(MAX(0,GWL-H590)*(GAM_S-GAM_W)+MAX(0,NG-MAX(H590,GWL))*GAM_D)/(GAM_W*PI()*E590^2/4))</f>
        <v>0.65805309856409</v>
      </c>
      <c r="AA590" s="27" t="n">
        <f aca="false">IF(I590-E590&gt;=GWL,99,E590*(MAX(0,GWL-I590)*(GAM_S-GAM_W)+MAX(0,NG-MAX(I590,GWL))*GAM_D)/(GAM_W*PI()*E590^2/4))</f>
        <v>0.774191637963483</v>
      </c>
      <c r="AB590" s="27" t="n">
        <f aca="false">IF(H590-E590&gt;=GWL,99,E590*(MAX(0,GWL-H590)*(GAM_S-GAM_W)+MAX(0,FL-MAX(H590,GWL))*GAM_D)/(GAM_W*PI()*E590^2/4))</f>
        <v>2.1528114089259</v>
      </c>
      <c r="AC590" s="27" t="n">
        <f aca="false">IF(I590-E590&gt;=GWL,99,E590*(MAX(0,GWL-I590)*(GAM_S-GAM_W)+MAX(0,FL-MAX(I590,GWL))*GAM_D)/(GAM_W*PI()*E590^2/4))</f>
        <v>2.2689499483253</v>
      </c>
    </row>
    <row r="591" customFormat="false" ht="15" hidden="false" customHeight="false" outlineLevel="0" collapsed="false">
      <c r="A591" s="25" t="s">
        <v>1075</v>
      </c>
      <c r="B591" s="25" t="s">
        <v>1101</v>
      </c>
      <c r="C591" s="25" t="s">
        <v>1121</v>
      </c>
      <c r="D591" s="26" t="n">
        <v>2.31551928146118</v>
      </c>
      <c r="E591" s="26" t="n">
        <v>2.65700004094516</v>
      </c>
      <c r="F591" s="26" t="n">
        <v>-4.83391002047258</v>
      </c>
      <c r="G591" s="26" t="n">
        <v>-4.90276769449076</v>
      </c>
      <c r="H591" s="26" t="n">
        <v>-1.67690997952742</v>
      </c>
      <c r="I591" s="26" t="n">
        <v>-1.7457676535456</v>
      </c>
      <c r="J591" s="26" t="n">
        <v>16.68</v>
      </c>
      <c r="K591" s="27" t="n">
        <f aca="false">MIN(F591,G591)</f>
        <v>-4.90276769449076</v>
      </c>
      <c r="L591" s="27" t="n">
        <f aca="false">AVERAGE(F591,G591)</f>
        <v>-4.86833885748167</v>
      </c>
      <c r="M591" s="27" t="n">
        <f aca="false">MAX(0,NG-L591)</f>
        <v>4.16833885748167</v>
      </c>
      <c r="N591" s="27" t="n">
        <f aca="false">MAX(0,GWL-K591)</f>
        <v>3.40276769449075</v>
      </c>
      <c r="O591" s="27" t="n">
        <f aca="false">MAX(0,NG-MAX(K591,GWL))</f>
        <v>0.8</v>
      </c>
      <c r="P591" s="27" t="n">
        <f aca="false">E591/2+WS+SLOPE_A*O591+SLOPE_B*N591</f>
        <v>10.3340354094541</v>
      </c>
      <c r="Q591" s="28" t="str">
        <f aca="false">IF(AND(P591&lt;J591,N591&lt;=MAXOC),"Open cut","Shoring")</f>
        <v>Shoring</v>
      </c>
      <c r="R591" s="27" t="n">
        <f aca="false">IF(Q591="Shoring",D591,0)</f>
        <v>2.31551928146118</v>
      </c>
      <c r="S591" s="27" t="n">
        <f aca="false">MAX(0,GWL-L591)</f>
        <v>3.36833885748167</v>
      </c>
      <c r="T591" s="27" t="n">
        <f aca="false">MAX(0,NG-MAX(L591,GWL))</f>
        <v>0.8</v>
      </c>
      <c r="U591" s="27" t="n">
        <f aca="false">E591+2*WS</f>
        <v>4.65700004094516</v>
      </c>
      <c r="V591" s="27" t="n">
        <f aca="false">IF(Q591="Shoring",D591*M591*U591,0)</f>
        <v>44.9487543103269</v>
      </c>
      <c r="W591" s="27" t="n">
        <f aca="false">IF(Q591="Open cut",D591*(U591*M591+SLOPE_B*S591^2+2*SLOPE_B*S591*T591+SLOPE_A*T591^2),0)</f>
        <v>0</v>
      </c>
      <c r="X591" s="27" t="n">
        <f aca="false">IF(M591&gt;0,D591*(E591+2*SLABOVH)*SLAB,0)</f>
        <v>4.23392705355642</v>
      </c>
      <c r="Y591" s="27" t="n">
        <f aca="false">IF(M591&gt;0,D591*PI()*E591^2/4,0)</f>
        <v>12.8387104777404</v>
      </c>
      <c r="Z591" s="27" t="n">
        <f aca="false">IF(H591-E591&gt;=GWL,99,E591*(MAX(0,GWL-H591)*(GAM_S-GAM_W)+MAX(0,NG-MAX(H591,GWL))*GAM_D)/(GAM_W*PI()*E591^2/4))</f>
        <v>0.774191637963483</v>
      </c>
      <c r="AA591" s="27" t="n">
        <f aca="false">IF(I591-E591&gt;=GWL,99,E591*(MAX(0,GWL-I591)*(GAM_S-GAM_W)+MAX(0,NG-MAX(I591,GWL))*GAM_D)/(GAM_W*PI()*E591^2/4))</f>
        <v>0.801739366854211</v>
      </c>
      <c r="AB591" s="27" t="n">
        <f aca="false">IF(H591-E591&gt;=GWL,99,E591*(MAX(0,GWL-H591)*(GAM_S-GAM_W)+MAX(0,FL-MAX(H591,GWL))*GAM_D)/(GAM_W*PI()*E591^2/4))</f>
        <v>2.2689499483253</v>
      </c>
      <c r="AC591" s="27" t="n">
        <f aca="false">IF(I591-E591&gt;=GWL,99,E591*(MAX(0,GWL-I591)*(GAM_S-GAM_W)+MAX(0,FL-MAX(I591,GWL))*GAM_D)/(GAM_W*PI()*E591^2/4))</f>
        <v>2.29649767721602</v>
      </c>
    </row>
    <row r="592" customFormat="false" ht="15" hidden="false" customHeight="false" outlineLevel="0" collapsed="false">
      <c r="A592" s="25" t="s">
        <v>1075</v>
      </c>
      <c r="B592" s="25" t="s">
        <v>1101</v>
      </c>
      <c r="C592" s="25" t="s">
        <v>1122</v>
      </c>
      <c r="D592" s="26" t="n">
        <v>0.283222726625739</v>
      </c>
      <c r="E592" s="26" t="n">
        <v>2.65700004094516</v>
      </c>
      <c r="F592" s="26" t="n">
        <v>-4.90276769449076</v>
      </c>
      <c r="G592" s="26" t="n">
        <v>-4.91119002047258</v>
      </c>
      <c r="H592" s="26" t="n">
        <v>-1.7457676535456</v>
      </c>
      <c r="I592" s="26" t="n">
        <v>-1.75418997952742</v>
      </c>
      <c r="J592" s="26" t="n">
        <v>18.31</v>
      </c>
      <c r="K592" s="27" t="n">
        <f aca="false">MIN(F592,G592)</f>
        <v>-4.91119002047258</v>
      </c>
      <c r="L592" s="27" t="n">
        <f aca="false">AVERAGE(F592,G592)</f>
        <v>-4.90697885748167</v>
      </c>
      <c r="M592" s="27" t="n">
        <f aca="false">MAX(0,NG-L592)</f>
        <v>4.20697885748167</v>
      </c>
      <c r="N592" s="27" t="n">
        <f aca="false">MAX(0,GWL-K592)</f>
        <v>3.41119002047258</v>
      </c>
      <c r="O592" s="27" t="n">
        <f aca="false">MAX(0,NG-MAX(K592,GWL))</f>
        <v>0.8</v>
      </c>
      <c r="P592" s="27" t="n">
        <f aca="false">E592/2+WS+SLOPE_A*O592+SLOPE_B*N592</f>
        <v>10.3508800614177</v>
      </c>
      <c r="Q592" s="28" t="str">
        <f aca="false">IF(AND(P592&lt;J592,N592&lt;=MAXOC),"Open cut","Shoring")</f>
        <v>Shoring</v>
      </c>
      <c r="R592" s="27" t="n">
        <f aca="false">IF(Q592="Shoring",D592,0)</f>
        <v>0.283222726625739</v>
      </c>
      <c r="S592" s="27" t="n">
        <f aca="false">MAX(0,GWL-L592)</f>
        <v>3.40697885748167</v>
      </c>
      <c r="T592" s="27" t="n">
        <f aca="false">MAX(0,NG-MAX(L592,GWL))</f>
        <v>0.8</v>
      </c>
      <c r="U592" s="27" t="n">
        <f aca="false">E592+2*WS</f>
        <v>4.65700004094516</v>
      </c>
      <c r="V592" s="27" t="n">
        <f aca="false">IF(Q592="Shoring",D592*M592*U592,0)</f>
        <v>5.54887153930525</v>
      </c>
      <c r="W592" s="27" t="n">
        <f aca="false">IF(Q592="Open cut",D592*(U592*M592+SLOPE_B*S592^2+2*SLOPE_B*S592*T592+SLOPE_A*T592^2),0)</f>
        <v>0</v>
      </c>
      <c r="X592" s="27" t="n">
        <f aca="false">IF(M592&gt;0,D592*(E592+2*SLABOVH)*SLAB,0)</f>
        <v>0.517872761433464</v>
      </c>
      <c r="Y592" s="27" t="n">
        <f aca="false">IF(M592&gt;0,D592*PI()*E592^2/4,0)</f>
        <v>1.57036679287313</v>
      </c>
      <c r="Z592" s="27" t="n">
        <f aca="false">IF(H592-E592&gt;=GWL,99,E592*(MAX(0,GWL-H592)*(GAM_S-GAM_W)+MAX(0,NG-MAX(H592,GWL))*GAM_D)/(GAM_W*PI()*E592^2/4))</f>
        <v>0.801739366854211</v>
      </c>
      <c r="AA592" s="27" t="n">
        <f aca="false">IF(I592-E592&gt;=GWL,99,E592*(MAX(0,GWL-I592)*(GAM_S-GAM_W)+MAX(0,NG-MAX(I592,GWL))*GAM_D)/(GAM_W*PI()*E592^2/4))</f>
        <v>0.805108867147169</v>
      </c>
      <c r="AB592" s="27" t="n">
        <f aca="false">IF(H592-E592&gt;=GWL,99,E592*(MAX(0,GWL-H592)*(GAM_S-GAM_W)+MAX(0,FL-MAX(H592,GWL))*GAM_D)/(GAM_W*PI()*E592^2/4))</f>
        <v>2.29649767721602</v>
      </c>
      <c r="AC592" s="27" t="n">
        <f aca="false">IF(I592-E592&gt;=GWL,99,E592*(MAX(0,GWL-I592)*(GAM_S-GAM_W)+MAX(0,FL-MAX(I592,GWL))*GAM_D)/(GAM_W*PI()*E592^2/4))</f>
        <v>2.29986717750898</v>
      </c>
    </row>
    <row r="593" customFormat="false" ht="15" hidden="false" customHeight="false" outlineLevel="0" collapsed="false">
      <c r="A593" s="25" t="s">
        <v>1075</v>
      </c>
      <c r="B593" s="25" t="s">
        <v>1101</v>
      </c>
      <c r="C593" s="25" t="s">
        <v>1123</v>
      </c>
      <c r="D593" s="26" t="n">
        <v>2.59994000030614</v>
      </c>
      <c r="E593" s="26" t="n">
        <v>2.65699925074753</v>
      </c>
      <c r="F593" s="26" t="n">
        <v>-4.91118962537376</v>
      </c>
      <c r="G593" s="26" t="n">
        <v>-4.98849962537376</v>
      </c>
      <c r="H593" s="26" t="n">
        <v>-1.75419037462624</v>
      </c>
      <c r="I593" s="26" t="n">
        <v>-1.83150037462624</v>
      </c>
      <c r="J593" s="26" t="n">
        <v>16.73</v>
      </c>
      <c r="K593" s="27" t="n">
        <f aca="false">MIN(F593,G593)</f>
        <v>-4.98849962537376</v>
      </c>
      <c r="L593" s="27" t="n">
        <f aca="false">AVERAGE(F593,G593)</f>
        <v>-4.94984462537376</v>
      </c>
      <c r="M593" s="27" t="n">
        <f aca="false">MAX(0,NG-L593)</f>
        <v>4.24984462537376</v>
      </c>
      <c r="N593" s="27" t="n">
        <f aca="false">MAX(0,GWL-K593)</f>
        <v>3.48849962537376</v>
      </c>
      <c r="O593" s="27" t="n">
        <f aca="false">MAX(0,NG-MAX(K593,GWL))</f>
        <v>0.8</v>
      </c>
      <c r="P593" s="27" t="n">
        <f aca="false">E593/2+WS+SLOPE_A*O593+SLOPE_B*N593</f>
        <v>10.5054988761213</v>
      </c>
      <c r="Q593" s="28" t="str">
        <f aca="false">IF(AND(P593&lt;J593,N593&lt;=MAXOC),"Open cut","Shoring")</f>
        <v>Shoring</v>
      </c>
      <c r="R593" s="27" t="n">
        <f aca="false">IF(Q593="Shoring",D593,0)</f>
        <v>2.59994000030614</v>
      </c>
      <c r="S593" s="27" t="n">
        <f aca="false">MAX(0,GWL-L593)</f>
        <v>3.44984462537376</v>
      </c>
      <c r="T593" s="27" t="n">
        <f aca="false">MAX(0,NG-MAX(L593,GWL))</f>
        <v>0.8</v>
      </c>
      <c r="U593" s="27" t="n">
        <f aca="false">E593+2*WS</f>
        <v>4.65699925074753</v>
      </c>
      <c r="V593" s="27" t="n">
        <f aca="false">IF(Q593="Shoring",D593*M593*U593,0)</f>
        <v>51.4567729286783</v>
      </c>
      <c r="W593" s="27" t="n">
        <f aca="false">IF(Q593="Open cut",D593*(U593*M593+SLOPE_B*S593^2+2*SLOPE_B*S593*T593+SLOPE_A*T593^2),0)</f>
        <v>0</v>
      </c>
      <c r="X593" s="27" t="n">
        <f aca="false">IF(M593&gt;0,D593*(E593+2*SLABOVH)*SLAB,0)</f>
        <v>4.75398931655404</v>
      </c>
      <c r="Y593" s="27" t="n">
        <f aca="false">IF(M593&gt;0,D593*PI()*E593^2/4,0)</f>
        <v>14.4157111263046</v>
      </c>
      <c r="Z593" s="27" t="n">
        <f aca="false">IF(H593-E593&gt;=GWL,99,E593*(MAX(0,GWL-H593)*(GAM_S-GAM_W)+MAX(0,NG-MAX(H593,GWL))*GAM_D)/(GAM_W*PI()*E593^2/4))</f>
        <v>0.80510926465469</v>
      </c>
      <c r="AA593" s="27" t="n">
        <f aca="false">IF(I593-E593&gt;=GWL,99,E593*(MAX(0,GWL-I593)*(GAM_S-GAM_W)+MAX(0,NG-MAX(I593,GWL))*GAM_D)/(GAM_W*PI()*E593^2/4))</f>
        <v>0.836038505066762</v>
      </c>
      <c r="AB593" s="27" t="n">
        <f aca="false">IF(H593-E593&gt;=GWL,99,E593*(MAX(0,GWL-H593)*(GAM_S-GAM_W)+MAX(0,FL-MAX(H593,GWL))*GAM_D)/(GAM_W*PI()*E593^2/4))</f>
        <v>2.29986801956103</v>
      </c>
      <c r="AC593" s="27" t="n">
        <f aca="false">IF(I593-E593&gt;=GWL,99,E593*(MAX(0,GWL-I593)*(GAM_S-GAM_W)+MAX(0,FL-MAX(I593,GWL))*GAM_D)/(GAM_W*PI()*E593^2/4))</f>
        <v>2.3307972599731</v>
      </c>
    </row>
    <row r="594" customFormat="false" ht="15" hidden="false" customHeight="false" outlineLevel="0" collapsed="false">
      <c r="A594" s="25" t="s">
        <v>1075</v>
      </c>
      <c r="B594" s="25" t="s">
        <v>1101</v>
      </c>
      <c r="C594" s="25" t="s">
        <v>1124</v>
      </c>
      <c r="D594" s="26" t="n">
        <v>1.2168372728655</v>
      </c>
      <c r="E594" s="26" t="n">
        <v>2.65699925074753</v>
      </c>
      <c r="F594" s="26" t="n">
        <v>-4.98849962537376</v>
      </c>
      <c r="G594" s="26" t="n">
        <v>-4.98849962537376</v>
      </c>
      <c r="H594" s="26" t="n">
        <v>-1.83150037462624</v>
      </c>
      <c r="I594" s="26" t="n">
        <v>-1.83150037462624</v>
      </c>
      <c r="J594" s="26" t="n">
        <v>15.93</v>
      </c>
      <c r="K594" s="27" t="n">
        <f aca="false">MIN(F594,G594)</f>
        <v>-4.98849962537376</v>
      </c>
      <c r="L594" s="27" t="n">
        <f aca="false">AVERAGE(F594,G594)</f>
        <v>-4.98849962537376</v>
      </c>
      <c r="M594" s="27" t="n">
        <f aca="false">MAX(0,NG-L594)</f>
        <v>4.28849962537376</v>
      </c>
      <c r="N594" s="27" t="n">
        <f aca="false">MAX(0,GWL-K594)</f>
        <v>3.48849962537376</v>
      </c>
      <c r="O594" s="27" t="n">
        <f aca="false">MAX(0,NG-MAX(K594,GWL))</f>
        <v>0.8</v>
      </c>
      <c r="P594" s="27" t="n">
        <f aca="false">E594/2+WS+SLOPE_A*O594+SLOPE_B*N594</f>
        <v>10.5054988761213</v>
      </c>
      <c r="Q594" s="28" t="str">
        <f aca="false">IF(AND(P594&lt;J594,N594&lt;=MAXOC),"Open cut","Shoring")</f>
        <v>Shoring</v>
      </c>
      <c r="R594" s="27" t="n">
        <f aca="false">IF(Q594="Shoring",D594,0)</f>
        <v>1.2168372728655</v>
      </c>
      <c r="S594" s="27" t="n">
        <f aca="false">MAX(0,GWL-L594)</f>
        <v>3.48849962537376</v>
      </c>
      <c r="T594" s="27" t="n">
        <f aca="false">MAX(0,NG-MAX(L594,GWL))</f>
        <v>0.8</v>
      </c>
      <c r="U594" s="27" t="n">
        <f aca="false">E594+2*WS</f>
        <v>4.65699925074753</v>
      </c>
      <c r="V594" s="27" t="n">
        <f aca="false">IF(Q594="Shoring",D594*M594*U594,0)</f>
        <v>24.3021137114522</v>
      </c>
      <c r="W594" s="27" t="n">
        <f aca="false">IF(Q594="Open cut",D594*(U594*M594+SLOPE_B*S594^2+2*SLOPE_B*S594*T594+SLOPE_A*T594^2),0)</f>
        <v>0</v>
      </c>
      <c r="X594" s="27" t="n">
        <f aca="false">IF(M594&gt;0,D594*(E594+2*SLABOVH)*SLAB,0)</f>
        <v>2.22498649757541</v>
      </c>
      <c r="Y594" s="27" t="n">
        <f aca="false">IF(M594&gt;0,D594*PI()*E594^2/4,0)</f>
        <v>6.74691516392067</v>
      </c>
      <c r="Z594" s="27" t="n">
        <f aca="false">IF(H594-E594&gt;=GWL,99,E594*(MAX(0,GWL-H594)*(GAM_S-GAM_W)+MAX(0,NG-MAX(H594,GWL))*GAM_D)/(GAM_W*PI()*E594^2/4))</f>
        <v>0.836038505066762</v>
      </c>
      <c r="AA594" s="27" t="n">
        <f aca="false">IF(I594-E594&gt;=GWL,99,E594*(MAX(0,GWL-I594)*(GAM_S-GAM_W)+MAX(0,NG-MAX(I594,GWL))*GAM_D)/(GAM_W*PI()*E594^2/4))</f>
        <v>0.836038505066762</v>
      </c>
      <c r="AB594" s="27" t="n">
        <f aca="false">IF(H594-E594&gt;=GWL,99,E594*(MAX(0,GWL-H594)*(GAM_S-GAM_W)+MAX(0,FL-MAX(H594,GWL))*GAM_D)/(GAM_W*PI()*E594^2/4))</f>
        <v>2.3307972599731</v>
      </c>
      <c r="AC594" s="27" t="n">
        <f aca="false">IF(I594-E594&gt;=GWL,99,E594*(MAX(0,GWL-I594)*(GAM_S-GAM_W)+MAX(0,FL-MAX(I594,GWL))*GAM_D)/(GAM_W*PI()*E594^2/4))</f>
        <v>2.3307972599731</v>
      </c>
    </row>
    <row r="595" customFormat="false" ht="15" hidden="false" customHeight="false" outlineLevel="0" collapsed="false">
      <c r="A595" s="25" t="s">
        <v>1075</v>
      </c>
      <c r="B595" s="25" t="s">
        <v>1125</v>
      </c>
      <c r="C595" s="25" t="s">
        <v>1126</v>
      </c>
      <c r="D595" s="26" t="n">
        <v>5.89999999984035</v>
      </c>
      <c r="E595" s="26" t="n">
        <v>2.65699925074753</v>
      </c>
      <c r="F595" s="26" t="n">
        <v>-4.98849962537376</v>
      </c>
      <c r="G595" s="26" t="n">
        <v>-4.98849962537376</v>
      </c>
      <c r="H595" s="26" t="n">
        <v>-1.83150037462624</v>
      </c>
      <c r="I595" s="26" t="n">
        <v>-1.83150037462624</v>
      </c>
      <c r="J595" s="26" t="n">
        <v>12.32</v>
      </c>
      <c r="K595" s="27" t="n">
        <f aca="false">MIN(F595,G595)</f>
        <v>-4.98849962537376</v>
      </c>
      <c r="L595" s="27" t="n">
        <f aca="false">AVERAGE(F595,G595)</f>
        <v>-4.98849962537376</v>
      </c>
      <c r="M595" s="27" t="n">
        <f aca="false">MAX(0,NG-L595)</f>
        <v>4.28849962537376</v>
      </c>
      <c r="N595" s="27" t="n">
        <f aca="false">MAX(0,GWL-K595)</f>
        <v>3.48849962537376</v>
      </c>
      <c r="O595" s="27" t="n">
        <f aca="false">MAX(0,NG-MAX(K595,GWL))</f>
        <v>0.8</v>
      </c>
      <c r="P595" s="27" t="n">
        <f aca="false">E595/2+WS+SLOPE_A*O595+SLOPE_B*N595</f>
        <v>10.5054988761213</v>
      </c>
      <c r="Q595" s="28" t="str">
        <f aca="false">IF(AND(P595&lt;J595,N595&lt;=MAXOC),"Open cut","Shoring")</f>
        <v>Shoring</v>
      </c>
      <c r="R595" s="27" t="n">
        <f aca="false">IF(Q595="Shoring",D595,0)</f>
        <v>5.89999999984035</v>
      </c>
      <c r="S595" s="27" t="n">
        <f aca="false">MAX(0,GWL-L595)</f>
        <v>3.48849962537376</v>
      </c>
      <c r="T595" s="27" t="n">
        <f aca="false">MAX(0,NG-MAX(L595,GWL))</f>
        <v>0.8</v>
      </c>
      <c r="U595" s="27" t="n">
        <f aca="false">E595+2*WS</f>
        <v>4.65699925074753</v>
      </c>
      <c r="V595" s="27" t="n">
        <f aca="false">IF(Q595="Shoring",D595*M595*U595,0)</f>
        <v>117.832083295772</v>
      </c>
      <c r="W595" s="27" t="n">
        <f aca="false">IF(Q595="Open cut",D595*(U595*M595+SLOPE_B*S595^2+2*SLOPE_B*S595*T595+SLOPE_A*T595^2),0)</f>
        <v>0</v>
      </c>
      <c r="X595" s="27" t="n">
        <f aca="false">IF(M595&gt;0,D595*(E595+2*SLABOVH)*SLAB,0)</f>
        <v>10.7881477894133</v>
      </c>
      <c r="Y595" s="27" t="n">
        <f aca="false">IF(M595&gt;0,D595*PI()*E595^2/4,0)</f>
        <v>32.7133301664195</v>
      </c>
      <c r="Z595" s="27" t="n">
        <f aca="false">IF(H595-E595&gt;=GWL,99,E595*(MAX(0,GWL-H595)*(GAM_S-GAM_W)+MAX(0,NG-MAX(H595,GWL))*GAM_D)/(GAM_W*PI()*E595^2/4))</f>
        <v>0.836038505066762</v>
      </c>
      <c r="AA595" s="27" t="n">
        <f aca="false">IF(I595-E595&gt;=GWL,99,E595*(MAX(0,GWL-I595)*(GAM_S-GAM_W)+MAX(0,NG-MAX(I595,GWL))*GAM_D)/(GAM_W*PI()*E595^2/4))</f>
        <v>0.836038505066762</v>
      </c>
      <c r="AB595" s="27" t="n">
        <f aca="false">IF(H595-E595&gt;=GWL,99,E595*(MAX(0,GWL-H595)*(GAM_S-GAM_W)+MAX(0,FL-MAX(H595,GWL))*GAM_D)/(GAM_W*PI()*E595^2/4))</f>
        <v>2.3307972599731</v>
      </c>
      <c r="AC595" s="27" t="n">
        <f aca="false">IF(I595-E595&gt;=GWL,99,E595*(MAX(0,GWL-I595)*(GAM_S-GAM_W)+MAX(0,FL-MAX(I595,GWL))*GAM_D)/(GAM_W*PI()*E595^2/4))</f>
        <v>2.3307972599731</v>
      </c>
    </row>
    <row r="596" customFormat="false" ht="15" hidden="false" customHeight="false" outlineLevel="0" collapsed="false">
      <c r="A596" s="25" t="s">
        <v>1075</v>
      </c>
      <c r="B596" s="25" t="s">
        <v>1125</v>
      </c>
      <c r="C596" s="25" t="s">
        <v>1127</v>
      </c>
      <c r="D596" s="26" t="n">
        <v>9.99999999987072</v>
      </c>
      <c r="E596" s="26" t="n">
        <v>2.65699925074753</v>
      </c>
      <c r="F596" s="26" t="n">
        <v>-4.98849962537376</v>
      </c>
      <c r="G596" s="26" t="n">
        <v>-4.98849962537376</v>
      </c>
      <c r="H596" s="26" t="n">
        <v>-1.83150037462624</v>
      </c>
      <c r="I596" s="26" t="n">
        <v>-1.83150037462624</v>
      </c>
      <c r="J596" s="26" t="n">
        <v>7.59</v>
      </c>
      <c r="K596" s="27" t="n">
        <f aca="false">MIN(F596,G596)</f>
        <v>-4.98849962537376</v>
      </c>
      <c r="L596" s="27" t="n">
        <f aca="false">AVERAGE(F596,G596)</f>
        <v>-4.98849962537376</v>
      </c>
      <c r="M596" s="27" t="n">
        <f aca="false">MAX(0,NG-L596)</f>
        <v>4.28849962537376</v>
      </c>
      <c r="N596" s="27" t="n">
        <f aca="false">MAX(0,GWL-K596)</f>
        <v>3.48849962537376</v>
      </c>
      <c r="O596" s="27" t="n">
        <f aca="false">MAX(0,NG-MAX(K596,GWL))</f>
        <v>0.8</v>
      </c>
      <c r="P596" s="27" t="n">
        <f aca="false">E596/2+WS+SLOPE_A*O596+SLOPE_B*N596</f>
        <v>10.5054988761213</v>
      </c>
      <c r="Q596" s="28" t="str">
        <f aca="false">IF(AND(P596&lt;J596,N596&lt;=MAXOC),"Open cut","Shoring")</f>
        <v>Shoring</v>
      </c>
      <c r="R596" s="27" t="n">
        <f aca="false">IF(Q596="Shoring",D596,0)</f>
        <v>9.99999999987072</v>
      </c>
      <c r="S596" s="27" t="n">
        <f aca="false">MAX(0,GWL-L596)</f>
        <v>3.48849962537376</v>
      </c>
      <c r="T596" s="27" t="n">
        <f aca="false">MAX(0,NG-MAX(L596,GWL))</f>
        <v>0.8</v>
      </c>
      <c r="U596" s="27" t="n">
        <f aca="false">E596+2*WS</f>
        <v>4.65699925074753</v>
      </c>
      <c r="V596" s="27" t="n">
        <f aca="false">IF(Q596="Shoring",D596*M596*U596,0)</f>
        <v>199.715395419385</v>
      </c>
      <c r="W596" s="27" t="n">
        <f aca="false">IF(Q596="Open cut",D596*(U596*M596+SLOPE_B*S596^2+2*SLOPE_B*S596*T596+SLOPE_A*T596^2),0)</f>
        <v>0</v>
      </c>
      <c r="X596" s="27" t="n">
        <f aca="false">IF(M596&gt;0,D596*(E596+2*SLABOVH)*SLAB,0)</f>
        <v>18.2849962535012</v>
      </c>
      <c r="Y596" s="27" t="n">
        <f aca="false">IF(M596&gt;0,D596*PI()*E596^2/4,0)</f>
        <v>55.4463223167489</v>
      </c>
      <c r="Z596" s="27" t="n">
        <f aca="false">IF(H596-E596&gt;=GWL,99,E596*(MAX(0,GWL-H596)*(GAM_S-GAM_W)+MAX(0,NG-MAX(H596,GWL))*GAM_D)/(GAM_W*PI()*E596^2/4))</f>
        <v>0.836038505066762</v>
      </c>
      <c r="AA596" s="27" t="n">
        <f aca="false">IF(I596-E596&gt;=GWL,99,E596*(MAX(0,GWL-I596)*(GAM_S-GAM_W)+MAX(0,NG-MAX(I596,GWL))*GAM_D)/(GAM_W*PI()*E596^2/4))</f>
        <v>0.836038505066762</v>
      </c>
      <c r="AB596" s="27" t="n">
        <f aca="false">IF(H596-E596&gt;=GWL,99,E596*(MAX(0,GWL-H596)*(GAM_S-GAM_W)+MAX(0,FL-MAX(H596,GWL))*GAM_D)/(GAM_W*PI()*E596^2/4))</f>
        <v>2.3307972599731</v>
      </c>
      <c r="AC596" s="27" t="n">
        <f aca="false">IF(I596-E596&gt;=GWL,99,E596*(MAX(0,GWL-I596)*(GAM_S-GAM_W)+MAX(0,FL-MAX(I596,GWL))*GAM_D)/(GAM_W*PI()*E596^2/4))</f>
        <v>2.3307972599731</v>
      </c>
    </row>
    <row r="597" customFormat="false" ht="15" hidden="false" customHeight="false" outlineLevel="0" collapsed="false">
      <c r="A597" s="25" t="s">
        <v>1075</v>
      </c>
      <c r="B597" s="25" t="s">
        <v>1125</v>
      </c>
      <c r="C597" s="25" t="s">
        <v>1128</v>
      </c>
      <c r="D597" s="26" t="n">
        <v>9.99999999993155</v>
      </c>
      <c r="E597" s="26" t="n">
        <v>2.65699925074753</v>
      </c>
      <c r="F597" s="26" t="n">
        <v>-4.98849962537376</v>
      </c>
      <c r="G597" s="26" t="n">
        <v>-4.98849962537376</v>
      </c>
      <c r="H597" s="26" t="n">
        <v>-1.83150037462624</v>
      </c>
      <c r="I597" s="26" t="n">
        <v>-1.83150037462624</v>
      </c>
      <c r="J597" s="26" t="n">
        <v>5.21</v>
      </c>
      <c r="K597" s="27" t="n">
        <f aca="false">MIN(F597,G597)</f>
        <v>-4.98849962537376</v>
      </c>
      <c r="L597" s="27" t="n">
        <f aca="false">AVERAGE(F597,G597)</f>
        <v>-4.98849962537376</v>
      </c>
      <c r="M597" s="27" t="n">
        <f aca="false">MAX(0,NG-L597)</f>
        <v>4.28849962537376</v>
      </c>
      <c r="N597" s="27" t="n">
        <f aca="false">MAX(0,GWL-K597)</f>
        <v>3.48849962537376</v>
      </c>
      <c r="O597" s="27" t="n">
        <f aca="false">MAX(0,NG-MAX(K597,GWL))</f>
        <v>0.8</v>
      </c>
      <c r="P597" s="27" t="n">
        <f aca="false">E597/2+WS+SLOPE_A*O597+SLOPE_B*N597</f>
        <v>10.5054988761213</v>
      </c>
      <c r="Q597" s="28" t="str">
        <f aca="false">IF(AND(P597&lt;J597,N597&lt;=MAXOC),"Open cut","Shoring")</f>
        <v>Shoring</v>
      </c>
      <c r="R597" s="27" t="n">
        <f aca="false">IF(Q597="Shoring",D597,0)</f>
        <v>9.99999999993155</v>
      </c>
      <c r="S597" s="27" t="n">
        <f aca="false">MAX(0,GWL-L597)</f>
        <v>3.48849962537376</v>
      </c>
      <c r="T597" s="27" t="n">
        <f aca="false">MAX(0,NG-MAX(L597,GWL))</f>
        <v>0.8</v>
      </c>
      <c r="U597" s="27" t="n">
        <f aca="false">E597+2*WS</f>
        <v>4.65699925074753</v>
      </c>
      <c r="V597" s="27" t="n">
        <f aca="false">IF(Q597="Shoring",D597*M597*U597,0)</f>
        <v>199.715395420599</v>
      </c>
      <c r="W597" s="27" t="n">
        <f aca="false">IF(Q597="Open cut",D597*(U597*M597+SLOPE_B*S597^2+2*SLOPE_B*S597*T597+SLOPE_A*T597^2),0)</f>
        <v>0</v>
      </c>
      <c r="X597" s="27" t="n">
        <f aca="false">IF(M597&gt;0,D597*(E597+2*SLABOVH)*SLAB,0)</f>
        <v>18.2849962536125</v>
      </c>
      <c r="Y597" s="27" t="n">
        <f aca="false">IF(M597&gt;0,D597*PI()*E597^2/4,0)</f>
        <v>55.4463223170861</v>
      </c>
      <c r="Z597" s="27" t="n">
        <f aca="false">IF(H597-E597&gt;=GWL,99,E597*(MAX(0,GWL-H597)*(GAM_S-GAM_W)+MAX(0,NG-MAX(H597,GWL))*GAM_D)/(GAM_W*PI()*E597^2/4))</f>
        <v>0.836038505066762</v>
      </c>
      <c r="AA597" s="27" t="n">
        <f aca="false">IF(I597-E597&gt;=GWL,99,E597*(MAX(0,GWL-I597)*(GAM_S-GAM_W)+MAX(0,NG-MAX(I597,GWL))*GAM_D)/(GAM_W*PI()*E597^2/4))</f>
        <v>0.836038505066762</v>
      </c>
      <c r="AB597" s="27" t="n">
        <f aca="false">IF(H597-E597&gt;=GWL,99,E597*(MAX(0,GWL-H597)*(GAM_S-GAM_W)+MAX(0,FL-MAX(H597,GWL))*GAM_D)/(GAM_W*PI()*E597^2/4))</f>
        <v>2.3307972599731</v>
      </c>
      <c r="AC597" s="27" t="n">
        <f aca="false">IF(I597-E597&gt;=GWL,99,E597*(MAX(0,GWL-I597)*(GAM_S-GAM_W)+MAX(0,FL-MAX(I597,GWL))*GAM_D)/(GAM_W*PI()*E597^2/4))</f>
        <v>2.3307972599731</v>
      </c>
    </row>
    <row r="598" customFormat="false" ht="15" hidden="false" customHeight="false" outlineLevel="0" collapsed="false">
      <c r="A598" s="25" t="s">
        <v>1075</v>
      </c>
      <c r="B598" s="25" t="s">
        <v>1125</v>
      </c>
      <c r="C598" s="25" t="s">
        <v>1129</v>
      </c>
      <c r="D598" s="26" t="n">
        <v>9.99999999987072</v>
      </c>
      <c r="E598" s="26" t="n">
        <v>2.65699925074753</v>
      </c>
      <c r="F598" s="26" t="n">
        <v>-4.98849962537376</v>
      </c>
      <c r="G598" s="26" t="n">
        <v>-4.98849962537376</v>
      </c>
      <c r="H598" s="26" t="n">
        <v>-1.83150037462624</v>
      </c>
      <c r="I598" s="26" t="n">
        <v>-1.83150037462624</v>
      </c>
      <c r="J598" s="26" t="n">
        <v>5.04</v>
      </c>
      <c r="K598" s="27" t="n">
        <f aca="false">MIN(F598,G598)</f>
        <v>-4.98849962537376</v>
      </c>
      <c r="L598" s="27" t="n">
        <f aca="false">AVERAGE(F598,G598)</f>
        <v>-4.98849962537376</v>
      </c>
      <c r="M598" s="27" t="n">
        <f aca="false">MAX(0,NG-L598)</f>
        <v>4.28849962537376</v>
      </c>
      <c r="N598" s="27" t="n">
        <f aca="false">MAX(0,GWL-K598)</f>
        <v>3.48849962537376</v>
      </c>
      <c r="O598" s="27" t="n">
        <f aca="false">MAX(0,NG-MAX(K598,GWL))</f>
        <v>0.8</v>
      </c>
      <c r="P598" s="27" t="n">
        <f aca="false">E598/2+WS+SLOPE_A*O598+SLOPE_B*N598</f>
        <v>10.5054988761213</v>
      </c>
      <c r="Q598" s="28" t="str">
        <f aca="false">IF(AND(P598&lt;J598,N598&lt;=MAXOC),"Open cut","Shoring")</f>
        <v>Shoring</v>
      </c>
      <c r="R598" s="27" t="n">
        <f aca="false">IF(Q598="Shoring",D598,0)</f>
        <v>9.99999999987072</v>
      </c>
      <c r="S598" s="27" t="n">
        <f aca="false">MAX(0,GWL-L598)</f>
        <v>3.48849962537376</v>
      </c>
      <c r="T598" s="27" t="n">
        <f aca="false">MAX(0,NG-MAX(L598,GWL))</f>
        <v>0.8</v>
      </c>
      <c r="U598" s="27" t="n">
        <f aca="false">E598+2*WS</f>
        <v>4.65699925074753</v>
      </c>
      <c r="V598" s="27" t="n">
        <f aca="false">IF(Q598="Shoring",D598*M598*U598,0)</f>
        <v>199.715395419385</v>
      </c>
      <c r="W598" s="27" t="n">
        <f aca="false">IF(Q598="Open cut",D598*(U598*M598+SLOPE_B*S598^2+2*SLOPE_B*S598*T598+SLOPE_A*T598^2),0)</f>
        <v>0</v>
      </c>
      <c r="X598" s="27" t="n">
        <f aca="false">IF(M598&gt;0,D598*(E598+2*SLABOVH)*SLAB,0)</f>
        <v>18.2849962535012</v>
      </c>
      <c r="Y598" s="27" t="n">
        <f aca="false">IF(M598&gt;0,D598*PI()*E598^2/4,0)</f>
        <v>55.4463223167489</v>
      </c>
      <c r="Z598" s="27" t="n">
        <f aca="false">IF(H598-E598&gt;=GWL,99,E598*(MAX(0,GWL-H598)*(GAM_S-GAM_W)+MAX(0,NG-MAX(H598,GWL))*GAM_D)/(GAM_W*PI()*E598^2/4))</f>
        <v>0.836038505066762</v>
      </c>
      <c r="AA598" s="27" t="n">
        <f aca="false">IF(I598-E598&gt;=GWL,99,E598*(MAX(0,GWL-I598)*(GAM_S-GAM_W)+MAX(0,NG-MAX(I598,GWL))*GAM_D)/(GAM_W*PI()*E598^2/4))</f>
        <v>0.836038505066762</v>
      </c>
      <c r="AB598" s="27" t="n">
        <f aca="false">IF(H598-E598&gt;=GWL,99,E598*(MAX(0,GWL-H598)*(GAM_S-GAM_W)+MAX(0,FL-MAX(H598,GWL))*GAM_D)/(GAM_W*PI()*E598^2/4))</f>
        <v>2.3307972599731</v>
      </c>
      <c r="AC598" s="27" t="n">
        <f aca="false">IF(I598-E598&gt;=GWL,99,E598*(MAX(0,GWL-I598)*(GAM_S-GAM_W)+MAX(0,FL-MAX(I598,GWL))*GAM_D)/(GAM_W*PI()*E598^2/4))</f>
        <v>2.3307972599731</v>
      </c>
    </row>
    <row r="599" customFormat="false" ht="15" hidden="false" customHeight="false" outlineLevel="0" collapsed="false">
      <c r="A599" s="25" t="s">
        <v>1075</v>
      </c>
      <c r="B599" s="25" t="s">
        <v>1125</v>
      </c>
      <c r="C599" s="25" t="s">
        <v>1130</v>
      </c>
      <c r="D599" s="26" t="n">
        <v>9.99999999987072</v>
      </c>
      <c r="E599" s="26" t="n">
        <v>2.65699925074753</v>
      </c>
      <c r="F599" s="26" t="n">
        <v>-4.98849962537376</v>
      </c>
      <c r="G599" s="26" t="n">
        <v>-4.98849962537376</v>
      </c>
      <c r="H599" s="26" t="n">
        <v>-1.83150037462624</v>
      </c>
      <c r="I599" s="26" t="n">
        <v>-1.83150037462624</v>
      </c>
      <c r="J599" s="26" t="n">
        <v>5.67</v>
      </c>
      <c r="K599" s="27" t="n">
        <f aca="false">MIN(F599,G599)</f>
        <v>-4.98849962537376</v>
      </c>
      <c r="L599" s="27" t="n">
        <f aca="false">AVERAGE(F599,G599)</f>
        <v>-4.98849962537376</v>
      </c>
      <c r="M599" s="27" t="n">
        <f aca="false">MAX(0,NG-L599)</f>
        <v>4.28849962537376</v>
      </c>
      <c r="N599" s="27" t="n">
        <f aca="false">MAX(0,GWL-K599)</f>
        <v>3.48849962537376</v>
      </c>
      <c r="O599" s="27" t="n">
        <f aca="false">MAX(0,NG-MAX(K599,GWL))</f>
        <v>0.8</v>
      </c>
      <c r="P599" s="27" t="n">
        <f aca="false">E599/2+WS+SLOPE_A*O599+SLOPE_B*N599</f>
        <v>10.5054988761213</v>
      </c>
      <c r="Q599" s="28" t="str">
        <f aca="false">IF(AND(P599&lt;J599,N599&lt;=MAXOC),"Open cut","Shoring")</f>
        <v>Shoring</v>
      </c>
      <c r="R599" s="27" t="n">
        <f aca="false">IF(Q599="Shoring",D599,0)</f>
        <v>9.99999999987072</v>
      </c>
      <c r="S599" s="27" t="n">
        <f aca="false">MAX(0,GWL-L599)</f>
        <v>3.48849962537376</v>
      </c>
      <c r="T599" s="27" t="n">
        <f aca="false">MAX(0,NG-MAX(L599,GWL))</f>
        <v>0.8</v>
      </c>
      <c r="U599" s="27" t="n">
        <f aca="false">E599+2*WS</f>
        <v>4.65699925074753</v>
      </c>
      <c r="V599" s="27" t="n">
        <f aca="false">IF(Q599="Shoring",D599*M599*U599,0)</f>
        <v>199.715395419385</v>
      </c>
      <c r="W599" s="27" t="n">
        <f aca="false">IF(Q599="Open cut",D599*(U599*M599+SLOPE_B*S599^2+2*SLOPE_B*S599*T599+SLOPE_A*T599^2),0)</f>
        <v>0</v>
      </c>
      <c r="X599" s="27" t="n">
        <f aca="false">IF(M599&gt;0,D599*(E599+2*SLABOVH)*SLAB,0)</f>
        <v>18.2849962535012</v>
      </c>
      <c r="Y599" s="27" t="n">
        <f aca="false">IF(M599&gt;0,D599*PI()*E599^2/4,0)</f>
        <v>55.4463223167489</v>
      </c>
      <c r="Z599" s="27" t="n">
        <f aca="false">IF(H599-E599&gt;=GWL,99,E599*(MAX(0,GWL-H599)*(GAM_S-GAM_W)+MAX(0,NG-MAX(H599,GWL))*GAM_D)/(GAM_W*PI()*E599^2/4))</f>
        <v>0.836038505066762</v>
      </c>
      <c r="AA599" s="27" t="n">
        <f aca="false">IF(I599-E599&gt;=GWL,99,E599*(MAX(0,GWL-I599)*(GAM_S-GAM_W)+MAX(0,NG-MAX(I599,GWL))*GAM_D)/(GAM_W*PI()*E599^2/4))</f>
        <v>0.836038505066762</v>
      </c>
      <c r="AB599" s="27" t="n">
        <f aca="false">IF(H599-E599&gt;=GWL,99,E599*(MAX(0,GWL-H599)*(GAM_S-GAM_W)+MAX(0,FL-MAX(H599,GWL))*GAM_D)/(GAM_W*PI()*E599^2/4))</f>
        <v>2.3307972599731</v>
      </c>
      <c r="AC599" s="27" t="n">
        <f aca="false">IF(I599-E599&gt;=GWL,99,E599*(MAX(0,GWL-I599)*(GAM_S-GAM_W)+MAX(0,FL-MAX(I599,GWL))*GAM_D)/(GAM_W*PI()*E599^2/4))</f>
        <v>2.3307972599731</v>
      </c>
    </row>
    <row r="600" customFormat="false" ht="15" hidden="false" customHeight="false" outlineLevel="0" collapsed="false">
      <c r="A600" s="25" t="s">
        <v>1075</v>
      </c>
      <c r="B600" s="25" t="s">
        <v>1125</v>
      </c>
      <c r="C600" s="25" t="s">
        <v>1131</v>
      </c>
      <c r="D600" s="26" t="n">
        <v>7.11400000018495</v>
      </c>
      <c r="E600" s="26" t="n">
        <v>2.65699925074753</v>
      </c>
      <c r="F600" s="26" t="n">
        <v>-4.98849962537376</v>
      </c>
      <c r="G600" s="26" t="n">
        <v>-4.98849962537376</v>
      </c>
      <c r="H600" s="26" t="n">
        <v>-1.83150037462624</v>
      </c>
      <c r="I600" s="26" t="n">
        <v>-1.83150037462624</v>
      </c>
      <c r="J600" s="26" t="n">
        <v>8.86</v>
      </c>
      <c r="K600" s="27" t="n">
        <f aca="false">MIN(F600,G600)</f>
        <v>-4.98849962537376</v>
      </c>
      <c r="L600" s="27" t="n">
        <f aca="false">AVERAGE(F600,G600)</f>
        <v>-4.98849962537376</v>
      </c>
      <c r="M600" s="27" t="n">
        <f aca="false">MAX(0,NG-L600)</f>
        <v>4.28849962537376</v>
      </c>
      <c r="N600" s="27" t="n">
        <f aca="false">MAX(0,GWL-K600)</f>
        <v>3.48849962537376</v>
      </c>
      <c r="O600" s="27" t="n">
        <f aca="false">MAX(0,NG-MAX(K600,GWL))</f>
        <v>0.8</v>
      </c>
      <c r="P600" s="27" t="n">
        <f aca="false">E600/2+WS+SLOPE_A*O600+SLOPE_B*N600</f>
        <v>10.5054988761213</v>
      </c>
      <c r="Q600" s="28" t="str">
        <f aca="false">IF(AND(P600&lt;J600,N600&lt;=MAXOC),"Open cut","Shoring")</f>
        <v>Shoring</v>
      </c>
      <c r="R600" s="27" t="n">
        <f aca="false">IF(Q600="Shoring",D600,0)</f>
        <v>7.11400000018495</v>
      </c>
      <c r="S600" s="27" t="n">
        <f aca="false">MAX(0,GWL-L600)</f>
        <v>3.48849962537376</v>
      </c>
      <c r="T600" s="27" t="n">
        <f aca="false">MAX(0,NG-MAX(L600,GWL))</f>
        <v>0.8</v>
      </c>
      <c r="U600" s="27" t="n">
        <f aca="false">E600+2*WS</f>
        <v>4.65699925074753</v>
      </c>
      <c r="V600" s="27" t="n">
        <f aca="false">IF(Q600="Shoring",D600*M600*U600,0)</f>
        <v>142.077532306881</v>
      </c>
      <c r="W600" s="27" t="n">
        <f aca="false">IF(Q600="Open cut",D600*(U600*M600+SLOPE_B*S600^2+2*SLOPE_B*S600*T600+SLOPE_A*T600^2),0)</f>
        <v>0</v>
      </c>
      <c r="X600" s="27" t="n">
        <f aca="false">IF(M600&gt;0,D600*(E600+2*SLABOVH)*SLAB,0)</f>
        <v>13.0079463352471</v>
      </c>
      <c r="Y600" s="27" t="n">
        <f aca="false">IF(M600&gt;0,D600*PI()*E600^2/4,0)</f>
        <v>39.4445136976706</v>
      </c>
      <c r="Z600" s="27" t="n">
        <f aca="false">IF(H600-E600&gt;=GWL,99,E600*(MAX(0,GWL-H600)*(GAM_S-GAM_W)+MAX(0,NG-MAX(H600,GWL))*GAM_D)/(GAM_W*PI()*E600^2/4))</f>
        <v>0.836038505066762</v>
      </c>
      <c r="AA600" s="27" t="n">
        <f aca="false">IF(I600-E600&gt;=GWL,99,E600*(MAX(0,GWL-I600)*(GAM_S-GAM_W)+MAX(0,NG-MAX(I600,GWL))*GAM_D)/(GAM_W*PI()*E600^2/4))</f>
        <v>0.836038505066762</v>
      </c>
      <c r="AB600" s="27" t="n">
        <f aca="false">IF(H600-E600&gt;=GWL,99,E600*(MAX(0,GWL-H600)*(GAM_S-GAM_W)+MAX(0,FL-MAX(H600,GWL))*GAM_D)/(GAM_W*PI()*E600^2/4))</f>
        <v>2.3307972599731</v>
      </c>
      <c r="AC600" s="27" t="n">
        <f aca="false">IF(I600-E600&gt;=GWL,99,E600*(MAX(0,GWL-I600)*(GAM_S-GAM_W)+MAX(0,FL-MAX(I600,GWL))*GAM_D)/(GAM_W*PI()*E600^2/4))</f>
        <v>2.3307972599731</v>
      </c>
    </row>
    <row r="601" customFormat="false" ht="15" hidden="false" customHeight="false" outlineLevel="0" collapsed="false">
      <c r="A601" s="25" t="s">
        <v>1075</v>
      </c>
      <c r="B601" s="25" t="s">
        <v>1132</v>
      </c>
      <c r="C601" s="25" t="s">
        <v>1133</v>
      </c>
      <c r="D601" s="26" t="n">
        <v>2.88600000087692</v>
      </c>
      <c r="E601" s="26" t="n">
        <v>2.65699925074753</v>
      </c>
      <c r="F601" s="26" t="n">
        <v>-4.98849962537376</v>
      </c>
      <c r="G601" s="26" t="n">
        <v>-4.98849962537376</v>
      </c>
      <c r="H601" s="26" t="n">
        <v>-1.83150037462624</v>
      </c>
      <c r="I601" s="26" t="n">
        <v>-1.83150037462624</v>
      </c>
      <c r="J601" s="26" t="n">
        <v>12.47</v>
      </c>
      <c r="K601" s="27" t="n">
        <f aca="false">MIN(F601,G601)</f>
        <v>-4.98849962537376</v>
      </c>
      <c r="L601" s="27" t="n">
        <f aca="false">AVERAGE(F601,G601)</f>
        <v>-4.98849962537376</v>
      </c>
      <c r="M601" s="27" t="n">
        <f aca="false">MAX(0,NG-L601)</f>
        <v>4.28849962537376</v>
      </c>
      <c r="N601" s="27" t="n">
        <f aca="false">MAX(0,GWL-K601)</f>
        <v>3.48849962537376</v>
      </c>
      <c r="O601" s="27" t="n">
        <f aca="false">MAX(0,NG-MAX(K601,GWL))</f>
        <v>0.8</v>
      </c>
      <c r="P601" s="27" t="n">
        <f aca="false">E601/2+WS+SLOPE_A*O601+SLOPE_B*N601</f>
        <v>10.5054988761213</v>
      </c>
      <c r="Q601" s="28" t="str">
        <f aca="false">IF(AND(P601&lt;J601,N601&lt;=MAXOC),"Open cut","Shoring")</f>
        <v>Shoring</v>
      </c>
      <c r="R601" s="27" t="n">
        <f aca="false">IF(Q601="Shoring",D601,0)</f>
        <v>2.88600000087692</v>
      </c>
      <c r="S601" s="27" t="n">
        <f aca="false">MAX(0,GWL-L601)</f>
        <v>3.48849962537376</v>
      </c>
      <c r="T601" s="27" t="n">
        <f aca="false">MAX(0,NG-MAX(L601,GWL))</f>
        <v>0.8</v>
      </c>
      <c r="U601" s="27" t="n">
        <f aca="false">E601+2*WS</f>
        <v>4.65699925074753</v>
      </c>
      <c r="V601" s="27" t="n">
        <f aca="false">IF(Q601="Shoring",D601*M601*U601,0)</f>
        <v>57.6378631362929</v>
      </c>
      <c r="W601" s="27" t="n">
        <f aca="false">IF(Q601="Open cut",D601*(U601*M601+SLOPE_B*S601^2+2*SLOPE_B*S601*T601+SLOPE_A*T601^2),0)</f>
        <v>0</v>
      </c>
      <c r="X601" s="27" t="n">
        <f aca="false">IF(M601&gt;0,D601*(E601+2*SLABOVH)*SLAB,0)</f>
        <v>5.27704992043212</v>
      </c>
      <c r="Y601" s="27" t="n">
        <f aca="false">IF(M601&gt;0,D601*PI()*E601^2/4,0)</f>
        <v>16.0018086256828</v>
      </c>
      <c r="Z601" s="27" t="n">
        <f aca="false">IF(H601-E601&gt;=GWL,99,E601*(MAX(0,GWL-H601)*(GAM_S-GAM_W)+MAX(0,NG-MAX(H601,GWL))*GAM_D)/(GAM_W*PI()*E601^2/4))</f>
        <v>0.836038505066762</v>
      </c>
      <c r="AA601" s="27" t="n">
        <f aca="false">IF(I601-E601&gt;=GWL,99,E601*(MAX(0,GWL-I601)*(GAM_S-GAM_W)+MAX(0,NG-MAX(I601,GWL))*GAM_D)/(GAM_W*PI()*E601^2/4))</f>
        <v>0.836038505066762</v>
      </c>
      <c r="AB601" s="27" t="n">
        <f aca="false">IF(H601-E601&gt;=GWL,99,E601*(MAX(0,GWL-H601)*(GAM_S-GAM_W)+MAX(0,FL-MAX(H601,GWL))*GAM_D)/(GAM_W*PI()*E601^2/4))</f>
        <v>2.3307972599731</v>
      </c>
      <c r="AC601" s="27" t="n">
        <f aca="false">IF(I601-E601&gt;=GWL,99,E601*(MAX(0,GWL-I601)*(GAM_S-GAM_W)+MAX(0,FL-MAX(I601,GWL))*GAM_D)/(GAM_W*PI()*E601^2/4))</f>
        <v>2.3307972599731</v>
      </c>
    </row>
    <row r="602" customFormat="false" ht="15" hidden="false" customHeight="false" outlineLevel="0" collapsed="false">
      <c r="A602" s="25" t="s">
        <v>1075</v>
      </c>
      <c r="B602" s="25" t="s">
        <v>1132</v>
      </c>
      <c r="C602" s="25" t="s">
        <v>1134</v>
      </c>
      <c r="D602" s="26" t="n">
        <v>0.620142725972417</v>
      </c>
      <c r="E602" s="26" t="n">
        <v>2.65699925074753</v>
      </c>
      <c r="F602" s="26" t="n">
        <v>-4.98849962537376</v>
      </c>
      <c r="G602" s="26" t="n">
        <v>-4.98849962537376</v>
      </c>
      <c r="H602" s="26" t="n">
        <v>-1.83150037462624</v>
      </c>
      <c r="I602" s="26" t="n">
        <v>-1.83150037462624</v>
      </c>
      <c r="J602" s="26" t="n">
        <v>14.18</v>
      </c>
      <c r="K602" s="27" t="n">
        <f aca="false">MIN(F602,G602)</f>
        <v>-4.98849962537376</v>
      </c>
      <c r="L602" s="27" t="n">
        <f aca="false">AVERAGE(F602,G602)</f>
        <v>-4.98849962537376</v>
      </c>
      <c r="M602" s="27" t="n">
        <f aca="false">MAX(0,NG-L602)</f>
        <v>4.28849962537376</v>
      </c>
      <c r="N602" s="27" t="n">
        <f aca="false">MAX(0,GWL-K602)</f>
        <v>3.48849962537376</v>
      </c>
      <c r="O602" s="27" t="n">
        <f aca="false">MAX(0,NG-MAX(K602,GWL))</f>
        <v>0.8</v>
      </c>
      <c r="P602" s="27" t="n">
        <f aca="false">E602/2+WS+SLOPE_A*O602+SLOPE_B*N602</f>
        <v>10.5054988761213</v>
      </c>
      <c r="Q602" s="28" t="str">
        <f aca="false">IF(AND(P602&lt;J602,N602&lt;=MAXOC),"Open cut","Shoring")</f>
        <v>Shoring</v>
      </c>
      <c r="R602" s="27" t="n">
        <f aca="false">IF(Q602="Shoring",D602,0)</f>
        <v>0.620142725972417</v>
      </c>
      <c r="S602" s="27" t="n">
        <f aca="false">MAX(0,GWL-L602)</f>
        <v>3.48849962537376</v>
      </c>
      <c r="T602" s="27" t="n">
        <f aca="false">MAX(0,NG-MAX(L602,GWL))</f>
        <v>0.8</v>
      </c>
      <c r="U602" s="27" t="n">
        <f aca="false">E602+2*WS</f>
        <v>4.65699925074753</v>
      </c>
      <c r="V602" s="27" t="n">
        <f aca="false">IF(Q602="Shoring",D602*M602*U602,0)</f>
        <v>12.3852049735638</v>
      </c>
      <c r="W602" s="27" t="n">
        <f aca="false">IF(Q602="Open cut",D602*(U602*M602+SLOPE_B*S602^2+2*SLOPE_B*S602*T602+SLOPE_A*T602^2),0)</f>
        <v>0</v>
      </c>
      <c r="X602" s="27" t="n">
        <f aca="false">IF(M602&gt;0,D602*(E602+2*SLABOVH)*SLAB,0)</f>
        <v>1.13393074211883</v>
      </c>
      <c r="Y602" s="27" t="n">
        <f aca="false">IF(M602&gt;0,D602*PI()*E602^2/4,0)</f>
        <v>3.43846334670984</v>
      </c>
      <c r="Z602" s="27" t="n">
        <f aca="false">IF(H602-E602&gt;=GWL,99,E602*(MAX(0,GWL-H602)*(GAM_S-GAM_W)+MAX(0,NG-MAX(H602,GWL))*GAM_D)/(GAM_W*PI()*E602^2/4))</f>
        <v>0.836038505066762</v>
      </c>
      <c r="AA602" s="27" t="n">
        <f aca="false">IF(I602-E602&gt;=GWL,99,E602*(MAX(0,GWL-I602)*(GAM_S-GAM_W)+MAX(0,NG-MAX(I602,GWL))*GAM_D)/(GAM_W*PI()*E602^2/4))</f>
        <v>0.836038505066762</v>
      </c>
      <c r="AB602" s="27" t="n">
        <f aca="false">IF(H602-E602&gt;=GWL,99,E602*(MAX(0,GWL-H602)*(GAM_S-GAM_W)+MAX(0,FL-MAX(H602,GWL))*GAM_D)/(GAM_W*PI()*E602^2/4))</f>
        <v>2.3307972599731</v>
      </c>
      <c r="AC602" s="27" t="n">
        <f aca="false">IF(I602-E602&gt;=GWL,99,E602*(MAX(0,GWL-I602)*(GAM_S-GAM_W)+MAX(0,FL-MAX(I602,GWL))*GAM_D)/(GAM_W*PI()*E602^2/4))</f>
        <v>2.3307972599731</v>
      </c>
    </row>
    <row r="603" customFormat="false" ht="15" hidden="false" customHeight="false" outlineLevel="0" collapsed="false">
      <c r="A603" s="25" t="s">
        <v>1075</v>
      </c>
      <c r="B603" s="25" t="s">
        <v>1132</v>
      </c>
      <c r="C603" s="25" t="s">
        <v>1135</v>
      </c>
      <c r="D603" s="26" t="n">
        <v>2.49379860542343</v>
      </c>
      <c r="E603" s="26" t="n">
        <v>2.6569940259633</v>
      </c>
      <c r="F603" s="26" t="n">
        <v>-4.98849701298165</v>
      </c>
      <c r="G603" s="26" t="n">
        <v>-4.98849701298165</v>
      </c>
      <c r="H603" s="26" t="n">
        <v>-1.83150298701835</v>
      </c>
      <c r="I603" s="26" t="n">
        <v>-1.83150298701835</v>
      </c>
      <c r="J603" s="26" t="n">
        <v>14.57</v>
      </c>
      <c r="K603" s="27" t="n">
        <f aca="false">MIN(F603,G603)</f>
        <v>-4.98849701298165</v>
      </c>
      <c r="L603" s="27" t="n">
        <f aca="false">AVERAGE(F603,G603)</f>
        <v>-4.98849701298165</v>
      </c>
      <c r="M603" s="27" t="n">
        <f aca="false">MAX(0,NG-L603)</f>
        <v>4.28849701298165</v>
      </c>
      <c r="N603" s="27" t="n">
        <f aca="false">MAX(0,GWL-K603)</f>
        <v>3.48849701298165</v>
      </c>
      <c r="O603" s="27" t="n">
        <f aca="false">MAX(0,NG-MAX(K603,GWL))</f>
        <v>0.8</v>
      </c>
      <c r="P603" s="27" t="n">
        <f aca="false">E603/2+WS+SLOPE_A*O603+SLOPE_B*N603</f>
        <v>10.505491038945</v>
      </c>
      <c r="Q603" s="28" t="str">
        <f aca="false">IF(AND(P603&lt;J603,N603&lt;=MAXOC),"Open cut","Shoring")</f>
        <v>Shoring</v>
      </c>
      <c r="R603" s="27" t="n">
        <f aca="false">IF(Q603="Shoring",D603,0)</f>
        <v>2.49379860542343</v>
      </c>
      <c r="S603" s="27" t="n">
        <f aca="false">MAX(0,GWL-L603)</f>
        <v>3.48849701298165</v>
      </c>
      <c r="T603" s="27" t="n">
        <f aca="false">MAX(0,NG-MAX(L603,GWL))</f>
        <v>0.8</v>
      </c>
      <c r="U603" s="27" t="n">
        <f aca="false">E603+2*WS</f>
        <v>4.6569940259633</v>
      </c>
      <c r="V603" s="27" t="n">
        <f aca="false">IF(Q603="Shoring",D603*M603*U603,0)</f>
        <v>49.8049112419368</v>
      </c>
      <c r="W603" s="27" t="n">
        <f aca="false">IF(Q603="Open cut",D603*(U603*M603+SLOPE_B*S603^2+2*SLOPE_B*S603*T603+SLOPE_A*T603^2),0)</f>
        <v>0</v>
      </c>
      <c r="X603" s="27" t="n">
        <f aca="false">IF(M603&gt;0,D603*(E603+2*SLABOVH)*SLAB,0)</f>
        <v>4.55990330099455</v>
      </c>
      <c r="Y603" s="27" t="n">
        <f aca="false">IF(M603&gt;0,D603*PI()*E603^2/4,0)</f>
        <v>13.8271417469381</v>
      </c>
      <c r="Z603" s="27" t="n">
        <f aca="false">IF(H603-E603&gt;=GWL,99,E603*(MAX(0,GWL-H603)*(GAM_S-GAM_W)+MAX(0,NG-MAX(H603,GWL))*GAM_D)/(GAM_W*PI()*E603^2/4))</f>
        <v>0.836041194211253</v>
      </c>
      <c r="AA603" s="27" t="n">
        <f aca="false">IF(I603-E603&gt;=GWL,99,E603*(MAX(0,GWL-I603)*(GAM_S-GAM_W)+MAX(0,NG-MAX(I603,GWL))*GAM_D)/(GAM_W*PI()*E603^2/4))</f>
        <v>0.836041194211253</v>
      </c>
      <c r="AB603" s="27" t="n">
        <f aca="false">IF(H603-E603&gt;=GWL,99,E603*(MAX(0,GWL-H603)*(GAM_S-GAM_W)+MAX(0,FL-MAX(H603,GWL))*GAM_D)/(GAM_W*PI()*E603^2/4))</f>
        <v>2.33080288845125</v>
      </c>
      <c r="AC603" s="27" t="n">
        <f aca="false">IF(I603-E603&gt;=GWL,99,E603*(MAX(0,GWL-I603)*(GAM_S-GAM_W)+MAX(0,FL-MAX(I603,GWL))*GAM_D)/(GAM_W*PI()*E603^2/4))</f>
        <v>2.33080288845125</v>
      </c>
    </row>
    <row r="604" customFormat="false" ht="15" hidden="false" customHeight="false" outlineLevel="0" collapsed="false">
      <c r="A604" s="25" t="s">
        <v>1136</v>
      </c>
      <c r="B604" s="25" t="s">
        <v>1137</v>
      </c>
      <c r="C604" s="25" t="s">
        <v>1138</v>
      </c>
      <c r="D604" s="26" t="n">
        <v>10.0000000001066</v>
      </c>
      <c r="E604" s="26" t="n">
        <v>2.6900070694241</v>
      </c>
      <c r="F604" s="26" t="n">
        <v>-3.17500353471205</v>
      </c>
      <c r="G604" s="26" t="n">
        <v>-3.17500353471205</v>
      </c>
      <c r="H604" s="26" t="n">
        <v>0.0150035347120485</v>
      </c>
      <c r="I604" s="26" t="n">
        <v>0.0150035347120485</v>
      </c>
      <c r="J604" s="26" t="n">
        <v>18.93</v>
      </c>
      <c r="K604" s="27" t="n">
        <f aca="false">MIN(F604,G604)</f>
        <v>-3.17500353471205</v>
      </c>
      <c r="L604" s="27" t="n">
        <f aca="false">AVERAGE(F604,G604)</f>
        <v>-3.17500353471205</v>
      </c>
      <c r="M604" s="27" t="n">
        <f aca="false">MAX(0,NG-L604)</f>
        <v>2.47500353471205</v>
      </c>
      <c r="N604" s="27" t="n">
        <f aca="false">MAX(0,GWL-K604)</f>
        <v>1.67500353471205</v>
      </c>
      <c r="O604" s="27" t="n">
        <f aca="false">MAX(0,NG-MAX(K604,GWL))</f>
        <v>0.8</v>
      </c>
      <c r="P604" s="27" t="n">
        <f aca="false">E604/2+WS+SLOPE_A*O604+SLOPE_B*N604</f>
        <v>6.89501060413615</v>
      </c>
      <c r="Q604" s="28" t="str">
        <f aca="false">IF(AND(P604&lt;J604,N604&lt;=MAXOC),"Open cut","Shoring")</f>
        <v>Open cut</v>
      </c>
      <c r="R604" s="27" t="n">
        <f aca="false">IF(Q604="Shoring",D604,0)</f>
        <v>0</v>
      </c>
      <c r="S604" s="27" t="n">
        <f aca="false">MAX(0,GWL-L604)</f>
        <v>1.67500353471205</v>
      </c>
      <c r="T604" s="27" t="n">
        <f aca="false">MAX(0,NG-MAX(L604,GWL))</f>
        <v>0.8</v>
      </c>
      <c r="U604" s="27" t="n">
        <f aca="false">E604+2*WS</f>
        <v>4.6900070694241</v>
      </c>
      <c r="V604" s="27" t="n">
        <f aca="false">IF(Q604="Shoring",D604*M604*U604,0)</f>
        <v>0</v>
      </c>
      <c r="W604" s="27" t="n">
        <f aca="false">IF(Q604="Open cut",D604*(U604*M604+SLOPE_B*S604^2+2*SLOPE_B*S604*T604+SLOPE_A*T604^2),0)</f>
        <v>235.390690685743</v>
      </c>
      <c r="X604" s="27" t="n">
        <f aca="false">IF(M604&gt;0,D604*(E604+2*SLABOVH)*SLAB,0)</f>
        <v>18.4500353473171</v>
      </c>
      <c r="Y604" s="27" t="n">
        <f aca="false">IF(M604&gt;0,D604*PI()*E604^2/4,0)</f>
        <v>56.8324952170243</v>
      </c>
      <c r="Z604" s="27" t="n">
        <f aca="false">IF(H604-E604&gt;=GWL,99,E604*(MAX(0,GWL-H604)*(GAM_S-GAM_W)+MAX(0,NG-MAX(H604,GWL))*GAM_D)/(GAM_W*PI()*E604^2/4))</f>
        <v>0</v>
      </c>
      <c r="AA604" s="27" t="n">
        <f aca="false">IF(I604-E604&gt;=GWL,99,E604*(MAX(0,GWL-I604)*(GAM_S-GAM_W)+MAX(0,NG-MAX(I604,GWL))*GAM_D)/(GAM_W*PI()*E604^2/4))</f>
        <v>0</v>
      </c>
      <c r="AB604" s="27" t="n">
        <f aca="false">IF(H604-E604&gt;=GWL,99,E604*(MAX(0,GWL-H604)*(GAM_S-GAM_W)+MAX(0,FL-MAX(H604,GWL))*GAM_D)/(GAM_W*PI()*E604^2/4))</f>
        <v>0.855450465617484</v>
      </c>
      <c r="AC604" s="27" t="n">
        <f aca="false">IF(I604-E604&gt;=GWL,99,E604*(MAX(0,GWL-I604)*(GAM_S-GAM_W)+MAX(0,FL-MAX(I604,GWL))*GAM_D)/(GAM_W*PI()*E604^2/4))</f>
        <v>0.855450465617484</v>
      </c>
    </row>
    <row r="605" customFormat="false" ht="15" hidden="false" customHeight="false" outlineLevel="0" collapsed="false">
      <c r="A605" s="25" t="s">
        <v>1136</v>
      </c>
      <c r="B605" s="25" t="s">
        <v>1137</v>
      </c>
      <c r="C605" s="25" t="s">
        <v>1139</v>
      </c>
      <c r="D605" s="26" t="n">
        <v>8.66289999966429</v>
      </c>
      <c r="E605" s="26" t="n">
        <v>2.6900070694241</v>
      </c>
      <c r="F605" s="26" t="n">
        <v>-3.17500353471205</v>
      </c>
      <c r="G605" s="26" t="n">
        <v>-3.17500353471205</v>
      </c>
      <c r="H605" s="26" t="n">
        <v>0.0150035347120485</v>
      </c>
      <c r="I605" s="26" t="n">
        <v>0.0150035347120485</v>
      </c>
      <c r="J605" s="26" t="n">
        <v>18.92</v>
      </c>
      <c r="K605" s="27" t="n">
        <f aca="false">MIN(F605,G605)</f>
        <v>-3.17500353471205</v>
      </c>
      <c r="L605" s="27" t="n">
        <f aca="false">AVERAGE(F605,G605)</f>
        <v>-3.17500353471205</v>
      </c>
      <c r="M605" s="27" t="n">
        <f aca="false">MAX(0,NG-L605)</f>
        <v>2.47500353471205</v>
      </c>
      <c r="N605" s="27" t="n">
        <f aca="false">MAX(0,GWL-K605)</f>
        <v>1.67500353471205</v>
      </c>
      <c r="O605" s="27" t="n">
        <f aca="false">MAX(0,NG-MAX(K605,GWL))</f>
        <v>0.8</v>
      </c>
      <c r="P605" s="27" t="n">
        <f aca="false">E605/2+WS+SLOPE_A*O605+SLOPE_B*N605</f>
        <v>6.89501060413615</v>
      </c>
      <c r="Q605" s="28" t="str">
        <f aca="false">IF(AND(P605&lt;J605,N605&lt;=MAXOC),"Open cut","Shoring")</f>
        <v>Open cut</v>
      </c>
      <c r="R605" s="27" t="n">
        <f aca="false">IF(Q605="Shoring",D605,0)</f>
        <v>0</v>
      </c>
      <c r="S605" s="27" t="n">
        <f aca="false">MAX(0,GWL-L605)</f>
        <v>1.67500353471205</v>
      </c>
      <c r="T605" s="27" t="n">
        <f aca="false">MAX(0,NG-MAX(L605,GWL))</f>
        <v>0.8</v>
      </c>
      <c r="U605" s="27" t="n">
        <f aca="false">E605+2*WS</f>
        <v>4.6900070694241</v>
      </c>
      <c r="V605" s="27" t="n">
        <f aca="false">IF(Q605="Shoring",D605*M605*U605,0)</f>
        <v>0</v>
      </c>
      <c r="W605" s="27" t="n">
        <f aca="false">IF(Q605="Open cut",D605*(U605*M605+SLOPE_B*S605^2+2*SLOPE_B*S605*T605+SLOPE_A*T605^2),0)</f>
        <v>203.916601424076</v>
      </c>
      <c r="X605" s="27" t="n">
        <f aca="false">IF(M605&gt;0,D605*(E605+2*SLABOVH)*SLAB,0)</f>
        <v>15.9830811202376</v>
      </c>
      <c r="Y605" s="27" t="n">
        <f aca="false">IF(M605&gt;0,D605*PI()*E605^2/4,0)</f>
        <v>49.2334222791234</v>
      </c>
      <c r="Z605" s="27" t="n">
        <f aca="false">IF(H605-E605&gt;=GWL,99,E605*(MAX(0,GWL-H605)*(GAM_S-GAM_W)+MAX(0,NG-MAX(H605,GWL))*GAM_D)/(GAM_W*PI()*E605^2/4))</f>
        <v>0</v>
      </c>
      <c r="AA605" s="27" t="n">
        <f aca="false">IF(I605-E605&gt;=GWL,99,E605*(MAX(0,GWL-I605)*(GAM_S-GAM_W)+MAX(0,NG-MAX(I605,GWL))*GAM_D)/(GAM_W*PI()*E605^2/4))</f>
        <v>0</v>
      </c>
      <c r="AB605" s="27" t="n">
        <f aca="false">IF(H605-E605&gt;=GWL,99,E605*(MAX(0,GWL-H605)*(GAM_S-GAM_W)+MAX(0,FL-MAX(H605,GWL))*GAM_D)/(GAM_W*PI()*E605^2/4))</f>
        <v>0.855450465617484</v>
      </c>
      <c r="AC605" s="27" t="n">
        <f aca="false">IF(I605-E605&gt;=GWL,99,E605*(MAX(0,GWL-I605)*(GAM_S-GAM_W)+MAX(0,FL-MAX(I605,GWL))*GAM_D)/(GAM_W*PI()*E605^2/4))</f>
        <v>0.855450465617484</v>
      </c>
    </row>
    <row r="606" customFormat="false" ht="15" hidden="false" customHeight="false" outlineLevel="0" collapsed="false">
      <c r="A606" s="25" t="s">
        <v>1136</v>
      </c>
      <c r="B606" s="25" t="s">
        <v>1137</v>
      </c>
      <c r="C606" s="25" t="s">
        <v>1140</v>
      </c>
      <c r="D606" s="26" t="n">
        <v>1.33710000030784</v>
      </c>
      <c r="E606" s="26" t="n">
        <v>2.6900070694241</v>
      </c>
      <c r="F606" s="26" t="n">
        <v>-3.17500353471205</v>
      </c>
      <c r="G606" s="26" t="n">
        <v>-3.17500353471205</v>
      </c>
      <c r="H606" s="26" t="n">
        <v>0.0150035347120485</v>
      </c>
      <c r="I606" s="26" t="n">
        <v>0.0150035347120485</v>
      </c>
      <c r="J606" s="26" t="n">
        <v>19.35</v>
      </c>
      <c r="K606" s="27" t="n">
        <f aca="false">MIN(F606,G606)</f>
        <v>-3.17500353471205</v>
      </c>
      <c r="L606" s="27" t="n">
        <f aca="false">AVERAGE(F606,G606)</f>
        <v>-3.17500353471205</v>
      </c>
      <c r="M606" s="27" t="n">
        <f aca="false">MAX(0,NG-L606)</f>
        <v>2.47500353471205</v>
      </c>
      <c r="N606" s="27" t="n">
        <f aca="false">MAX(0,GWL-K606)</f>
        <v>1.67500353471205</v>
      </c>
      <c r="O606" s="27" t="n">
        <f aca="false">MAX(0,NG-MAX(K606,GWL))</f>
        <v>0.8</v>
      </c>
      <c r="P606" s="27" t="n">
        <f aca="false">E606/2+WS+SLOPE_A*O606+SLOPE_B*N606</f>
        <v>6.89501060413615</v>
      </c>
      <c r="Q606" s="28" t="str">
        <f aca="false">IF(AND(P606&lt;J606,N606&lt;=MAXOC),"Open cut","Shoring")</f>
        <v>Open cut</v>
      </c>
      <c r="R606" s="27" t="n">
        <f aca="false">IF(Q606="Shoring",D606,0)</f>
        <v>0</v>
      </c>
      <c r="S606" s="27" t="n">
        <f aca="false">MAX(0,GWL-L606)</f>
        <v>1.67500353471205</v>
      </c>
      <c r="T606" s="27" t="n">
        <f aca="false">MAX(0,NG-MAX(L606,GWL))</f>
        <v>0.8</v>
      </c>
      <c r="U606" s="27" t="n">
        <f aca="false">E606+2*WS</f>
        <v>4.6900070694241</v>
      </c>
      <c r="V606" s="27" t="n">
        <f aca="false">IF(Q606="Shoring",D606*M606*U606,0)</f>
        <v>0</v>
      </c>
      <c r="W606" s="27" t="n">
        <f aca="false">IF(Q606="Open cut",D606*(U606*M606+SLOPE_B*S606^2+2*SLOPE_B*S606*T606+SLOPE_A*T606^2),0)</f>
        <v>31.4740892585014</v>
      </c>
      <c r="X606" s="27" t="n">
        <f aca="false">IF(M606&gt;0,D606*(E606+2*SLABOVH)*SLAB,0)</f>
        <v>2.46695422683144</v>
      </c>
      <c r="Y606" s="27" t="n">
        <f aca="false">IF(M606&gt;0,D606*PI()*E606^2/4,0)</f>
        <v>7.59907293713684</v>
      </c>
      <c r="Z606" s="27" t="n">
        <f aca="false">IF(H606-E606&gt;=GWL,99,E606*(MAX(0,GWL-H606)*(GAM_S-GAM_W)+MAX(0,NG-MAX(H606,GWL))*GAM_D)/(GAM_W*PI()*E606^2/4))</f>
        <v>0</v>
      </c>
      <c r="AA606" s="27" t="n">
        <f aca="false">IF(I606-E606&gt;=GWL,99,E606*(MAX(0,GWL-I606)*(GAM_S-GAM_W)+MAX(0,NG-MAX(I606,GWL))*GAM_D)/(GAM_W*PI()*E606^2/4))</f>
        <v>0</v>
      </c>
      <c r="AB606" s="27" t="n">
        <f aca="false">IF(H606-E606&gt;=GWL,99,E606*(MAX(0,GWL-H606)*(GAM_S-GAM_W)+MAX(0,FL-MAX(H606,GWL))*GAM_D)/(GAM_W*PI()*E606^2/4))</f>
        <v>0.855450465617484</v>
      </c>
      <c r="AC606" s="27" t="n">
        <f aca="false">IF(I606-E606&gt;=GWL,99,E606*(MAX(0,GWL-I606)*(GAM_S-GAM_W)+MAX(0,FL-MAX(I606,GWL))*GAM_D)/(GAM_W*PI()*E606^2/4))</f>
        <v>0.855450465617484</v>
      </c>
    </row>
    <row r="607" customFormat="false" ht="15" hidden="false" customHeight="false" outlineLevel="0" collapsed="false">
      <c r="A607" s="25" t="s">
        <v>1136</v>
      </c>
      <c r="B607" s="25" t="s">
        <v>1137</v>
      </c>
      <c r="C607" s="25" t="s">
        <v>1141</v>
      </c>
      <c r="D607" s="26" t="n">
        <v>1.26288314397517</v>
      </c>
      <c r="E607" s="26" t="n">
        <v>2.6900070694241</v>
      </c>
      <c r="F607" s="26" t="n">
        <v>-3.17500353471205</v>
      </c>
      <c r="G607" s="26" t="n">
        <v>-3.17500353471205</v>
      </c>
      <c r="H607" s="26" t="n">
        <v>0.0150035347120485</v>
      </c>
      <c r="I607" s="26" t="n">
        <v>0.0150035347120485</v>
      </c>
      <c r="J607" s="26" t="n">
        <v>19.65</v>
      </c>
      <c r="K607" s="27" t="n">
        <f aca="false">MIN(F607,G607)</f>
        <v>-3.17500353471205</v>
      </c>
      <c r="L607" s="27" t="n">
        <f aca="false">AVERAGE(F607,G607)</f>
        <v>-3.17500353471205</v>
      </c>
      <c r="M607" s="27" t="n">
        <f aca="false">MAX(0,NG-L607)</f>
        <v>2.47500353471205</v>
      </c>
      <c r="N607" s="27" t="n">
        <f aca="false">MAX(0,GWL-K607)</f>
        <v>1.67500353471205</v>
      </c>
      <c r="O607" s="27" t="n">
        <f aca="false">MAX(0,NG-MAX(K607,GWL))</f>
        <v>0.8</v>
      </c>
      <c r="P607" s="27" t="n">
        <f aca="false">E607/2+WS+SLOPE_A*O607+SLOPE_B*N607</f>
        <v>6.89501060413615</v>
      </c>
      <c r="Q607" s="28" t="str">
        <f aca="false">IF(AND(P607&lt;J607,N607&lt;=MAXOC),"Open cut","Shoring")</f>
        <v>Open cut</v>
      </c>
      <c r="R607" s="27" t="n">
        <f aca="false">IF(Q607="Shoring",D607,0)</f>
        <v>0</v>
      </c>
      <c r="S607" s="27" t="n">
        <f aca="false">MAX(0,GWL-L607)</f>
        <v>1.67500353471205</v>
      </c>
      <c r="T607" s="27" t="n">
        <f aca="false">MAX(0,NG-MAX(L607,GWL))</f>
        <v>0.8</v>
      </c>
      <c r="U607" s="27" t="n">
        <f aca="false">E607+2*WS</f>
        <v>4.6900070694241</v>
      </c>
      <c r="V607" s="27" t="n">
        <f aca="false">IF(Q607="Shoring",D607*M607*U607,0)</f>
        <v>0</v>
      </c>
      <c r="W607" s="27" t="n">
        <f aca="false">IF(Q607="Open cut",D607*(U607*M607+SLOPE_B*S607^2+2*SLOPE_B*S607*T607+SLOPE_A*T607^2),0)</f>
        <v>29.727093551253</v>
      </c>
      <c r="X607" s="27" t="n">
        <f aca="false">IF(M607&gt;0,D607*(E607+2*SLABOVH)*SLAB,0)</f>
        <v>2.33002386456246</v>
      </c>
      <c r="Y607" s="27" t="n">
        <f aca="false">IF(M607&gt;0,D607*PI()*E607^2/4,0)</f>
        <v>7.17728002388647</v>
      </c>
      <c r="Z607" s="27" t="n">
        <f aca="false">IF(H607-E607&gt;=GWL,99,E607*(MAX(0,GWL-H607)*(GAM_S-GAM_W)+MAX(0,NG-MAX(H607,GWL))*GAM_D)/(GAM_W*PI()*E607^2/4))</f>
        <v>0</v>
      </c>
      <c r="AA607" s="27" t="n">
        <f aca="false">IF(I607-E607&gt;=GWL,99,E607*(MAX(0,GWL-I607)*(GAM_S-GAM_W)+MAX(0,NG-MAX(I607,GWL))*GAM_D)/(GAM_W*PI()*E607^2/4))</f>
        <v>0</v>
      </c>
      <c r="AB607" s="27" t="n">
        <f aca="false">IF(H607-E607&gt;=GWL,99,E607*(MAX(0,GWL-H607)*(GAM_S-GAM_W)+MAX(0,FL-MAX(H607,GWL))*GAM_D)/(GAM_W*PI()*E607^2/4))</f>
        <v>0.855450465617484</v>
      </c>
      <c r="AC607" s="27" t="n">
        <f aca="false">IF(I607-E607&gt;=GWL,99,E607*(MAX(0,GWL-I607)*(GAM_S-GAM_W)+MAX(0,FL-MAX(I607,GWL))*GAM_D)/(GAM_W*PI()*E607^2/4))</f>
        <v>0.855450465617484</v>
      </c>
    </row>
    <row r="608" customFormat="false" ht="15" hidden="false" customHeight="false" outlineLevel="0" collapsed="false">
      <c r="A608" s="25" t="s">
        <v>1136</v>
      </c>
      <c r="B608" s="25" t="s">
        <v>1137</v>
      </c>
      <c r="C608" s="25" t="s">
        <v>1142</v>
      </c>
      <c r="D608" s="26" t="n">
        <v>2.59999513753525</v>
      </c>
      <c r="E608" s="26" t="n">
        <v>2.65699632385441</v>
      </c>
      <c r="F608" s="26" t="n">
        <v>-3.15849816192721</v>
      </c>
      <c r="G608" s="26" t="n">
        <v>-3.15849816192721</v>
      </c>
      <c r="H608" s="26" t="n">
        <v>-0.00150183807279558</v>
      </c>
      <c r="I608" s="26" t="n">
        <v>-0.00150183807279558</v>
      </c>
      <c r="J608" s="26" t="n">
        <v>17.54</v>
      </c>
      <c r="K608" s="27" t="n">
        <f aca="false">MIN(F608,G608)</f>
        <v>-3.15849816192721</v>
      </c>
      <c r="L608" s="27" t="n">
        <f aca="false">AVERAGE(F608,G608)</f>
        <v>-3.15849816192721</v>
      </c>
      <c r="M608" s="27" t="n">
        <f aca="false">MAX(0,NG-L608)</f>
        <v>2.4584981619272</v>
      </c>
      <c r="N608" s="27" t="n">
        <f aca="false">MAX(0,GWL-K608)</f>
        <v>1.6584981619272</v>
      </c>
      <c r="O608" s="27" t="n">
        <f aca="false">MAX(0,NG-MAX(K608,GWL))</f>
        <v>0.8</v>
      </c>
      <c r="P608" s="27" t="n">
        <f aca="false">E608/2+WS+SLOPE_A*O608+SLOPE_B*N608</f>
        <v>6.84549448578161</v>
      </c>
      <c r="Q608" s="28" t="str">
        <f aca="false">IF(AND(P608&lt;J608,N608&lt;=MAXOC),"Open cut","Shoring")</f>
        <v>Open cut</v>
      </c>
      <c r="R608" s="27" t="n">
        <f aca="false">IF(Q608="Shoring",D608,0)</f>
        <v>0</v>
      </c>
      <c r="S608" s="27" t="n">
        <f aca="false">MAX(0,GWL-L608)</f>
        <v>1.6584981619272</v>
      </c>
      <c r="T608" s="27" t="n">
        <f aca="false">MAX(0,NG-MAX(L608,GWL))</f>
        <v>0.8</v>
      </c>
      <c r="U608" s="27" t="n">
        <f aca="false">E608+2*WS</f>
        <v>4.65699632385441</v>
      </c>
      <c r="V608" s="27" t="n">
        <f aca="false">IF(Q608="Shoring",D608*M608*U608,0)</f>
        <v>0</v>
      </c>
      <c r="W608" s="27" t="n">
        <f aca="false">IF(Q608="Open cut",D608*(U608*M608+SLOPE_B*S608^2+2*SLOPE_B*S608*T608+SLOPE_A*T608^2),0)</f>
        <v>60.3657597544391</v>
      </c>
      <c r="X608" s="27" t="n">
        <f aca="false">IF(M608&gt;0,D608*(E608+2*SLABOVH)*SLAB,0)</f>
        <v>4.75408633000287</v>
      </c>
      <c r="Y608" s="27" t="n">
        <f aca="false">IF(M608&gt;0,D608*PI()*E608^2/4,0)</f>
        <v>14.4159850812328</v>
      </c>
      <c r="Z608" s="27" t="n">
        <f aca="false">IF(H608-E608&gt;=GWL,99,E608*(MAX(0,GWL-H608)*(GAM_S-GAM_W)+MAX(0,NG-MAX(H608,GWL))*GAM_D)/(GAM_W*PI()*E608^2/4))</f>
        <v>0</v>
      </c>
      <c r="AA608" s="27" t="n">
        <f aca="false">IF(I608-E608&gt;=GWL,99,E608*(MAX(0,GWL-I608)*(GAM_S-GAM_W)+MAX(0,NG-MAX(I608,GWL))*GAM_D)/(GAM_W*PI()*E608^2/4))</f>
        <v>0</v>
      </c>
      <c r="AB608" s="27" t="n">
        <f aca="false">IF(H608-E608&gt;=GWL,99,E608*(MAX(0,GWL-H608)*(GAM_S-GAM_W)+MAX(0,FL-MAX(H608,GWL))*GAM_D)/(GAM_W*PI()*E608^2/4))</f>
        <v>0.880591346813453</v>
      </c>
      <c r="AC608" s="27" t="n">
        <f aca="false">IF(I608-E608&gt;=GWL,99,E608*(MAX(0,GWL-I608)*(GAM_S-GAM_W)+MAX(0,FL-MAX(I608,GWL))*GAM_D)/(GAM_W*PI()*E608^2/4))</f>
        <v>0.880591346813453</v>
      </c>
    </row>
    <row r="609" customFormat="false" ht="15" hidden="false" customHeight="false" outlineLevel="0" collapsed="false">
      <c r="A609" s="25" t="s">
        <v>1136</v>
      </c>
      <c r="B609" s="25" t="s">
        <v>1143</v>
      </c>
      <c r="C609" s="25" t="s">
        <v>1144</v>
      </c>
      <c r="D609" s="26" t="n">
        <v>6.13712171829039</v>
      </c>
      <c r="E609" s="26" t="n">
        <v>2.65699632385441</v>
      </c>
      <c r="F609" s="26" t="n">
        <v>-3.15849816192721</v>
      </c>
      <c r="G609" s="26" t="n">
        <v>-3.15849816192721</v>
      </c>
      <c r="H609" s="26" t="n">
        <v>-0.00150183807279558</v>
      </c>
      <c r="I609" s="26" t="n">
        <v>-0.00150183807279558</v>
      </c>
      <c r="J609" s="26" t="n">
        <v>12</v>
      </c>
      <c r="K609" s="27" t="n">
        <f aca="false">MIN(F609,G609)</f>
        <v>-3.15849816192721</v>
      </c>
      <c r="L609" s="27" t="n">
        <f aca="false">AVERAGE(F609,G609)</f>
        <v>-3.15849816192721</v>
      </c>
      <c r="M609" s="27" t="n">
        <f aca="false">MAX(0,NG-L609)</f>
        <v>2.4584981619272</v>
      </c>
      <c r="N609" s="27" t="n">
        <f aca="false">MAX(0,GWL-K609)</f>
        <v>1.6584981619272</v>
      </c>
      <c r="O609" s="27" t="n">
        <f aca="false">MAX(0,NG-MAX(K609,GWL))</f>
        <v>0.8</v>
      </c>
      <c r="P609" s="27" t="n">
        <f aca="false">E609/2+WS+SLOPE_A*O609+SLOPE_B*N609</f>
        <v>6.84549448578161</v>
      </c>
      <c r="Q609" s="28" t="str">
        <f aca="false">IF(AND(P609&lt;J609,N609&lt;=MAXOC),"Open cut","Shoring")</f>
        <v>Open cut</v>
      </c>
      <c r="R609" s="27" t="n">
        <f aca="false">IF(Q609="Shoring",D609,0)</f>
        <v>0</v>
      </c>
      <c r="S609" s="27" t="n">
        <f aca="false">MAX(0,GWL-L609)</f>
        <v>1.6584981619272</v>
      </c>
      <c r="T609" s="27" t="n">
        <f aca="false">MAX(0,NG-MAX(L609,GWL))</f>
        <v>0.8</v>
      </c>
      <c r="U609" s="27" t="n">
        <f aca="false">E609+2*WS</f>
        <v>4.65699632385441</v>
      </c>
      <c r="V609" s="27" t="n">
        <f aca="false">IF(Q609="Shoring",D609*M609*U609,0)</f>
        <v>0</v>
      </c>
      <c r="W609" s="27" t="n">
        <f aca="false">IF(Q609="Open cut",D609*(U609*M609+SLOPE_B*S609^2+2*SLOPE_B*S609*T609+SLOPE_A*T609^2),0)</f>
        <v>142.48950310779</v>
      </c>
      <c r="X609" s="27" t="n">
        <f aca="false">IF(M609&gt;0,D609*(E609+2*SLABOVH)*SLAB,0)</f>
        <v>11.2217157814175</v>
      </c>
      <c r="Y609" s="27" t="n">
        <f aca="false">IF(M609&gt;0,D609*PI()*E609^2/4,0)</f>
        <v>34.0280079202205</v>
      </c>
      <c r="Z609" s="27" t="n">
        <f aca="false">IF(H609-E609&gt;=GWL,99,E609*(MAX(0,GWL-H609)*(GAM_S-GAM_W)+MAX(0,NG-MAX(H609,GWL))*GAM_D)/(GAM_W*PI()*E609^2/4))</f>
        <v>0</v>
      </c>
      <c r="AA609" s="27" t="n">
        <f aca="false">IF(I609-E609&gt;=GWL,99,E609*(MAX(0,GWL-I609)*(GAM_S-GAM_W)+MAX(0,NG-MAX(I609,GWL))*GAM_D)/(GAM_W*PI()*E609^2/4))</f>
        <v>0</v>
      </c>
      <c r="AB609" s="27" t="n">
        <f aca="false">IF(H609-E609&gt;=GWL,99,E609*(MAX(0,GWL-H609)*(GAM_S-GAM_W)+MAX(0,FL-MAX(H609,GWL))*GAM_D)/(GAM_W*PI()*E609^2/4))</f>
        <v>0.880591346813453</v>
      </c>
      <c r="AC609" s="27" t="n">
        <f aca="false">IF(I609-E609&gt;=GWL,99,E609*(MAX(0,GWL-I609)*(GAM_S-GAM_W)+MAX(0,FL-MAX(I609,GWL))*GAM_D)/(GAM_W*PI()*E609^2/4))</f>
        <v>0.880591346813453</v>
      </c>
    </row>
    <row r="610" customFormat="false" ht="15" hidden="false" customHeight="false" outlineLevel="0" collapsed="false">
      <c r="A610" s="25" t="s">
        <v>1136</v>
      </c>
      <c r="B610" s="25" t="s">
        <v>1143</v>
      </c>
      <c r="C610" s="25" t="s">
        <v>1145</v>
      </c>
      <c r="D610" s="26" t="n">
        <v>9.99999999977078</v>
      </c>
      <c r="E610" s="26" t="n">
        <v>2.65699632385441</v>
      </c>
      <c r="F610" s="26" t="n">
        <v>-3.15849816192721</v>
      </c>
      <c r="G610" s="26" t="n">
        <v>-3.15849816192721</v>
      </c>
      <c r="H610" s="26" t="n">
        <v>-0.00150183807279558</v>
      </c>
      <c r="I610" s="26" t="n">
        <v>-0.00150183807279558</v>
      </c>
      <c r="J610" s="26" t="n">
        <v>6.19</v>
      </c>
      <c r="K610" s="27" t="n">
        <f aca="false">MIN(F610,G610)</f>
        <v>-3.15849816192721</v>
      </c>
      <c r="L610" s="27" t="n">
        <f aca="false">AVERAGE(F610,G610)</f>
        <v>-3.15849816192721</v>
      </c>
      <c r="M610" s="27" t="n">
        <f aca="false">MAX(0,NG-L610)</f>
        <v>2.4584981619272</v>
      </c>
      <c r="N610" s="27" t="n">
        <f aca="false">MAX(0,GWL-K610)</f>
        <v>1.6584981619272</v>
      </c>
      <c r="O610" s="27" t="n">
        <f aca="false">MAX(0,NG-MAX(K610,GWL))</f>
        <v>0.8</v>
      </c>
      <c r="P610" s="27" t="n">
        <f aca="false">E610/2+WS+SLOPE_A*O610+SLOPE_B*N610</f>
        <v>6.84549448578161</v>
      </c>
      <c r="Q610" s="28" t="str">
        <f aca="false">IF(AND(P610&lt;J610,N610&lt;=MAXOC),"Open cut","Shoring")</f>
        <v>Shoring</v>
      </c>
      <c r="R610" s="27" t="n">
        <f aca="false">IF(Q610="Shoring",D610,0)</f>
        <v>9.99999999977078</v>
      </c>
      <c r="S610" s="27" t="n">
        <f aca="false">MAX(0,GWL-L610)</f>
        <v>1.6584981619272</v>
      </c>
      <c r="T610" s="27" t="n">
        <f aca="false">MAX(0,NG-MAX(L610,GWL))</f>
        <v>0.8</v>
      </c>
      <c r="U610" s="27" t="n">
        <f aca="false">E610+2*WS</f>
        <v>4.65699632385441</v>
      </c>
      <c r="V610" s="27" t="n">
        <f aca="false">IF(Q610="Shoring",D610*M610*U610,0)</f>
        <v>114.492169020354</v>
      </c>
      <c r="W610" s="27" t="n">
        <f aca="false">IF(Q610="Open cut",D610*(U610*M610+SLOPE_B*S610^2+2*SLOPE_B*S610*T610+SLOPE_A*T610^2),0)</f>
        <v>0</v>
      </c>
      <c r="X610" s="27" t="n">
        <f aca="false">IF(M610&gt;0,D610*(E610+2*SLABOVH)*SLAB,0)</f>
        <v>18.2849816188529</v>
      </c>
      <c r="Y610" s="27" t="n">
        <f aca="false">IF(M610&gt;0,D610*PI()*E610^2/4,0)</f>
        <v>55.4462001593144</v>
      </c>
      <c r="Z610" s="27" t="n">
        <f aca="false">IF(H610-E610&gt;=GWL,99,E610*(MAX(0,GWL-H610)*(GAM_S-GAM_W)+MAX(0,NG-MAX(H610,GWL))*GAM_D)/(GAM_W*PI()*E610^2/4))</f>
        <v>0</v>
      </c>
      <c r="AA610" s="27" t="n">
        <f aca="false">IF(I610-E610&gt;=GWL,99,E610*(MAX(0,GWL-I610)*(GAM_S-GAM_W)+MAX(0,NG-MAX(I610,GWL))*GAM_D)/(GAM_W*PI()*E610^2/4))</f>
        <v>0</v>
      </c>
      <c r="AB610" s="27" t="n">
        <f aca="false">IF(H610-E610&gt;=GWL,99,E610*(MAX(0,GWL-H610)*(GAM_S-GAM_W)+MAX(0,FL-MAX(H610,GWL))*GAM_D)/(GAM_W*PI()*E610^2/4))</f>
        <v>0.880591346813453</v>
      </c>
      <c r="AC610" s="27" t="n">
        <f aca="false">IF(I610-E610&gt;=GWL,99,E610*(MAX(0,GWL-I610)*(GAM_S-GAM_W)+MAX(0,FL-MAX(I610,GWL))*GAM_D)/(GAM_W*PI()*E610^2/4))</f>
        <v>0.880591346813453</v>
      </c>
    </row>
    <row r="611" customFormat="false" ht="15" hidden="false" customHeight="false" outlineLevel="0" collapsed="false">
      <c r="A611" s="25" t="s">
        <v>1136</v>
      </c>
      <c r="B611" s="25" t="s">
        <v>1143</v>
      </c>
      <c r="C611" s="25" t="s">
        <v>1146</v>
      </c>
      <c r="D611" s="26" t="n">
        <v>4.0999999995773</v>
      </c>
      <c r="E611" s="26" t="n">
        <v>2.65699632385441</v>
      </c>
      <c r="F611" s="26" t="n">
        <v>-3.15849816192721</v>
      </c>
      <c r="G611" s="26" t="n">
        <v>-3.15849816192721</v>
      </c>
      <c r="H611" s="26" t="n">
        <v>-0.00150183807279558</v>
      </c>
      <c r="I611" s="26" t="n">
        <v>-0.00150183807279558</v>
      </c>
      <c r="J611" s="26" t="n">
        <v>6.18</v>
      </c>
      <c r="K611" s="27" t="n">
        <f aca="false">MIN(F611,G611)</f>
        <v>-3.15849816192721</v>
      </c>
      <c r="L611" s="27" t="n">
        <f aca="false">AVERAGE(F611,G611)</f>
        <v>-3.15849816192721</v>
      </c>
      <c r="M611" s="27" t="n">
        <f aca="false">MAX(0,NG-L611)</f>
        <v>2.4584981619272</v>
      </c>
      <c r="N611" s="27" t="n">
        <f aca="false">MAX(0,GWL-K611)</f>
        <v>1.6584981619272</v>
      </c>
      <c r="O611" s="27" t="n">
        <f aca="false">MAX(0,NG-MAX(K611,GWL))</f>
        <v>0.8</v>
      </c>
      <c r="P611" s="27" t="n">
        <f aca="false">E611/2+WS+SLOPE_A*O611+SLOPE_B*N611</f>
        <v>6.84549448578161</v>
      </c>
      <c r="Q611" s="28" t="str">
        <f aca="false">IF(AND(P611&lt;J611,N611&lt;=MAXOC),"Open cut","Shoring")</f>
        <v>Shoring</v>
      </c>
      <c r="R611" s="27" t="n">
        <f aca="false">IF(Q611="Shoring",D611,0)</f>
        <v>4.0999999995773</v>
      </c>
      <c r="S611" s="27" t="n">
        <f aca="false">MAX(0,GWL-L611)</f>
        <v>1.6584981619272</v>
      </c>
      <c r="T611" s="27" t="n">
        <f aca="false">MAX(0,NG-MAX(L611,GWL))</f>
        <v>0.8</v>
      </c>
      <c r="U611" s="27" t="n">
        <f aca="false">E611+2*WS</f>
        <v>4.65699632385441</v>
      </c>
      <c r="V611" s="27" t="n">
        <f aca="false">IF(Q611="Shoring",D611*M611*U611,0)</f>
        <v>46.9417892945815</v>
      </c>
      <c r="W611" s="27" t="n">
        <f aca="false">IF(Q611="Open cut",D611*(U611*M611+SLOPE_B*S611^2+2*SLOPE_B*S611*T611+SLOPE_A*T611^2),0)</f>
        <v>0</v>
      </c>
      <c r="X611" s="27" t="n">
        <f aca="false">IF(M611&gt;0,D611*(E611+2*SLABOVH)*SLAB,0)</f>
        <v>7.49684246312864</v>
      </c>
      <c r="Y611" s="27" t="n">
        <f aca="false">IF(M611&gt;0,D611*PI()*E611^2/4,0)</f>
        <v>22.7329420634963</v>
      </c>
      <c r="Z611" s="27" t="n">
        <f aca="false">IF(H611-E611&gt;=GWL,99,E611*(MAX(0,GWL-H611)*(GAM_S-GAM_W)+MAX(0,NG-MAX(H611,GWL))*GAM_D)/(GAM_W*PI()*E611^2/4))</f>
        <v>0</v>
      </c>
      <c r="AA611" s="27" t="n">
        <f aca="false">IF(I611-E611&gt;=GWL,99,E611*(MAX(0,GWL-I611)*(GAM_S-GAM_W)+MAX(0,NG-MAX(I611,GWL))*GAM_D)/(GAM_W*PI()*E611^2/4))</f>
        <v>0</v>
      </c>
      <c r="AB611" s="27" t="n">
        <f aca="false">IF(H611-E611&gt;=GWL,99,E611*(MAX(0,GWL-H611)*(GAM_S-GAM_W)+MAX(0,FL-MAX(H611,GWL))*GAM_D)/(GAM_W*PI()*E611^2/4))</f>
        <v>0.880591346813453</v>
      </c>
      <c r="AC611" s="27" t="n">
        <f aca="false">IF(I611-E611&gt;=GWL,99,E611*(MAX(0,GWL-I611)*(GAM_S-GAM_W)+MAX(0,FL-MAX(I611,GWL))*GAM_D)/(GAM_W*PI()*E611^2/4))</f>
        <v>0.880591346813453</v>
      </c>
    </row>
    <row r="612" customFormat="false" ht="15" hidden="false" customHeight="false" outlineLevel="0" collapsed="false">
      <c r="A612" s="25" t="s">
        <v>1136</v>
      </c>
      <c r="B612" s="25" t="s">
        <v>1147</v>
      </c>
      <c r="C612" s="25" t="s">
        <v>1148</v>
      </c>
      <c r="D612" s="26" t="n">
        <v>5.90000000019347</v>
      </c>
      <c r="E612" s="26" t="n">
        <v>2.65699632385441</v>
      </c>
      <c r="F612" s="26" t="n">
        <v>-3.15849816192721</v>
      </c>
      <c r="G612" s="26" t="n">
        <v>-3.15849816192721</v>
      </c>
      <c r="H612" s="26" t="n">
        <v>-0.00150183807279558</v>
      </c>
      <c r="I612" s="26" t="n">
        <v>-0.00150183807279558</v>
      </c>
      <c r="J612" s="26" t="n">
        <v>6.18</v>
      </c>
      <c r="K612" s="27" t="n">
        <f aca="false">MIN(F612,G612)</f>
        <v>-3.15849816192721</v>
      </c>
      <c r="L612" s="27" t="n">
        <f aca="false">AVERAGE(F612,G612)</f>
        <v>-3.15849816192721</v>
      </c>
      <c r="M612" s="27" t="n">
        <f aca="false">MAX(0,NG-L612)</f>
        <v>2.4584981619272</v>
      </c>
      <c r="N612" s="27" t="n">
        <f aca="false">MAX(0,GWL-K612)</f>
        <v>1.6584981619272</v>
      </c>
      <c r="O612" s="27" t="n">
        <f aca="false">MAX(0,NG-MAX(K612,GWL))</f>
        <v>0.8</v>
      </c>
      <c r="P612" s="27" t="n">
        <f aca="false">E612/2+WS+SLOPE_A*O612+SLOPE_B*N612</f>
        <v>6.84549448578161</v>
      </c>
      <c r="Q612" s="28" t="str">
        <f aca="false">IF(AND(P612&lt;J612,N612&lt;=MAXOC),"Open cut","Shoring")</f>
        <v>Shoring</v>
      </c>
      <c r="R612" s="27" t="n">
        <f aca="false">IF(Q612="Shoring",D612,0)</f>
        <v>5.90000000019347</v>
      </c>
      <c r="S612" s="27" t="n">
        <f aca="false">MAX(0,GWL-L612)</f>
        <v>1.6584981619272</v>
      </c>
      <c r="T612" s="27" t="n">
        <f aca="false">MAX(0,NG-MAX(L612,GWL))</f>
        <v>0.8</v>
      </c>
      <c r="U612" s="27" t="n">
        <f aca="false">E612+2*WS</f>
        <v>4.65699632385441</v>
      </c>
      <c r="V612" s="27" t="n">
        <f aca="false">IF(Q612="Shoring",D612*M612*U612,0)</f>
        <v>67.5503797257722</v>
      </c>
      <c r="W612" s="27" t="n">
        <f aca="false">IF(Q612="Open cut",D612*(U612*M612+SLOPE_B*S612^2+2*SLOPE_B*S612*T612+SLOPE_A*T612^2),0)</f>
        <v>0</v>
      </c>
      <c r="X612" s="27" t="n">
        <f aca="false">IF(M612&gt;0,D612*(E612+2*SLABOVH)*SLAB,0)</f>
        <v>10.7881391557243</v>
      </c>
      <c r="Y612" s="27" t="n">
        <f aca="false">IF(M612&gt;0,D612*PI()*E612^2/4,0)</f>
        <v>32.7132580958181</v>
      </c>
      <c r="Z612" s="27" t="n">
        <f aca="false">IF(H612-E612&gt;=GWL,99,E612*(MAX(0,GWL-H612)*(GAM_S-GAM_W)+MAX(0,NG-MAX(H612,GWL))*GAM_D)/(GAM_W*PI()*E612^2/4))</f>
        <v>0</v>
      </c>
      <c r="AA612" s="27" t="n">
        <f aca="false">IF(I612-E612&gt;=GWL,99,E612*(MAX(0,GWL-I612)*(GAM_S-GAM_W)+MAX(0,NG-MAX(I612,GWL))*GAM_D)/(GAM_W*PI()*E612^2/4))</f>
        <v>0</v>
      </c>
      <c r="AB612" s="27" t="n">
        <f aca="false">IF(H612-E612&gt;=GWL,99,E612*(MAX(0,GWL-H612)*(GAM_S-GAM_W)+MAX(0,FL-MAX(H612,GWL))*GAM_D)/(GAM_W*PI()*E612^2/4))</f>
        <v>0.880591346813453</v>
      </c>
      <c r="AC612" s="27" t="n">
        <f aca="false">IF(I612-E612&gt;=GWL,99,E612*(MAX(0,GWL-I612)*(GAM_S-GAM_W)+MAX(0,FL-MAX(I612,GWL))*GAM_D)/(GAM_W*PI()*E612^2/4))</f>
        <v>0.880591346813453</v>
      </c>
    </row>
    <row r="613" customFormat="false" ht="15" hidden="false" customHeight="false" outlineLevel="0" collapsed="false">
      <c r="A613" s="25" t="s">
        <v>1136</v>
      </c>
      <c r="B613" s="25" t="s">
        <v>1147</v>
      </c>
      <c r="C613" s="25" t="s">
        <v>1149</v>
      </c>
      <c r="D613" s="26" t="n">
        <v>10.0000000002316</v>
      </c>
      <c r="E613" s="26" t="n">
        <v>2.65699632385441</v>
      </c>
      <c r="F613" s="26" t="n">
        <v>-3.15849816192721</v>
      </c>
      <c r="G613" s="26" t="n">
        <v>-3.15849816192721</v>
      </c>
      <c r="H613" s="26" t="n">
        <v>-0.00150183807279558</v>
      </c>
      <c r="I613" s="26" t="n">
        <v>-0.00150183807279558</v>
      </c>
      <c r="J613" s="26" t="n">
        <v>7.51</v>
      </c>
      <c r="K613" s="27" t="n">
        <f aca="false">MIN(F613,G613)</f>
        <v>-3.15849816192721</v>
      </c>
      <c r="L613" s="27" t="n">
        <f aca="false">AVERAGE(F613,G613)</f>
        <v>-3.15849816192721</v>
      </c>
      <c r="M613" s="27" t="n">
        <f aca="false">MAX(0,NG-L613)</f>
        <v>2.4584981619272</v>
      </c>
      <c r="N613" s="27" t="n">
        <f aca="false">MAX(0,GWL-K613)</f>
        <v>1.6584981619272</v>
      </c>
      <c r="O613" s="27" t="n">
        <f aca="false">MAX(0,NG-MAX(K613,GWL))</f>
        <v>0.8</v>
      </c>
      <c r="P613" s="27" t="n">
        <f aca="false">E613/2+WS+SLOPE_A*O613+SLOPE_B*N613</f>
        <v>6.84549448578161</v>
      </c>
      <c r="Q613" s="28" t="str">
        <f aca="false">IF(AND(P613&lt;J613,N613&lt;=MAXOC),"Open cut","Shoring")</f>
        <v>Open cut</v>
      </c>
      <c r="R613" s="27" t="n">
        <f aca="false">IF(Q613="Shoring",D613,0)</f>
        <v>0</v>
      </c>
      <c r="S613" s="27" t="n">
        <f aca="false">MAX(0,GWL-L613)</f>
        <v>1.6584981619272</v>
      </c>
      <c r="T613" s="27" t="n">
        <f aca="false">MAX(0,NG-MAX(L613,GWL))</f>
        <v>0.8</v>
      </c>
      <c r="U613" s="27" t="n">
        <f aca="false">E613+2*WS</f>
        <v>4.65699632385441</v>
      </c>
      <c r="V613" s="27" t="n">
        <f aca="false">IF(Q613="Shoring",D613*M613*U613,0)</f>
        <v>0</v>
      </c>
      <c r="W613" s="27" t="n">
        <f aca="false">IF(Q613="Open cut",D613*(U613*M613+SLOPE_B*S613^2+2*SLOPE_B*S613*T613+SLOPE_A*T613^2),0)</f>
        <v>232.176433272343</v>
      </c>
      <c r="X613" s="27" t="n">
        <f aca="false">IF(M613&gt;0,D613*(E613+2*SLABOVH)*SLAB,0)</f>
        <v>18.2849816196955</v>
      </c>
      <c r="Y613" s="27" t="n">
        <f aca="false">IF(M613&gt;0,D613*PI()*E613^2/4,0)</f>
        <v>55.4462001618693</v>
      </c>
      <c r="Z613" s="27" t="n">
        <f aca="false">IF(H613-E613&gt;=GWL,99,E613*(MAX(0,GWL-H613)*(GAM_S-GAM_W)+MAX(0,NG-MAX(H613,GWL))*GAM_D)/(GAM_W*PI()*E613^2/4))</f>
        <v>0</v>
      </c>
      <c r="AA613" s="27" t="n">
        <f aca="false">IF(I613-E613&gt;=GWL,99,E613*(MAX(0,GWL-I613)*(GAM_S-GAM_W)+MAX(0,NG-MAX(I613,GWL))*GAM_D)/(GAM_W*PI()*E613^2/4))</f>
        <v>0</v>
      </c>
      <c r="AB613" s="27" t="n">
        <f aca="false">IF(H613-E613&gt;=GWL,99,E613*(MAX(0,GWL-H613)*(GAM_S-GAM_W)+MAX(0,FL-MAX(H613,GWL))*GAM_D)/(GAM_W*PI()*E613^2/4))</f>
        <v>0.880591346813453</v>
      </c>
      <c r="AC613" s="27" t="n">
        <f aca="false">IF(I613-E613&gt;=GWL,99,E613*(MAX(0,GWL-I613)*(GAM_S-GAM_W)+MAX(0,FL-MAX(I613,GWL))*GAM_D)/(GAM_W*PI()*E613^2/4))</f>
        <v>0.880591346813453</v>
      </c>
    </row>
    <row r="614" customFormat="false" ht="15" hidden="false" customHeight="false" outlineLevel="0" collapsed="false">
      <c r="A614" s="25" t="s">
        <v>1136</v>
      </c>
      <c r="B614" s="25" t="s">
        <v>1147</v>
      </c>
      <c r="C614" s="25" t="s">
        <v>1150</v>
      </c>
      <c r="D614" s="26" t="n">
        <v>5.00583828210746</v>
      </c>
      <c r="E614" s="26" t="n">
        <v>2.65699632385441</v>
      </c>
      <c r="F614" s="26" t="n">
        <v>-3.15849816192721</v>
      </c>
      <c r="G614" s="26" t="n">
        <v>-3.15849816192721</v>
      </c>
      <c r="H614" s="26" t="n">
        <v>-0.00150183807279558</v>
      </c>
      <c r="I614" s="26" t="n">
        <v>-0.00150183807279558</v>
      </c>
      <c r="J614" s="26" t="n">
        <v>10.11</v>
      </c>
      <c r="K614" s="27" t="n">
        <f aca="false">MIN(F614,G614)</f>
        <v>-3.15849816192721</v>
      </c>
      <c r="L614" s="27" t="n">
        <f aca="false">AVERAGE(F614,G614)</f>
        <v>-3.15849816192721</v>
      </c>
      <c r="M614" s="27" t="n">
        <f aca="false">MAX(0,NG-L614)</f>
        <v>2.4584981619272</v>
      </c>
      <c r="N614" s="27" t="n">
        <f aca="false">MAX(0,GWL-K614)</f>
        <v>1.6584981619272</v>
      </c>
      <c r="O614" s="27" t="n">
        <f aca="false">MAX(0,NG-MAX(K614,GWL))</f>
        <v>0.8</v>
      </c>
      <c r="P614" s="27" t="n">
        <f aca="false">E614/2+WS+SLOPE_A*O614+SLOPE_B*N614</f>
        <v>6.84549448578161</v>
      </c>
      <c r="Q614" s="28" t="str">
        <f aca="false">IF(AND(P614&lt;J614,N614&lt;=MAXOC),"Open cut","Shoring")</f>
        <v>Open cut</v>
      </c>
      <c r="R614" s="27" t="n">
        <f aca="false">IF(Q614="Shoring",D614,0)</f>
        <v>0</v>
      </c>
      <c r="S614" s="27" t="n">
        <f aca="false">MAX(0,GWL-L614)</f>
        <v>1.6584981619272</v>
      </c>
      <c r="T614" s="27" t="n">
        <f aca="false">MAX(0,NG-MAX(L614,GWL))</f>
        <v>0.8</v>
      </c>
      <c r="U614" s="27" t="n">
        <f aca="false">E614+2*WS</f>
        <v>4.65699632385441</v>
      </c>
      <c r="V614" s="27" t="n">
        <f aca="false">IF(Q614="Shoring",D614*M614*U614,0)</f>
        <v>0</v>
      </c>
      <c r="W614" s="27" t="n">
        <f aca="false">IF(Q614="Open cut",D614*(U614*M614+SLOPE_B*S614^2+2*SLOPE_B*S614*T614+SLOPE_A*T614^2),0)</f>
        <v>116.223767785095</v>
      </c>
      <c r="X614" s="27" t="n">
        <f aca="false">IF(M614&gt;0,D614*(E614+2*SLABOVH)*SLAB,0)</f>
        <v>9.15316609773833</v>
      </c>
      <c r="Y614" s="27" t="n">
        <f aca="false">IF(M614&gt;0,D614*PI()*E614^2/4,0)</f>
        <v>27.7554711361251</v>
      </c>
      <c r="Z614" s="27" t="n">
        <f aca="false">IF(H614-E614&gt;=GWL,99,E614*(MAX(0,GWL-H614)*(GAM_S-GAM_W)+MAX(0,NG-MAX(H614,GWL))*GAM_D)/(GAM_W*PI()*E614^2/4))</f>
        <v>0</v>
      </c>
      <c r="AA614" s="27" t="n">
        <f aca="false">IF(I614-E614&gt;=GWL,99,E614*(MAX(0,GWL-I614)*(GAM_S-GAM_W)+MAX(0,NG-MAX(I614,GWL))*GAM_D)/(GAM_W*PI()*E614^2/4))</f>
        <v>0</v>
      </c>
      <c r="AB614" s="27" t="n">
        <f aca="false">IF(H614-E614&gt;=GWL,99,E614*(MAX(0,GWL-H614)*(GAM_S-GAM_W)+MAX(0,FL-MAX(H614,GWL))*GAM_D)/(GAM_W*PI()*E614^2/4))</f>
        <v>0.880591346813453</v>
      </c>
      <c r="AC614" s="27" t="n">
        <f aca="false">IF(I614-E614&gt;=GWL,99,E614*(MAX(0,GWL-I614)*(GAM_S-GAM_W)+MAX(0,FL-MAX(I614,GWL))*GAM_D)/(GAM_W*PI()*E614^2/4))</f>
        <v>0.880591346813453</v>
      </c>
    </row>
    <row r="615" customFormat="false" ht="15" hidden="false" customHeight="false" outlineLevel="0" collapsed="false">
      <c r="A615" s="25" t="s">
        <v>1136</v>
      </c>
      <c r="B615" s="25" t="s">
        <v>1147</v>
      </c>
      <c r="C615" s="25" t="s">
        <v>1151</v>
      </c>
      <c r="D615" s="26" t="n">
        <v>2.19416171761291</v>
      </c>
      <c r="E615" s="26" t="n">
        <v>2.65699632385441</v>
      </c>
      <c r="F615" s="26" t="n">
        <v>-3.15849816192721</v>
      </c>
      <c r="G615" s="26" t="n">
        <v>-3.15849816192721</v>
      </c>
      <c r="H615" s="26" t="n">
        <v>-0.00150183807279558</v>
      </c>
      <c r="I615" s="26" t="n">
        <v>-0.00150183807279558</v>
      </c>
      <c r="J615" s="26" t="n">
        <v>11.72</v>
      </c>
      <c r="K615" s="27" t="n">
        <f aca="false">MIN(F615,G615)</f>
        <v>-3.15849816192721</v>
      </c>
      <c r="L615" s="27" t="n">
        <f aca="false">AVERAGE(F615,G615)</f>
        <v>-3.15849816192721</v>
      </c>
      <c r="M615" s="27" t="n">
        <f aca="false">MAX(0,NG-L615)</f>
        <v>2.4584981619272</v>
      </c>
      <c r="N615" s="27" t="n">
        <f aca="false">MAX(0,GWL-K615)</f>
        <v>1.6584981619272</v>
      </c>
      <c r="O615" s="27" t="n">
        <f aca="false">MAX(0,NG-MAX(K615,GWL))</f>
        <v>0.8</v>
      </c>
      <c r="P615" s="27" t="n">
        <f aca="false">E615/2+WS+SLOPE_A*O615+SLOPE_B*N615</f>
        <v>6.84549448578161</v>
      </c>
      <c r="Q615" s="28" t="str">
        <f aca="false">IF(AND(P615&lt;J615,N615&lt;=MAXOC),"Open cut","Shoring")</f>
        <v>Open cut</v>
      </c>
      <c r="R615" s="27" t="n">
        <f aca="false">IF(Q615="Shoring",D615,0)</f>
        <v>0</v>
      </c>
      <c r="S615" s="27" t="n">
        <f aca="false">MAX(0,GWL-L615)</f>
        <v>1.6584981619272</v>
      </c>
      <c r="T615" s="27" t="n">
        <f aca="false">MAX(0,NG-MAX(L615,GWL))</f>
        <v>0.8</v>
      </c>
      <c r="U615" s="27" t="n">
        <f aca="false">E615+2*WS</f>
        <v>4.65699632385441</v>
      </c>
      <c r="V615" s="27" t="n">
        <f aca="false">IF(Q615="Shoring",D615*M615*U615,0)</f>
        <v>0</v>
      </c>
      <c r="W615" s="27" t="n">
        <f aca="false">IF(Q615="Open cut",D615*(U615*M615+SLOPE_B*S615^2+2*SLOPE_B*S615*T615+SLOPE_A*T615^2),0)</f>
        <v>50.9432641606288</v>
      </c>
      <c r="X615" s="27" t="n">
        <f aca="false">IF(M615&gt;0,D615*(E615+2*SLABOVH)*SLAB,0)</f>
        <v>4.01202066762625</v>
      </c>
      <c r="Y615" s="27" t="n">
        <f aca="false">IF(M615&gt;0,D615*PI()*E615^2/4,0)</f>
        <v>12.1657929779459</v>
      </c>
      <c r="Z615" s="27" t="n">
        <f aca="false">IF(H615-E615&gt;=GWL,99,E615*(MAX(0,GWL-H615)*(GAM_S-GAM_W)+MAX(0,NG-MAX(H615,GWL))*GAM_D)/(GAM_W*PI()*E615^2/4))</f>
        <v>0</v>
      </c>
      <c r="AA615" s="27" t="n">
        <f aca="false">IF(I615-E615&gt;=GWL,99,E615*(MAX(0,GWL-I615)*(GAM_S-GAM_W)+MAX(0,NG-MAX(I615,GWL))*GAM_D)/(GAM_W*PI()*E615^2/4))</f>
        <v>0</v>
      </c>
      <c r="AB615" s="27" t="n">
        <f aca="false">IF(H615-E615&gt;=GWL,99,E615*(MAX(0,GWL-H615)*(GAM_S-GAM_W)+MAX(0,FL-MAX(H615,GWL))*GAM_D)/(GAM_W*PI()*E615^2/4))</f>
        <v>0.880591346813453</v>
      </c>
      <c r="AC615" s="27" t="n">
        <f aca="false">IF(I615-E615&gt;=GWL,99,E615*(MAX(0,GWL-I615)*(GAM_S-GAM_W)+MAX(0,FL-MAX(I615,GWL))*GAM_D)/(GAM_W*PI()*E615^2/4))</f>
        <v>0.880591346813453</v>
      </c>
    </row>
    <row r="616" customFormat="false" ht="15" hidden="false" customHeight="false" outlineLevel="0" collapsed="false">
      <c r="A616" s="25" t="s">
        <v>1136</v>
      </c>
      <c r="B616" s="25" t="s">
        <v>1152</v>
      </c>
      <c r="C616" s="25" t="s">
        <v>1153</v>
      </c>
      <c r="D616" s="26" t="n">
        <v>0.40585462550433</v>
      </c>
      <c r="E616" s="26" t="n">
        <v>2.65699632385441</v>
      </c>
      <c r="F616" s="26" t="n">
        <v>-3.15849816192721</v>
      </c>
      <c r="G616" s="26" t="n">
        <v>-3.15849816192721</v>
      </c>
      <c r="H616" s="26" t="n">
        <v>-0.00150183807279558</v>
      </c>
      <c r="I616" s="26" t="n">
        <v>-0.00150183807279558</v>
      </c>
      <c r="J616" s="26" t="n">
        <v>12.98</v>
      </c>
      <c r="K616" s="27" t="n">
        <f aca="false">MIN(F616,G616)</f>
        <v>-3.15849816192721</v>
      </c>
      <c r="L616" s="27" t="n">
        <f aca="false">AVERAGE(F616,G616)</f>
        <v>-3.15849816192721</v>
      </c>
      <c r="M616" s="27" t="n">
        <f aca="false">MAX(0,NG-L616)</f>
        <v>2.4584981619272</v>
      </c>
      <c r="N616" s="27" t="n">
        <f aca="false">MAX(0,GWL-K616)</f>
        <v>1.6584981619272</v>
      </c>
      <c r="O616" s="27" t="n">
        <f aca="false">MAX(0,NG-MAX(K616,GWL))</f>
        <v>0.8</v>
      </c>
      <c r="P616" s="27" t="n">
        <f aca="false">E616/2+WS+SLOPE_A*O616+SLOPE_B*N616</f>
        <v>6.84549448578161</v>
      </c>
      <c r="Q616" s="28" t="str">
        <f aca="false">IF(AND(P616&lt;J616,N616&lt;=MAXOC),"Open cut","Shoring")</f>
        <v>Open cut</v>
      </c>
      <c r="R616" s="27" t="n">
        <f aca="false">IF(Q616="Shoring",D616,0)</f>
        <v>0</v>
      </c>
      <c r="S616" s="27" t="n">
        <f aca="false">MAX(0,GWL-L616)</f>
        <v>1.6584981619272</v>
      </c>
      <c r="T616" s="27" t="n">
        <f aca="false">MAX(0,NG-MAX(L616,GWL))</f>
        <v>0.8</v>
      </c>
      <c r="U616" s="27" t="n">
        <f aca="false">E616+2*WS</f>
        <v>4.65699632385441</v>
      </c>
      <c r="V616" s="27" t="n">
        <f aca="false">IF(Q616="Shoring",D616*M616*U616,0)</f>
        <v>0</v>
      </c>
      <c r="W616" s="27" t="n">
        <f aca="false">IF(Q616="Open cut",D616*(U616*M616+SLOPE_B*S616^2+2*SLOPE_B*S616*T616+SLOPE_A*T616^2),0)</f>
        <v>9.42298793744961</v>
      </c>
      <c r="X616" s="27" t="n">
        <f aca="false">IF(M616&gt;0,D616*(E616+2*SLABOVH)*SLAB,0)</f>
        <v>0.742104436744322</v>
      </c>
      <c r="Y616" s="27" t="n">
        <f aca="false">IF(M616&gt;0,D616*PI()*E616^2/4,0)</f>
        <v>2.25030968018125</v>
      </c>
      <c r="Z616" s="27" t="n">
        <f aca="false">IF(H616-E616&gt;=GWL,99,E616*(MAX(0,GWL-H616)*(GAM_S-GAM_W)+MAX(0,NG-MAX(H616,GWL))*GAM_D)/(GAM_W*PI()*E616^2/4))</f>
        <v>0</v>
      </c>
      <c r="AA616" s="27" t="n">
        <f aca="false">IF(I616-E616&gt;=GWL,99,E616*(MAX(0,GWL-I616)*(GAM_S-GAM_W)+MAX(0,NG-MAX(I616,GWL))*GAM_D)/(GAM_W*PI()*E616^2/4))</f>
        <v>0</v>
      </c>
      <c r="AB616" s="27" t="n">
        <f aca="false">IF(H616-E616&gt;=GWL,99,E616*(MAX(0,GWL-H616)*(GAM_S-GAM_W)+MAX(0,FL-MAX(H616,GWL))*GAM_D)/(GAM_W*PI()*E616^2/4))</f>
        <v>0.880591346813453</v>
      </c>
      <c r="AC616" s="27" t="n">
        <f aca="false">IF(I616-E616&gt;=GWL,99,E616*(MAX(0,GWL-I616)*(GAM_S-GAM_W)+MAX(0,FL-MAX(I616,GWL))*GAM_D)/(GAM_W*PI()*E616^2/4))</f>
        <v>0.880591346813453</v>
      </c>
    </row>
    <row r="617" customFormat="false" ht="15" hidden="false" customHeight="false" outlineLevel="0" collapsed="false">
      <c r="A617" s="25" t="s">
        <v>1136</v>
      </c>
      <c r="B617" s="25" t="s">
        <v>1152</v>
      </c>
      <c r="C617" s="25" t="s">
        <v>1154</v>
      </c>
      <c r="D617" s="26" t="n">
        <v>2.39414537447279</v>
      </c>
      <c r="E617" s="26" t="n">
        <v>2.68999099918871</v>
      </c>
      <c r="F617" s="26" t="n">
        <v>-3.17499549959435</v>
      </c>
      <c r="G617" s="26" t="n">
        <v>-3.17499549959435</v>
      </c>
      <c r="H617" s="26" t="n">
        <v>0.0149954995943544</v>
      </c>
      <c r="I617" s="26" t="n">
        <v>0.0149954995943544</v>
      </c>
      <c r="J617" s="26" t="n">
        <v>13.24</v>
      </c>
      <c r="K617" s="27" t="n">
        <f aca="false">MIN(F617,G617)</f>
        <v>-3.17499549959435</v>
      </c>
      <c r="L617" s="27" t="n">
        <f aca="false">AVERAGE(F617,G617)</f>
        <v>-3.17499549959435</v>
      </c>
      <c r="M617" s="27" t="n">
        <f aca="false">MAX(0,NG-L617)</f>
        <v>2.47499549959435</v>
      </c>
      <c r="N617" s="27" t="n">
        <f aca="false">MAX(0,GWL-K617)</f>
        <v>1.67499549959435</v>
      </c>
      <c r="O617" s="27" t="n">
        <f aca="false">MAX(0,NG-MAX(K617,GWL))</f>
        <v>0.8</v>
      </c>
      <c r="P617" s="27" t="n">
        <f aca="false">E617/2+WS+SLOPE_A*O617+SLOPE_B*N617</f>
        <v>6.89498649878306</v>
      </c>
      <c r="Q617" s="28" t="str">
        <f aca="false">IF(AND(P617&lt;J617,N617&lt;=MAXOC),"Open cut","Shoring")</f>
        <v>Open cut</v>
      </c>
      <c r="R617" s="27" t="n">
        <f aca="false">IF(Q617="Shoring",D617,0)</f>
        <v>0</v>
      </c>
      <c r="S617" s="27" t="n">
        <f aca="false">MAX(0,GWL-L617)</f>
        <v>1.67499549959435</v>
      </c>
      <c r="T617" s="27" t="n">
        <f aca="false">MAX(0,NG-MAX(L617,GWL))</f>
        <v>0.8</v>
      </c>
      <c r="U617" s="27" t="n">
        <f aca="false">E617+2*WS</f>
        <v>4.68999099918871</v>
      </c>
      <c r="V617" s="27" t="n">
        <f aca="false">IF(Q617="Shoring",D617*M617*U617,0)</f>
        <v>0</v>
      </c>
      <c r="W617" s="27" t="n">
        <f aca="false">IF(Q617="Open cut",D617*(U617*M617+SLOPE_B*S617^2+2*SLOPE_B*S617*T617+SLOPE_A*T617^2),0)</f>
        <v>56.3555774337294</v>
      </c>
      <c r="X617" s="27" t="n">
        <f aca="false">IF(M617&gt;0,D617*(E617+2*SLABOVH)*SLAB,0)</f>
        <v>4.41718744127694</v>
      </c>
      <c r="Y617" s="27" t="n">
        <f aca="false">IF(M617&gt;0,D617*PI()*E617^2/4,0)</f>
        <v>13.6063629825848</v>
      </c>
      <c r="Z617" s="27" t="n">
        <f aca="false">IF(H617-E617&gt;=GWL,99,E617*(MAX(0,GWL-H617)*(GAM_S-GAM_W)+MAX(0,NG-MAX(H617,GWL))*GAM_D)/(GAM_W*PI()*E617^2/4))</f>
        <v>0</v>
      </c>
      <c r="AA617" s="27" t="n">
        <f aca="false">IF(I617-E617&gt;=GWL,99,E617*(MAX(0,GWL-I617)*(GAM_S-GAM_W)+MAX(0,NG-MAX(I617,GWL))*GAM_D)/(GAM_W*PI()*E617^2/4))</f>
        <v>0</v>
      </c>
      <c r="AB617" s="27" t="n">
        <f aca="false">IF(H617-E617&gt;=GWL,99,E617*(MAX(0,GWL-H617)*(GAM_S-GAM_W)+MAX(0,FL-MAX(H617,GWL))*GAM_D)/(GAM_W*PI()*E617^2/4))</f>
        <v>0.855462554538144</v>
      </c>
      <c r="AC617" s="27" t="n">
        <f aca="false">IF(I617-E617&gt;=GWL,99,E617*(MAX(0,GWL-I617)*(GAM_S-GAM_W)+MAX(0,FL-MAX(I617,GWL))*GAM_D)/(GAM_W*PI()*E617^2/4))</f>
        <v>0.855462554538144</v>
      </c>
    </row>
    <row r="618" customFormat="false" ht="15" hidden="false" customHeight="false" outlineLevel="0" collapsed="false">
      <c r="A618" s="25" t="s">
        <v>1136</v>
      </c>
      <c r="B618" s="25" t="s">
        <v>1152</v>
      </c>
      <c r="C618" s="25" t="s">
        <v>1155</v>
      </c>
      <c r="D618" s="26" t="n">
        <v>0.205828259689618</v>
      </c>
      <c r="E618" s="26" t="n">
        <v>2.68999099918871</v>
      </c>
      <c r="F618" s="26" t="n">
        <v>-3.17499549959435</v>
      </c>
      <c r="G618" s="26" t="n">
        <v>-3.17499549959435</v>
      </c>
      <c r="H618" s="26" t="n">
        <v>0.0149954995943544</v>
      </c>
      <c r="I618" s="26" t="n">
        <v>0.0149954995943544</v>
      </c>
      <c r="J618" s="26" t="n">
        <v>15.63</v>
      </c>
      <c r="K618" s="27" t="n">
        <f aca="false">MIN(F618,G618)</f>
        <v>-3.17499549959435</v>
      </c>
      <c r="L618" s="27" t="n">
        <f aca="false">AVERAGE(F618,G618)</f>
        <v>-3.17499549959435</v>
      </c>
      <c r="M618" s="27" t="n">
        <f aca="false">MAX(0,NG-L618)</f>
        <v>2.47499549959435</v>
      </c>
      <c r="N618" s="27" t="n">
        <f aca="false">MAX(0,GWL-K618)</f>
        <v>1.67499549959435</v>
      </c>
      <c r="O618" s="27" t="n">
        <f aca="false">MAX(0,NG-MAX(K618,GWL))</f>
        <v>0.8</v>
      </c>
      <c r="P618" s="27" t="n">
        <f aca="false">E618/2+WS+SLOPE_A*O618+SLOPE_B*N618</f>
        <v>6.89498649878306</v>
      </c>
      <c r="Q618" s="28" t="str">
        <f aca="false">IF(AND(P618&lt;J618,N618&lt;=MAXOC),"Open cut","Shoring")</f>
        <v>Open cut</v>
      </c>
      <c r="R618" s="27" t="n">
        <f aca="false">IF(Q618="Shoring",D618,0)</f>
        <v>0</v>
      </c>
      <c r="S618" s="27" t="n">
        <f aca="false">MAX(0,GWL-L618)</f>
        <v>1.67499549959435</v>
      </c>
      <c r="T618" s="27" t="n">
        <f aca="false">MAX(0,NG-MAX(L618,GWL))</f>
        <v>0.8</v>
      </c>
      <c r="U618" s="27" t="n">
        <f aca="false">E618+2*WS</f>
        <v>4.68999099918871</v>
      </c>
      <c r="V618" s="27" t="n">
        <f aca="false">IF(Q618="Shoring",D618*M618*U618,0)</f>
        <v>0</v>
      </c>
      <c r="W618" s="27" t="n">
        <f aca="false">IF(Q618="Open cut",D618*(U618*M618+SLOPE_B*S618^2+2*SLOPE_B*S618*T618+SLOPE_A*T618^2),0)</f>
        <v>4.84497330474026</v>
      </c>
      <c r="X618" s="27" t="n">
        <f aca="false">IF(M618&gt;0,D618*(E618+2*SLABOVH)*SLAB,0)</f>
        <v>0.379752212816683</v>
      </c>
      <c r="Y618" s="27" t="n">
        <f aca="false">IF(M618&gt;0,D618*PI()*E618^2/4,0)</f>
        <v>1.16975938189525</v>
      </c>
      <c r="Z618" s="27" t="n">
        <f aca="false">IF(H618-E618&gt;=GWL,99,E618*(MAX(0,GWL-H618)*(GAM_S-GAM_W)+MAX(0,NG-MAX(H618,GWL))*GAM_D)/(GAM_W*PI()*E618^2/4))</f>
        <v>0</v>
      </c>
      <c r="AA618" s="27" t="n">
        <f aca="false">IF(I618-E618&gt;=GWL,99,E618*(MAX(0,GWL-I618)*(GAM_S-GAM_W)+MAX(0,NG-MAX(I618,GWL))*GAM_D)/(GAM_W*PI()*E618^2/4))</f>
        <v>0</v>
      </c>
      <c r="AB618" s="27" t="n">
        <f aca="false">IF(H618-E618&gt;=GWL,99,E618*(MAX(0,GWL-H618)*(GAM_S-GAM_W)+MAX(0,FL-MAX(H618,GWL))*GAM_D)/(GAM_W*PI()*E618^2/4))</f>
        <v>0.855462554538144</v>
      </c>
      <c r="AC618" s="27" t="n">
        <f aca="false">IF(I618-E618&gt;=GWL,99,E618*(MAX(0,GWL-I618)*(GAM_S-GAM_W)+MAX(0,FL-MAX(I618,GWL))*GAM_D)/(GAM_W*PI()*E618^2/4))</f>
        <v>0.855462554538144</v>
      </c>
    </row>
    <row r="619" customFormat="false" ht="15" hidden="false" customHeight="false" outlineLevel="0" collapsed="false">
      <c r="A619" s="25" t="s">
        <v>1136</v>
      </c>
      <c r="B619" s="25" t="s">
        <v>1152</v>
      </c>
      <c r="C619" s="25" t="s">
        <v>1156</v>
      </c>
      <c r="D619" s="26" t="n">
        <v>7.3881199999602</v>
      </c>
      <c r="E619" s="26" t="n">
        <v>2.68999099918871</v>
      </c>
      <c r="F619" s="26" t="n">
        <v>-3.17499549959435</v>
      </c>
      <c r="G619" s="26" t="n">
        <v>-3.17499549959435</v>
      </c>
      <c r="H619" s="26" t="n">
        <v>0.0149954995943544</v>
      </c>
      <c r="I619" s="26" t="n">
        <v>0.0149954995943544</v>
      </c>
      <c r="J619" s="26" t="n">
        <v>15.84</v>
      </c>
      <c r="K619" s="27" t="n">
        <f aca="false">MIN(F619,G619)</f>
        <v>-3.17499549959435</v>
      </c>
      <c r="L619" s="27" t="n">
        <f aca="false">AVERAGE(F619,G619)</f>
        <v>-3.17499549959435</v>
      </c>
      <c r="M619" s="27" t="n">
        <f aca="false">MAX(0,NG-L619)</f>
        <v>2.47499549959435</v>
      </c>
      <c r="N619" s="27" t="n">
        <f aca="false">MAX(0,GWL-K619)</f>
        <v>1.67499549959435</v>
      </c>
      <c r="O619" s="27" t="n">
        <f aca="false">MAX(0,NG-MAX(K619,GWL))</f>
        <v>0.8</v>
      </c>
      <c r="P619" s="27" t="n">
        <f aca="false">E619/2+WS+SLOPE_A*O619+SLOPE_B*N619</f>
        <v>6.89498649878306</v>
      </c>
      <c r="Q619" s="28" t="str">
        <f aca="false">IF(AND(P619&lt;J619,N619&lt;=MAXOC),"Open cut","Shoring")</f>
        <v>Open cut</v>
      </c>
      <c r="R619" s="27" t="n">
        <f aca="false">IF(Q619="Shoring",D619,0)</f>
        <v>0</v>
      </c>
      <c r="S619" s="27" t="n">
        <f aca="false">MAX(0,GWL-L619)</f>
        <v>1.67499549959435</v>
      </c>
      <c r="T619" s="27" t="n">
        <f aca="false">MAX(0,NG-MAX(L619,GWL))</f>
        <v>0.8</v>
      </c>
      <c r="U619" s="27" t="n">
        <f aca="false">E619+2*WS</f>
        <v>4.68999099918871</v>
      </c>
      <c r="V619" s="27" t="n">
        <f aca="false">IF(Q619="Shoring",D619*M619*U619,0)</f>
        <v>0</v>
      </c>
      <c r="W619" s="27" t="n">
        <f aca="false">IF(Q619="Open cut",D619*(U619*M619+SLOPE_B*S619^2+2*SLOPE_B*S619*T619+SLOPE_A*T619^2),0)</f>
        <v>173.908306983709</v>
      </c>
      <c r="X619" s="27" t="n">
        <f aca="false">IF(M619&gt;0,D619*(E619+2*SLABOVH)*SLAB,0)</f>
        <v>13.6310481503896</v>
      </c>
      <c r="Y619" s="27" t="n">
        <f aca="false">IF(M619&gt;0,D619*PI()*E619^2/4,0)</f>
        <v>41.9880277739982</v>
      </c>
      <c r="Z619" s="27" t="n">
        <f aca="false">IF(H619-E619&gt;=GWL,99,E619*(MAX(0,GWL-H619)*(GAM_S-GAM_W)+MAX(0,NG-MAX(H619,GWL))*GAM_D)/(GAM_W*PI()*E619^2/4))</f>
        <v>0</v>
      </c>
      <c r="AA619" s="27" t="n">
        <f aca="false">IF(I619-E619&gt;=GWL,99,E619*(MAX(0,GWL-I619)*(GAM_S-GAM_W)+MAX(0,NG-MAX(I619,GWL))*GAM_D)/(GAM_W*PI()*E619^2/4))</f>
        <v>0</v>
      </c>
      <c r="AB619" s="27" t="n">
        <f aca="false">IF(H619-E619&gt;=GWL,99,E619*(MAX(0,GWL-H619)*(GAM_S-GAM_W)+MAX(0,FL-MAX(H619,GWL))*GAM_D)/(GAM_W*PI()*E619^2/4))</f>
        <v>0.855462554538144</v>
      </c>
      <c r="AC619" s="27" t="n">
        <f aca="false">IF(I619-E619&gt;=GWL,99,E619*(MAX(0,GWL-I619)*(GAM_S-GAM_W)+MAX(0,FL-MAX(I619,GWL))*GAM_D)/(GAM_W*PI()*E619^2/4))</f>
        <v>0.855462554538144</v>
      </c>
    </row>
    <row r="620" customFormat="false" ht="15" hidden="false" customHeight="false" outlineLevel="0" collapsed="false">
      <c r="A620" s="25" t="s">
        <v>1136</v>
      </c>
      <c r="B620" s="25" t="s">
        <v>1152</v>
      </c>
      <c r="C620" s="25" t="s">
        <v>1157</v>
      </c>
      <c r="D620" s="26" t="n">
        <v>2.40605174043528</v>
      </c>
      <c r="E620" s="26" t="n">
        <v>2.68999099918871</v>
      </c>
      <c r="F620" s="26" t="n">
        <v>-3.17499549959435</v>
      </c>
      <c r="G620" s="26" t="n">
        <v>-3.17499549959435</v>
      </c>
      <c r="H620" s="26" t="n">
        <v>0.0149954995943544</v>
      </c>
      <c r="I620" s="26" t="n">
        <v>0.0149954995943544</v>
      </c>
      <c r="J620" s="26" t="n">
        <v>18.36</v>
      </c>
      <c r="K620" s="27" t="n">
        <f aca="false">MIN(F620,G620)</f>
        <v>-3.17499549959435</v>
      </c>
      <c r="L620" s="27" t="n">
        <f aca="false">AVERAGE(F620,G620)</f>
        <v>-3.17499549959435</v>
      </c>
      <c r="M620" s="27" t="n">
        <f aca="false">MAX(0,NG-L620)</f>
        <v>2.47499549959435</v>
      </c>
      <c r="N620" s="27" t="n">
        <f aca="false">MAX(0,GWL-K620)</f>
        <v>1.67499549959435</v>
      </c>
      <c r="O620" s="27" t="n">
        <f aca="false">MAX(0,NG-MAX(K620,GWL))</f>
        <v>0.8</v>
      </c>
      <c r="P620" s="27" t="n">
        <f aca="false">E620/2+WS+SLOPE_A*O620+SLOPE_B*N620</f>
        <v>6.89498649878306</v>
      </c>
      <c r="Q620" s="28" t="str">
        <f aca="false">IF(AND(P620&lt;J620,N620&lt;=MAXOC),"Open cut","Shoring")</f>
        <v>Open cut</v>
      </c>
      <c r="R620" s="27" t="n">
        <f aca="false">IF(Q620="Shoring",D620,0)</f>
        <v>0</v>
      </c>
      <c r="S620" s="27" t="n">
        <f aca="false">MAX(0,GWL-L620)</f>
        <v>1.67499549959435</v>
      </c>
      <c r="T620" s="27" t="n">
        <f aca="false">MAX(0,NG-MAX(L620,GWL))</f>
        <v>0.8</v>
      </c>
      <c r="U620" s="27" t="n">
        <f aca="false">E620+2*WS</f>
        <v>4.68999099918871</v>
      </c>
      <c r="V620" s="27" t="n">
        <f aca="false">IF(Q620="Shoring",D620*M620*U620,0)</f>
        <v>0</v>
      </c>
      <c r="W620" s="27" t="n">
        <f aca="false">IF(Q620="Open cut",D620*(U620*M620+SLOPE_B*S620^2+2*SLOPE_B*S620*T620+SLOPE_A*T620^2),0)</f>
        <v>56.6358403351003</v>
      </c>
      <c r="X620" s="27" t="n">
        <f aca="false">IF(M620&gt;0,D620*(E620+2*SLABOVH)*SLAB,0)</f>
        <v>4.43915463289425</v>
      </c>
      <c r="Y620" s="27" t="n">
        <f aca="false">IF(M620&gt;0,D620*PI()*E620^2/4,0)</f>
        <v>13.6740290227578</v>
      </c>
      <c r="Z620" s="27" t="n">
        <f aca="false">IF(H620-E620&gt;=GWL,99,E620*(MAX(0,GWL-H620)*(GAM_S-GAM_W)+MAX(0,NG-MAX(H620,GWL))*GAM_D)/(GAM_W*PI()*E620^2/4))</f>
        <v>0</v>
      </c>
      <c r="AA620" s="27" t="n">
        <f aca="false">IF(I620-E620&gt;=GWL,99,E620*(MAX(0,GWL-I620)*(GAM_S-GAM_W)+MAX(0,NG-MAX(I620,GWL))*GAM_D)/(GAM_W*PI()*E620^2/4))</f>
        <v>0</v>
      </c>
      <c r="AB620" s="27" t="n">
        <f aca="false">IF(H620-E620&gt;=GWL,99,E620*(MAX(0,GWL-H620)*(GAM_S-GAM_W)+MAX(0,FL-MAX(H620,GWL))*GAM_D)/(GAM_W*PI()*E620^2/4))</f>
        <v>0.855462554538144</v>
      </c>
      <c r="AC620" s="27" t="n">
        <f aca="false">IF(I620-E620&gt;=GWL,99,E620*(MAX(0,GWL-I620)*(GAM_S-GAM_W)+MAX(0,FL-MAX(I620,GWL))*GAM_D)/(GAM_W*PI()*E620^2/4))</f>
        <v>0.855462554538144</v>
      </c>
    </row>
    <row r="621" customFormat="false" ht="15" hidden="false" customHeight="false" outlineLevel="0" collapsed="false">
      <c r="A621" s="25" t="s">
        <v>1136</v>
      </c>
      <c r="B621" s="25" t="s">
        <v>1152</v>
      </c>
      <c r="C621" s="25" t="s">
        <v>1158</v>
      </c>
      <c r="D621" s="26" t="n">
        <v>0.193950912694514</v>
      </c>
      <c r="E621" s="26" t="n">
        <v>2.68999099918871</v>
      </c>
      <c r="F621" s="26" t="n">
        <v>-3.17499549959435</v>
      </c>
      <c r="G621" s="26" t="n">
        <v>-3.17499549959435</v>
      </c>
      <c r="H621" s="26" t="n">
        <v>0.0149954995943544</v>
      </c>
      <c r="I621" s="26" t="n">
        <v>0.0149954995943544</v>
      </c>
      <c r="J621" s="26" t="n">
        <v>18.29</v>
      </c>
      <c r="K621" s="27" t="n">
        <f aca="false">MIN(F621,G621)</f>
        <v>-3.17499549959435</v>
      </c>
      <c r="L621" s="27" t="n">
        <f aca="false">AVERAGE(F621,G621)</f>
        <v>-3.17499549959435</v>
      </c>
      <c r="M621" s="27" t="n">
        <f aca="false">MAX(0,NG-L621)</f>
        <v>2.47499549959435</v>
      </c>
      <c r="N621" s="27" t="n">
        <f aca="false">MAX(0,GWL-K621)</f>
        <v>1.67499549959435</v>
      </c>
      <c r="O621" s="27" t="n">
        <f aca="false">MAX(0,NG-MAX(K621,GWL))</f>
        <v>0.8</v>
      </c>
      <c r="P621" s="27" t="n">
        <f aca="false">E621/2+WS+SLOPE_A*O621+SLOPE_B*N621</f>
        <v>6.89498649878306</v>
      </c>
      <c r="Q621" s="28" t="str">
        <f aca="false">IF(AND(P621&lt;J621,N621&lt;=MAXOC),"Open cut","Shoring")</f>
        <v>Open cut</v>
      </c>
      <c r="R621" s="27" t="n">
        <f aca="false">IF(Q621="Shoring",D621,0)</f>
        <v>0</v>
      </c>
      <c r="S621" s="27" t="n">
        <f aca="false">MAX(0,GWL-L621)</f>
        <v>1.67499549959435</v>
      </c>
      <c r="T621" s="27" t="n">
        <f aca="false">MAX(0,NG-MAX(L621,GWL))</f>
        <v>0.8</v>
      </c>
      <c r="U621" s="27" t="n">
        <f aca="false">E621+2*WS</f>
        <v>4.68999099918871</v>
      </c>
      <c r="V621" s="27" t="n">
        <f aca="false">IF(Q621="Shoring",D621*M621*U621,0)</f>
        <v>0</v>
      </c>
      <c r="W621" s="27" t="n">
        <f aca="false">IF(Q621="Open cut",D621*(U621*M621+SLOPE_B*S621^2+2*SLOPE_B*S621*T621+SLOPE_A*T621^2),0)</f>
        <v>4.5653934782908</v>
      </c>
      <c r="X621" s="27" t="n">
        <f aca="false">IF(M621&gt;0,D621*(E621+2*SLABOVH)*SLAB,0)</f>
        <v>0.357838561063595</v>
      </c>
      <c r="Y621" s="27" t="n">
        <f aca="false">IF(M621&gt;0,D621*PI()*E621^2/4,0)</f>
        <v>1.10225826178424</v>
      </c>
      <c r="Z621" s="27" t="n">
        <f aca="false">IF(H621-E621&gt;=GWL,99,E621*(MAX(0,GWL-H621)*(GAM_S-GAM_W)+MAX(0,NG-MAX(H621,GWL))*GAM_D)/(GAM_W*PI()*E621^2/4))</f>
        <v>0</v>
      </c>
      <c r="AA621" s="27" t="n">
        <f aca="false">IF(I621-E621&gt;=GWL,99,E621*(MAX(0,GWL-I621)*(GAM_S-GAM_W)+MAX(0,NG-MAX(I621,GWL))*GAM_D)/(GAM_W*PI()*E621^2/4))</f>
        <v>0</v>
      </c>
      <c r="AB621" s="27" t="n">
        <f aca="false">IF(H621-E621&gt;=GWL,99,E621*(MAX(0,GWL-H621)*(GAM_S-GAM_W)+MAX(0,FL-MAX(H621,GWL))*GAM_D)/(GAM_W*PI()*E621^2/4))</f>
        <v>0.855462554538144</v>
      </c>
      <c r="AC621" s="27" t="n">
        <f aca="false">IF(I621-E621&gt;=GWL,99,E621*(MAX(0,GWL-I621)*(GAM_S-GAM_W)+MAX(0,FL-MAX(I621,GWL))*GAM_D)/(GAM_W*PI()*E621^2/4))</f>
        <v>0.855462554538144</v>
      </c>
    </row>
    <row r="622" customFormat="false" ht="15" hidden="false" customHeight="false" outlineLevel="0" collapsed="false">
      <c r="A622" s="25" t="s">
        <v>1136</v>
      </c>
      <c r="B622" s="25" t="s">
        <v>1152</v>
      </c>
      <c r="C622" s="25" t="s">
        <v>1159</v>
      </c>
      <c r="D622" s="26" t="n">
        <v>2.60000000018784</v>
      </c>
      <c r="E622" s="26" t="n">
        <v>2.68999231710726</v>
      </c>
      <c r="F622" s="26" t="n">
        <v>-3.17499615855363</v>
      </c>
      <c r="G622" s="26" t="n">
        <v>-3.17499615855363</v>
      </c>
      <c r="H622" s="26" t="n">
        <v>0.0149961585536289</v>
      </c>
      <c r="I622" s="26" t="n">
        <v>0.0149961585536289</v>
      </c>
      <c r="J622" s="26" t="n">
        <v>18.29</v>
      </c>
      <c r="K622" s="27" t="n">
        <f aca="false">MIN(F622,G622)</f>
        <v>-3.17499615855363</v>
      </c>
      <c r="L622" s="27" t="n">
        <f aca="false">AVERAGE(F622,G622)</f>
        <v>-3.17499615855363</v>
      </c>
      <c r="M622" s="27" t="n">
        <f aca="false">MAX(0,NG-L622)</f>
        <v>2.47499615855363</v>
      </c>
      <c r="N622" s="27" t="n">
        <f aca="false">MAX(0,GWL-K622)</f>
        <v>1.67499615855363</v>
      </c>
      <c r="O622" s="27" t="n">
        <f aca="false">MAX(0,NG-MAX(K622,GWL))</f>
        <v>0.8</v>
      </c>
      <c r="P622" s="27" t="n">
        <f aca="false">E622/2+WS+SLOPE_A*O622+SLOPE_B*N622</f>
        <v>6.89498847566089</v>
      </c>
      <c r="Q622" s="28" t="str">
        <f aca="false">IF(AND(P622&lt;J622,N622&lt;=MAXOC),"Open cut","Shoring")</f>
        <v>Open cut</v>
      </c>
      <c r="R622" s="27" t="n">
        <f aca="false">IF(Q622="Shoring",D622,0)</f>
        <v>0</v>
      </c>
      <c r="S622" s="27" t="n">
        <f aca="false">MAX(0,GWL-L622)</f>
        <v>1.67499615855363</v>
      </c>
      <c r="T622" s="27" t="n">
        <f aca="false">MAX(0,NG-MAX(L622,GWL))</f>
        <v>0.8</v>
      </c>
      <c r="U622" s="27" t="n">
        <f aca="false">E622+2*WS</f>
        <v>4.68999231710726</v>
      </c>
      <c r="V622" s="27" t="n">
        <f aca="false">IF(Q622="Shoring",D622*M622*U622,0)</f>
        <v>0</v>
      </c>
      <c r="W622" s="27" t="n">
        <f aca="false">IF(Q622="Open cut",D622*(U622*M622+SLOPE_B*S622^2+2*SLOPE_B*S622*T622+SLOPE_A*T622^2),0)</f>
        <v>61.2012048437337</v>
      </c>
      <c r="X622" s="27" t="n">
        <f aca="false">IF(M622&gt;0,D622*(E622+2*SLABOVH)*SLAB,0)</f>
        <v>4.79699001258601</v>
      </c>
      <c r="Y622" s="27" t="n">
        <f aca="false">IF(M622&gt;0,D622*PI()*E622^2/4,0)</f>
        <v>14.7762866861965</v>
      </c>
      <c r="Z622" s="27" t="n">
        <f aca="false">IF(H622-E622&gt;=GWL,99,E622*(MAX(0,GWL-H622)*(GAM_S-GAM_W)+MAX(0,NG-MAX(H622,GWL))*GAM_D)/(GAM_W*PI()*E622^2/4))</f>
        <v>0</v>
      </c>
      <c r="AA622" s="27" t="n">
        <f aca="false">IF(I622-E622&gt;=GWL,99,E622*(MAX(0,GWL-I622)*(GAM_S-GAM_W)+MAX(0,NG-MAX(I622,GWL))*GAM_D)/(GAM_W*PI()*E622^2/4))</f>
        <v>0</v>
      </c>
      <c r="AB622" s="27" t="n">
        <f aca="false">IF(H622-E622&gt;=GWL,99,E622*(MAX(0,GWL-H622)*(GAM_S-GAM_W)+MAX(0,FL-MAX(H622,GWL))*GAM_D)/(GAM_W*PI()*E622^2/4))</f>
        <v>0.855461563121419</v>
      </c>
      <c r="AC622" s="27" t="n">
        <f aca="false">IF(I622-E622&gt;=GWL,99,E622*(MAX(0,GWL-I622)*(GAM_S-GAM_W)+MAX(0,FL-MAX(I622,GWL))*GAM_D)/(GAM_W*PI()*E622^2/4))</f>
        <v>0.855461563121419</v>
      </c>
    </row>
    <row r="623" customFormat="false" ht="15" hidden="false" customHeight="false" outlineLevel="0" collapsed="false">
      <c r="A623" s="25" t="s">
        <v>1136</v>
      </c>
      <c r="B623" s="25" t="s">
        <v>1152</v>
      </c>
      <c r="C623" s="25" t="s">
        <v>1160</v>
      </c>
      <c r="D623" s="26" t="n">
        <v>7.20604908740852</v>
      </c>
      <c r="E623" s="26" t="n">
        <v>2.68999231710726</v>
      </c>
      <c r="F623" s="26" t="n">
        <v>-3.17499615855363</v>
      </c>
      <c r="G623" s="26" t="n">
        <v>-3.17499615855363</v>
      </c>
      <c r="H623" s="26" t="n">
        <v>0.0149961585536289</v>
      </c>
      <c r="I623" s="26" t="n">
        <v>0.0149961585536289</v>
      </c>
      <c r="J623" s="26" t="n">
        <v>19.55</v>
      </c>
      <c r="K623" s="27" t="n">
        <f aca="false">MIN(F623,G623)</f>
        <v>-3.17499615855363</v>
      </c>
      <c r="L623" s="27" t="n">
        <f aca="false">AVERAGE(F623,G623)</f>
        <v>-3.17499615855363</v>
      </c>
      <c r="M623" s="27" t="n">
        <f aca="false">MAX(0,NG-L623)</f>
        <v>2.47499615855363</v>
      </c>
      <c r="N623" s="27" t="n">
        <f aca="false">MAX(0,GWL-K623)</f>
        <v>1.67499615855363</v>
      </c>
      <c r="O623" s="27" t="n">
        <f aca="false">MAX(0,NG-MAX(K623,GWL))</f>
        <v>0.8</v>
      </c>
      <c r="P623" s="27" t="n">
        <f aca="false">E623/2+WS+SLOPE_A*O623+SLOPE_B*N623</f>
        <v>6.89498847566089</v>
      </c>
      <c r="Q623" s="28" t="str">
        <f aca="false">IF(AND(P623&lt;J623,N623&lt;=MAXOC),"Open cut","Shoring")</f>
        <v>Open cut</v>
      </c>
      <c r="R623" s="27" t="n">
        <f aca="false">IF(Q623="Shoring",D623,0)</f>
        <v>0</v>
      </c>
      <c r="S623" s="27" t="n">
        <f aca="false">MAX(0,GWL-L623)</f>
        <v>1.67499615855363</v>
      </c>
      <c r="T623" s="27" t="n">
        <f aca="false">MAX(0,NG-MAX(L623,GWL))</f>
        <v>0.8</v>
      </c>
      <c r="U623" s="27" t="n">
        <f aca="false">E623+2*WS</f>
        <v>4.68999231710726</v>
      </c>
      <c r="V623" s="27" t="n">
        <f aca="false">IF(Q623="Shoring",D623*M623*U623,0)</f>
        <v>0</v>
      </c>
      <c r="W623" s="27" t="n">
        <f aca="false">IF(Q623="Open cut",D623*(U623*M623+SLOPE_B*S623^2+2*SLOPE_B*S623*T623+SLOPE_A*T623^2),0)</f>
        <v>169.622648569472</v>
      </c>
      <c r="X623" s="27" t="n">
        <f aca="false">IF(M623&gt;0,D623*(E623+2*SLABOVH)*SLAB,0)</f>
        <v>13.2951328846176</v>
      </c>
      <c r="Y623" s="27" t="n">
        <f aca="false">IF(M623&gt;0,D623*PI()*E623^2/4,0)</f>
        <v>40.9533258394846</v>
      </c>
      <c r="Z623" s="27" t="n">
        <f aca="false">IF(H623-E623&gt;=GWL,99,E623*(MAX(0,GWL-H623)*(GAM_S-GAM_W)+MAX(0,NG-MAX(H623,GWL))*GAM_D)/(GAM_W*PI()*E623^2/4))</f>
        <v>0</v>
      </c>
      <c r="AA623" s="27" t="n">
        <f aca="false">IF(I623-E623&gt;=GWL,99,E623*(MAX(0,GWL-I623)*(GAM_S-GAM_W)+MAX(0,NG-MAX(I623,GWL))*GAM_D)/(GAM_W*PI()*E623^2/4))</f>
        <v>0</v>
      </c>
      <c r="AB623" s="27" t="n">
        <f aca="false">IF(H623-E623&gt;=GWL,99,E623*(MAX(0,GWL-H623)*(GAM_S-GAM_W)+MAX(0,FL-MAX(H623,GWL))*GAM_D)/(GAM_W*PI()*E623^2/4))</f>
        <v>0.855461563121419</v>
      </c>
      <c r="AC623" s="27" t="n">
        <f aca="false">IF(I623-E623&gt;=GWL,99,E623*(MAX(0,GWL-I623)*(GAM_S-GAM_W)+MAX(0,FL-MAX(I623,GWL))*GAM_D)/(GAM_W*PI()*E623^2/4))</f>
        <v>0.855461563121419</v>
      </c>
    </row>
    <row r="624" customFormat="false" ht="15" hidden="false" customHeight="false" outlineLevel="0" collapsed="false">
      <c r="A624" s="25" t="s">
        <v>1136</v>
      </c>
      <c r="B624" s="25" t="s">
        <v>1152</v>
      </c>
      <c r="C624" s="25" t="s">
        <v>1161</v>
      </c>
      <c r="D624" s="26" t="n">
        <v>10.0000000001179</v>
      </c>
      <c r="E624" s="26" t="n">
        <v>2.68999231710726</v>
      </c>
      <c r="F624" s="26" t="n">
        <v>-3.17499615855363</v>
      </c>
      <c r="G624" s="26" t="n">
        <v>-3.17499615855363</v>
      </c>
      <c r="H624" s="26" t="n">
        <v>0.0149961585536289</v>
      </c>
      <c r="I624" s="26" t="n">
        <v>0.0149961585536289</v>
      </c>
      <c r="J624" s="26" t="n">
        <v>24.19</v>
      </c>
      <c r="K624" s="27" t="n">
        <f aca="false">MIN(F624,G624)</f>
        <v>-3.17499615855363</v>
      </c>
      <c r="L624" s="27" t="n">
        <f aca="false">AVERAGE(F624,G624)</f>
        <v>-3.17499615855363</v>
      </c>
      <c r="M624" s="27" t="n">
        <f aca="false">MAX(0,NG-L624)</f>
        <v>2.47499615855363</v>
      </c>
      <c r="N624" s="27" t="n">
        <f aca="false">MAX(0,GWL-K624)</f>
        <v>1.67499615855363</v>
      </c>
      <c r="O624" s="27" t="n">
        <f aca="false">MAX(0,NG-MAX(K624,GWL))</f>
        <v>0.8</v>
      </c>
      <c r="P624" s="27" t="n">
        <f aca="false">E624/2+WS+SLOPE_A*O624+SLOPE_B*N624</f>
        <v>6.89498847566089</v>
      </c>
      <c r="Q624" s="28" t="str">
        <f aca="false">IF(AND(P624&lt;J624,N624&lt;=MAXOC),"Open cut","Shoring")</f>
        <v>Open cut</v>
      </c>
      <c r="R624" s="27" t="n">
        <f aca="false">IF(Q624="Shoring",D624,0)</f>
        <v>0</v>
      </c>
      <c r="S624" s="27" t="n">
        <f aca="false">MAX(0,GWL-L624)</f>
        <v>1.67499615855363</v>
      </c>
      <c r="T624" s="27" t="n">
        <f aca="false">MAX(0,NG-MAX(L624,GWL))</f>
        <v>0.8</v>
      </c>
      <c r="U624" s="27" t="n">
        <f aca="false">E624+2*WS</f>
        <v>4.68999231710726</v>
      </c>
      <c r="V624" s="27" t="n">
        <f aca="false">IF(Q624="Shoring",D624*M624*U624,0)</f>
        <v>0</v>
      </c>
      <c r="W624" s="27" t="n">
        <f aca="false">IF(Q624="Open cut",D624*(U624*M624+SLOPE_B*S624^2+2*SLOPE_B*S624*T624+SLOPE_A*T624^2),0)</f>
        <v>235.389249384744</v>
      </c>
      <c r="X624" s="27" t="n">
        <f aca="false">IF(M624&gt;0,D624*(E624+2*SLABOVH)*SLAB,0)</f>
        <v>18.4499615857538</v>
      </c>
      <c r="Y624" s="27" t="n">
        <f aca="false">IF(M624&gt;0,D624*PI()*E624^2/4,0)</f>
        <v>56.8318718665505</v>
      </c>
      <c r="Z624" s="27" t="n">
        <f aca="false">IF(H624-E624&gt;=GWL,99,E624*(MAX(0,GWL-H624)*(GAM_S-GAM_W)+MAX(0,NG-MAX(H624,GWL))*GAM_D)/(GAM_W*PI()*E624^2/4))</f>
        <v>0</v>
      </c>
      <c r="AA624" s="27" t="n">
        <f aca="false">IF(I624-E624&gt;=GWL,99,E624*(MAX(0,GWL-I624)*(GAM_S-GAM_W)+MAX(0,NG-MAX(I624,GWL))*GAM_D)/(GAM_W*PI()*E624^2/4))</f>
        <v>0</v>
      </c>
      <c r="AB624" s="27" t="n">
        <f aca="false">IF(H624-E624&gt;=GWL,99,E624*(MAX(0,GWL-H624)*(GAM_S-GAM_W)+MAX(0,FL-MAX(H624,GWL))*GAM_D)/(GAM_W*PI()*E624^2/4))</f>
        <v>0.855461563121419</v>
      </c>
      <c r="AC624" s="27" t="n">
        <f aca="false">IF(I624-E624&gt;=GWL,99,E624*(MAX(0,GWL-I624)*(GAM_S-GAM_W)+MAX(0,FL-MAX(I624,GWL))*GAM_D)/(GAM_W*PI()*E624^2/4))</f>
        <v>0.855461563121419</v>
      </c>
    </row>
    <row r="625" customFormat="false" ht="15" hidden="false" customHeight="false" outlineLevel="0" collapsed="false">
      <c r="A625" s="25" t="s">
        <v>1136</v>
      </c>
      <c r="B625" s="25" t="s">
        <v>1152</v>
      </c>
      <c r="C625" s="25" t="s">
        <v>1162</v>
      </c>
      <c r="D625" s="26" t="n">
        <v>10.0000000000186</v>
      </c>
      <c r="E625" s="26" t="n">
        <v>2.68999231710726</v>
      </c>
      <c r="F625" s="26" t="n">
        <v>-3.17499615855363</v>
      </c>
      <c r="G625" s="26" t="n">
        <v>-3.17499615855363</v>
      </c>
      <c r="H625" s="26" t="n">
        <v>0.0149961585536289</v>
      </c>
      <c r="I625" s="26" t="n">
        <v>0.0149961585536289</v>
      </c>
      <c r="J625" s="26" t="n">
        <v>65.54</v>
      </c>
      <c r="K625" s="27" t="n">
        <f aca="false">MIN(F625,G625)</f>
        <v>-3.17499615855363</v>
      </c>
      <c r="L625" s="27" t="n">
        <f aca="false">AVERAGE(F625,G625)</f>
        <v>-3.17499615855363</v>
      </c>
      <c r="M625" s="27" t="n">
        <f aca="false">MAX(0,NG-L625)</f>
        <v>2.47499615855363</v>
      </c>
      <c r="N625" s="27" t="n">
        <f aca="false">MAX(0,GWL-K625)</f>
        <v>1.67499615855363</v>
      </c>
      <c r="O625" s="27" t="n">
        <f aca="false">MAX(0,NG-MAX(K625,GWL))</f>
        <v>0.8</v>
      </c>
      <c r="P625" s="27" t="n">
        <f aca="false">E625/2+WS+SLOPE_A*O625+SLOPE_B*N625</f>
        <v>6.89498847566089</v>
      </c>
      <c r="Q625" s="28" t="str">
        <f aca="false">IF(AND(P625&lt;J625,N625&lt;=MAXOC),"Open cut","Shoring")</f>
        <v>Open cut</v>
      </c>
      <c r="R625" s="27" t="n">
        <f aca="false">IF(Q625="Shoring",D625,0)</f>
        <v>0</v>
      </c>
      <c r="S625" s="27" t="n">
        <f aca="false">MAX(0,GWL-L625)</f>
        <v>1.67499615855363</v>
      </c>
      <c r="T625" s="27" t="n">
        <f aca="false">MAX(0,NG-MAX(L625,GWL))</f>
        <v>0.8</v>
      </c>
      <c r="U625" s="27" t="n">
        <f aca="false">E625+2*WS</f>
        <v>4.68999231710726</v>
      </c>
      <c r="V625" s="27" t="n">
        <f aca="false">IF(Q625="Shoring",D625*M625*U625,0)</f>
        <v>0</v>
      </c>
      <c r="W625" s="27" t="n">
        <f aca="false">IF(Q625="Open cut",D625*(U625*M625+SLOPE_B*S625^2+2*SLOPE_B*S625*T625+SLOPE_A*T625^2),0)</f>
        <v>235.389249382406</v>
      </c>
      <c r="X625" s="27" t="n">
        <f aca="false">IF(M625&gt;0,D625*(E625+2*SLABOVH)*SLAB,0)</f>
        <v>18.4499615855705</v>
      </c>
      <c r="Y625" s="27" t="n">
        <f aca="false">IF(M625&gt;0,D625*PI()*E625^2/4,0)</f>
        <v>56.8318718659859</v>
      </c>
      <c r="Z625" s="27" t="n">
        <f aca="false">IF(H625-E625&gt;=GWL,99,E625*(MAX(0,GWL-H625)*(GAM_S-GAM_W)+MAX(0,NG-MAX(H625,GWL))*GAM_D)/(GAM_W*PI()*E625^2/4))</f>
        <v>0</v>
      </c>
      <c r="AA625" s="27" t="n">
        <f aca="false">IF(I625-E625&gt;=GWL,99,E625*(MAX(0,GWL-I625)*(GAM_S-GAM_W)+MAX(0,NG-MAX(I625,GWL))*GAM_D)/(GAM_W*PI()*E625^2/4))</f>
        <v>0</v>
      </c>
      <c r="AB625" s="27" t="n">
        <f aca="false">IF(H625-E625&gt;=GWL,99,E625*(MAX(0,GWL-H625)*(GAM_S-GAM_W)+MAX(0,FL-MAX(H625,GWL))*GAM_D)/(GAM_W*PI()*E625^2/4))</f>
        <v>0.855461563121419</v>
      </c>
      <c r="AC625" s="27" t="n">
        <f aca="false">IF(I625-E625&gt;=GWL,99,E625*(MAX(0,GWL-I625)*(GAM_S-GAM_W)+MAX(0,FL-MAX(I625,GWL))*GAM_D)/(GAM_W*PI()*E625^2/4))</f>
        <v>0.855461563121419</v>
      </c>
    </row>
    <row r="626" customFormat="false" ht="15" hidden="false" customHeight="false" outlineLevel="0" collapsed="false">
      <c r="A626" s="25" t="s">
        <v>1136</v>
      </c>
      <c r="B626" s="25" t="s">
        <v>1152</v>
      </c>
      <c r="C626" s="25" t="s">
        <v>1163</v>
      </c>
      <c r="D626" s="26" t="n">
        <v>10.0000000000186</v>
      </c>
      <c r="E626" s="26" t="n">
        <v>2.68999231710726</v>
      </c>
      <c r="F626" s="26" t="n">
        <v>-3.17499615855363</v>
      </c>
      <c r="G626" s="26" t="n">
        <v>-3.17499615855363</v>
      </c>
      <c r="H626" s="26" t="n">
        <v>0.0149961585536289</v>
      </c>
      <c r="I626" s="26" t="n">
        <v>0.0149961585536289</v>
      </c>
      <c r="J626" s="26" t="n">
        <v>99</v>
      </c>
      <c r="K626" s="27" t="n">
        <f aca="false">MIN(F626,G626)</f>
        <v>-3.17499615855363</v>
      </c>
      <c r="L626" s="27" t="n">
        <f aca="false">AVERAGE(F626,G626)</f>
        <v>-3.17499615855363</v>
      </c>
      <c r="M626" s="27" t="n">
        <f aca="false">MAX(0,NG-L626)</f>
        <v>2.47499615855363</v>
      </c>
      <c r="N626" s="27" t="n">
        <f aca="false">MAX(0,GWL-K626)</f>
        <v>1.67499615855363</v>
      </c>
      <c r="O626" s="27" t="n">
        <f aca="false">MAX(0,NG-MAX(K626,GWL))</f>
        <v>0.8</v>
      </c>
      <c r="P626" s="27" t="n">
        <f aca="false">E626/2+WS+SLOPE_A*O626+SLOPE_B*N626</f>
        <v>6.89498847566089</v>
      </c>
      <c r="Q626" s="28" t="str">
        <f aca="false">IF(AND(P626&lt;J626,N626&lt;=MAXOC),"Open cut","Shoring")</f>
        <v>Open cut</v>
      </c>
      <c r="R626" s="27" t="n">
        <f aca="false">IF(Q626="Shoring",D626,0)</f>
        <v>0</v>
      </c>
      <c r="S626" s="27" t="n">
        <f aca="false">MAX(0,GWL-L626)</f>
        <v>1.67499615855363</v>
      </c>
      <c r="T626" s="27" t="n">
        <f aca="false">MAX(0,NG-MAX(L626,GWL))</f>
        <v>0.8</v>
      </c>
      <c r="U626" s="27" t="n">
        <f aca="false">E626+2*WS</f>
        <v>4.68999231710726</v>
      </c>
      <c r="V626" s="27" t="n">
        <f aca="false">IF(Q626="Shoring",D626*M626*U626,0)</f>
        <v>0</v>
      </c>
      <c r="W626" s="27" t="n">
        <f aca="false">IF(Q626="Open cut",D626*(U626*M626+SLOPE_B*S626^2+2*SLOPE_B*S626*T626+SLOPE_A*T626^2),0)</f>
        <v>235.389249382406</v>
      </c>
      <c r="X626" s="27" t="n">
        <f aca="false">IF(M626&gt;0,D626*(E626+2*SLABOVH)*SLAB,0)</f>
        <v>18.4499615855705</v>
      </c>
      <c r="Y626" s="27" t="n">
        <f aca="false">IF(M626&gt;0,D626*PI()*E626^2/4,0)</f>
        <v>56.8318718659859</v>
      </c>
      <c r="Z626" s="27" t="n">
        <f aca="false">IF(H626-E626&gt;=GWL,99,E626*(MAX(0,GWL-H626)*(GAM_S-GAM_W)+MAX(0,NG-MAX(H626,GWL))*GAM_D)/(GAM_W*PI()*E626^2/4))</f>
        <v>0</v>
      </c>
      <c r="AA626" s="27" t="n">
        <f aca="false">IF(I626-E626&gt;=GWL,99,E626*(MAX(0,GWL-I626)*(GAM_S-GAM_W)+MAX(0,NG-MAX(I626,GWL))*GAM_D)/(GAM_W*PI()*E626^2/4))</f>
        <v>0</v>
      </c>
      <c r="AB626" s="27" t="n">
        <f aca="false">IF(H626-E626&gt;=GWL,99,E626*(MAX(0,GWL-H626)*(GAM_S-GAM_W)+MAX(0,FL-MAX(H626,GWL))*GAM_D)/(GAM_W*PI()*E626^2/4))</f>
        <v>0.855461563121419</v>
      </c>
      <c r="AC626" s="27" t="n">
        <f aca="false">IF(I626-E626&gt;=GWL,99,E626*(MAX(0,GWL-I626)*(GAM_S-GAM_W)+MAX(0,FL-MAX(I626,GWL))*GAM_D)/(GAM_W*PI()*E626^2/4))</f>
        <v>0.855461563121419</v>
      </c>
    </row>
    <row r="627" customFormat="false" ht="15" hidden="false" customHeight="false" outlineLevel="0" collapsed="false">
      <c r="A627" s="25" t="s">
        <v>1136</v>
      </c>
      <c r="B627" s="25" t="s">
        <v>1152</v>
      </c>
      <c r="C627" s="25" t="s">
        <v>1164</v>
      </c>
      <c r="D627" s="26" t="n">
        <v>9.99999999987505</v>
      </c>
      <c r="E627" s="26" t="n">
        <v>2.68999231710726</v>
      </c>
      <c r="F627" s="26" t="n">
        <v>-3.17499615855363</v>
      </c>
      <c r="G627" s="26" t="n">
        <v>-3.17499615855363</v>
      </c>
      <c r="H627" s="26" t="n">
        <v>0.0149961585536289</v>
      </c>
      <c r="I627" s="26" t="n">
        <v>0.0149961585536289</v>
      </c>
      <c r="J627" s="26" t="n">
        <v>99</v>
      </c>
      <c r="K627" s="27" t="n">
        <f aca="false">MIN(F627,G627)</f>
        <v>-3.17499615855363</v>
      </c>
      <c r="L627" s="27" t="n">
        <f aca="false">AVERAGE(F627,G627)</f>
        <v>-3.17499615855363</v>
      </c>
      <c r="M627" s="27" t="n">
        <f aca="false">MAX(0,NG-L627)</f>
        <v>2.47499615855363</v>
      </c>
      <c r="N627" s="27" t="n">
        <f aca="false">MAX(0,GWL-K627)</f>
        <v>1.67499615855363</v>
      </c>
      <c r="O627" s="27" t="n">
        <f aca="false">MAX(0,NG-MAX(K627,GWL))</f>
        <v>0.8</v>
      </c>
      <c r="P627" s="27" t="n">
        <f aca="false">E627/2+WS+SLOPE_A*O627+SLOPE_B*N627</f>
        <v>6.89498847566089</v>
      </c>
      <c r="Q627" s="28" t="str">
        <f aca="false">IF(AND(P627&lt;J627,N627&lt;=MAXOC),"Open cut","Shoring")</f>
        <v>Open cut</v>
      </c>
      <c r="R627" s="27" t="n">
        <f aca="false">IF(Q627="Shoring",D627,0)</f>
        <v>0</v>
      </c>
      <c r="S627" s="27" t="n">
        <f aca="false">MAX(0,GWL-L627)</f>
        <v>1.67499615855363</v>
      </c>
      <c r="T627" s="27" t="n">
        <f aca="false">MAX(0,NG-MAX(L627,GWL))</f>
        <v>0.8</v>
      </c>
      <c r="U627" s="27" t="n">
        <f aca="false">E627+2*WS</f>
        <v>4.68999231710726</v>
      </c>
      <c r="V627" s="27" t="n">
        <f aca="false">IF(Q627="Shoring",D627*M627*U627,0)</f>
        <v>0</v>
      </c>
      <c r="W627" s="27" t="n">
        <f aca="false">IF(Q627="Open cut",D627*(U627*M627+SLOPE_B*S627^2+2*SLOPE_B*S627*T627+SLOPE_A*T627^2),0)</f>
        <v>235.389249379028</v>
      </c>
      <c r="X627" s="27" t="n">
        <f aca="false">IF(M627&gt;0,D627*(E627+2*SLABOVH)*SLAB,0)</f>
        <v>18.4499615853058</v>
      </c>
      <c r="Y627" s="27" t="n">
        <f aca="false">IF(M627&gt;0,D627*PI()*E627^2/4,0)</f>
        <v>56.8318718651703</v>
      </c>
      <c r="Z627" s="27" t="n">
        <f aca="false">IF(H627-E627&gt;=GWL,99,E627*(MAX(0,GWL-H627)*(GAM_S-GAM_W)+MAX(0,NG-MAX(H627,GWL))*GAM_D)/(GAM_W*PI()*E627^2/4))</f>
        <v>0</v>
      </c>
      <c r="AA627" s="27" t="n">
        <f aca="false">IF(I627-E627&gt;=GWL,99,E627*(MAX(0,GWL-I627)*(GAM_S-GAM_W)+MAX(0,NG-MAX(I627,GWL))*GAM_D)/(GAM_W*PI()*E627^2/4))</f>
        <v>0</v>
      </c>
      <c r="AB627" s="27" t="n">
        <f aca="false">IF(H627-E627&gt;=GWL,99,E627*(MAX(0,GWL-H627)*(GAM_S-GAM_W)+MAX(0,FL-MAX(H627,GWL))*GAM_D)/(GAM_W*PI()*E627^2/4))</f>
        <v>0.855461563121419</v>
      </c>
      <c r="AC627" s="27" t="n">
        <f aca="false">IF(I627-E627&gt;=GWL,99,E627*(MAX(0,GWL-I627)*(GAM_S-GAM_W)+MAX(0,FL-MAX(I627,GWL))*GAM_D)/(GAM_W*PI()*E627^2/4))</f>
        <v>0.855461563121419</v>
      </c>
    </row>
    <row r="628" customFormat="false" ht="15" hidden="false" customHeight="false" outlineLevel="0" collapsed="false">
      <c r="A628" s="25" t="s">
        <v>1136</v>
      </c>
      <c r="B628" s="25" t="s">
        <v>1152</v>
      </c>
      <c r="C628" s="25" t="s">
        <v>1165</v>
      </c>
      <c r="D628" s="26" t="n">
        <v>10.0000000000186</v>
      </c>
      <c r="E628" s="26" t="n">
        <v>2.68999231710726</v>
      </c>
      <c r="F628" s="26" t="n">
        <v>-3.17499615855363</v>
      </c>
      <c r="G628" s="26" t="n">
        <v>-3.17499615855363</v>
      </c>
      <c r="H628" s="26" t="n">
        <v>0.0149961585536289</v>
      </c>
      <c r="I628" s="26" t="n">
        <v>0.0149961585536289</v>
      </c>
      <c r="J628" s="26" t="n">
        <v>99</v>
      </c>
      <c r="K628" s="27" t="n">
        <f aca="false">MIN(F628,G628)</f>
        <v>-3.17499615855363</v>
      </c>
      <c r="L628" s="27" t="n">
        <f aca="false">AVERAGE(F628,G628)</f>
        <v>-3.17499615855363</v>
      </c>
      <c r="M628" s="27" t="n">
        <f aca="false">MAX(0,NG-L628)</f>
        <v>2.47499615855363</v>
      </c>
      <c r="N628" s="27" t="n">
        <f aca="false">MAX(0,GWL-K628)</f>
        <v>1.67499615855363</v>
      </c>
      <c r="O628" s="27" t="n">
        <f aca="false">MAX(0,NG-MAX(K628,GWL))</f>
        <v>0.8</v>
      </c>
      <c r="P628" s="27" t="n">
        <f aca="false">E628/2+WS+SLOPE_A*O628+SLOPE_B*N628</f>
        <v>6.89498847566089</v>
      </c>
      <c r="Q628" s="28" t="str">
        <f aca="false">IF(AND(P628&lt;J628,N628&lt;=MAXOC),"Open cut","Shoring")</f>
        <v>Open cut</v>
      </c>
      <c r="R628" s="27" t="n">
        <f aca="false">IF(Q628="Shoring",D628,0)</f>
        <v>0</v>
      </c>
      <c r="S628" s="27" t="n">
        <f aca="false">MAX(0,GWL-L628)</f>
        <v>1.67499615855363</v>
      </c>
      <c r="T628" s="27" t="n">
        <f aca="false">MAX(0,NG-MAX(L628,GWL))</f>
        <v>0.8</v>
      </c>
      <c r="U628" s="27" t="n">
        <f aca="false">E628+2*WS</f>
        <v>4.68999231710726</v>
      </c>
      <c r="V628" s="27" t="n">
        <f aca="false">IF(Q628="Shoring",D628*M628*U628,0)</f>
        <v>0</v>
      </c>
      <c r="W628" s="27" t="n">
        <f aca="false">IF(Q628="Open cut",D628*(U628*M628+SLOPE_B*S628^2+2*SLOPE_B*S628*T628+SLOPE_A*T628^2),0)</f>
        <v>235.389249382406</v>
      </c>
      <c r="X628" s="27" t="n">
        <f aca="false">IF(M628&gt;0,D628*(E628+2*SLABOVH)*SLAB,0)</f>
        <v>18.4499615855705</v>
      </c>
      <c r="Y628" s="27" t="n">
        <f aca="false">IF(M628&gt;0,D628*PI()*E628^2/4,0)</f>
        <v>56.8318718659859</v>
      </c>
      <c r="Z628" s="27" t="n">
        <f aca="false">IF(H628-E628&gt;=GWL,99,E628*(MAX(0,GWL-H628)*(GAM_S-GAM_W)+MAX(0,NG-MAX(H628,GWL))*GAM_D)/(GAM_W*PI()*E628^2/4))</f>
        <v>0</v>
      </c>
      <c r="AA628" s="27" t="n">
        <f aca="false">IF(I628-E628&gt;=GWL,99,E628*(MAX(0,GWL-I628)*(GAM_S-GAM_W)+MAX(0,NG-MAX(I628,GWL))*GAM_D)/(GAM_W*PI()*E628^2/4))</f>
        <v>0</v>
      </c>
      <c r="AB628" s="27" t="n">
        <f aca="false">IF(H628-E628&gt;=GWL,99,E628*(MAX(0,GWL-H628)*(GAM_S-GAM_W)+MAX(0,FL-MAX(H628,GWL))*GAM_D)/(GAM_W*PI()*E628^2/4))</f>
        <v>0.855461563121419</v>
      </c>
      <c r="AC628" s="27" t="n">
        <f aca="false">IF(I628-E628&gt;=GWL,99,E628*(MAX(0,GWL-I628)*(GAM_S-GAM_W)+MAX(0,FL-MAX(I628,GWL))*GAM_D)/(GAM_W*PI()*E628^2/4))</f>
        <v>0.855461563121419</v>
      </c>
    </row>
    <row r="629" customFormat="false" ht="15" hidden="false" customHeight="false" outlineLevel="0" collapsed="false">
      <c r="A629" s="25" t="s">
        <v>1136</v>
      </c>
      <c r="B629" s="25" t="s">
        <v>1152</v>
      </c>
      <c r="C629" s="25" t="s">
        <v>1166</v>
      </c>
      <c r="D629" s="26" t="n">
        <v>10.0000000000186</v>
      </c>
      <c r="E629" s="26" t="n">
        <v>2.68999231710726</v>
      </c>
      <c r="F629" s="26" t="n">
        <v>-3.17499615855363</v>
      </c>
      <c r="G629" s="26" t="n">
        <v>-3.17499615855363</v>
      </c>
      <c r="H629" s="26" t="n">
        <v>0.0149961585536289</v>
      </c>
      <c r="I629" s="26" t="n">
        <v>0.0149961585536289</v>
      </c>
      <c r="J629" s="26" t="n">
        <v>22.08</v>
      </c>
      <c r="K629" s="27" t="n">
        <f aca="false">MIN(F629,G629)</f>
        <v>-3.17499615855363</v>
      </c>
      <c r="L629" s="27" t="n">
        <f aca="false">AVERAGE(F629,G629)</f>
        <v>-3.17499615855363</v>
      </c>
      <c r="M629" s="27" t="n">
        <f aca="false">MAX(0,NG-L629)</f>
        <v>2.47499615855363</v>
      </c>
      <c r="N629" s="27" t="n">
        <f aca="false">MAX(0,GWL-K629)</f>
        <v>1.67499615855363</v>
      </c>
      <c r="O629" s="27" t="n">
        <f aca="false">MAX(0,NG-MAX(K629,GWL))</f>
        <v>0.8</v>
      </c>
      <c r="P629" s="27" t="n">
        <f aca="false">E629/2+WS+SLOPE_A*O629+SLOPE_B*N629</f>
        <v>6.89498847566089</v>
      </c>
      <c r="Q629" s="28" t="str">
        <f aca="false">IF(AND(P629&lt;J629,N629&lt;=MAXOC),"Open cut","Shoring")</f>
        <v>Open cut</v>
      </c>
      <c r="R629" s="27" t="n">
        <f aca="false">IF(Q629="Shoring",D629,0)</f>
        <v>0</v>
      </c>
      <c r="S629" s="27" t="n">
        <f aca="false">MAX(0,GWL-L629)</f>
        <v>1.67499615855363</v>
      </c>
      <c r="T629" s="27" t="n">
        <f aca="false">MAX(0,NG-MAX(L629,GWL))</f>
        <v>0.8</v>
      </c>
      <c r="U629" s="27" t="n">
        <f aca="false">E629+2*WS</f>
        <v>4.68999231710726</v>
      </c>
      <c r="V629" s="27" t="n">
        <f aca="false">IF(Q629="Shoring",D629*M629*U629,0)</f>
        <v>0</v>
      </c>
      <c r="W629" s="27" t="n">
        <f aca="false">IF(Q629="Open cut",D629*(U629*M629+SLOPE_B*S629^2+2*SLOPE_B*S629*T629+SLOPE_A*T629^2),0)</f>
        <v>235.389249382406</v>
      </c>
      <c r="X629" s="27" t="n">
        <f aca="false">IF(M629&gt;0,D629*(E629+2*SLABOVH)*SLAB,0)</f>
        <v>18.4499615855705</v>
      </c>
      <c r="Y629" s="27" t="n">
        <f aca="false">IF(M629&gt;0,D629*PI()*E629^2/4,0)</f>
        <v>56.8318718659859</v>
      </c>
      <c r="Z629" s="27" t="n">
        <f aca="false">IF(H629-E629&gt;=GWL,99,E629*(MAX(0,GWL-H629)*(GAM_S-GAM_W)+MAX(0,NG-MAX(H629,GWL))*GAM_D)/(GAM_W*PI()*E629^2/4))</f>
        <v>0</v>
      </c>
      <c r="AA629" s="27" t="n">
        <f aca="false">IF(I629-E629&gt;=GWL,99,E629*(MAX(0,GWL-I629)*(GAM_S-GAM_W)+MAX(0,NG-MAX(I629,GWL))*GAM_D)/(GAM_W*PI()*E629^2/4))</f>
        <v>0</v>
      </c>
      <c r="AB629" s="27" t="n">
        <f aca="false">IF(H629-E629&gt;=GWL,99,E629*(MAX(0,GWL-H629)*(GAM_S-GAM_W)+MAX(0,FL-MAX(H629,GWL))*GAM_D)/(GAM_W*PI()*E629^2/4))</f>
        <v>0.855461563121419</v>
      </c>
      <c r="AC629" s="27" t="n">
        <f aca="false">IF(I629-E629&gt;=GWL,99,E629*(MAX(0,GWL-I629)*(GAM_S-GAM_W)+MAX(0,FL-MAX(I629,GWL))*GAM_D)/(GAM_W*PI()*E629^2/4))</f>
        <v>0.855461563121419</v>
      </c>
    </row>
    <row r="630" customFormat="false" ht="15" hidden="false" customHeight="false" outlineLevel="0" collapsed="false">
      <c r="A630" s="25" t="s">
        <v>1136</v>
      </c>
      <c r="B630" s="25" t="s">
        <v>1152</v>
      </c>
      <c r="C630" s="25" t="s">
        <v>1167</v>
      </c>
      <c r="D630" s="26" t="n">
        <v>0.399999999717267</v>
      </c>
      <c r="E630" s="26" t="n">
        <v>2.68999231710726</v>
      </c>
      <c r="F630" s="26" t="n">
        <v>-3.17499615855363</v>
      </c>
      <c r="G630" s="26" t="n">
        <v>-3.17499615855363</v>
      </c>
      <c r="H630" s="26" t="n">
        <v>0.0149961585536289</v>
      </c>
      <c r="I630" s="26" t="n">
        <v>0.0149961585536289</v>
      </c>
      <c r="J630" s="26" t="n">
        <v>21.78</v>
      </c>
      <c r="K630" s="27" t="n">
        <f aca="false">MIN(F630,G630)</f>
        <v>-3.17499615855363</v>
      </c>
      <c r="L630" s="27" t="n">
        <f aca="false">AVERAGE(F630,G630)</f>
        <v>-3.17499615855363</v>
      </c>
      <c r="M630" s="27" t="n">
        <f aca="false">MAX(0,NG-L630)</f>
        <v>2.47499615855363</v>
      </c>
      <c r="N630" s="27" t="n">
        <f aca="false">MAX(0,GWL-K630)</f>
        <v>1.67499615855363</v>
      </c>
      <c r="O630" s="27" t="n">
        <f aca="false">MAX(0,NG-MAX(K630,GWL))</f>
        <v>0.8</v>
      </c>
      <c r="P630" s="27" t="n">
        <f aca="false">E630/2+WS+SLOPE_A*O630+SLOPE_B*N630</f>
        <v>6.89498847566089</v>
      </c>
      <c r="Q630" s="28" t="str">
        <f aca="false">IF(AND(P630&lt;J630,N630&lt;=MAXOC),"Open cut","Shoring")</f>
        <v>Open cut</v>
      </c>
      <c r="R630" s="27" t="n">
        <f aca="false">IF(Q630="Shoring",D630,0)</f>
        <v>0</v>
      </c>
      <c r="S630" s="27" t="n">
        <f aca="false">MAX(0,GWL-L630)</f>
        <v>1.67499615855363</v>
      </c>
      <c r="T630" s="27" t="n">
        <f aca="false">MAX(0,NG-MAX(L630,GWL))</f>
        <v>0.8</v>
      </c>
      <c r="U630" s="27" t="n">
        <f aca="false">E630+2*WS</f>
        <v>4.68999231710726</v>
      </c>
      <c r="V630" s="27" t="n">
        <f aca="false">IF(Q630="Shoring",D630*M630*U630,0)</f>
        <v>0</v>
      </c>
      <c r="W630" s="27" t="n">
        <f aca="false">IF(Q630="Open cut",D630*(U630*M630+SLOPE_B*S630^2+2*SLOPE_B*S630*T630+SLOPE_A*T630^2),0)</f>
        <v>9.41556996862354</v>
      </c>
      <c r="X630" s="27" t="n">
        <f aca="false">IF(M630&gt;0,D630*(E630+2*SLABOVH)*SLAB,0)</f>
        <v>0.73799846289981</v>
      </c>
      <c r="Y630" s="27" t="n">
        <f aca="false">IF(M630&gt;0,D630*PI()*E630^2/4,0)</f>
        <v>2.27327487302839</v>
      </c>
      <c r="Z630" s="27" t="n">
        <f aca="false">IF(H630-E630&gt;=GWL,99,E630*(MAX(0,GWL-H630)*(GAM_S-GAM_W)+MAX(0,NG-MAX(H630,GWL))*GAM_D)/(GAM_W*PI()*E630^2/4))</f>
        <v>0</v>
      </c>
      <c r="AA630" s="27" t="n">
        <f aca="false">IF(I630-E630&gt;=GWL,99,E630*(MAX(0,GWL-I630)*(GAM_S-GAM_W)+MAX(0,NG-MAX(I630,GWL))*GAM_D)/(GAM_W*PI()*E630^2/4))</f>
        <v>0</v>
      </c>
      <c r="AB630" s="27" t="n">
        <f aca="false">IF(H630-E630&gt;=GWL,99,E630*(MAX(0,GWL-H630)*(GAM_S-GAM_W)+MAX(0,FL-MAX(H630,GWL))*GAM_D)/(GAM_W*PI()*E630^2/4))</f>
        <v>0.855461563121419</v>
      </c>
      <c r="AC630" s="27" t="n">
        <f aca="false">IF(I630-E630&gt;=GWL,99,E630*(MAX(0,GWL-I630)*(GAM_S-GAM_W)+MAX(0,FL-MAX(I630,GWL))*GAM_D)/(GAM_W*PI()*E630^2/4))</f>
        <v>0.855461563121419</v>
      </c>
    </row>
    <row r="631" customFormat="false" ht="15" hidden="false" customHeight="false" outlineLevel="0" collapsed="false">
      <c r="A631" s="25" t="s">
        <v>1136</v>
      </c>
      <c r="B631" s="25" t="s">
        <v>1168</v>
      </c>
      <c r="C631" s="25" t="s">
        <v>1169</v>
      </c>
      <c r="D631" s="26" t="n">
        <v>5.22392091291914</v>
      </c>
      <c r="E631" s="26" t="n">
        <v>2.68999231710726</v>
      </c>
      <c r="F631" s="26" t="n">
        <v>-3.17499615855363</v>
      </c>
      <c r="G631" s="26" t="n">
        <v>-3.17499615855363</v>
      </c>
      <c r="H631" s="26" t="n">
        <v>0.0149961585536289</v>
      </c>
      <c r="I631" s="26" t="n">
        <v>0.0149961585536289</v>
      </c>
      <c r="J631" s="26" t="n">
        <v>17.99</v>
      </c>
      <c r="K631" s="27" t="n">
        <f aca="false">MIN(F631,G631)</f>
        <v>-3.17499615855363</v>
      </c>
      <c r="L631" s="27" t="n">
        <f aca="false">AVERAGE(F631,G631)</f>
        <v>-3.17499615855363</v>
      </c>
      <c r="M631" s="27" t="n">
        <f aca="false">MAX(0,NG-L631)</f>
        <v>2.47499615855363</v>
      </c>
      <c r="N631" s="27" t="n">
        <f aca="false">MAX(0,GWL-K631)</f>
        <v>1.67499615855363</v>
      </c>
      <c r="O631" s="27" t="n">
        <f aca="false">MAX(0,NG-MAX(K631,GWL))</f>
        <v>0.8</v>
      </c>
      <c r="P631" s="27" t="n">
        <f aca="false">E631/2+WS+SLOPE_A*O631+SLOPE_B*N631</f>
        <v>6.89498847566089</v>
      </c>
      <c r="Q631" s="28" t="str">
        <f aca="false">IF(AND(P631&lt;J631,N631&lt;=MAXOC),"Open cut","Shoring")</f>
        <v>Open cut</v>
      </c>
      <c r="R631" s="27" t="n">
        <f aca="false">IF(Q631="Shoring",D631,0)</f>
        <v>0</v>
      </c>
      <c r="S631" s="27" t="n">
        <f aca="false">MAX(0,GWL-L631)</f>
        <v>1.67499615855363</v>
      </c>
      <c r="T631" s="27" t="n">
        <f aca="false">MAX(0,NG-MAX(L631,GWL))</f>
        <v>0.8</v>
      </c>
      <c r="U631" s="27" t="n">
        <f aca="false">E631+2*WS</f>
        <v>4.68999231710726</v>
      </c>
      <c r="V631" s="27" t="n">
        <f aca="false">IF(Q631="Shoring",D631*M631*U631,0)</f>
        <v>0</v>
      </c>
      <c r="W631" s="27" t="n">
        <f aca="false">IF(Q631="Open cut",D631*(U631*M631+SLOPE_B*S631^2+2*SLOPE_B*S631*T631+SLOPE_A*T631^2),0)</f>
        <v>122.965482252281</v>
      </c>
      <c r="X631" s="27" t="n">
        <f aca="false">IF(M631&gt;0,D631*(E631+2*SLABOVH)*SLAB,0)</f>
        <v>9.63811401692379</v>
      </c>
      <c r="Y631" s="27" t="n">
        <f aca="false">IF(M631&gt;0,D631*PI()*E631^2/4,0)</f>
        <v>29.6885203960514</v>
      </c>
      <c r="Z631" s="27" t="n">
        <f aca="false">IF(H631-E631&gt;=GWL,99,E631*(MAX(0,GWL-H631)*(GAM_S-GAM_W)+MAX(0,NG-MAX(H631,GWL))*GAM_D)/(GAM_W*PI()*E631^2/4))</f>
        <v>0</v>
      </c>
      <c r="AA631" s="27" t="n">
        <f aca="false">IF(I631-E631&gt;=GWL,99,E631*(MAX(0,GWL-I631)*(GAM_S-GAM_W)+MAX(0,NG-MAX(I631,GWL))*GAM_D)/(GAM_W*PI()*E631^2/4))</f>
        <v>0</v>
      </c>
      <c r="AB631" s="27" t="n">
        <f aca="false">IF(H631-E631&gt;=GWL,99,E631*(MAX(0,GWL-H631)*(GAM_S-GAM_W)+MAX(0,FL-MAX(H631,GWL))*GAM_D)/(GAM_W*PI()*E631^2/4))</f>
        <v>0.855461563121419</v>
      </c>
      <c r="AC631" s="27" t="n">
        <f aca="false">IF(I631-E631&gt;=GWL,99,E631*(MAX(0,GWL-I631)*(GAM_S-GAM_W)+MAX(0,FL-MAX(I631,GWL))*GAM_D)/(GAM_W*PI()*E631^2/4))</f>
        <v>0.855461563121419</v>
      </c>
    </row>
    <row r="632" customFormat="false" ht="15" hidden="false" customHeight="false" outlineLevel="0" collapsed="false">
      <c r="A632" s="25" t="s">
        <v>1136</v>
      </c>
      <c r="B632" s="25" t="s">
        <v>1168</v>
      </c>
      <c r="C632" s="25" t="s">
        <v>1170</v>
      </c>
      <c r="D632" s="26" t="n">
        <v>1.73856319275509</v>
      </c>
      <c r="E632" s="26" t="n">
        <v>2.6569982783834</v>
      </c>
      <c r="F632" s="26" t="n">
        <v>-3.1584991391917</v>
      </c>
      <c r="G632" s="26" t="n">
        <v>-3.1703191391917</v>
      </c>
      <c r="H632" s="26" t="n">
        <v>-0.00150086080830048</v>
      </c>
      <c r="I632" s="26" t="n">
        <v>-0.0133208608083004</v>
      </c>
      <c r="J632" s="26" t="n">
        <v>16.79</v>
      </c>
      <c r="K632" s="27" t="n">
        <f aca="false">MIN(F632,G632)</f>
        <v>-3.1703191391917</v>
      </c>
      <c r="L632" s="27" t="n">
        <f aca="false">AVERAGE(F632,G632)</f>
        <v>-3.1644091391917</v>
      </c>
      <c r="M632" s="27" t="n">
        <f aca="false">MAX(0,NG-L632)</f>
        <v>2.4644091391917</v>
      </c>
      <c r="N632" s="27" t="n">
        <f aca="false">MAX(0,GWL-K632)</f>
        <v>1.6703191391917</v>
      </c>
      <c r="O632" s="27" t="n">
        <f aca="false">MAX(0,NG-MAX(K632,GWL))</f>
        <v>0.8</v>
      </c>
      <c r="P632" s="27" t="n">
        <f aca="false">E632/2+WS+SLOPE_A*O632+SLOPE_B*N632</f>
        <v>6.8691374175751</v>
      </c>
      <c r="Q632" s="28" t="str">
        <f aca="false">IF(AND(P632&lt;J632,N632&lt;=MAXOC),"Open cut","Shoring")</f>
        <v>Open cut</v>
      </c>
      <c r="R632" s="27" t="n">
        <f aca="false">IF(Q632="Shoring",D632,0)</f>
        <v>0</v>
      </c>
      <c r="S632" s="27" t="n">
        <f aca="false">MAX(0,GWL-L632)</f>
        <v>1.6644091391917</v>
      </c>
      <c r="T632" s="27" t="n">
        <f aca="false">MAX(0,NG-MAX(L632,GWL))</f>
        <v>0.8</v>
      </c>
      <c r="U632" s="27" t="n">
        <f aca="false">E632+2*WS</f>
        <v>4.6569982783834</v>
      </c>
      <c r="V632" s="27" t="n">
        <f aca="false">IF(Q632="Shoring",D632*M632*U632,0)</f>
        <v>0</v>
      </c>
      <c r="W632" s="27" t="n">
        <f aca="false">IF(Q632="Open cut",D632*(U632*M632+SLOPE_B*S632^2+2*SLOPE_B*S632*T632+SLOPE_A*T632^2),0)</f>
        <v>40.5143881801612</v>
      </c>
      <c r="X632" s="27" t="n">
        <f aca="false">IF(M632&gt;0,D632*(E632+2*SLABOVH)*SLAB,0)</f>
        <v>3.17896130138305</v>
      </c>
      <c r="Y632" s="27" t="n">
        <f aca="false">IF(M632&gt;0,D632*PI()*E632^2/4,0)</f>
        <v>9.6396864599319</v>
      </c>
      <c r="Z632" s="27" t="n">
        <f aca="false">IF(H632-E632&gt;=GWL,99,E632*(MAX(0,GWL-H632)*(GAM_S-GAM_W)+MAX(0,NG-MAX(H632,GWL))*GAM_D)/(GAM_W*PI()*E632^2/4))</f>
        <v>0</v>
      </c>
      <c r="AA632" s="27" t="n">
        <f aca="false">IF(I632-E632&gt;=GWL,99,E632*(MAX(0,GWL-I632)*(GAM_S-GAM_W)+MAX(0,NG-MAX(I632,GWL))*GAM_D)/(GAM_W*PI()*E632^2/4))</f>
        <v>0</v>
      </c>
      <c r="AB632" s="27" t="n">
        <f aca="false">IF(H632-E632&gt;=GWL,99,E632*(MAX(0,GWL-H632)*(GAM_S-GAM_W)+MAX(0,FL-MAX(H632,GWL))*GAM_D)/(GAM_W*PI()*E632^2/4))</f>
        <v>0.880589839757325</v>
      </c>
      <c r="AC632" s="27" t="n">
        <f aca="false">IF(I632-E632&gt;=GWL,99,E632*(MAX(0,GWL-I632)*(GAM_S-GAM_W)+MAX(0,FL-MAX(I632,GWL))*GAM_D)/(GAM_W*PI()*E632^2/4))</f>
        <v>0.89098281325665</v>
      </c>
    </row>
    <row r="633" customFormat="false" ht="15" hidden="false" customHeight="false" outlineLevel="0" collapsed="false">
      <c r="A633" s="25" t="s">
        <v>1136</v>
      </c>
      <c r="B633" s="25" t="s">
        <v>1168</v>
      </c>
      <c r="C633" s="25" t="s">
        <v>1171</v>
      </c>
      <c r="D633" s="26" t="n">
        <v>0.811450053569724</v>
      </c>
      <c r="E633" s="26" t="n">
        <v>2.6059545180349</v>
      </c>
      <c r="F633" s="26" t="n">
        <v>-3.14479725901745</v>
      </c>
      <c r="G633" s="26" t="n">
        <v>-3.15030725901745</v>
      </c>
      <c r="H633" s="26" t="n">
        <v>-0.0388427409825516</v>
      </c>
      <c r="I633" s="26" t="n">
        <v>-0.0443527409825515</v>
      </c>
      <c r="J633" s="26" t="n">
        <v>16.37</v>
      </c>
      <c r="K633" s="27" t="n">
        <f aca="false">MIN(F633,G633)</f>
        <v>-3.15030725901745</v>
      </c>
      <c r="L633" s="27" t="n">
        <f aca="false">AVERAGE(F633,G633)</f>
        <v>-3.14755225901745</v>
      </c>
      <c r="M633" s="27" t="n">
        <f aca="false">MAX(0,NG-L633)</f>
        <v>2.44755225901745</v>
      </c>
      <c r="N633" s="27" t="n">
        <f aca="false">MAX(0,GWL-K633)</f>
        <v>1.65030725901745</v>
      </c>
      <c r="O633" s="27" t="n">
        <f aca="false">MAX(0,NG-MAX(K633,GWL))</f>
        <v>0.8</v>
      </c>
      <c r="P633" s="27" t="n">
        <f aca="false">E633/2+WS+SLOPE_A*O633+SLOPE_B*N633</f>
        <v>6.80359177705235</v>
      </c>
      <c r="Q633" s="28" t="str">
        <f aca="false">IF(AND(P633&lt;J633,N633&lt;=MAXOC),"Open cut","Shoring")</f>
        <v>Open cut</v>
      </c>
      <c r="R633" s="27" t="n">
        <f aca="false">IF(Q633="Shoring",D633,0)</f>
        <v>0</v>
      </c>
      <c r="S633" s="27" t="n">
        <f aca="false">MAX(0,GWL-L633)</f>
        <v>1.64755225901745</v>
      </c>
      <c r="T633" s="27" t="n">
        <f aca="false">MAX(0,NG-MAX(L633,GWL))</f>
        <v>0.8</v>
      </c>
      <c r="U633" s="27" t="n">
        <f aca="false">E633+2*WS</f>
        <v>4.6059545180349</v>
      </c>
      <c r="V633" s="27" t="n">
        <f aca="false">IF(Q633="Shoring",D633*M633*U633,0)</f>
        <v>0</v>
      </c>
      <c r="W633" s="27" t="n">
        <f aca="false">IF(Q633="Open cut",D633*(U633*M633+SLOPE_B*S633^2+2*SLOPE_B*S633*T633+SLOPE_A*T633^2),0)</f>
        <v>18.6100702099216</v>
      </c>
      <c r="X633" s="27" t="n">
        <f aca="false">IF(M633&gt;0,D633*(E633+2*SLABOVH)*SLAB,0)</f>
        <v>1.4630259934147</v>
      </c>
      <c r="Y633" s="27" t="n">
        <f aca="false">IF(M633&gt;0,D633*PI()*E633^2/4,0)</f>
        <v>4.32798092441404</v>
      </c>
      <c r="Z633" s="27" t="n">
        <f aca="false">IF(H633-E633&gt;=GWL,99,E633*(MAX(0,GWL-H633)*(GAM_S-GAM_W)+MAX(0,NG-MAX(H633,GWL))*GAM_D)/(GAM_W*PI()*E633^2/4))</f>
        <v>0</v>
      </c>
      <c r="AA633" s="27" t="n">
        <f aca="false">IF(I633-E633&gt;=GWL,99,E633*(MAX(0,GWL-I633)*(GAM_S-GAM_W)+MAX(0,NG-MAX(I633,GWL))*GAM_D)/(GAM_W*PI()*E633^2/4))</f>
        <v>0</v>
      </c>
      <c r="AB633" s="27" t="n">
        <f aca="false">IF(H633-E633&gt;=GWL,99,E633*(MAX(0,GWL-H633)*(GAM_S-GAM_W)+MAX(0,FL-MAX(H633,GWL))*GAM_D)/(GAM_W*PI()*E633^2/4))</f>
        <v>0.93131499201536</v>
      </c>
      <c r="AC633" s="27" t="n">
        <f aca="false">IF(I633-E633&gt;=GWL,99,E633*(MAX(0,GWL-I633)*(GAM_S-GAM_W)+MAX(0,FL-MAX(I633,GWL))*GAM_D)/(GAM_W*PI()*E633^2/4))</f>
        <v>0.936254667101457</v>
      </c>
    </row>
    <row r="634" customFormat="false" ht="15" hidden="false" customHeight="false" outlineLevel="0" collapsed="false">
      <c r="A634" s="25" t="s">
        <v>1136</v>
      </c>
      <c r="B634" s="25" t="s">
        <v>1168</v>
      </c>
      <c r="C634" s="25" t="s">
        <v>1172</v>
      </c>
      <c r="D634" s="26" t="n">
        <v>0.811573162828691</v>
      </c>
      <c r="E634" s="26" t="n">
        <v>2.60594730195074</v>
      </c>
      <c r="F634" s="26" t="n">
        <v>-3.15030365097537</v>
      </c>
      <c r="G634" s="26" t="n">
        <v>-3.15582365097537</v>
      </c>
      <c r="H634" s="26" t="n">
        <v>-0.0443563490246299</v>
      </c>
      <c r="I634" s="26" t="n">
        <v>-0.0498763490246301</v>
      </c>
      <c r="J634" s="26" t="n">
        <v>16.26</v>
      </c>
      <c r="K634" s="27" t="n">
        <f aca="false">MIN(F634,G634)</f>
        <v>-3.15582365097537</v>
      </c>
      <c r="L634" s="27" t="n">
        <f aca="false">AVERAGE(F634,G634)</f>
        <v>-3.15306365097537</v>
      </c>
      <c r="M634" s="27" t="n">
        <f aca="false">MAX(0,NG-L634)</f>
        <v>2.45306365097537</v>
      </c>
      <c r="N634" s="27" t="n">
        <f aca="false">MAX(0,GWL-K634)</f>
        <v>1.65582365097537</v>
      </c>
      <c r="O634" s="27" t="n">
        <f aca="false">MAX(0,NG-MAX(K634,GWL))</f>
        <v>0.8</v>
      </c>
      <c r="P634" s="27" t="n">
        <f aca="false">E634/2+WS+SLOPE_A*O634+SLOPE_B*N634</f>
        <v>6.81462095292611</v>
      </c>
      <c r="Q634" s="28" t="str">
        <f aca="false">IF(AND(P634&lt;J634,N634&lt;=MAXOC),"Open cut","Shoring")</f>
        <v>Open cut</v>
      </c>
      <c r="R634" s="27" t="n">
        <f aca="false">IF(Q634="Shoring",D634,0)</f>
        <v>0</v>
      </c>
      <c r="S634" s="27" t="n">
        <f aca="false">MAX(0,GWL-L634)</f>
        <v>1.65306365097537</v>
      </c>
      <c r="T634" s="27" t="n">
        <f aca="false">MAX(0,NG-MAX(L634,GWL))</f>
        <v>0.8</v>
      </c>
      <c r="U634" s="27" t="n">
        <f aca="false">E634+2*WS</f>
        <v>4.60594730195074</v>
      </c>
      <c r="V634" s="27" t="n">
        <f aca="false">IF(Q634="Shoring",D634*M634*U634,0)</f>
        <v>0</v>
      </c>
      <c r="W634" s="27" t="n">
        <f aca="false">IF(Q634="Open cut",D634*(U634*M634+SLOPE_B*S634^2+2*SLOPE_B*S634*T634+SLOPE_A*T634^2),0)</f>
        <v>18.6773211453835</v>
      </c>
      <c r="X634" s="27" t="n">
        <f aca="false">IF(M634&gt;0,D634*(E634+2*SLABOVH)*SLAB,0)</f>
        <v>1.46324502841887</v>
      </c>
      <c r="Y634" s="27" t="n">
        <f aca="false">IF(M634&gt;0,D634*PI()*E634^2/4,0)</f>
        <v>4.32861357203551</v>
      </c>
      <c r="Z634" s="27" t="n">
        <f aca="false">IF(H634-E634&gt;=GWL,99,E634*(MAX(0,GWL-H634)*(GAM_S-GAM_W)+MAX(0,NG-MAX(H634,GWL))*GAM_D)/(GAM_W*PI()*E634^2/4))</f>
        <v>0</v>
      </c>
      <c r="AA634" s="27" t="n">
        <f aca="false">IF(I634-E634&gt;=GWL,99,E634*(MAX(0,GWL-I634)*(GAM_S-GAM_W)+MAX(0,NG-MAX(I634,GWL))*GAM_D)/(GAM_W*PI()*E634^2/4))</f>
        <v>0</v>
      </c>
      <c r="AB634" s="27" t="n">
        <f aca="false">IF(H634-E634&gt;=GWL,99,E634*(MAX(0,GWL-H634)*(GAM_S-GAM_W)+MAX(0,FL-MAX(H634,GWL))*GAM_D)/(GAM_W*PI()*E634^2/4))</f>
        <v>0.936260494260805</v>
      </c>
      <c r="AC634" s="27" t="n">
        <f aca="false">IF(I634-E634&gt;=GWL,99,E634*(MAX(0,GWL-I634)*(GAM_S-GAM_W)+MAX(0,FL-MAX(I634,GWL))*GAM_D)/(GAM_W*PI()*E634^2/4))</f>
        <v>0.941209147977658</v>
      </c>
    </row>
    <row r="635" customFormat="false" ht="15" hidden="false" customHeight="false" outlineLevel="0" collapsed="false">
      <c r="A635" s="25" t="s">
        <v>1136</v>
      </c>
      <c r="B635" s="25" t="s">
        <v>1168</v>
      </c>
      <c r="C635" s="25" t="s">
        <v>1173</v>
      </c>
      <c r="D635" s="26" t="n">
        <v>1.01449267851767</v>
      </c>
      <c r="E635" s="26" t="n">
        <v>2.65700135557846</v>
      </c>
      <c r="F635" s="26" t="n">
        <v>-3.18135067778923</v>
      </c>
      <c r="G635" s="26" t="n">
        <v>-3.1882484091333</v>
      </c>
      <c r="H635" s="26" t="n">
        <v>-0.024349322210768</v>
      </c>
      <c r="I635" s="26" t="n">
        <v>-0.0312470535548399</v>
      </c>
      <c r="J635" s="26" t="n">
        <v>16.26</v>
      </c>
      <c r="K635" s="27" t="n">
        <f aca="false">MIN(F635,G635)</f>
        <v>-3.1882484091333</v>
      </c>
      <c r="L635" s="27" t="n">
        <f aca="false">AVERAGE(F635,G635)</f>
        <v>-3.18479954346127</v>
      </c>
      <c r="M635" s="27" t="n">
        <f aca="false">MAX(0,NG-L635)</f>
        <v>2.48479954346127</v>
      </c>
      <c r="N635" s="27" t="n">
        <f aca="false">MAX(0,GWL-K635)</f>
        <v>1.6882484091333</v>
      </c>
      <c r="O635" s="27" t="n">
        <f aca="false">MAX(0,NG-MAX(K635,GWL))</f>
        <v>0.8</v>
      </c>
      <c r="P635" s="27" t="n">
        <f aca="false">E635/2+WS+SLOPE_A*O635+SLOPE_B*N635</f>
        <v>6.90499749605584</v>
      </c>
      <c r="Q635" s="28" t="str">
        <f aca="false">IF(AND(P635&lt;J635,N635&lt;=MAXOC),"Open cut","Shoring")</f>
        <v>Open cut</v>
      </c>
      <c r="R635" s="27" t="n">
        <f aca="false">IF(Q635="Shoring",D635,0)</f>
        <v>0</v>
      </c>
      <c r="S635" s="27" t="n">
        <f aca="false">MAX(0,GWL-L635)</f>
        <v>1.68479954346127</v>
      </c>
      <c r="T635" s="27" t="n">
        <f aca="false">MAX(0,NG-MAX(L635,GWL))</f>
        <v>0.8</v>
      </c>
      <c r="U635" s="27" t="n">
        <f aca="false">E635+2*WS</f>
        <v>4.65700135557846</v>
      </c>
      <c r="V635" s="27" t="n">
        <f aca="false">IF(Q635="Shoring",D635*M635*U635,0)</f>
        <v>0</v>
      </c>
      <c r="W635" s="27" t="n">
        <f aca="false">IF(Q635="Open cut",D635*(U635*M635+SLOPE_B*S635^2+2*SLOPE_B*S635*T635+SLOPE_A*T635^2),0)</f>
        <v>23.9422020959423</v>
      </c>
      <c r="X635" s="27" t="n">
        <f aca="false">IF(M635&gt;0,D635*(E635+2*SLABOVH)*SLAB,0)</f>
        <v>1.85500055028177</v>
      </c>
      <c r="Y635" s="27" t="n">
        <f aca="false">IF(M635&gt;0,D635*PI()*E635^2/4,0)</f>
        <v>5.62499771623004</v>
      </c>
      <c r="Z635" s="27" t="n">
        <f aca="false">IF(H635-E635&gt;=GWL,99,E635*(MAX(0,GWL-H635)*(GAM_S-GAM_W)+MAX(0,NG-MAX(H635,GWL))*GAM_D)/(GAM_W*PI()*E635^2/4))</f>
        <v>0</v>
      </c>
      <c r="AA635" s="27" t="n">
        <f aca="false">IF(I635-E635&gt;=GWL,99,E635*(MAX(0,GWL-I635)*(GAM_S-GAM_W)+MAX(0,NG-MAX(I635,GWL))*GAM_D)/(GAM_W*PI()*E635^2/4))</f>
        <v>0</v>
      </c>
      <c r="AB635" s="27" t="n">
        <f aca="false">IF(H635-E635&gt;=GWL,99,E635*(MAX(0,GWL-H635)*(GAM_S-GAM_W)+MAX(0,FL-MAX(H635,GWL))*GAM_D)/(GAM_W*PI()*E635^2/4))</f>
        <v>0.900678767354164</v>
      </c>
      <c r="AC635" s="27" t="n">
        <f aca="false">IF(I635-E635&gt;=GWL,99,E635*(MAX(0,GWL-I635)*(GAM_S-GAM_W)+MAX(0,FL-MAX(I635,GWL))*GAM_D)/(GAM_W*PI()*E635^2/4))</f>
        <v>0.906743729794038</v>
      </c>
    </row>
    <row r="636" customFormat="false" ht="15" hidden="false" customHeight="false" outlineLevel="0" collapsed="false">
      <c r="A636" s="25" t="s">
        <v>1136</v>
      </c>
      <c r="B636" s="25" t="s">
        <v>1168</v>
      </c>
      <c r="C636" s="25" t="s">
        <v>1174</v>
      </c>
      <c r="D636" s="26" t="n">
        <v>0.723948971167515</v>
      </c>
      <c r="E636" s="26" t="n">
        <v>2.65700135557846</v>
      </c>
      <c r="F636" s="26" t="n">
        <v>-3.1882484091333</v>
      </c>
      <c r="G636" s="26" t="n">
        <v>-3.19317067778923</v>
      </c>
      <c r="H636" s="26" t="n">
        <v>-0.0312470535548399</v>
      </c>
      <c r="I636" s="26" t="n">
        <v>-0.036169322210768</v>
      </c>
      <c r="J636" s="26" t="n">
        <v>16.34</v>
      </c>
      <c r="K636" s="27" t="n">
        <f aca="false">MIN(F636,G636)</f>
        <v>-3.19317067778923</v>
      </c>
      <c r="L636" s="27" t="n">
        <f aca="false">AVERAGE(F636,G636)</f>
        <v>-3.19070954346127</v>
      </c>
      <c r="M636" s="27" t="n">
        <f aca="false">MAX(0,NG-L636)</f>
        <v>2.49070954346127</v>
      </c>
      <c r="N636" s="27" t="n">
        <f aca="false">MAX(0,GWL-K636)</f>
        <v>1.69317067778923</v>
      </c>
      <c r="O636" s="27" t="n">
        <f aca="false">MAX(0,NG-MAX(K636,GWL))</f>
        <v>0.8</v>
      </c>
      <c r="P636" s="27" t="n">
        <f aca="false">E636/2+WS+SLOPE_A*O636+SLOPE_B*N636</f>
        <v>6.9148420333677</v>
      </c>
      <c r="Q636" s="28" t="str">
        <f aca="false">IF(AND(P636&lt;J636,N636&lt;=MAXOC),"Open cut","Shoring")</f>
        <v>Open cut</v>
      </c>
      <c r="R636" s="27" t="n">
        <f aca="false">IF(Q636="Shoring",D636,0)</f>
        <v>0</v>
      </c>
      <c r="S636" s="27" t="n">
        <f aca="false">MAX(0,GWL-L636)</f>
        <v>1.69070954346127</v>
      </c>
      <c r="T636" s="27" t="n">
        <f aca="false">MAX(0,NG-MAX(L636,GWL))</f>
        <v>0.8</v>
      </c>
      <c r="U636" s="27" t="n">
        <f aca="false">E636+2*WS</f>
        <v>4.65700135557846</v>
      </c>
      <c r="V636" s="27" t="n">
        <f aca="false">IF(Q636="Shoring",D636*M636*U636,0)</f>
        <v>0</v>
      </c>
      <c r="W636" s="27" t="n">
        <f aca="false">IF(Q636="Open cut",D636*(U636*M636+SLOPE_B*S636^2+2*SLOPE_B*S636*T636+SLOPE_A*T636^2),0)</f>
        <v>17.1478214900057</v>
      </c>
      <c r="X636" s="27" t="n">
        <f aca="false">IF(M636&gt;0,D636*(E636+2*SLABOVH)*SLAB,0)</f>
        <v>1.32374118446462</v>
      </c>
      <c r="Y636" s="27" t="n">
        <f aca="false">IF(M636&gt;0,D636*PI()*E636^2/4,0)</f>
        <v>4.01403715937554</v>
      </c>
      <c r="Z636" s="27" t="n">
        <f aca="false">IF(H636-E636&gt;=GWL,99,E636*(MAX(0,GWL-H636)*(GAM_S-GAM_W)+MAX(0,NG-MAX(H636,GWL))*GAM_D)/(GAM_W*PI()*E636^2/4))</f>
        <v>0</v>
      </c>
      <c r="AA636" s="27" t="n">
        <f aca="false">IF(I636-E636&gt;=GWL,99,E636*(MAX(0,GWL-I636)*(GAM_S-GAM_W)+MAX(0,NG-MAX(I636,GWL))*GAM_D)/(GAM_W*PI()*E636^2/4))</f>
        <v>0</v>
      </c>
      <c r="AB636" s="27" t="n">
        <f aca="false">IF(H636-E636&gt;=GWL,99,E636*(MAX(0,GWL-H636)*(GAM_S-GAM_W)+MAX(0,FL-MAX(H636,GWL))*GAM_D)/(GAM_W*PI()*E636^2/4))</f>
        <v>0.906743729794038</v>
      </c>
      <c r="AC636" s="27" t="n">
        <f aca="false">IF(I636-E636&gt;=GWL,99,E636*(MAX(0,GWL-I636)*(GAM_S-GAM_W)+MAX(0,FL-MAX(I636,GWL))*GAM_D)/(GAM_W*PI()*E636^2/4))</f>
        <v>0.91107172881691</v>
      </c>
    </row>
    <row r="637" customFormat="false" ht="15" hidden="false" customHeight="false" outlineLevel="0" collapsed="false">
      <c r="A637" s="25" t="s">
        <v>1136</v>
      </c>
      <c r="B637" s="25" t="s">
        <v>1168</v>
      </c>
      <c r="C637" s="25" t="s">
        <v>1175</v>
      </c>
      <c r="D637" s="26" t="n">
        <v>2.59732778854299</v>
      </c>
      <c r="E637" s="26" t="n">
        <v>2.65700135557846</v>
      </c>
      <c r="F637" s="26" t="n">
        <v>-3.19317067778923</v>
      </c>
      <c r="G637" s="26" t="n">
        <v>-3.21082067778923</v>
      </c>
      <c r="H637" s="26" t="n">
        <v>-0.036169322210768</v>
      </c>
      <c r="I637" s="26" t="n">
        <v>-0.0538193222107679</v>
      </c>
      <c r="J637" s="26" t="n">
        <v>14.53</v>
      </c>
      <c r="K637" s="27" t="n">
        <f aca="false">MIN(F637,G637)</f>
        <v>-3.21082067778923</v>
      </c>
      <c r="L637" s="27" t="n">
        <f aca="false">AVERAGE(F637,G637)</f>
        <v>-3.20199567778923</v>
      </c>
      <c r="M637" s="27" t="n">
        <f aca="false">MAX(0,NG-L637)</f>
        <v>2.50199567778923</v>
      </c>
      <c r="N637" s="27" t="n">
        <f aca="false">MAX(0,GWL-K637)</f>
        <v>1.71082067778923</v>
      </c>
      <c r="O637" s="27" t="n">
        <f aca="false">MAX(0,NG-MAX(K637,GWL))</f>
        <v>0.8</v>
      </c>
      <c r="P637" s="27" t="n">
        <f aca="false">E637/2+WS+SLOPE_A*O637+SLOPE_B*N637</f>
        <v>6.9501420333677</v>
      </c>
      <c r="Q637" s="28" t="str">
        <f aca="false">IF(AND(P637&lt;J637,N637&lt;=MAXOC),"Open cut","Shoring")</f>
        <v>Open cut</v>
      </c>
      <c r="R637" s="27" t="n">
        <f aca="false">IF(Q637="Shoring",D637,0)</f>
        <v>0</v>
      </c>
      <c r="S637" s="27" t="n">
        <f aca="false">MAX(0,GWL-L637)</f>
        <v>1.70199567778923</v>
      </c>
      <c r="T637" s="27" t="n">
        <f aca="false">MAX(0,NG-MAX(L637,GWL))</f>
        <v>0.8</v>
      </c>
      <c r="U637" s="27" t="n">
        <f aca="false">E637+2*WS</f>
        <v>4.65700135557846</v>
      </c>
      <c r="V637" s="27" t="n">
        <f aca="false">IF(Q637="Shoring",D637*M637*U637,0)</f>
        <v>0</v>
      </c>
      <c r="W637" s="27" t="n">
        <f aca="false">IF(Q637="Open cut",D637*(U637*M637+SLOPE_B*S637^2+2*SLOPE_B*S637*T637+SLOPE_A*T637^2),0)</f>
        <v>61.950844265113</v>
      </c>
      <c r="X637" s="27" t="n">
        <f aca="false">IF(M637&gt;0,D637*(E637+2*SLABOVH)*SLAB,0)</f>
        <v>4.74921562179166</v>
      </c>
      <c r="Y637" s="27" t="n">
        <f aca="false">IF(M637&gt;0,D637*PI()*E637^2/4,0)</f>
        <v>14.4012501896046</v>
      </c>
      <c r="Z637" s="27" t="n">
        <f aca="false">IF(H637-E637&gt;=GWL,99,E637*(MAX(0,GWL-H637)*(GAM_S-GAM_W)+MAX(0,NG-MAX(H637,GWL))*GAM_D)/(GAM_W*PI()*E637^2/4))</f>
        <v>0</v>
      </c>
      <c r="AA637" s="27" t="n">
        <f aca="false">IF(I637-E637&gt;=GWL,99,E637*(MAX(0,GWL-I637)*(GAM_S-GAM_W)+MAX(0,NG-MAX(I637,GWL))*GAM_D)/(GAM_W*PI()*E637^2/4))</f>
        <v>0</v>
      </c>
      <c r="AB637" s="27" t="n">
        <f aca="false">IF(H637-E637&gt;=GWL,99,E637*(MAX(0,GWL-H637)*(GAM_S-GAM_W)+MAX(0,FL-MAX(H637,GWL))*GAM_D)/(GAM_W*PI()*E637^2/4))</f>
        <v>0.91107172881691</v>
      </c>
      <c r="AC637" s="27" t="n">
        <f aca="false">IF(I637-E637&gt;=GWL,99,E637*(MAX(0,GWL-I637)*(GAM_S-GAM_W)+MAX(0,FL-MAX(I637,GWL))*GAM_D)/(GAM_W*PI()*E637^2/4))</f>
        <v>0.926590829478285</v>
      </c>
    </row>
    <row r="638" customFormat="false" ht="15" hidden="false" customHeight="false" outlineLevel="0" collapsed="false">
      <c r="A638" s="25" t="s">
        <v>1136</v>
      </c>
      <c r="B638" s="25" t="s">
        <v>1168</v>
      </c>
      <c r="C638" s="25" t="s">
        <v>1176</v>
      </c>
      <c r="D638" s="26" t="n">
        <v>2.60108999978335</v>
      </c>
      <c r="E638" s="26" t="n">
        <v>2.65699766496155</v>
      </c>
      <c r="F638" s="26" t="n">
        <v>-3.21081883248078</v>
      </c>
      <c r="G638" s="26" t="n">
        <v>-3.22849883248078</v>
      </c>
      <c r="H638" s="26" t="n">
        <v>-0.0538211675192244</v>
      </c>
      <c r="I638" s="26" t="n">
        <v>-0.0715011675192243</v>
      </c>
      <c r="J638" s="26" t="n">
        <v>12.86</v>
      </c>
      <c r="K638" s="27" t="n">
        <f aca="false">MIN(F638,G638)</f>
        <v>-3.22849883248078</v>
      </c>
      <c r="L638" s="27" t="n">
        <f aca="false">AVERAGE(F638,G638)</f>
        <v>-3.21965883248078</v>
      </c>
      <c r="M638" s="27" t="n">
        <f aca="false">MAX(0,NG-L638)</f>
        <v>2.51965883248078</v>
      </c>
      <c r="N638" s="27" t="n">
        <f aca="false">MAX(0,GWL-K638)</f>
        <v>1.72849883248078</v>
      </c>
      <c r="O638" s="27" t="n">
        <f aca="false">MAX(0,NG-MAX(K638,GWL))</f>
        <v>0.8</v>
      </c>
      <c r="P638" s="27" t="n">
        <f aca="false">E638/2+WS+SLOPE_A*O638+SLOPE_B*N638</f>
        <v>6.98549649744233</v>
      </c>
      <c r="Q638" s="28" t="str">
        <f aca="false">IF(AND(P638&lt;J638,N638&lt;=MAXOC),"Open cut","Shoring")</f>
        <v>Open cut</v>
      </c>
      <c r="R638" s="27" t="n">
        <f aca="false">IF(Q638="Shoring",D638,0)</f>
        <v>0</v>
      </c>
      <c r="S638" s="27" t="n">
        <f aca="false">MAX(0,GWL-L638)</f>
        <v>1.71965883248078</v>
      </c>
      <c r="T638" s="27" t="n">
        <f aca="false">MAX(0,NG-MAX(L638,GWL))</f>
        <v>0.8</v>
      </c>
      <c r="U638" s="27" t="n">
        <f aca="false">E638+2*WS</f>
        <v>4.65699766496155</v>
      </c>
      <c r="V638" s="27" t="n">
        <f aca="false">IF(Q638="Shoring",D638*M638*U638,0)</f>
        <v>0</v>
      </c>
      <c r="W638" s="27" t="n">
        <f aca="false">IF(Q638="Open cut",D638*(U638*M638+SLOPE_B*S638^2+2*SLOPE_B*S638*T638+SLOPE_A*T638^2),0)</f>
        <v>62.7159384931851</v>
      </c>
      <c r="X638" s="27" t="n">
        <f aca="false">IF(M638&gt;0,D638*(E638+2*SLABOVH)*SLAB,0)</f>
        <v>4.75609002778127</v>
      </c>
      <c r="Y638" s="27" t="n">
        <f aca="false">IF(M638&gt;0,D638*PI()*E638^2/4,0)</f>
        <v>14.4220702353097</v>
      </c>
      <c r="Z638" s="27" t="n">
        <f aca="false">IF(H638-E638&gt;=GWL,99,E638*(MAX(0,GWL-H638)*(GAM_S-GAM_W)+MAX(0,NG-MAX(H638,GWL))*GAM_D)/(GAM_W*PI()*E638^2/4))</f>
        <v>0</v>
      </c>
      <c r="AA638" s="27" t="n">
        <f aca="false">IF(I638-E638&gt;=GWL,99,E638*(MAX(0,GWL-I638)*(GAM_S-GAM_W)+MAX(0,NG-MAX(I638,GWL))*GAM_D)/(GAM_W*PI()*E638^2/4))</f>
        <v>0</v>
      </c>
      <c r="AB638" s="27" t="n">
        <f aca="false">IF(H638-E638&gt;=GWL,99,E638*(MAX(0,GWL-H638)*(GAM_S-GAM_W)+MAX(0,FL-MAX(H638,GWL))*GAM_D)/(GAM_W*PI()*E638^2/4))</f>
        <v>0.926593739054461</v>
      </c>
      <c r="AC638" s="27" t="n">
        <f aca="false">IF(I638-E638&gt;=GWL,99,E638*(MAX(0,GWL-I638)*(GAM_S-GAM_W)+MAX(0,FL-MAX(I638,GWL))*GAM_D)/(GAM_W*PI()*E638^2/4))</f>
        <v>0.942139239383562</v>
      </c>
    </row>
    <row r="639" customFormat="false" ht="15" hidden="false" customHeight="false" outlineLevel="0" collapsed="false">
      <c r="A639" s="25" t="s">
        <v>1136</v>
      </c>
      <c r="B639" s="25" t="s">
        <v>1168</v>
      </c>
      <c r="C639" s="25" t="s">
        <v>1177</v>
      </c>
      <c r="D639" s="26" t="n">
        <v>2.57763324040921</v>
      </c>
      <c r="E639" s="26" t="n">
        <v>2.65699766496155</v>
      </c>
      <c r="F639" s="26" t="n">
        <v>-3.22849883248078</v>
      </c>
      <c r="G639" s="26" t="n">
        <v>-3.29822421981583</v>
      </c>
      <c r="H639" s="26" t="n">
        <v>-0.0715011675192243</v>
      </c>
      <c r="I639" s="26" t="n">
        <v>-0.14122655485428</v>
      </c>
      <c r="J639" s="26" t="n">
        <v>11.3</v>
      </c>
      <c r="K639" s="27" t="n">
        <f aca="false">MIN(F639,G639)</f>
        <v>-3.29822421981583</v>
      </c>
      <c r="L639" s="27" t="n">
        <f aca="false">AVERAGE(F639,G639)</f>
        <v>-3.2633615261483</v>
      </c>
      <c r="M639" s="27" t="n">
        <f aca="false">MAX(0,NG-L639)</f>
        <v>2.5633615261483</v>
      </c>
      <c r="N639" s="27" t="n">
        <f aca="false">MAX(0,GWL-K639)</f>
        <v>1.79822421981583</v>
      </c>
      <c r="O639" s="27" t="n">
        <f aca="false">MAX(0,NG-MAX(K639,GWL))</f>
        <v>0.8</v>
      </c>
      <c r="P639" s="27" t="n">
        <f aca="false">E639/2+WS+SLOPE_A*O639+SLOPE_B*N639</f>
        <v>7.12494727211244</v>
      </c>
      <c r="Q639" s="28" t="str">
        <f aca="false">IF(AND(P639&lt;J639,N639&lt;=MAXOC),"Open cut","Shoring")</f>
        <v>Open cut</v>
      </c>
      <c r="R639" s="27" t="n">
        <f aca="false">IF(Q639="Shoring",D639,0)</f>
        <v>0</v>
      </c>
      <c r="S639" s="27" t="n">
        <f aca="false">MAX(0,GWL-L639)</f>
        <v>1.7633615261483</v>
      </c>
      <c r="T639" s="27" t="n">
        <f aca="false">MAX(0,NG-MAX(L639,GWL))</f>
        <v>0.8</v>
      </c>
      <c r="U639" s="27" t="n">
        <f aca="false">E639+2*WS</f>
        <v>4.65699766496155</v>
      </c>
      <c r="V639" s="27" t="n">
        <f aca="false">IF(Q639="Shoring",D639*M639*U639,0)</f>
        <v>0</v>
      </c>
      <c r="W639" s="27" t="n">
        <f aca="false">IF(Q639="Open cut",D639*(U639*M639+SLOPE_B*S639^2+2*SLOPE_B*S639*T639+SLOPE_A*T639^2),0)</f>
        <v>63.8201711290698</v>
      </c>
      <c r="X639" s="27" t="n">
        <f aca="false">IF(M639&gt;0,D639*(E639+2*SLABOVH)*SLAB,0)</f>
        <v>4.71319937065188</v>
      </c>
      <c r="Y639" s="27" t="n">
        <f aca="false">IF(M639&gt;0,D639*PI()*E639^2/4,0)</f>
        <v>14.2920112864788</v>
      </c>
      <c r="Z639" s="27" t="n">
        <f aca="false">IF(H639-E639&gt;=GWL,99,E639*(MAX(0,GWL-H639)*(GAM_S-GAM_W)+MAX(0,NG-MAX(H639,GWL))*GAM_D)/(GAM_W*PI()*E639^2/4))</f>
        <v>0</v>
      </c>
      <c r="AA639" s="27" t="n">
        <f aca="false">IF(I639-E639&gt;=GWL,99,E639*(MAX(0,GWL-I639)*(GAM_S-GAM_W)+MAX(0,NG-MAX(I639,GWL))*GAM_D)/(GAM_W*PI()*E639^2/4))</f>
        <v>0</v>
      </c>
      <c r="AB639" s="27" t="n">
        <f aca="false">IF(H639-E639&gt;=GWL,99,E639*(MAX(0,GWL-H639)*(GAM_S-GAM_W)+MAX(0,FL-MAX(H639,GWL))*GAM_D)/(GAM_W*PI()*E639^2/4))</f>
        <v>0.942139239383562</v>
      </c>
      <c r="AC639" s="27" t="n">
        <f aca="false">IF(I639-E639&gt;=GWL,99,E639*(MAX(0,GWL-I639)*(GAM_S-GAM_W)+MAX(0,FL-MAX(I639,GWL))*GAM_D)/(GAM_W*PI()*E639^2/4))</f>
        <v>1.0034467072435</v>
      </c>
    </row>
    <row r="640" customFormat="false" ht="15" hidden="false" customHeight="false" outlineLevel="0" collapsed="false">
      <c r="A640" s="25" t="s">
        <v>1136</v>
      </c>
      <c r="B640" s="25" t="s">
        <v>1178</v>
      </c>
      <c r="C640" s="25" t="s">
        <v>1179</v>
      </c>
      <c r="D640" s="26" t="n">
        <v>1.49999999985241</v>
      </c>
      <c r="E640" s="26" t="n">
        <v>2.65699766496155</v>
      </c>
      <c r="F640" s="26" t="n">
        <v>-3.29822421981583</v>
      </c>
      <c r="G640" s="26" t="n">
        <v>-3.33879945734948</v>
      </c>
      <c r="H640" s="26" t="n">
        <v>-0.14122655485428</v>
      </c>
      <c r="I640" s="26" t="n">
        <v>-0.181801792387927</v>
      </c>
      <c r="J640" s="26" t="n">
        <v>10.44</v>
      </c>
      <c r="K640" s="27" t="n">
        <f aca="false">MIN(F640,G640)</f>
        <v>-3.33879945734948</v>
      </c>
      <c r="L640" s="27" t="n">
        <f aca="false">AVERAGE(F640,G640)</f>
        <v>-3.31851183858266</v>
      </c>
      <c r="M640" s="27" t="n">
        <f aca="false">MAX(0,NG-L640)</f>
        <v>2.61851183858266</v>
      </c>
      <c r="N640" s="27" t="n">
        <f aca="false">MAX(0,GWL-K640)</f>
        <v>1.83879945734948</v>
      </c>
      <c r="O640" s="27" t="n">
        <f aca="false">MAX(0,NG-MAX(K640,GWL))</f>
        <v>0.8</v>
      </c>
      <c r="P640" s="27" t="n">
        <f aca="false">E640/2+WS+SLOPE_A*O640+SLOPE_B*N640</f>
        <v>7.20609774717973</v>
      </c>
      <c r="Q640" s="28" t="str">
        <f aca="false">IF(AND(P640&lt;J640,N640&lt;=MAXOC),"Open cut","Shoring")</f>
        <v>Open cut</v>
      </c>
      <c r="R640" s="27" t="n">
        <f aca="false">IF(Q640="Shoring",D640,0)</f>
        <v>0</v>
      </c>
      <c r="S640" s="27" t="n">
        <f aca="false">MAX(0,GWL-L640)</f>
        <v>1.81851183858266</v>
      </c>
      <c r="T640" s="27" t="n">
        <f aca="false">MAX(0,NG-MAX(L640,GWL))</f>
        <v>0.8</v>
      </c>
      <c r="U640" s="27" t="n">
        <f aca="false">E640+2*WS</f>
        <v>4.65699766496155</v>
      </c>
      <c r="V640" s="27" t="n">
        <f aca="false">IF(Q640="Shoring",D640*M640*U640,0)</f>
        <v>0</v>
      </c>
      <c r="W640" s="27" t="n">
        <f aca="false">IF(Q640="Open cut",D640*(U640*M640+SLOPE_B*S640^2+2*SLOPE_B*S640*T640+SLOPE_A*T640^2),0)</f>
        <v>38.3814180195466</v>
      </c>
      <c r="X640" s="27" t="n">
        <f aca="false">IF(M640&gt;0,D640*(E640+2*SLABOVH)*SLAB,0)</f>
        <v>2.7427482484513</v>
      </c>
      <c r="Y640" s="27" t="n">
        <f aca="false">IF(M640&gt;0,D640*PI()*E640^2/4,0)</f>
        <v>8.3169384191389</v>
      </c>
      <c r="Z640" s="27" t="n">
        <f aca="false">IF(H640-E640&gt;=GWL,99,E640*(MAX(0,GWL-H640)*(GAM_S-GAM_W)+MAX(0,NG-MAX(H640,GWL))*GAM_D)/(GAM_W*PI()*E640^2/4))</f>
        <v>0</v>
      </c>
      <c r="AA640" s="27" t="n">
        <f aca="false">IF(I640-E640&gt;=GWL,99,E640*(MAX(0,GWL-I640)*(GAM_S-GAM_W)+MAX(0,NG-MAX(I640,GWL))*GAM_D)/(GAM_W*PI()*E640^2/4))</f>
        <v>0</v>
      </c>
      <c r="AB640" s="27" t="n">
        <f aca="false">IF(H640-E640&gt;=GWL,99,E640*(MAX(0,GWL-H640)*(GAM_S-GAM_W)+MAX(0,FL-MAX(H640,GWL))*GAM_D)/(GAM_W*PI()*E640^2/4))</f>
        <v>1.0034467072435</v>
      </c>
      <c r="AC640" s="27" t="n">
        <f aca="false">IF(I640-E640&gt;=GWL,99,E640*(MAX(0,GWL-I640)*(GAM_S-GAM_W)+MAX(0,FL-MAX(I640,GWL))*GAM_D)/(GAM_W*PI()*E640^2/4))</f>
        <v>1.03912331179286</v>
      </c>
    </row>
    <row r="641" customFormat="false" ht="15" hidden="false" customHeight="false" outlineLevel="0" collapsed="false">
      <c r="A641" s="25" t="s">
        <v>1136</v>
      </c>
      <c r="B641" s="25" t="s">
        <v>1178</v>
      </c>
      <c r="C641" s="25" t="s">
        <v>1180</v>
      </c>
      <c r="D641" s="26" t="n">
        <v>9.99999999979397</v>
      </c>
      <c r="E641" s="26" t="n">
        <v>2.65699766496155</v>
      </c>
      <c r="F641" s="26" t="n">
        <v>-3.33879945734948</v>
      </c>
      <c r="G641" s="26" t="n">
        <v>-3.60930104090713</v>
      </c>
      <c r="H641" s="26" t="n">
        <v>-0.181801792387927</v>
      </c>
      <c r="I641" s="26" t="n">
        <v>-0.452303375945576</v>
      </c>
      <c r="J641" s="26" t="n">
        <v>5.83</v>
      </c>
      <c r="K641" s="27" t="n">
        <f aca="false">MIN(F641,G641)</f>
        <v>-3.60930104090713</v>
      </c>
      <c r="L641" s="27" t="n">
        <f aca="false">AVERAGE(F641,G641)</f>
        <v>-3.4740502491283</v>
      </c>
      <c r="M641" s="27" t="n">
        <f aca="false">MAX(0,NG-L641)</f>
        <v>2.7740502491283</v>
      </c>
      <c r="N641" s="27" t="n">
        <f aca="false">MAX(0,GWL-K641)</f>
        <v>2.10930104090713</v>
      </c>
      <c r="O641" s="27" t="n">
        <f aca="false">MAX(0,NG-MAX(K641,GWL))</f>
        <v>0.8</v>
      </c>
      <c r="P641" s="27" t="n">
        <f aca="false">E641/2+WS+SLOPE_A*O641+SLOPE_B*N641</f>
        <v>7.74710091429503</v>
      </c>
      <c r="Q641" s="28" t="str">
        <f aca="false">IF(AND(P641&lt;J641,N641&lt;=MAXOC),"Open cut","Shoring")</f>
        <v>Shoring</v>
      </c>
      <c r="R641" s="27" t="n">
        <f aca="false">IF(Q641="Shoring",D641,0)</f>
        <v>9.99999999979397</v>
      </c>
      <c r="S641" s="27" t="n">
        <f aca="false">MAX(0,GWL-L641)</f>
        <v>1.9740502491283</v>
      </c>
      <c r="T641" s="27" t="n">
        <f aca="false">MAX(0,NG-MAX(L641,GWL))</f>
        <v>0.8</v>
      </c>
      <c r="U641" s="27" t="n">
        <f aca="false">E641+2*WS</f>
        <v>4.65699766496155</v>
      </c>
      <c r="V641" s="27" t="n">
        <f aca="false">IF(Q641="Shoring",D641*M641*U641,0)</f>
        <v>129.187455324104</v>
      </c>
      <c r="W641" s="27" t="n">
        <f aca="false">IF(Q641="Open cut",D641*(U641*M641+SLOPE_B*S641^2+2*SLOPE_B*S641*T641+SLOPE_A*T641^2),0)</f>
        <v>0</v>
      </c>
      <c r="X641" s="27" t="n">
        <f aca="false">IF(M641&gt;0,D641*(E641+2*SLABOVH)*SLAB,0)</f>
        <v>18.284988324431</v>
      </c>
      <c r="Y641" s="27" t="n">
        <f aca="false">IF(M641&gt;0,D641*PI()*E641^2/4,0)</f>
        <v>55.4462561319057</v>
      </c>
      <c r="Z641" s="27" t="n">
        <f aca="false">IF(H641-E641&gt;=GWL,99,E641*(MAX(0,GWL-H641)*(GAM_S-GAM_W)+MAX(0,NG-MAX(H641,GWL))*GAM_D)/(GAM_W*PI()*E641^2/4))</f>
        <v>0</v>
      </c>
      <c r="AA641" s="27" t="n">
        <f aca="false">IF(I641-E641&gt;=GWL,99,E641*(MAX(0,GWL-I641)*(GAM_S-GAM_W)+MAX(0,NG-MAX(I641,GWL))*GAM_D)/(GAM_W*PI()*E641^2/4))</f>
        <v>0</v>
      </c>
      <c r="AB641" s="27" t="n">
        <f aca="false">IF(H641-E641&gt;=GWL,99,E641*(MAX(0,GWL-H641)*(GAM_S-GAM_W)+MAX(0,FL-MAX(H641,GWL))*GAM_D)/(GAM_W*PI()*E641^2/4))</f>
        <v>1.03912331179286</v>
      </c>
      <c r="AC641" s="27" t="n">
        <f aca="false">IF(I641-E641&gt;=GWL,99,E641*(MAX(0,GWL-I641)*(GAM_S-GAM_W)+MAX(0,FL-MAX(I641,GWL))*GAM_D)/(GAM_W*PI()*E641^2/4))</f>
        <v>1.27696734212191</v>
      </c>
    </row>
    <row r="642" customFormat="false" ht="15" hidden="false" customHeight="false" outlineLevel="0" collapsed="false">
      <c r="A642" s="25" t="s">
        <v>1136</v>
      </c>
      <c r="B642" s="25" t="s">
        <v>1178</v>
      </c>
      <c r="C642" s="25" t="s">
        <v>1181</v>
      </c>
      <c r="D642" s="26" t="n">
        <v>10.0000000001813</v>
      </c>
      <c r="E642" s="26" t="n">
        <v>2.65699766496155</v>
      </c>
      <c r="F642" s="26" t="n">
        <v>-3.60930104090713</v>
      </c>
      <c r="G642" s="26" t="n">
        <v>-3.87980262446478</v>
      </c>
      <c r="H642" s="26" t="n">
        <v>-0.452303375945576</v>
      </c>
      <c r="I642" s="26" t="n">
        <v>-0.722804959503225</v>
      </c>
      <c r="J642" s="26" t="n">
        <v>3.73</v>
      </c>
      <c r="K642" s="27" t="n">
        <f aca="false">MIN(F642,G642)</f>
        <v>-3.87980262446478</v>
      </c>
      <c r="L642" s="27" t="n">
        <f aca="false">AVERAGE(F642,G642)</f>
        <v>-3.74455183268595</v>
      </c>
      <c r="M642" s="27" t="n">
        <f aca="false">MAX(0,NG-L642)</f>
        <v>3.04455183268595</v>
      </c>
      <c r="N642" s="27" t="n">
        <f aca="false">MAX(0,GWL-K642)</f>
        <v>2.37980262446478</v>
      </c>
      <c r="O642" s="27" t="n">
        <f aca="false">MAX(0,NG-MAX(K642,GWL))</f>
        <v>0.8</v>
      </c>
      <c r="P642" s="27" t="n">
        <f aca="false">E642/2+WS+SLOPE_A*O642+SLOPE_B*N642</f>
        <v>8.28810408141033</v>
      </c>
      <c r="Q642" s="28" t="str">
        <f aca="false">IF(AND(P642&lt;J642,N642&lt;=MAXOC),"Open cut","Shoring")</f>
        <v>Shoring</v>
      </c>
      <c r="R642" s="27" t="n">
        <f aca="false">IF(Q642="Shoring",D642,0)</f>
        <v>10.0000000001813</v>
      </c>
      <c r="S642" s="27" t="n">
        <f aca="false">MAX(0,GWL-L642)</f>
        <v>2.24455183268595</v>
      </c>
      <c r="T642" s="27" t="n">
        <f aca="false">MAX(0,NG-MAX(L642,GWL))</f>
        <v>0.8</v>
      </c>
      <c r="U642" s="27" t="n">
        <f aca="false">E642+2*WS</f>
        <v>4.65699766496155</v>
      </c>
      <c r="V642" s="27" t="n">
        <f aca="false">IF(Q642="Shoring",D642*M642*U642,0)</f>
        <v>141.784707759299</v>
      </c>
      <c r="W642" s="27" t="n">
        <f aca="false">IF(Q642="Open cut",D642*(U642*M642+SLOPE_B*S642^2+2*SLOPE_B*S642*T642+SLOPE_A*T642^2),0)</f>
        <v>0</v>
      </c>
      <c r="X642" s="27" t="n">
        <f aca="false">IF(M642&gt;0,D642*(E642+2*SLABOVH)*SLAB,0)</f>
        <v>18.2849883251392</v>
      </c>
      <c r="Y642" s="27" t="n">
        <f aca="false">IF(M642&gt;0,D642*PI()*E642^2/4,0)</f>
        <v>55.4462561340532</v>
      </c>
      <c r="Z642" s="27" t="n">
        <f aca="false">IF(H642-E642&gt;=GWL,99,E642*(MAX(0,GWL-H642)*(GAM_S-GAM_W)+MAX(0,NG-MAX(H642,GWL))*GAM_D)/(GAM_W*PI()*E642^2/4))</f>
        <v>0</v>
      </c>
      <c r="AA642" s="27" t="n">
        <f aca="false">IF(I642-E642&gt;=GWL,99,E642*(MAX(0,GWL-I642)*(GAM_S-GAM_W)+MAX(0,NG-MAX(I642,GWL))*GAM_D)/(GAM_W*PI()*E642^2/4))</f>
        <v>0.0200517254220875</v>
      </c>
      <c r="AB642" s="27" t="n">
        <f aca="false">IF(H642-E642&gt;=GWL,99,E642*(MAX(0,GWL-H642)*(GAM_S-GAM_W)+MAX(0,FL-MAX(H642,GWL))*GAM_D)/(GAM_W*PI()*E642^2/4))</f>
        <v>1.27696734212191</v>
      </c>
      <c r="AC642" s="27" t="n">
        <f aca="false">IF(I642-E642&gt;=GWL,99,E642*(MAX(0,GWL-I642)*(GAM_S-GAM_W)+MAX(0,FL-MAX(I642,GWL))*GAM_D)/(GAM_W*PI()*E642^2/4))</f>
        <v>1.51481137245095</v>
      </c>
    </row>
    <row r="643" customFormat="false" ht="15" hidden="false" customHeight="false" outlineLevel="0" collapsed="false">
      <c r="A643" s="25" t="s">
        <v>1136</v>
      </c>
      <c r="B643" s="25" t="s">
        <v>1178</v>
      </c>
      <c r="C643" s="25" t="s">
        <v>1182</v>
      </c>
      <c r="D643" s="26" t="n">
        <v>9.99999999979397</v>
      </c>
      <c r="E643" s="26" t="n">
        <v>2.65699766496155</v>
      </c>
      <c r="F643" s="26" t="n">
        <v>-3.87980262446478</v>
      </c>
      <c r="G643" s="26" t="n">
        <v>-4.15030420802243</v>
      </c>
      <c r="H643" s="26" t="n">
        <v>-0.722804959503225</v>
      </c>
      <c r="I643" s="26" t="n">
        <v>-0.993306543060875</v>
      </c>
      <c r="J643" s="26" t="n">
        <v>3.67</v>
      </c>
      <c r="K643" s="27" t="n">
        <f aca="false">MIN(F643,G643)</f>
        <v>-4.15030420802243</v>
      </c>
      <c r="L643" s="27" t="n">
        <f aca="false">AVERAGE(F643,G643)</f>
        <v>-4.0150534162436</v>
      </c>
      <c r="M643" s="27" t="n">
        <f aca="false">MAX(0,NG-L643)</f>
        <v>3.3150534162436</v>
      </c>
      <c r="N643" s="27" t="n">
        <f aca="false">MAX(0,GWL-K643)</f>
        <v>2.65030420802243</v>
      </c>
      <c r="O643" s="27" t="n">
        <f aca="false">MAX(0,NG-MAX(K643,GWL))</f>
        <v>0.8</v>
      </c>
      <c r="P643" s="27" t="n">
        <f aca="false">E643/2+WS+SLOPE_A*O643+SLOPE_B*N643</f>
        <v>8.82910724852563</v>
      </c>
      <c r="Q643" s="28" t="str">
        <f aca="false">IF(AND(P643&lt;J643,N643&lt;=MAXOC),"Open cut","Shoring")</f>
        <v>Shoring</v>
      </c>
      <c r="R643" s="27" t="n">
        <f aca="false">IF(Q643="Shoring",D643,0)</f>
        <v>9.99999999979397</v>
      </c>
      <c r="S643" s="27" t="n">
        <f aca="false">MAX(0,GWL-L643)</f>
        <v>2.5150534162436</v>
      </c>
      <c r="T643" s="27" t="n">
        <f aca="false">MAX(0,NG-MAX(L643,GWL))</f>
        <v>0.8</v>
      </c>
      <c r="U643" s="27" t="n">
        <f aca="false">E643+2*WS</f>
        <v>4.65699766496155</v>
      </c>
      <c r="V643" s="27" t="n">
        <f aca="false">IF(Q643="Shoring",D643*M643*U643,0)</f>
        <v>154.381960183512</v>
      </c>
      <c r="W643" s="27" t="n">
        <f aca="false">IF(Q643="Open cut",D643*(U643*M643+SLOPE_B*S643^2+2*SLOPE_B*S643*T643+SLOPE_A*T643^2),0)</f>
        <v>0</v>
      </c>
      <c r="X643" s="27" t="n">
        <f aca="false">IF(M643&gt;0,D643*(E643+2*SLABOVH)*SLAB,0)</f>
        <v>18.284988324431</v>
      </c>
      <c r="Y643" s="27" t="n">
        <f aca="false">IF(M643&gt;0,D643*PI()*E643^2/4,0)</f>
        <v>55.4462561319057</v>
      </c>
      <c r="Z643" s="27" t="n">
        <f aca="false">IF(H643-E643&gt;=GWL,99,E643*(MAX(0,GWL-H643)*(GAM_S-GAM_W)+MAX(0,NG-MAX(H643,GWL))*GAM_D)/(GAM_W*PI()*E643^2/4))</f>
        <v>0.0200517254220875</v>
      </c>
      <c r="AA643" s="27" t="n">
        <f aca="false">IF(I643-E643&gt;=GWL,99,E643*(MAX(0,GWL-I643)*(GAM_S-GAM_W)+MAX(0,NG-MAX(I643,GWL))*GAM_D)/(GAM_W*PI()*E643^2/4))</f>
        <v>0.257895755751135</v>
      </c>
      <c r="AB643" s="27" t="n">
        <f aca="false">IF(H643-E643&gt;=GWL,99,E643*(MAX(0,GWL-H643)*(GAM_S-GAM_W)+MAX(0,FL-MAX(H643,GWL))*GAM_D)/(GAM_W*PI()*E643^2/4))</f>
        <v>1.51481137245095</v>
      </c>
      <c r="AC643" s="27" t="n">
        <f aca="false">IF(I643-E643&gt;=GWL,99,E643*(MAX(0,GWL-I643)*(GAM_S-GAM_W)+MAX(0,FL-MAX(I643,GWL))*GAM_D)/(GAM_W*PI()*E643^2/4))</f>
        <v>1.75265540278</v>
      </c>
    </row>
    <row r="644" customFormat="false" ht="15" hidden="false" customHeight="false" outlineLevel="0" collapsed="false">
      <c r="A644" s="25" t="s">
        <v>1136</v>
      </c>
      <c r="B644" s="25" t="s">
        <v>1178</v>
      </c>
      <c r="C644" s="25" t="s">
        <v>1183</v>
      </c>
      <c r="D644" s="26" t="n">
        <v>10.0000000005238</v>
      </c>
      <c r="E644" s="26" t="n">
        <v>2.65699766496155</v>
      </c>
      <c r="F644" s="26" t="n">
        <v>-4.15030420802243</v>
      </c>
      <c r="G644" s="26" t="n">
        <v>-4.42080579158007</v>
      </c>
      <c r="H644" s="26" t="n">
        <v>-0.993306543060875</v>
      </c>
      <c r="I644" s="26" t="n">
        <v>-1.26380812661852</v>
      </c>
      <c r="J644" s="26" t="n">
        <v>4.61</v>
      </c>
      <c r="K644" s="27" t="n">
        <f aca="false">MIN(F644,G644)</f>
        <v>-4.42080579158007</v>
      </c>
      <c r="L644" s="27" t="n">
        <f aca="false">AVERAGE(F644,G644)</f>
        <v>-4.28555499980125</v>
      </c>
      <c r="M644" s="27" t="n">
        <f aca="false">MAX(0,NG-L644)</f>
        <v>3.58555499980125</v>
      </c>
      <c r="N644" s="27" t="n">
        <f aca="false">MAX(0,GWL-K644)</f>
        <v>2.92080579158007</v>
      </c>
      <c r="O644" s="27" t="n">
        <f aca="false">MAX(0,NG-MAX(K644,GWL))</f>
        <v>0.8</v>
      </c>
      <c r="P644" s="27" t="n">
        <f aca="false">E644/2+WS+SLOPE_A*O644+SLOPE_B*N644</f>
        <v>9.37011041564092</v>
      </c>
      <c r="Q644" s="28" t="str">
        <f aca="false">IF(AND(P644&lt;J644,N644&lt;=MAXOC),"Open cut","Shoring")</f>
        <v>Shoring</v>
      </c>
      <c r="R644" s="27" t="n">
        <f aca="false">IF(Q644="Shoring",D644,0)</f>
        <v>10.0000000005238</v>
      </c>
      <c r="S644" s="27" t="n">
        <f aca="false">MAX(0,GWL-L644)</f>
        <v>2.78555499980125</v>
      </c>
      <c r="T644" s="27" t="n">
        <f aca="false">MAX(0,NG-MAX(L644,GWL))</f>
        <v>0.8</v>
      </c>
      <c r="U644" s="27" t="n">
        <f aca="false">E644+2*WS</f>
        <v>4.65699766496155</v>
      </c>
      <c r="V644" s="27" t="n">
        <f aca="false">IF(Q644="Shoring",D644*M644*U644,0)</f>
        <v>166.979212625403</v>
      </c>
      <c r="W644" s="27" t="n">
        <f aca="false">IF(Q644="Open cut",D644*(U644*M644+SLOPE_B*S644^2+2*SLOPE_B*S644*T644+SLOPE_A*T644^2),0)</f>
        <v>0</v>
      </c>
      <c r="X644" s="27" t="n">
        <f aca="false">IF(M644&gt;0,D644*(E644+2*SLABOVH)*SLAB,0)</f>
        <v>18.2849883257656</v>
      </c>
      <c r="Y644" s="27" t="n">
        <f aca="false">IF(M644&gt;0,D644*PI()*E644^2/4,0)</f>
        <v>55.4462561359526</v>
      </c>
      <c r="Z644" s="27" t="n">
        <f aca="false">IF(H644-E644&gt;=GWL,99,E644*(MAX(0,GWL-H644)*(GAM_S-GAM_W)+MAX(0,NG-MAX(H644,GWL))*GAM_D)/(GAM_W*PI()*E644^2/4))</f>
        <v>0.257895755751135</v>
      </c>
      <c r="AA644" s="27" t="n">
        <f aca="false">IF(I644-E644&gt;=GWL,99,E644*(MAX(0,GWL-I644)*(GAM_S-GAM_W)+MAX(0,NG-MAX(I644,GWL))*GAM_D)/(GAM_W*PI()*E644^2/4))</f>
        <v>0.495739786080182</v>
      </c>
      <c r="AB644" s="27" t="n">
        <f aca="false">IF(H644-E644&gt;=GWL,99,E644*(MAX(0,GWL-H644)*(GAM_S-GAM_W)+MAX(0,FL-MAX(H644,GWL))*GAM_D)/(GAM_W*PI()*E644^2/4))</f>
        <v>1.75265540278</v>
      </c>
      <c r="AC644" s="27" t="n">
        <f aca="false">IF(I644-E644&gt;=GWL,99,E644*(MAX(0,GWL-I644)*(GAM_S-GAM_W)+MAX(0,FL-MAX(I644,GWL))*GAM_D)/(GAM_W*PI()*E644^2/4))</f>
        <v>1.99049943310905</v>
      </c>
    </row>
    <row r="645" customFormat="false" ht="15" hidden="false" customHeight="false" outlineLevel="0" collapsed="false">
      <c r="A645" s="25" t="s">
        <v>1136</v>
      </c>
      <c r="B645" s="25" t="s">
        <v>1178</v>
      </c>
      <c r="C645" s="25" t="s">
        <v>1184</v>
      </c>
      <c r="D645" s="26" t="n">
        <v>9.99999999969471</v>
      </c>
      <c r="E645" s="26" t="n">
        <v>2.65699766496155</v>
      </c>
      <c r="F645" s="26" t="n">
        <v>-4.42080579158007</v>
      </c>
      <c r="G645" s="26" t="n">
        <v>-4.69130737513772</v>
      </c>
      <c r="H645" s="26" t="n">
        <v>-1.26380812661852</v>
      </c>
      <c r="I645" s="26" t="n">
        <v>-1.53430971017617</v>
      </c>
      <c r="J645" s="26" t="n">
        <v>8.25</v>
      </c>
      <c r="K645" s="27" t="n">
        <f aca="false">MIN(F645,G645)</f>
        <v>-4.69130737513772</v>
      </c>
      <c r="L645" s="27" t="n">
        <f aca="false">AVERAGE(F645,G645)</f>
        <v>-4.5560565833589</v>
      </c>
      <c r="M645" s="27" t="n">
        <f aca="false">MAX(0,NG-L645)</f>
        <v>3.8560565833589</v>
      </c>
      <c r="N645" s="27" t="n">
        <f aca="false">MAX(0,GWL-K645)</f>
        <v>3.19130737513772</v>
      </c>
      <c r="O645" s="27" t="n">
        <f aca="false">MAX(0,NG-MAX(K645,GWL))</f>
        <v>0.8</v>
      </c>
      <c r="P645" s="27" t="n">
        <f aca="false">E645/2+WS+SLOPE_A*O645+SLOPE_B*N645</f>
        <v>9.91111358275622</v>
      </c>
      <c r="Q645" s="28" t="str">
        <f aca="false">IF(AND(P645&lt;J645,N645&lt;=MAXOC),"Open cut","Shoring")</f>
        <v>Shoring</v>
      </c>
      <c r="R645" s="27" t="n">
        <f aca="false">IF(Q645="Shoring",D645,0)</f>
        <v>9.99999999969471</v>
      </c>
      <c r="S645" s="27" t="n">
        <f aca="false">MAX(0,GWL-L645)</f>
        <v>3.0560565833589</v>
      </c>
      <c r="T645" s="27" t="n">
        <f aca="false">MAX(0,NG-MAX(L645,GWL))</f>
        <v>0.8</v>
      </c>
      <c r="U645" s="27" t="n">
        <f aca="false">E645+2*WS</f>
        <v>4.65699766496155</v>
      </c>
      <c r="V645" s="27" t="n">
        <f aca="false">IF(Q645="Shoring",D645*M645*U645,0)</f>
        <v>179.576465041138</v>
      </c>
      <c r="W645" s="27" t="n">
        <f aca="false">IF(Q645="Open cut",D645*(U645*M645+SLOPE_B*S645^2+2*SLOPE_B*S645*T645+SLOPE_A*T645^2),0)</f>
        <v>0</v>
      </c>
      <c r="X645" s="27" t="n">
        <f aca="false">IF(M645&gt;0,D645*(E645+2*SLABOVH)*SLAB,0)</f>
        <v>18.2849883242495</v>
      </c>
      <c r="Y645" s="27" t="n">
        <f aca="false">IF(M645&gt;0,D645*PI()*E645^2/4,0)</f>
        <v>55.4462561313553</v>
      </c>
      <c r="Z645" s="27" t="n">
        <f aca="false">IF(H645-E645&gt;=GWL,99,E645*(MAX(0,GWL-H645)*(GAM_S-GAM_W)+MAX(0,NG-MAX(H645,GWL))*GAM_D)/(GAM_W*PI()*E645^2/4))</f>
        <v>0.495739786080182</v>
      </c>
      <c r="AA645" s="27" t="n">
        <f aca="false">IF(I645-E645&gt;=GWL,99,E645*(MAX(0,GWL-I645)*(GAM_S-GAM_W)+MAX(0,NG-MAX(I645,GWL))*GAM_D)/(GAM_W*PI()*E645^2/4))</f>
        <v>0.717142522410074</v>
      </c>
      <c r="AB645" s="27" t="n">
        <f aca="false">IF(H645-E645&gt;=GWL,99,E645*(MAX(0,GWL-H645)*(GAM_S-GAM_W)+MAX(0,FL-MAX(H645,GWL))*GAM_D)/(GAM_W*PI()*E645^2/4))</f>
        <v>1.99049943310905</v>
      </c>
      <c r="AC645" s="27" t="n">
        <f aca="false">IF(I645-E645&gt;=GWL,99,E645*(MAX(0,GWL-I645)*(GAM_S-GAM_W)+MAX(0,FL-MAX(I645,GWL))*GAM_D)/(GAM_W*PI()*E645^2/4))</f>
        <v>2.21190216943894</v>
      </c>
    </row>
    <row r="646" customFormat="false" ht="15" hidden="false" customHeight="false" outlineLevel="0" collapsed="false">
      <c r="A646" s="25" t="s">
        <v>1136</v>
      </c>
      <c r="B646" s="25" t="s">
        <v>1178</v>
      </c>
      <c r="C646" s="25" t="s">
        <v>1185</v>
      </c>
      <c r="D646" s="26" t="n">
        <v>5.41813675981842</v>
      </c>
      <c r="E646" s="26" t="n">
        <v>2.65699766496155</v>
      </c>
      <c r="F646" s="26" t="n">
        <v>-4.69130737513772</v>
      </c>
      <c r="G646" s="26" t="n">
        <v>-4.83786883248078</v>
      </c>
      <c r="H646" s="26" t="n">
        <v>-1.53430971017617</v>
      </c>
      <c r="I646" s="26" t="n">
        <v>-1.68087116751922</v>
      </c>
      <c r="J646" s="26" t="n">
        <v>13.96</v>
      </c>
      <c r="K646" s="27" t="n">
        <f aca="false">MIN(F646,G646)</f>
        <v>-4.83786883248078</v>
      </c>
      <c r="L646" s="27" t="n">
        <f aca="false">AVERAGE(F646,G646)</f>
        <v>-4.76458810380925</v>
      </c>
      <c r="M646" s="27" t="n">
        <f aca="false">MAX(0,NG-L646)</f>
        <v>4.06458810380925</v>
      </c>
      <c r="N646" s="27" t="n">
        <f aca="false">MAX(0,GWL-K646)</f>
        <v>3.33786883248078</v>
      </c>
      <c r="O646" s="27" t="n">
        <f aca="false">MAX(0,NG-MAX(K646,GWL))</f>
        <v>0.8</v>
      </c>
      <c r="P646" s="27" t="n">
        <f aca="false">E646/2+WS+SLOPE_A*O646+SLOPE_B*N646</f>
        <v>10.2042364974423</v>
      </c>
      <c r="Q646" s="28" t="str">
        <f aca="false">IF(AND(P646&lt;J646,N646&lt;=MAXOC),"Open cut","Shoring")</f>
        <v>Shoring</v>
      </c>
      <c r="R646" s="27" t="n">
        <f aca="false">IF(Q646="Shoring",D646,0)</f>
        <v>5.41813675981842</v>
      </c>
      <c r="S646" s="27" t="n">
        <f aca="false">MAX(0,GWL-L646)</f>
        <v>3.26458810380925</v>
      </c>
      <c r="T646" s="27" t="n">
        <f aca="false">MAX(0,NG-MAX(L646,GWL))</f>
        <v>0.8</v>
      </c>
      <c r="U646" s="27" t="n">
        <f aca="false">E646+2*WS</f>
        <v>4.65699766496155</v>
      </c>
      <c r="V646" s="27" t="n">
        <f aca="false">IF(Q646="Shoring",D646*M646*U646,0)</f>
        <v>102.558704153439</v>
      </c>
      <c r="W646" s="27" t="n">
        <f aca="false">IF(Q646="Open cut",D646*(U646*M646+SLOPE_B*S646^2+2*SLOPE_B*S646*T646+SLOPE_A*T646^2),0)</f>
        <v>0</v>
      </c>
      <c r="X646" s="27" t="n">
        <f aca="false">IF(M646&gt;0,D646*(E646+2*SLABOVH)*SLAB,0)</f>
        <v>9.90705673954915</v>
      </c>
      <c r="Y646" s="27" t="n">
        <f aca="false">IF(M646&gt;0,D646*PI()*E646^2/4,0)</f>
        <v>30.0415398548775</v>
      </c>
      <c r="Z646" s="27" t="n">
        <f aca="false">IF(H646-E646&gt;=GWL,99,E646*(MAX(0,GWL-H646)*(GAM_S-GAM_W)+MAX(0,NG-MAX(H646,GWL))*GAM_D)/(GAM_W*PI()*E646^2/4))</f>
        <v>0.717142522410074</v>
      </c>
      <c r="AA646" s="27" t="n">
        <f aca="false">IF(I646-E646&gt;=GWL,99,E646*(MAX(0,GWL-I646)*(GAM_S-GAM_W)+MAX(0,NG-MAX(I646,GWL))*GAM_D)/(GAM_W*PI()*E646^2/4))</f>
        <v>0.775777074923011</v>
      </c>
      <c r="AB646" s="27" t="n">
        <f aca="false">IF(H646-E646&gt;=GWL,99,E646*(MAX(0,GWL-H646)*(GAM_S-GAM_W)+MAX(0,FL-MAX(H646,GWL))*GAM_D)/(GAM_W*PI()*E646^2/4))</f>
        <v>2.21190216943894</v>
      </c>
      <c r="AC646" s="27" t="n">
        <f aca="false">IF(I646-E646&gt;=GWL,99,E646*(MAX(0,GWL-I646)*(GAM_S-GAM_W)+MAX(0,FL-MAX(I646,GWL))*GAM_D)/(GAM_W*PI()*E646^2/4))</f>
        <v>2.27053672195188</v>
      </c>
    </row>
    <row r="647" customFormat="false" ht="15" hidden="false" customHeight="false" outlineLevel="0" collapsed="false">
      <c r="A647" s="25" t="s">
        <v>1136</v>
      </c>
      <c r="B647" s="25" t="s">
        <v>1178</v>
      </c>
      <c r="C647" s="25" t="s">
        <v>1186</v>
      </c>
      <c r="D647" s="26" t="n">
        <v>2.59896052369568</v>
      </c>
      <c r="E647" s="26" t="n">
        <v>2.65699766496155</v>
      </c>
      <c r="F647" s="26" t="n">
        <v>-4.83786883248078</v>
      </c>
      <c r="G647" s="26" t="n">
        <v>-4.90816883248078</v>
      </c>
      <c r="H647" s="26" t="n">
        <v>-1.68087116751922</v>
      </c>
      <c r="I647" s="26" t="n">
        <v>-1.75117116751923</v>
      </c>
      <c r="J647" s="26" t="n">
        <v>16.6</v>
      </c>
      <c r="K647" s="27" t="n">
        <f aca="false">MIN(F647,G647)</f>
        <v>-4.90816883248078</v>
      </c>
      <c r="L647" s="27" t="n">
        <f aca="false">AVERAGE(F647,G647)</f>
        <v>-4.87301883248078</v>
      </c>
      <c r="M647" s="27" t="n">
        <f aca="false">MAX(0,NG-L647)</f>
        <v>4.17301883248078</v>
      </c>
      <c r="N647" s="27" t="n">
        <f aca="false">MAX(0,GWL-K647)</f>
        <v>3.40816883248078</v>
      </c>
      <c r="O647" s="27" t="n">
        <f aca="false">MAX(0,NG-MAX(K647,GWL))</f>
        <v>0.8</v>
      </c>
      <c r="P647" s="27" t="n">
        <f aca="false">E647/2+WS+SLOPE_A*O647+SLOPE_B*N647</f>
        <v>10.3448364974423</v>
      </c>
      <c r="Q647" s="28" t="str">
        <f aca="false">IF(AND(P647&lt;J647,N647&lt;=MAXOC),"Open cut","Shoring")</f>
        <v>Shoring</v>
      </c>
      <c r="R647" s="27" t="n">
        <f aca="false">IF(Q647="Shoring",D647,0)</f>
        <v>2.59896052369568</v>
      </c>
      <c r="S647" s="27" t="n">
        <f aca="false">MAX(0,GWL-L647)</f>
        <v>3.37301883248078</v>
      </c>
      <c r="T647" s="27" t="n">
        <f aca="false">MAX(0,NG-MAX(L647,GWL))</f>
        <v>0.8</v>
      </c>
      <c r="U647" s="27" t="n">
        <f aca="false">E647+2*WS</f>
        <v>4.65699766496155</v>
      </c>
      <c r="V647" s="27" t="n">
        <f aca="false">IF(Q647="Shoring",D647*M647*U647,0)</f>
        <v>50.5075203814773</v>
      </c>
      <c r="W647" s="27" t="n">
        <f aca="false">IF(Q647="Open cut",D647*(U647*M647+SLOPE_B*S647^2+2*SLOPE_B*S647*T647+SLOPE_A*T647^2),0)</f>
        <v>0</v>
      </c>
      <c r="X647" s="27" t="n">
        <f aca="false">IF(M647&gt;0,D647*(E647+2*SLABOVH)*SLAB,0)</f>
        <v>4.75219628324117</v>
      </c>
      <c r="Y647" s="27" t="n">
        <f aca="false">IF(M647&gt;0,D647*PI()*E647^2/4,0)</f>
        <v>14.4102630876511</v>
      </c>
      <c r="Z647" s="27" t="n">
        <f aca="false">IF(H647-E647&gt;=GWL,99,E647*(MAX(0,GWL-H647)*(GAM_S-GAM_W)+MAX(0,NG-MAX(H647,GWL))*GAM_D)/(GAM_W*PI()*E647^2/4))</f>
        <v>0.775777074923011</v>
      </c>
      <c r="AA647" s="27" t="n">
        <f aca="false">IF(I647-E647&gt;=GWL,99,E647*(MAX(0,GWL-I647)*(GAM_S-GAM_W)+MAX(0,NG-MAX(I647,GWL))*GAM_D)/(GAM_W*PI()*E647^2/4))</f>
        <v>0.80390185695224</v>
      </c>
      <c r="AB647" s="27" t="n">
        <f aca="false">IF(H647-E647&gt;=GWL,99,E647*(MAX(0,GWL-H647)*(GAM_S-GAM_W)+MAX(0,FL-MAX(H647,GWL))*GAM_D)/(GAM_W*PI()*E647^2/4))</f>
        <v>2.27053672195188</v>
      </c>
      <c r="AC647" s="27" t="n">
        <f aca="false">IF(I647-E647&gt;=GWL,99,E647*(MAX(0,GWL-I647)*(GAM_S-GAM_W)+MAX(0,FL-MAX(I647,GWL))*GAM_D)/(GAM_W*PI()*E647^2/4))</f>
        <v>2.29866150398111</v>
      </c>
    </row>
    <row r="648" customFormat="false" ht="15" hidden="false" customHeight="false" outlineLevel="0" collapsed="false">
      <c r="A648" s="25" t="s">
        <v>1136</v>
      </c>
      <c r="B648" s="25" t="s">
        <v>1178</v>
      </c>
      <c r="C648" s="25" t="s">
        <v>1187</v>
      </c>
      <c r="D648" s="26" t="n">
        <v>1.98290271653004</v>
      </c>
      <c r="E648" s="26" t="n">
        <v>2.65699402572284</v>
      </c>
      <c r="F648" s="26" t="n">
        <v>-4.90816701286142</v>
      </c>
      <c r="G648" s="26" t="n">
        <v>-4.9618034998809</v>
      </c>
      <c r="H648" s="26" t="n">
        <v>-1.75117298713858</v>
      </c>
      <c r="I648" s="26" t="n">
        <v>-1.80480947415806</v>
      </c>
      <c r="J648" s="26" t="n">
        <v>15.31</v>
      </c>
      <c r="K648" s="27" t="n">
        <f aca="false">MIN(F648,G648)</f>
        <v>-4.9618034998809</v>
      </c>
      <c r="L648" s="27" t="n">
        <f aca="false">AVERAGE(F648,G648)</f>
        <v>-4.93498525637116</v>
      </c>
      <c r="M648" s="27" t="n">
        <f aca="false">MAX(0,NG-L648)</f>
        <v>4.23498525637116</v>
      </c>
      <c r="N648" s="27" t="n">
        <f aca="false">MAX(0,GWL-K648)</f>
        <v>3.4618034998809</v>
      </c>
      <c r="O648" s="27" t="n">
        <f aca="false">MAX(0,NG-MAX(K648,GWL))</f>
        <v>0.8</v>
      </c>
      <c r="P648" s="27" t="n">
        <f aca="false">E648/2+WS+SLOPE_A*O648+SLOPE_B*N648</f>
        <v>10.4521040126232</v>
      </c>
      <c r="Q648" s="28" t="str">
        <f aca="false">IF(AND(P648&lt;J648,N648&lt;=MAXOC),"Open cut","Shoring")</f>
        <v>Shoring</v>
      </c>
      <c r="R648" s="27" t="n">
        <f aca="false">IF(Q648="Shoring",D648,0)</f>
        <v>1.98290271653004</v>
      </c>
      <c r="S648" s="27" t="n">
        <f aca="false">MAX(0,GWL-L648)</f>
        <v>3.43498525637116</v>
      </c>
      <c r="T648" s="27" t="n">
        <f aca="false">MAX(0,NG-MAX(L648,GWL))</f>
        <v>0.8</v>
      </c>
      <c r="U648" s="27" t="n">
        <f aca="false">E648+2*WS</f>
        <v>4.65699402572284</v>
      </c>
      <c r="V648" s="27" t="n">
        <f aca="false">IF(Q648="Shoring",D648*M648*U648,0)</f>
        <v>39.107404304364</v>
      </c>
      <c r="W648" s="27" t="n">
        <f aca="false">IF(Q648="Open cut",D648*(U648*M648+SLOPE_B*S648^2+2*SLOPE_B*S648*T648+SLOPE_A*T648^2),0)</f>
        <v>0</v>
      </c>
      <c r="X648" s="27" t="n">
        <f aca="false">IF(M648&gt;0,D648*(E648+2*SLABOVH)*SLAB,0)</f>
        <v>3.62573169396997</v>
      </c>
      <c r="Y648" s="27" t="n">
        <f aca="false">IF(M648&gt;0,D648*PI()*E648^2/4,0)</f>
        <v>10.9944230730017</v>
      </c>
      <c r="Z648" s="27" t="n">
        <f aca="false">IF(H648-E648&gt;=GWL,99,E648*(MAX(0,GWL-H648)*(GAM_S-GAM_W)+MAX(0,NG-MAX(H648,GWL))*GAM_D)/(GAM_W*PI()*E648^2/4))</f>
        <v>0.803903686015208</v>
      </c>
      <c r="AA648" s="27" t="n">
        <f aca="false">IF(I648-E648&gt;=GWL,99,E648*(MAX(0,GWL-I648)*(GAM_S-GAM_W)+MAX(0,NG-MAX(I648,GWL))*GAM_D)/(GAM_W*PI()*E648^2/4))</f>
        <v>0.825361958738146</v>
      </c>
      <c r="AB648" s="27" t="n">
        <f aca="false">IF(H648-E648&gt;=GWL,99,E648*(MAX(0,GWL-H648)*(GAM_S-GAM_W)+MAX(0,FL-MAX(H648,GWL))*GAM_D)/(GAM_W*PI()*E648^2/4))</f>
        <v>2.29866538039048</v>
      </c>
      <c r="AC648" s="27" t="n">
        <f aca="false">IF(I648-E648&gt;=GWL,99,E648*(MAX(0,GWL-I648)*(GAM_S-GAM_W)+MAX(0,FL-MAX(I648,GWL))*GAM_D)/(GAM_W*PI()*E648^2/4))</f>
        <v>2.32012365311342</v>
      </c>
    </row>
    <row r="649" customFormat="false" ht="15" hidden="false" customHeight="false" outlineLevel="0" collapsed="false">
      <c r="A649" s="25" t="s">
        <v>1136</v>
      </c>
      <c r="B649" s="25" t="s">
        <v>1178</v>
      </c>
      <c r="C649" s="25" t="s">
        <v>1188</v>
      </c>
      <c r="D649" s="26" t="n">
        <v>0.617147283090827</v>
      </c>
      <c r="E649" s="26" t="n">
        <v>2.65699402572284</v>
      </c>
      <c r="F649" s="26" t="n">
        <v>-4.9618034998809</v>
      </c>
      <c r="G649" s="26" t="n">
        <v>-4.97849701286142</v>
      </c>
      <c r="H649" s="26" t="n">
        <v>-1.80480947415806</v>
      </c>
      <c r="I649" s="26" t="n">
        <v>-1.82150298713858</v>
      </c>
      <c r="J649" s="26" t="n">
        <v>14.91</v>
      </c>
      <c r="K649" s="27" t="n">
        <f aca="false">MIN(F649,G649)</f>
        <v>-4.97849701286142</v>
      </c>
      <c r="L649" s="27" t="n">
        <f aca="false">AVERAGE(F649,G649)</f>
        <v>-4.97015025637116</v>
      </c>
      <c r="M649" s="27" t="n">
        <f aca="false">MAX(0,NG-L649)</f>
        <v>4.27015025637116</v>
      </c>
      <c r="N649" s="27" t="n">
        <f aca="false">MAX(0,GWL-K649)</f>
        <v>3.47849701286142</v>
      </c>
      <c r="O649" s="27" t="n">
        <f aca="false">MAX(0,NG-MAX(K649,GWL))</f>
        <v>0.8</v>
      </c>
      <c r="P649" s="27" t="n">
        <f aca="false">E649/2+WS+SLOPE_A*O649+SLOPE_B*N649</f>
        <v>10.4854910385843</v>
      </c>
      <c r="Q649" s="28" t="str">
        <f aca="false">IF(AND(P649&lt;J649,N649&lt;=MAXOC),"Open cut","Shoring")</f>
        <v>Shoring</v>
      </c>
      <c r="R649" s="27" t="n">
        <f aca="false">IF(Q649="Shoring",D649,0)</f>
        <v>0.617147283090827</v>
      </c>
      <c r="S649" s="27" t="n">
        <f aca="false">MAX(0,GWL-L649)</f>
        <v>3.47015025637116</v>
      </c>
      <c r="T649" s="27" t="n">
        <f aca="false">MAX(0,NG-MAX(L649,GWL))</f>
        <v>0.8</v>
      </c>
      <c r="U649" s="27" t="n">
        <f aca="false">E649+2*WS</f>
        <v>4.65699402572284</v>
      </c>
      <c r="V649" s="27" t="n">
        <f aca="false">IF(Q649="Shoring",D649*M649*U649,0)</f>
        <v>12.2726305126788</v>
      </c>
      <c r="W649" s="27" t="n">
        <f aca="false">IF(Q649="Open cut",D649*(U649*M649+SLOPE_B*S649^2+2*SLOPE_B*S649*T649+SLOPE_A*T649^2),0)</f>
        <v>0</v>
      </c>
      <c r="X649" s="27" t="n">
        <f aca="false">IF(M649&gt;0,D649*(E649+2*SLABOVH)*SLAB,0)</f>
        <v>1.12845196362712</v>
      </c>
      <c r="Y649" s="27" t="n">
        <f aca="false">IF(M649&gt;0,D649*PI()*E649^2/4,0)</f>
        <v>3.42184125932701</v>
      </c>
      <c r="Z649" s="27" t="n">
        <f aca="false">IF(H649-E649&gt;=GWL,99,E649*(MAX(0,GWL-H649)*(GAM_S-GAM_W)+MAX(0,NG-MAX(H649,GWL))*GAM_D)/(GAM_W*PI()*E649^2/4))</f>
        <v>0.825361958738146</v>
      </c>
      <c r="AA649" s="27" t="n">
        <f aca="false">IF(I649-E649&gt;=GWL,99,E649*(MAX(0,GWL-I649)*(GAM_S-GAM_W)+MAX(0,NG-MAX(I649,GWL))*GAM_D)/(GAM_W*PI()*E649^2/4))</f>
        <v>0.832040508623598</v>
      </c>
      <c r="AB649" s="27" t="n">
        <f aca="false">IF(H649-E649&gt;=GWL,99,E649*(MAX(0,GWL-H649)*(GAM_S-GAM_W)+MAX(0,FL-MAX(H649,GWL))*GAM_D)/(GAM_W*PI()*E649^2/4))</f>
        <v>2.32012365311342</v>
      </c>
      <c r="AC649" s="27" t="n">
        <f aca="false">IF(I649-E649&gt;=GWL,99,E649*(MAX(0,GWL-I649)*(GAM_S-GAM_W)+MAX(0,FL-MAX(I649,GWL))*GAM_D)/(GAM_W*PI()*E649^2/4))</f>
        <v>2.32680220299887</v>
      </c>
    </row>
    <row r="650" customFormat="false" ht="15" hidden="false" customHeight="false" outlineLevel="0" collapsed="false">
      <c r="A650" s="25" t="s">
        <v>1136</v>
      </c>
      <c r="B650" s="25" t="s">
        <v>1189</v>
      </c>
      <c r="C650" s="25" t="s">
        <v>1190</v>
      </c>
      <c r="D650" s="26" t="n">
        <v>9.38285271743001</v>
      </c>
      <c r="E650" s="26" t="n">
        <v>2.65699402572284</v>
      </c>
      <c r="F650" s="26" t="n">
        <v>-4.97849701286142</v>
      </c>
      <c r="G650" s="26" t="n">
        <v>-4.97849701286142</v>
      </c>
      <c r="H650" s="26" t="n">
        <v>-1.82150298713858</v>
      </c>
      <c r="I650" s="26" t="n">
        <v>-1.82150298713858</v>
      </c>
      <c r="J650" s="26" t="n">
        <v>9.68</v>
      </c>
      <c r="K650" s="27" t="n">
        <f aca="false">MIN(F650,G650)</f>
        <v>-4.97849701286142</v>
      </c>
      <c r="L650" s="27" t="n">
        <f aca="false">AVERAGE(F650,G650)</f>
        <v>-4.97849701286142</v>
      </c>
      <c r="M650" s="27" t="n">
        <f aca="false">MAX(0,NG-L650)</f>
        <v>4.27849701286142</v>
      </c>
      <c r="N650" s="27" t="n">
        <f aca="false">MAX(0,GWL-K650)</f>
        <v>3.47849701286142</v>
      </c>
      <c r="O650" s="27" t="n">
        <f aca="false">MAX(0,NG-MAX(K650,GWL))</f>
        <v>0.8</v>
      </c>
      <c r="P650" s="27" t="n">
        <f aca="false">E650/2+WS+SLOPE_A*O650+SLOPE_B*N650</f>
        <v>10.4854910385843</v>
      </c>
      <c r="Q650" s="28" t="str">
        <f aca="false">IF(AND(P650&lt;J650,N650&lt;=MAXOC),"Open cut","Shoring")</f>
        <v>Shoring</v>
      </c>
      <c r="R650" s="27" t="n">
        <f aca="false">IF(Q650="Shoring",D650,0)</f>
        <v>9.38285271743001</v>
      </c>
      <c r="S650" s="27" t="n">
        <f aca="false">MAX(0,GWL-L650)</f>
        <v>3.47849701286142</v>
      </c>
      <c r="T650" s="27" t="n">
        <f aca="false">MAX(0,NG-MAX(L650,GWL))</f>
        <v>0.8</v>
      </c>
      <c r="U650" s="27" t="n">
        <f aca="false">E650+2*WS</f>
        <v>4.65699402572284</v>
      </c>
      <c r="V650" s="27" t="n">
        <f aca="false">IF(Q650="Shoring",D650*M650*U650,0)</f>
        <v>186.952730771792</v>
      </c>
      <c r="W650" s="27" t="n">
        <f aca="false">IF(Q650="Open cut",D650*(U650*M650+SLOPE_B*S650^2+2*SLOPE_B*S650*T650+SLOPE_A*T650^2),0)</f>
        <v>0</v>
      </c>
      <c r="X650" s="27" t="n">
        <f aca="false">IF(M650&gt;0,D650*(E650+2*SLABOVH)*SLAB,0)</f>
        <v>17.1565181659394</v>
      </c>
      <c r="Y650" s="27" t="n">
        <f aca="false">IF(M650&gt;0,D650*PI()*E650^2/4,0)</f>
        <v>52.0242629893671</v>
      </c>
      <c r="Z650" s="27" t="n">
        <f aca="false">IF(H650-E650&gt;=GWL,99,E650*(MAX(0,GWL-H650)*(GAM_S-GAM_W)+MAX(0,NG-MAX(H650,GWL))*GAM_D)/(GAM_W*PI()*E650^2/4))</f>
        <v>0.832040508623598</v>
      </c>
      <c r="AA650" s="27" t="n">
        <f aca="false">IF(I650-E650&gt;=GWL,99,E650*(MAX(0,GWL-I650)*(GAM_S-GAM_W)+MAX(0,NG-MAX(I650,GWL))*GAM_D)/(GAM_W*PI()*E650^2/4))</f>
        <v>0.832040508623598</v>
      </c>
      <c r="AB650" s="27" t="n">
        <f aca="false">IF(H650-E650&gt;=GWL,99,E650*(MAX(0,GWL-H650)*(GAM_S-GAM_W)+MAX(0,FL-MAX(H650,GWL))*GAM_D)/(GAM_W*PI()*E650^2/4))</f>
        <v>2.32680220299887</v>
      </c>
      <c r="AC650" s="27" t="n">
        <f aca="false">IF(I650-E650&gt;=GWL,99,E650*(MAX(0,GWL-I650)*(GAM_S-GAM_W)+MAX(0,FL-MAX(I650,GWL))*GAM_D)/(GAM_W*PI()*E650^2/4))</f>
        <v>2.32680220299887</v>
      </c>
    </row>
    <row r="651" customFormat="false" ht="15" hidden="false" customHeight="false" outlineLevel="0" collapsed="false">
      <c r="A651" s="25" t="s">
        <v>1136</v>
      </c>
      <c r="B651" s="25" t="s">
        <v>1189</v>
      </c>
      <c r="C651" s="25" t="s">
        <v>1191</v>
      </c>
      <c r="D651" s="26" t="n">
        <v>9.99999999972673</v>
      </c>
      <c r="E651" s="26" t="n">
        <v>2.65699402572284</v>
      </c>
      <c r="F651" s="26" t="n">
        <v>-4.97849701286142</v>
      </c>
      <c r="G651" s="26" t="n">
        <v>-4.97849701286142</v>
      </c>
      <c r="H651" s="26" t="n">
        <v>-1.82150298713858</v>
      </c>
      <c r="I651" s="26" t="n">
        <v>-1.82150298713858</v>
      </c>
      <c r="J651" s="26" t="n">
        <v>6.05</v>
      </c>
      <c r="K651" s="27" t="n">
        <f aca="false">MIN(F651,G651)</f>
        <v>-4.97849701286142</v>
      </c>
      <c r="L651" s="27" t="n">
        <f aca="false">AVERAGE(F651,G651)</f>
        <v>-4.97849701286142</v>
      </c>
      <c r="M651" s="27" t="n">
        <f aca="false">MAX(0,NG-L651)</f>
        <v>4.27849701286142</v>
      </c>
      <c r="N651" s="27" t="n">
        <f aca="false">MAX(0,GWL-K651)</f>
        <v>3.47849701286142</v>
      </c>
      <c r="O651" s="27" t="n">
        <f aca="false">MAX(0,NG-MAX(K651,GWL))</f>
        <v>0.8</v>
      </c>
      <c r="P651" s="27" t="n">
        <f aca="false">E651/2+WS+SLOPE_A*O651+SLOPE_B*N651</f>
        <v>10.4854910385843</v>
      </c>
      <c r="Q651" s="28" t="str">
        <f aca="false">IF(AND(P651&lt;J651,N651&lt;=MAXOC),"Open cut","Shoring")</f>
        <v>Shoring</v>
      </c>
      <c r="R651" s="27" t="n">
        <f aca="false">IF(Q651="Shoring",D651,0)</f>
        <v>9.99999999972673</v>
      </c>
      <c r="S651" s="27" t="n">
        <f aca="false">MAX(0,GWL-L651)</f>
        <v>3.47849701286142</v>
      </c>
      <c r="T651" s="27" t="n">
        <f aca="false">MAX(0,NG-MAX(L651,GWL))</f>
        <v>0.8</v>
      </c>
      <c r="U651" s="27" t="n">
        <f aca="false">E651+2*WS</f>
        <v>4.65699402572284</v>
      </c>
      <c r="V651" s="27" t="n">
        <f aca="false">IF(Q651="Shoring",D651*M651*U651,0)</f>
        <v>199.249350274242</v>
      </c>
      <c r="W651" s="27" t="n">
        <f aca="false">IF(Q651="Open cut",D651*(U651*M651+SLOPE_B*S651^2+2*SLOPE_B*S651*T651+SLOPE_A*T651^2),0)</f>
        <v>0</v>
      </c>
      <c r="X651" s="27" t="n">
        <f aca="false">IF(M651&gt;0,D651*(E651+2*SLABOVH)*SLAB,0)</f>
        <v>18.2849701281145</v>
      </c>
      <c r="Y651" s="27" t="n">
        <f aca="false">IF(M651&gt;0,D651*PI()*E651^2/4,0)</f>
        <v>55.4461042442911</v>
      </c>
      <c r="Z651" s="27" t="n">
        <f aca="false">IF(H651-E651&gt;=GWL,99,E651*(MAX(0,GWL-H651)*(GAM_S-GAM_W)+MAX(0,NG-MAX(H651,GWL))*GAM_D)/(GAM_W*PI()*E651^2/4))</f>
        <v>0.832040508623598</v>
      </c>
      <c r="AA651" s="27" t="n">
        <f aca="false">IF(I651-E651&gt;=GWL,99,E651*(MAX(0,GWL-I651)*(GAM_S-GAM_W)+MAX(0,NG-MAX(I651,GWL))*GAM_D)/(GAM_W*PI()*E651^2/4))</f>
        <v>0.832040508623598</v>
      </c>
      <c r="AB651" s="27" t="n">
        <f aca="false">IF(H651-E651&gt;=GWL,99,E651*(MAX(0,GWL-H651)*(GAM_S-GAM_W)+MAX(0,FL-MAX(H651,GWL))*GAM_D)/(GAM_W*PI()*E651^2/4))</f>
        <v>2.32680220299887</v>
      </c>
      <c r="AC651" s="27" t="n">
        <f aca="false">IF(I651-E651&gt;=GWL,99,E651*(MAX(0,GWL-I651)*(GAM_S-GAM_W)+MAX(0,FL-MAX(I651,GWL))*GAM_D)/(GAM_W*PI()*E651^2/4))</f>
        <v>2.32680220299887</v>
      </c>
    </row>
    <row r="652" customFormat="false" ht="15" hidden="false" customHeight="false" outlineLevel="0" collapsed="false">
      <c r="A652" s="25" t="s">
        <v>1136</v>
      </c>
      <c r="B652" s="25" t="s">
        <v>1189</v>
      </c>
      <c r="C652" s="25" t="s">
        <v>1192</v>
      </c>
      <c r="D652" s="26" t="n">
        <v>9.99999999932969</v>
      </c>
      <c r="E652" s="26" t="n">
        <v>2.65699402572284</v>
      </c>
      <c r="F652" s="26" t="n">
        <v>-4.97849701286142</v>
      </c>
      <c r="G652" s="26" t="n">
        <v>-4.97849701286142</v>
      </c>
      <c r="H652" s="26" t="n">
        <v>-1.82150298713858</v>
      </c>
      <c r="I652" s="26" t="n">
        <v>-1.82150298713858</v>
      </c>
      <c r="J652" s="26" t="n">
        <v>5.04</v>
      </c>
      <c r="K652" s="27" t="n">
        <f aca="false">MIN(F652,G652)</f>
        <v>-4.97849701286142</v>
      </c>
      <c r="L652" s="27" t="n">
        <f aca="false">AVERAGE(F652,G652)</f>
        <v>-4.97849701286142</v>
      </c>
      <c r="M652" s="27" t="n">
        <f aca="false">MAX(0,NG-L652)</f>
        <v>4.27849701286142</v>
      </c>
      <c r="N652" s="27" t="n">
        <f aca="false">MAX(0,GWL-K652)</f>
        <v>3.47849701286142</v>
      </c>
      <c r="O652" s="27" t="n">
        <f aca="false">MAX(0,NG-MAX(K652,GWL))</f>
        <v>0.8</v>
      </c>
      <c r="P652" s="27" t="n">
        <f aca="false">E652/2+WS+SLOPE_A*O652+SLOPE_B*N652</f>
        <v>10.4854910385843</v>
      </c>
      <c r="Q652" s="28" t="str">
        <f aca="false">IF(AND(P652&lt;J652,N652&lt;=MAXOC),"Open cut","Shoring")</f>
        <v>Shoring</v>
      </c>
      <c r="R652" s="27" t="n">
        <f aca="false">IF(Q652="Shoring",D652,0)</f>
        <v>9.99999999932969</v>
      </c>
      <c r="S652" s="27" t="n">
        <f aca="false">MAX(0,GWL-L652)</f>
        <v>3.47849701286142</v>
      </c>
      <c r="T652" s="27" t="n">
        <f aca="false">MAX(0,NG-MAX(L652,GWL))</f>
        <v>0.8</v>
      </c>
      <c r="U652" s="27" t="n">
        <f aca="false">E652+2*WS</f>
        <v>4.65699402572284</v>
      </c>
      <c r="V652" s="27" t="n">
        <f aca="false">IF(Q652="Shoring",D652*M652*U652,0)</f>
        <v>199.249350266331</v>
      </c>
      <c r="W652" s="27" t="n">
        <f aca="false">IF(Q652="Open cut",D652*(U652*M652+SLOPE_B*S652^2+2*SLOPE_B*S652*T652+SLOPE_A*T652^2),0)</f>
        <v>0</v>
      </c>
      <c r="X652" s="27" t="n">
        <f aca="false">IF(M652&gt;0,D652*(E652+2*SLABOVH)*SLAB,0)</f>
        <v>18.2849701273885</v>
      </c>
      <c r="Y652" s="27" t="n">
        <f aca="false">IF(M652&gt;0,D652*PI()*E652^2/4,0)</f>
        <v>55.4461042420896</v>
      </c>
      <c r="Z652" s="27" t="n">
        <f aca="false">IF(H652-E652&gt;=GWL,99,E652*(MAX(0,GWL-H652)*(GAM_S-GAM_W)+MAX(0,NG-MAX(H652,GWL))*GAM_D)/(GAM_W*PI()*E652^2/4))</f>
        <v>0.832040508623598</v>
      </c>
      <c r="AA652" s="27" t="n">
        <f aca="false">IF(I652-E652&gt;=GWL,99,E652*(MAX(0,GWL-I652)*(GAM_S-GAM_W)+MAX(0,NG-MAX(I652,GWL))*GAM_D)/(GAM_W*PI()*E652^2/4))</f>
        <v>0.832040508623598</v>
      </c>
      <c r="AB652" s="27" t="n">
        <f aca="false">IF(H652-E652&gt;=GWL,99,E652*(MAX(0,GWL-H652)*(GAM_S-GAM_W)+MAX(0,FL-MAX(H652,GWL))*GAM_D)/(GAM_W*PI()*E652^2/4))</f>
        <v>2.32680220299887</v>
      </c>
      <c r="AC652" s="27" t="n">
        <f aca="false">IF(I652-E652&gt;=GWL,99,E652*(MAX(0,GWL-I652)*(GAM_S-GAM_W)+MAX(0,FL-MAX(I652,GWL))*GAM_D)/(GAM_W*PI()*E652^2/4))</f>
        <v>2.32680220299887</v>
      </c>
    </row>
    <row r="653" customFormat="false" ht="15" hidden="false" customHeight="false" outlineLevel="0" collapsed="false">
      <c r="A653" s="25" t="s">
        <v>1136</v>
      </c>
      <c r="B653" s="25" t="s">
        <v>1189</v>
      </c>
      <c r="C653" s="25" t="s">
        <v>1193</v>
      </c>
      <c r="D653" s="26" t="n">
        <v>10.0000000005208</v>
      </c>
      <c r="E653" s="26" t="n">
        <v>2.65699402572284</v>
      </c>
      <c r="F653" s="26" t="n">
        <v>-4.97849701286142</v>
      </c>
      <c r="G653" s="26" t="n">
        <v>-4.97849701286142</v>
      </c>
      <c r="H653" s="26" t="n">
        <v>-1.82150298713858</v>
      </c>
      <c r="I653" s="26" t="n">
        <v>-1.82150298713858</v>
      </c>
      <c r="J653" s="26" t="n">
        <v>5.08</v>
      </c>
      <c r="K653" s="27" t="n">
        <f aca="false">MIN(F653,G653)</f>
        <v>-4.97849701286142</v>
      </c>
      <c r="L653" s="27" t="n">
        <f aca="false">AVERAGE(F653,G653)</f>
        <v>-4.97849701286142</v>
      </c>
      <c r="M653" s="27" t="n">
        <f aca="false">MAX(0,NG-L653)</f>
        <v>4.27849701286142</v>
      </c>
      <c r="N653" s="27" t="n">
        <f aca="false">MAX(0,GWL-K653)</f>
        <v>3.47849701286142</v>
      </c>
      <c r="O653" s="27" t="n">
        <f aca="false">MAX(0,NG-MAX(K653,GWL))</f>
        <v>0.8</v>
      </c>
      <c r="P653" s="27" t="n">
        <f aca="false">E653/2+WS+SLOPE_A*O653+SLOPE_B*N653</f>
        <v>10.4854910385843</v>
      </c>
      <c r="Q653" s="28" t="str">
        <f aca="false">IF(AND(P653&lt;J653,N653&lt;=MAXOC),"Open cut","Shoring")</f>
        <v>Shoring</v>
      </c>
      <c r="R653" s="27" t="n">
        <f aca="false">IF(Q653="Shoring",D653,0)</f>
        <v>10.0000000005208</v>
      </c>
      <c r="S653" s="27" t="n">
        <f aca="false">MAX(0,GWL-L653)</f>
        <v>3.47849701286142</v>
      </c>
      <c r="T653" s="27" t="n">
        <f aca="false">MAX(0,NG-MAX(L653,GWL))</f>
        <v>0.8</v>
      </c>
      <c r="U653" s="27" t="n">
        <f aca="false">E653+2*WS</f>
        <v>4.65699402572284</v>
      </c>
      <c r="V653" s="27" t="n">
        <f aca="false">IF(Q653="Shoring",D653*M653*U653,0)</f>
        <v>199.249350290064</v>
      </c>
      <c r="W653" s="27" t="n">
        <f aca="false">IF(Q653="Open cut",D653*(U653*M653+SLOPE_B*S653^2+2*SLOPE_B*S653*T653+SLOPE_A*T653^2),0)</f>
        <v>0</v>
      </c>
      <c r="X653" s="27" t="n">
        <f aca="false">IF(M653&gt;0,D653*(E653+2*SLABOVH)*SLAB,0)</f>
        <v>18.2849701295665</v>
      </c>
      <c r="Y653" s="27" t="n">
        <f aca="false">IF(M653&gt;0,D653*PI()*E653^2/4,0)</f>
        <v>55.4461042486941</v>
      </c>
      <c r="Z653" s="27" t="n">
        <f aca="false">IF(H653-E653&gt;=GWL,99,E653*(MAX(0,GWL-H653)*(GAM_S-GAM_W)+MAX(0,NG-MAX(H653,GWL))*GAM_D)/(GAM_W*PI()*E653^2/4))</f>
        <v>0.832040508623598</v>
      </c>
      <c r="AA653" s="27" t="n">
        <f aca="false">IF(I653-E653&gt;=GWL,99,E653*(MAX(0,GWL-I653)*(GAM_S-GAM_W)+MAX(0,NG-MAX(I653,GWL))*GAM_D)/(GAM_W*PI()*E653^2/4))</f>
        <v>0.832040508623598</v>
      </c>
      <c r="AB653" s="27" t="n">
        <f aca="false">IF(H653-E653&gt;=GWL,99,E653*(MAX(0,GWL-H653)*(GAM_S-GAM_W)+MAX(0,FL-MAX(H653,GWL))*GAM_D)/(GAM_W*PI()*E653^2/4))</f>
        <v>2.32680220299887</v>
      </c>
      <c r="AC653" s="27" t="n">
        <f aca="false">IF(I653-E653&gt;=GWL,99,E653*(MAX(0,GWL-I653)*(GAM_S-GAM_W)+MAX(0,FL-MAX(I653,GWL))*GAM_D)/(GAM_W*PI()*E653^2/4))</f>
        <v>2.32680220299887</v>
      </c>
    </row>
    <row r="654" customFormat="false" ht="15" hidden="false" customHeight="false" outlineLevel="0" collapsed="false">
      <c r="A654" s="25" t="s">
        <v>1136</v>
      </c>
      <c r="B654" s="25" t="s">
        <v>1189</v>
      </c>
      <c r="C654" s="25" t="s">
        <v>1194</v>
      </c>
      <c r="D654" s="26" t="n">
        <v>9.99999999966591</v>
      </c>
      <c r="E654" s="26" t="n">
        <v>2.65699402572284</v>
      </c>
      <c r="F654" s="26" t="n">
        <v>-4.97849701286142</v>
      </c>
      <c r="G654" s="26" t="n">
        <v>-4.97849701286142</v>
      </c>
      <c r="H654" s="26" t="n">
        <v>-1.82150298713858</v>
      </c>
      <c r="I654" s="26" t="n">
        <v>-1.82150298713858</v>
      </c>
      <c r="J654" s="26" t="n">
        <v>6.97</v>
      </c>
      <c r="K654" s="27" t="n">
        <f aca="false">MIN(F654,G654)</f>
        <v>-4.97849701286142</v>
      </c>
      <c r="L654" s="27" t="n">
        <f aca="false">AVERAGE(F654,G654)</f>
        <v>-4.97849701286142</v>
      </c>
      <c r="M654" s="27" t="n">
        <f aca="false">MAX(0,NG-L654)</f>
        <v>4.27849701286142</v>
      </c>
      <c r="N654" s="27" t="n">
        <f aca="false">MAX(0,GWL-K654)</f>
        <v>3.47849701286142</v>
      </c>
      <c r="O654" s="27" t="n">
        <f aca="false">MAX(0,NG-MAX(K654,GWL))</f>
        <v>0.8</v>
      </c>
      <c r="P654" s="27" t="n">
        <f aca="false">E654/2+WS+SLOPE_A*O654+SLOPE_B*N654</f>
        <v>10.4854910385843</v>
      </c>
      <c r="Q654" s="28" t="str">
        <f aca="false">IF(AND(P654&lt;J654,N654&lt;=MAXOC),"Open cut","Shoring")</f>
        <v>Shoring</v>
      </c>
      <c r="R654" s="27" t="n">
        <f aca="false">IF(Q654="Shoring",D654,0)</f>
        <v>9.99999999966591</v>
      </c>
      <c r="S654" s="27" t="n">
        <f aca="false">MAX(0,GWL-L654)</f>
        <v>3.47849701286142</v>
      </c>
      <c r="T654" s="27" t="n">
        <f aca="false">MAX(0,NG-MAX(L654,GWL))</f>
        <v>0.8</v>
      </c>
      <c r="U654" s="27" t="n">
        <f aca="false">E654+2*WS</f>
        <v>4.65699402572284</v>
      </c>
      <c r="V654" s="27" t="n">
        <f aca="false">IF(Q654="Shoring",D654*M654*U654,0)</f>
        <v>199.24935027303</v>
      </c>
      <c r="W654" s="27" t="n">
        <f aca="false">IF(Q654="Open cut",D654*(U654*M654+SLOPE_B*S654^2+2*SLOPE_B*S654*T654+SLOPE_A*T654^2),0)</f>
        <v>0</v>
      </c>
      <c r="X654" s="27" t="n">
        <f aca="false">IF(M654&gt;0,D654*(E654+2*SLABOVH)*SLAB,0)</f>
        <v>18.2849701280033</v>
      </c>
      <c r="Y654" s="27" t="n">
        <f aca="false">IF(M654&gt;0,D654*PI()*E654^2/4,0)</f>
        <v>55.4461042439539</v>
      </c>
      <c r="Z654" s="27" t="n">
        <f aca="false">IF(H654-E654&gt;=GWL,99,E654*(MAX(0,GWL-H654)*(GAM_S-GAM_W)+MAX(0,NG-MAX(H654,GWL))*GAM_D)/(GAM_W*PI()*E654^2/4))</f>
        <v>0.832040508623598</v>
      </c>
      <c r="AA654" s="27" t="n">
        <f aca="false">IF(I654-E654&gt;=GWL,99,E654*(MAX(0,GWL-I654)*(GAM_S-GAM_W)+MAX(0,NG-MAX(I654,GWL))*GAM_D)/(GAM_W*PI()*E654^2/4))</f>
        <v>0.832040508623598</v>
      </c>
      <c r="AB654" s="27" t="n">
        <f aca="false">IF(H654-E654&gt;=GWL,99,E654*(MAX(0,GWL-H654)*(GAM_S-GAM_W)+MAX(0,FL-MAX(H654,GWL))*GAM_D)/(GAM_W*PI()*E654^2/4))</f>
        <v>2.32680220299887</v>
      </c>
      <c r="AC654" s="27" t="n">
        <f aca="false">IF(I654-E654&gt;=GWL,99,E654*(MAX(0,GWL-I654)*(GAM_S-GAM_W)+MAX(0,FL-MAX(I654,GWL))*GAM_D)/(GAM_W*PI()*E654^2/4))</f>
        <v>2.32680220299887</v>
      </c>
    </row>
    <row r="655" customFormat="false" ht="15" hidden="false" customHeight="false" outlineLevel="0" collapsed="false">
      <c r="A655" s="25" t="s">
        <v>1136</v>
      </c>
      <c r="B655" s="25" t="s">
        <v>1189</v>
      </c>
      <c r="C655" s="25" t="s">
        <v>1195</v>
      </c>
      <c r="D655" s="26" t="n">
        <v>1.79899999976267</v>
      </c>
      <c r="E655" s="26" t="n">
        <v>2.65699402572284</v>
      </c>
      <c r="F655" s="26" t="n">
        <v>-4.97849701286142</v>
      </c>
      <c r="G655" s="26" t="n">
        <v>-4.97849701286142</v>
      </c>
      <c r="H655" s="26" t="n">
        <v>-1.82150298713858</v>
      </c>
      <c r="I655" s="26" t="n">
        <v>-1.82150298713858</v>
      </c>
      <c r="J655" s="26" t="n">
        <v>11.33</v>
      </c>
      <c r="K655" s="27" t="n">
        <f aca="false">MIN(F655,G655)</f>
        <v>-4.97849701286142</v>
      </c>
      <c r="L655" s="27" t="n">
        <f aca="false">AVERAGE(F655,G655)</f>
        <v>-4.97849701286142</v>
      </c>
      <c r="M655" s="27" t="n">
        <f aca="false">MAX(0,NG-L655)</f>
        <v>4.27849701286142</v>
      </c>
      <c r="N655" s="27" t="n">
        <f aca="false">MAX(0,GWL-K655)</f>
        <v>3.47849701286142</v>
      </c>
      <c r="O655" s="27" t="n">
        <f aca="false">MAX(0,NG-MAX(K655,GWL))</f>
        <v>0.8</v>
      </c>
      <c r="P655" s="27" t="n">
        <f aca="false">E655/2+WS+SLOPE_A*O655+SLOPE_B*N655</f>
        <v>10.4854910385843</v>
      </c>
      <c r="Q655" s="28" t="str">
        <f aca="false">IF(AND(P655&lt;J655,N655&lt;=MAXOC),"Open cut","Shoring")</f>
        <v>Shoring</v>
      </c>
      <c r="R655" s="27" t="n">
        <f aca="false">IF(Q655="Shoring",D655,0)</f>
        <v>1.79899999976267</v>
      </c>
      <c r="S655" s="27" t="n">
        <f aca="false">MAX(0,GWL-L655)</f>
        <v>3.47849701286142</v>
      </c>
      <c r="T655" s="27" t="n">
        <f aca="false">MAX(0,NG-MAX(L655,GWL))</f>
        <v>0.8</v>
      </c>
      <c r="U655" s="27" t="n">
        <f aca="false">E655+2*WS</f>
        <v>4.65699402572284</v>
      </c>
      <c r="V655" s="27" t="n">
        <f aca="false">IF(Q655="Shoring",D655*M655*U655,0)</f>
        <v>35.8449581105868</v>
      </c>
      <c r="W655" s="27" t="n">
        <f aca="false">IF(Q655="Open cut",D655*(U655*M655+SLOPE_B*S655^2+2*SLOPE_B*S655*T655+SLOPE_A*T655^2),0)</f>
        <v>0</v>
      </c>
      <c r="X655" s="27" t="n">
        <f aca="false">IF(M655&gt;0,D655*(E655+2*SLABOVH)*SLAB,0)</f>
        <v>3.28946612570374</v>
      </c>
      <c r="Y655" s="27" t="n">
        <f aca="false">IF(M655&gt;0,D655*PI()*E655^2/4,0)</f>
        <v>9.97475415250463</v>
      </c>
      <c r="Z655" s="27" t="n">
        <f aca="false">IF(H655-E655&gt;=GWL,99,E655*(MAX(0,GWL-H655)*(GAM_S-GAM_W)+MAX(0,NG-MAX(H655,GWL))*GAM_D)/(GAM_W*PI()*E655^2/4))</f>
        <v>0.832040508623598</v>
      </c>
      <c r="AA655" s="27" t="n">
        <f aca="false">IF(I655-E655&gt;=GWL,99,E655*(MAX(0,GWL-I655)*(GAM_S-GAM_W)+MAX(0,NG-MAX(I655,GWL))*GAM_D)/(GAM_W*PI()*E655^2/4))</f>
        <v>0.832040508623598</v>
      </c>
      <c r="AB655" s="27" t="n">
        <f aca="false">IF(H655-E655&gt;=GWL,99,E655*(MAX(0,GWL-H655)*(GAM_S-GAM_W)+MAX(0,FL-MAX(H655,GWL))*GAM_D)/(GAM_W*PI()*E655^2/4))</f>
        <v>2.32680220299887</v>
      </c>
      <c r="AC655" s="27" t="n">
        <f aca="false">IF(I655-E655&gt;=GWL,99,E655*(MAX(0,GWL-I655)*(GAM_S-GAM_W)+MAX(0,FL-MAX(I655,GWL))*GAM_D)/(GAM_W*PI()*E655^2/4))</f>
        <v>2.32680220299887</v>
      </c>
    </row>
    <row r="656" customFormat="false" ht="15" hidden="false" customHeight="false" outlineLevel="0" collapsed="false">
      <c r="A656" s="25" t="s">
        <v>1136</v>
      </c>
      <c r="B656" s="25" t="s">
        <v>1196</v>
      </c>
      <c r="C656" s="25" t="s">
        <v>1197</v>
      </c>
      <c r="D656" s="26" t="n">
        <v>5.99997728332391</v>
      </c>
      <c r="E656" s="26" t="n">
        <v>2.65699402572284</v>
      </c>
      <c r="F656" s="26" t="n">
        <v>-4.97849701286142</v>
      </c>
      <c r="G656" s="26" t="n">
        <v>-4.97849701286142</v>
      </c>
      <c r="H656" s="26" t="n">
        <v>-1.82150298713858</v>
      </c>
      <c r="I656" s="26" t="n">
        <v>-1.82150298713858</v>
      </c>
      <c r="J656" s="26" t="n">
        <v>12.33</v>
      </c>
      <c r="K656" s="27" t="n">
        <f aca="false">MIN(F656,G656)</f>
        <v>-4.97849701286142</v>
      </c>
      <c r="L656" s="27" t="n">
        <f aca="false">AVERAGE(F656,G656)</f>
        <v>-4.97849701286142</v>
      </c>
      <c r="M656" s="27" t="n">
        <f aca="false">MAX(0,NG-L656)</f>
        <v>4.27849701286142</v>
      </c>
      <c r="N656" s="27" t="n">
        <f aca="false">MAX(0,GWL-K656)</f>
        <v>3.47849701286142</v>
      </c>
      <c r="O656" s="27" t="n">
        <f aca="false">MAX(0,NG-MAX(K656,GWL))</f>
        <v>0.8</v>
      </c>
      <c r="P656" s="27" t="n">
        <f aca="false">E656/2+WS+SLOPE_A*O656+SLOPE_B*N656</f>
        <v>10.4854910385843</v>
      </c>
      <c r="Q656" s="28" t="str">
        <f aca="false">IF(AND(P656&lt;J656,N656&lt;=MAXOC),"Open cut","Shoring")</f>
        <v>Shoring</v>
      </c>
      <c r="R656" s="27" t="n">
        <f aca="false">IF(Q656="Shoring",D656,0)</f>
        <v>5.99997728332391</v>
      </c>
      <c r="S656" s="27" t="n">
        <f aca="false">MAX(0,GWL-L656)</f>
        <v>3.47849701286142</v>
      </c>
      <c r="T656" s="27" t="n">
        <f aca="false">MAX(0,NG-MAX(L656,GWL))</f>
        <v>0.8</v>
      </c>
      <c r="U656" s="27" t="n">
        <f aca="false">E656+2*WS</f>
        <v>4.65699402572284</v>
      </c>
      <c r="V656" s="27" t="n">
        <f aca="false">IF(Q656="Shoring",D656*M656*U656,0)</f>
        <v>119.549157539517</v>
      </c>
      <c r="W656" s="27" t="n">
        <f aca="false">IF(Q656="Open cut",D656*(U656*M656+SLOPE_B*S656^2+2*SLOPE_B*S656*T656+SLOPE_A*T656^2),0)</f>
        <v>0</v>
      </c>
      <c r="X656" s="27" t="n">
        <f aca="false">IF(M656&gt;0,D656*(E656+2*SLABOVH)*SLAB,0)</f>
        <v>10.9709405397942</v>
      </c>
      <c r="Y656" s="27" t="n">
        <f aca="false">IF(M656&gt;0,D656*PI()*E656^2/4,0)</f>
        <v>33.2675365923647</v>
      </c>
      <c r="Z656" s="27" t="n">
        <f aca="false">IF(H656-E656&gt;=GWL,99,E656*(MAX(0,GWL-H656)*(GAM_S-GAM_W)+MAX(0,NG-MAX(H656,GWL))*GAM_D)/(GAM_W*PI()*E656^2/4))</f>
        <v>0.832040508623598</v>
      </c>
      <c r="AA656" s="27" t="n">
        <f aca="false">IF(I656-E656&gt;=GWL,99,E656*(MAX(0,GWL-I656)*(GAM_S-GAM_W)+MAX(0,NG-MAX(I656,GWL))*GAM_D)/(GAM_W*PI()*E656^2/4))</f>
        <v>0.832040508623598</v>
      </c>
      <c r="AB656" s="27" t="n">
        <f aca="false">IF(H656-E656&gt;=GWL,99,E656*(MAX(0,GWL-H656)*(GAM_S-GAM_W)+MAX(0,FL-MAX(H656,GWL))*GAM_D)/(GAM_W*PI()*E656^2/4))</f>
        <v>2.32680220299887</v>
      </c>
      <c r="AC656" s="27" t="n">
        <f aca="false">IF(I656-E656&gt;=GWL,99,E656*(MAX(0,GWL-I656)*(GAM_S-GAM_W)+MAX(0,FL-MAX(I656,GWL))*GAM_D)/(GAM_W*PI()*E656^2/4))</f>
        <v>2.32680220299887</v>
      </c>
    </row>
    <row r="657" customFormat="false" ht="15" hidden="false" customHeight="false" outlineLevel="0" collapsed="false">
      <c r="A657" s="25" t="s">
        <v>1198</v>
      </c>
      <c r="B657" s="25" t="s">
        <v>1199</v>
      </c>
      <c r="C657" s="25" t="s">
        <v>1200</v>
      </c>
      <c r="D657" s="26" t="n">
        <v>2.24407999948706</v>
      </c>
      <c r="E657" s="26" t="n">
        <v>2.6899961074783</v>
      </c>
      <c r="F657" s="26" t="n">
        <v>-3.20499805373915</v>
      </c>
      <c r="G657" s="26" t="n">
        <v>-3.20499805373915</v>
      </c>
      <c r="H657" s="26" t="n">
        <v>-0.0150019462608491</v>
      </c>
      <c r="I657" s="26" t="n">
        <v>-0.0150019462608491</v>
      </c>
      <c r="J657" s="26" t="n">
        <v>8.93</v>
      </c>
      <c r="K657" s="27" t="n">
        <f aca="false">MIN(F657,G657)</f>
        <v>-3.20499805373915</v>
      </c>
      <c r="L657" s="27" t="n">
        <f aca="false">AVERAGE(F657,G657)</f>
        <v>-3.20499805373915</v>
      </c>
      <c r="M657" s="27" t="n">
        <f aca="false">MAX(0,NG-L657)</f>
        <v>2.50499805373915</v>
      </c>
      <c r="N657" s="27" t="n">
        <f aca="false">MAX(0,GWL-K657)</f>
        <v>1.70499805373915</v>
      </c>
      <c r="O657" s="27" t="n">
        <f aca="false">MAX(0,NG-MAX(K657,GWL))</f>
        <v>0.8</v>
      </c>
      <c r="P657" s="27" t="n">
        <f aca="false">E657/2+WS+SLOPE_A*O657+SLOPE_B*N657</f>
        <v>6.95499416121745</v>
      </c>
      <c r="Q657" s="28" t="str">
        <f aca="false">IF(AND(P657&lt;J657,N657&lt;=MAXOC),"Open cut","Shoring")</f>
        <v>Open cut</v>
      </c>
      <c r="R657" s="27" t="n">
        <f aca="false">IF(Q657="Shoring",D657,0)</f>
        <v>0</v>
      </c>
      <c r="S657" s="27" t="n">
        <f aca="false">MAX(0,GWL-L657)</f>
        <v>1.70499805373915</v>
      </c>
      <c r="T657" s="27" t="n">
        <f aca="false">MAX(0,NG-MAX(L657,GWL))</f>
        <v>0.8</v>
      </c>
      <c r="U657" s="27" t="n">
        <f aca="false">E657+2*WS</f>
        <v>4.6899961074783</v>
      </c>
      <c r="V657" s="27" t="n">
        <f aca="false">IF(Q657="Shoring",D657*M657*U657,0)</f>
        <v>0</v>
      </c>
      <c r="W657" s="27" t="n">
        <f aca="false">IF(Q657="Open cut",D657*(U657*M657+SLOPE_B*S657^2+2*SLOPE_B*S657*T657+SLOPE_A*T657^2),0)</f>
        <v>53.8095861393518</v>
      </c>
      <c r="X657" s="27" t="n">
        <f aca="false">IF(M657&gt;0,D657*(E657+2*SLABOVH)*SLAB,0)</f>
        <v>4.14032323148858</v>
      </c>
      <c r="Y657" s="27" t="n">
        <f aca="false">IF(M657&gt;0,D657*PI()*E657^2/4,0)</f>
        <v>12.7535626398566</v>
      </c>
      <c r="Z657" s="27" t="n">
        <f aca="false">IF(H657-E657&gt;=GWL,99,E657*(MAX(0,GWL-H657)*(GAM_S-GAM_W)+MAX(0,NG-MAX(H657,GWL))*GAM_D)/(GAM_W*PI()*E657^2/4))</f>
        <v>0</v>
      </c>
      <c r="AA657" s="27" t="n">
        <f aca="false">IF(I657-E657&gt;=GWL,99,E657*(MAX(0,GWL-I657)*(GAM_S-GAM_W)+MAX(0,NG-MAX(I657,GWL))*GAM_D)/(GAM_W*PI()*E657^2/4))</f>
        <v>0</v>
      </c>
      <c r="AB657" s="27" t="n">
        <f aca="false">IF(H657-E657&gt;=GWL,99,E657*(MAX(0,GWL-H657)*(GAM_S-GAM_W)+MAX(0,FL-MAX(H657,GWL))*GAM_D)/(GAM_W*PI()*E657^2/4))</f>
        <v>0.88151324035749</v>
      </c>
      <c r="AC657" s="27" t="n">
        <f aca="false">IF(I657-E657&gt;=GWL,99,E657*(MAX(0,GWL-I657)*(GAM_S-GAM_W)+MAX(0,FL-MAX(I657,GWL))*GAM_D)/(GAM_W*PI()*E657^2/4))</f>
        <v>0.88151324035749</v>
      </c>
    </row>
    <row r="658" customFormat="false" ht="15" hidden="false" customHeight="false" outlineLevel="0" collapsed="false">
      <c r="A658" s="25" t="s">
        <v>1198</v>
      </c>
      <c r="B658" s="25" t="s">
        <v>1199</v>
      </c>
      <c r="C658" s="25" t="s">
        <v>1201</v>
      </c>
      <c r="D658" s="26" t="n">
        <v>2.59998888492625</v>
      </c>
      <c r="E658" s="26" t="n">
        <v>2.6899961074783</v>
      </c>
      <c r="F658" s="26" t="n">
        <v>-3.20499805373915</v>
      </c>
      <c r="G658" s="26" t="n">
        <v>-3.20499805373915</v>
      </c>
      <c r="H658" s="26" t="n">
        <v>-0.0150019462608491</v>
      </c>
      <c r="I658" s="26" t="n">
        <v>-0.0150019462608491</v>
      </c>
      <c r="J658" s="26" t="n">
        <v>6.33</v>
      </c>
      <c r="K658" s="27" t="n">
        <f aca="false">MIN(F658,G658)</f>
        <v>-3.20499805373915</v>
      </c>
      <c r="L658" s="27" t="n">
        <f aca="false">AVERAGE(F658,G658)</f>
        <v>-3.20499805373915</v>
      </c>
      <c r="M658" s="27" t="n">
        <f aca="false">MAX(0,NG-L658)</f>
        <v>2.50499805373915</v>
      </c>
      <c r="N658" s="27" t="n">
        <f aca="false">MAX(0,GWL-K658)</f>
        <v>1.70499805373915</v>
      </c>
      <c r="O658" s="27" t="n">
        <f aca="false">MAX(0,NG-MAX(K658,GWL))</f>
        <v>0.8</v>
      </c>
      <c r="P658" s="27" t="n">
        <f aca="false">E658/2+WS+SLOPE_A*O658+SLOPE_B*N658</f>
        <v>6.95499416121745</v>
      </c>
      <c r="Q658" s="28" t="str">
        <f aca="false">IF(AND(P658&lt;J658,N658&lt;=MAXOC),"Open cut","Shoring")</f>
        <v>Shoring</v>
      </c>
      <c r="R658" s="27" t="n">
        <f aca="false">IF(Q658="Shoring",D658,0)</f>
        <v>2.59998888492625</v>
      </c>
      <c r="S658" s="27" t="n">
        <f aca="false">MAX(0,GWL-L658)</f>
        <v>1.70499805373915</v>
      </c>
      <c r="T658" s="27" t="n">
        <f aca="false">MAX(0,NG-MAX(L658,GWL))</f>
        <v>0.8</v>
      </c>
      <c r="U658" s="27" t="n">
        <f aca="false">E658+2*WS</f>
        <v>4.6899961074783</v>
      </c>
      <c r="V658" s="27" t="n">
        <f aca="false">IF(Q658="Shoring",D658*M658*U658,0)</f>
        <v>30.5457903306428</v>
      </c>
      <c r="W658" s="27" t="n">
        <f aca="false">IF(Q658="Open cut",D658*(U658*M658+SLOPE_B*S658^2+2*SLOPE_B*S658*T658+SLOPE_A*T658^2),0)</f>
        <v>0</v>
      </c>
      <c r="X658" s="27" t="n">
        <f aca="false">IF(M658&gt;0,D658*(E658+2*SLABOVH)*SLAB,0)</f>
        <v>4.79697443243236</v>
      </c>
      <c r="Y658" s="27" t="n">
        <f aca="false">IF(M658&gt;0,D658*PI()*E658^2/4,0)</f>
        <v>14.7762651573996</v>
      </c>
      <c r="Z658" s="27" t="n">
        <f aca="false">IF(H658-E658&gt;=GWL,99,E658*(MAX(0,GWL-H658)*(GAM_S-GAM_W)+MAX(0,NG-MAX(H658,GWL))*GAM_D)/(GAM_W*PI()*E658^2/4))</f>
        <v>0</v>
      </c>
      <c r="AA658" s="27" t="n">
        <f aca="false">IF(I658-E658&gt;=GWL,99,E658*(MAX(0,GWL-I658)*(GAM_S-GAM_W)+MAX(0,NG-MAX(I658,GWL))*GAM_D)/(GAM_W*PI()*E658^2/4))</f>
        <v>0</v>
      </c>
      <c r="AB658" s="27" t="n">
        <f aca="false">IF(H658-E658&gt;=GWL,99,E658*(MAX(0,GWL-H658)*(GAM_S-GAM_W)+MAX(0,FL-MAX(H658,GWL))*GAM_D)/(GAM_W*PI()*E658^2/4))</f>
        <v>0.88151324035749</v>
      </c>
      <c r="AC658" s="27" t="n">
        <f aca="false">IF(I658-E658&gt;=GWL,99,E658*(MAX(0,GWL-I658)*(GAM_S-GAM_W)+MAX(0,FL-MAX(I658,GWL))*GAM_D)/(GAM_W*PI()*E658^2/4))</f>
        <v>0.88151324035749</v>
      </c>
    </row>
    <row r="659" customFormat="false" ht="15" hidden="false" customHeight="false" outlineLevel="0" collapsed="false">
      <c r="A659" s="25" t="s">
        <v>1198</v>
      </c>
      <c r="B659" s="25" t="s">
        <v>1199</v>
      </c>
      <c r="C659" s="25" t="s">
        <v>1202</v>
      </c>
      <c r="D659" s="26" t="n">
        <v>2.60000891648398</v>
      </c>
      <c r="E659" s="26" t="n">
        <v>2.65699543336455</v>
      </c>
      <c r="F659" s="26" t="n">
        <v>-3.18849771668227</v>
      </c>
      <c r="G659" s="26" t="n">
        <v>-3.18849771668227</v>
      </c>
      <c r="H659" s="26" t="n">
        <v>-0.0315022833177272</v>
      </c>
      <c r="I659" s="26" t="n">
        <v>-0.0315022833177272</v>
      </c>
      <c r="J659" s="26" t="n">
        <v>6.32</v>
      </c>
      <c r="K659" s="27" t="n">
        <f aca="false">MIN(F659,G659)</f>
        <v>-3.18849771668227</v>
      </c>
      <c r="L659" s="27" t="n">
        <f aca="false">AVERAGE(F659,G659)</f>
        <v>-3.18849771668227</v>
      </c>
      <c r="M659" s="27" t="n">
        <f aca="false">MAX(0,NG-L659)</f>
        <v>2.48849771668227</v>
      </c>
      <c r="N659" s="27" t="n">
        <f aca="false">MAX(0,GWL-K659)</f>
        <v>1.68849771668227</v>
      </c>
      <c r="O659" s="27" t="n">
        <f aca="false">MAX(0,NG-MAX(K659,GWL))</f>
        <v>0.8</v>
      </c>
      <c r="P659" s="27" t="n">
        <f aca="false">E659/2+WS+SLOPE_A*O659+SLOPE_B*N659</f>
        <v>6.90549315004682</v>
      </c>
      <c r="Q659" s="28" t="str">
        <f aca="false">IF(AND(P659&lt;J659,N659&lt;=MAXOC),"Open cut","Shoring")</f>
        <v>Shoring</v>
      </c>
      <c r="R659" s="27" t="n">
        <f aca="false">IF(Q659="Shoring",D659,0)</f>
        <v>2.60000891648398</v>
      </c>
      <c r="S659" s="27" t="n">
        <f aca="false">MAX(0,GWL-L659)</f>
        <v>1.68849771668227</v>
      </c>
      <c r="T659" s="27" t="n">
        <f aca="false">MAX(0,NG-MAX(L659,GWL))</f>
        <v>0.8</v>
      </c>
      <c r="U659" s="27" t="n">
        <f aca="false">E659+2*WS</f>
        <v>4.65699543336455</v>
      </c>
      <c r="V659" s="27" t="n">
        <f aca="false">IF(Q659="Shoring",D659*M659*U659,0)</f>
        <v>30.1313018390132</v>
      </c>
      <c r="W659" s="27" t="n">
        <f aca="false">IF(Q659="Open cut",D659*(U659*M659+SLOPE_B*S659^2+2*SLOPE_B*S659*T659+SLOPE_A*T659^2),0)</f>
        <v>0</v>
      </c>
      <c r="X659" s="27" t="n">
        <f aca="false">IF(M659&gt;0,D659*(E659+2*SLABOVH)*SLAB,0)</f>
        <v>4.75411036714451</v>
      </c>
      <c r="Y659" s="27" t="n">
        <f aca="false">IF(M659&gt;0,D659*PI()*E659^2/4,0)</f>
        <v>14.41605181721</v>
      </c>
      <c r="Z659" s="27" t="n">
        <f aca="false">IF(H659-E659&gt;=GWL,99,E659*(MAX(0,GWL-H659)*(GAM_S-GAM_W)+MAX(0,NG-MAX(H659,GWL))*GAM_D)/(GAM_W*PI()*E659^2/4))</f>
        <v>0</v>
      </c>
      <c r="AA659" s="27" t="n">
        <f aca="false">IF(I659-E659&gt;=GWL,99,E659*(MAX(0,GWL-I659)*(GAM_S-GAM_W)+MAX(0,NG-MAX(I659,GWL))*GAM_D)/(GAM_W*PI()*E659^2/4))</f>
        <v>0</v>
      </c>
      <c r="AB659" s="27" t="n">
        <f aca="false">IF(H659-E659&gt;=GWL,99,E659*(MAX(0,GWL-H659)*(GAM_S-GAM_W)+MAX(0,FL-MAX(H659,GWL))*GAM_D)/(GAM_W*PI()*E659^2/4))</f>
        <v>0.906970167006937</v>
      </c>
      <c r="AC659" s="27" t="n">
        <f aca="false">IF(I659-E659&gt;=GWL,99,E659*(MAX(0,GWL-I659)*(GAM_S-GAM_W)+MAX(0,FL-MAX(I659,GWL))*GAM_D)/(GAM_W*PI()*E659^2/4))</f>
        <v>0.906970167006937</v>
      </c>
    </row>
    <row r="660" customFormat="false" ht="15" hidden="false" customHeight="false" outlineLevel="0" collapsed="false">
      <c r="A660" s="25" t="s">
        <v>1198</v>
      </c>
      <c r="B660" s="25" t="s">
        <v>1203</v>
      </c>
      <c r="C660" s="25" t="s">
        <v>1204</v>
      </c>
      <c r="D660" s="26" t="n">
        <v>2.555922199279</v>
      </c>
      <c r="E660" s="26" t="n">
        <v>2.65699543336455</v>
      </c>
      <c r="F660" s="26" t="n">
        <v>-3.18849771668227</v>
      </c>
      <c r="G660" s="26" t="n">
        <v>-3.18849771668227</v>
      </c>
      <c r="H660" s="26" t="n">
        <v>-0.0315022833177272</v>
      </c>
      <c r="I660" s="26" t="n">
        <v>-0.0315022833177272</v>
      </c>
      <c r="J660" s="26" t="n">
        <v>6.32</v>
      </c>
      <c r="K660" s="27" t="n">
        <f aca="false">MIN(F660,G660)</f>
        <v>-3.18849771668227</v>
      </c>
      <c r="L660" s="27" t="n">
        <f aca="false">AVERAGE(F660,G660)</f>
        <v>-3.18849771668227</v>
      </c>
      <c r="M660" s="27" t="n">
        <f aca="false">MAX(0,NG-L660)</f>
        <v>2.48849771668227</v>
      </c>
      <c r="N660" s="27" t="n">
        <f aca="false">MAX(0,GWL-K660)</f>
        <v>1.68849771668227</v>
      </c>
      <c r="O660" s="27" t="n">
        <f aca="false">MAX(0,NG-MAX(K660,GWL))</f>
        <v>0.8</v>
      </c>
      <c r="P660" s="27" t="n">
        <f aca="false">E660/2+WS+SLOPE_A*O660+SLOPE_B*N660</f>
        <v>6.90549315004682</v>
      </c>
      <c r="Q660" s="28" t="str">
        <f aca="false">IF(AND(P660&lt;J660,N660&lt;=MAXOC),"Open cut","Shoring")</f>
        <v>Shoring</v>
      </c>
      <c r="R660" s="27" t="n">
        <f aca="false">IF(Q660="Shoring",D660,0)</f>
        <v>2.555922199279</v>
      </c>
      <c r="S660" s="27" t="n">
        <f aca="false">MAX(0,GWL-L660)</f>
        <v>1.68849771668227</v>
      </c>
      <c r="T660" s="27" t="n">
        <f aca="false">MAX(0,NG-MAX(L660,GWL))</f>
        <v>0.8</v>
      </c>
      <c r="U660" s="27" t="n">
        <f aca="false">E660+2*WS</f>
        <v>4.65699543336455</v>
      </c>
      <c r="V660" s="27" t="n">
        <f aca="false">IF(Q660="Shoring",D660*M660*U660,0)</f>
        <v>29.6203842899338</v>
      </c>
      <c r="W660" s="27" t="n">
        <f aca="false">IF(Q660="Open cut",D660*(U660*M660+SLOPE_B*S660^2+2*SLOPE_B*S660*T660+SLOPE_A*T660^2),0)</f>
        <v>0</v>
      </c>
      <c r="X660" s="27" t="n">
        <f aca="false">IF(M660&gt;0,D660*(E660+2*SLABOVH)*SLAB,0)</f>
        <v>4.67349790539918</v>
      </c>
      <c r="Y660" s="27" t="n">
        <f aca="false">IF(M660&gt;0,D660*PI()*E660^2/4,0)</f>
        <v>14.1716078864033</v>
      </c>
      <c r="Z660" s="27" t="n">
        <f aca="false">IF(H660-E660&gt;=GWL,99,E660*(MAX(0,GWL-H660)*(GAM_S-GAM_W)+MAX(0,NG-MAX(H660,GWL))*GAM_D)/(GAM_W*PI()*E660^2/4))</f>
        <v>0</v>
      </c>
      <c r="AA660" s="27" t="n">
        <f aca="false">IF(I660-E660&gt;=GWL,99,E660*(MAX(0,GWL-I660)*(GAM_S-GAM_W)+MAX(0,NG-MAX(I660,GWL))*GAM_D)/(GAM_W*PI()*E660^2/4))</f>
        <v>0</v>
      </c>
      <c r="AB660" s="27" t="n">
        <f aca="false">IF(H660-E660&gt;=GWL,99,E660*(MAX(0,GWL-H660)*(GAM_S-GAM_W)+MAX(0,FL-MAX(H660,GWL))*GAM_D)/(GAM_W*PI()*E660^2/4))</f>
        <v>0.906970167006937</v>
      </c>
      <c r="AC660" s="27" t="n">
        <f aca="false">IF(I660-E660&gt;=GWL,99,E660*(MAX(0,GWL-I660)*(GAM_S-GAM_W)+MAX(0,FL-MAX(I660,GWL))*GAM_D)/(GAM_W*PI()*E660^2/4))</f>
        <v>0.906970167006937</v>
      </c>
    </row>
    <row r="661" customFormat="false" ht="15" hidden="false" customHeight="false" outlineLevel="0" collapsed="false">
      <c r="A661" s="25" t="s">
        <v>1198</v>
      </c>
      <c r="B661" s="25" t="s">
        <v>1203</v>
      </c>
      <c r="C661" s="25" t="s">
        <v>1205</v>
      </c>
      <c r="D661" s="26" t="n">
        <v>10.0000000001046</v>
      </c>
      <c r="E661" s="26" t="n">
        <v>2.65699543336455</v>
      </c>
      <c r="F661" s="26" t="n">
        <v>-3.18849771668227</v>
      </c>
      <c r="G661" s="26" t="n">
        <v>-3.18849771668227</v>
      </c>
      <c r="H661" s="26" t="n">
        <v>-0.0315022833177272</v>
      </c>
      <c r="I661" s="26" t="n">
        <v>-0.0315022833177272</v>
      </c>
      <c r="J661" s="26" t="n">
        <v>6.3</v>
      </c>
      <c r="K661" s="27" t="n">
        <f aca="false">MIN(F661,G661)</f>
        <v>-3.18849771668227</v>
      </c>
      <c r="L661" s="27" t="n">
        <f aca="false">AVERAGE(F661,G661)</f>
        <v>-3.18849771668227</v>
      </c>
      <c r="M661" s="27" t="n">
        <f aca="false">MAX(0,NG-L661)</f>
        <v>2.48849771668227</v>
      </c>
      <c r="N661" s="27" t="n">
        <f aca="false">MAX(0,GWL-K661)</f>
        <v>1.68849771668227</v>
      </c>
      <c r="O661" s="27" t="n">
        <f aca="false">MAX(0,NG-MAX(K661,GWL))</f>
        <v>0.8</v>
      </c>
      <c r="P661" s="27" t="n">
        <f aca="false">E661/2+WS+SLOPE_A*O661+SLOPE_B*N661</f>
        <v>6.90549315004682</v>
      </c>
      <c r="Q661" s="28" t="str">
        <f aca="false">IF(AND(P661&lt;J661,N661&lt;=MAXOC),"Open cut","Shoring")</f>
        <v>Shoring</v>
      </c>
      <c r="R661" s="27" t="n">
        <f aca="false">IF(Q661="Shoring",D661,0)</f>
        <v>10.0000000001046</v>
      </c>
      <c r="S661" s="27" t="n">
        <f aca="false">MAX(0,GWL-L661)</f>
        <v>1.68849771668227</v>
      </c>
      <c r="T661" s="27" t="n">
        <f aca="false">MAX(0,NG-MAX(L661,GWL))</f>
        <v>0.8</v>
      </c>
      <c r="U661" s="27" t="n">
        <f aca="false">E661+2*WS</f>
        <v>4.65699543336455</v>
      </c>
      <c r="V661" s="27" t="n">
        <f aca="false">IF(Q661="Shoring",D661*M661*U661,0)</f>
        <v>115.889225026487</v>
      </c>
      <c r="W661" s="27" t="n">
        <f aca="false">IF(Q661="Open cut",D661*(U661*M661+SLOPE_B*S661^2+2*SLOPE_B*S661*T661+SLOPE_A*T661^2),0)</f>
        <v>0</v>
      </c>
      <c r="X661" s="27" t="n">
        <f aca="false">IF(M661&gt;0,D661*(E661+2*SLABOVH)*SLAB,0)</f>
        <v>18.284977167014</v>
      </c>
      <c r="Y661" s="27" t="n">
        <f aca="false">IF(M661&gt;0,D661*PI()*E661^2/4,0)</f>
        <v>55.4461629956861</v>
      </c>
      <c r="Z661" s="27" t="n">
        <f aca="false">IF(H661-E661&gt;=GWL,99,E661*(MAX(0,GWL-H661)*(GAM_S-GAM_W)+MAX(0,NG-MAX(H661,GWL))*GAM_D)/(GAM_W*PI()*E661^2/4))</f>
        <v>0</v>
      </c>
      <c r="AA661" s="27" t="n">
        <f aca="false">IF(I661-E661&gt;=GWL,99,E661*(MAX(0,GWL-I661)*(GAM_S-GAM_W)+MAX(0,NG-MAX(I661,GWL))*GAM_D)/(GAM_W*PI()*E661^2/4))</f>
        <v>0</v>
      </c>
      <c r="AB661" s="27" t="n">
        <f aca="false">IF(H661-E661&gt;=GWL,99,E661*(MAX(0,GWL-H661)*(GAM_S-GAM_W)+MAX(0,FL-MAX(H661,GWL))*GAM_D)/(GAM_W*PI()*E661^2/4))</f>
        <v>0.906970167006937</v>
      </c>
      <c r="AC661" s="27" t="n">
        <f aca="false">IF(I661-E661&gt;=GWL,99,E661*(MAX(0,GWL-I661)*(GAM_S-GAM_W)+MAX(0,FL-MAX(I661,GWL))*GAM_D)/(GAM_W*PI()*E661^2/4))</f>
        <v>0.906970167006937</v>
      </c>
    </row>
    <row r="662" customFormat="false" ht="15" hidden="false" customHeight="false" outlineLevel="0" collapsed="false">
      <c r="A662" s="25" t="s">
        <v>1198</v>
      </c>
      <c r="B662" s="25" t="s">
        <v>1203</v>
      </c>
      <c r="C662" s="25" t="s">
        <v>1206</v>
      </c>
      <c r="D662" s="26" t="n">
        <v>9.99999999963544</v>
      </c>
      <c r="E662" s="26" t="n">
        <v>2.65699543336455</v>
      </c>
      <c r="F662" s="26" t="n">
        <v>-3.18849771668227</v>
      </c>
      <c r="G662" s="26" t="n">
        <v>-3.18849771668227</v>
      </c>
      <c r="H662" s="26" t="n">
        <v>-0.0315022833177272</v>
      </c>
      <c r="I662" s="26" t="n">
        <v>-0.0315022833177272</v>
      </c>
      <c r="J662" s="26" t="n">
        <v>3.73</v>
      </c>
      <c r="K662" s="27" t="n">
        <f aca="false">MIN(F662,G662)</f>
        <v>-3.18849771668227</v>
      </c>
      <c r="L662" s="27" t="n">
        <f aca="false">AVERAGE(F662,G662)</f>
        <v>-3.18849771668227</v>
      </c>
      <c r="M662" s="27" t="n">
        <f aca="false">MAX(0,NG-L662)</f>
        <v>2.48849771668227</v>
      </c>
      <c r="N662" s="27" t="n">
        <f aca="false">MAX(0,GWL-K662)</f>
        <v>1.68849771668227</v>
      </c>
      <c r="O662" s="27" t="n">
        <f aca="false">MAX(0,NG-MAX(K662,GWL))</f>
        <v>0.8</v>
      </c>
      <c r="P662" s="27" t="n">
        <f aca="false">E662/2+WS+SLOPE_A*O662+SLOPE_B*N662</f>
        <v>6.90549315004682</v>
      </c>
      <c r="Q662" s="28" t="str">
        <f aca="false">IF(AND(P662&lt;J662,N662&lt;=MAXOC),"Open cut","Shoring")</f>
        <v>Shoring</v>
      </c>
      <c r="R662" s="27" t="n">
        <f aca="false">IF(Q662="Shoring",D662,0)</f>
        <v>9.99999999963544</v>
      </c>
      <c r="S662" s="27" t="n">
        <f aca="false">MAX(0,GWL-L662)</f>
        <v>1.68849771668227</v>
      </c>
      <c r="T662" s="27" t="n">
        <f aca="false">MAX(0,NG-MAX(L662,GWL))</f>
        <v>0.8</v>
      </c>
      <c r="U662" s="27" t="n">
        <f aca="false">E662+2*WS</f>
        <v>4.65699543336455</v>
      </c>
      <c r="V662" s="27" t="n">
        <f aca="false">IF(Q662="Shoring",D662*M662*U662,0)</f>
        <v>115.88922502105</v>
      </c>
      <c r="W662" s="27" t="n">
        <f aca="false">IF(Q662="Open cut",D662*(U662*M662+SLOPE_B*S662^2+2*SLOPE_B*S662*T662+SLOPE_A*T662^2),0)</f>
        <v>0</v>
      </c>
      <c r="X662" s="27" t="n">
        <f aca="false">IF(M662&gt;0,D662*(E662+2*SLABOVH)*SLAB,0)</f>
        <v>18.2849771661561</v>
      </c>
      <c r="Y662" s="27" t="n">
        <f aca="false">IF(M662&gt;0,D662*PI()*E662^2/4,0)</f>
        <v>55.4461629930847</v>
      </c>
      <c r="Z662" s="27" t="n">
        <f aca="false">IF(H662-E662&gt;=GWL,99,E662*(MAX(0,GWL-H662)*(GAM_S-GAM_W)+MAX(0,NG-MAX(H662,GWL))*GAM_D)/(GAM_W*PI()*E662^2/4))</f>
        <v>0</v>
      </c>
      <c r="AA662" s="27" t="n">
        <f aca="false">IF(I662-E662&gt;=GWL,99,E662*(MAX(0,GWL-I662)*(GAM_S-GAM_W)+MAX(0,NG-MAX(I662,GWL))*GAM_D)/(GAM_W*PI()*E662^2/4))</f>
        <v>0</v>
      </c>
      <c r="AB662" s="27" t="n">
        <f aca="false">IF(H662-E662&gt;=GWL,99,E662*(MAX(0,GWL-H662)*(GAM_S-GAM_W)+MAX(0,FL-MAX(H662,GWL))*GAM_D)/(GAM_W*PI()*E662^2/4))</f>
        <v>0.906970167006937</v>
      </c>
      <c r="AC662" s="27" t="n">
        <f aca="false">IF(I662-E662&gt;=GWL,99,E662*(MAX(0,GWL-I662)*(GAM_S-GAM_W)+MAX(0,FL-MAX(I662,GWL))*GAM_D)/(GAM_W*PI()*E662^2/4))</f>
        <v>0.906970167006937</v>
      </c>
    </row>
    <row r="663" customFormat="false" ht="15" hidden="false" customHeight="false" outlineLevel="0" collapsed="false">
      <c r="A663" s="25" t="s">
        <v>1198</v>
      </c>
      <c r="B663" s="25" t="s">
        <v>1203</v>
      </c>
      <c r="C663" s="25" t="s">
        <v>1207</v>
      </c>
      <c r="D663" s="26" t="n">
        <v>10.0000000001046</v>
      </c>
      <c r="E663" s="26" t="n">
        <v>2.65699543336455</v>
      </c>
      <c r="F663" s="26" t="n">
        <v>-3.18849771668227</v>
      </c>
      <c r="G663" s="26" t="n">
        <v>-3.18849771668227</v>
      </c>
      <c r="H663" s="26" t="n">
        <v>-0.0315022833177272</v>
      </c>
      <c r="I663" s="26" t="n">
        <v>-0.0315022833177272</v>
      </c>
      <c r="J663" s="26" t="n">
        <v>3.74</v>
      </c>
      <c r="K663" s="27" t="n">
        <f aca="false">MIN(F663,G663)</f>
        <v>-3.18849771668227</v>
      </c>
      <c r="L663" s="27" t="n">
        <f aca="false">AVERAGE(F663,G663)</f>
        <v>-3.18849771668227</v>
      </c>
      <c r="M663" s="27" t="n">
        <f aca="false">MAX(0,NG-L663)</f>
        <v>2.48849771668227</v>
      </c>
      <c r="N663" s="27" t="n">
        <f aca="false">MAX(0,GWL-K663)</f>
        <v>1.68849771668227</v>
      </c>
      <c r="O663" s="27" t="n">
        <f aca="false">MAX(0,NG-MAX(K663,GWL))</f>
        <v>0.8</v>
      </c>
      <c r="P663" s="27" t="n">
        <f aca="false">E663/2+WS+SLOPE_A*O663+SLOPE_B*N663</f>
        <v>6.90549315004682</v>
      </c>
      <c r="Q663" s="28" t="str">
        <f aca="false">IF(AND(P663&lt;J663,N663&lt;=MAXOC),"Open cut","Shoring")</f>
        <v>Shoring</v>
      </c>
      <c r="R663" s="27" t="n">
        <f aca="false">IF(Q663="Shoring",D663,0)</f>
        <v>10.0000000001046</v>
      </c>
      <c r="S663" s="27" t="n">
        <f aca="false">MAX(0,GWL-L663)</f>
        <v>1.68849771668227</v>
      </c>
      <c r="T663" s="27" t="n">
        <f aca="false">MAX(0,NG-MAX(L663,GWL))</f>
        <v>0.8</v>
      </c>
      <c r="U663" s="27" t="n">
        <f aca="false">E663+2*WS</f>
        <v>4.65699543336455</v>
      </c>
      <c r="V663" s="27" t="n">
        <f aca="false">IF(Q663="Shoring",D663*M663*U663,0)</f>
        <v>115.889225026487</v>
      </c>
      <c r="W663" s="27" t="n">
        <f aca="false">IF(Q663="Open cut",D663*(U663*M663+SLOPE_B*S663^2+2*SLOPE_B*S663*T663+SLOPE_A*T663^2),0)</f>
        <v>0</v>
      </c>
      <c r="X663" s="27" t="n">
        <f aca="false">IF(M663&gt;0,D663*(E663+2*SLABOVH)*SLAB,0)</f>
        <v>18.284977167014</v>
      </c>
      <c r="Y663" s="27" t="n">
        <f aca="false">IF(M663&gt;0,D663*PI()*E663^2/4,0)</f>
        <v>55.4461629956861</v>
      </c>
      <c r="Z663" s="27" t="n">
        <f aca="false">IF(H663-E663&gt;=GWL,99,E663*(MAX(0,GWL-H663)*(GAM_S-GAM_W)+MAX(0,NG-MAX(H663,GWL))*GAM_D)/(GAM_W*PI()*E663^2/4))</f>
        <v>0</v>
      </c>
      <c r="AA663" s="27" t="n">
        <f aca="false">IF(I663-E663&gt;=GWL,99,E663*(MAX(0,GWL-I663)*(GAM_S-GAM_W)+MAX(0,NG-MAX(I663,GWL))*GAM_D)/(GAM_W*PI()*E663^2/4))</f>
        <v>0</v>
      </c>
      <c r="AB663" s="27" t="n">
        <f aca="false">IF(H663-E663&gt;=GWL,99,E663*(MAX(0,GWL-H663)*(GAM_S-GAM_W)+MAX(0,FL-MAX(H663,GWL))*GAM_D)/(GAM_W*PI()*E663^2/4))</f>
        <v>0.906970167006937</v>
      </c>
      <c r="AC663" s="27" t="n">
        <f aca="false">IF(I663-E663&gt;=GWL,99,E663*(MAX(0,GWL-I663)*(GAM_S-GAM_W)+MAX(0,FL-MAX(I663,GWL))*GAM_D)/(GAM_W*PI()*E663^2/4))</f>
        <v>0.906970167006937</v>
      </c>
    </row>
    <row r="664" customFormat="false" ht="15" hidden="false" customHeight="false" outlineLevel="0" collapsed="false">
      <c r="A664" s="25" t="s">
        <v>1198</v>
      </c>
      <c r="B664" s="25" t="s">
        <v>1203</v>
      </c>
      <c r="C664" s="25" t="s">
        <v>1208</v>
      </c>
      <c r="D664" s="26" t="n">
        <v>10.0000000001046</v>
      </c>
      <c r="E664" s="26" t="n">
        <v>2.65699543336455</v>
      </c>
      <c r="F664" s="26" t="n">
        <v>-3.18849771668227</v>
      </c>
      <c r="G664" s="26" t="n">
        <v>-3.18849771668227</v>
      </c>
      <c r="H664" s="26" t="n">
        <v>-0.0315022833177272</v>
      </c>
      <c r="I664" s="26" t="n">
        <v>-0.0315022833177272</v>
      </c>
      <c r="J664" s="26" t="n">
        <v>2.8</v>
      </c>
      <c r="K664" s="27" t="n">
        <f aca="false">MIN(F664,G664)</f>
        <v>-3.18849771668227</v>
      </c>
      <c r="L664" s="27" t="n">
        <f aca="false">AVERAGE(F664,G664)</f>
        <v>-3.18849771668227</v>
      </c>
      <c r="M664" s="27" t="n">
        <f aca="false">MAX(0,NG-L664)</f>
        <v>2.48849771668227</v>
      </c>
      <c r="N664" s="27" t="n">
        <f aca="false">MAX(0,GWL-K664)</f>
        <v>1.68849771668227</v>
      </c>
      <c r="O664" s="27" t="n">
        <f aca="false">MAX(0,NG-MAX(K664,GWL))</f>
        <v>0.8</v>
      </c>
      <c r="P664" s="27" t="n">
        <f aca="false">E664/2+WS+SLOPE_A*O664+SLOPE_B*N664</f>
        <v>6.90549315004682</v>
      </c>
      <c r="Q664" s="28" t="str">
        <f aca="false">IF(AND(P664&lt;J664,N664&lt;=MAXOC),"Open cut","Shoring")</f>
        <v>Shoring</v>
      </c>
      <c r="R664" s="27" t="n">
        <f aca="false">IF(Q664="Shoring",D664,0)</f>
        <v>10.0000000001046</v>
      </c>
      <c r="S664" s="27" t="n">
        <f aca="false">MAX(0,GWL-L664)</f>
        <v>1.68849771668227</v>
      </c>
      <c r="T664" s="27" t="n">
        <f aca="false">MAX(0,NG-MAX(L664,GWL))</f>
        <v>0.8</v>
      </c>
      <c r="U664" s="27" t="n">
        <f aca="false">E664+2*WS</f>
        <v>4.65699543336455</v>
      </c>
      <c r="V664" s="27" t="n">
        <f aca="false">IF(Q664="Shoring",D664*M664*U664,0)</f>
        <v>115.889225026487</v>
      </c>
      <c r="W664" s="27" t="n">
        <f aca="false">IF(Q664="Open cut",D664*(U664*M664+SLOPE_B*S664^2+2*SLOPE_B*S664*T664+SLOPE_A*T664^2),0)</f>
        <v>0</v>
      </c>
      <c r="X664" s="27" t="n">
        <f aca="false">IF(M664&gt;0,D664*(E664+2*SLABOVH)*SLAB,0)</f>
        <v>18.284977167014</v>
      </c>
      <c r="Y664" s="27" t="n">
        <f aca="false">IF(M664&gt;0,D664*PI()*E664^2/4,0)</f>
        <v>55.4461629956861</v>
      </c>
      <c r="Z664" s="27" t="n">
        <f aca="false">IF(H664-E664&gt;=GWL,99,E664*(MAX(0,GWL-H664)*(GAM_S-GAM_W)+MAX(0,NG-MAX(H664,GWL))*GAM_D)/(GAM_W*PI()*E664^2/4))</f>
        <v>0</v>
      </c>
      <c r="AA664" s="27" t="n">
        <f aca="false">IF(I664-E664&gt;=GWL,99,E664*(MAX(0,GWL-I664)*(GAM_S-GAM_W)+MAX(0,NG-MAX(I664,GWL))*GAM_D)/(GAM_W*PI()*E664^2/4))</f>
        <v>0</v>
      </c>
      <c r="AB664" s="27" t="n">
        <f aca="false">IF(H664-E664&gt;=GWL,99,E664*(MAX(0,GWL-H664)*(GAM_S-GAM_W)+MAX(0,FL-MAX(H664,GWL))*GAM_D)/(GAM_W*PI()*E664^2/4))</f>
        <v>0.906970167006937</v>
      </c>
      <c r="AC664" s="27" t="n">
        <f aca="false">IF(I664-E664&gt;=GWL,99,E664*(MAX(0,GWL-I664)*(GAM_S-GAM_W)+MAX(0,FL-MAX(I664,GWL))*GAM_D)/(GAM_W*PI()*E664^2/4))</f>
        <v>0.906970167006937</v>
      </c>
    </row>
    <row r="665" customFormat="false" ht="15" hidden="false" customHeight="false" outlineLevel="0" collapsed="false">
      <c r="A665" s="25" t="s">
        <v>1198</v>
      </c>
      <c r="B665" s="25" t="s">
        <v>1203</v>
      </c>
      <c r="C665" s="25" t="s">
        <v>1209</v>
      </c>
      <c r="D665" s="26" t="n">
        <v>10.0000000001046</v>
      </c>
      <c r="E665" s="26" t="n">
        <v>2.65699543336455</v>
      </c>
      <c r="F665" s="26" t="n">
        <v>-3.18849771668227</v>
      </c>
      <c r="G665" s="26" t="n">
        <v>-3.18849771668227</v>
      </c>
      <c r="H665" s="26" t="n">
        <v>-0.0315022833177272</v>
      </c>
      <c r="I665" s="26" t="n">
        <v>-0.0315022833177272</v>
      </c>
      <c r="J665" s="26" t="n">
        <v>2.8</v>
      </c>
      <c r="K665" s="27" t="n">
        <f aca="false">MIN(F665,G665)</f>
        <v>-3.18849771668227</v>
      </c>
      <c r="L665" s="27" t="n">
        <f aca="false">AVERAGE(F665,G665)</f>
        <v>-3.18849771668227</v>
      </c>
      <c r="M665" s="27" t="n">
        <f aca="false">MAX(0,NG-L665)</f>
        <v>2.48849771668227</v>
      </c>
      <c r="N665" s="27" t="n">
        <f aca="false">MAX(0,GWL-K665)</f>
        <v>1.68849771668227</v>
      </c>
      <c r="O665" s="27" t="n">
        <f aca="false">MAX(0,NG-MAX(K665,GWL))</f>
        <v>0.8</v>
      </c>
      <c r="P665" s="27" t="n">
        <f aca="false">E665/2+WS+SLOPE_A*O665+SLOPE_B*N665</f>
        <v>6.90549315004682</v>
      </c>
      <c r="Q665" s="28" t="str">
        <f aca="false">IF(AND(P665&lt;J665,N665&lt;=MAXOC),"Open cut","Shoring")</f>
        <v>Shoring</v>
      </c>
      <c r="R665" s="27" t="n">
        <f aca="false">IF(Q665="Shoring",D665,0)</f>
        <v>10.0000000001046</v>
      </c>
      <c r="S665" s="27" t="n">
        <f aca="false">MAX(0,GWL-L665)</f>
        <v>1.68849771668227</v>
      </c>
      <c r="T665" s="27" t="n">
        <f aca="false">MAX(0,NG-MAX(L665,GWL))</f>
        <v>0.8</v>
      </c>
      <c r="U665" s="27" t="n">
        <f aca="false">E665+2*WS</f>
        <v>4.65699543336455</v>
      </c>
      <c r="V665" s="27" t="n">
        <f aca="false">IF(Q665="Shoring",D665*M665*U665,0)</f>
        <v>115.889225026487</v>
      </c>
      <c r="W665" s="27" t="n">
        <f aca="false">IF(Q665="Open cut",D665*(U665*M665+SLOPE_B*S665^2+2*SLOPE_B*S665*T665+SLOPE_A*T665^2),0)</f>
        <v>0</v>
      </c>
      <c r="X665" s="27" t="n">
        <f aca="false">IF(M665&gt;0,D665*(E665+2*SLABOVH)*SLAB,0)</f>
        <v>18.284977167014</v>
      </c>
      <c r="Y665" s="27" t="n">
        <f aca="false">IF(M665&gt;0,D665*PI()*E665^2/4,0)</f>
        <v>55.4461629956861</v>
      </c>
      <c r="Z665" s="27" t="n">
        <f aca="false">IF(H665-E665&gt;=GWL,99,E665*(MAX(0,GWL-H665)*(GAM_S-GAM_W)+MAX(0,NG-MAX(H665,GWL))*GAM_D)/(GAM_W*PI()*E665^2/4))</f>
        <v>0</v>
      </c>
      <c r="AA665" s="27" t="n">
        <f aca="false">IF(I665-E665&gt;=GWL,99,E665*(MAX(0,GWL-I665)*(GAM_S-GAM_W)+MAX(0,NG-MAX(I665,GWL))*GAM_D)/(GAM_W*PI()*E665^2/4))</f>
        <v>0</v>
      </c>
      <c r="AB665" s="27" t="n">
        <f aca="false">IF(H665-E665&gt;=GWL,99,E665*(MAX(0,GWL-H665)*(GAM_S-GAM_W)+MAX(0,FL-MAX(H665,GWL))*GAM_D)/(GAM_W*PI()*E665^2/4))</f>
        <v>0.906970167006937</v>
      </c>
      <c r="AC665" s="27" t="n">
        <f aca="false">IF(I665-E665&gt;=GWL,99,E665*(MAX(0,GWL-I665)*(GAM_S-GAM_W)+MAX(0,FL-MAX(I665,GWL))*GAM_D)/(GAM_W*PI()*E665^2/4))</f>
        <v>0.906970167006937</v>
      </c>
    </row>
    <row r="666" customFormat="false" ht="15" hidden="false" customHeight="false" outlineLevel="0" collapsed="false">
      <c r="A666" s="25" t="s">
        <v>1198</v>
      </c>
      <c r="B666" s="25" t="s">
        <v>1203</v>
      </c>
      <c r="C666" s="25" t="s">
        <v>1210</v>
      </c>
      <c r="D666" s="26" t="n">
        <v>10.0000000001046</v>
      </c>
      <c r="E666" s="26" t="n">
        <v>2.65699543336455</v>
      </c>
      <c r="F666" s="26" t="n">
        <v>-3.18849771668227</v>
      </c>
      <c r="G666" s="26" t="n">
        <v>-3.18849771668227</v>
      </c>
      <c r="H666" s="26" t="n">
        <v>-0.0315022833177272</v>
      </c>
      <c r="I666" s="26" t="n">
        <v>-0.0315022833177272</v>
      </c>
      <c r="J666" s="26" t="n">
        <v>3.76</v>
      </c>
      <c r="K666" s="27" t="n">
        <f aca="false">MIN(F666,G666)</f>
        <v>-3.18849771668227</v>
      </c>
      <c r="L666" s="27" t="n">
        <f aca="false">AVERAGE(F666,G666)</f>
        <v>-3.18849771668227</v>
      </c>
      <c r="M666" s="27" t="n">
        <f aca="false">MAX(0,NG-L666)</f>
        <v>2.48849771668227</v>
      </c>
      <c r="N666" s="27" t="n">
        <f aca="false">MAX(0,GWL-K666)</f>
        <v>1.68849771668227</v>
      </c>
      <c r="O666" s="27" t="n">
        <f aca="false">MAX(0,NG-MAX(K666,GWL))</f>
        <v>0.8</v>
      </c>
      <c r="P666" s="27" t="n">
        <f aca="false">E666/2+WS+SLOPE_A*O666+SLOPE_B*N666</f>
        <v>6.90549315004682</v>
      </c>
      <c r="Q666" s="28" t="str">
        <f aca="false">IF(AND(P666&lt;J666,N666&lt;=MAXOC),"Open cut","Shoring")</f>
        <v>Shoring</v>
      </c>
      <c r="R666" s="27" t="n">
        <f aca="false">IF(Q666="Shoring",D666,0)</f>
        <v>10.0000000001046</v>
      </c>
      <c r="S666" s="27" t="n">
        <f aca="false">MAX(0,GWL-L666)</f>
        <v>1.68849771668227</v>
      </c>
      <c r="T666" s="27" t="n">
        <f aca="false">MAX(0,NG-MAX(L666,GWL))</f>
        <v>0.8</v>
      </c>
      <c r="U666" s="27" t="n">
        <f aca="false">E666+2*WS</f>
        <v>4.65699543336455</v>
      </c>
      <c r="V666" s="27" t="n">
        <f aca="false">IF(Q666="Shoring",D666*M666*U666,0)</f>
        <v>115.889225026487</v>
      </c>
      <c r="W666" s="27" t="n">
        <f aca="false">IF(Q666="Open cut",D666*(U666*M666+SLOPE_B*S666^2+2*SLOPE_B*S666*T666+SLOPE_A*T666^2),0)</f>
        <v>0</v>
      </c>
      <c r="X666" s="27" t="n">
        <f aca="false">IF(M666&gt;0,D666*(E666+2*SLABOVH)*SLAB,0)</f>
        <v>18.284977167014</v>
      </c>
      <c r="Y666" s="27" t="n">
        <f aca="false">IF(M666&gt;0,D666*PI()*E666^2/4,0)</f>
        <v>55.4461629956861</v>
      </c>
      <c r="Z666" s="27" t="n">
        <f aca="false">IF(H666-E666&gt;=GWL,99,E666*(MAX(0,GWL-H666)*(GAM_S-GAM_W)+MAX(0,NG-MAX(H666,GWL))*GAM_D)/(GAM_W*PI()*E666^2/4))</f>
        <v>0</v>
      </c>
      <c r="AA666" s="27" t="n">
        <f aca="false">IF(I666-E666&gt;=GWL,99,E666*(MAX(0,GWL-I666)*(GAM_S-GAM_W)+MAX(0,NG-MAX(I666,GWL))*GAM_D)/(GAM_W*PI()*E666^2/4))</f>
        <v>0</v>
      </c>
      <c r="AB666" s="27" t="n">
        <f aca="false">IF(H666-E666&gt;=GWL,99,E666*(MAX(0,GWL-H666)*(GAM_S-GAM_W)+MAX(0,FL-MAX(H666,GWL))*GAM_D)/(GAM_W*PI()*E666^2/4))</f>
        <v>0.906970167006937</v>
      </c>
      <c r="AC666" s="27" t="n">
        <f aca="false">IF(I666-E666&gt;=GWL,99,E666*(MAX(0,GWL-I666)*(GAM_S-GAM_W)+MAX(0,FL-MAX(I666,GWL))*GAM_D)/(GAM_W*PI()*E666^2/4))</f>
        <v>0.906970167006937</v>
      </c>
    </row>
    <row r="667" customFormat="false" ht="15" hidden="false" customHeight="false" outlineLevel="0" collapsed="false">
      <c r="A667" s="25" t="s">
        <v>1198</v>
      </c>
      <c r="B667" s="25" t="s">
        <v>1203</v>
      </c>
      <c r="C667" s="25" t="s">
        <v>1211</v>
      </c>
      <c r="D667" s="26" t="n">
        <v>3.06053780040109</v>
      </c>
      <c r="E667" s="26" t="n">
        <v>2.65699543336455</v>
      </c>
      <c r="F667" s="26" t="n">
        <v>-3.18849771668227</v>
      </c>
      <c r="G667" s="26" t="n">
        <v>-3.18849771668227</v>
      </c>
      <c r="H667" s="26" t="n">
        <v>-0.0315022833177272</v>
      </c>
      <c r="I667" s="26" t="n">
        <v>-0.0315022833177272</v>
      </c>
      <c r="J667" s="26" t="n">
        <v>3.76</v>
      </c>
      <c r="K667" s="27" t="n">
        <f aca="false">MIN(F667,G667)</f>
        <v>-3.18849771668227</v>
      </c>
      <c r="L667" s="27" t="n">
        <f aca="false">AVERAGE(F667,G667)</f>
        <v>-3.18849771668227</v>
      </c>
      <c r="M667" s="27" t="n">
        <f aca="false">MAX(0,NG-L667)</f>
        <v>2.48849771668227</v>
      </c>
      <c r="N667" s="27" t="n">
        <f aca="false">MAX(0,GWL-K667)</f>
        <v>1.68849771668227</v>
      </c>
      <c r="O667" s="27" t="n">
        <f aca="false">MAX(0,NG-MAX(K667,GWL))</f>
        <v>0.8</v>
      </c>
      <c r="P667" s="27" t="n">
        <f aca="false">E667/2+WS+SLOPE_A*O667+SLOPE_B*N667</f>
        <v>6.90549315004682</v>
      </c>
      <c r="Q667" s="28" t="str">
        <f aca="false">IF(AND(P667&lt;J667,N667&lt;=MAXOC),"Open cut","Shoring")</f>
        <v>Shoring</v>
      </c>
      <c r="R667" s="27" t="n">
        <f aca="false">IF(Q667="Shoring",D667,0)</f>
        <v>3.06053780040109</v>
      </c>
      <c r="S667" s="27" t="n">
        <f aca="false">MAX(0,GWL-L667)</f>
        <v>1.68849771668227</v>
      </c>
      <c r="T667" s="27" t="n">
        <f aca="false">MAX(0,NG-MAX(L667,GWL))</f>
        <v>0.8</v>
      </c>
      <c r="U667" s="27" t="n">
        <f aca="false">E667+2*WS</f>
        <v>4.65699543336455</v>
      </c>
      <c r="V667" s="27" t="n">
        <f aca="false">IF(Q667="Shoring",D667*M667*U667,0)</f>
        <v>35.4683353849041</v>
      </c>
      <c r="W667" s="27" t="n">
        <f aca="false">IF(Q667="Open cut",D667*(U667*M667+SLOPE_B*S667^2+2*SLOPE_B*S667*T667+SLOPE_A*T667^2),0)</f>
        <v>0</v>
      </c>
      <c r="X667" s="27" t="n">
        <f aca="false">IF(M667&gt;0,D667*(E667+2*SLABOVH)*SLAB,0)</f>
        <v>5.59618637985318</v>
      </c>
      <c r="Y667" s="27" t="n">
        <f aca="false">IF(M667&gt;0,D667*PI()*E667^2/4,0)</f>
        <v>16.9695077733722</v>
      </c>
      <c r="Z667" s="27" t="n">
        <f aca="false">IF(H667-E667&gt;=GWL,99,E667*(MAX(0,GWL-H667)*(GAM_S-GAM_W)+MAX(0,NG-MAX(H667,GWL))*GAM_D)/(GAM_W*PI()*E667^2/4))</f>
        <v>0</v>
      </c>
      <c r="AA667" s="27" t="n">
        <f aca="false">IF(I667-E667&gt;=GWL,99,E667*(MAX(0,GWL-I667)*(GAM_S-GAM_W)+MAX(0,NG-MAX(I667,GWL))*GAM_D)/(GAM_W*PI()*E667^2/4))</f>
        <v>0</v>
      </c>
      <c r="AB667" s="27" t="n">
        <f aca="false">IF(H667-E667&gt;=GWL,99,E667*(MAX(0,GWL-H667)*(GAM_S-GAM_W)+MAX(0,FL-MAX(H667,GWL))*GAM_D)/(GAM_W*PI()*E667^2/4))</f>
        <v>0.906970167006937</v>
      </c>
      <c r="AC667" s="27" t="n">
        <f aca="false">IF(I667-E667&gt;=GWL,99,E667*(MAX(0,GWL-I667)*(GAM_S-GAM_W)+MAX(0,FL-MAX(I667,GWL))*GAM_D)/(GAM_W*PI()*E667^2/4))</f>
        <v>0.906970167006937</v>
      </c>
    </row>
    <row r="668" customFormat="false" ht="15" hidden="false" customHeight="false" outlineLevel="0" collapsed="false">
      <c r="A668" s="25" t="s">
        <v>1198</v>
      </c>
      <c r="B668" s="25" t="s">
        <v>1203</v>
      </c>
      <c r="C668" s="25" t="s">
        <v>1212</v>
      </c>
      <c r="D668" s="26" t="n">
        <v>2.59999999985694</v>
      </c>
      <c r="E668" s="26" t="n">
        <v>2.65699543336455</v>
      </c>
      <c r="F668" s="26" t="n">
        <v>-3.18849771668227</v>
      </c>
      <c r="G668" s="26" t="n">
        <v>-3.18849771668227</v>
      </c>
      <c r="H668" s="26" t="n">
        <v>-0.0315022833177272</v>
      </c>
      <c r="I668" s="26" t="n">
        <v>-0.0315022833177272</v>
      </c>
      <c r="J668" s="26" t="n">
        <v>3.77</v>
      </c>
      <c r="K668" s="27" t="n">
        <f aca="false">MIN(F668,G668)</f>
        <v>-3.18849771668227</v>
      </c>
      <c r="L668" s="27" t="n">
        <f aca="false">AVERAGE(F668,G668)</f>
        <v>-3.18849771668227</v>
      </c>
      <c r="M668" s="27" t="n">
        <f aca="false">MAX(0,NG-L668)</f>
        <v>2.48849771668227</v>
      </c>
      <c r="N668" s="27" t="n">
        <f aca="false">MAX(0,GWL-K668)</f>
        <v>1.68849771668227</v>
      </c>
      <c r="O668" s="27" t="n">
        <f aca="false">MAX(0,NG-MAX(K668,GWL))</f>
        <v>0.8</v>
      </c>
      <c r="P668" s="27" t="n">
        <f aca="false">E668/2+WS+SLOPE_A*O668+SLOPE_B*N668</f>
        <v>6.90549315004682</v>
      </c>
      <c r="Q668" s="28" t="str">
        <f aca="false">IF(AND(P668&lt;J668,N668&lt;=MAXOC),"Open cut","Shoring")</f>
        <v>Shoring</v>
      </c>
      <c r="R668" s="27" t="n">
        <f aca="false">IF(Q668="Shoring",D668,0)</f>
        <v>2.59999999985694</v>
      </c>
      <c r="S668" s="27" t="n">
        <f aca="false">MAX(0,GWL-L668)</f>
        <v>1.68849771668227</v>
      </c>
      <c r="T668" s="27" t="n">
        <f aca="false">MAX(0,NG-MAX(L668,GWL))</f>
        <v>0.8</v>
      </c>
      <c r="U668" s="27" t="n">
        <f aca="false">E668+2*WS</f>
        <v>4.65699543336455</v>
      </c>
      <c r="V668" s="27" t="n">
        <f aca="false">IF(Q668="Shoring",D668*M668*U668,0)</f>
        <v>30.1311985049135</v>
      </c>
      <c r="W668" s="27" t="n">
        <f aca="false">IF(Q668="Open cut",D668*(U668*M668+SLOPE_B*S668^2+2*SLOPE_B*S668*T668+SLOPE_A*T668^2),0)</f>
        <v>0</v>
      </c>
      <c r="X668" s="27" t="n">
        <f aca="false">IF(M668&gt;0,D668*(E668+2*SLABOVH)*SLAB,0)</f>
        <v>4.75409406311233</v>
      </c>
      <c r="Y668" s="27" t="n">
        <f aca="false">IF(M668&gt;0,D668*PI()*E668^2/4,0)</f>
        <v>14.4160023779344</v>
      </c>
      <c r="Z668" s="27" t="n">
        <f aca="false">IF(H668-E668&gt;=GWL,99,E668*(MAX(0,GWL-H668)*(GAM_S-GAM_W)+MAX(0,NG-MAX(H668,GWL))*GAM_D)/(GAM_W*PI()*E668^2/4))</f>
        <v>0</v>
      </c>
      <c r="AA668" s="27" t="n">
        <f aca="false">IF(I668-E668&gt;=GWL,99,E668*(MAX(0,GWL-I668)*(GAM_S-GAM_W)+MAX(0,NG-MAX(I668,GWL))*GAM_D)/(GAM_W*PI()*E668^2/4))</f>
        <v>0</v>
      </c>
      <c r="AB668" s="27" t="n">
        <f aca="false">IF(H668-E668&gt;=GWL,99,E668*(MAX(0,GWL-H668)*(GAM_S-GAM_W)+MAX(0,FL-MAX(H668,GWL))*GAM_D)/(GAM_W*PI()*E668^2/4))</f>
        <v>0.906970167006937</v>
      </c>
      <c r="AC668" s="27" t="n">
        <f aca="false">IF(I668-E668&gt;=GWL,99,E668*(MAX(0,GWL-I668)*(GAM_S-GAM_W)+MAX(0,FL-MAX(I668,GWL))*GAM_D)/(GAM_W*PI()*E668^2/4))</f>
        <v>0.906970167006937</v>
      </c>
    </row>
    <row r="669" customFormat="false" ht="15" hidden="false" customHeight="false" outlineLevel="0" collapsed="false">
      <c r="A669" s="25" t="s">
        <v>1198</v>
      </c>
      <c r="B669" s="25" t="s">
        <v>1203</v>
      </c>
      <c r="C669" s="25" t="s">
        <v>1213</v>
      </c>
      <c r="D669" s="26" t="n">
        <v>2.59999917208382</v>
      </c>
      <c r="E669" s="26" t="n">
        <v>2.65699543354906</v>
      </c>
      <c r="F669" s="26" t="n">
        <v>-3.18849771677453</v>
      </c>
      <c r="G669" s="26" t="n">
        <v>-3.18849771677453</v>
      </c>
      <c r="H669" s="26" t="n">
        <v>-0.0315022832254681</v>
      </c>
      <c r="I669" s="26" t="n">
        <v>-0.0315022832254681</v>
      </c>
      <c r="J669" s="26" t="n">
        <v>3.77</v>
      </c>
      <c r="K669" s="27" t="n">
        <f aca="false">MIN(F669,G669)</f>
        <v>-3.18849771677453</v>
      </c>
      <c r="L669" s="27" t="n">
        <f aca="false">AVERAGE(F669,G669)</f>
        <v>-3.18849771677453</v>
      </c>
      <c r="M669" s="27" t="n">
        <f aca="false">MAX(0,NG-L669)</f>
        <v>2.48849771677453</v>
      </c>
      <c r="N669" s="27" t="n">
        <f aca="false">MAX(0,GWL-K669)</f>
        <v>1.68849771677453</v>
      </c>
      <c r="O669" s="27" t="n">
        <f aca="false">MAX(0,NG-MAX(K669,GWL))</f>
        <v>0.8</v>
      </c>
      <c r="P669" s="27" t="n">
        <f aca="false">E669/2+WS+SLOPE_A*O669+SLOPE_B*N669</f>
        <v>6.9054931503236</v>
      </c>
      <c r="Q669" s="28" t="str">
        <f aca="false">IF(AND(P669&lt;J669,N669&lt;=MAXOC),"Open cut","Shoring")</f>
        <v>Shoring</v>
      </c>
      <c r="R669" s="27" t="n">
        <f aca="false">IF(Q669="Shoring",D669,0)</f>
        <v>2.59999917208382</v>
      </c>
      <c r="S669" s="27" t="n">
        <f aca="false">MAX(0,GWL-L669)</f>
        <v>1.68849771677453</v>
      </c>
      <c r="T669" s="27" t="n">
        <f aca="false">MAX(0,NG-MAX(L669,GWL))</f>
        <v>0.8</v>
      </c>
      <c r="U669" s="27" t="n">
        <f aca="false">E669+2*WS</f>
        <v>4.65699543354906</v>
      </c>
      <c r="V669" s="27" t="n">
        <f aca="false">IF(Q669="Shoring",D669*M669*U669,0)</f>
        <v>30.1311889142258</v>
      </c>
      <c r="W669" s="27" t="n">
        <f aca="false">IF(Q669="Open cut",D669*(U669*M669+SLOPE_B*S669^2+2*SLOPE_B*S669*T669+SLOPE_A*T669^2),0)</f>
        <v>0</v>
      </c>
      <c r="X669" s="27" t="n">
        <f aca="false">IF(M669&gt;0,D669*(E669+2*SLABOVH)*SLAB,0)</f>
        <v>4.75409254977094</v>
      </c>
      <c r="Y669" s="27" t="n">
        <f aca="false">IF(M669&gt;0,D669*PI()*E669^2/4,0)</f>
        <v>14.4159977902523</v>
      </c>
      <c r="Z669" s="27" t="n">
        <f aca="false">IF(H669-E669&gt;=GWL,99,E669*(MAX(0,GWL-H669)*(GAM_S-GAM_W)+MAX(0,NG-MAX(H669,GWL))*GAM_D)/(GAM_W*PI()*E669^2/4))</f>
        <v>0</v>
      </c>
      <c r="AA669" s="27" t="n">
        <f aca="false">IF(I669-E669&gt;=GWL,99,E669*(MAX(0,GWL-I669)*(GAM_S-GAM_W)+MAX(0,NG-MAX(I669,GWL))*GAM_D)/(GAM_W*PI()*E669^2/4))</f>
        <v>0</v>
      </c>
      <c r="AB669" s="27" t="n">
        <f aca="false">IF(H669-E669&gt;=GWL,99,E669*(MAX(0,GWL-H669)*(GAM_S-GAM_W)+MAX(0,FL-MAX(H669,GWL))*GAM_D)/(GAM_W*PI()*E669^2/4))</f>
        <v>0.90697016686283</v>
      </c>
      <c r="AC669" s="27" t="n">
        <f aca="false">IF(I669-E669&gt;=GWL,99,E669*(MAX(0,GWL-I669)*(GAM_S-GAM_W)+MAX(0,FL-MAX(I669,GWL))*GAM_D)/(GAM_W*PI()*E669^2/4))</f>
        <v>0.90697016686283</v>
      </c>
    </row>
    <row r="670" customFormat="false" ht="15" hidden="false" customHeight="false" outlineLevel="0" collapsed="false">
      <c r="A670" s="25" t="s">
        <v>1198</v>
      </c>
      <c r="B670" s="25" t="s">
        <v>1203</v>
      </c>
      <c r="C670" s="25" t="s">
        <v>1214</v>
      </c>
      <c r="D670" s="26" t="n">
        <v>1.73946302725267</v>
      </c>
      <c r="E670" s="26" t="n">
        <v>2.65699543354906</v>
      </c>
      <c r="F670" s="26" t="n">
        <v>-3.18849771677453</v>
      </c>
      <c r="G670" s="26" t="n">
        <v>-3.19669866735284</v>
      </c>
      <c r="H670" s="26" t="n">
        <v>-0.0315022832254681</v>
      </c>
      <c r="I670" s="26" t="n">
        <v>-0.0397032338037719</v>
      </c>
      <c r="J670" s="26" t="n">
        <v>5.17</v>
      </c>
      <c r="K670" s="27" t="n">
        <f aca="false">MIN(F670,G670)</f>
        <v>-3.19669866735284</v>
      </c>
      <c r="L670" s="27" t="n">
        <f aca="false">AVERAGE(F670,G670)</f>
        <v>-3.19259819206368</v>
      </c>
      <c r="M670" s="27" t="n">
        <f aca="false">MAX(0,NG-L670)</f>
        <v>2.49259819206368</v>
      </c>
      <c r="N670" s="27" t="n">
        <f aca="false">MAX(0,GWL-K670)</f>
        <v>1.69669866735284</v>
      </c>
      <c r="O670" s="27" t="n">
        <f aca="false">MAX(0,NG-MAX(K670,GWL))</f>
        <v>0.8</v>
      </c>
      <c r="P670" s="27" t="n">
        <f aca="false">E670/2+WS+SLOPE_A*O670+SLOPE_B*N670</f>
        <v>6.9218950514802</v>
      </c>
      <c r="Q670" s="28" t="str">
        <f aca="false">IF(AND(P670&lt;J670,N670&lt;=MAXOC),"Open cut","Shoring")</f>
        <v>Shoring</v>
      </c>
      <c r="R670" s="27" t="n">
        <f aca="false">IF(Q670="Shoring",D670,0)</f>
        <v>1.73946302725267</v>
      </c>
      <c r="S670" s="27" t="n">
        <f aca="false">MAX(0,GWL-L670)</f>
        <v>1.69259819206368</v>
      </c>
      <c r="T670" s="27" t="n">
        <f aca="false">MAX(0,NG-MAX(L670,GWL))</f>
        <v>0.8</v>
      </c>
      <c r="U670" s="27" t="n">
        <f aca="false">E670+2*WS</f>
        <v>4.65699543354906</v>
      </c>
      <c r="V670" s="27" t="n">
        <f aca="false">IF(Q670="Shoring",D670*M670*U670,0)</f>
        <v>20.1917188231867</v>
      </c>
      <c r="W670" s="27" t="n">
        <f aca="false">IF(Q670="Open cut",D670*(U670*M670+SLOPE_B*S670^2+2*SLOPE_B*S670*T670+SLOPE_A*T670^2),0)</f>
        <v>0</v>
      </c>
      <c r="X670" s="27" t="n">
        <f aca="false">IF(M670&gt;0,D670*(E670+2*SLABOVH)*SLAB,0)</f>
        <v>3.18060417374522</v>
      </c>
      <c r="Y670" s="27" t="n">
        <f aca="false">IF(M670&gt;0,D670*PI()*E670^2/4,0)</f>
        <v>9.64465505464079</v>
      </c>
      <c r="Z670" s="27" t="n">
        <f aca="false">IF(H670-E670&gt;=GWL,99,E670*(MAX(0,GWL-H670)*(GAM_S-GAM_W)+MAX(0,NG-MAX(H670,GWL))*GAM_D)/(GAM_W*PI()*E670^2/4))</f>
        <v>0</v>
      </c>
      <c r="AA670" s="27" t="n">
        <f aca="false">IF(I670-E670&gt;=GWL,99,E670*(MAX(0,GWL-I670)*(GAM_S-GAM_W)+MAX(0,NG-MAX(I670,GWL))*GAM_D)/(GAM_W*PI()*E670^2/4))</f>
        <v>0</v>
      </c>
      <c r="AB670" s="27" t="n">
        <f aca="false">IF(H670-E670&gt;=GWL,99,E670*(MAX(0,GWL-H670)*(GAM_S-GAM_W)+MAX(0,FL-MAX(H670,GWL))*GAM_D)/(GAM_W*PI()*E670^2/4))</f>
        <v>0.90697016686283</v>
      </c>
      <c r="AC670" s="27" t="n">
        <f aca="false">IF(I670-E670&gt;=GWL,99,E670*(MAX(0,GWL-I670)*(GAM_S-GAM_W)+MAX(0,FL-MAX(I670,GWL))*GAM_D)/(GAM_W*PI()*E670^2/4))</f>
        <v>0.914181025854998</v>
      </c>
    </row>
    <row r="671" customFormat="false" ht="15" hidden="false" customHeight="false" outlineLevel="0" collapsed="false">
      <c r="A671" s="25" t="s">
        <v>1198</v>
      </c>
      <c r="B671" s="25" t="s">
        <v>1203</v>
      </c>
      <c r="C671" s="25" t="s">
        <v>1215</v>
      </c>
      <c r="D671" s="26" t="n">
        <v>10.0000000006498</v>
      </c>
      <c r="E671" s="26" t="n">
        <v>2.65699543354906</v>
      </c>
      <c r="F671" s="26" t="n">
        <v>-3.19669866735284</v>
      </c>
      <c r="G671" s="26" t="n">
        <v>-3.24384511685756</v>
      </c>
      <c r="H671" s="26" t="n">
        <v>-0.0397032338037719</v>
      </c>
      <c r="I671" s="26" t="n">
        <v>-0.0868496833085</v>
      </c>
      <c r="J671" s="26" t="n">
        <v>4.68</v>
      </c>
      <c r="K671" s="27" t="n">
        <f aca="false">MIN(F671,G671)</f>
        <v>-3.24384511685756</v>
      </c>
      <c r="L671" s="27" t="n">
        <f aca="false">AVERAGE(F671,G671)</f>
        <v>-3.2202718921052</v>
      </c>
      <c r="M671" s="27" t="n">
        <f aca="false">MAX(0,NG-L671)</f>
        <v>2.5202718921052</v>
      </c>
      <c r="N671" s="27" t="n">
        <f aca="false">MAX(0,GWL-K671)</f>
        <v>1.74384511685756</v>
      </c>
      <c r="O671" s="27" t="n">
        <f aca="false">MAX(0,NG-MAX(K671,GWL))</f>
        <v>0.8</v>
      </c>
      <c r="P671" s="27" t="n">
        <f aca="false">E671/2+WS+SLOPE_A*O671+SLOPE_B*N671</f>
        <v>7.01618795048966</v>
      </c>
      <c r="Q671" s="28" t="str">
        <f aca="false">IF(AND(P671&lt;J671,N671&lt;=MAXOC),"Open cut","Shoring")</f>
        <v>Shoring</v>
      </c>
      <c r="R671" s="27" t="n">
        <f aca="false">IF(Q671="Shoring",D671,0)</f>
        <v>10.0000000006498</v>
      </c>
      <c r="S671" s="27" t="n">
        <f aca="false">MAX(0,GWL-L671)</f>
        <v>1.7202718921052</v>
      </c>
      <c r="T671" s="27" t="n">
        <f aca="false">MAX(0,NG-MAX(L671,GWL))</f>
        <v>0.8</v>
      </c>
      <c r="U671" s="27" t="n">
        <f aca="false">E671+2*WS</f>
        <v>4.65699543354906</v>
      </c>
      <c r="V671" s="27" t="n">
        <f aca="false">IF(Q671="Shoring",D671*M671*U671,0)</f>
        <v>117.368946935986</v>
      </c>
      <c r="W671" s="27" t="n">
        <f aca="false">IF(Q671="Open cut",D671*(U671*M671+SLOPE_B*S671^2+2*SLOPE_B*S671*T671+SLOPE_A*T671^2),0)</f>
        <v>0</v>
      </c>
      <c r="X671" s="27" t="n">
        <f aca="false">IF(M671&gt;0,D671*(E671+2*SLABOVH)*SLAB,0)</f>
        <v>18.2849771689335</v>
      </c>
      <c r="Y671" s="27" t="n">
        <f aca="false">IF(M671&gt;0,D671*PI()*E671^2/4,0)</f>
        <v>55.44616300641</v>
      </c>
      <c r="Z671" s="27" t="n">
        <f aca="false">IF(H671-E671&gt;=GWL,99,E671*(MAX(0,GWL-H671)*(GAM_S-GAM_W)+MAX(0,NG-MAX(H671,GWL))*GAM_D)/(GAM_W*PI()*E671^2/4))</f>
        <v>0</v>
      </c>
      <c r="AA671" s="27" t="n">
        <f aca="false">IF(I671-E671&gt;=GWL,99,E671*(MAX(0,GWL-I671)*(GAM_S-GAM_W)+MAX(0,NG-MAX(I671,GWL))*GAM_D)/(GAM_W*PI()*E671^2/4))</f>
        <v>0</v>
      </c>
      <c r="AB671" s="27" t="n">
        <f aca="false">IF(H671-E671&gt;=GWL,99,E671*(MAX(0,GWL-H671)*(GAM_S-GAM_W)+MAX(0,FL-MAX(H671,GWL))*GAM_D)/(GAM_W*PI()*E671^2/4))</f>
        <v>0.914181025854998</v>
      </c>
      <c r="AC671" s="27" t="n">
        <f aca="false">IF(I671-E671&gt;=GWL,99,E671*(MAX(0,GWL-I671)*(GAM_S-GAM_W)+MAX(0,FL-MAX(I671,GWL))*GAM_D)/(GAM_W*PI()*E671^2/4))</f>
        <v>0.955635537269731</v>
      </c>
    </row>
    <row r="672" customFormat="false" ht="15" hidden="false" customHeight="false" outlineLevel="0" collapsed="false">
      <c r="A672" s="25" t="s">
        <v>1198</v>
      </c>
      <c r="B672" s="25" t="s">
        <v>1203</v>
      </c>
      <c r="C672" s="25" t="s">
        <v>1216</v>
      </c>
      <c r="D672" s="26" t="n">
        <v>9.99999999978663</v>
      </c>
      <c r="E672" s="26" t="n">
        <v>2.65699543354906</v>
      </c>
      <c r="F672" s="26" t="n">
        <v>-3.24384511685756</v>
      </c>
      <c r="G672" s="26" t="n">
        <v>-3.29099156636229</v>
      </c>
      <c r="H672" s="26" t="n">
        <v>-0.0868496833085</v>
      </c>
      <c r="I672" s="26" t="n">
        <v>-0.133996132813228</v>
      </c>
      <c r="J672" s="26" t="n">
        <v>4.5</v>
      </c>
      <c r="K672" s="27" t="n">
        <f aca="false">MIN(F672,G672)</f>
        <v>-3.29099156636229</v>
      </c>
      <c r="L672" s="27" t="n">
        <f aca="false">AVERAGE(F672,G672)</f>
        <v>-3.26741834160993</v>
      </c>
      <c r="M672" s="27" t="n">
        <f aca="false">MAX(0,NG-L672)</f>
        <v>2.56741834160993</v>
      </c>
      <c r="N672" s="27" t="n">
        <f aca="false">MAX(0,GWL-K672)</f>
        <v>1.79099156636229</v>
      </c>
      <c r="O672" s="27" t="n">
        <f aca="false">MAX(0,NG-MAX(K672,GWL))</f>
        <v>0.8</v>
      </c>
      <c r="P672" s="27" t="n">
        <f aca="false">E672/2+WS+SLOPE_A*O672+SLOPE_B*N672</f>
        <v>7.11048084949912</v>
      </c>
      <c r="Q672" s="28" t="str">
        <f aca="false">IF(AND(P672&lt;J672,N672&lt;=MAXOC),"Open cut","Shoring")</f>
        <v>Shoring</v>
      </c>
      <c r="R672" s="27" t="n">
        <f aca="false">IF(Q672="Shoring",D672,0)</f>
        <v>9.99999999978663</v>
      </c>
      <c r="S672" s="27" t="n">
        <f aca="false">MAX(0,GWL-L672)</f>
        <v>1.76741834160993</v>
      </c>
      <c r="T672" s="27" t="n">
        <f aca="false">MAX(0,NG-MAX(L672,GWL))</f>
        <v>0.8</v>
      </c>
      <c r="U672" s="27" t="n">
        <f aca="false">E672+2*WS</f>
        <v>4.65699543354906</v>
      </c>
      <c r="V672" s="27" t="n">
        <f aca="false">IF(Q672="Shoring",D672*M672*U672,0)</f>
        <v>119.564554926324</v>
      </c>
      <c r="W672" s="27" t="n">
        <f aca="false">IF(Q672="Open cut",D672*(U672*M672+SLOPE_B*S672^2+2*SLOPE_B*S672*T672+SLOPE_A*T672^2),0)</f>
        <v>0</v>
      </c>
      <c r="X672" s="27" t="n">
        <f aca="false">IF(M672&gt;0,D672*(E672+2*SLABOVH)*SLAB,0)</f>
        <v>18.2849771673552</v>
      </c>
      <c r="Y672" s="27" t="n">
        <f aca="false">IF(M672&gt;0,D672*PI()*E672^2/4,0)</f>
        <v>55.4461630016241</v>
      </c>
      <c r="Z672" s="27" t="n">
        <f aca="false">IF(H672-E672&gt;=GWL,99,E672*(MAX(0,GWL-H672)*(GAM_S-GAM_W)+MAX(0,NG-MAX(H672,GWL))*GAM_D)/(GAM_W*PI()*E672^2/4))</f>
        <v>0</v>
      </c>
      <c r="AA672" s="27" t="n">
        <f aca="false">IF(I672-E672&gt;=GWL,99,E672*(MAX(0,GWL-I672)*(GAM_S-GAM_W)+MAX(0,NG-MAX(I672,GWL))*GAM_D)/(GAM_W*PI()*E672^2/4))</f>
        <v>0</v>
      </c>
      <c r="AB672" s="27" t="n">
        <f aca="false">IF(H672-E672&gt;=GWL,99,E672*(MAX(0,GWL-H672)*(GAM_S-GAM_W)+MAX(0,FL-MAX(H672,GWL))*GAM_D)/(GAM_W*PI()*E672^2/4))</f>
        <v>0.955635537269731</v>
      </c>
      <c r="AC672" s="27" t="n">
        <f aca="false">IF(I672-E672&gt;=GWL,99,E672*(MAX(0,GWL-I672)*(GAM_S-GAM_W)+MAX(0,FL-MAX(I672,GWL))*GAM_D)/(GAM_W*PI()*E672^2/4))</f>
        <v>0.997090048684464</v>
      </c>
    </row>
    <row r="673" customFormat="false" ht="15" hidden="false" customHeight="false" outlineLevel="0" collapsed="false">
      <c r="A673" s="25" t="s">
        <v>1198</v>
      </c>
      <c r="B673" s="25" t="s">
        <v>1203</v>
      </c>
      <c r="C673" s="25" t="s">
        <v>1217</v>
      </c>
      <c r="D673" s="26" t="n">
        <v>9.99999999984528</v>
      </c>
      <c r="E673" s="26" t="n">
        <v>2.65699543354906</v>
      </c>
      <c r="F673" s="26" t="n">
        <v>-3.29099156636229</v>
      </c>
      <c r="G673" s="26" t="n">
        <v>-3.33813801586702</v>
      </c>
      <c r="H673" s="26" t="n">
        <v>-0.133996132813228</v>
      </c>
      <c r="I673" s="26" t="n">
        <v>-0.181142582317956</v>
      </c>
      <c r="J673" s="26" t="n">
        <v>2.47</v>
      </c>
      <c r="K673" s="27" t="n">
        <f aca="false">MIN(F673,G673)</f>
        <v>-3.33813801586702</v>
      </c>
      <c r="L673" s="27" t="n">
        <f aca="false">AVERAGE(F673,G673)</f>
        <v>-3.31456479111466</v>
      </c>
      <c r="M673" s="27" t="n">
        <f aca="false">MAX(0,NG-L673)</f>
        <v>2.61456479111466</v>
      </c>
      <c r="N673" s="27" t="n">
        <f aca="false">MAX(0,GWL-K673)</f>
        <v>1.83813801586702</v>
      </c>
      <c r="O673" s="27" t="n">
        <f aca="false">MAX(0,NG-MAX(K673,GWL))</f>
        <v>0.8</v>
      </c>
      <c r="P673" s="27" t="n">
        <f aca="false">E673/2+WS+SLOPE_A*O673+SLOPE_B*N673</f>
        <v>7.20477374850857</v>
      </c>
      <c r="Q673" s="28" t="str">
        <f aca="false">IF(AND(P673&lt;J673,N673&lt;=MAXOC),"Open cut","Shoring")</f>
        <v>Shoring</v>
      </c>
      <c r="R673" s="27" t="n">
        <f aca="false">IF(Q673="Shoring",D673,0)</f>
        <v>9.99999999984528</v>
      </c>
      <c r="S673" s="27" t="n">
        <f aca="false">MAX(0,GWL-L673)</f>
        <v>1.81456479111466</v>
      </c>
      <c r="T673" s="27" t="n">
        <f aca="false">MAX(0,NG-MAX(L673,GWL))</f>
        <v>0.8</v>
      </c>
      <c r="U673" s="27" t="n">
        <f aca="false">E673+2*WS</f>
        <v>4.65699543354906</v>
      </c>
      <c r="V673" s="27" t="n">
        <f aca="false">IF(Q673="Shoring",D673*M673*U673,0)</f>
        <v>121.760162927507</v>
      </c>
      <c r="W673" s="27" t="n">
        <f aca="false">IF(Q673="Open cut",D673*(U673*M673+SLOPE_B*S673^2+2*SLOPE_B*S673*T673+SLOPE_A*T673^2),0)</f>
        <v>0</v>
      </c>
      <c r="X673" s="27" t="n">
        <f aca="false">IF(M673&gt;0,D673*(E673+2*SLABOVH)*SLAB,0)</f>
        <v>18.2849771674624</v>
      </c>
      <c r="Y673" s="27" t="n">
        <f aca="false">IF(M673&gt;0,D673*PI()*E673^2/4,0)</f>
        <v>55.4461630019493</v>
      </c>
      <c r="Z673" s="27" t="n">
        <f aca="false">IF(H673-E673&gt;=GWL,99,E673*(MAX(0,GWL-H673)*(GAM_S-GAM_W)+MAX(0,NG-MAX(H673,GWL))*GAM_D)/(GAM_W*PI()*E673^2/4))</f>
        <v>0</v>
      </c>
      <c r="AA673" s="27" t="n">
        <f aca="false">IF(I673-E673&gt;=GWL,99,E673*(MAX(0,GWL-I673)*(GAM_S-GAM_W)+MAX(0,NG-MAX(I673,GWL))*GAM_D)/(GAM_W*PI()*E673^2/4))</f>
        <v>0</v>
      </c>
      <c r="AB673" s="27" t="n">
        <f aca="false">IF(H673-E673&gt;=GWL,99,E673*(MAX(0,GWL-H673)*(GAM_S-GAM_W)+MAX(0,FL-MAX(H673,GWL))*GAM_D)/(GAM_W*PI()*E673^2/4))</f>
        <v>0.997090048684464</v>
      </c>
      <c r="AC673" s="27" t="n">
        <f aca="false">IF(I673-E673&gt;=GWL,99,E673*(MAX(0,GWL-I673)*(GAM_S-GAM_W)+MAX(0,FL-MAX(I673,GWL))*GAM_D)/(GAM_W*PI()*E673^2/4))</f>
        <v>1.0385445600992</v>
      </c>
    </row>
    <row r="674" customFormat="false" ht="15" hidden="false" customHeight="false" outlineLevel="0" collapsed="false">
      <c r="A674" s="25" t="s">
        <v>1198</v>
      </c>
      <c r="B674" s="25" t="s">
        <v>1203</v>
      </c>
      <c r="C674" s="25" t="s">
        <v>1218</v>
      </c>
      <c r="D674" s="26" t="n">
        <v>4.29999999971182</v>
      </c>
      <c r="E674" s="26" t="n">
        <v>2.65699543354906</v>
      </c>
      <c r="F674" s="26" t="n">
        <v>-3.33813801586702</v>
      </c>
      <c r="G674" s="26" t="n">
        <v>-3.35841098915405</v>
      </c>
      <c r="H674" s="26" t="n">
        <v>-0.181142582317956</v>
      </c>
      <c r="I674" s="26" t="n">
        <v>-0.201415555604989</v>
      </c>
      <c r="J674" s="26" t="n">
        <v>2.46</v>
      </c>
      <c r="K674" s="27" t="n">
        <f aca="false">MIN(F674,G674)</f>
        <v>-3.35841098915405</v>
      </c>
      <c r="L674" s="27" t="n">
        <f aca="false">AVERAGE(F674,G674)</f>
        <v>-3.34827450251054</v>
      </c>
      <c r="M674" s="27" t="n">
        <f aca="false">MAX(0,NG-L674)</f>
        <v>2.64827450251054</v>
      </c>
      <c r="N674" s="27" t="n">
        <f aca="false">MAX(0,GWL-K674)</f>
        <v>1.85841098915405</v>
      </c>
      <c r="O674" s="27" t="n">
        <f aca="false">MAX(0,NG-MAX(K674,GWL))</f>
        <v>0.8</v>
      </c>
      <c r="P674" s="27" t="n">
        <f aca="false">E674/2+WS+SLOPE_A*O674+SLOPE_B*N674</f>
        <v>7.24531969508264</v>
      </c>
      <c r="Q674" s="28" t="str">
        <f aca="false">IF(AND(P674&lt;J674,N674&lt;=MAXOC),"Open cut","Shoring")</f>
        <v>Shoring</v>
      </c>
      <c r="R674" s="27" t="n">
        <f aca="false">IF(Q674="Shoring",D674,0)</f>
        <v>4.29999999971182</v>
      </c>
      <c r="S674" s="27" t="n">
        <f aca="false">MAX(0,GWL-L674)</f>
        <v>1.84827450251054</v>
      </c>
      <c r="T674" s="27" t="n">
        <f aca="false">MAX(0,NG-MAX(L674,GWL))</f>
        <v>0.8</v>
      </c>
      <c r="U674" s="27" t="n">
        <f aca="false">E674+2*WS</f>
        <v>4.65699543354906</v>
      </c>
      <c r="V674" s="27" t="n">
        <f aca="false">IF(Q674="Shoring",D674*M674*U674,0)</f>
        <v>53.0319097358426</v>
      </c>
      <c r="W674" s="27" t="n">
        <f aca="false">IF(Q674="Open cut",D674*(U674*M674+SLOPE_B*S674^2+2*SLOPE_B*S674*T674+SLOPE_A*T674^2),0)</f>
        <v>0</v>
      </c>
      <c r="X674" s="27" t="n">
        <f aca="false">IF(M674&gt;0,D674*(E674+2*SLABOVH)*SLAB,0)</f>
        <v>7.86254018160354</v>
      </c>
      <c r="Y674" s="27" t="n">
        <f aca="false">IF(M674&gt;0,D674*PI()*E674^2/4,0)</f>
        <v>23.8418500896092</v>
      </c>
      <c r="Z674" s="27" t="n">
        <f aca="false">IF(H674-E674&gt;=GWL,99,E674*(MAX(0,GWL-H674)*(GAM_S-GAM_W)+MAX(0,NG-MAX(H674,GWL))*GAM_D)/(GAM_W*PI()*E674^2/4))</f>
        <v>0</v>
      </c>
      <c r="AA674" s="27" t="n">
        <f aca="false">IF(I674-E674&gt;=GWL,99,E674*(MAX(0,GWL-I674)*(GAM_S-GAM_W)+MAX(0,NG-MAX(I674,GWL))*GAM_D)/(GAM_W*PI()*E674^2/4))</f>
        <v>0</v>
      </c>
      <c r="AB674" s="27" t="n">
        <f aca="false">IF(H674-E674&gt;=GWL,99,E674*(MAX(0,GWL-H674)*(GAM_S-GAM_W)+MAX(0,FL-MAX(H674,GWL))*GAM_D)/(GAM_W*PI()*E674^2/4))</f>
        <v>1.0385445600992</v>
      </c>
      <c r="AC674" s="27" t="n">
        <f aca="false">IF(I674-E674&gt;=GWL,99,E674*(MAX(0,GWL-I674)*(GAM_S-GAM_W)+MAX(0,FL-MAX(I674,GWL))*GAM_D)/(GAM_W*PI()*E674^2/4))</f>
        <v>1.05637000000753</v>
      </c>
    </row>
    <row r="675" customFormat="false" ht="15" hidden="false" customHeight="false" outlineLevel="0" collapsed="false">
      <c r="A675" s="25" t="s">
        <v>1198</v>
      </c>
      <c r="B675" s="25" t="s">
        <v>1219</v>
      </c>
      <c r="C675" s="25" t="s">
        <v>1220</v>
      </c>
      <c r="D675" s="26" t="n">
        <v>5.70000000007482</v>
      </c>
      <c r="E675" s="26" t="n">
        <v>2.65699543354906</v>
      </c>
      <c r="F675" s="26" t="n">
        <v>-3.35841098915405</v>
      </c>
      <c r="G675" s="26" t="n">
        <v>-3.38528446537175</v>
      </c>
      <c r="H675" s="26" t="n">
        <v>-0.201415555604989</v>
      </c>
      <c r="I675" s="26" t="n">
        <v>-0.228289031822684</v>
      </c>
      <c r="J675" s="26" t="n">
        <v>2.45</v>
      </c>
      <c r="K675" s="27" t="n">
        <f aca="false">MIN(F675,G675)</f>
        <v>-3.38528446537175</v>
      </c>
      <c r="L675" s="27" t="n">
        <f aca="false">AVERAGE(F675,G675)</f>
        <v>-3.3718477272629</v>
      </c>
      <c r="M675" s="27" t="n">
        <f aca="false">MAX(0,NG-L675)</f>
        <v>2.6718477272629</v>
      </c>
      <c r="N675" s="27" t="n">
        <f aca="false">MAX(0,GWL-K675)</f>
        <v>1.88528446537175</v>
      </c>
      <c r="O675" s="27" t="n">
        <f aca="false">MAX(0,NG-MAX(K675,GWL))</f>
        <v>0.8</v>
      </c>
      <c r="P675" s="27" t="n">
        <f aca="false">E675/2+WS+SLOPE_A*O675+SLOPE_B*N675</f>
        <v>7.29906664751803</v>
      </c>
      <c r="Q675" s="28" t="str">
        <f aca="false">IF(AND(P675&lt;J675,N675&lt;=MAXOC),"Open cut","Shoring")</f>
        <v>Shoring</v>
      </c>
      <c r="R675" s="27" t="n">
        <f aca="false">IF(Q675="Shoring",D675,0)</f>
        <v>5.70000000007482</v>
      </c>
      <c r="S675" s="27" t="n">
        <f aca="false">MAX(0,GWL-L675)</f>
        <v>1.8718477272629</v>
      </c>
      <c r="T675" s="27" t="n">
        <f aca="false">MAX(0,NG-MAX(L675,GWL))</f>
        <v>0.8</v>
      </c>
      <c r="U675" s="27" t="n">
        <f aca="false">E675+2*WS</f>
        <v>4.65699543354906</v>
      </c>
      <c r="V675" s="27" t="n">
        <f aca="false">IF(Q675="Shoring",D675*M675*U675,0)</f>
        <v>70.923861191441</v>
      </c>
      <c r="W675" s="27" t="n">
        <f aca="false">IF(Q675="Open cut",D675*(U675*M675+SLOPE_B*S675^2+2*SLOPE_B*S675*T675+SLOPE_A*T675^2),0)</f>
        <v>0</v>
      </c>
      <c r="X675" s="27" t="n">
        <f aca="false">IF(M675&gt;0,D675*(E675+2*SLABOVH)*SLAB,0)</f>
        <v>10.4224369857516</v>
      </c>
      <c r="Y675" s="27" t="n">
        <f aca="false">IF(M675&gt;0,D675*PI()*E675^2/4,0)</f>
        <v>31.6043129120149</v>
      </c>
      <c r="Z675" s="27" t="n">
        <f aca="false">IF(H675-E675&gt;=GWL,99,E675*(MAX(0,GWL-H675)*(GAM_S-GAM_W)+MAX(0,NG-MAX(H675,GWL))*GAM_D)/(GAM_W*PI()*E675^2/4))</f>
        <v>0</v>
      </c>
      <c r="AA675" s="27" t="n">
        <f aca="false">IF(I675-E675&gt;=GWL,99,E675*(MAX(0,GWL-I675)*(GAM_S-GAM_W)+MAX(0,NG-MAX(I675,GWL))*GAM_D)/(GAM_W*PI()*E675^2/4))</f>
        <v>0</v>
      </c>
      <c r="AB675" s="27" t="n">
        <f aca="false">IF(H675-E675&gt;=GWL,99,E675*(MAX(0,GWL-H675)*(GAM_S-GAM_W)+MAX(0,FL-MAX(H675,GWL))*GAM_D)/(GAM_W*PI()*E675^2/4))</f>
        <v>1.05637000000753</v>
      </c>
      <c r="AC675" s="27" t="n">
        <f aca="false">IF(I675-E675&gt;=GWL,99,E675*(MAX(0,GWL-I675)*(GAM_S-GAM_W)+MAX(0,FL-MAX(I675,GWL))*GAM_D)/(GAM_W*PI()*E675^2/4))</f>
        <v>1.07999907151393</v>
      </c>
    </row>
    <row r="676" customFormat="false" ht="15" hidden="false" customHeight="false" outlineLevel="0" collapsed="false">
      <c r="A676" s="25" t="s">
        <v>1198</v>
      </c>
      <c r="B676" s="25" t="s">
        <v>1219</v>
      </c>
      <c r="C676" s="25" t="s">
        <v>1221</v>
      </c>
      <c r="D676" s="26" t="n">
        <v>9.99999999984528</v>
      </c>
      <c r="E676" s="26" t="n">
        <v>2.65699543354906</v>
      </c>
      <c r="F676" s="26" t="n">
        <v>-3.38528446537175</v>
      </c>
      <c r="G676" s="26" t="n">
        <v>-3.43243091487648</v>
      </c>
      <c r="H676" s="26" t="n">
        <v>-0.228289031822684</v>
      </c>
      <c r="I676" s="26" t="n">
        <v>-0.275435481327412</v>
      </c>
      <c r="J676" s="26" t="n">
        <v>2.73</v>
      </c>
      <c r="K676" s="27" t="n">
        <f aca="false">MIN(F676,G676)</f>
        <v>-3.43243091487648</v>
      </c>
      <c r="L676" s="27" t="n">
        <f aca="false">AVERAGE(F676,G676)</f>
        <v>-3.40885769012411</v>
      </c>
      <c r="M676" s="27" t="n">
        <f aca="false">MAX(0,NG-L676)</f>
        <v>2.70885769012411</v>
      </c>
      <c r="N676" s="27" t="n">
        <f aca="false">MAX(0,GWL-K676)</f>
        <v>1.93243091487648</v>
      </c>
      <c r="O676" s="27" t="n">
        <f aca="false">MAX(0,NG-MAX(K676,GWL))</f>
        <v>0.8</v>
      </c>
      <c r="P676" s="27" t="n">
        <f aca="false">E676/2+WS+SLOPE_A*O676+SLOPE_B*N676</f>
        <v>7.39335954652748</v>
      </c>
      <c r="Q676" s="28" t="str">
        <f aca="false">IF(AND(P676&lt;J676,N676&lt;=MAXOC),"Open cut","Shoring")</f>
        <v>Shoring</v>
      </c>
      <c r="R676" s="27" t="n">
        <f aca="false">IF(Q676="Shoring",D676,0)</f>
        <v>9.99999999984528</v>
      </c>
      <c r="S676" s="27" t="n">
        <f aca="false">MAX(0,GWL-L676)</f>
        <v>1.90885769012411</v>
      </c>
      <c r="T676" s="27" t="n">
        <f aca="false">MAX(0,NG-MAX(L676,GWL))</f>
        <v>0.8</v>
      </c>
      <c r="U676" s="27" t="n">
        <f aca="false">E676+2*WS</f>
        <v>4.65699543354906</v>
      </c>
      <c r="V676" s="27" t="n">
        <f aca="false">IF(Q676="Shoring",D676*M676*U676,0)</f>
        <v>126.151378928471</v>
      </c>
      <c r="W676" s="27" t="n">
        <f aca="false">IF(Q676="Open cut",D676*(U676*M676+SLOPE_B*S676^2+2*SLOPE_B*S676*T676+SLOPE_A*T676^2),0)</f>
        <v>0</v>
      </c>
      <c r="X676" s="27" t="n">
        <f aca="false">IF(M676&gt;0,D676*(E676+2*SLABOVH)*SLAB,0)</f>
        <v>18.2849771674624</v>
      </c>
      <c r="Y676" s="27" t="n">
        <f aca="false">IF(M676&gt;0,D676*PI()*E676^2/4,0)</f>
        <v>55.4461630019493</v>
      </c>
      <c r="Z676" s="27" t="n">
        <f aca="false">IF(H676-E676&gt;=GWL,99,E676*(MAX(0,GWL-H676)*(GAM_S-GAM_W)+MAX(0,NG-MAX(H676,GWL))*GAM_D)/(GAM_W*PI()*E676^2/4))</f>
        <v>0</v>
      </c>
      <c r="AA676" s="27" t="n">
        <f aca="false">IF(I676-E676&gt;=GWL,99,E676*(MAX(0,GWL-I676)*(GAM_S-GAM_W)+MAX(0,NG-MAX(I676,GWL))*GAM_D)/(GAM_W*PI()*E676^2/4))</f>
        <v>0</v>
      </c>
      <c r="AB676" s="27" t="n">
        <f aca="false">IF(H676-E676&gt;=GWL,99,E676*(MAX(0,GWL-H676)*(GAM_S-GAM_W)+MAX(0,FL-MAX(H676,GWL))*GAM_D)/(GAM_W*PI()*E676^2/4))</f>
        <v>1.07999907151393</v>
      </c>
      <c r="AC676" s="27" t="n">
        <f aca="false">IF(I676-E676&gt;=GWL,99,E676*(MAX(0,GWL-I676)*(GAM_S-GAM_W)+MAX(0,FL-MAX(I676,GWL))*GAM_D)/(GAM_W*PI()*E676^2/4))</f>
        <v>1.12145358292866</v>
      </c>
    </row>
    <row r="677" customFormat="false" ht="15" hidden="false" customHeight="false" outlineLevel="0" collapsed="false">
      <c r="A677" s="25" t="s">
        <v>1198</v>
      </c>
      <c r="B677" s="25" t="s">
        <v>1219</v>
      </c>
      <c r="C677" s="25" t="s">
        <v>1222</v>
      </c>
      <c r="D677" s="26" t="n">
        <v>8.83349697260316</v>
      </c>
      <c r="E677" s="26" t="n">
        <v>2.65699543354906</v>
      </c>
      <c r="F677" s="26" t="n">
        <v>-3.43243091487648</v>
      </c>
      <c r="G677" s="26" t="n">
        <v>-3.47407771677453</v>
      </c>
      <c r="H677" s="26" t="n">
        <v>-0.275435481327412</v>
      </c>
      <c r="I677" s="26" t="n">
        <v>-0.317082283225468</v>
      </c>
      <c r="J677" s="26" t="n">
        <v>8.66</v>
      </c>
      <c r="K677" s="27" t="n">
        <f aca="false">MIN(F677,G677)</f>
        <v>-3.47407771677453</v>
      </c>
      <c r="L677" s="27" t="n">
        <f aca="false">AVERAGE(F677,G677)</f>
        <v>-3.4532543158255</v>
      </c>
      <c r="M677" s="27" t="n">
        <f aca="false">MAX(0,NG-L677)</f>
        <v>2.7532543158255</v>
      </c>
      <c r="N677" s="27" t="n">
        <f aca="false">MAX(0,GWL-K677)</f>
        <v>1.97407771677453</v>
      </c>
      <c r="O677" s="27" t="n">
        <f aca="false">MAX(0,NG-MAX(K677,GWL))</f>
        <v>0.8</v>
      </c>
      <c r="P677" s="27" t="n">
        <f aca="false">E677/2+WS+SLOPE_A*O677+SLOPE_B*N677</f>
        <v>7.4766531503236</v>
      </c>
      <c r="Q677" s="28" t="str">
        <f aca="false">IF(AND(P677&lt;J677,N677&lt;=MAXOC),"Open cut","Shoring")</f>
        <v>Open cut</v>
      </c>
      <c r="R677" s="27" t="n">
        <f aca="false">IF(Q677="Shoring",D677,0)</f>
        <v>0</v>
      </c>
      <c r="S677" s="27" t="n">
        <f aca="false">MAX(0,GWL-L677)</f>
        <v>1.9532543158255</v>
      </c>
      <c r="T677" s="27" t="n">
        <f aca="false">MAX(0,NG-MAX(L677,GWL))</f>
        <v>0.8</v>
      </c>
      <c r="U677" s="27" t="n">
        <f aca="false">E677+2*WS</f>
        <v>4.65699543354906</v>
      </c>
      <c r="V677" s="27" t="n">
        <f aca="false">IF(Q677="Shoring",D677*M677*U677,0)</f>
        <v>0</v>
      </c>
      <c r="W677" s="27" t="n">
        <f aca="false">IF(Q677="Open cut",D677*(U677*M677+SLOPE_B*S677^2+2*SLOPE_B*S677*T677+SLOPE_A*T677^2),0)</f>
        <v>244.358477683462</v>
      </c>
      <c r="X677" s="27" t="n">
        <f aca="false">IF(M677&gt;0,D677*(E677+2*SLABOVH)*SLAB,0)</f>
        <v>16.1520290455396</v>
      </c>
      <c r="Y677" s="27" t="n">
        <f aca="false">IF(M677&gt;0,D677*PI()*E677^2/4,0)</f>
        <v>48.9783513027759</v>
      </c>
      <c r="Z677" s="27" t="n">
        <f aca="false">IF(H677-E677&gt;=GWL,99,E677*(MAX(0,GWL-H677)*(GAM_S-GAM_W)+MAX(0,NG-MAX(H677,GWL))*GAM_D)/(GAM_W*PI()*E677^2/4))</f>
        <v>0</v>
      </c>
      <c r="AA677" s="27" t="n">
        <f aca="false">IF(I677-E677&gt;=GWL,99,E677*(MAX(0,GWL-I677)*(GAM_S-GAM_W)+MAX(0,NG-MAX(I677,GWL))*GAM_D)/(GAM_W*PI()*E677^2/4))</f>
        <v>0</v>
      </c>
      <c r="AB677" s="27" t="n">
        <f aca="false">IF(H677-E677&gt;=GWL,99,E677*(MAX(0,GWL-H677)*(GAM_S-GAM_W)+MAX(0,FL-MAX(H677,GWL))*GAM_D)/(GAM_W*PI()*E677^2/4))</f>
        <v>1.12145358292866</v>
      </c>
      <c r="AC677" s="27" t="n">
        <f aca="false">IF(I677-E677&gt;=GWL,99,E677*(MAX(0,GWL-I677)*(GAM_S-GAM_W)+MAX(0,FL-MAX(I677,GWL))*GAM_D)/(GAM_W*PI()*E677^2/4))</f>
        <v>1.15807241303796</v>
      </c>
    </row>
    <row r="678" customFormat="false" ht="15" hidden="false" customHeight="false" outlineLevel="0" collapsed="false">
      <c r="A678" s="25" t="s">
        <v>1198</v>
      </c>
      <c r="B678" s="25" t="s">
        <v>1219</v>
      </c>
      <c r="C678" s="25" t="s">
        <v>1223</v>
      </c>
      <c r="D678" s="26" t="n">
        <v>1.16650302724211</v>
      </c>
      <c r="E678" s="26" t="n">
        <v>2.65699543354906</v>
      </c>
      <c r="F678" s="26" t="n">
        <v>-3.47407771677453</v>
      </c>
      <c r="G678" s="26" t="n">
        <v>-3.47957825879251</v>
      </c>
      <c r="H678" s="26" t="n">
        <v>-0.317082283225468</v>
      </c>
      <c r="I678" s="26" t="n">
        <v>-0.322582825243441</v>
      </c>
      <c r="J678" s="26" t="n">
        <v>11.68</v>
      </c>
      <c r="K678" s="27" t="n">
        <f aca="false">MIN(F678,G678)</f>
        <v>-3.47957825879251</v>
      </c>
      <c r="L678" s="27" t="n">
        <f aca="false">AVERAGE(F678,G678)</f>
        <v>-3.47682798778352</v>
      </c>
      <c r="M678" s="27" t="n">
        <f aca="false">MAX(0,NG-L678)</f>
        <v>2.77682798778352</v>
      </c>
      <c r="N678" s="27" t="n">
        <f aca="false">MAX(0,GWL-K678)</f>
        <v>1.9795782587925</v>
      </c>
      <c r="O678" s="27" t="n">
        <f aca="false">MAX(0,NG-MAX(K678,GWL))</f>
        <v>0.8</v>
      </c>
      <c r="P678" s="27" t="n">
        <f aca="false">E678/2+WS+SLOPE_A*O678+SLOPE_B*N678</f>
        <v>7.48765423435954</v>
      </c>
      <c r="Q678" s="28" t="str">
        <f aca="false">IF(AND(P678&lt;J678,N678&lt;=MAXOC),"Open cut","Shoring")</f>
        <v>Open cut</v>
      </c>
      <c r="R678" s="27" t="n">
        <f aca="false">IF(Q678="Shoring",D678,0)</f>
        <v>0</v>
      </c>
      <c r="S678" s="27" t="n">
        <f aca="false">MAX(0,GWL-L678)</f>
        <v>1.97682798778352</v>
      </c>
      <c r="T678" s="27" t="n">
        <f aca="false">MAX(0,NG-MAX(L678,GWL))</f>
        <v>0.8</v>
      </c>
      <c r="U678" s="27" t="n">
        <f aca="false">E678+2*WS</f>
        <v>4.65699543354906</v>
      </c>
      <c r="V678" s="27" t="n">
        <f aca="false">IF(Q678="Shoring",D678*M678*U678,0)</f>
        <v>0</v>
      </c>
      <c r="W678" s="27" t="n">
        <f aca="false">IF(Q678="Open cut",D678*(U678*M678+SLOPE_B*S678^2+2*SLOPE_B*S678*T678+SLOPE_A*T678^2),0)</f>
        <v>32.7008390336416</v>
      </c>
      <c r="X678" s="27" t="n">
        <f aca="false">IF(M678&gt;0,D678*(E678+2*SLABOVH)*SLAB,0)</f>
        <v>2.13294812192278</v>
      </c>
      <c r="Y678" s="27" t="n">
        <f aca="false">IF(M678&gt;0,D678*PI()*E678^2/4,0)</f>
        <v>6.46781169917342</v>
      </c>
      <c r="Z678" s="27" t="n">
        <f aca="false">IF(H678-E678&gt;=GWL,99,E678*(MAX(0,GWL-H678)*(GAM_S-GAM_W)+MAX(0,NG-MAX(H678,GWL))*GAM_D)/(GAM_W*PI()*E678^2/4))</f>
        <v>0</v>
      </c>
      <c r="AA678" s="27" t="n">
        <f aca="false">IF(I678-E678&gt;=GWL,99,E678*(MAX(0,GWL-I678)*(GAM_S-GAM_W)+MAX(0,NG-MAX(I678,GWL))*GAM_D)/(GAM_W*PI()*E678^2/4))</f>
        <v>0</v>
      </c>
      <c r="AB678" s="27" t="n">
        <f aca="false">IF(H678-E678&gt;=GWL,99,E678*(MAX(0,GWL-H678)*(GAM_S-GAM_W)+MAX(0,FL-MAX(H678,GWL))*GAM_D)/(GAM_W*PI()*E678^2/4))</f>
        <v>1.15807241303796</v>
      </c>
      <c r="AC678" s="27" t="n">
        <f aca="false">IF(I678-E678&gt;=GWL,99,E678*(MAX(0,GWL-I678)*(GAM_S-GAM_W)+MAX(0,FL-MAX(I678,GWL))*GAM_D)/(GAM_W*PI()*E678^2/4))</f>
        <v>1.16290888077342</v>
      </c>
    </row>
    <row r="679" customFormat="false" ht="15" hidden="false" customHeight="false" outlineLevel="0" collapsed="false">
      <c r="A679" s="25" t="s">
        <v>1198</v>
      </c>
      <c r="B679" s="25" t="s">
        <v>1219</v>
      </c>
      <c r="C679" s="25" t="s">
        <v>1224</v>
      </c>
      <c r="D679" s="26" t="n">
        <v>1.43348204080206</v>
      </c>
      <c r="E679" s="26" t="n">
        <v>2.65699543354906</v>
      </c>
      <c r="F679" s="26" t="n">
        <v>-3.47957825879251</v>
      </c>
      <c r="G679" s="26" t="n">
        <v>-3.48633771677453</v>
      </c>
      <c r="H679" s="26" t="n">
        <v>-0.322582825243441</v>
      </c>
      <c r="I679" s="26" t="n">
        <v>-0.329342283225468</v>
      </c>
      <c r="J679" s="26" t="n">
        <v>10.56</v>
      </c>
      <c r="K679" s="27" t="n">
        <f aca="false">MIN(F679,G679)</f>
        <v>-3.48633771677453</v>
      </c>
      <c r="L679" s="27" t="n">
        <f aca="false">AVERAGE(F679,G679)</f>
        <v>-3.48295798778352</v>
      </c>
      <c r="M679" s="27" t="n">
        <f aca="false">MAX(0,NG-L679)</f>
        <v>2.78295798778352</v>
      </c>
      <c r="N679" s="27" t="n">
        <f aca="false">MAX(0,GWL-K679)</f>
        <v>1.98633771677453</v>
      </c>
      <c r="O679" s="27" t="n">
        <f aca="false">MAX(0,NG-MAX(K679,GWL))</f>
        <v>0.8</v>
      </c>
      <c r="P679" s="27" t="n">
        <f aca="false">E679/2+WS+SLOPE_A*O679+SLOPE_B*N679</f>
        <v>7.5011731503236</v>
      </c>
      <c r="Q679" s="28" t="str">
        <f aca="false">IF(AND(P679&lt;J679,N679&lt;=MAXOC),"Open cut","Shoring")</f>
        <v>Open cut</v>
      </c>
      <c r="R679" s="27" t="n">
        <f aca="false">IF(Q679="Shoring",D679,0)</f>
        <v>0</v>
      </c>
      <c r="S679" s="27" t="n">
        <f aca="false">MAX(0,GWL-L679)</f>
        <v>1.98295798778352</v>
      </c>
      <c r="T679" s="27" t="n">
        <f aca="false">MAX(0,NG-MAX(L679,GWL))</f>
        <v>0.8</v>
      </c>
      <c r="U679" s="27" t="n">
        <f aca="false">E679+2*WS</f>
        <v>4.65699543354906</v>
      </c>
      <c r="V679" s="27" t="n">
        <f aca="false">IF(Q679="Shoring",D679*M679*U679,0)</f>
        <v>0</v>
      </c>
      <c r="W679" s="27" t="n">
        <f aca="false">IF(Q679="Open cut",D679*(U679*M679+SLOPE_B*S679^2+2*SLOPE_B*S679*T679+SLOPE_A*T679^2),0)</f>
        <v>40.3237537134373</v>
      </c>
      <c r="X679" s="27" t="n">
        <f aca="false">IF(M679&gt;0,D679*(E679+2*SLABOVH)*SLAB,0)</f>
        <v>2.62111863864385</v>
      </c>
      <c r="Y679" s="27" t="n">
        <f aca="false">IF(M679&gt;0,D679*PI()*E679^2/4,0)</f>
        <v>7.94810788959074</v>
      </c>
      <c r="Z679" s="27" t="n">
        <f aca="false">IF(H679-E679&gt;=GWL,99,E679*(MAX(0,GWL-H679)*(GAM_S-GAM_W)+MAX(0,NG-MAX(H679,GWL))*GAM_D)/(GAM_W*PI()*E679^2/4))</f>
        <v>0</v>
      </c>
      <c r="AA679" s="27" t="n">
        <f aca="false">IF(I679-E679&gt;=GWL,99,E679*(MAX(0,GWL-I679)*(GAM_S-GAM_W)+MAX(0,NG-MAX(I679,GWL))*GAM_D)/(GAM_W*PI()*E679^2/4))</f>
        <v>0</v>
      </c>
      <c r="AB679" s="27" t="n">
        <f aca="false">IF(H679-E679&gt;=GWL,99,E679*(MAX(0,GWL-H679)*(GAM_S-GAM_W)+MAX(0,FL-MAX(H679,GWL))*GAM_D)/(GAM_W*PI()*E679^2/4))</f>
        <v>1.16290888077342</v>
      </c>
      <c r="AC679" s="27" t="n">
        <f aca="false">IF(I679-E679&gt;=GWL,99,E679*(MAX(0,GWL-I679)*(GAM_S-GAM_W)+MAX(0,FL-MAX(I679,GWL))*GAM_D)/(GAM_W*PI()*E679^2/4))</f>
        <v>1.16885227695737</v>
      </c>
    </row>
    <row r="680" customFormat="false" ht="15" hidden="false" customHeight="false" outlineLevel="0" collapsed="false">
      <c r="A680" s="25" t="s">
        <v>1198</v>
      </c>
      <c r="B680" s="25" t="s">
        <v>1219</v>
      </c>
      <c r="C680" s="25" t="s">
        <v>1225</v>
      </c>
      <c r="D680" s="26" t="n">
        <v>2.57865106255672</v>
      </c>
      <c r="E680" s="26" t="n">
        <v>2.68999371406641</v>
      </c>
      <c r="F680" s="26" t="n">
        <v>-3.50283685703321</v>
      </c>
      <c r="G680" s="26" t="n">
        <v>-3.51499685703321</v>
      </c>
      <c r="H680" s="26" t="n">
        <v>-0.312843142966795</v>
      </c>
      <c r="I680" s="26" t="n">
        <v>-0.325003142966795</v>
      </c>
      <c r="J680" s="26" t="n">
        <v>10.35</v>
      </c>
      <c r="K680" s="27" t="n">
        <f aca="false">MIN(F680,G680)</f>
        <v>-3.51499685703321</v>
      </c>
      <c r="L680" s="27" t="n">
        <f aca="false">AVERAGE(F680,G680)</f>
        <v>-3.50891685703321</v>
      </c>
      <c r="M680" s="27" t="n">
        <f aca="false">MAX(0,NG-L680)</f>
        <v>2.80891685703321</v>
      </c>
      <c r="N680" s="27" t="n">
        <f aca="false">MAX(0,GWL-K680)</f>
        <v>2.01499685703321</v>
      </c>
      <c r="O680" s="27" t="n">
        <f aca="false">MAX(0,NG-MAX(K680,GWL))</f>
        <v>0.8</v>
      </c>
      <c r="P680" s="27" t="n">
        <f aca="false">E680/2+WS+SLOPE_A*O680+SLOPE_B*N680</f>
        <v>7.57499057109962</v>
      </c>
      <c r="Q680" s="28" t="str">
        <f aca="false">IF(AND(P680&lt;J680,N680&lt;=MAXOC),"Open cut","Shoring")</f>
        <v>Open cut</v>
      </c>
      <c r="R680" s="27" t="n">
        <f aca="false">IF(Q680="Shoring",D680,0)</f>
        <v>0</v>
      </c>
      <c r="S680" s="27" t="n">
        <f aca="false">MAX(0,GWL-L680)</f>
        <v>2.00891685703321</v>
      </c>
      <c r="T680" s="27" t="n">
        <f aca="false">MAX(0,NG-MAX(L680,GWL))</f>
        <v>0.8</v>
      </c>
      <c r="U680" s="27" t="n">
        <f aca="false">E680+2*WS</f>
        <v>4.68999371406641</v>
      </c>
      <c r="V680" s="27" t="n">
        <f aca="false">IF(Q680="Shoring",D680*M680*U680,0)</f>
        <v>0</v>
      </c>
      <c r="W680" s="27" t="n">
        <f aca="false">IF(Q680="Open cut",D680*(U680*M680+SLOPE_B*S680^2+2*SLOPE_B*S680*T680+SLOPE_A*T680^2),0)</f>
        <v>73.8366567277293</v>
      </c>
      <c r="X680" s="27" t="n">
        <f aca="false">IF(M680&gt;0,D680*(E680+2*SLABOVH)*SLAB,0)</f>
        <v>4.75760310580249</v>
      </c>
      <c r="Y680" s="27" t="n">
        <f aca="false">IF(M680&gt;0,D680*PI()*E680^2/4,0)</f>
        <v>14.6549718985487</v>
      </c>
      <c r="Z680" s="27" t="n">
        <f aca="false">IF(H680-E680&gt;=GWL,99,E680*(MAX(0,GWL-H680)*(GAM_S-GAM_W)+MAX(0,NG-MAX(H680,GWL))*GAM_D)/(GAM_W*PI()*E680^2/4))</f>
        <v>0</v>
      </c>
      <c r="AA680" s="27" t="n">
        <f aca="false">IF(I680-E680&gt;=GWL,99,E680*(MAX(0,GWL-I680)*(GAM_S-GAM_W)+MAX(0,NG-MAX(I680,GWL))*GAM_D)/(GAM_W*PI()*E680^2/4))</f>
        <v>0</v>
      </c>
      <c r="AB680" s="27" t="n">
        <f aca="false">IF(H680-E680&gt;=GWL,99,E680*(MAX(0,GWL-H680)*(GAM_S-GAM_W)+MAX(0,FL-MAX(H680,GWL))*GAM_D)/(GAM_W*PI()*E680^2/4))</f>
        <v>1.14018465382685</v>
      </c>
      <c r="AC680" s="27" t="n">
        <f aca="false">IF(I680-E680&gt;=GWL,99,E680*(MAX(0,GWL-I680)*(GAM_S-GAM_W)+MAX(0,FL-MAX(I680,GWL))*GAM_D)/(GAM_W*PI()*E680^2/4))</f>
        <v>1.15074543213827</v>
      </c>
    </row>
    <row r="681" customFormat="false" ht="15" hidden="false" customHeight="false" outlineLevel="0" collapsed="false">
      <c r="A681" s="25" t="s">
        <v>1198</v>
      </c>
      <c r="B681" s="25" t="s">
        <v>1219</v>
      </c>
      <c r="C681" s="25" t="s">
        <v>1226</v>
      </c>
      <c r="D681" s="26" t="n">
        <v>2.38786689678584</v>
      </c>
      <c r="E681" s="26" t="n">
        <v>2.68999371406641</v>
      </c>
      <c r="F681" s="26" t="n">
        <v>-3.51499685703321</v>
      </c>
      <c r="G681" s="26" t="n">
        <v>-3.76103549064675</v>
      </c>
      <c r="H681" s="26" t="n">
        <v>-0.325003142966795</v>
      </c>
      <c r="I681" s="26" t="n">
        <v>-0.571041776580344</v>
      </c>
      <c r="J681" s="26" t="n">
        <v>10.31</v>
      </c>
      <c r="K681" s="27" t="n">
        <f aca="false">MIN(F681,G681)</f>
        <v>-3.76103549064675</v>
      </c>
      <c r="L681" s="27" t="n">
        <f aca="false">AVERAGE(F681,G681)</f>
        <v>-3.63801617383998</v>
      </c>
      <c r="M681" s="27" t="n">
        <f aca="false">MAX(0,NG-L681)</f>
        <v>2.93801617383998</v>
      </c>
      <c r="N681" s="27" t="n">
        <f aca="false">MAX(0,GWL-K681)</f>
        <v>2.26103549064675</v>
      </c>
      <c r="O681" s="27" t="n">
        <f aca="false">MAX(0,NG-MAX(K681,GWL))</f>
        <v>0.8</v>
      </c>
      <c r="P681" s="27" t="n">
        <f aca="false">E681/2+WS+SLOPE_A*O681+SLOPE_B*N681</f>
        <v>8.06706783832671</v>
      </c>
      <c r="Q681" s="28" t="str">
        <f aca="false">IF(AND(P681&lt;J681,N681&lt;=MAXOC),"Open cut","Shoring")</f>
        <v>Open cut</v>
      </c>
      <c r="R681" s="27" t="n">
        <f aca="false">IF(Q681="Shoring",D681,0)</f>
        <v>0</v>
      </c>
      <c r="S681" s="27" t="n">
        <f aca="false">MAX(0,GWL-L681)</f>
        <v>2.13801617383998</v>
      </c>
      <c r="T681" s="27" t="n">
        <f aca="false">MAX(0,NG-MAX(L681,GWL))</f>
        <v>0.8</v>
      </c>
      <c r="U681" s="27" t="n">
        <f aca="false">E681+2*WS</f>
        <v>4.68999371406641</v>
      </c>
      <c r="V681" s="27" t="n">
        <f aca="false">IF(Q681="Shoring",D681*M681*U681,0)</f>
        <v>0</v>
      </c>
      <c r="W681" s="27" t="n">
        <f aca="false">IF(Q681="Open cut",D681*(U681*M681+SLOPE_B*S681^2+2*SLOPE_B*S681*T681+SLOPE_A*T681^2),0)</f>
        <v>73.3628058940087</v>
      </c>
      <c r="X681" s="27" t="n">
        <f aca="false">IF(M681&gt;0,D681*(E681+2*SLABOVH)*SLAB,0)</f>
        <v>4.40560691958351</v>
      </c>
      <c r="Y681" s="27" t="n">
        <f aca="false">IF(M681&gt;0,D681*PI()*E681^2/4,0)</f>
        <v>13.5707086460836</v>
      </c>
      <c r="Z681" s="27" t="n">
        <f aca="false">IF(H681-E681&gt;=GWL,99,E681*(MAX(0,GWL-H681)*(GAM_S-GAM_W)+MAX(0,NG-MAX(H681,GWL))*GAM_D)/(GAM_W*PI()*E681^2/4))</f>
        <v>0</v>
      </c>
      <c r="AA681" s="27" t="n">
        <f aca="false">IF(I681-E681&gt;=GWL,99,E681*(MAX(0,GWL-I681)*(GAM_S-GAM_W)+MAX(0,NG-MAX(I681,GWL))*GAM_D)/(GAM_W*PI()*E681^2/4))</f>
        <v>0</v>
      </c>
      <c r="AB681" s="27" t="n">
        <f aca="false">IF(H681-E681&gt;=GWL,99,E681*(MAX(0,GWL-H681)*(GAM_S-GAM_W)+MAX(0,FL-MAX(H681,GWL))*GAM_D)/(GAM_W*PI()*E681^2/4))</f>
        <v>1.15074543213827</v>
      </c>
      <c r="AC681" s="27" t="n">
        <f aca="false">IF(I681-E681&gt;=GWL,99,E681*(MAX(0,GWL-I681)*(GAM_S-GAM_W)+MAX(0,FL-MAX(I681,GWL))*GAM_D)/(GAM_W*PI()*E681^2/4))</f>
        <v>1.36442630924652</v>
      </c>
    </row>
    <row r="682" customFormat="false" ht="15" hidden="false" customHeight="false" outlineLevel="0" collapsed="false">
      <c r="A682" s="25" t="s">
        <v>1198</v>
      </c>
      <c r="B682" s="25" t="s">
        <v>1227</v>
      </c>
      <c r="C682" s="25" t="s">
        <v>1228</v>
      </c>
      <c r="D682" s="26" t="n">
        <v>3.60000000012564</v>
      </c>
      <c r="E682" s="26" t="n">
        <v>2.68999371406641</v>
      </c>
      <c r="F682" s="26" t="n">
        <v>-3.76103549064675</v>
      </c>
      <c r="G682" s="26" t="n">
        <v>-4.13196867887772</v>
      </c>
      <c r="H682" s="26" t="n">
        <v>-0.571041776580344</v>
      </c>
      <c r="I682" s="26" t="n">
        <v>-0.941974964811311</v>
      </c>
      <c r="J682" s="26" t="n">
        <v>10.32</v>
      </c>
      <c r="K682" s="27" t="n">
        <f aca="false">MIN(F682,G682)</f>
        <v>-4.13196867887772</v>
      </c>
      <c r="L682" s="27" t="n">
        <f aca="false">AVERAGE(F682,G682)</f>
        <v>-3.94650208476224</v>
      </c>
      <c r="M682" s="27" t="n">
        <f aca="false">MAX(0,NG-L682)</f>
        <v>3.24650208476224</v>
      </c>
      <c r="N682" s="27" t="n">
        <f aca="false">MAX(0,GWL-K682)</f>
        <v>2.63196867887772</v>
      </c>
      <c r="O682" s="27" t="n">
        <f aca="false">MAX(0,NG-MAX(K682,GWL))</f>
        <v>0.8</v>
      </c>
      <c r="P682" s="27" t="n">
        <f aca="false">E682/2+WS+SLOPE_A*O682+SLOPE_B*N682</f>
        <v>8.80893421478865</v>
      </c>
      <c r="Q682" s="28" t="str">
        <f aca="false">IF(AND(P682&lt;J682,N682&lt;=MAXOC),"Open cut","Shoring")</f>
        <v>Shoring</v>
      </c>
      <c r="R682" s="27" t="n">
        <f aca="false">IF(Q682="Shoring",D682,0)</f>
        <v>3.60000000012564</v>
      </c>
      <c r="S682" s="27" t="n">
        <f aca="false">MAX(0,GWL-L682)</f>
        <v>2.44650208476224</v>
      </c>
      <c r="T682" s="27" t="n">
        <f aca="false">MAX(0,NG-MAX(L682,GWL))</f>
        <v>0.8</v>
      </c>
      <c r="U682" s="27" t="n">
        <f aca="false">E682+2*WS</f>
        <v>4.68999371406641</v>
      </c>
      <c r="V682" s="27" t="n">
        <f aca="false">IF(Q682="Shoring",D682*M682*U682,0)</f>
        <v>54.8138677347713</v>
      </c>
      <c r="W682" s="27" t="n">
        <f aca="false">IF(Q682="Open cut",D682*(U682*M682+SLOPE_B*S682^2+2*SLOPE_B*S682*T682+SLOPE_A*T682^2),0)</f>
        <v>0</v>
      </c>
      <c r="X682" s="27" t="n">
        <f aca="false">IF(M682&gt;0,D682*(E682+2*SLABOVH)*SLAB,0)</f>
        <v>6.64198868555135</v>
      </c>
      <c r="Y682" s="27" t="n">
        <f aca="false">IF(M682&gt;0,D682*PI()*E682^2/4,0)</f>
        <v>20.459495122348</v>
      </c>
      <c r="Z682" s="27" t="n">
        <f aca="false">IF(H682-E682&gt;=GWL,99,E682*(MAX(0,GWL-H682)*(GAM_S-GAM_W)+MAX(0,NG-MAX(H682,GWL))*GAM_D)/(GAM_W*PI()*E682^2/4))</f>
        <v>0</v>
      </c>
      <c r="AA682" s="27" t="n">
        <f aca="false">IF(I682-E682&gt;=GWL,99,E682*(MAX(0,GWL-I682)*(GAM_S-GAM_W)+MAX(0,NG-MAX(I682,GWL))*GAM_D)/(GAM_W*PI()*E682^2/4))</f>
        <v>0.210151641470795</v>
      </c>
      <c r="AB682" s="27" t="n">
        <f aca="false">IF(H682-E682&gt;=GWL,99,E682*(MAX(0,GWL-H682)*(GAM_S-GAM_W)+MAX(0,FL-MAX(H682,GWL))*GAM_D)/(GAM_W*PI()*E682^2/4))</f>
        <v>1.36442630924652</v>
      </c>
      <c r="AC682" s="27" t="n">
        <f aca="false">IF(I682-E682&gt;=GWL,99,E682*(MAX(0,GWL-I682)*(GAM_S-GAM_W)+MAX(0,FL-MAX(I682,GWL))*GAM_D)/(GAM_W*PI()*E682^2/4))</f>
        <v>1.68657624092858</v>
      </c>
    </row>
    <row r="683" customFormat="false" ht="15" hidden="false" customHeight="false" outlineLevel="0" collapsed="false">
      <c r="A683" s="25" t="s">
        <v>1198</v>
      </c>
      <c r="B683" s="25" t="s">
        <v>1227</v>
      </c>
      <c r="C683" s="25" t="s">
        <v>1229</v>
      </c>
      <c r="D683" s="26" t="n">
        <v>3.29268310344022</v>
      </c>
      <c r="E683" s="26" t="n">
        <v>2.68999371406641</v>
      </c>
      <c r="F683" s="26" t="n">
        <v>-4.13196867887772</v>
      </c>
      <c r="G683" s="26" t="n">
        <v>-4.47123685703321</v>
      </c>
      <c r="H683" s="26" t="n">
        <v>-0.941974964811311</v>
      </c>
      <c r="I683" s="26" t="n">
        <v>-1.2812431429668</v>
      </c>
      <c r="J683" s="26" t="n">
        <v>10.53</v>
      </c>
      <c r="K683" s="27" t="n">
        <f aca="false">MIN(F683,G683)</f>
        <v>-4.47123685703321</v>
      </c>
      <c r="L683" s="27" t="n">
        <f aca="false">AVERAGE(F683,G683)</f>
        <v>-4.30160276795546</v>
      </c>
      <c r="M683" s="27" t="n">
        <f aca="false">MAX(0,NG-L683)</f>
        <v>3.60160276795546</v>
      </c>
      <c r="N683" s="27" t="n">
        <f aca="false">MAX(0,GWL-K683)</f>
        <v>2.9712368570332</v>
      </c>
      <c r="O683" s="27" t="n">
        <f aca="false">MAX(0,NG-MAX(K683,GWL))</f>
        <v>0.8</v>
      </c>
      <c r="P683" s="27" t="n">
        <f aca="false">E683/2+WS+SLOPE_A*O683+SLOPE_B*N683</f>
        <v>9.48747057109961</v>
      </c>
      <c r="Q683" s="28" t="str">
        <f aca="false">IF(AND(P683&lt;J683,N683&lt;=MAXOC),"Open cut","Shoring")</f>
        <v>Shoring</v>
      </c>
      <c r="R683" s="27" t="n">
        <f aca="false">IF(Q683="Shoring",D683,0)</f>
        <v>3.29268310344022</v>
      </c>
      <c r="S683" s="27" t="n">
        <f aca="false">MAX(0,GWL-L683)</f>
        <v>2.80160276795546</v>
      </c>
      <c r="T683" s="27" t="n">
        <f aca="false">MAX(0,NG-MAX(L683,GWL))</f>
        <v>0.8</v>
      </c>
      <c r="U683" s="27" t="n">
        <f aca="false">E683+2*WS</f>
        <v>4.68999371406641</v>
      </c>
      <c r="V683" s="27" t="n">
        <f aca="false">IF(Q683="Shoring",D683*M683*U683,0)</f>
        <v>55.618338012666</v>
      </c>
      <c r="W683" s="27" t="n">
        <f aca="false">IF(Q683="Open cut",D683*(U683*M683+SLOPE_B*S683^2+2*SLOPE_B*S683*T683+SLOPE_A*T683^2),0)</f>
        <v>0</v>
      </c>
      <c r="X683" s="27" t="n">
        <f aca="false">IF(M683&gt;0,D683*(E683+2*SLABOVH)*SLAB,0)</f>
        <v>6.07498997705355</v>
      </c>
      <c r="Y683" s="27" t="n">
        <f aca="false">IF(M683&gt;0,D683*PI()*E683^2/4,0)</f>
        <v>18.7129538588671</v>
      </c>
      <c r="Z683" s="27" t="n">
        <f aca="false">IF(H683-E683&gt;=GWL,99,E683*(MAX(0,GWL-H683)*(GAM_S-GAM_W)+MAX(0,NG-MAX(H683,GWL))*GAM_D)/(GAM_W*PI()*E683^2/4))</f>
        <v>0.210151641470795</v>
      </c>
      <c r="AA683" s="27" t="n">
        <f aca="false">IF(I683-E683&gt;=GWL,99,E683*(MAX(0,GWL-I683)*(GAM_S-GAM_W)+MAX(0,NG-MAX(I683,GWL))*GAM_D)/(GAM_W*PI()*E683^2/4))</f>
        <v>0.504800985024902</v>
      </c>
      <c r="AB683" s="27" t="n">
        <f aca="false">IF(H683-E683&gt;=GWL,99,E683*(MAX(0,GWL-H683)*(GAM_S-GAM_W)+MAX(0,FL-MAX(H683,GWL))*GAM_D)/(GAM_W*PI()*E683^2/4))</f>
        <v>1.68657624092858</v>
      </c>
      <c r="AC683" s="27" t="n">
        <f aca="false">IF(I683-E683&gt;=GWL,99,E683*(MAX(0,GWL-I683)*(GAM_S-GAM_W)+MAX(0,FL-MAX(I683,GWL))*GAM_D)/(GAM_W*PI()*E683^2/4))</f>
        <v>1.98122558448268</v>
      </c>
    </row>
    <row r="684" customFormat="false" ht="15" hidden="false" customHeight="false" outlineLevel="0" collapsed="false">
      <c r="A684" s="25" t="s">
        <v>1198</v>
      </c>
      <c r="B684" s="25" t="s">
        <v>1227</v>
      </c>
      <c r="C684" s="25" t="s">
        <v>1230</v>
      </c>
      <c r="D684" s="26" t="n">
        <v>2.58032818394056</v>
      </c>
      <c r="E684" s="26" t="n">
        <v>2.68999371406641</v>
      </c>
      <c r="F684" s="26" t="n">
        <v>-4.47123685703321</v>
      </c>
      <c r="G684" s="26" t="n">
        <v>-4.73709685703321</v>
      </c>
      <c r="H684" s="26" t="n">
        <v>-1.2812431429668</v>
      </c>
      <c r="I684" s="26" t="n">
        <v>-1.5471031429668</v>
      </c>
      <c r="J684" s="26" t="n">
        <v>11.02</v>
      </c>
      <c r="K684" s="27" t="n">
        <f aca="false">MIN(F684,G684)</f>
        <v>-4.73709685703321</v>
      </c>
      <c r="L684" s="27" t="n">
        <f aca="false">AVERAGE(F684,G684)</f>
        <v>-4.60416685703321</v>
      </c>
      <c r="M684" s="27" t="n">
        <f aca="false">MAX(0,NG-L684)</f>
        <v>3.9041668570332</v>
      </c>
      <c r="N684" s="27" t="n">
        <f aca="false">MAX(0,GWL-K684)</f>
        <v>3.2370968570332</v>
      </c>
      <c r="O684" s="27" t="n">
        <f aca="false">MAX(0,NG-MAX(K684,GWL))</f>
        <v>0.8</v>
      </c>
      <c r="P684" s="27" t="n">
        <f aca="false">E684/2+WS+SLOPE_A*O684+SLOPE_B*N684</f>
        <v>10.0191905710996</v>
      </c>
      <c r="Q684" s="28" t="str">
        <f aca="false">IF(AND(P684&lt;J684,N684&lt;=MAXOC),"Open cut","Shoring")</f>
        <v>Shoring</v>
      </c>
      <c r="R684" s="27" t="n">
        <f aca="false">IF(Q684="Shoring",D684,0)</f>
        <v>2.58032818394056</v>
      </c>
      <c r="S684" s="27" t="n">
        <f aca="false">MAX(0,GWL-L684)</f>
        <v>3.1041668570332</v>
      </c>
      <c r="T684" s="27" t="n">
        <f aca="false">MAX(0,NG-MAX(L684,GWL))</f>
        <v>0.8</v>
      </c>
      <c r="U684" s="27" t="n">
        <f aca="false">E684+2*WS</f>
        <v>4.68999371406641</v>
      </c>
      <c r="V684" s="27" t="n">
        <f aca="false">IF(Q684="Shoring",D684*M684*U684,0)</f>
        <v>47.2471457047894</v>
      </c>
      <c r="W684" s="27" t="n">
        <f aca="false">IF(Q684="Open cut",D684*(U684*M684+SLOPE_B*S684^2+2*SLOPE_B*S684*T684+SLOPE_A*T684^2),0)</f>
        <v>0</v>
      </c>
      <c r="X684" s="27" t="n">
        <f aca="false">IF(M684&gt;0,D684*(E684+2*SLABOVH)*SLAB,0)</f>
        <v>4.76069738948453</v>
      </c>
      <c r="Y684" s="27" t="n">
        <f aca="false">IF(M684&gt;0,D684*PI()*E684^2/4,0)</f>
        <v>14.6645033032073</v>
      </c>
      <c r="Z684" s="27" t="n">
        <f aca="false">IF(H684-E684&gt;=GWL,99,E684*(MAX(0,GWL-H684)*(GAM_S-GAM_W)+MAX(0,NG-MAX(H684,GWL))*GAM_D)/(GAM_W*PI()*E684^2/4))</f>
        <v>0.504800985024902</v>
      </c>
      <c r="AA684" s="27" t="n">
        <f aca="false">IF(I684-E684&gt;=GWL,99,E684*(MAX(0,GWL-I684)*(GAM_S-GAM_W)+MAX(0,NG-MAX(I684,GWL))*GAM_D)/(GAM_W*PI()*E684^2/4))</f>
        <v>0.713401357826909</v>
      </c>
      <c r="AB684" s="27" t="n">
        <f aca="false">IF(H684-E684&gt;=GWL,99,E684*(MAX(0,GWL-H684)*(GAM_S-GAM_W)+MAX(0,FL-MAX(H684,GWL))*GAM_D)/(GAM_W*PI()*E684^2/4))</f>
        <v>1.98122558448268</v>
      </c>
      <c r="AC684" s="27" t="n">
        <f aca="false">IF(I684-E684&gt;=GWL,99,E684*(MAX(0,GWL-I684)*(GAM_S-GAM_W)+MAX(0,FL-MAX(I684,GWL))*GAM_D)/(GAM_W*PI()*E684^2/4))</f>
        <v>2.18982595728469</v>
      </c>
    </row>
    <row r="685" customFormat="false" ht="15" hidden="false" customHeight="false" outlineLevel="0" collapsed="false">
      <c r="A685" s="25" t="s">
        <v>1198</v>
      </c>
      <c r="B685" s="25" t="s">
        <v>1227</v>
      </c>
      <c r="C685" s="25" t="s">
        <v>1231</v>
      </c>
      <c r="D685" s="26" t="n">
        <v>2.60000000003816</v>
      </c>
      <c r="E685" s="26" t="n">
        <v>2.69000114499508</v>
      </c>
      <c r="F685" s="26" t="n">
        <v>-4.73710057249754</v>
      </c>
      <c r="G685" s="26" t="n">
        <v>-5.00500057249754</v>
      </c>
      <c r="H685" s="26" t="n">
        <v>-1.54709942750246</v>
      </c>
      <c r="I685" s="26" t="n">
        <v>-1.81499942750246</v>
      </c>
      <c r="J685" s="26" t="n">
        <v>10.33</v>
      </c>
      <c r="K685" s="27" t="n">
        <f aca="false">MIN(F685,G685)</f>
        <v>-5.00500057249754</v>
      </c>
      <c r="L685" s="27" t="n">
        <f aca="false">AVERAGE(F685,G685)</f>
        <v>-4.87105057249754</v>
      </c>
      <c r="M685" s="27" t="n">
        <f aca="false">MAX(0,NG-L685)</f>
        <v>4.17105057249754</v>
      </c>
      <c r="N685" s="27" t="n">
        <f aca="false">MAX(0,GWL-K685)</f>
        <v>3.50500057249754</v>
      </c>
      <c r="O685" s="27" t="n">
        <f aca="false">MAX(0,NG-MAX(K685,GWL))</f>
        <v>0.8</v>
      </c>
      <c r="P685" s="27" t="n">
        <f aca="false">E685/2+WS+SLOPE_A*O685+SLOPE_B*N685</f>
        <v>10.5550017174926</v>
      </c>
      <c r="Q685" s="28" t="str">
        <f aca="false">IF(AND(P685&lt;J685,N685&lt;=MAXOC),"Open cut","Shoring")</f>
        <v>Shoring</v>
      </c>
      <c r="R685" s="27" t="n">
        <f aca="false">IF(Q685="Shoring",D685,0)</f>
        <v>2.60000000003816</v>
      </c>
      <c r="S685" s="27" t="n">
        <f aca="false">MAX(0,GWL-L685)</f>
        <v>3.37105057249754</v>
      </c>
      <c r="T685" s="27" t="n">
        <f aca="false">MAX(0,NG-MAX(L685,GWL))</f>
        <v>0.8</v>
      </c>
      <c r="U685" s="27" t="n">
        <f aca="false">E685+2*WS</f>
        <v>4.69000114499508</v>
      </c>
      <c r="V685" s="27" t="n">
        <f aca="false">IF(Q685="Shoring",D685*M685*U685,0)</f>
        <v>50.8618030989457</v>
      </c>
      <c r="W685" s="27" t="n">
        <f aca="false">IF(Q685="Open cut",D685*(U685*M685+SLOPE_B*S685^2+2*SLOPE_B*S685*T685+SLOPE_A*T685^2),0)</f>
        <v>0</v>
      </c>
      <c r="X685" s="27" t="n">
        <f aca="false">IF(M685&gt;0,D685*(E685+2*SLABOVH)*SLAB,0)</f>
        <v>4.79700148856401</v>
      </c>
      <c r="Y685" s="27" t="n">
        <f aca="false">IF(M685&gt;0,D685*PI()*E685^2/4,0)</f>
        <v>14.7763836697234</v>
      </c>
      <c r="Z685" s="27" t="n">
        <f aca="false">IF(H685-E685&gt;=GWL,99,E685*(MAX(0,GWL-H685)*(GAM_S-GAM_W)+MAX(0,NG-MAX(H685,GWL))*GAM_D)/(GAM_W*PI()*E685^2/4))</f>
        <v>0.713397918907125</v>
      </c>
      <c r="AA685" s="27" t="n">
        <f aca="false">IF(I685-E685&gt;=GWL,99,E685*(MAX(0,GWL-I685)*(GAM_S-GAM_W)+MAX(0,NG-MAX(I685,GWL))*GAM_D)/(GAM_W*PI()*E685^2/4))</f>
        <v>0.8192611784308</v>
      </c>
      <c r="AB685" s="27" t="n">
        <f aca="false">IF(H685-E685&gt;=GWL,99,E685*(MAX(0,GWL-H685)*(GAM_S-GAM_W)+MAX(0,FL-MAX(H685,GWL))*GAM_D)/(GAM_W*PI()*E685^2/4))</f>
        <v>2.18981843985144</v>
      </c>
      <c r="AC685" s="27" t="n">
        <f aca="false">IF(I685-E685&gt;=GWL,99,E685*(MAX(0,GWL-I685)*(GAM_S-GAM_W)+MAX(0,FL-MAX(I685,GWL))*GAM_D)/(GAM_W*PI()*E685^2/4))</f>
        <v>2.29568169937512</v>
      </c>
    </row>
    <row r="686" customFormat="false" ht="15" hidden="false" customHeight="false" outlineLevel="0" collapsed="false">
      <c r="A686" s="25" t="s">
        <v>1198</v>
      </c>
      <c r="B686" s="25" t="s">
        <v>1227</v>
      </c>
      <c r="C686" s="25" t="s">
        <v>1232</v>
      </c>
      <c r="D686" s="26" t="n">
        <v>1.52698871262338</v>
      </c>
      <c r="E686" s="26" t="n">
        <v>2.69000114499508</v>
      </c>
      <c r="F686" s="26" t="n">
        <v>-5.00500057249754</v>
      </c>
      <c r="G686" s="26" t="n">
        <v>-5.00500057249754</v>
      </c>
      <c r="H686" s="26" t="n">
        <v>-1.81499942750246</v>
      </c>
      <c r="I686" s="26" t="n">
        <v>-1.81499942750246</v>
      </c>
      <c r="J686" s="26" t="n">
        <v>9.66</v>
      </c>
      <c r="K686" s="27" t="n">
        <f aca="false">MIN(F686,G686)</f>
        <v>-5.00500057249754</v>
      </c>
      <c r="L686" s="27" t="n">
        <f aca="false">AVERAGE(F686,G686)</f>
        <v>-5.00500057249754</v>
      </c>
      <c r="M686" s="27" t="n">
        <f aca="false">MAX(0,NG-L686)</f>
        <v>4.30500057249754</v>
      </c>
      <c r="N686" s="27" t="n">
        <f aca="false">MAX(0,GWL-K686)</f>
        <v>3.50500057249754</v>
      </c>
      <c r="O686" s="27" t="n">
        <f aca="false">MAX(0,NG-MAX(K686,GWL))</f>
        <v>0.8</v>
      </c>
      <c r="P686" s="27" t="n">
        <f aca="false">E686/2+WS+SLOPE_A*O686+SLOPE_B*N686</f>
        <v>10.5550017174926</v>
      </c>
      <c r="Q686" s="28" t="str">
        <f aca="false">IF(AND(P686&lt;J686,N686&lt;=MAXOC),"Open cut","Shoring")</f>
        <v>Shoring</v>
      </c>
      <c r="R686" s="27" t="n">
        <f aca="false">IF(Q686="Shoring",D686,0)</f>
        <v>1.52698871262338</v>
      </c>
      <c r="S686" s="27" t="n">
        <f aca="false">MAX(0,GWL-L686)</f>
        <v>3.50500057249754</v>
      </c>
      <c r="T686" s="27" t="n">
        <f aca="false">MAX(0,NG-MAX(L686,GWL))</f>
        <v>0.8</v>
      </c>
      <c r="U686" s="27" t="n">
        <f aca="false">E686+2*WS</f>
        <v>4.69000114499508</v>
      </c>
      <c r="V686" s="27" t="n">
        <f aca="false">IF(Q686="Shoring",D686*M686*U686,0)</f>
        <v>30.8306008796116</v>
      </c>
      <c r="W686" s="27" t="n">
        <f aca="false">IF(Q686="Open cut",D686*(U686*M686+SLOPE_B*S686^2+2*SLOPE_B*S686*T686+SLOPE_A*T686^2),0)</f>
        <v>0</v>
      </c>
      <c r="X686" s="27" t="n">
        <f aca="false">IF(M686&gt;0,D686*(E686+2*SLABOVH)*SLAB,0)</f>
        <v>2.81729504898742</v>
      </c>
      <c r="Y686" s="27" t="n">
        <f aca="false">IF(M686&gt;0,D686*PI()*E686^2/4,0)</f>
        <v>8.67821964489576</v>
      </c>
      <c r="Z686" s="27" t="n">
        <f aca="false">IF(H686-E686&gt;=GWL,99,E686*(MAX(0,GWL-H686)*(GAM_S-GAM_W)+MAX(0,NG-MAX(H686,GWL))*GAM_D)/(GAM_W*PI()*E686^2/4))</f>
        <v>0.8192611784308</v>
      </c>
      <c r="AA686" s="27" t="n">
        <f aca="false">IF(I686-E686&gt;=GWL,99,E686*(MAX(0,GWL-I686)*(GAM_S-GAM_W)+MAX(0,NG-MAX(I686,GWL))*GAM_D)/(GAM_W*PI()*E686^2/4))</f>
        <v>0.8192611784308</v>
      </c>
      <c r="AB686" s="27" t="n">
        <f aca="false">IF(H686-E686&gt;=GWL,99,E686*(MAX(0,GWL-H686)*(GAM_S-GAM_W)+MAX(0,FL-MAX(H686,GWL))*GAM_D)/(GAM_W*PI()*E686^2/4))</f>
        <v>2.29568169937512</v>
      </c>
      <c r="AC686" s="27" t="n">
        <f aca="false">IF(I686-E686&gt;=GWL,99,E686*(MAX(0,GWL-I686)*(GAM_S-GAM_W)+MAX(0,FL-MAX(I686,GWL))*GAM_D)/(GAM_W*PI()*E686^2/4))</f>
        <v>2.29568169937512</v>
      </c>
    </row>
    <row r="687" customFormat="false" ht="15" hidden="false" customHeight="false" outlineLevel="0" collapsed="false">
      <c r="A687" s="25" t="s">
        <v>1198</v>
      </c>
      <c r="B687" s="25" t="s">
        <v>1227</v>
      </c>
      <c r="C687" s="25" t="s">
        <v>1233</v>
      </c>
      <c r="D687" s="26" t="n">
        <v>10.0000000001539</v>
      </c>
      <c r="E687" s="26" t="n">
        <v>2.69000114499508</v>
      </c>
      <c r="F687" s="26" t="n">
        <v>-5.00500057249754</v>
      </c>
      <c r="G687" s="26" t="n">
        <v>-5.00500057249754</v>
      </c>
      <c r="H687" s="26" t="n">
        <v>-1.81499942750246</v>
      </c>
      <c r="I687" s="26" t="n">
        <v>-1.81499942750246</v>
      </c>
      <c r="J687" s="26" t="n">
        <v>6.44</v>
      </c>
      <c r="K687" s="27" t="n">
        <f aca="false">MIN(F687,G687)</f>
        <v>-5.00500057249754</v>
      </c>
      <c r="L687" s="27" t="n">
        <f aca="false">AVERAGE(F687,G687)</f>
        <v>-5.00500057249754</v>
      </c>
      <c r="M687" s="27" t="n">
        <f aca="false">MAX(0,NG-L687)</f>
        <v>4.30500057249754</v>
      </c>
      <c r="N687" s="27" t="n">
        <f aca="false">MAX(0,GWL-K687)</f>
        <v>3.50500057249754</v>
      </c>
      <c r="O687" s="27" t="n">
        <f aca="false">MAX(0,NG-MAX(K687,GWL))</f>
        <v>0.8</v>
      </c>
      <c r="P687" s="27" t="n">
        <f aca="false">E687/2+WS+SLOPE_A*O687+SLOPE_B*N687</f>
        <v>10.5550017174926</v>
      </c>
      <c r="Q687" s="28" t="str">
        <f aca="false">IF(AND(P687&lt;J687,N687&lt;=MAXOC),"Open cut","Shoring")</f>
        <v>Shoring</v>
      </c>
      <c r="R687" s="27" t="n">
        <f aca="false">IF(Q687="Shoring",D687,0)</f>
        <v>10.0000000001539</v>
      </c>
      <c r="S687" s="27" t="n">
        <f aca="false">MAX(0,GWL-L687)</f>
        <v>3.50500057249754</v>
      </c>
      <c r="T687" s="27" t="n">
        <f aca="false">MAX(0,NG-MAX(L687,GWL))</f>
        <v>0.8</v>
      </c>
      <c r="U687" s="27" t="n">
        <f aca="false">E687+2*WS</f>
        <v>4.69000114499508</v>
      </c>
      <c r="V687" s="27" t="n">
        <f aca="false">IF(Q687="Shoring",D687*M687*U687,0)</f>
        <v>201.904576145287</v>
      </c>
      <c r="W687" s="27" t="n">
        <f aca="false">IF(Q687="Open cut",D687*(U687*M687+SLOPE_B*S687^2+2*SLOPE_B*S687*T687+SLOPE_A*T687^2),0)</f>
        <v>0</v>
      </c>
      <c r="X687" s="27" t="n">
        <f aca="false">IF(M687&gt;0,D687*(E687+2*SLABOVH)*SLAB,0)</f>
        <v>18.4500057252593</v>
      </c>
      <c r="Y687" s="27" t="n">
        <f aca="false">IF(M687&gt;0,D687*PI()*E687^2/4,0)</f>
        <v>56.8322448835921</v>
      </c>
      <c r="Z687" s="27" t="n">
        <f aca="false">IF(H687-E687&gt;=GWL,99,E687*(MAX(0,GWL-H687)*(GAM_S-GAM_W)+MAX(0,NG-MAX(H687,GWL))*GAM_D)/(GAM_W*PI()*E687^2/4))</f>
        <v>0.8192611784308</v>
      </c>
      <c r="AA687" s="27" t="n">
        <f aca="false">IF(I687-E687&gt;=GWL,99,E687*(MAX(0,GWL-I687)*(GAM_S-GAM_W)+MAX(0,NG-MAX(I687,GWL))*GAM_D)/(GAM_W*PI()*E687^2/4))</f>
        <v>0.8192611784308</v>
      </c>
      <c r="AB687" s="27" t="n">
        <f aca="false">IF(H687-E687&gt;=GWL,99,E687*(MAX(0,GWL-H687)*(GAM_S-GAM_W)+MAX(0,FL-MAX(H687,GWL))*GAM_D)/(GAM_W*PI()*E687^2/4))</f>
        <v>2.29568169937512</v>
      </c>
      <c r="AC687" s="27" t="n">
        <f aca="false">IF(I687-E687&gt;=GWL,99,E687*(MAX(0,GWL-I687)*(GAM_S-GAM_W)+MAX(0,FL-MAX(I687,GWL))*GAM_D)/(GAM_W*PI()*E687^2/4))</f>
        <v>2.29568169937512</v>
      </c>
    </row>
    <row r="688" customFormat="false" ht="15" hidden="false" customHeight="false" outlineLevel="0" collapsed="false">
      <c r="A688" s="25" t="s">
        <v>1198</v>
      </c>
      <c r="B688" s="25" t="s">
        <v>1227</v>
      </c>
      <c r="C688" s="25" t="s">
        <v>1234</v>
      </c>
      <c r="D688" s="26" t="n">
        <v>9.99999999975162</v>
      </c>
      <c r="E688" s="26" t="n">
        <v>2.69000114499508</v>
      </c>
      <c r="F688" s="26" t="n">
        <v>-5.00500057249754</v>
      </c>
      <c r="G688" s="26" t="n">
        <v>-5.00500057249754</v>
      </c>
      <c r="H688" s="26" t="n">
        <v>-1.81499942750246</v>
      </c>
      <c r="I688" s="26" t="n">
        <v>-1.81499942750246</v>
      </c>
      <c r="J688" s="26" t="n">
        <v>5.75</v>
      </c>
      <c r="K688" s="27" t="n">
        <f aca="false">MIN(F688,G688)</f>
        <v>-5.00500057249754</v>
      </c>
      <c r="L688" s="27" t="n">
        <f aca="false">AVERAGE(F688,G688)</f>
        <v>-5.00500057249754</v>
      </c>
      <c r="M688" s="27" t="n">
        <f aca="false">MAX(0,NG-L688)</f>
        <v>4.30500057249754</v>
      </c>
      <c r="N688" s="27" t="n">
        <f aca="false">MAX(0,GWL-K688)</f>
        <v>3.50500057249754</v>
      </c>
      <c r="O688" s="27" t="n">
        <f aca="false">MAX(0,NG-MAX(K688,GWL))</f>
        <v>0.8</v>
      </c>
      <c r="P688" s="27" t="n">
        <f aca="false">E688/2+WS+SLOPE_A*O688+SLOPE_B*N688</f>
        <v>10.5550017174926</v>
      </c>
      <c r="Q688" s="28" t="str">
        <f aca="false">IF(AND(P688&lt;J688,N688&lt;=MAXOC),"Open cut","Shoring")</f>
        <v>Shoring</v>
      </c>
      <c r="R688" s="27" t="n">
        <f aca="false">IF(Q688="Shoring",D688,0)</f>
        <v>9.99999999975162</v>
      </c>
      <c r="S688" s="27" t="n">
        <f aca="false">MAX(0,GWL-L688)</f>
        <v>3.50500057249754</v>
      </c>
      <c r="T688" s="27" t="n">
        <f aca="false">MAX(0,NG-MAX(L688,GWL))</f>
        <v>0.8</v>
      </c>
      <c r="U688" s="27" t="n">
        <f aca="false">E688+2*WS</f>
        <v>4.69000114499508</v>
      </c>
      <c r="V688" s="27" t="n">
        <f aca="false">IF(Q688="Shoring",D688*M688*U688,0)</f>
        <v>201.904576137165</v>
      </c>
      <c r="W688" s="27" t="n">
        <f aca="false">IF(Q688="Open cut",D688*(U688*M688+SLOPE_B*S688^2+2*SLOPE_B*S688*T688+SLOPE_A*T688^2),0)</f>
        <v>0</v>
      </c>
      <c r="X688" s="27" t="n">
        <f aca="false">IF(M688&gt;0,D688*(E688+2*SLABOVH)*SLAB,0)</f>
        <v>18.4500057245172</v>
      </c>
      <c r="Y688" s="27" t="n">
        <f aca="false">IF(M688&gt;0,D688*PI()*E688^2/4,0)</f>
        <v>56.832244881306</v>
      </c>
      <c r="Z688" s="27" t="n">
        <f aca="false">IF(H688-E688&gt;=GWL,99,E688*(MAX(0,GWL-H688)*(GAM_S-GAM_W)+MAX(0,NG-MAX(H688,GWL))*GAM_D)/(GAM_W*PI()*E688^2/4))</f>
        <v>0.8192611784308</v>
      </c>
      <c r="AA688" s="27" t="n">
        <f aca="false">IF(I688-E688&gt;=GWL,99,E688*(MAX(0,GWL-I688)*(GAM_S-GAM_W)+MAX(0,NG-MAX(I688,GWL))*GAM_D)/(GAM_W*PI()*E688^2/4))</f>
        <v>0.8192611784308</v>
      </c>
      <c r="AB688" s="27" t="n">
        <f aca="false">IF(H688-E688&gt;=GWL,99,E688*(MAX(0,GWL-H688)*(GAM_S-GAM_W)+MAX(0,FL-MAX(H688,GWL))*GAM_D)/(GAM_W*PI()*E688^2/4))</f>
        <v>2.29568169937512</v>
      </c>
      <c r="AC688" s="27" t="n">
        <f aca="false">IF(I688-E688&gt;=GWL,99,E688*(MAX(0,GWL-I688)*(GAM_S-GAM_W)+MAX(0,FL-MAX(I688,GWL))*GAM_D)/(GAM_W*PI()*E688^2/4))</f>
        <v>2.29568169937512</v>
      </c>
    </row>
    <row r="689" customFormat="false" ht="15" hidden="false" customHeight="false" outlineLevel="0" collapsed="false">
      <c r="A689" s="25" t="s">
        <v>1198</v>
      </c>
      <c r="B689" s="25" t="s">
        <v>1227</v>
      </c>
      <c r="C689" s="25" t="s">
        <v>1235</v>
      </c>
      <c r="D689" s="26" t="n">
        <v>10.0000000004975</v>
      </c>
      <c r="E689" s="26" t="n">
        <v>2.69000114499508</v>
      </c>
      <c r="F689" s="26" t="n">
        <v>-5.00500057249754</v>
      </c>
      <c r="G689" s="26" t="n">
        <v>-5.00500057249754</v>
      </c>
      <c r="H689" s="26" t="n">
        <v>-1.81499942750246</v>
      </c>
      <c r="I689" s="26" t="n">
        <v>-1.81499942750246</v>
      </c>
      <c r="J689" s="26" t="n">
        <v>5.89</v>
      </c>
      <c r="K689" s="27" t="n">
        <f aca="false">MIN(F689,G689)</f>
        <v>-5.00500057249754</v>
      </c>
      <c r="L689" s="27" t="n">
        <f aca="false">AVERAGE(F689,G689)</f>
        <v>-5.00500057249754</v>
      </c>
      <c r="M689" s="27" t="n">
        <f aca="false">MAX(0,NG-L689)</f>
        <v>4.30500057249754</v>
      </c>
      <c r="N689" s="27" t="n">
        <f aca="false">MAX(0,GWL-K689)</f>
        <v>3.50500057249754</v>
      </c>
      <c r="O689" s="27" t="n">
        <f aca="false">MAX(0,NG-MAX(K689,GWL))</f>
        <v>0.8</v>
      </c>
      <c r="P689" s="27" t="n">
        <f aca="false">E689/2+WS+SLOPE_A*O689+SLOPE_B*N689</f>
        <v>10.5550017174926</v>
      </c>
      <c r="Q689" s="28" t="str">
        <f aca="false">IF(AND(P689&lt;J689,N689&lt;=MAXOC),"Open cut","Shoring")</f>
        <v>Shoring</v>
      </c>
      <c r="R689" s="27" t="n">
        <f aca="false">IF(Q689="Shoring",D689,0)</f>
        <v>10.0000000004975</v>
      </c>
      <c r="S689" s="27" t="n">
        <f aca="false">MAX(0,GWL-L689)</f>
        <v>3.50500057249754</v>
      </c>
      <c r="T689" s="27" t="n">
        <f aca="false">MAX(0,NG-MAX(L689,GWL))</f>
        <v>0.8</v>
      </c>
      <c r="U689" s="27" t="n">
        <f aca="false">E689+2*WS</f>
        <v>4.69000114499508</v>
      </c>
      <c r="V689" s="27" t="n">
        <f aca="false">IF(Q689="Shoring",D689*M689*U689,0)</f>
        <v>201.904576152224</v>
      </c>
      <c r="W689" s="27" t="n">
        <f aca="false">IF(Q689="Open cut",D689*(U689*M689+SLOPE_B*S689^2+2*SLOPE_B*S689*T689+SLOPE_A*T689^2),0)</f>
        <v>0</v>
      </c>
      <c r="X689" s="27" t="n">
        <f aca="false">IF(M689&gt;0,D689*(E689+2*SLABOVH)*SLAB,0)</f>
        <v>18.4500057258933</v>
      </c>
      <c r="Y689" s="27" t="n">
        <f aca="false">IF(M689&gt;0,D689*PI()*E689^2/4,0)</f>
        <v>56.8322448855448</v>
      </c>
      <c r="Z689" s="27" t="n">
        <f aca="false">IF(H689-E689&gt;=GWL,99,E689*(MAX(0,GWL-H689)*(GAM_S-GAM_W)+MAX(0,NG-MAX(H689,GWL))*GAM_D)/(GAM_W*PI()*E689^2/4))</f>
        <v>0.8192611784308</v>
      </c>
      <c r="AA689" s="27" t="n">
        <f aca="false">IF(I689-E689&gt;=GWL,99,E689*(MAX(0,GWL-I689)*(GAM_S-GAM_W)+MAX(0,NG-MAX(I689,GWL))*GAM_D)/(GAM_W*PI()*E689^2/4))</f>
        <v>0.8192611784308</v>
      </c>
      <c r="AB689" s="27" t="n">
        <f aca="false">IF(H689-E689&gt;=GWL,99,E689*(MAX(0,GWL-H689)*(GAM_S-GAM_W)+MAX(0,FL-MAX(H689,GWL))*GAM_D)/(GAM_W*PI()*E689^2/4))</f>
        <v>2.29568169937512</v>
      </c>
      <c r="AC689" s="27" t="n">
        <f aca="false">IF(I689-E689&gt;=GWL,99,E689*(MAX(0,GWL-I689)*(GAM_S-GAM_W)+MAX(0,FL-MAX(I689,GWL))*GAM_D)/(GAM_W*PI()*E689^2/4))</f>
        <v>2.29568169937512</v>
      </c>
    </row>
    <row r="690" customFormat="false" ht="15" hidden="false" customHeight="false" outlineLevel="0" collapsed="false">
      <c r="A690" s="25" t="s">
        <v>1198</v>
      </c>
      <c r="B690" s="25" t="s">
        <v>1227</v>
      </c>
      <c r="C690" s="25" t="s">
        <v>1236</v>
      </c>
      <c r="D690" s="26" t="n">
        <v>9.59900000005791</v>
      </c>
      <c r="E690" s="26" t="n">
        <v>2.69000114499508</v>
      </c>
      <c r="F690" s="26" t="n">
        <v>-5.00500057249754</v>
      </c>
      <c r="G690" s="26" t="n">
        <v>-5.00500057249754</v>
      </c>
      <c r="H690" s="26" t="n">
        <v>-1.81499942750246</v>
      </c>
      <c r="I690" s="26" t="n">
        <v>-1.81499942750246</v>
      </c>
      <c r="J690" s="26" t="n">
        <v>8.13</v>
      </c>
      <c r="K690" s="27" t="n">
        <f aca="false">MIN(F690,G690)</f>
        <v>-5.00500057249754</v>
      </c>
      <c r="L690" s="27" t="n">
        <f aca="false">AVERAGE(F690,G690)</f>
        <v>-5.00500057249754</v>
      </c>
      <c r="M690" s="27" t="n">
        <f aca="false">MAX(0,NG-L690)</f>
        <v>4.30500057249754</v>
      </c>
      <c r="N690" s="27" t="n">
        <f aca="false">MAX(0,GWL-K690)</f>
        <v>3.50500057249754</v>
      </c>
      <c r="O690" s="27" t="n">
        <f aca="false">MAX(0,NG-MAX(K690,GWL))</f>
        <v>0.8</v>
      </c>
      <c r="P690" s="27" t="n">
        <f aca="false">E690/2+WS+SLOPE_A*O690+SLOPE_B*N690</f>
        <v>10.5550017174926</v>
      </c>
      <c r="Q690" s="28" t="str">
        <f aca="false">IF(AND(P690&lt;J690,N690&lt;=MAXOC),"Open cut","Shoring")</f>
        <v>Shoring</v>
      </c>
      <c r="R690" s="27" t="n">
        <f aca="false">IF(Q690="Shoring",D690,0)</f>
        <v>9.59900000005791</v>
      </c>
      <c r="S690" s="27" t="n">
        <f aca="false">MAX(0,GWL-L690)</f>
        <v>3.50500057249754</v>
      </c>
      <c r="T690" s="27" t="n">
        <f aca="false">MAX(0,NG-MAX(L690,GWL))</f>
        <v>0.8</v>
      </c>
      <c r="U690" s="27" t="n">
        <f aca="false">E690+2*WS</f>
        <v>4.69000114499508</v>
      </c>
      <c r="V690" s="27" t="n">
        <f aca="false">IF(Q690="Shoring",D690*M690*U690,0)</f>
        <v>193.808202640047</v>
      </c>
      <c r="W690" s="27" t="n">
        <f aca="false">IF(Q690="Open cut",D690*(U690*M690+SLOPE_B*S690^2+2*SLOPE_B*S690*T690+SLOPE_A*T690^2),0)</f>
        <v>0</v>
      </c>
      <c r="X690" s="27" t="n">
        <f aca="false">IF(M690&gt;0,D690*(E690+2*SLABOVH)*SLAB,0)</f>
        <v>17.7101604955107</v>
      </c>
      <c r="Y690" s="27" t="n">
        <f aca="false">IF(M690&gt;0,D690*PI()*E690^2/4,0)</f>
        <v>54.5532718632497</v>
      </c>
      <c r="Z690" s="27" t="n">
        <f aca="false">IF(H690-E690&gt;=GWL,99,E690*(MAX(0,GWL-H690)*(GAM_S-GAM_W)+MAX(0,NG-MAX(H690,GWL))*GAM_D)/(GAM_W*PI()*E690^2/4))</f>
        <v>0.8192611784308</v>
      </c>
      <c r="AA690" s="27" t="n">
        <f aca="false">IF(I690-E690&gt;=GWL,99,E690*(MAX(0,GWL-I690)*(GAM_S-GAM_W)+MAX(0,NG-MAX(I690,GWL))*GAM_D)/(GAM_W*PI()*E690^2/4))</f>
        <v>0.8192611784308</v>
      </c>
      <c r="AB690" s="27" t="n">
        <f aca="false">IF(H690-E690&gt;=GWL,99,E690*(MAX(0,GWL-H690)*(GAM_S-GAM_W)+MAX(0,FL-MAX(H690,GWL))*GAM_D)/(GAM_W*PI()*E690^2/4))</f>
        <v>2.29568169937512</v>
      </c>
      <c r="AC690" s="27" t="n">
        <f aca="false">IF(I690-E690&gt;=GWL,99,E690*(MAX(0,GWL-I690)*(GAM_S-GAM_W)+MAX(0,FL-MAX(I690,GWL))*GAM_D)/(GAM_W*PI()*E690^2/4))</f>
        <v>2.29568169937512</v>
      </c>
    </row>
    <row r="691" customFormat="false" ht="15" hidden="false" customHeight="false" outlineLevel="0" collapsed="false">
      <c r="A691" s="25" t="s">
        <v>1198</v>
      </c>
      <c r="B691" s="25" t="s">
        <v>1237</v>
      </c>
      <c r="C691" s="25" t="s">
        <v>1238</v>
      </c>
      <c r="D691" s="26" t="n">
        <v>0.400999999693714</v>
      </c>
      <c r="E691" s="26" t="n">
        <v>2.69000114499508</v>
      </c>
      <c r="F691" s="26" t="n">
        <v>-5.00500057249754</v>
      </c>
      <c r="G691" s="26" t="n">
        <v>-5.00500057249754</v>
      </c>
      <c r="H691" s="26" t="n">
        <v>-1.81499942750246</v>
      </c>
      <c r="I691" s="26" t="n">
        <v>-1.81499942750246</v>
      </c>
      <c r="J691" s="26" t="n">
        <v>12.49</v>
      </c>
      <c r="K691" s="27" t="n">
        <f aca="false">MIN(F691,G691)</f>
        <v>-5.00500057249754</v>
      </c>
      <c r="L691" s="27" t="n">
        <f aca="false">AVERAGE(F691,G691)</f>
        <v>-5.00500057249754</v>
      </c>
      <c r="M691" s="27" t="n">
        <f aca="false">MAX(0,NG-L691)</f>
        <v>4.30500057249754</v>
      </c>
      <c r="N691" s="27" t="n">
        <f aca="false">MAX(0,GWL-K691)</f>
        <v>3.50500057249754</v>
      </c>
      <c r="O691" s="27" t="n">
        <f aca="false">MAX(0,NG-MAX(K691,GWL))</f>
        <v>0.8</v>
      </c>
      <c r="P691" s="27" t="n">
        <f aca="false">E691/2+WS+SLOPE_A*O691+SLOPE_B*N691</f>
        <v>10.5550017174926</v>
      </c>
      <c r="Q691" s="28" t="str">
        <f aca="false">IF(AND(P691&lt;J691,N691&lt;=MAXOC),"Open cut","Shoring")</f>
        <v>Shoring</v>
      </c>
      <c r="R691" s="27" t="n">
        <f aca="false">IF(Q691="Shoring",D691,0)</f>
        <v>0.400999999693714</v>
      </c>
      <c r="S691" s="27" t="n">
        <f aca="false">MAX(0,GWL-L691)</f>
        <v>3.50500057249754</v>
      </c>
      <c r="T691" s="27" t="n">
        <f aca="false">MAX(0,NG-MAX(L691,GWL))</f>
        <v>0.8</v>
      </c>
      <c r="U691" s="27" t="n">
        <f aca="false">E691+2*WS</f>
        <v>4.69000114499508</v>
      </c>
      <c r="V691" s="27" t="n">
        <f aca="false">IF(Q691="Shoring",D691*M691*U691,0)</f>
        <v>8.09637349711735</v>
      </c>
      <c r="W691" s="27" t="n">
        <f aca="false">IF(Q691="Open cut",D691*(U691*M691+SLOPE_B*S691^2+2*SLOPE_B*S691*T691+SLOPE_A*T691^2),0)</f>
        <v>0</v>
      </c>
      <c r="X691" s="27" t="n">
        <f aca="false">IF(M691&gt;0,D691*(E691+2*SLABOVH)*SLAB,0)</f>
        <v>0.739845229006417</v>
      </c>
      <c r="Y691" s="27" t="n">
        <f aca="false">IF(M691&gt;0,D691*PI()*E691^2/4,0)</f>
        <v>2.27897301805628</v>
      </c>
      <c r="Z691" s="27" t="n">
        <f aca="false">IF(H691-E691&gt;=GWL,99,E691*(MAX(0,GWL-H691)*(GAM_S-GAM_W)+MAX(0,NG-MAX(H691,GWL))*GAM_D)/(GAM_W*PI()*E691^2/4))</f>
        <v>0.8192611784308</v>
      </c>
      <c r="AA691" s="27" t="n">
        <f aca="false">IF(I691-E691&gt;=GWL,99,E691*(MAX(0,GWL-I691)*(GAM_S-GAM_W)+MAX(0,NG-MAX(I691,GWL))*GAM_D)/(GAM_W*PI()*E691^2/4))</f>
        <v>0.8192611784308</v>
      </c>
      <c r="AB691" s="27" t="n">
        <f aca="false">IF(H691-E691&gt;=GWL,99,E691*(MAX(0,GWL-H691)*(GAM_S-GAM_W)+MAX(0,FL-MAX(H691,GWL))*GAM_D)/(GAM_W*PI()*E691^2/4))</f>
        <v>2.29568169937512</v>
      </c>
      <c r="AC691" s="27" t="n">
        <f aca="false">IF(I691-E691&gt;=GWL,99,E691*(MAX(0,GWL-I691)*(GAM_S-GAM_W)+MAX(0,FL-MAX(I691,GWL))*GAM_D)/(GAM_W*PI()*E691^2/4))</f>
        <v>2.29568169937512</v>
      </c>
    </row>
    <row r="692" customFormat="false" ht="15" hidden="false" customHeight="false" outlineLevel="0" collapsed="false">
      <c r="A692" s="25" t="s">
        <v>1198</v>
      </c>
      <c r="B692" s="25" t="s">
        <v>1237</v>
      </c>
      <c r="C692" s="25" t="s">
        <v>1239</v>
      </c>
      <c r="D692" s="26" t="n">
        <v>5.59873128776901</v>
      </c>
      <c r="E692" s="26" t="n">
        <v>2.69000114499508</v>
      </c>
      <c r="F692" s="26" t="n">
        <v>-5.00500057249754</v>
      </c>
      <c r="G692" s="26" t="n">
        <v>-5.00500057249754</v>
      </c>
      <c r="H692" s="26" t="n">
        <v>-1.81499942750246</v>
      </c>
      <c r="I692" s="26" t="n">
        <v>-1.81499942750246</v>
      </c>
      <c r="J692" s="26" t="n">
        <v>12.71</v>
      </c>
      <c r="K692" s="27" t="n">
        <f aca="false">MIN(F692,G692)</f>
        <v>-5.00500057249754</v>
      </c>
      <c r="L692" s="27" t="n">
        <f aca="false">AVERAGE(F692,G692)</f>
        <v>-5.00500057249754</v>
      </c>
      <c r="M692" s="27" t="n">
        <f aca="false">MAX(0,NG-L692)</f>
        <v>4.30500057249754</v>
      </c>
      <c r="N692" s="27" t="n">
        <f aca="false">MAX(0,GWL-K692)</f>
        <v>3.50500057249754</v>
      </c>
      <c r="O692" s="27" t="n">
        <f aca="false">MAX(0,NG-MAX(K692,GWL))</f>
        <v>0.8</v>
      </c>
      <c r="P692" s="27" t="n">
        <f aca="false">E692/2+WS+SLOPE_A*O692+SLOPE_B*N692</f>
        <v>10.5550017174926</v>
      </c>
      <c r="Q692" s="28" t="str">
        <f aca="false">IF(AND(P692&lt;J692,N692&lt;=MAXOC),"Open cut","Shoring")</f>
        <v>Shoring</v>
      </c>
      <c r="R692" s="27" t="n">
        <f aca="false">IF(Q692="Shoring",D692,0)</f>
        <v>5.59873128776901</v>
      </c>
      <c r="S692" s="27" t="n">
        <f aca="false">MAX(0,GWL-L692)</f>
        <v>3.50500057249754</v>
      </c>
      <c r="T692" s="27" t="n">
        <f aca="false">MAX(0,NG-MAX(L692,GWL))</f>
        <v>0.8</v>
      </c>
      <c r="U692" s="27" t="n">
        <f aca="false">E692+2*WS</f>
        <v>4.69000114499508</v>
      </c>
      <c r="V692" s="27" t="n">
        <f aca="false">IF(Q692="Shoring",D692*M692*U692,0)</f>
        <v>113.040946759096</v>
      </c>
      <c r="W692" s="27" t="n">
        <f aca="false">IF(Q692="Open cut",D692*(U692*M692+SLOPE_B*S692^2+2*SLOPE_B*S692*T692+SLOPE_A*T692^2),0)</f>
        <v>0</v>
      </c>
      <c r="X692" s="27" t="n">
        <f aca="false">IF(M692&gt;0,D692*(E692+2*SLABOVH)*SLAB,0)</f>
        <v>10.3296624311937</v>
      </c>
      <c r="Y692" s="27" t="n">
        <f aca="false">IF(M692&gt;0,D692*PI()*E692^2/4,0)</f>
        <v>31.8188467579021</v>
      </c>
      <c r="Z692" s="27" t="n">
        <f aca="false">IF(H692-E692&gt;=GWL,99,E692*(MAX(0,GWL-H692)*(GAM_S-GAM_W)+MAX(0,NG-MAX(H692,GWL))*GAM_D)/(GAM_W*PI()*E692^2/4))</f>
        <v>0.8192611784308</v>
      </c>
      <c r="AA692" s="27" t="n">
        <f aca="false">IF(I692-E692&gt;=GWL,99,E692*(MAX(0,GWL-I692)*(GAM_S-GAM_W)+MAX(0,NG-MAX(I692,GWL))*GAM_D)/(GAM_W*PI()*E692^2/4))</f>
        <v>0.8192611784308</v>
      </c>
      <c r="AB692" s="27" t="n">
        <f aca="false">IF(H692-E692&gt;=GWL,99,E692*(MAX(0,GWL-H692)*(GAM_S-GAM_W)+MAX(0,FL-MAX(H692,GWL))*GAM_D)/(GAM_W*PI()*E692^2/4))</f>
        <v>2.29568169937512</v>
      </c>
      <c r="AC692" s="27" t="n">
        <f aca="false">IF(I692-E692&gt;=GWL,99,E692*(MAX(0,GWL-I692)*(GAM_S-GAM_W)+MAX(0,FL-MAX(I692,GWL))*GAM_D)/(GAM_W*PI()*E692^2/4))</f>
        <v>2.29568169937512</v>
      </c>
    </row>
    <row r="693" customFormat="false" ht="15" hidden="false" customHeight="false" outlineLevel="0" collapsed="false">
      <c r="A693" s="25" t="s">
        <v>1240</v>
      </c>
      <c r="B693" s="25" t="s">
        <v>1241</v>
      </c>
      <c r="C693" s="25" t="s">
        <v>1242</v>
      </c>
      <c r="D693" s="26" t="n">
        <v>5.06315999969331</v>
      </c>
      <c r="E693" s="26" t="n">
        <v>2.0695964881519</v>
      </c>
      <c r="F693" s="26" t="n">
        <v>-4.62479824407595</v>
      </c>
      <c r="G693" s="26" t="n">
        <v>-4.62479824407595</v>
      </c>
      <c r="H693" s="26" t="n">
        <v>-2.05520175592405</v>
      </c>
      <c r="I693" s="26" t="n">
        <v>-2.05520175592405</v>
      </c>
      <c r="J693" s="26" t="n">
        <v>9.65</v>
      </c>
      <c r="K693" s="27" t="n">
        <f aca="false">MIN(F693,G693)</f>
        <v>-4.62479824407595</v>
      </c>
      <c r="L693" s="27" t="n">
        <f aca="false">AVERAGE(F693,G693)</f>
        <v>-4.62479824407595</v>
      </c>
      <c r="M693" s="27" t="n">
        <f aca="false">MAX(0,NG-L693)</f>
        <v>3.92479824407595</v>
      </c>
      <c r="N693" s="27" t="n">
        <f aca="false">MAX(0,GWL-K693)</f>
        <v>3.12479824407595</v>
      </c>
      <c r="O693" s="27" t="n">
        <f aca="false">MAX(0,NG-MAX(K693,GWL))</f>
        <v>0.8</v>
      </c>
      <c r="P693" s="27" t="n">
        <f aca="false">E693/2+WS+SLOPE_A*O693+SLOPE_B*N693</f>
        <v>9.48439473222786</v>
      </c>
      <c r="Q693" s="28" t="str">
        <f aca="false">IF(AND(P693&lt;J693,N693&lt;=MAXOC),"Open cut","Shoring")</f>
        <v>Shoring</v>
      </c>
      <c r="R693" s="27" t="n">
        <f aca="false">IF(Q693="Shoring",D693,0)</f>
        <v>5.06315999969331</v>
      </c>
      <c r="S693" s="27" t="n">
        <f aca="false">MAX(0,GWL-L693)</f>
        <v>3.12479824407595</v>
      </c>
      <c r="T693" s="27" t="n">
        <f aca="false">MAX(0,NG-MAX(L693,GWL))</f>
        <v>0.8</v>
      </c>
      <c r="U693" s="27" t="n">
        <f aca="false">E693+2*WS</f>
        <v>4.0695964881519</v>
      </c>
      <c r="V693" s="27" t="n">
        <f aca="false">IF(Q693="Shoring",D693*M693*U693,0)</f>
        <v>80.870539068807</v>
      </c>
      <c r="W693" s="27" t="n">
        <f aca="false">IF(Q693="Open cut",D693*(U693*M693+SLOPE_B*S693^2+2*SLOPE_B*S693*T693+SLOPE_A*T693^2),0)</f>
        <v>0</v>
      </c>
      <c r="X693" s="27" t="n">
        <f aca="false">IF(M693&gt;0,D693*(E693+2*SLABOVH)*SLAB,0)</f>
        <v>7.77092907700489</v>
      </c>
      <c r="Y693" s="27" t="n">
        <f aca="false">IF(M693&gt;0,D693*PI()*E693^2/4,0)</f>
        <v>17.0326762079072</v>
      </c>
      <c r="Z693" s="27" t="n">
        <f aca="false">IF(H693-E693&gt;=GWL,99,E693*(MAX(0,GWL-H693)*(GAM_S-GAM_W)+MAX(0,NG-MAX(H693,GWL))*GAM_D)/(GAM_W*PI()*E693^2/4))</f>
        <v>1.18822376533277</v>
      </c>
      <c r="AA693" s="27" t="n">
        <f aca="false">IF(I693-E693&gt;=GWL,99,E693*(MAX(0,GWL-I693)*(GAM_S-GAM_W)+MAX(0,NG-MAX(I693,GWL))*GAM_D)/(GAM_W*PI()*E693^2/4))</f>
        <v>1.18822376533277</v>
      </c>
      <c r="AB693" s="27" t="n">
        <f aca="false">IF(H693-E693&gt;=GWL,99,E693*(MAX(0,GWL-H693)*(GAM_S-GAM_W)+MAX(0,FL-MAX(H693,GWL))*GAM_D)/(GAM_W*PI()*E693^2/4))</f>
        <v>3.10723209114461</v>
      </c>
      <c r="AC693" s="27" t="n">
        <f aca="false">IF(I693-E693&gt;=GWL,99,E693*(MAX(0,GWL-I693)*(GAM_S-GAM_W)+MAX(0,FL-MAX(I693,GWL))*GAM_D)/(GAM_W*PI()*E693^2/4))</f>
        <v>3.10723209114461</v>
      </c>
    </row>
    <row r="694" customFormat="false" ht="15" hidden="false" customHeight="false" outlineLevel="0" collapsed="false">
      <c r="A694" s="25" t="s">
        <v>1240</v>
      </c>
      <c r="B694" s="25" t="s">
        <v>1241</v>
      </c>
      <c r="C694" s="25" t="s">
        <v>1243</v>
      </c>
      <c r="D694" s="26" t="n">
        <v>1.47224000543171</v>
      </c>
      <c r="E694" s="26" t="n">
        <v>2.04500745108298</v>
      </c>
      <c r="F694" s="26" t="n">
        <v>-4.61250372554149</v>
      </c>
      <c r="G694" s="26" t="n">
        <v>-4.61250372554149</v>
      </c>
      <c r="H694" s="26" t="n">
        <v>-2.06749627445851</v>
      </c>
      <c r="I694" s="26" t="n">
        <v>-2.06749627445851</v>
      </c>
      <c r="J694" s="26" t="n">
        <v>9.68</v>
      </c>
      <c r="K694" s="27" t="n">
        <f aca="false">MIN(F694,G694)</f>
        <v>-4.61250372554149</v>
      </c>
      <c r="L694" s="27" t="n">
        <f aca="false">AVERAGE(F694,G694)</f>
        <v>-4.61250372554149</v>
      </c>
      <c r="M694" s="27" t="n">
        <f aca="false">MAX(0,NG-L694)</f>
        <v>3.91250372554149</v>
      </c>
      <c r="N694" s="27" t="n">
        <f aca="false">MAX(0,GWL-K694)</f>
        <v>3.11250372554149</v>
      </c>
      <c r="O694" s="27" t="n">
        <f aca="false">MAX(0,NG-MAX(K694,GWL))</f>
        <v>0.8</v>
      </c>
      <c r="P694" s="27" t="n">
        <f aca="false">E694/2+WS+SLOPE_A*O694+SLOPE_B*N694</f>
        <v>9.44751117662446</v>
      </c>
      <c r="Q694" s="28" t="str">
        <f aca="false">IF(AND(P694&lt;J694,N694&lt;=MAXOC),"Open cut","Shoring")</f>
        <v>Shoring</v>
      </c>
      <c r="R694" s="27" t="n">
        <f aca="false">IF(Q694="Shoring",D694,0)</f>
        <v>1.47224000543171</v>
      </c>
      <c r="S694" s="27" t="n">
        <f aca="false">MAX(0,GWL-L694)</f>
        <v>3.11250372554149</v>
      </c>
      <c r="T694" s="27" t="n">
        <f aca="false">MAX(0,NG-MAX(L694,GWL))</f>
        <v>0.8</v>
      </c>
      <c r="U694" s="27" t="n">
        <f aca="false">E694+2*WS</f>
        <v>4.04500745108298</v>
      </c>
      <c r="V694" s="27" t="n">
        <f aca="false">IF(Q694="Shoring",D694*M694*U694,0)</f>
        <v>23.2998274466623</v>
      </c>
      <c r="W694" s="27" t="n">
        <f aca="false">IF(Q694="Open cut",D694*(U694*M694+SLOPE_B*S694^2+2*SLOPE_B*S694*T694+SLOPE_A*T694^2),0)</f>
        <v>0</v>
      </c>
      <c r="X694" s="27" t="n">
        <f aca="false">IF(M694&gt;0,D694*(E694+2*SLABOVH)*SLAB,0)</f>
        <v>2.241490893161</v>
      </c>
      <c r="Y694" s="27" t="n">
        <f aca="false">IF(M694&gt;0,D694*PI()*E694^2/4,0)</f>
        <v>4.83568814734556</v>
      </c>
      <c r="Z694" s="27" t="n">
        <f aca="false">IF(H694-E694&gt;=GWL,99,E694*(MAX(0,GWL-H694)*(GAM_S-GAM_W)+MAX(0,NG-MAX(H694,GWL))*GAM_D)/(GAM_W*PI()*E694^2/4))</f>
        <v>1.20890149102235</v>
      </c>
      <c r="AA694" s="27" t="n">
        <f aca="false">IF(I694-E694&gt;=GWL,99,E694*(MAX(0,GWL-I694)*(GAM_S-GAM_W)+MAX(0,NG-MAX(I694,GWL))*GAM_D)/(GAM_W*PI()*E694^2/4))</f>
        <v>1.20890149102235</v>
      </c>
      <c r="AB694" s="27" t="n">
        <f aca="false">IF(H694-E694&gt;=GWL,99,E694*(MAX(0,GWL-H694)*(GAM_S-GAM_W)+MAX(0,FL-MAX(H694,GWL))*GAM_D)/(GAM_W*PI()*E694^2/4))</f>
        <v>3.150983848586</v>
      </c>
      <c r="AC694" s="27" t="n">
        <f aca="false">IF(I694-E694&gt;=GWL,99,E694*(MAX(0,GWL-I694)*(GAM_S-GAM_W)+MAX(0,FL-MAX(I694,GWL))*GAM_D)/(GAM_W*PI()*E694^2/4))</f>
        <v>3.150983848586</v>
      </c>
    </row>
    <row r="695" customFormat="false" ht="15" hidden="false" customHeight="false" outlineLevel="0" collapsed="false">
      <c r="A695" s="25" t="s">
        <v>1240</v>
      </c>
      <c r="B695" s="25" t="s">
        <v>1241</v>
      </c>
      <c r="C695" s="25" t="s">
        <v>1244</v>
      </c>
      <c r="D695" s="26" t="n">
        <v>0.250486982498824</v>
      </c>
      <c r="E695" s="26" t="n">
        <v>2.04500243769249</v>
      </c>
      <c r="F695" s="26" t="n">
        <v>-4.61250121884625</v>
      </c>
      <c r="G695" s="26" t="n">
        <v>-4.61250121884625</v>
      </c>
      <c r="H695" s="26" t="n">
        <v>-2.06749878115376</v>
      </c>
      <c r="I695" s="26" t="n">
        <v>-2.06749878115376</v>
      </c>
      <c r="J695" s="26" t="n">
        <v>9.68</v>
      </c>
      <c r="K695" s="27" t="n">
        <f aca="false">MIN(F695,G695)</f>
        <v>-4.61250121884625</v>
      </c>
      <c r="L695" s="27" t="n">
        <f aca="false">AVERAGE(F695,G695)</f>
        <v>-4.61250121884625</v>
      </c>
      <c r="M695" s="27" t="n">
        <f aca="false">MAX(0,NG-L695)</f>
        <v>3.91250121884625</v>
      </c>
      <c r="N695" s="27" t="n">
        <f aca="false">MAX(0,GWL-K695)</f>
        <v>3.11250121884625</v>
      </c>
      <c r="O695" s="27" t="n">
        <f aca="false">MAX(0,NG-MAX(K695,GWL))</f>
        <v>0.8</v>
      </c>
      <c r="P695" s="27" t="n">
        <f aca="false">E695/2+WS+SLOPE_A*O695+SLOPE_B*N695</f>
        <v>9.44750365653874</v>
      </c>
      <c r="Q695" s="28" t="str">
        <f aca="false">IF(AND(P695&lt;J695,N695&lt;=MAXOC),"Open cut","Shoring")</f>
        <v>Shoring</v>
      </c>
      <c r="R695" s="27" t="n">
        <f aca="false">IF(Q695="Shoring",D695,0)</f>
        <v>0.250486982498824</v>
      </c>
      <c r="S695" s="27" t="n">
        <f aca="false">MAX(0,GWL-L695)</f>
        <v>3.11250121884625</v>
      </c>
      <c r="T695" s="27" t="n">
        <f aca="false">MAX(0,NG-MAX(L695,GWL))</f>
        <v>0.8</v>
      </c>
      <c r="U695" s="27" t="n">
        <f aca="false">E695+2*WS</f>
        <v>4.04500243769249</v>
      </c>
      <c r="V695" s="27" t="n">
        <f aca="false">IF(Q695="Shoring",D695*M695*U695,0)</f>
        <v>3.96422626443529</v>
      </c>
      <c r="W695" s="27" t="n">
        <f aca="false">IF(Q695="Open cut",D695*(U695*M695+SLOPE_B*S695^2+2*SLOPE_B*S695*T695+SLOPE_A*T695^2),0)</f>
        <v>0</v>
      </c>
      <c r="X695" s="27" t="n">
        <f aca="false">IF(M695&gt;0,D695*(E695+2*SLABOVH)*SLAB,0)</f>
        <v>0.381366736159577</v>
      </c>
      <c r="Y695" s="27" t="n">
        <f aca="false">IF(M695&gt;0,D695*PI()*E695^2/4,0)</f>
        <v>0.822740170703612</v>
      </c>
      <c r="Z695" s="27" t="n">
        <f aca="false">IF(H695-E695&gt;=GWL,99,E695*(MAX(0,GWL-H695)*(GAM_S-GAM_W)+MAX(0,NG-MAX(H695,GWL))*GAM_D)/(GAM_W*PI()*E695^2/4))</f>
        <v>1.20890575764888</v>
      </c>
      <c r="AA695" s="27" t="n">
        <f aca="false">IF(I695-E695&gt;=GWL,99,E695*(MAX(0,GWL-I695)*(GAM_S-GAM_W)+MAX(0,NG-MAX(I695,GWL))*GAM_D)/(GAM_W*PI()*E695^2/4))</f>
        <v>1.20890575764888</v>
      </c>
      <c r="AB695" s="27" t="n">
        <f aca="false">IF(H695-E695&gt;=GWL,99,E695*(MAX(0,GWL-H695)*(GAM_S-GAM_W)+MAX(0,FL-MAX(H695,GWL))*GAM_D)/(GAM_W*PI()*E695^2/4))</f>
        <v>3.15099287629107</v>
      </c>
      <c r="AC695" s="27" t="n">
        <f aca="false">IF(I695-E695&gt;=GWL,99,E695*(MAX(0,GWL-I695)*(GAM_S-GAM_W)+MAX(0,FL-MAX(I695,GWL))*GAM_D)/(GAM_W*PI()*E695^2/4))</f>
        <v>3.15099287629107</v>
      </c>
    </row>
    <row r="696" customFormat="false" ht="15" hidden="false" customHeight="false" outlineLevel="0" collapsed="false">
      <c r="A696" s="25" t="s">
        <v>1240</v>
      </c>
      <c r="B696" s="25" t="s">
        <v>1241</v>
      </c>
      <c r="C696" s="25" t="s">
        <v>1245</v>
      </c>
      <c r="D696" s="26" t="n">
        <v>3.21411301258363</v>
      </c>
      <c r="E696" s="26" t="n">
        <v>2.06960150139187</v>
      </c>
      <c r="F696" s="26" t="n">
        <v>-4.62480075069593</v>
      </c>
      <c r="G696" s="26" t="n">
        <v>-4.62480075069593</v>
      </c>
      <c r="H696" s="26" t="n">
        <v>-2.05519924930407</v>
      </c>
      <c r="I696" s="26" t="n">
        <v>-2.05519924930407</v>
      </c>
      <c r="J696" s="26" t="n">
        <v>9.68</v>
      </c>
      <c r="K696" s="27" t="n">
        <f aca="false">MIN(F696,G696)</f>
        <v>-4.62480075069593</v>
      </c>
      <c r="L696" s="27" t="n">
        <f aca="false">AVERAGE(F696,G696)</f>
        <v>-4.62480075069593</v>
      </c>
      <c r="M696" s="27" t="n">
        <f aca="false">MAX(0,NG-L696)</f>
        <v>3.92480075069593</v>
      </c>
      <c r="N696" s="27" t="n">
        <f aca="false">MAX(0,GWL-K696)</f>
        <v>3.12480075069593</v>
      </c>
      <c r="O696" s="27" t="n">
        <f aca="false">MAX(0,NG-MAX(K696,GWL))</f>
        <v>0.8</v>
      </c>
      <c r="P696" s="27" t="n">
        <f aca="false">E696/2+WS+SLOPE_A*O696+SLOPE_B*N696</f>
        <v>9.4844022520878</v>
      </c>
      <c r="Q696" s="28" t="str">
        <f aca="false">IF(AND(P696&lt;J696,N696&lt;=MAXOC),"Open cut","Shoring")</f>
        <v>Shoring</v>
      </c>
      <c r="R696" s="27" t="n">
        <f aca="false">IF(Q696="Shoring",D696,0)</f>
        <v>3.21411301258363</v>
      </c>
      <c r="S696" s="27" t="n">
        <f aca="false">MAX(0,GWL-L696)</f>
        <v>3.12480075069593</v>
      </c>
      <c r="T696" s="27" t="n">
        <f aca="false">MAX(0,NG-MAX(L696,GWL))</f>
        <v>0.8</v>
      </c>
      <c r="U696" s="27" t="n">
        <f aca="false">E696+2*WS</f>
        <v>4.06960150139187</v>
      </c>
      <c r="V696" s="27" t="n">
        <f aca="false">IF(Q696="Shoring",D696*M696*U696,0)</f>
        <v>51.3370184183838</v>
      </c>
      <c r="W696" s="27" t="n">
        <f aca="false">IF(Q696="Open cut",D696*(U696*M696+SLOPE_B*S696^2+2*SLOPE_B*S696*T696+SLOPE_A*T696^2),0)</f>
        <v>0</v>
      </c>
      <c r="X696" s="27" t="n">
        <f aca="false">IF(M696&gt;0,D696*(E696+2*SLABOVH)*SLAB,0)</f>
        <v>4.93302306453492</v>
      </c>
      <c r="Y696" s="27" t="n">
        <f aca="false">IF(M696&gt;0,D696*PI()*E696^2/4,0)</f>
        <v>10.8124593066277</v>
      </c>
      <c r="Z696" s="27" t="n">
        <f aca="false">IF(H696-E696&gt;=GWL,99,E696*(MAX(0,GWL-H696)*(GAM_S-GAM_W)+MAX(0,NG-MAX(H696,GWL))*GAM_D)/(GAM_W*PI()*E696^2/4))</f>
        <v>1.18821959963359</v>
      </c>
      <c r="AA696" s="27" t="n">
        <f aca="false">IF(I696-E696&gt;=GWL,99,E696*(MAX(0,GWL-I696)*(GAM_S-GAM_W)+MAX(0,NG-MAX(I696,GWL))*GAM_D)/(GAM_W*PI()*E696^2/4))</f>
        <v>1.18821959963359</v>
      </c>
      <c r="AB696" s="27" t="n">
        <f aca="false">IF(H696-E696&gt;=GWL,99,E696*(MAX(0,GWL-H696)*(GAM_S-GAM_W)+MAX(0,FL-MAX(H696,GWL))*GAM_D)/(GAM_W*PI()*E696^2/4))</f>
        <v>3.10722327699054</v>
      </c>
      <c r="AC696" s="27" t="n">
        <f aca="false">IF(I696-E696&gt;=GWL,99,E696*(MAX(0,GWL-I696)*(GAM_S-GAM_W)+MAX(0,FL-MAX(I696,GWL))*GAM_D)/(GAM_W*PI()*E696^2/4))</f>
        <v>3.10722327699054</v>
      </c>
    </row>
    <row r="697" customFormat="false" ht="15" hidden="false" customHeight="false" outlineLevel="0" collapsed="false">
      <c r="A697" s="25" t="s">
        <v>1240</v>
      </c>
      <c r="B697" s="25" t="s">
        <v>1241</v>
      </c>
      <c r="C697" s="25" t="s">
        <v>1246</v>
      </c>
      <c r="D697" s="26" t="n">
        <v>9.99999999962555</v>
      </c>
      <c r="E697" s="26" t="n">
        <v>2.06960150139187</v>
      </c>
      <c r="F697" s="26" t="n">
        <v>-4.62480075069593</v>
      </c>
      <c r="G697" s="26" t="n">
        <v>-4.62480075069593</v>
      </c>
      <c r="H697" s="26" t="n">
        <v>-2.05519924930407</v>
      </c>
      <c r="I697" s="26" t="n">
        <v>-2.05519924930407</v>
      </c>
      <c r="J697" s="26" t="n">
        <v>9.92</v>
      </c>
      <c r="K697" s="27" t="n">
        <f aca="false">MIN(F697,G697)</f>
        <v>-4.62480075069593</v>
      </c>
      <c r="L697" s="27" t="n">
        <f aca="false">AVERAGE(F697,G697)</f>
        <v>-4.62480075069593</v>
      </c>
      <c r="M697" s="27" t="n">
        <f aca="false">MAX(0,NG-L697)</f>
        <v>3.92480075069593</v>
      </c>
      <c r="N697" s="27" t="n">
        <f aca="false">MAX(0,GWL-K697)</f>
        <v>3.12480075069593</v>
      </c>
      <c r="O697" s="27" t="n">
        <f aca="false">MAX(0,NG-MAX(K697,GWL))</f>
        <v>0.8</v>
      </c>
      <c r="P697" s="27" t="n">
        <f aca="false">E697/2+WS+SLOPE_A*O697+SLOPE_B*N697</f>
        <v>9.4844022520878</v>
      </c>
      <c r="Q697" s="28" t="str">
        <f aca="false">IF(AND(P697&lt;J697,N697&lt;=MAXOC),"Open cut","Shoring")</f>
        <v>Shoring</v>
      </c>
      <c r="R697" s="27" t="n">
        <f aca="false">IF(Q697="Shoring",D697,0)</f>
        <v>9.99999999962555</v>
      </c>
      <c r="S697" s="27" t="n">
        <f aca="false">MAX(0,GWL-L697)</f>
        <v>3.12480075069593</v>
      </c>
      <c r="T697" s="27" t="n">
        <f aca="false">MAX(0,NG-MAX(L697,GWL))</f>
        <v>0.8</v>
      </c>
      <c r="U697" s="27" t="n">
        <f aca="false">E697+2*WS</f>
        <v>4.06960150139187</v>
      </c>
      <c r="V697" s="27" t="n">
        <f aca="false">IF(Q697="Shoring",D697*M697*U697,0)</f>
        <v>159.72375027098</v>
      </c>
      <c r="W697" s="27" t="n">
        <f aca="false">IF(Q697="Open cut",D697*(U697*M697+SLOPE_B*S697^2+2*SLOPE_B*S697*T697+SLOPE_A*T697^2),0)</f>
        <v>0</v>
      </c>
      <c r="X697" s="27" t="n">
        <f aca="false">IF(M697&gt;0,D697*(E697+2*SLABOVH)*SLAB,0)</f>
        <v>15.3480075063846</v>
      </c>
      <c r="Y697" s="27" t="n">
        <f aca="false">IF(M697&gt;0,D697*PI()*E697^2/4,0)</f>
        <v>33.6405697742761</v>
      </c>
      <c r="Z697" s="27" t="n">
        <f aca="false">IF(H697-E697&gt;=GWL,99,E697*(MAX(0,GWL-H697)*(GAM_S-GAM_W)+MAX(0,NG-MAX(H697,GWL))*GAM_D)/(GAM_W*PI()*E697^2/4))</f>
        <v>1.18821959963359</v>
      </c>
      <c r="AA697" s="27" t="n">
        <f aca="false">IF(I697-E697&gt;=GWL,99,E697*(MAX(0,GWL-I697)*(GAM_S-GAM_W)+MAX(0,NG-MAX(I697,GWL))*GAM_D)/(GAM_W*PI()*E697^2/4))</f>
        <v>1.18821959963359</v>
      </c>
      <c r="AB697" s="27" t="n">
        <f aca="false">IF(H697-E697&gt;=GWL,99,E697*(MAX(0,GWL-H697)*(GAM_S-GAM_W)+MAX(0,FL-MAX(H697,GWL))*GAM_D)/(GAM_W*PI()*E697^2/4))</f>
        <v>3.10722327699054</v>
      </c>
      <c r="AC697" s="27" t="n">
        <f aca="false">IF(I697-E697&gt;=GWL,99,E697*(MAX(0,GWL-I697)*(GAM_S-GAM_W)+MAX(0,FL-MAX(I697,GWL))*GAM_D)/(GAM_W*PI()*E697^2/4))</f>
        <v>3.10722327699054</v>
      </c>
    </row>
    <row r="698" customFormat="false" ht="15" hidden="false" customHeight="false" outlineLevel="0" collapsed="false">
      <c r="A698" s="25" t="s">
        <v>1240</v>
      </c>
      <c r="B698" s="25" t="s">
        <v>1241</v>
      </c>
      <c r="C698" s="25" t="s">
        <v>1247</v>
      </c>
      <c r="D698" s="26" t="n">
        <v>9.9999999999701</v>
      </c>
      <c r="E698" s="26" t="n">
        <v>2.06960150139187</v>
      </c>
      <c r="F698" s="26" t="n">
        <v>-4.62480075069593</v>
      </c>
      <c r="G698" s="26" t="n">
        <v>-4.62480075069593</v>
      </c>
      <c r="H698" s="26" t="n">
        <v>-2.05519924930407</v>
      </c>
      <c r="I698" s="26" t="n">
        <v>-2.05519924930407</v>
      </c>
      <c r="J698" s="26" t="n">
        <v>15.53</v>
      </c>
      <c r="K698" s="27" t="n">
        <f aca="false">MIN(F698,G698)</f>
        <v>-4.62480075069593</v>
      </c>
      <c r="L698" s="27" t="n">
        <f aca="false">AVERAGE(F698,G698)</f>
        <v>-4.62480075069593</v>
      </c>
      <c r="M698" s="27" t="n">
        <f aca="false">MAX(0,NG-L698)</f>
        <v>3.92480075069593</v>
      </c>
      <c r="N698" s="27" t="n">
        <f aca="false">MAX(0,GWL-K698)</f>
        <v>3.12480075069593</v>
      </c>
      <c r="O698" s="27" t="n">
        <f aca="false">MAX(0,NG-MAX(K698,GWL))</f>
        <v>0.8</v>
      </c>
      <c r="P698" s="27" t="n">
        <f aca="false">E698/2+WS+SLOPE_A*O698+SLOPE_B*N698</f>
        <v>9.4844022520878</v>
      </c>
      <c r="Q698" s="28" t="str">
        <f aca="false">IF(AND(P698&lt;J698,N698&lt;=MAXOC),"Open cut","Shoring")</f>
        <v>Shoring</v>
      </c>
      <c r="R698" s="27" t="n">
        <f aca="false">IF(Q698="Shoring",D698,0)</f>
        <v>9.9999999999701</v>
      </c>
      <c r="S698" s="27" t="n">
        <f aca="false">MAX(0,GWL-L698)</f>
        <v>3.12480075069593</v>
      </c>
      <c r="T698" s="27" t="n">
        <f aca="false">MAX(0,NG-MAX(L698,GWL))</f>
        <v>0.8</v>
      </c>
      <c r="U698" s="27" t="n">
        <f aca="false">E698+2*WS</f>
        <v>4.06960150139187</v>
      </c>
      <c r="V698" s="27" t="n">
        <f aca="false">IF(Q698="Shoring",D698*M698*U698,0)</f>
        <v>159.723750276483</v>
      </c>
      <c r="W698" s="27" t="n">
        <f aca="false">IF(Q698="Open cut",D698*(U698*M698+SLOPE_B*S698^2+2*SLOPE_B*S698*T698+SLOPE_A*T698^2),0)</f>
        <v>0</v>
      </c>
      <c r="X698" s="27" t="n">
        <f aca="false">IF(M698&gt;0,D698*(E698+2*SLABOVH)*SLAB,0)</f>
        <v>15.3480075069134</v>
      </c>
      <c r="Y698" s="27" t="n">
        <f aca="false">IF(M698&gt;0,D698*PI()*E698^2/4,0)</f>
        <v>33.6405697754352</v>
      </c>
      <c r="Z698" s="27" t="n">
        <f aca="false">IF(H698-E698&gt;=GWL,99,E698*(MAX(0,GWL-H698)*(GAM_S-GAM_W)+MAX(0,NG-MAX(H698,GWL))*GAM_D)/(GAM_W*PI()*E698^2/4))</f>
        <v>1.18821959963359</v>
      </c>
      <c r="AA698" s="27" t="n">
        <f aca="false">IF(I698-E698&gt;=GWL,99,E698*(MAX(0,GWL-I698)*(GAM_S-GAM_W)+MAX(0,NG-MAX(I698,GWL))*GAM_D)/(GAM_W*PI()*E698^2/4))</f>
        <v>1.18821959963359</v>
      </c>
      <c r="AB698" s="27" t="n">
        <f aca="false">IF(H698-E698&gt;=GWL,99,E698*(MAX(0,GWL-H698)*(GAM_S-GAM_W)+MAX(0,FL-MAX(H698,GWL))*GAM_D)/(GAM_W*PI()*E698^2/4))</f>
        <v>3.10722327699054</v>
      </c>
      <c r="AC698" s="27" t="n">
        <f aca="false">IF(I698-E698&gt;=GWL,99,E698*(MAX(0,GWL-I698)*(GAM_S-GAM_W)+MAX(0,FL-MAX(I698,GWL))*GAM_D)/(GAM_W*PI()*E698^2/4))</f>
        <v>3.10722327699054</v>
      </c>
    </row>
    <row r="699" customFormat="false" ht="15" hidden="false" customHeight="false" outlineLevel="0" collapsed="false">
      <c r="A699" s="25" t="s">
        <v>1240</v>
      </c>
      <c r="B699" s="25" t="s">
        <v>1241</v>
      </c>
      <c r="C699" s="25" t="s">
        <v>1248</v>
      </c>
      <c r="D699" s="26" t="n">
        <v>1.75108698826624</v>
      </c>
      <c r="E699" s="26" t="n">
        <v>2.06960150139187</v>
      </c>
      <c r="F699" s="26" t="n">
        <v>-4.62480075069593</v>
      </c>
      <c r="G699" s="26" t="n">
        <v>-4.62480075069593</v>
      </c>
      <c r="H699" s="26" t="n">
        <v>-2.05519924930407</v>
      </c>
      <c r="I699" s="26" t="n">
        <v>-2.05519924930407</v>
      </c>
      <c r="J699" s="26" t="n">
        <v>22.66</v>
      </c>
      <c r="K699" s="27" t="n">
        <f aca="false">MIN(F699,G699)</f>
        <v>-4.62480075069593</v>
      </c>
      <c r="L699" s="27" t="n">
        <f aca="false">AVERAGE(F699,G699)</f>
        <v>-4.62480075069593</v>
      </c>
      <c r="M699" s="27" t="n">
        <f aca="false">MAX(0,NG-L699)</f>
        <v>3.92480075069593</v>
      </c>
      <c r="N699" s="27" t="n">
        <f aca="false">MAX(0,GWL-K699)</f>
        <v>3.12480075069593</v>
      </c>
      <c r="O699" s="27" t="n">
        <f aca="false">MAX(0,NG-MAX(K699,GWL))</f>
        <v>0.8</v>
      </c>
      <c r="P699" s="27" t="n">
        <f aca="false">E699/2+WS+SLOPE_A*O699+SLOPE_B*N699</f>
        <v>9.4844022520878</v>
      </c>
      <c r="Q699" s="28" t="str">
        <f aca="false">IF(AND(P699&lt;J699,N699&lt;=MAXOC),"Open cut","Shoring")</f>
        <v>Shoring</v>
      </c>
      <c r="R699" s="27" t="n">
        <f aca="false">IF(Q699="Shoring",D699,0)</f>
        <v>1.75108698826624</v>
      </c>
      <c r="S699" s="27" t="n">
        <f aca="false">MAX(0,GWL-L699)</f>
        <v>3.12480075069593</v>
      </c>
      <c r="T699" s="27" t="n">
        <f aca="false">MAX(0,NG-MAX(L699,GWL))</f>
        <v>0.8</v>
      </c>
      <c r="U699" s="27" t="n">
        <f aca="false">E699+2*WS</f>
        <v>4.06960150139187</v>
      </c>
      <c r="V699" s="27" t="n">
        <f aca="false">IF(Q699="Shoring",D699*M699*U699,0)</f>
        <v>27.9690180827072</v>
      </c>
      <c r="W699" s="27" t="n">
        <f aca="false">IF(Q699="Open cut",D699*(U699*M699+SLOPE_B*S699^2+2*SLOPE_B*S699*T699+SLOPE_A*T699^2),0)</f>
        <v>0</v>
      </c>
      <c r="X699" s="27" t="n">
        <f aca="false">IF(M699&gt;0,D699*(E699+2*SLABOVH)*SLAB,0)</f>
        <v>2.6875696241249</v>
      </c>
      <c r="Y699" s="27" t="n">
        <f aca="false">IF(M699&gt;0,D699*PI()*E699^2/4,0)</f>
        <v>5.8907564011803</v>
      </c>
      <c r="Z699" s="27" t="n">
        <f aca="false">IF(H699-E699&gt;=GWL,99,E699*(MAX(0,GWL-H699)*(GAM_S-GAM_W)+MAX(0,NG-MAX(H699,GWL))*GAM_D)/(GAM_W*PI()*E699^2/4))</f>
        <v>1.18821959963359</v>
      </c>
      <c r="AA699" s="27" t="n">
        <f aca="false">IF(I699-E699&gt;=GWL,99,E699*(MAX(0,GWL-I699)*(GAM_S-GAM_W)+MAX(0,NG-MAX(I699,GWL))*GAM_D)/(GAM_W*PI()*E699^2/4))</f>
        <v>1.18821959963359</v>
      </c>
      <c r="AB699" s="27" t="n">
        <f aca="false">IF(H699-E699&gt;=GWL,99,E699*(MAX(0,GWL-H699)*(GAM_S-GAM_W)+MAX(0,FL-MAX(H699,GWL))*GAM_D)/(GAM_W*PI()*E699^2/4))</f>
        <v>3.10722327699054</v>
      </c>
      <c r="AC699" s="27" t="n">
        <f aca="false">IF(I699-E699&gt;=GWL,99,E699*(MAX(0,GWL-I699)*(GAM_S-GAM_W)+MAX(0,FL-MAX(I699,GWL))*GAM_D)/(GAM_W*PI()*E699^2/4))</f>
        <v>3.10722327699054</v>
      </c>
    </row>
    <row r="700" customFormat="false" ht="15" hidden="false" customHeight="false" outlineLevel="0" collapsed="false">
      <c r="A700" s="25" t="s">
        <v>1240</v>
      </c>
      <c r="B700" s="25" t="s">
        <v>1241</v>
      </c>
      <c r="C700" s="25" t="s">
        <v>1249</v>
      </c>
      <c r="D700" s="26" t="n">
        <v>3.09998988027996</v>
      </c>
      <c r="E700" s="26" t="n">
        <v>2.06960150139187</v>
      </c>
      <c r="F700" s="26" t="n">
        <v>-4.62480075069593</v>
      </c>
      <c r="G700" s="26" t="n">
        <v>-4.62480075069593</v>
      </c>
      <c r="H700" s="26" t="n">
        <v>-2.05519924930407</v>
      </c>
      <c r="I700" s="26" t="n">
        <v>-2.05519924930407</v>
      </c>
      <c r="J700" s="26" t="n">
        <v>23.77</v>
      </c>
      <c r="K700" s="27" t="n">
        <f aca="false">MIN(F700,G700)</f>
        <v>-4.62480075069593</v>
      </c>
      <c r="L700" s="27" t="n">
        <f aca="false">AVERAGE(F700,G700)</f>
        <v>-4.62480075069593</v>
      </c>
      <c r="M700" s="27" t="n">
        <f aca="false">MAX(0,NG-L700)</f>
        <v>3.92480075069593</v>
      </c>
      <c r="N700" s="27" t="n">
        <f aca="false">MAX(0,GWL-K700)</f>
        <v>3.12480075069593</v>
      </c>
      <c r="O700" s="27" t="n">
        <f aca="false">MAX(0,NG-MAX(K700,GWL))</f>
        <v>0.8</v>
      </c>
      <c r="P700" s="27" t="n">
        <f aca="false">E700/2+WS+SLOPE_A*O700+SLOPE_B*N700</f>
        <v>9.4844022520878</v>
      </c>
      <c r="Q700" s="28" t="str">
        <f aca="false">IF(AND(P700&lt;J700,N700&lt;=MAXOC),"Open cut","Shoring")</f>
        <v>Shoring</v>
      </c>
      <c r="R700" s="27" t="n">
        <f aca="false">IF(Q700="Shoring",D700,0)</f>
        <v>3.09998988027996</v>
      </c>
      <c r="S700" s="27" t="n">
        <f aca="false">MAX(0,GWL-L700)</f>
        <v>3.12480075069593</v>
      </c>
      <c r="T700" s="27" t="n">
        <f aca="false">MAX(0,NG-MAX(L700,GWL))</f>
        <v>0.8</v>
      </c>
      <c r="U700" s="27" t="n">
        <f aca="false">E700+2*WS</f>
        <v>4.06960150139187</v>
      </c>
      <c r="V700" s="27" t="n">
        <f aca="false">IF(Q700="Shoring",D700*M700*U700,0)</f>
        <v>49.5142009498943</v>
      </c>
      <c r="W700" s="27" t="n">
        <f aca="false">IF(Q700="Open cut",D700*(U700*M700+SLOPE_B*S700^2+2*SLOPE_B*S700*T700+SLOPE_A*T700^2),0)</f>
        <v>0</v>
      </c>
      <c r="X700" s="27" t="n">
        <f aca="false">IF(M700&gt;0,D700*(E700+2*SLABOVH)*SLAB,0)</f>
        <v>4.75786679540348</v>
      </c>
      <c r="Y700" s="27" t="n">
        <f aca="false">IF(M700&gt;0,D700*PI()*E700^2/4,0)</f>
        <v>10.4285425871013</v>
      </c>
      <c r="Z700" s="27" t="n">
        <f aca="false">IF(H700-E700&gt;=GWL,99,E700*(MAX(0,GWL-H700)*(GAM_S-GAM_W)+MAX(0,NG-MAX(H700,GWL))*GAM_D)/(GAM_W*PI()*E700^2/4))</f>
        <v>1.18821959963359</v>
      </c>
      <c r="AA700" s="27" t="n">
        <f aca="false">IF(I700-E700&gt;=GWL,99,E700*(MAX(0,GWL-I700)*(GAM_S-GAM_W)+MAX(0,NG-MAX(I700,GWL))*GAM_D)/(GAM_W*PI()*E700^2/4))</f>
        <v>1.18821959963359</v>
      </c>
      <c r="AB700" s="27" t="n">
        <f aca="false">IF(H700-E700&gt;=GWL,99,E700*(MAX(0,GWL-H700)*(GAM_S-GAM_W)+MAX(0,FL-MAX(H700,GWL))*GAM_D)/(GAM_W*PI()*E700^2/4))</f>
        <v>3.10722327699054</v>
      </c>
      <c r="AC700" s="27" t="n">
        <f aca="false">IF(I700-E700&gt;=GWL,99,E700*(MAX(0,GWL-I700)*(GAM_S-GAM_W)+MAX(0,FL-MAX(I700,GWL))*GAM_D)/(GAM_W*PI()*E700^2/4))</f>
        <v>3.10722327699054</v>
      </c>
    </row>
    <row r="701" customFormat="false" ht="15" hidden="false" customHeight="false" outlineLevel="0" collapsed="false">
      <c r="A701" s="25" t="s">
        <v>1240</v>
      </c>
      <c r="B701" s="25" t="s">
        <v>1241</v>
      </c>
      <c r="C701" s="25" t="s">
        <v>1250</v>
      </c>
      <c r="D701" s="26" t="n">
        <v>2.54892313180896</v>
      </c>
      <c r="E701" s="26" t="n">
        <v>2.0695977516991</v>
      </c>
      <c r="F701" s="26" t="n">
        <v>-4.62479887584955</v>
      </c>
      <c r="G701" s="26" t="n">
        <v>-4.62479887584955</v>
      </c>
      <c r="H701" s="26" t="n">
        <v>-2.05520112415045</v>
      </c>
      <c r="I701" s="26" t="n">
        <v>-2.05520112415045</v>
      </c>
      <c r="J701" s="26" t="n">
        <v>25.91</v>
      </c>
      <c r="K701" s="27" t="n">
        <f aca="false">MIN(F701,G701)</f>
        <v>-4.62479887584955</v>
      </c>
      <c r="L701" s="27" t="n">
        <f aca="false">AVERAGE(F701,G701)</f>
        <v>-4.62479887584955</v>
      </c>
      <c r="M701" s="27" t="n">
        <f aca="false">MAX(0,NG-L701)</f>
        <v>3.92479887584955</v>
      </c>
      <c r="N701" s="27" t="n">
        <f aca="false">MAX(0,GWL-K701)</f>
        <v>3.12479887584955</v>
      </c>
      <c r="O701" s="27" t="n">
        <f aca="false">MAX(0,NG-MAX(K701,GWL))</f>
        <v>0.8</v>
      </c>
      <c r="P701" s="27" t="n">
        <f aca="false">E701/2+WS+SLOPE_A*O701+SLOPE_B*N701</f>
        <v>9.48439662754866</v>
      </c>
      <c r="Q701" s="28" t="str">
        <f aca="false">IF(AND(P701&lt;J701,N701&lt;=MAXOC),"Open cut","Shoring")</f>
        <v>Shoring</v>
      </c>
      <c r="R701" s="27" t="n">
        <f aca="false">IF(Q701="Shoring",D701,0)</f>
        <v>2.54892313180896</v>
      </c>
      <c r="S701" s="27" t="n">
        <f aca="false">MAX(0,GWL-L701)</f>
        <v>3.12479887584955</v>
      </c>
      <c r="T701" s="27" t="n">
        <f aca="false">MAX(0,NG-MAX(L701,GWL))</f>
        <v>0.8</v>
      </c>
      <c r="U701" s="27" t="n">
        <f aca="false">E701+2*WS</f>
        <v>4.06959775169911</v>
      </c>
      <c r="V701" s="27" t="n">
        <f aca="false">IF(Q701="Shoring",D701*M701*U701,0)</f>
        <v>40.7122992180844</v>
      </c>
      <c r="W701" s="27" t="n">
        <f aca="false">IF(Q701="Open cut",D701*(U701*M701+SLOPE_B*S701^2+2*SLOPE_B*S701*T701+SLOPE_A*T701^2),0)</f>
        <v>0</v>
      </c>
      <c r="X701" s="27" t="n">
        <f aca="false">IF(M701&gt;0,D701*(E701+2*SLABOVH)*SLAB,0)</f>
        <v>3.91208435732731</v>
      </c>
      <c r="Y701" s="27" t="n">
        <f aca="false">IF(M701&gt;0,D701*PI()*E701^2/4,0)</f>
        <v>8.57469157556593</v>
      </c>
      <c r="Z701" s="27" t="n">
        <f aca="false">IF(H701-E701&gt;=GWL,99,E701*(MAX(0,GWL-H701)*(GAM_S-GAM_W)+MAX(0,NG-MAX(H701,GWL))*GAM_D)/(GAM_W*PI()*E701^2/4))</f>
        <v>1.18822271539957</v>
      </c>
      <c r="AA701" s="27" t="n">
        <f aca="false">IF(I701-E701&gt;=GWL,99,E701*(MAX(0,GWL-I701)*(GAM_S-GAM_W)+MAX(0,NG-MAX(I701,GWL))*GAM_D)/(GAM_W*PI()*E701^2/4))</f>
        <v>1.18822271539957</v>
      </c>
      <c r="AB701" s="27" t="n">
        <f aca="false">IF(H701-E701&gt;=GWL,99,E701*(MAX(0,GWL-H701)*(GAM_S-GAM_W)+MAX(0,FL-MAX(H701,GWL))*GAM_D)/(GAM_W*PI()*E701^2/4))</f>
        <v>3.10722986960326</v>
      </c>
      <c r="AC701" s="27" t="n">
        <f aca="false">IF(I701-E701&gt;=GWL,99,E701*(MAX(0,GWL-I701)*(GAM_S-GAM_W)+MAX(0,FL-MAX(I701,GWL))*GAM_D)/(GAM_W*PI()*E701^2/4))</f>
        <v>3.10722986960326</v>
      </c>
    </row>
    <row r="702" customFormat="false" ht="15" hidden="false" customHeight="false" outlineLevel="0" collapsed="false">
      <c r="A702" s="25" t="s">
        <v>1240</v>
      </c>
      <c r="B702" s="25" t="s">
        <v>1251</v>
      </c>
      <c r="C702" s="25" t="s">
        <v>1252</v>
      </c>
      <c r="D702" s="26" t="n">
        <v>0.551086650211662</v>
      </c>
      <c r="E702" s="26" t="n">
        <v>2.0695977516991</v>
      </c>
      <c r="F702" s="26" t="n">
        <v>-4.62479887584955</v>
      </c>
      <c r="G702" s="26" t="n">
        <v>-4.62479887584955</v>
      </c>
      <c r="H702" s="26" t="n">
        <v>-2.05520112415045</v>
      </c>
      <c r="I702" s="26" t="n">
        <v>-2.05520112415045</v>
      </c>
      <c r="J702" s="26" t="n">
        <v>26.09</v>
      </c>
      <c r="K702" s="27" t="n">
        <f aca="false">MIN(F702,G702)</f>
        <v>-4.62479887584955</v>
      </c>
      <c r="L702" s="27" t="n">
        <f aca="false">AVERAGE(F702,G702)</f>
        <v>-4.62479887584955</v>
      </c>
      <c r="M702" s="27" t="n">
        <f aca="false">MAX(0,NG-L702)</f>
        <v>3.92479887584955</v>
      </c>
      <c r="N702" s="27" t="n">
        <f aca="false">MAX(0,GWL-K702)</f>
        <v>3.12479887584955</v>
      </c>
      <c r="O702" s="27" t="n">
        <f aca="false">MAX(0,NG-MAX(K702,GWL))</f>
        <v>0.8</v>
      </c>
      <c r="P702" s="27" t="n">
        <f aca="false">E702/2+WS+SLOPE_A*O702+SLOPE_B*N702</f>
        <v>9.48439662754866</v>
      </c>
      <c r="Q702" s="28" t="str">
        <f aca="false">IF(AND(P702&lt;J702,N702&lt;=MAXOC),"Open cut","Shoring")</f>
        <v>Shoring</v>
      </c>
      <c r="R702" s="27" t="n">
        <f aca="false">IF(Q702="Shoring",D702,0)</f>
        <v>0.551086650211662</v>
      </c>
      <c r="S702" s="27" t="n">
        <f aca="false">MAX(0,GWL-L702)</f>
        <v>3.12479887584955</v>
      </c>
      <c r="T702" s="27" t="n">
        <f aca="false">MAX(0,NG-MAX(L702,GWL))</f>
        <v>0.8</v>
      </c>
      <c r="U702" s="27" t="n">
        <f aca="false">E702+2*WS</f>
        <v>4.06959775169911</v>
      </c>
      <c r="V702" s="27" t="n">
        <f aca="false">IF(Q702="Shoring",D702*M702*U702,0)</f>
        <v>8.80215033498726</v>
      </c>
      <c r="W702" s="27" t="n">
        <f aca="false">IF(Q702="Open cut",D702*(U702*M702+SLOPE_B*S702^2+2*SLOPE_B*S702*T702+SLOPE_A*T702^2),0)</f>
        <v>0</v>
      </c>
      <c r="X702" s="27" t="n">
        <f aca="false">IF(M702&gt;0,D702*(E702+2*SLABOVH)*SLAB,0)</f>
        <v>0.845807171240554</v>
      </c>
      <c r="Y702" s="27" t="n">
        <f aca="false">IF(M702&gt;0,D702*PI()*E702^2/4,0)</f>
        <v>1.85388017316285</v>
      </c>
      <c r="Z702" s="27" t="n">
        <f aca="false">IF(H702-E702&gt;=GWL,99,E702*(MAX(0,GWL-H702)*(GAM_S-GAM_W)+MAX(0,NG-MAX(H702,GWL))*GAM_D)/(GAM_W*PI()*E702^2/4))</f>
        <v>1.18822271539957</v>
      </c>
      <c r="AA702" s="27" t="n">
        <f aca="false">IF(I702-E702&gt;=GWL,99,E702*(MAX(0,GWL-I702)*(GAM_S-GAM_W)+MAX(0,NG-MAX(I702,GWL))*GAM_D)/(GAM_W*PI()*E702^2/4))</f>
        <v>1.18822271539957</v>
      </c>
      <c r="AB702" s="27" t="n">
        <f aca="false">IF(H702-E702&gt;=GWL,99,E702*(MAX(0,GWL-H702)*(GAM_S-GAM_W)+MAX(0,FL-MAX(H702,GWL))*GAM_D)/(GAM_W*PI()*E702^2/4))</f>
        <v>3.10722986960326</v>
      </c>
      <c r="AC702" s="27" t="n">
        <f aca="false">IF(I702-E702&gt;=GWL,99,E702*(MAX(0,GWL-I702)*(GAM_S-GAM_W)+MAX(0,FL-MAX(I702,GWL))*GAM_D)/(GAM_W*PI()*E702^2/4))</f>
        <v>3.10722986960326</v>
      </c>
    </row>
    <row r="703" customFormat="false" ht="15" hidden="false" customHeight="false" outlineLevel="0" collapsed="false">
      <c r="A703" s="25" t="s">
        <v>1240</v>
      </c>
      <c r="B703" s="25" t="s">
        <v>1251</v>
      </c>
      <c r="C703" s="25" t="s">
        <v>1253</v>
      </c>
      <c r="D703" s="26" t="n">
        <v>2.0489133496877</v>
      </c>
      <c r="E703" s="26" t="n">
        <v>2.0695977516991</v>
      </c>
      <c r="F703" s="26" t="n">
        <v>-4.62479887584955</v>
      </c>
      <c r="G703" s="26" t="n">
        <v>-4.62479887584955</v>
      </c>
      <c r="H703" s="26" t="n">
        <v>-2.05520112415045</v>
      </c>
      <c r="I703" s="26" t="n">
        <v>-2.05520112415045</v>
      </c>
      <c r="J703" s="26" t="n">
        <v>26.17</v>
      </c>
      <c r="K703" s="27" t="n">
        <f aca="false">MIN(F703,G703)</f>
        <v>-4.62479887584955</v>
      </c>
      <c r="L703" s="27" t="n">
        <f aca="false">AVERAGE(F703,G703)</f>
        <v>-4.62479887584955</v>
      </c>
      <c r="M703" s="27" t="n">
        <f aca="false">MAX(0,NG-L703)</f>
        <v>3.92479887584955</v>
      </c>
      <c r="N703" s="27" t="n">
        <f aca="false">MAX(0,GWL-K703)</f>
        <v>3.12479887584955</v>
      </c>
      <c r="O703" s="27" t="n">
        <f aca="false">MAX(0,NG-MAX(K703,GWL))</f>
        <v>0.8</v>
      </c>
      <c r="P703" s="27" t="n">
        <f aca="false">E703/2+WS+SLOPE_A*O703+SLOPE_B*N703</f>
        <v>9.48439662754866</v>
      </c>
      <c r="Q703" s="28" t="str">
        <f aca="false">IF(AND(P703&lt;J703,N703&lt;=MAXOC),"Open cut","Shoring")</f>
        <v>Shoring</v>
      </c>
      <c r="R703" s="27" t="n">
        <f aca="false">IF(Q703="Shoring",D703,0)</f>
        <v>2.0489133496877</v>
      </c>
      <c r="S703" s="27" t="n">
        <f aca="false">MAX(0,GWL-L703)</f>
        <v>3.12479887584955</v>
      </c>
      <c r="T703" s="27" t="n">
        <f aca="false">MAX(0,NG-MAX(L703,GWL))</f>
        <v>0.8</v>
      </c>
      <c r="U703" s="27" t="n">
        <f aca="false">E703+2*WS</f>
        <v>4.06959775169911</v>
      </c>
      <c r="V703" s="27" t="n">
        <f aca="false">IF(Q703="Shoring",D703*M703*U703,0)</f>
        <v>32.7259666340794</v>
      </c>
      <c r="W703" s="27" t="n">
        <f aca="false">IF(Q703="Open cut",D703*(U703*M703+SLOPE_B*S703^2+2*SLOPE_B*S703*T703+SLOPE_A*T703^2),0)</f>
        <v>0</v>
      </c>
      <c r="X703" s="27" t="n">
        <f aca="false">IF(M703&gt;0,D703*(E703+2*SLABOVH)*SLAB,0)</f>
        <v>3.14466990581382</v>
      </c>
      <c r="Y703" s="27" t="n">
        <f aca="false">IF(M703&gt;0,D703*PI()*E703^2/4,0)</f>
        <v>6.89263627426976</v>
      </c>
      <c r="Z703" s="27" t="n">
        <f aca="false">IF(H703-E703&gt;=GWL,99,E703*(MAX(0,GWL-H703)*(GAM_S-GAM_W)+MAX(0,NG-MAX(H703,GWL))*GAM_D)/(GAM_W*PI()*E703^2/4))</f>
        <v>1.18822271539957</v>
      </c>
      <c r="AA703" s="27" t="n">
        <f aca="false">IF(I703-E703&gt;=GWL,99,E703*(MAX(0,GWL-I703)*(GAM_S-GAM_W)+MAX(0,NG-MAX(I703,GWL))*GAM_D)/(GAM_W*PI()*E703^2/4))</f>
        <v>1.18822271539957</v>
      </c>
      <c r="AB703" s="27" t="n">
        <f aca="false">IF(H703-E703&gt;=GWL,99,E703*(MAX(0,GWL-H703)*(GAM_S-GAM_W)+MAX(0,FL-MAX(H703,GWL))*GAM_D)/(GAM_W*PI()*E703^2/4))</f>
        <v>3.10722986960326</v>
      </c>
      <c r="AC703" s="27" t="n">
        <f aca="false">IF(I703-E703&gt;=GWL,99,E703*(MAX(0,GWL-I703)*(GAM_S-GAM_W)+MAX(0,FL-MAX(I703,GWL))*GAM_D)/(GAM_W*PI()*E703^2/4))</f>
        <v>3.10722986960326</v>
      </c>
    </row>
    <row r="704" customFormat="false" ht="15" hidden="false" customHeight="false" outlineLevel="0" collapsed="false">
      <c r="A704" s="25" t="s">
        <v>1240</v>
      </c>
      <c r="B704" s="25" t="s">
        <v>1251</v>
      </c>
      <c r="C704" s="25" t="s">
        <v>1254</v>
      </c>
      <c r="D704" s="26" t="n">
        <v>3.28573665000836</v>
      </c>
      <c r="E704" s="26" t="n">
        <v>2.0695977516991</v>
      </c>
      <c r="F704" s="26" t="n">
        <v>-4.62479887584955</v>
      </c>
      <c r="G704" s="26" t="n">
        <v>-4.62479887584955</v>
      </c>
      <c r="H704" s="26" t="n">
        <v>-2.05520112415045</v>
      </c>
      <c r="I704" s="26" t="n">
        <v>-2.05520112415045</v>
      </c>
      <c r="J704" s="26" t="n">
        <v>26.53</v>
      </c>
      <c r="K704" s="27" t="n">
        <f aca="false">MIN(F704,G704)</f>
        <v>-4.62479887584955</v>
      </c>
      <c r="L704" s="27" t="n">
        <f aca="false">AVERAGE(F704,G704)</f>
        <v>-4.62479887584955</v>
      </c>
      <c r="M704" s="27" t="n">
        <f aca="false">MAX(0,NG-L704)</f>
        <v>3.92479887584955</v>
      </c>
      <c r="N704" s="27" t="n">
        <f aca="false">MAX(0,GWL-K704)</f>
        <v>3.12479887584955</v>
      </c>
      <c r="O704" s="27" t="n">
        <f aca="false">MAX(0,NG-MAX(K704,GWL))</f>
        <v>0.8</v>
      </c>
      <c r="P704" s="27" t="n">
        <f aca="false">E704/2+WS+SLOPE_A*O704+SLOPE_B*N704</f>
        <v>9.48439662754866</v>
      </c>
      <c r="Q704" s="28" t="str">
        <f aca="false">IF(AND(P704&lt;J704,N704&lt;=MAXOC),"Open cut","Shoring")</f>
        <v>Shoring</v>
      </c>
      <c r="R704" s="27" t="n">
        <f aca="false">IF(Q704="Shoring",D704,0)</f>
        <v>3.28573665000836</v>
      </c>
      <c r="S704" s="27" t="n">
        <f aca="false">MAX(0,GWL-L704)</f>
        <v>3.12479887584955</v>
      </c>
      <c r="T704" s="27" t="n">
        <f aca="false">MAX(0,NG-MAX(L704,GWL))</f>
        <v>0.8</v>
      </c>
      <c r="U704" s="27" t="n">
        <f aca="false">E704+2*WS</f>
        <v>4.06959775169911</v>
      </c>
      <c r="V704" s="27" t="n">
        <f aca="false">IF(Q704="Shoring",D704*M704*U704,0)</f>
        <v>52.4809445909147</v>
      </c>
      <c r="W704" s="27" t="n">
        <f aca="false">IF(Q704="Open cut",D704*(U704*M704+SLOPE_B*S704^2+2*SLOPE_B*S704*T704+SLOPE_A*T704^2),0)</f>
        <v>0</v>
      </c>
      <c r="X704" s="27" t="n">
        <f aca="false">IF(M704&gt;0,D704*(E704+2*SLABOVH)*SLAB,0)</f>
        <v>5.04294491677051</v>
      </c>
      <c r="Y704" s="27" t="n">
        <f aca="false">IF(M704&gt;0,D704*PI()*E704^2/4,0)</f>
        <v>11.053365250901</v>
      </c>
      <c r="Z704" s="27" t="n">
        <f aca="false">IF(H704-E704&gt;=GWL,99,E704*(MAX(0,GWL-H704)*(GAM_S-GAM_W)+MAX(0,NG-MAX(H704,GWL))*GAM_D)/(GAM_W*PI()*E704^2/4))</f>
        <v>1.18822271539957</v>
      </c>
      <c r="AA704" s="27" t="n">
        <f aca="false">IF(I704-E704&gt;=GWL,99,E704*(MAX(0,GWL-I704)*(GAM_S-GAM_W)+MAX(0,NG-MAX(I704,GWL))*GAM_D)/(GAM_W*PI()*E704^2/4))</f>
        <v>1.18822271539957</v>
      </c>
      <c r="AB704" s="27" t="n">
        <f aca="false">IF(H704-E704&gt;=GWL,99,E704*(MAX(0,GWL-H704)*(GAM_S-GAM_W)+MAX(0,FL-MAX(H704,GWL))*GAM_D)/(GAM_W*PI()*E704^2/4))</f>
        <v>3.10722986960326</v>
      </c>
      <c r="AC704" s="27" t="n">
        <f aca="false">IF(I704-E704&gt;=GWL,99,E704*(MAX(0,GWL-I704)*(GAM_S-GAM_W)+MAX(0,FL-MAX(I704,GWL))*GAM_D)/(GAM_W*PI()*E704^2/4))</f>
        <v>3.10722986960326</v>
      </c>
    </row>
    <row r="705" customFormat="false" ht="15" hidden="false" customHeight="false" outlineLevel="0" collapsed="false">
      <c r="A705" s="25" t="s">
        <v>1240</v>
      </c>
      <c r="B705" s="25" t="s">
        <v>1251</v>
      </c>
      <c r="C705" s="25" t="s">
        <v>1255</v>
      </c>
      <c r="D705" s="26" t="n">
        <v>3.09998695306755</v>
      </c>
      <c r="E705" s="26" t="n">
        <v>2.0695977516991</v>
      </c>
      <c r="F705" s="26" t="n">
        <v>-4.62479887584955</v>
      </c>
      <c r="G705" s="26" t="n">
        <v>-4.62479887584955</v>
      </c>
      <c r="H705" s="26" t="n">
        <v>-2.05520112415045</v>
      </c>
      <c r="I705" s="26" t="n">
        <v>-2.05520112415045</v>
      </c>
      <c r="J705" s="26" t="n">
        <v>27.43</v>
      </c>
      <c r="K705" s="27" t="n">
        <f aca="false">MIN(F705,G705)</f>
        <v>-4.62479887584955</v>
      </c>
      <c r="L705" s="27" t="n">
        <f aca="false">AVERAGE(F705,G705)</f>
        <v>-4.62479887584955</v>
      </c>
      <c r="M705" s="27" t="n">
        <f aca="false">MAX(0,NG-L705)</f>
        <v>3.92479887584955</v>
      </c>
      <c r="N705" s="27" t="n">
        <f aca="false">MAX(0,GWL-K705)</f>
        <v>3.12479887584955</v>
      </c>
      <c r="O705" s="27" t="n">
        <f aca="false">MAX(0,NG-MAX(K705,GWL))</f>
        <v>0.8</v>
      </c>
      <c r="P705" s="27" t="n">
        <f aca="false">E705/2+WS+SLOPE_A*O705+SLOPE_B*N705</f>
        <v>9.48439662754866</v>
      </c>
      <c r="Q705" s="28" t="str">
        <f aca="false">IF(AND(P705&lt;J705,N705&lt;=MAXOC),"Open cut","Shoring")</f>
        <v>Shoring</v>
      </c>
      <c r="R705" s="27" t="n">
        <f aca="false">IF(Q705="Shoring",D705,0)</f>
        <v>3.09998695306755</v>
      </c>
      <c r="S705" s="27" t="n">
        <f aca="false">MAX(0,GWL-L705)</f>
        <v>3.12479887584955</v>
      </c>
      <c r="T705" s="27" t="n">
        <f aca="false">MAX(0,NG-MAX(L705,GWL))</f>
        <v>0.8</v>
      </c>
      <c r="U705" s="27" t="n">
        <f aca="false">E705+2*WS</f>
        <v>4.06959775169911</v>
      </c>
      <c r="V705" s="27" t="n">
        <f aca="false">IF(Q705="Shoring",D705*M705*U705,0)</f>
        <v>49.5140849209819</v>
      </c>
      <c r="W705" s="27" t="n">
        <f aca="false">IF(Q705="Open cut",D705*(U705*M705+SLOPE_B*S705^2+2*SLOPE_B*S705*T705+SLOPE_A*T705^2),0)</f>
        <v>0</v>
      </c>
      <c r="X705" s="27" t="n">
        <f aca="false">IF(M705&gt;0,D705*(E705+2*SLABOVH)*SLAB,0)</f>
        <v>4.75785649071635</v>
      </c>
      <c r="Y705" s="27" t="n">
        <f aca="false">IF(M705&gt;0,D705*PI()*E705^2/4,0)</f>
        <v>10.4284949511082</v>
      </c>
      <c r="Z705" s="27" t="n">
        <f aca="false">IF(H705-E705&gt;=GWL,99,E705*(MAX(0,GWL-H705)*(GAM_S-GAM_W)+MAX(0,NG-MAX(H705,GWL))*GAM_D)/(GAM_W*PI()*E705^2/4))</f>
        <v>1.18822271539957</v>
      </c>
      <c r="AA705" s="27" t="n">
        <f aca="false">IF(I705-E705&gt;=GWL,99,E705*(MAX(0,GWL-I705)*(GAM_S-GAM_W)+MAX(0,NG-MAX(I705,GWL))*GAM_D)/(GAM_W*PI()*E705^2/4))</f>
        <v>1.18822271539957</v>
      </c>
      <c r="AB705" s="27" t="n">
        <f aca="false">IF(H705-E705&gt;=GWL,99,E705*(MAX(0,GWL-H705)*(GAM_S-GAM_W)+MAX(0,FL-MAX(H705,GWL))*GAM_D)/(GAM_W*PI()*E705^2/4))</f>
        <v>3.10722986960326</v>
      </c>
      <c r="AC705" s="27" t="n">
        <f aca="false">IF(I705-E705&gt;=GWL,99,E705*(MAX(0,GWL-I705)*(GAM_S-GAM_W)+MAX(0,FL-MAX(I705,GWL))*GAM_D)/(GAM_W*PI()*E705^2/4))</f>
        <v>3.10722986960326</v>
      </c>
    </row>
    <row r="706" customFormat="false" ht="15" hidden="false" customHeight="false" outlineLevel="0" collapsed="false">
      <c r="A706" s="25" t="s">
        <v>1240</v>
      </c>
      <c r="B706" s="25" t="s">
        <v>1251</v>
      </c>
      <c r="C706" s="25" t="s">
        <v>1256</v>
      </c>
      <c r="D706" s="26" t="n">
        <v>3.10001413839907</v>
      </c>
      <c r="E706" s="26" t="n">
        <v>2.06960150139061</v>
      </c>
      <c r="F706" s="26" t="n">
        <v>-4.62480075069531</v>
      </c>
      <c r="G706" s="26" t="n">
        <v>-4.62480075069531</v>
      </c>
      <c r="H706" s="26" t="n">
        <v>-2.0551992493047</v>
      </c>
      <c r="I706" s="26" t="n">
        <v>-2.0551992493047</v>
      </c>
      <c r="J706" s="26" t="n">
        <v>27.69</v>
      </c>
      <c r="K706" s="27" t="n">
        <f aca="false">MIN(F706,G706)</f>
        <v>-4.62480075069531</v>
      </c>
      <c r="L706" s="27" t="n">
        <f aca="false">AVERAGE(F706,G706)</f>
        <v>-4.62480075069531</v>
      </c>
      <c r="M706" s="27" t="n">
        <f aca="false">MAX(0,NG-L706)</f>
        <v>3.9248007506953</v>
      </c>
      <c r="N706" s="27" t="n">
        <f aca="false">MAX(0,GWL-K706)</f>
        <v>3.1248007506953</v>
      </c>
      <c r="O706" s="27" t="n">
        <f aca="false">MAX(0,NG-MAX(K706,GWL))</f>
        <v>0.8</v>
      </c>
      <c r="P706" s="27" t="n">
        <f aca="false">E706/2+WS+SLOPE_A*O706+SLOPE_B*N706</f>
        <v>9.48440225208591</v>
      </c>
      <c r="Q706" s="28" t="str">
        <f aca="false">IF(AND(P706&lt;J706,N706&lt;=MAXOC),"Open cut","Shoring")</f>
        <v>Shoring</v>
      </c>
      <c r="R706" s="27" t="n">
        <f aca="false">IF(Q706="Shoring",D706,0)</f>
        <v>3.10001413839907</v>
      </c>
      <c r="S706" s="27" t="n">
        <f aca="false">MAX(0,GWL-L706)</f>
        <v>3.1248007506953</v>
      </c>
      <c r="T706" s="27" t="n">
        <f aca="false">MAX(0,NG-MAX(L706,GWL))</f>
        <v>0.8</v>
      </c>
      <c r="U706" s="27" t="n">
        <f aca="false">E706+2*WS</f>
        <v>4.06960150139061</v>
      </c>
      <c r="V706" s="27" t="n">
        <f aca="false">IF(Q706="Shoring",D706*M706*U706,0)</f>
        <v>49.5145884096469</v>
      </c>
      <c r="W706" s="27" t="n">
        <f aca="false">IF(Q706="Open cut",D706*(U706*M706+SLOPE_B*S706^2+2*SLOPE_B*S706*T706+SLOPE_A*T706^2),0)</f>
        <v>0</v>
      </c>
      <c r="X706" s="27" t="n">
        <f aca="false">IF(M706&gt;0,D706*(E706+2*SLABOVH)*SLAB,0)</f>
        <v>4.75790402678095</v>
      </c>
      <c r="Y706" s="27" t="n">
        <f aca="false">IF(M706&gt;0,D706*PI()*E706^2/4,0)</f>
        <v>10.4286241927835</v>
      </c>
      <c r="Z706" s="27" t="n">
        <f aca="false">IF(H706-E706&gt;=GWL,99,E706*(MAX(0,GWL-H706)*(GAM_S-GAM_W)+MAX(0,NG-MAX(H706,GWL))*GAM_D)/(GAM_W*PI()*E706^2/4))</f>
        <v>1.18821959963464</v>
      </c>
      <c r="AA706" s="27" t="n">
        <f aca="false">IF(I706-E706&gt;=GWL,99,E706*(MAX(0,GWL-I706)*(GAM_S-GAM_W)+MAX(0,NG-MAX(I706,GWL))*GAM_D)/(GAM_W*PI()*E706^2/4))</f>
        <v>1.18821959963464</v>
      </c>
      <c r="AB706" s="27" t="n">
        <f aca="false">IF(H706-E706&gt;=GWL,99,E706*(MAX(0,GWL-H706)*(GAM_S-GAM_W)+MAX(0,FL-MAX(H706,GWL))*GAM_D)/(GAM_W*PI()*E706^2/4))</f>
        <v>3.10722327699275</v>
      </c>
      <c r="AC706" s="27" t="n">
        <f aca="false">IF(I706-E706&gt;=GWL,99,E706*(MAX(0,GWL-I706)*(GAM_S-GAM_W)+MAX(0,FL-MAX(I706,GWL))*GAM_D)/(GAM_W*PI()*E706^2/4))</f>
        <v>3.10722327699275</v>
      </c>
    </row>
    <row r="707" customFormat="false" ht="15" hidden="false" customHeight="false" outlineLevel="0" collapsed="false">
      <c r="A707" s="25" t="s">
        <v>1240</v>
      </c>
      <c r="B707" s="25" t="s">
        <v>1251</v>
      </c>
      <c r="C707" s="25" t="s">
        <v>1257</v>
      </c>
      <c r="D707" s="26" t="n">
        <v>0.5142622585174</v>
      </c>
      <c r="E707" s="26" t="n">
        <v>2.06960150139061</v>
      </c>
      <c r="F707" s="26" t="n">
        <v>-4.62480075069531</v>
      </c>
      <c r="G707" s="26" t="n">
        <v>-4.62480075069531</v>
      </c>
      <c r="H707" s="26" t="n">
        <v>-2.0551992493047</v>
      </c>
      <c r="I707" s="26" t="n">
        <v>-2.0551992493047</v>
      </c>
      <c r="J707" s="26" t="n">
        <v>27.57</v>
      </c>
      <c r="K707" s="27" t="n">
        <f aca="false">MIN(F707,G707)</f>
        <v>-4.62480075069531</v>
      </c>
      <c r="L707" s="27" t="n">
        <f aca="false">AVERAGE(F707,G707)</f>
        <v>-4.62480075069531</v>
      </c>
      <c r="M707" s="27" t="n">
        <f aca="false">MAX(0,NG-L707)</f>
        <v>3.9248007506953</v>
      </c>
      <c r="N707" s="27" t="n">
        <f aca="false">MAX(0,GWL-K707)</f>
        <v>3.1248007506953</v>
      </c>
      <c r="O707" s="27" t="n">
        <f aca="false">MAX(0,NG-MAX(K707,GWL))</f>
        <v>0.8</v>
      </c>
      <c r="P707" s="27" t="n">
        <f aca="false">E707/2+WS+SLOPE_A*O707+SLOPE_B*N707</f>
        <v>9.48440225208591</v>
      </c>
      <c r="Q707" s="28" t="str">
        <f aca="false">IF(AND(P707&lt;J707,N707&lt;=MAXOC),"Open cut","Shoring")</f>
        <v>Shoring</v>
      </c>
      <c r="R707" s="27" t="n">
        <f aca="false">IF(Q707="Shoring",D707,0)</f>
        <v>0.5142622585174</v>
      </c>
      <c r="S707" s="27" t="n">
        <f aca="false">MAX(0,GWL-L707)</f>
        <v>3.1248007506953</v>
      </c>
      <c r="T707" s="27" t="n">
        <f aca="false">MAX(0,NG-MAX(L707,GWL))</f>
        <v>0.8</v>
      </c>
      <c r="U707" s="27" t="n">
        <f aca="false">E707+2*WS</f>
        <v>4.06960150139061</v>
      </c>
      <c r="V707" s="27" t="n">
        <f aca="false">IF(Q707="Shoring",D707*M707*U707,0)</f>
        <v>8.21398965562607</v>
      </c>
      <c r="W707" s="27" t="n">
        <f aca="false">IF(Q707="Open cut",D707*(U707*M707+SLOPE_B*S707^2+2*SLOPE_B*S707*T707+SLOPE_A*T707^2),0)</f>
        <v>0</v>
      </c>
      <c r="X707" s="27" t="n">
        <f aca="false">IF(M707&gt;0,D707*(E707+2*SLABOVH)*SLAB,0)</f>
        <v>0.789290100426769</v>
      </c>
      <c r="Y707" s="27" t="n">
        <f aca="false">IF(M707&gt;0,D707*PI()*E707^2/4,0)</f>
        <v>1.73000753905582</v>
      </c>
      <c r="Z707" s="27" t="n">
        <f aca="false">IF(H707-E707&gt;=GWL,99,E707*(MAX(0,GWL-H707)*(GAM_S-GAM_W)+MAX(0,NG-MAX(H707,GWL))*GAM_D)/(GAM_W*PI()*E707^2/4))</f>
        <v>1.18821959963464</v>
      </c>
      <c r="AA707" s="27" t="n">
        <f aca="false">IF(I707-E707&gt;=GWL,99,E707*(MAX(0,GWL-I707)*(GAM_S-GAM_W)+MAX(0,NG-MAX(I707,GWL))*GAM_D)/(GAM_W*PI()*E707^2/4))</f>
        <v>1.18821959963464</v>
      </c>
      <c r="AB707" s="27" t="n">
        <f aca="false">IF(H707-E707&gt;=GWL,99,E707*(MAX(0,GWL-H707)*(GAM_S-GAM_W)+MAX(0,FL-MAX(H707,GWL))*GAM_D)/(GAM_W*PI()*E707^2/4))</f>
        <v>3.10722327699275</v>
      </c>
      <c r="AC707" s="27" t="n">
        <f aca="false">IF(I707-E707&gt;=GWL,99,E707*(MAX(0,GWL-I707)*(GAM_S-GAM_W)+MAX(0,FL-MAX(I707,GWL))*GAM_D)/(GAM_W*PI()*E707^2/4))</f>
        <v>3.10722327699275</v>
      </c>
    </row>
    <row r="708" customFormat="false" ht="15" hidden="false" customHeight="false" outlineLevel="0" collapsed="false">
      <c r="A708" s="25" t="s">
        <v>1240</v>
      </c>
      <c r="B708" s="25" t="s">
        <v>1251</v>
      </c>
      <c r="C708" s="25" t="s">
        <v>1258</v>
      </c>
      <c r="D708" s="26" t="n">
        <v>4.12138774136705</v>
      </c>
      <c r="E708" s="26" t="n">
        <v>2.06960150139061</v>
      </c>
      <c r="F708" s="26" t="n">
        <v>-4.62480075069531</v>
      </c>
      <c r="G708" s="26" t="n">
        <v>-4.62480075069531</v>
      </c>
      <c r="H708" s="26" t="n">
        <v>-2.0551992493047</v>
      </c>
      <c r="I708" s="26" t="n">
        <v>-2.0551992493047</v>
      </c>
      <c r="J708" s="26" t="n">
        <v>26.95</v>
      </c>
      <c r="K708" s="27" t="n">
        <f aca="false">MIN(F708,G708)</f>
        <v>-4.62480075069531</v>
      </c>
      <c r="L708" s="27" t="n">
        <f aca="false">AVERAGE(F708,G708)</f>
        <v>-4.62480075069531</v>
      </c>
      <c r="M708" s="27" t="n">
        <f aca="false">MAX(0,NG-L708)</f>
        <v>3.9248007506953</v>
      </c>
      <c r="N708" s="27" t="n">
        <f aca="false">MAX(0,GWL-K708)</f>
        <v>3.1248007506953</v>
      </c>
      <c r="O708" s="27" t="n">
        <f aca="false">MAX(0,NG-MAX(K708,GWL))</f>
        <v>0.8</v>
      </c>
      <c r="P708" s="27" t="n">
        <f aca="false">E708/2+WS+SLOPE_A*O708+SLOPE_B*N708</f>
        <v>9.48440225208591</v>
      </c>
      <c r="Q708" s="28" t="str">
        <f aca="false">IF(AND(P708&lt;J708,N708&lt;=MAXOC),"Open cut","Shoring")</f>
        <v>Shoring</v>
      </c>
      <c r="R708" s="27" t="n">
        <f aca="false">IF(Q708="Shoring",D708,0)</f>
        <v>4.12138774136705</v>
      </c>
      <c r="S708" s="27" t="n">
        <f aca="false">MAX(0,GWL-L708)</f>
        <v>3.1248007506953</v>
      </c>
      <c r="T708" s="27" t="n">
        <f aca="false">MAX(0,NG-MAX(L708,GWL))</f>
        <v>0.8</v>
      </c>
      <c r="U708" s="27" t="n">
        <f aca="false">E708+2*WS</f>
        <v>4.06960150139061</v>
      </c>
      <c r="V708" s="27" t="n">
        <f aca="false">IF(Q708="Shoring",D708*M708*U708,0)</f>
        <v>65.828350639633</v>
      </c>
      <c r="W708" s="27" t="n">
        <f aca="false">IF(Q708="Open cut",D708*(U708*M708+SLOPE_B*S708^2+2*SLOPE_B*S708*T708+SLOPE_A*T708^2),0)</f>
        <v>0</v>
      </c>
      <c r="X708" s="27" t="n">
        <f aca="false">IF(M708&gt;0,D708*(E708+2*SLABOVH)*SLAB,0)</f>
        <v>6.32550899935658</v>
      </c>
      <c r="Y708" s="27" t="n">
        <f aca="false">IF(M708&gt;0,D708*PI()*E708^2/4,0)</f>
        <v>13.8645831885328</v>
      </c>
      <c r="Z708" s="27" t="n">
        <f aca="false">IF(H708-E708&gt;=GWL,99,E708*(MAX(0,GWL-H708)*(GAM_S-GAM_W)+MAX(0,NG-MAX(H708,GWL))*GAM_D)/(GAM_W*PI()*E708^2/4))</f>
        <v>1.18821959963464</v>
      </c>
      <c r="AA708" s="27" t="n">
        <f aca="false">IF(I708-E708&gt;=GWL,99,E708*(MAX(0,GWL-I708)*(GAM_S-GAM_W)+MAX(0,NG-MAX(I708,GWL))*GAM_D)/(GAM_W*PI()*E708^2/4))</f>
        <v>1.18821959963464</v>
      </c>
      <c r="AB708" s="27" t="n">
        <f aca="false">IF(H708-E708&gt;=GWL,99,E708*(MAX(0,GWL-H708)*(GAM_S-GAM_W)+MAX(0,FL-MAX(H708,GWL))*GAM_D)/(GAM_W*PI()*E708^2/4))</f>
        <v>3.10722327699275</v>
      </c>
      <c r="AC708" s="27" t="n">
        <f aca="false">IF(I708-E708&gt;=GWL,99,E708*(MAX(0,GWL-I708)*(GAM_S-GAM_W)+MAX(0,FL-MAX(I708,GWL))*GAM_D)/(GAM_W*PI()*E708^2/4))</f>
        <v>3.10722327699275</v>
      </c>
    </row>
    <row r="709" customFormat="false" ht="15" hidden="false" customHeight="false" outlineLevel="0" collapsed="false">
      <c r="A709" s="25" t="s">
        <v>1240</v>
      </c>
      <c r="B709" s="25" t="s">
        <v>1251</v>
      </c>
      <c r="C709" s="25" t="s">
        <v>1259</v>
      </c>
      <c r="D709" s="26" t="n">
        <v>1.50000133863064</v>
      </c>
      <c r="E709" s="26" t="n">
        <v>1.42000748138612</v>
      </c>
      <c r="F709" s="26" t="n">
        <v>-4.30000374069306</v>
      </c>
      <c r="G709" s="26" t="n">
        <v>-4.30000374069306</v>
      </c>
      <c r="H709" s="26" t="n">
        <v>-2.37999625930694</v>
      </c>
      <c r="I709" s="26" t="n">
        <v>-2.37999625930694</v>
      </c>
      <c r="J709" s="26" t="n">
        <v>26.88</v>
      </c>
      <c r="K709" s="27" t="n">
        <f aca="false">MIN(F709,G709)</f>
        <v>-4.30000374069306</v>
      </c>
      <c r="L709" s="27" t="n">
        <f aca="false">AVERAGE(F709,G709)</f>
        <v>-4.30000374069306</v>
      </c>
      <c r="M709" s="27" t="n">
        <f aca="false">MAX(0,NG-L709)</f>
        <v>3.60000374069306</v>
      </c>
      <c r="N709" s="27" t="n">
        <f aca="false">MAX(0,GWL-K709)</f>
        <v>2.80000374069306</v>
      </c>
      <c r="O709" s="27" t="n">
        <f aca="false">MAX(0,NG-MAX(K709,GWL))</f>
        <v>0.8</v>
      </c>
      <c r="P709" s="27" t="n">
        <f aca="false">E709/2+WS+SLOPE_A*O709+SLOPE_B*N709</f>
        <v>8.51001122207917</v>
      </c>
      <c r="Q709" s="28" t="str">
        <f aca="false">IF(AND(P709&lt;J709,N709&lt;=MAXOC),"Open cut","Shoring")</f>
        <v>Shoring</v>
      </c>
      <c r="R709" s="27" t="n">
        <f aca="false">IF(Q709="Shoring",D709,0)</f>
        <v>1.50000133863064</v>
      </c>
      <c r="S709" s="27" t="n">
        <f aca="false">MAX(0,GWL-L709)</f>
        <v>2.80000374069306</v>
      </c>
      <c r="T709" s="27" t="n">
        <f aca="false">MAX(0,NG-MAX(L709,GWL))</f>
        <v>0.8</v>
      </c>
      <c r="U709" s="27" t="n">
        <f aca="false">E709+2*WS</f>
        <v>3.42000748138612</v>
      </c>
      <c r="V709" s="27" t="n">
        <f aca="false">IF(Q709="Shoring",D709*M709*U709,0)</f>
        <v>18.468076070556</v>
      </c>
      <c r="W709" s="27" t="n">
        <f aca="false">IF(Q709="Open cut",D709*(U709*M709+SLOPE_B*S709^2+2*SLOPE_B*S709*T709+SLOPE_A*T709^2),0)</f>
        <v>0</v>
      </c>
      <c r="X709" s="27" t="n">
        <f aca="false">IF(M709&gt;0,D709*(E709+2*SLABOVH)*SLAB,0)</f>
        <v>1.81500723078767</v>
      </c>
      <c r="Y709" s="27" t="n">
        <f aca="false">IF(M709&gt;0,D709*PI()*E709^2/4,0)</f>
        <v>2.37554243625163</v>
      </c>
      <c r="Z709" s="27" t="n">
        <f aca="false">IF(H709-E709&gt;=GWL,99,E709*(MAX(0,GWL-H709)*(GAM_S-GAM_W)+MAX(0,NG-MAX(H709,GWL))*GAM_D)/(GAM_W*PI()*E709^2/4))</f>
        <v>1.97491475642517</v>
      </c>
      <c r="AA709" s="27" t="n">
        <f aca="false">IF(I709-E709&gt;=GWL,99,E709*(MAX(0,GWL-I709)*(GAM_S-GAM_W)+MAX(0,NG-MAX(I709,GWL))*GAM_D)/(GAM_W*PI()*E709^2/4))</f>
        <v>1.97491475642517</v>
      </c>
      <c r="AB709" s="27" t="n">
        <f aca="false">IF(H709-E709&gt;=GWL,99,E709*(MAX(0,GWL-H709)*(GAM_S-GAM_W)+MAX(0,FL-MAX(H709,GWL))*GAM_D)/(GAM_W*PI()*E709^2/4))</f>
        <v>4.77178233909288</v>
      </c>
      <c r="AC709" s="27" t="n">
        <f aca="false">IF(I709-E709&gt;=GWL,99,E709*(MAX(0,GWL-I709)*(GAM_S-GAM_W)+MAX(0,FL-MAX(I709,GWL))*GAM_D)/(GAM_W*PI()*E709^2/4))</f>
        <v>4.77178233909288</v>
      </c>
    </row>
    <row r="710" customFormat="false" ht="15" hidden="false" customHeight="false" outlineLevel="0" collapsed="false">
      <c r="A710" s="25" t="s">
        <v>1240</v>
      </c>
      <c r="B710" s="25" t="s">
        <v>1251</v>
      </c>
      <c r="C710" s="25" t="s">
        <v>1260</v>
      </c>
      <c r="D710" s="26" t="n">
        <v>4.378610920045</v>
      </c>
      <c r="E710" s="26" t="n">
        <v>1.42000748138612</v>
      </c>
      <c r="F710" s="26" t="n">
        <v>-4.30000374069306</v>
      </c>
      <c r="G710" s="26" t="n">
        <v>-4.30000374069306</v>
      </c>
      <c r="H710" s="26" t="n">
        <v>-2.37999625930694</v>
      </c>
      <c r="I710" s="26" t="n">
        <v>-2.37999625930694</v>
      </c>
      <c r="J710" s="26" t="n">
        <v>26.84</v>
      </c>
      <c r="K710" s="27" t="n">
        <f aca="false">MIN(F710,G710)</f>
        <v>-4.30000374069306</v>
      </c>
      <c r="L710" s="27" t="n">
        <f aca="false">AVERAGE(F710,G710)</f>
        <v>-4.30000374069306</v>
      </c>
      <c r="M710" s="27" t="n">
        <f aca="false">MAX(0,NG-L710)</f>
        <v>3.60000374069306</v>
      </c>
      <c r="N710" s="27" t="n">
        <f aca="false">MAX(0,GWL-K710)</f>
        <v>2.80000374069306</v>
      </c>
      <c r="O710" s="27" t="n">
        <f aca="false">MAX(0,NG-MAX(K710,GWL))</f>
        <v>0.8</v>
      </c>
      <c r="P710" s="27" t="n">
        <f aca="false">E710/2+WS+SLOPE_A*O710+SLOPE_B*N710</f>
        <v>8.51001122207917</v>
      </c>
      <c r="Q710" s="28" t="str">
        <f aca="false">IF(AND(P710&lt;J710,N710&lt;=MAXOC),"Open cut","Shoring")</f>
        <v>Shoring</v>
      </c>
      <c r="R710" s="27" t="n">
        <f aca="false">IF(Q710="Shoring",D710,0)</f>
        <v>4.378610920045</v>
      </c>
      <c r="S710" s="27" t="n">
        <f aca="false">MAX(0,GWL-L710)</f>
        <v>2.80000374069306</v>
      </c>
      <c r="T710" s="27" t="n">
        <f aca="false">MAX(0,NG-MAX(L710,GWL))</f>
        <v>0.8</v>
      </c>
      <c r="U710" s="27" t="n">
        <f aca="false">E710+2*WS</f>
        <v>3.42000748138612</v>
      </c>
      <c r="V710" s="27" t="n">
        <f aca="false">IF(Q710="Shoring",D710*M710*U710,0)</f>
        <v>53.9096315931158</v>
      </c>
      <c r="W710" s="27" t="n">
        <f aca="false">IF(Q710="Open cut",D710*(U710*M710+SLOPE_B*S710^2+2*SLOPE_B*S710*T710+SLOPE_A*T710^2),0)</f>
        <v>0</v>
      </c>
      <c r="X710" s="27" t="n">
        <f aca="false">IF(M710&gt;0,D710*(E710+2*SLABOVH)*SLAB,0)</f>
        <v>5.29813559229392</v>
      </c>
      <c r="Y710" s="27" t="n">
        <f aca="false">IF(M710&gt;0,D710*PI()*E710^2/4,0)</f>
        <v>6.93437784655401</v>
      </c>
      <c r="Z710" s="27" t="n">
        <f aca="false">IF(H710-E710&gt;=GWL,99,E710*(MAX(0,GWL-H710)*(GAM_S-GAM_W)+MAX(0,NG-MAX(H710,GWL))*GAM_D)/(GAM_W*PI()*E710^2/4))</f>
        <v>1.97491475642517</v>
      </c>
      <c r="AA710" s="27" t="n">
        <f aca="false">IF(I710-E710&gt;=GWL,99,E710*(MAX(0,GWL-I710)*(GAM_S-GAM_W)+MAX(0,NG-MAX(I710,GWL))*GAM_D)/(GAM_W*PI()*E710^2/4))</f>
        <v>1.97491475642517</v>
      </c>
      <c r="AB710" s="27" t="n">
        <f aca="false">IF(H710-E710&gt;=GWL,99,E710*(MAX(0,GWL-H710)*(GAM_S-GAM_W)+MAX(0,FL-MAX(H710,GWL))*GAM_D)/(GAM_W*PI()*E710^2/4))</f>
        <v>4.77178233909288</v>
      </c>
      <c r="AC710" s="27" t="n">
        <f aca="false">IF(I710-E710&gt;=GWL,99,E710*(MAX(0,GWL-I710)*(GAM_S-GAM_W)+MAX(0,FL-MAX(I710,GWL))*GAM_D)/(GAM_W*PI()*E710^2/4))</f>
        <v>4.77178233909288</v>
      </c>
    </row>
    <row r="711" customFormat="false" ht="15" hidden="false" customHeight="false" outlineLevel="0" collapsed="false">
      <c r="A711" s="25" t="s">
        <v>1240</v>
      </c>
      <c r="B711" s="25" t="s">
        <v>1251</v>
      </c>
      <c r="C711" s="25" t="s">
        <v>1261</v>
      </c>
      <c r="D711" s="26" t="n">
        <v>3.64603907963112</v>
      </c>
      <c r="E711" s="26" t="n">
        <v>1.42000748138612</v>
      </c>
      <c r="F711" s="26" t="n">
        <v>-4.30000374069306</v>
      </c>
      <c r="G711" s="26" t="n">
        <v>-4.30000374069306</v>
      </c>
      <c r="H711" s="26" t="n">
        <v>-2.37999625930694</v>
      </c>
      <c r="I711" s="26" t="n">
        <v>-2.37999625930694</v>
      </c>
      <c r="J711" s="26" t="n">
        <v>26.81</v>
      </c>
      <c r="K711" s="27" t="n">
        <f aca="false">MIN(F711,G711)</f>
        <v>-4.30000374069306</v>
      </c>
      <c r="L711" s="27" t="n">
        <f aca="false">AVERAGE(F711,G711)</f>
        <v>-4.30000374069306</v>
      </c>
      <c r="M711" s="27" t="n">
        <f aca="false">MAX(0,NG-L711)</f>
        <v>3.60000374069306</v>
      </c>
      <c r="N711" s="27" t="n">
        <f aca="false">MAX(0,GWL-K711)</f>
        <v>2.80000374069306</v>
      </c>
      <c r="O711" s="27" t="n">
        <f aca="false">MAX(0,NG-MAX(K711,GWL))</f>
        <v>0.8</v>
      </c>
      <c r="P711" s="27" t="n">
        <f aca="false">E711/2+WS+SLOPE_A*O711+SLOPE_B*N711</f>
        <v>8.51001122207917</v>
      </c>
      <c r="Q711" s="28" t="str">
        <f aca="false">IF(AND(P711&lt;J711,N711&lt;=MAXOC),"Open cut","Shoring")</f>
        <v>Shoring</v>
      </c>
      <c r="R711" s="27" t="n">
        <f aca="false">IF(Q711="Shoring",D711,0)</f>
        <v>3.64603907963112</v>
      </c>
      <c r="S711" s="27" t="n">
        <f aca="false">MAX(0,GWL-L711)</f>
        <v>2.80000374069306</v>
      </c>
      <c r="T711" s="27" t="n">
        <f aca="false">MAX(0,NG-MAX(L711,GWL))</f>
        <v>0.8</v>
      </c>
      <c r="U711" s="27" t="n">
        <f aca="false">E711+2*WS</f>
        <v>3.42000748138612</v>
      </c>
      <c r="V711" s="27" t="n">
        <f aca="false">IF(Q711="Shoring",D711*M711*U711,0)</f>
        <v>44.8901779916533</v>
      </c>
      <c r="W711" s="27" t="n">
        <f aca="false">IF(Q711="Open cut",D711*(U711*M711+SLOPE_B*S711^2+2*SLOPE_B*S711*T711+SLOPE_A*T711^2),0)</f>
        <v>0</v>
      </c>
      <c r="X711" s="27" t="n">
        <f aca="false">IF(M711&gt;0,D711*(E711+2*SLABOVH)*SLAB,0)</f>
        <v>4.41172092506673</v>
      </c>
      <c r="Y711" s="27" t="n">
        <f aca="false">IF(M711&gt;0,D711*PI()*E711^2/4,0)</f>
        <v>5.77420855224204</v>
      </c>
      <c r="Z711" s="27" t="n">
        <f aca="false">IF(H711-E711&gt;=GWL,99,E711*(MAX(0,GWL-H711)*(GAM_S-GAM_W)+MAX(0,NG-MAX(H711,GWL))*GAM_D)/(GAM_W*PI()*E711^2/4))</f>
        <v>1.97491475642517</v>
      </c>
      <c r="AA711" s="27" t="n">
        <f aca="false">IF(I711-E711&gt;=GWL,99,E711*(MAX(0,GWL-I711)*(GAM_S-GAM_W)+MAX(0,NG-MAX(I711,GWL))*GAM_D)/(GAM_W*PI()*E711^2/4))</f>
        <v>1.97491475642517</v>
      </c>
      <c r="AB711" s="27" t="n">
        <f aca="false">IF(H711-E711&gt;=GWL,99,E711*(MAX(0,GWL-H711)*(GAM_S-GAM_W)+MAX(0,FL-MAX(H711,GWL))*GAM_D)/(GAM_W*PI()*E711^2/4))</f>
        <v>4.77178233909288</v>
      </c>
      <c r="AC711" s="27" t="n">
        <f aca="false">IF(I711-E711&gt;=GWL,99,E711*(MAX(0,GWL-I711)*(GAM_S-GAM_W)+MAX(0,FL-MAX(I711,GWL))*GAM_D)/(GAM_W*PI()*E711^2/4))</f>
        <v>4.77178233909288</v>
      </c>
    </row>
    <row r="712" customFormat="false" ht="15" hidden="false" customHeight="false" outlineLevel="0" collapsed="false">
      <c r="A712" s="25" t="s">
        <v>1240</v>
      </c>
      <c r="B712" s="25" t="s">
        <v>1262</v>
      </c>
      <c r="C712" s="25" t="s">
        <v>1263</v>
      </c>
      <c r="D712" s="26" t="n">
        <v>6.07820058423607</v>
      </c>
      <c r="E712" s="26" t="n">
        <v>2.0696</v>
      </c>
      <c r="F712" s="26" t="n">
        <v>-7.5748</v>
      </c>
      <c r="G712" s="26" t="n">
        <v>-7.5748</v>
      </c>
      <c r="H712" s="26" t="n">
        <v>-5.0052</v>
      </c>
      <c r="I712" s="26" t="n">
        <v>-5.0052</v>
      </c>
      <c r="J712" s="26" t="n">
        <v>10.31</v>
      </c>
      <c r="K712" s="27" t="n">
        <f aca="false">MIN(F712,G712)</f>
        <v>-7.5748</v>
      </c>
      <c r="L712" s="27" t="n">
        <f aca="false">AVERAGE(F712,G712)</f>
        <v>-7.5748</v>
      </c>
      <c r="M712" s="27" t="n">
        <f aca="false">MAX(0,NG-L712)</f>
        <v>6.8748</v>
      </c>
      <c r="N712" s="27" t="n">
        <f aca="false">MAX(0,GWL-K712)</f>
        <v>6.0748</v>
      </c>
      <c r="O712" s="27" t="n">
        <f aca="false">MAX(0,NG-MAX(K712,GWL))</f>
        <v>0.8</v>
      </c>
      <c r="P712" s="27" t="n">
        <f aca="false">E712/2+WS+SLOPE_A*O712+SLOPE_B*N712</f>
        <v>15.3844</v>
      </c>
      <c r="Q712" s="28" t="str">
        <f aca="false">IF(AND(P712&lt;J712,N712&lt;=MAXOC),"Open cut","Shoring")</f>
        <v>Shoring</v>
      </c>
      <c r="R712" s="27" t="n">
        <f aca="false">IF(Q712="Shoring",D712,0)</f>
        <v>6.07820058423607</v>
      </c>
      <c r="S712" s="27" t="n">
        <f aca="false">MAX(0,GWL-L712)</f>
        <v>6.0748</v>
      </c>
      <c r="T712" s="27" t="n">
        <f aca="false">MAX(0,NG-MAX(L712,GWL))</f>
        <v>0.8</v>
      </c>
      <c r="U712" s="27" t="n">
        <f aca="false">E712+2*WS</f>
        <v>4.0696</v>
      </c>
      <c r="V712" s="27" t="n">
        <f aca="false">IF(Q712="Shoring",D712*M712*U712,0)</f>
        <v>170.053987877029</v>
      </c>
      <c r="W712" s="27" t="n">
        <f aca="false">IF(Q712="Open cut",D712*(U712*M712+SLOPE_B*S712^2+2*SLOPE_B*S712*T712+SLOPE_A*T712^2),0)</f>
        <v>0</v>
      </c>
      <c r="X712" s="27" t="n">
        <f aca="false">IF(M712&gt;0,D712*(E712+2*SLABOVH)*SLAB,0)</f>
        <v>9.32882225668553</v>
      </c>
      <c r="Y712" s="27" t="n">
        <f aca="false">IF(M712&gt;0,D712*PI()*E712^2/4,0)</f>
        <v>20.4473834192394</v>
      </c>
      <c r="Z712" s="27" t="n">
        <f aca="false">IF(H712-E712&gt;=GWL,99,E712*(MAX(0,GWL-H712)*(GAM_S-GAM_W)+MAX(0,NG-MAX(H712,GWL))*GAM_D)/(GAM_W*PI()*E712^2/4))</f>
        <v>2.70338823221765</v>
      </c>
      <c r="AA712" s="27" t="n">
        <f aca="false">IF(I712-E712&gt;=GWL,99,E712*(MAX(0,GWL-I712)*(GAM_S-GAM_W)+MAX(0,NG-MAX(I712,GWL))*GAM_D)/(GAM_W*PI()*E712^2/4))</f>
        <v>2.70338823221765</v>
      </c>
      <c r="AB712" s="27" t="n">
        <f aca="false">IF(H712-E712&gt;=GWL,99,E712*(MAX(0,GWL-H712)*(GAM_S-GAM_W)+MAX(0,FL-MAX(H712,GWL))*GAM_D)/(GAM_W*PI()*E712^2/4))</f>
        <v>4.62239330171632</v>
      </c>
      <c r="AC712" s="27" t="n">
        <f aca="false">IF(I712-E712&gt;=GWL,99,E712*(MAX(0,GWL-I712)*(GAM_S-GAM_W)+MAX(0,FL-MAX(I712,GWL))*GAM_D)/(GAM_W*PI()*E712^2/4))</f>
        <v>4.62239330171632</v>
      </c>
    </row>
    <row r="713" customFormat="false" ht="15" hidden="false" customHeight="false" outlineLevel="0" collapsed="false">
      <c r="A713" s="25" t="s">
        <v>1240</v>
      </c>
      <c r="B713" s="25" t="s">
        <v>1262</v>
      </c>
      <c r="C713" s="25" t="s">
        <v>1264</v>
      </c>
      <c r="D713" s="26" t="n">
        <v>2.23324068967252</v>
      </c>
      <c r="E713" s="26" t="n">
        <v>2.0696</v>
      </c>
      <c r="F713" s="26" t="n">
        <v>-7.5748</v>
      </c>
      <c r="G713" s="26" t="n">
        <v>-7.57536</v>
      </c>
      <c r="H713" s="26" t="n">
        <v>-5.0052</v>
      </c>
      <c r="I713" s="26" t="n">
        <v>-5.00576</v>
      </c>
      <c r="J713" s="26" t="n">
        <v>15.53</v>
      </c>
      <c r="K713" s="27" t="n">
        <f aca="false">MIN(F713,G713)</f>
        <v>-7.57536</v>
      </c>
      <c r="L713" s="27" t="n">
        <f aca="false">AVERAGE(F713,G713)</f>
        <v>-7.57508</v>
      </c>
      <c r="M713" s="27" t="n">
        <f aca="false">MAX(0,NG-L713)</f>
        <v>6.87508</v>
      </c>
      <c r="N713" s="27" t="n">
        <f aca="false">MAX(0,GWL-K713)</f>
        <v>6.07536</v>
      </c>
      <c r="O713" s="27" t="n">
        <f aca="false">MAX(0,NG-MAX(K713,GWL))</f>
        <v>0.8</v>
      </c>
      <c r="P713" s="27" t="n">
        <f aca="false">E713/2+WS+SLOPE_A*O713+SLOPE_B*N713</f>
        <v>15.38552</v>
      </c>
      <c r="Q713" s="28" t="str">
        <f aca="false">IF(AND(P713&lt;J713,N713&lt;=MAXOC),"Open cut","Shoring")</f>
        <v>Shoring</v>
      </c>
      <c r="R713" s="27" t="n">
        <f aca="false">IF(Q713="Shoring",D713,0)</f>
        <v>2.23324068967252</v>
      </c>
      <c r="S713" s="27" t="n">
        <f aca="false">MAX(0,GWL-L713)</f>
        <v>6.07508</v>
      </c>
      <c r="T713" s="27" t="n">
        <f aca="false">MAX(0,NG-MAX(L713,GWL))</f>
        <v>0.8</v>
      </c>
      <c r="U713" s="27" t="n">
        <f aca="false">E713+2*WS</f>
        <v>4.0696</v>
      </c>
      <c r="V713" s="27" t="n">
        <f aca="false">IF(Q713="Shoring",D713*M713*U713,0)</f>
        <v>62.4834517077074</v>
      </c>
      <c r="W713" s="27" t="n">
        <f aca="false">IF(Q713="Open cut",D713*(U713*M713+SLOPE_B*S713^2+2*SLOPE_B*S713*T713+SLOPE_A*T713^2),0)</f>
        <v>0</v>
      </c>
      <c r="X713" s="27" t="n">
        <f aca="false">IF(M713&gt;0,D713*(E713+2*SLABOVH)*SLAB,0)</f>
        <v>3.42757781050938</v>
      </c>
      <c r="Y713" s="27" t="n">
        <f aca="false">IF(M713&gt;0,D713*PI()*E713^2/4,0)</f>
        <v>7.51273802440988</v>
      </c>
      <c r="Z713" s="27" t="n">
        <f aca="false">IF(H713-E713&gt;=GWL,99,E713*(MAX(0,GWL-H713)*(GAM_S-GAM_W)+MAX(0,NG-MAX(H713,GWL))*GAM_D)/(GAM_W*PI()*E713^2/4))</f>
        <v>2.70338823221765</v>
      </c>
      <c r="AA713" s="27" t="n">
        <f aca="false">IF(I713-E713&gt;=GWL,99,E713*(MAX(0,GWL-I713)*(GAM_S-GAM_W)+MAX(0,NG-MAX(I713,GWL))*GAM_D)/(GAM_W*PI()*E713^2/4))</f>
        <v>2.70367585721277</v>
      </c>
      <c r="AB713" s="27" t="n">
        <f aca="false">IF(H713-E713&gt;=GWL,99,E713*(MAX(0,GWL-H713)*(GAM_S-GAM_W)+MAX(0,FL-MAX(H713,GWL))*GAM_D)/(GAM_W*PI()*E713^2/4))</f>
        <v>4.62239330171632</v>
      </c>
      <c r="AC713" s="27" t="n">
        <f aca="false">IF(I713-E713&gt;=GWL,99,E713*(MAX(0,GWL-I713)*(GAM_S-GAM_W)+MAX(0,FL-MAX(I713,GWL))*GAM_D)/(GAM_W*PI()*E713^2/4))</f>
        <v>4.62268092671145</v>
      </c>
    </row>
    <row r="714" customFormat="false" ht="15" hidden="false" customHeight="false" outlineLevel="0" collapsed="false">
      <c r="A714" s="25" t="s">
        <v>1240</v>
      </c>
      <c r="B714" s="25" t="s">
        <v>1262</v>
      </c>
      <c r="C714" s="25" t="s">
        <v>1265</v>
      </c>
      <c r="D714" s="26" t="n">
        <v>0.807694920795857</v>
      </c>
      <c r="E714" s="26" t="n">
        <v>2.0696</v>
      </c>
      <c r="F714" s="26" t="n">
        <v>-7.57536</v>
      </c>
      <c r="G714" s="26" t="n">
        <v>-7.57556</v>
      </c>
      <c r="H714" s="26" t="n">
        <v>-5.00576</v>
      </c>
      <c r="I714" s="26" t="n">
        <v>-5.00596</v>
      </c>
      <c r="J714" s="26" t="n">
        <v>14.75</v>
      </c>
      <c r="K714" s="27" t="n">
        <f aca="false">MIN(F714,G714)</f>
        <v>-7.57556</v>
      </c>
      <c r="L714" s="27" t="n">
        <f aca="false">AVERAGE(F714,G714)</f>
        <v>-7.57546</v>
      </c>
      <c r="M714" s="27" t="n">
        <f aca="false">MAX(0,NG-L714)</f>
        <v>6.87546</v>
      </c>
      <c r="N714" s="27" t="n">
        <f aca="false">MAX(0,GWL-K714)</f>
        <v>6.07556</v>
      </c>
      <c r="O714" s="27" t="n">
        <f aca="false">MAX(0,NG-MAX(K714,GWL))</f>
        <v>0.8</v>
      </c>
      <c r="P714" s="27" t="n">
        <f aca="false">E714/2+WS+SLOPE_A*O714+SLOPE_B*N714</f>
        <v>15.38592</v>
      </c>
      <c r="Q714" s="28" t="str">
        <f aca="false">IF(AND(P714&lt;J714,N714&lt;=MAXOC),"Open cut","Shoring")</f>
        <v>Shoring</v>
      </c>
      <c r="R714" s="27" t="n">
        <f aca="false">IF(Q714="Shoring",D714,0)</f>
        <v>0.807694920795857</v>
      </c>
      <c r="S714" s="27" t="n">
        <f aca="false">MAX(0,GWL-L714)</f>
        <v>6.07546</v>
      </c>
      <c r="T714" s="27" t="n">
        <f aca="false">MAX(0,NG-MAX(L714,GWL))</f>
        <v>0.8</v>
      </c>
      <c r="U714" s="27" t="n">
        <f aca="false">E714+2*WS</f>
        <v>4.0696</v>
      </c>
      <c r="V714" s="27" t="n">
        <f aca="false">IF(Q714="Shoring",D714*M714*U714,0)</f>
        <v>22.5996043593017</v>
      </c>
      <c r="W714" s="27" t="n">
        <f aca="false">IF(Q714="Open cut",D714*(U714*M714+SLOPE_B*S714^2+2*SLOPE_B*S714*T714+SLOPE_A*T714^2),0)</f>
        <v>0</v>
      </c>
      <c r="X714" s="27" t="n">
        <f aca="false">IF(M714&gt;0,D714*(E714+2*SLABOVH)*SLAB,0)</f>
        <v>1.23965016443748</v>
      </c>
      <c r="Y714" s="27" t="n">
        <f aca="false">IF(M714&gt;0,D714*PI()*E714^2/4,0)</f>
        <v>2.71712779175431</v>
      </c>
      <c r="Z714" s="27" t="n">
        <f aca="false">IF(H714-E714&gt;=GWL,99,E714*(MAX(0,GWL-H714)*(GAM_S-GAM_W)+MAX(0,NG-MAX(H714,GWL))*GAM_D)/(GAM_W*PI()*E714^2/4))</f>
        <v>2.70367585721277</v>
      </c>
      <c r="AA714" s="27" t="n">
        <f aca="false">IF(I714-E714&gt;=GWL,99,E714*(MAX(0,GWL-I714)*(GAM_S-GAM_W)+MAX(0,NG-MAX(I714,GWL))*GAM_D)/(GAM_W*PI()*E714^2/4))</f>
        <v>2.70377858042532</v>
      </c>
      <c r="AB714" s="27" t="n">
        <f aca="false">IF(H714-E714&gt;=GWL,99,E714*(MAX(0,GWL-H714)*(GAM_S-GAM_W)+MAX(0,FL-MAX(H714,GWL))*GAM_D)/(GAM_W*PI()*E714^2/4))</f>
        <v>4.62268092671145</v>
      </c>
      <c r="AC714" s="27" t="n">
        <f aca="false">IF(I714-E714&gt;=GWL,99,E714*(MAX(0,GWL-I714)*(GAM_S-GAM_W)+MAX(0,FL-MAX(I714,GWL))*GAM_D)/(GAM_W*PI()*E714^2/4))</f>
        <v>4.62278364992399</v>
      </c>
    </row>
    <row r="715" customFormat="false" ht="15" hidden="false" customHeight="false" outlineLevel="0" collapsed="false">
      <c r="A715" s="25" t="s">
        <v>1240</v>
      </c>
      <c r="B715" s="25" t="s">
        <v>1262</v>
      </c>
      <c r="C715" s="25" t="s">
        <v>1266</v>
      </c>
      <c r="D715" s="26" t="n">
        <v>0.807680967361405</v>
      </c>
      <c r="E715" s="26" t="n">
        <v>2.0696</v>
      </c>
      <c r="F715" s="26" t="n">
        <v>-7.57556</v>
      </c>
      <c r="G715" s="26" t="n">
        <v>-7.57577</v>
      </c>
      <c r="H715" s="26" t="n">
        <v>-5.00596</v>
      </c>
      <c r="I715" s="26" t="n">
        <v>-5.00617</v>
      </c>
      <c r="J715" s="26" t="n">
        <v>14.06</v>
      </c>
      <c r="K715" s="27" t="n">
        <f aca="false">MIN(F715,G715)</f>
        <v>-7.57577</v>
      </c>
      <c r="L715" s="27" t="n">
        <f aca="false">AVERAGE(F715,G715)</f>
        <v>-7.575665</v>
      </c>
      <c r="M715" s="27" t="n">
        <f aca="false">MAX(0,NG-L715)</f>
        <v>6.875665</v>
      </c>
      <c r="N715" s="27" t="n">
        <f aca="false">MAX(0,GWL-K715)</f>
        <v>6.07577</v>
      </c>
      <c r="O715" s="27" t="n">
        <f aca="false">MAX(0,NG-MAX(K715,GWL))</f>
        <v>0.8</v>
      </c>
      <c r="P715" s="27" t="n">
        <f aca="false">E715/2+WS+SLOPE_A*O715+SLOPE_B*N715</f>
        <v>15.38634</v>
      </c>
      <c r="Q715" s="28" t="str">
        <f aca="false">IF(AND(P715&lt;J715,N715&lt;=MAXOC),"Open cut","Shoring")</f>
        <v>Shoring</v>
      </c>
      <c r="R715" s="27" t="n">
        <f aca="false">IF(Q715="Shoring",D715,0)</f>
        <v>0.807680967361405</v>
      </c>
      <c r="S715" s="27" t="n">
        <f aca="false">MAX(0,GWL-L715)</f>
        <v>6.075665</v>
      </c>
      <c r="T715" s="27" t="n">
        <f aca="false">MAX(0,NG-MAX(L715,GWL))</f>
        <v>0.8</v>
      </c>
      <c r="U715" s="27" t="n">
        <f aca="false">E715+2*WS</f>
        <v>4.0696</v>
      </c>
      <c r="V715" s="27" t="n">
        <f aca="false">IF(Q715="Shoring",D715*M715*U715,0)</f>
        <v>22.5998877594001</v>
      </c>
      <c r="W715" s="27" t="n">
        <f aca="false">IF(Q715="Open cut",D715*(U715*M715+SLOPE_B*S715^2+2*SLOPE_B*S715*T715+SLOPE_A*T715^2),0)</f>
        <v>0</v>
      </c>
      <c r="X715" s="27" t="n">
        <f aca="false">IF(M715&gt;0,D715*(E715+2*SLABOVH)*SLAB,0)</f>
        <v>1.23962874870628</v>
      </c>
      <c r="Y715" s="27" t="n">
        <f aca="false">IF(M715&gt;0,D715*PI()*E715^2/4,0)</f>
        <v>2.71708085167389</v>
      </c>
      <c r="Z715" s="27" t="n">
        <f aca="false">IF(H715-E715&gt;=GWL,99,E715*(MAX(0,GWL-H715)*(GAM_S-GAM_W)+MAX(0,NG-MAX(H715,GWL))*GAM_D)/(GAM_W*PI()*E715^2/4))</f>
        <v>2.70377858042532</v>
      </c>
      <c r="AA715" s="27" t="n">
        <f aca="false">IF(I715-E715&gt;=GWL,99,E715*(MAX(0,GWL-I715)*(GAM_S-GAM_W)+MAX(0,NG-MAX(I715,GWL))*GAM_D)/(GAM_W*PI()*E715^2/4))</f>
        <v>2.70388643979849</v>
      </c>
      <c r="AB715" s="27" t="n">
        <f aca="false">IF(H715-E715&gt;=GWL,99,E715*(MAX(0,GWL-H715)*(GAM_S-GAM_W)+MAX(0,FL-MAX(H715,GWL))*GAM_D)/(GAM_W*PI()*E715^2/4))</f>
        <v>4.62278364992399</v>
      </c>
      <c r="AC715" s="27" t="n">
        <f aca="false">IF(I715-E715&gt;=GWL,99,E715*(MAX(0,GWL-I715)*(GAM_S-GAM_W)+MAX(0,FL-MAX(I715,GWL))*GAM_D)/(GAM_W*PI()*E715^2/4))</f>
        <v>4.62289150929716</v>
      </c>
    </row>
    <row r="716" customFormat="false" ht="15" hidden="false" customHeight="false" outlineLevel="0" collapsed="false">
      <c r="A716" s="25" t="s">
        <v>1240</v>
      </c>
      <c r="B716" s="25" t="s">
        <v>1262</v>
      </c>
      <c r="C716" s="25" t="s">
        <v>1267</v>
      </c>
      <c r="D716" s="26" t="n">
        <v>0.0731828383704407</v>
      </c>
      <c r="E716" s="26" t="n">
        <v>2.0696</v>
      </c>
      <c r="F716" s="26" t="n">
        <v>-7.57577</v>
      </c>
      <c r="G716" s="26" t="n">
        <v>-7.57578839546087</v>
      </c>
      <c r="H716" s="26" t="n">
        <v>-5.00617</v>
      </c>
      <c r="I716" s="26" t="n">
        <v>-5.00618839546087</v>
      </c>
      <c r="J716" s="26" t="n">
        <v>14</v>
      </c>
      <c r="K716" s="27" t="n">
        <f aca="false">MIN(F716,G716)</f>
        <v>-7.57578839546087</v>
      </c>
      <c r="L716" s="27" t="n">
        <f aca="false">AVERAGE(F716,G716)</f>
        <v>-7.57577919773044</v>
      </c>
      <c r="M716" s="27" t="n">
        <f aca="false">MAX(0,NG-L716)</f>
        <v>6.87577919773044</v>
      </c>
      <c r="N716" s="27" t="n">
        <f aca="false">MAX(0,GWL-K716)</f>
        <v>6.07578839546087</v>
      </c>
      <c r="O716" s="27" t="n">
        <f aca="false">MAX(0,NG-MAX(K716,GWL))</f>
        <v>0.8</v>
      </c>
      <c r="P716" s="27" t="n">
        <f aca="false">E716/2+WS+SLOPE_A*O716+SLOPE_B*N716</f>
        <v>15.3863767909217</v>
      </c>
      <c r="Q716" s="28" t="str">
        <f aca="false">IF(AND(P716&lt;J716,N716&lt;=MAXOC),"Open cut","Shoring")</f>
        <v>Shoring</v>
      </c>
      <c r="R716" s="27" t="n">
        <f aca="false">IF(Q716="Shoring",D716,0)</f>
        <v>0.0731828383704407</v>
      </c>
      <c r="S716" s="27" t="n">
        <f aca="false">MAX(0,GWL-L716)</f>
        <v>6.07577919773044</v>
      </c>
      <c r="T716" s="27" t="n">
        <f aca="false">MAX(0,NG-MAX(L716,GWL))</f>
        <v>0.8</v>
      </c>
      <c r="U716" s="27" t="n">
        <f aca="false">E716+2*WS</f>
        <v>4.0696</v>
      </c>
      <c r="V716" s="27" t="n">
        <f aca="false">IF(Q716="Shoring",D716*M716*U716,0)</f>
        <v>2.04777810781718</v>
      </c>
      <c r="W716" s="27" t="n">
        <f aca="false">IF(Q716="Open cut",D716*(U716*M716+SLOPE_B*S716^2+2*SLOPE_B*S716*T716+SLOPE_A*T716^2),0)</f>
        <v>0</v>
      </c>
      <c r="X716" s="27" t="n">
        <f aca="false">IF(M716&gt;0,D716*(E716+2*SLABOVH)*SLAB,0)</f>
        <v>0.112321020330952</v>
      </c>
      <c r="Y716" s="27" t="n">
        <f aca="false">IF(M716&gt;0,D716*PI()*E716^2/4,0)</f>
        <v>0.246190880858648</v>
      </c>
      <c r="Z716" s="27" t="n">
        <f aca="false">IF(H716-E716&gt;=GWL,99,E716*(MAX(0,GWL-H716)*(GAM_S-GAM_W)+MAX(0,NG-MAX(H716,GWL))*GAM_D)/(GAM_W*PI()*E716^2/4))</f>
        <v>2.70388643979849</v>
      </c>
      <c r="AA716" s="27" t="n">
        <f aca="false">IF(I716-E716&gt;=GWL,99,E716*(MAX(0,GWL-I716)*(GAM_S-GAM_W)+MAX(0,NG-MAX(I716,GWL))*GAM_D)/(GAM_W*PI()*E716^2/4))</f>
        <v>2.70389588800267</v>
      </c>
      <c r="AB716" s="27" t="n">
        <f aca="false">IF(H716-E716&gt;=GWL,99,E716*(MAX(0,GWL-H716)*(GAM_S-GAM_W)+MAX(0,FL-MAX(H716,GWL))*GAM_D)/(GAM_W*PI()*E716^2/4))</f>
        <v>4.62289150929716</v>
      </c>
      <c r="AC716" s="27" t="n">
        <f aca="false">IF(I716-E716&gt;=GWL,99,E716*(MAX(0,GWL-I716)*(GAM_S-GAM_W)+MAX(0,FL-MAX(I716,GWL))*GAM_D)/(GAM_W*PI()*E716^2/4))</f>
        <v>4.62290095750135</v>
      </c>
    </row>
    <row r="717" customFormat="false" ht="15" hidden="false" customHeight="false" outlineLevel="0" collapsed="false">
      <c r="A717" s="25" t="s">
        <v>1240</v>
      </c>
      <c r="B717" s="25" t="s">
        <v>1262</v>
      </c>
      <c r="C717" s="25" t="s">
        <v>1268</v>
      </c>
      <c r="D717" s="26" t="n">
        <v>2.11488742218435</v>
      </c>
      <c r="E717" s="26" t="n">
        <v>2.0696</v>
      </c>
      <c r="F717" s="26" t="n">
        <v>-7.57578839546087</v>
      </c>
      <c r="G717" s="26" t="n">
        <v>-7.57632</v>
      </c>
      <c r="H717" s="26" t="n">
        <v>-5.00618839546087</v>
      </c>
      <c r="I717" s="26" t="n">
        <v>-5.00672</v>
      </c>
      <c r="J717" s="26" t="n">
        <v>12.48</v>
      </c>
      <c r="K717" s="27" t="n">
        <f aca="false">MIN(F717,G717)</f>
        <v>-7.57632</v>
      </c>
      <c r="L717" s="27" t="n">
        <f aca="false">AVERAGE(F717,G717)</f>
        <v>-7.57605419773044</v>
      </c>
      <c r="M717" s="27" t="n">
        <f aca="false">MAX(0,NG-L717)</f>
        <v>6.87605419773044</v>
      </c>
      <c r="N717" s="27" t="n">
        <f aca="false">MAX(0,GWL-K717)</f>
        <v>6.07632</v>
      </c>
      <c r="O717" s="27" t="n">
        <f aca="false">MAX(0,NG-MAX(K717,GWL))</f>
        <v>0.8</v>
      </c>
      <c r="P717" s="27" t="n">
        <f aca="false">E717/2+WS+SLOPE_A*O717+SLOPE_B*N717</f>
        <v>15.38744</v>
      </c>
      <c r="Q717" s="28" t="str">
        <f aca="false">IF(AND(P717&lt;J717,N717&lt;=MAXOC),"Open cut","Shoring")</f>
        <v>Shoring</v>
      </c>
      <c r="R717" s="27" t="n">
        <f aca="false">IF(Q717="Shoring",D717,0)</f>
        <v>2.11488742218435</v>
      </c>
      <c r="S717" s="27" t="n">
        <f aca="false">MAX(0,GWL-L717)</f>
        <v>6.07605419773044</v>
      </c>
      <c r="T717" s="27" t="n">
        <f aca="false">MAX(0,NG-MAX(L717,GWL))</f>
        <v>0.8</v>
      </c>
      <c r="U717" s="27" t="n">
        <f aca="false">E717+2*WS</f>
        <v>4.0696</v>
      </c>
      <c r="V717" s="27" t="n">
        <f aca="false">IF(Q717="Shoring",D717*M717*U717,0)</f>
        <v>59.1804509535298</v>
      </c>
      <c r="W717" s="27" t="n">
        <f aca="false">IF(Q717="Open cut",D717*(U717*M717+SLOPE_B*S717^2+2*SLOPE_B*S717*T717+SLOPE_A*T717^2),0)</f>
        <v>0</v>
      </c>
      <c r="X717" s="27" t="n">
        <f aca="false">IF(M717&gt;0,D717*(E717+2*SLABOVH)*SLAB,0)</f>
        <v>3.24592921556854</v>
      </c>
      <c r="Y717" s="27" t="n">
        <f aca="false">IF(M717&gt;0,D717*PI()*E717^2/4,0)</f>
        <v>7.1145914667713</v>
      </c>
      <c r="Z717" s="27" t="n">
        <f aca="false">IF(H717-E717&gt;=GWL,99,E717*(MAX(0,GWL-H717)*(GAM_S-GAM_W)+MAX(0,NG-MAX(H717,GWL))*GAM_D)/(GAM_W*PI()*E717^2/4))</f>
        <v>2.70389588800267</v>
      </c>
      <c r="AA717" s="27" t="n">
        <f aca="false">IF(I717-E717&gt;=GWL,99,E717*(MAX(0,GWL-I717)*(GAM_S-GAM_W)+MAX(0,NG-MAX(I717,GWL))*GAM_D)/(GAM_W*PI()*E717^2/4))</f>
        <v>2.70416892863298</v>
      </c>
      <c r="AB717" s="27" t="n">
        <f aca="false">IF(H717-E717&gt;=GWL,99,E717*(MAX(0,GWL-H717)*(GAM_S-GAM_W)+MAX(0,FL-MAX(H717,GWL))*GAM_D)/(GAM_W*PI()*E717^2/4))</f>
        <v>4.62290095750135</v>
      </c>
      <c r="AC717" s="27" t="n">
        <f aca="false">IF(I717-E717&gt;=GWL,99,E717*(MAX(0,GWL-I717)*(GAM_S-GAM_W)+MAX(0,FL-MAX(I717,GWL))*GAM_D)/(GAM_W*PI()*E717^2/4))</f>
        <v>4.62317399813166</v>
      </c>
    </row>
    <row r="718" customFormat="false" ht="15" hidden="false" customHeight="false" outlineLevel="0" collapsed="false">
      <c r="A718" s="25" t="s">
        <v>1240</v>
      </c>
      <c r="B718" s="25" t="s">
        <v>1262</v>
      </c>
      <c r="C718" s="25" t="s">
        <v>1269</v>
      </c>
      <c r="D718" s="26" t="n">
        <v>7.88511257793907</v>
      </c>
      <c r="E718" s="26" t="n">
        <v>2.0696</v>
      </c>
      <c r="F718" s="26" t="n">
        <v>-7.57632</v>
      </c>
      <c r="G718" s="26" t="n">
        <v>-7.57830121048066</v>
      </c>
      <c r="H718" s="26" t="n">
        <v>-5.00672</v>
      </c>
      <c r="I718" s="26" t="n">
        <v>-5.00870121048066</v>
      </c>
      <c r="J718" s="26" t="n">
        <v>6.93</v>
      </c>
      <c r="K718" s="27" t="n">
        <f aca="false">MIN(F718,G718)</f>
        <v>-7.57830121048066</v>
      </c>
      <c r="L718" s="27" t="n">
        <f aca="false">AVERAGE(F718,G718)</f>
        <v>-7.57731060524033</v>
      </c>
      <c r="M718" s="27" t="n">
        <f aca="false">MAX(0,NG-L718)</f>
        <v>6.87731060524033</v>
      </c>
      <c r="N718" s="27" t="n">
        <f aca="false">MAX(0,GWL-K718)</f>
        <v>6.07830121048066</v>
      </c>
      <c r="O718" s="27" t="n">
        <f aca="false">MAX(0,NG-MAX(K718,GWL))</f>
        <v>0.8</v>
      </c>
      <c r="P718" s="27" t="n">
        <f aca="false">E718/2+WS+SLOPE_A*O718+SLOPE_B*N718</f>
        <v>15.3914024209613</v>
      </c>
      <c r="Q718" s="28" t="str">
        <f aca="false">IF(AND(P718&lt;J718,N718&lt;=MAXOC),"Open cut","Shoring")</f>
        <v>Shoring</v>
      </c>
      <c r="R718" s="27" t="n">
        <f aca="false">IF(Q718="Shoring",D718,0)</f>
        <v>7.88511257793907</v>
      </c>
      <c r="S718" s="27" t="n">
        <f aca="false">MAX(0,GWL-L718)</f>
        <v>6.07731060524033</v>
      </c>
      <c r="T718" s="27" t="n">
        <f aca="false">MAX(0,NG-MAX(L718,GWL))</f>
        <v>0.8</v>
      </c>
      <c r="U718" s="27" t="n">
        <f aca="false">E718+2*WS</f>
        <v>4.0696</v>
      </c>
      <c r="V718" s="27" t="n">
        <f aca="false">IF(Q718="Shoring",D718*M718*U718,0)</f>
        <v>220.687767860659</v>
      </c>
      <c r="W718" s="27" t="n">
        <f aca="false">IF(Q718="Open cut",D718*(U718*M718+SLOPE_B*S718^2+2*SLOPE_B*S718*T718+SLOPE_A*T718^2),0)</f>
        <v>0</v>
      </c>
      <c r="X718" s="27" t="n">
        <f aca="false">IF(M718&gt;0,D718*(E718+2*SLABOVH)*SLAB,0)</f>
        <v>12.1020707846209</v>
      </c>
      <c r="Y718" s="27" t="n">
        <f aca="false">IF(M718&gt;0,D718*PI()*E718^2/4,0)</f>
        <v>26.5259295001123</v>
      </c>
      <c r="Z718" s="27" t="n">
        <f aca="false">IF(H718-E718&gt;=GWL,99,E718*(MAX(0,GWL-H718)*(GAM_S-GAM_W)+MAX(0,NG-MAX(H718,GWL))*GAM_D)/(GAM_W*PI()*E718^2/4))</f>
        <v>2.70416892863298</v>
      </c>
      <c r="AA718" s="27" t="n">
        <f aca="false">IF(I718-E718&gt;=GWL,99,E718*(MAX(0,GWL-I718)*(GAM_S-GAM_W)+MAX(0,NG-MAX(I718,GWL))*GAM_D)/(GAM_W*PI()*E718^2/4))</f>
        <v>2.70518651015948</v>
      </c>
      <c r="AB718" s="27" t="n">
        <f aca="false">IF(H718-E718&gt;=GWL,99,E718*(MAX(0,GWL-H718)*(GAM_S-GAM_W)+MAX(0,FL-MAX(H718,GWL))*GAM_D)/(GAM_W*PI()*E718^2/4))</f>
        <v>4.62317399813166</v>
      </c>
      <c r="AC718" s="27" t="n">
        <f aca="false">IF(I718-E718&gt;=GWL,99,E718*(MAX(0,GWL-I718)*(GAM_S-GAM_W)+MAX(0,FL-MAX(I718,GWL))*GAM_D)/(GAM_W*PI()*E718^2/4))</f>
        <v>4.62419157965815</v>
      </c>
    </row>
    <row r="719" customFormat="false" ht="15" hidden="false" customHeight="false" outlineLevel="0" collapsed="false">
      <c r="A719" s="25" t="s">
        <v>1240</v>
      </c>
      <c r="B719" s="25" t="s">
        <v>1262</v>
      </c>
      <c r="C719" s="25" t="s">
        <v>1270</v>
      </c>
      <c r="D719" s="26" t="n">
        <v>3.10000000003549</v>
      </c>
      <c r="E719" s="26" t="n">
        <v>2.0696</v>
      </c>
      <c r="F719" s="26" t="n">
        <v>-7.57830121048066</v>
      </c>
      <c r="G719" s="26" t="n">
        <v>-7.57908011533836</v>
      </c>
      <c r="H719" s="26" t="n">
        <v>-5.00870121048066</v>
      </c>
      <c r="I719" s="26" t="n">
        <v>-5.00948011533836</v>
      </c>
      <c r="J719" s="26" t="n">
        <v>5.11</v>
      </c>
      <c r="K719" s="27" t="n">
        <f aca="false">MIN(F719,G719)</f>
        <v>-7.57908011533836</v>
      </c>
      <c r="L719" s="27" t="n">
        <f aca="false">AVERAGE(F719,G719)</f>
        <v>-7.57869066290951</v>
      </c>
      <c r="M719" s="27" t="n">
        <f aca="false">MAX(0,NG-L719)</f>
        <v>6.87869066290951</v>
      </c>
      <c r="N719" s="27" t="n">
        <f aca="false">MAX(0,GWL-K719)</f>
        <v>6.07908011533836</v>
      </c>
      <c r="O719" s="27" t="n">
        <f aca="false">MAX(0,NG-MAX(K719,GWL))</f>
        <v>0.8</v>
      </c>
      <c r="P719" s="27" t="n">
        <f aca="false">E719/2+WS+SLOPE_A*O719+SLOPE_B*N719</f>
        <v>15.3929602306767</v>
      </c>
      <c r="Q719" s="28" t="str">
        <f aca="false">IF(AND(P719&lt;J719,N719&lt;=MAXOC),"Open cut","Shoring")</f>
        <v>Shoring</v>
      </c>
      <c r="R719" s="27" t="n">
        <f aca="false">IF(Q719="Shoring",D719,0)</f>
        <v>3.10000000003549</v>
      </c>
      <c r="S719" s="27" t="n">
        <f aca="false">MAX(0,GWL-L719)</f>
        <v>6.07869066290951</v>
      </c>
      <c r="T719" s="27" t="n">
        <f aca="false">MAX(0,NG-MAX(L719,GWL))</f>
        <v>0.8</v>
      </c>
      <c r="U719" s="27" t="n">
        <f aca="false">E719+2*WS</f>
        <v>4.0696</v>
      </c>
      <c r="V719" s="27" t="n">
        <f aca="false">IF(Q719="Shoring",D719*M719*U719,0)</f>
        <v>86.7799105185008</v>
      </c>
      <c r="W719" s="27" t="n">
        <f aca="false">IF(Q719="Open cut",D719*(U719*M719+SLOPE_B*S719^2+2*SLOPE_B*S719*T719+SLOPE_A*T719^2),0)</f>
        <v>0</v>
      </c>
      <c r="X719" s="27" t="n">
        <f aca="false">IF(M719&gt;0,D719*(E719+2*SLABOVH)*SLAB,0)</f>
        <v>4.75788000005447</v>
      </c>
      <c r="Y719" s="27" t="n">
        <f aca="false">IF(M719&gt;0,D719*PI()*E719^2/4,0)</f>
        <v>10.4285614997246</v>
      </c>
      <c r="Z719" s="27" t="n">
        <f aca="false">IF(H719-E719&gt;=GWL,99,E719*(MAX(0,GWL-H719)*(GAM_S-GAM_W)+MAX(0,NG-MAX(H719,GWL))*GAM_D)/(GAM_W*PI()*E719^2/4))</f>
        <v>2.70518651015948</v>
      </c>
      <c r="AA719" s="27" t="n">
        <f aca="false">IF(I719-E719&gt;=GWL,99,E719*(MAX(0,GWL-I719)*(GAM_S-GAM_W)+MAX(0,NG-MAX(I719,GWL))*GAM_D)/(GAM_W*PI()*E719^2/4))</f>
        <v>2.70558656820572</v>
      </c>
      <c r="AB719" s="27" t="n">
        <f aca="false">IF(H719-E719&gt;=GWL,99,E719*(MAX(0,GWL-H719)*(GAM_S-GAM_W)+MAX(0,FL-MAX(H719,GWL))*GAM_D)/(GAM_W*PI()*E719^2/4))</f>
        <v>4.62419157965815</v>
      </c>
      <c r="AC719" s="27" t="n">
        <f aca="false">IF(I719-E719&gt;=GWL,99,E719*(MAX(0,GWL-I719)*(GAM_S-GAM_W)+MAX(0,FL-MAX(I719,GWL))*GAM_D)/(GAM_W*PI()*E719^2/4))</f>
        <v>4.62459163770439</v>
      </c>
    </row>
    <row r="720" customFormat="false" ht="15" hidden="false" customHeight="false" outlineLevel="0" collapsed="false">
      <c r="A720" s="25" t="s">
        <v>1240</v>
      </c>
      <c r="B720" s="25" t="s">
        <v>1271</v>
      </c>
      <c r="C720" s="25" t="s">
        <v>1272</v>
      </c>
      <c r="D720" s="26" t="n">
        <v>6.89999999927485</v>
      </c>
      <c r="E720" s="26" t="n">
        <v>2.0696</v>
      </c>
      <c r="F720" s="26" t="n">
        <v>-7.57908011533836</v>
      </c>
      <c r="G720" s="26" t="n">
        <v>-7.58081380679582</v>
      </c>
      <c r="H720" s="26" t="n">
        <v>-5.00948011533836</v>
      </c>
      <c r="I720" s="26" t="n">
        <v>-5.01121380679582</v>
      </c>
      <c r="J720" s="26" t="n">
        <v>4.69</v>
      </c>
      <c r="K720" s="27" t="n">
        <f aca="false">MIN(F720,G720)</f>
        <v>-7.58081380679582</v>
      </c>
      <c r="L720" s="27" t="n">
        <f aca="false">AVERAGE(F720,G720)</f>
        <v>-7.57994696106709</v>
      </c>
      <c r="M720" s="27" t="n">
        <f aca="false">MAX(0,NG-L720)</f>
        <v>6.87994696106709</v>
      </c>
      <c r="N720" s="27" t="n">
        <f aca="false">MAX(0,GWL-K720)</f>
        <v>6.08081380679582</v>
      </c>
      <c r="O720" s="27" t="n">
        <f aca="false">MAX(0,NG-MAX(K720,GWL))</f>
        <v>0.8</v>
      </c>
      <c r="P720" s="27" t="n">
        <f aca="false">E720/2+WS+SLOPE_A*O720+SLOPE_B*N720</f>
        <v>15.3964276135916</v>
      </c>
      <c r="Q720" s="28" t="str">
        <f aca="false">IF(AND(P720&lt;J720,N720&lt;=MAXOC),"Open cut","Shoring")</f>
        <v>Shoring</v>
      </c>
      <c r="R720" s="27" t="n">
        <f aca="false">IF(Q720="Shoring",D720,0)</f>
        <v>6.89999999927485</v>
      </c>
      <c r="S720" s="27" t="n">
        <f aca="false">MAX(0,GWL-L720)</f>
        <v>6.07994696106709</v>
      </c>
      <c r="T720" s="27" t="n">
        <f aca="false">MAX(0,NG-MAX(L720,GWL))</f>
        <v>0.8</v>
      </c>
      <c r="U720" s="27" t="n">
        <f aca="false">E720+2*WS</f>
        <v>4.0696</v>
      </c>
      <c r="V720" s="27" t="n">
        <f aca="false">IF(Q720="Shoring",D720*M720*U720,0)</f>
        <v>193.190561833731</v>
      </c>
      <c r="W720" s="27" t="n">
        <f aca="false">IF(Q720="Open cut",D720*(U720*M720+SLOPE_B*S720^2+2*SLOPE_B*S720*T720+SLOPE_A*T720^2),0)</f>
        <v>0</v>
      </c>
      <c r="X720" s="27" t="n">
        <f aca="false">IF(M720&gt;0,D720*(E720+2*SLABOVH)*SLAB,0)</f>
        <v>10.590119998887</v>
      </c>
      <c r="Y720" s="27" t="n">
        <f aca="false">IF(M720&gt;0,D720*PI()*E720^2/4,0)</f>
        <v>23.2119594644238</v>
      </c>
      <c r="Z720" s="27" t="n">
        <f aca="false">IF(H720-E720&gt;=GWL,99,E720*(MAX(0,GWL-H720)*(GAM_S-GAM_W)+MAX(0,NG-MAX(H720,GWL))*GAM_D)/(GAM_W*PI()*E720^2/4))</f>
        <v>2.70558656820572</v>
      </c>
      <c r="AA720" s="27" t="n">
        <f aca="false">IF(I720-E720&gt;=GWL,99,E720*(MAX(0,GWL-I720)*(GAM_S-GAM_W)+MAX(0,NG-MAX(I720,GWL))*GAM_D)/(GAM_W*PI()*E720^2/4))</f>
        <v>2.70647701998607</v>
      </c>
      <c r="AB720" s="27" t="n">
        <f aca="false">IF(H720-E720&gt;=GWL,99,E720*(MAX(0,GWL-H720)*(GAM_S-GAM_W)+MAX(0,FL-MAX(H720,GWL))*GAM_D)/(GAM_W*PI()*E720^2/4))</f>
        <v>4.62459163770439</v>
      </c>
      <c r="AC720" s="27" t="n">
        <f aca="false">IF(I720-E720&gt;=GWL,99,E720*(MAX(0,GWL-I720)*(GAM_S-GAM_W)+MAX(0,FL-MAX(I720,GWL))*GAM_D)/(GAM_W*PI()*E720^2/4))</f>
        <v>4.62548208948474</v>
      </c>
    </row>
    <row r="721" customFormat="false" ht="15" hidden="false" customHeight="false" outlineLevel="0" collapsed="false">
      <c r="A721" s="25" t="s">
        <v>1240</v>
      </c>
      <c r="B721" s="25" t="s">
        <v>1271</v>
      </c>
      <c r="C721" s="25" t="s">
        <v>1273</v>
      </c>
      <c r="D721" s="26" t="n">
        <v>10.0000000006303</v>
      </c>
      <c r="E721" s="26" t="n">
        <v>2.0696</v>
      </c>
      <c r="F721" s="26" t="n">
        <v>-7.58081380679582</v>
      </c>
      <c r="G721" s="26" t="n">
        <v>-7.58332640311098</v>
      </c>
      <c r="H721" s="26" t="n">
        <v>-5.01121380679582</v>
      </c>
      <c r="I721" s="26" t="n">
        <v>-5.01372640311098</v>
      </c>
      <c r="J721" s="26" t="n">
        <v>6.77</v>
      </c>
      <c r="K721" s="27" t="n">
        <f aca="false">MIN(F721,G721)</f>
        <v>-7.58332640311098</v>
      </c>
      <c r="L721" s="27" t="n">
        <f aca="false">AVERAGE(F721,G721)</f>
        <v>-7.5820701049534</v>
      </c>
      <c r="M721" s="27" t="n">
        <f aca="false">MAX(0,NG-L721)</f>
        <v>6.8820701049534</v>
      </c>
      <c r="N721" s="27" t="n">
        <f aca="false">MAX(0,GWL-K721)</f>
        <v>6.08332640311098</v>
      </c>
      <c r="O721" s="27" t="n">
        <f aca="false">MAX(0,NG-MAX(K721,GWL))</f>
        <v>0.8</v>
      </c>
      <c r="P721" s="27" t="n">
        <f aca="false">E721/2+WS+SLOPE_A*O721+SLOPE_B*N721</f>
        <v>15.401452806222</v>
      </c>
      <c r="Q721" s="28" t="str">
        <f aca="false">IF(AND(P721&lt;J721,N721&lt;=MAXOC),"Open cut","Shoring")</f>
        <v>Shoring</v>
      </c>
      <c r="R721" s="27" t="n">
        <f aca="false">IF(Q721="Shoring",D721,0)</f>
        <v>10.0000000006303</v>
      </c>
      <c r="S721" s="27" t="n">
        <f aca="false">MAX(0,GWL-L721)</f>
        <v>6.0820701049534</v>
      </c>
      <c r="T721" s="27" t="n">
        <f aca="false">MAX(0,NG-MAX(L721,GWL))</f>
        <v>0.8</v>
      </c>
      <c r="U721" s="27" t="n">
        <f aca="false">E721+2*WS</f>
        <v>4.0696</v>
      </c>
      <c r="V721" s="27" t="n">
        <f aca="false">IF(Q721="Shoring",D721*M721*U721,0)</f>
        <v>280.072725008837</v>
      </c>
      <c r="W721" s="27" t="n">
        <f aca="false">IF(Q721="Open cut",D721*(U721*M721+SLOPE_B*S721^2+2*SLOPE_B*S721*T721+SLOPE_A*T721^2),0)</f>
        <v>0</v>
      </c>
      <c r="X721" s="27" t="n">
        <f aca="false">IF(M721&gt;0,D721*(E721+2*SLABOVH)*SLAB,0)</f>
        <v>15.3480000009674</v>
      </c>
      <c r="Y721" s="27" t="n">
        <f aca="false">IF(M721&gt;0,D721*PI()*E721^2/4,0)</f>
        <v>33.6405209685889</v>
      </c>
      <c r="Z721" s="27" t="n">
        <f aca="false">IF(H721-E721&gt;=GWL,99,E721*(MAX(0,GWL-H721)*(GAM_S-GAM_W)+MAX(0,NG-MAX(H721,GWL))*GAM_D)/(GAM_W*PI()*E721^2/4))</f>
        <v>2.70647701998607</v>
      </c>
      <c r="AA721" s="27" t="n">
        <f aca="false">IF(I721-E721&gt;=GWL,99,E721*(MAX(0,GWL-I721)*(GAM_S-GAM_W)+MAX(0,NG-MAX(I721,GWL))*GAM_D)/(GAM_W*PI()*E721^2/4))</f>
        <v>2.70776752981267</v>
      </c>
      <c r="AB721" s="27" t="n">
        <f aca="false">IF(H721-E721&gt;=GWL,99,E721*(MAX(0,GWL-H721)*(GAM_S-GAM_W)+MAX(0,FL-MAX(H721,GWL))*GAM_D)/(GAM_W*PI()*E721^2/4))</f>
        <v>4.62548208948474</v>
      </c>
      <c r="AC721" s="27" t="n">
        <f aca="false">IF(I721-E721&gt;=GWL,99,E721*(MAX(0,GWL-I721)*(GAM_S-GAM_W)+MAX(0,FL-MAX(I721,GWL))*GAM_D)/(GAM_W*PI()*E721^2/4))</f>
        <v>4.62677259931134</v>
      </c>
    </row>
    <row r="722" customFormat="false" ht="15" hidden="false" customHeight="false" outlineLevel="0" collapsed="false">
      <c r="A722" s="25" t="s">
        <v>1240</v>
      </c>
      <c r="B722" s="25" t="s">
        <v>1271</v>
      </c>
      <c r="C722" s="25" t="s">
        <v>1274</v>
      </c>
      <c r="D722" s="26" t="n">
        <v>1.19999999884088</v>
      </c>
      <c r="E722" s="26" t="n">
        <v>2.0696</v>
      </c>
      <c r="F722" s="26" t="n">
        <v>-7.58332640311098</v>
      </c>
      <c r="G722" s="26" t="n">
        <v>-7.5836279146688</v>
      </c>
      <c r="H722" s="26" t="n">
        <v>-5.01372640311098</v>
      </c>
      <c r="I722" s="26" t="n">
        <v>-5.0140279146688</v>
      </c>
      <c r="J722" s="26" t="n">
        <v>11.71</v>
      </c>
      <c r="K722" s="27" t="n">
        <f aca="false">MIN(F722,G722)</f>
        <v>-7.5836279146688</v>
      </c>
      <c r="L722" s="27" t="n">
        <f aca="false">AVERAGE(F722,G722)</f>
        <v>-7.58347715888989</v>
      </c>
      <c r="M722" s="27" t="n">
        <f aca="false">MAX(0,NG-L722)</f>
        <v>6.88347715888989</v>
      </c>
      <c r="N722" s="27" t="n">
        <f aca="false">MAX(0,GWL-K722)</f>
        <v>6.0836279146688</v>
      </c>
      <c r="O722" s="27" t="n">
        <f aca="false">MAX(0,NG-MAX(K722,GWL))</f>
        <v>0.8</v>
      </c>
      <c r="P722" s="27" t="n">
        <f aca="false">E722/2+WS+SLOPE_A*O722+SLOPE_B*N722</f>
        <v>15.4020558293376</v>
      </c>
      <c r="Q722" s="28" t="str">
        <f aca="false">IF(AND(P722&lt;J722,N722&lt;=MAXOC),"Open cut","Shoring")</f>
        <v>Shoring</v>
      </c>
      <c r="R722" s="27" t="n">
        <f aca="false">IF(Q722="Shoring",D722,0)</f>
        <v>1.19999999884088</v>
      </c>
      <c r="S722" s="27" t="n">
        <f aca="false">MAX(0,GWL-L722)</f>
        <v>6.08347715888989</v>
      </c>
      <c r="T722" s="27" t="n">
        <f aca="false">MAX(0,NG-MAX(L722,GWL))</f>
        <v>0.8</v>
      </c>
      <c r="U722" s="27" t="n">
        <f aca="false">E722+2*WS</f>
        <v>4.0696</v>
      </c>
      <c r="V722" s="27" t="n">
        <f aca="false">IF(Q722="Shoring",D722*M722*U722,0)</f>
        <v>33.6155983425116</v>
      </c>
      <c r="W722" s="27" t="n">
        <f aca="false">IF(Q722="Open cut",D722*(U722*M722+SLOPE_B*S722^2+2*SLOPE_B*S722*T722+SLOPE_A*T722^2),0)</f>
        <v>0</v>
      </c>
      <c r="X722" s="27" t="n">
        <f aca="false">IF(M722&gt;0,D722*(E722+2*SLABOVH)*SLAB,0)</f>
        <v>1.84175999822099</v>
      </c>
      <c r="Y722" s="27" t="n">
        <f aca="false">IF(M722&gt;0,D722*PI()*E722^2/4,0)</f>
        <v>4.03686251207688</v>
      </c>
      <c r="Z722" s="27" t="n">
        <f aca="false">IF(H722-E722&gt;=GWL,99,E722*(MAX(0,GWL-H722)*(GAM_S-GAM_W)+MAX(0,NG-MAX(H722,GWL))*GAM_D)/(GAM_W*PI()*E722^2/4))</f>
        <v>2.70776752981267</v>
      </c>
      <c r="AA722" s="27" t="n">
        <f aca="false">IF(I722-E722&gt;=GWL,99,E722*(MAX(0,GWL-I722)*(GAM_S-GAM_W)+MAX(0,NG-MAX(I722,GWL))*GAM_D)/(GAM_W*PI()*E722^2/4))</f>
        <v>2.70792239099186</v>
      </c>
      <c r="AB722" s="27" t="n">
        <f aca="false">IF(H722-E722&gt;=GWL,99,E722*(MAX(0,GWL-H722)*(GAM_S-GAM_W)+MAX(0,FL-MAX(H722,GWL))*GAM_D)/(GAM_W*PI()*E722^2/4))</f>
        <v>4.62677259931134</v>
      </c>
      <c r="AC722" s="27" t="n">
        <f aca="false">IF(I722-E722&gt;=GWL,99,E722*(MAX(0,GWL-I722)*(GAM_S-GAM_W)+MAX(0,FL-MAX(I722,GWL))*GAM_D)/(GAM_W*PI()*E722^2/4))</f>
        <v>4.62692746049053</v>
      </c>
    </row>
    <row r="723" customFormat="false" ht="15" hidden="false" customHeight="false" outlineLevel="0" collapsed="false">
      <c r="A723" s="25" t="s">
        <v>1240</v>
      </c>
      <c r="B723" s="25" t="s">
        <v>1275</v>
      </c>
      <c r="C723" s="25" t="s">
        <v>1276</v>
      </c>
      <c r="D723" s="26" t="n">
        <v>8.8000000004395</v>
      </c>
      <c r="E723" s="26" t="n">
        <v>2.0696</v>
      </c>
      <c r="F723" s="26" t="n">
        <v>-7.5836279146688</v>
      </c>
      <c r="G723" s="26" t="n">
        <v>-7.58583899942615</v>
      </c>
      <c r="H723" s="26" t="n">
        <v>-5.0140279146688</v>
      </c>
      <c r="I723" s="26" t="n">
        <v>-5.01623899942615</v>
      </c>
      <c r="J723" s="26" t="n">
        <v>12.05</v>
      </c>
      <c r="K723" s="27" t="n">
        <f aca="false">MIN(F723,G723)</f>
        <v>-7.58583899942615</v>
      </c>
      <c r="L723" s="27" t="n">
        <f aca="false">AVERAGE(F723,G723)</f>
        <v>-7.58473345704747</v>
      </c>
      <c r="M723" s="27" t="n">
        <f aca="false">MAX(0,NG-L723)</f>
        <v>6.88473345704747</v>
      </c>
      <c r="N723" s="27" t="n">
        <f aca="false">MAX(0,GWL-K723)</f>
        <v>6.08583899942615</v>
      </c>
      <c r="O723" s="27" t="n">
        <f aca="false">MAX(0,NG-MAX(K723,GWL))</f>
        <v>0.8</v>
      </c>
      <c r="P723" s="27" t="n">
        <f aca="false">E723/2+WS+SLOPE_A*O723+SLOPE_B*N723</f>
        <v>15.4064779988523</v>
      </c>
      <c r="Q723" s="28" t="str">
        <f aca="false">IF(AND(P723&lt;J723,N723&lt;=MAXOC),"Open cut","Shoring")</f>
        <v>Shoring</v>
      </c>
      <c r="R723" s="27" t="n">
        <f aca="false">IF(Q723="Shoring",D723,0)</f>
        <v>8.8000000004395</v>
      </c>
      <c r="S723" s="27" t="n">
        <f aca="false">MAX(0,GWL-L723)</f>
        <v>6.08473345704747</v>
      </c>
      <c r="T723" s="27" t="n">
        <f aca="false">MAX(0,NG-MAX(L723,GWL))</f>
        <v>0.8</v>
      </c>
      <c r="U723" s="27" t="n">
        <f aca="false">E723+2*WS</f>
        <v>4.0696</v>
      </c>
      <c r="V723" s="27" t="n">
        <f aca="false">IF(Q723="Shoring",D723*M723*U723,0)</f>
        <v>246.559379248157</v>
      </c>
      <c r="W723" s="27" t="n">
        <f aca="false">IF(Q723="Open cut",D723*(U723*M723+SLOPE_B*S723^2+2*SLOPE_B*S723*T723+SLOPE_A*T723^2),0)</f>
        <v>0</v>
      </c>
      <c r="X723" s="27" t="n">
        <f aca="false">IF(M723&gt;0,D723*(E723+2*SLABOVH)*SLAB,0)</f>
        <v>13.5062400006745</v>
      </c>
      <c r="Y723" s="27" t="n">
        <f aca="false">IF(M723&gt;0,D723*PI()*E723^2/4,0)</f>
        <v>29.6036584519707</v>
      </c>
      <c r="Z723" s="27" t="n">
        <f aca="false">IF(H723-E723&gt;=GWL,99,E723*(MAX(0,GWL-H723)*(GAM_S-GAM_W)+MAX(0,NG-MAX(H723,GWL))*GAM_D)/(GAM_W*PI()*E723^2/4))</f>
        <v>2.70792239099186</v>
      </c>
      <c r="AA723" s="27" t="n">
        <f aca="false">IF(I723-E723&gt;=GWL,99,E723*(MAX(0,GWL-I723)*(GAM_S-GAM_W)+MAX(0,NG-MAX(I723,GWL))*GAM_D)/(GAM_W*PI()*E723^2/4))</f>
        <v>2.70905803963926</v>
      </c>
      <c r="AB723" s="27" t="n">
        <f aca="false">IF(H723-E723&gt;=GWL,99,E723*(MAX(0,GWL-H723)*(GAM_S-GAM_W)+MAX(0,FL-MAX(H723,GWL))*GAM_D)/(GAM_W*PI()*E723^2/4))</f>
        <v>4.62692746049053</v>
      </c>
      <c r="AC723" s="27" t="n">
        <f aca="false">IF(I723-E723&gt;=GWL,99,E723*(MAX(0,GWL-I723)*(GAM_S-GAM_W)+MAX(0,FL-MAX(I723,GWL))*GAM_D)/(GAM_W*PI()*E723^2/4))</f>
        <v>4.62806310913794</v>
      </c>
    </row>
    <row r="724" customFormat="false" ht="15" hidden="false" customHeight="false" outlineLevel="0" collapsed="false">
      <c r="A724" s="25" t="s">
        <v>1240</v>
      </c>
      <c r="B724" s="25" t="s">
        <v>1275</v>
      </c>
      <c r="C724" s="25" t="s">
        <v>1277</v>
      </c>
      <c r="D724" s="26" t="n">
        <v>0.401976923977464</v>
      </c>
      <c r="E724" s="26" t="n">
        <v>2.0696</v>
      </c>
      <c r="F724" s="26" t="n">
        <v>-7.58583899942615</v>
      </c>
      <c r="G724" s="26" t="n">
        <v>-7.58594</v>
      </c>
      <c r="H724" s="26" t="n">
        <v>-5.01623899942615</v>
      </c>
      <c r="I724" s="26" t="n">
        <v>-5.01634</v>
      </c>
      <c r="J724" s="26" t="n">
        <v>17.09</v>
      </c>
      <c r="K724" s="27" t="n">
        <f aca="false">MIN(F724,G724)</f>
        <v>-7.58594</v>
      </c>
      <c r="L724" s="27" t="n">
        <f aca="false">AVERAGE(F724,G724)</f>
        <v>-7.58588949971307</v>
      </c>
      <c r="M724" s="27" t="n">
        <f aca="false">MAX(0,NG-L724)</f>
        <v>6.88588949971307</v>
      </c>
      <c r="N724" s="27" t="n">
        <f aca="false">MAX(0,GWL-K724)</f>
        <v>6.08594</v>
      </c>
      <c r="O724" s="27" t="n">
        <f aca="false">MAX(0,NG-MAX(K724,GWL))</f>
        <v>0.8</v>
      </c>
      <c r="P724" s="27" t="n">
        <f aca="false">E724/2+WS+SLOPE_A*O724+SLOPE_B*N724</f>
        <v>15.40668</v>
      </c>
      <c r="Q724" s="28" t="str">
        <f aca="false">IF(AND(P724&lt;J724,N724&lt;=MAXOC),"Open cut","Shoring")</f>
        <v>Shoring</v>
      </c>
      <c r="R724" s="27" t="n">
        <f aca="false">IF(Q724="Shoring",D724,0)</f>
        <v>0.401976923977464</v>
      </c>
      <c r="S724" s="27" t="n">
        <f aca="false">MAX(0,GWL-L724)</f>
        <v>6.08588949971307</v>
      </c>
      <c r="T724" s="27" t="n">
        <f aca="false">MAX(0,NG-MAX(L724,GWL))</f>
        <v>0.8</v>
      </c>
      <c r="U724" s="27" t="n">
        <f aca="false">E724+2*WS</f>
        <v>4.0696</v>
      </c>
      <c r="V724" s="27" t="n">
        <f aca="false">IF(Q724="Shoring",D724*M724*U724,0)</f>
        <v>11.2645253398976</v>
      </c>
      <c r="W724" s="27" t="n">
        <f aca="false">IF(Q724="Open cut",D724*(U724*M724+SLOPE_B*S724^2+2*SLOPE_B*S724*T724+SLOPE_A*T724^2),0)</f>
        <v>0</v>
      </c>
      <c r="X724" s="27" t="n">
        <f aca="false">IF(M724&gt;0,D724*(E724+2*SLABOVH)*SLAB,0)</f>
        <v>0.616954182920611</v>
      </c>
      <c r="Y724" s="27" t="n">
        <f aca="false">IF(M724&gt;0,D724*PI()*E724^2/4,0)</f>
        <v>1.35227131391004</v>
      </c>
      <c r="Z724" s="27" t="n">
        <f aca="false">IF(H724-E724&gt;=GWL,99,E724*(MAX(0,GWL-H724)*(GAM_S-GAM_W)+MAX(0,NG-MAX(H724,GWL))*GAM_D)/(GAM_W*PI()*E724^2/4))</f>
        <v>2.70905803963926</v>
      </c>
      <c r="AA724" s="27" t="n">
        <f aca="false">IF(I724-E724&gt;=GWL,99,E724*(MAX(0,GWL-I724)*(GAM_S-GAM_W)+MAX(0,NG-MAX(I724,GWL))*GAM_D)/(GAM_W*PI()*E724^2/4))</f>
        <v>2.70910991515634</v>
      </c>
      <c r="AB724" s="27" t="n">
        <f aca="false">IF(H724-E724&gt;=GWL,99,E724*(MAX(0,GWL-H724)*(GAM_S-GAM_W)+MAX(0,FL-MAX(H724,GWL))*GAM_D)/(GAM_W*PI()*E724^2/4))</f>
        <v>4.62806310913794</v>
      </c>
      <c r="AC724" s="27" t="n">
        <f aca="false">IF(I724-E724&gt;=GWL,99,E724*(MAX(0,GWL-I724)*(GAM_S-GAM_W)+MAX(0,FL-MAX(I724,GWL))*GAM_D)/(GAM_W*PI()*E724^2/4))</f>
        <v>4.62811498465501</v>
      </c>
    </row>
    <row r="725" customFormat="false" ht="15" hidden="false" customHeight="false" outlineLevel="0" collapsed="false">
      <c r="A725" s="25" t="s">
        <v>1240</v>
      </c>
      <c r="B725" s="25" t="s">
        <v>1275</v>
      </c>
      <c r="C725" s="25" t="s">
        <v>1278</v>
      </c>
      <c r="D725" s="26" t="n">
        <v>2.23325094204553</v>
      </c>
      <c r="E725" s="26" t="n">
        <v>0.994148147945317</v>
      </c>
      <c r="F725" s="26" t="n">
        <v>-7.04821407397266</v>
      </c>
      <c r="G725" s="26" t="n">
        <v>-7.04877407397266</v>
      </c>
      <c r="H725" s="26" t="n">
        <v>-5.55406592602734</v>
      </c>
      <c r="I725" s="26" t="n">
        <v>-5.55462592602734</v>
      </c>
      <c r="J725" s="26" t="n">
        <v>17.38</v>
      </c>
      <c r="K725" s="27" t="n">
        <f aca="false">MIN(F725,G725)</f>
        <v>-7.04877407397266</v>
      </c>
      <c r="L725" s="27" t="n">
        <f aca="false">AVERAGE(F725,G725)</f>
        <v>-7.04849407397266</v>
      </c>
      <c r="M725" s="27" t="n">
        <f aca="false">MAX(0,NG-L725)</f>
        <v>6.34849407397266</v>
      </c>
      <c r="N725" s="27" t="n">
        <f aca="false">MAX(0,GWL-K725)</f>
        <v>5.54877407397266</v>
      </c>
      <c r="O725" s="27" t="n">
        <f aca="false">MAX(0,NG-MAX(K725,GWL))</f>
        <v>0.8</v>
      </c>
      <c r="P725" s="27" t="n">
        <f aca="false">E725/2+WS+SLOPE_A*O725+SLOPE_B*N725</f>
        <v>13.794622221918</v>
      </c>
      <c r="Q725" s="28" t="str">
        <f aca="false">IF(AND(P725&lt;J725,N725&lt;=MAXOC),"Open cut","Shoring")</f>
        <v>Shoring</v>
      </c>
      <c r="R725" s="27" t="n">
        <f aca="false">IF(Q725="Shoring",D725,0)</f>
        <v>2.23325094204553</v>
      </c>
      <c r="S725" s="27" t="n">
        <f aca="false">MAX(0,GWL-L725)</f>
        <v>5.54849407397266</v>
      </c>
      <c r="T725" s="27" t="n">
        <f aca="false">MAX(0,NG-MAX(L725,GWL))</f>
        <v>0.8</v>
      </c>
      <c r="U725" s="27" t="n">
        <f aca="false">E725+2*WS</f>
        <v>2.99414814794532</v>
      </c>
      <c r="V725" s="27" t="n">
        <f aca="false">IF(Q725="Shoring",D725*M725*U725,0)</f>
        <v>42.4503748406133</v>
      </c>
      <c r="W725" s="27" t="n">
        <f aca="false">IF(Q725="Open cut",D725*(U725*M725+SLOPE_B*S725^2+2*SLOPE_B*S725*T725+SLOPE_A*T725^2),0)</f>
        <v>0</v>
      </c>
      <c r="X725" s="27" t="n">
        <f aca="false">IF(M725&gt;0,D725*(E725+2*SLABOVH)*SLAB,0)</f>
        <v>2.22671661498862</v>
      </c>
      <c r="Y725" s="27" t="n">
        <f aca="false">IF(M725&gt;0,D725*PI()*E725^2/4,0)</f>
        <v>1.73352305838678</v>
      </c>
      <c r="Z725" s="27" t="n">
        <f aca="false">IF(H725-E725&gt;=GWL,99,E725*(MAX(0,GWL-H725)*(GAM_S-GAM_W)+MAX(0,NG-MAX(H725,GWL))*GAM_D)/(GAM_W*PI()*E725^2/4))</f>
        <v>6.21473337983878</v>
      </c>
      <c r="AA725" s="27" t="n">
        <f aca="false">IF(I725-E725&gt;=GWL,99,E725*(MAX(0,GWL-I725)*(GAM_S-GAM_W)+MAX(0,NG-MAX(I725,GWL))*GAM_D)/(GAM_W*PI()*E725^2/4))</f>
        <v>6.21533215245747</v>
      </c>
      <c r="AB725" s="27" t="n">
        <f aca="false">IF(H725-E725&gt;=GWL,99,E725*(MAX(0,GWL-H725)*(GAM_S-GAM_W)+MAX(0,FL-MAX(H725,GWL))*GAM_D)/(GAM_W*PI()*E725^2/4))</f>
        <v>10.2096841324432</v>
      </c>
      <c r="AC725" s="27" t="n">
        <f aca="false">IF(I725-E725&gt;=GWL,99,E725*(MAX(0,GWL-I725)*(GAM_S-GAM_W)+MAX(0,FL-MAX(I725,GWL))*GAM_D)/(GAM_W*PI()*E725^2/4))</f>
        <v>10.2102829050619</v>
      </c>
    </row>
    <row r="726" customFormat="false" ht="15" hidden="false" customHeight="false" outlineLevel="0" collapsed="false">
      <c r="A726" s="25" t="s">
        <v>1240</v>
      </c>
      <c r="B726" s="25" t="s">
        <v>1275</v>
      </c>
      <c r="C726" s="25" t="s">
        <v>1279</v>
      </c>
      <c r="D726" s="26" t="n">
        <v>0.807681347739807</v>
      </c>
      <c r="E726" s="26" t="n">
        <v>0.994144786318775</v>
      </c>
      <c r="F726" s="26" t="n">
        <v>-7.04877239315939</v>
      </c>
      <c r="G726" s="26" t="n">
        <v>-7.04897239315939</v>
      </c>
      <c r="H726" s="26" t="n">
        <v>-5.55462760684061</v>
      </c>
      <c r="I726" s="26" t="n">
        <v>-5.55482760684061</v>
      </c>
      <c r="J726" s="26" t="n">
        <v>18.96</v>
      </c>
      <c r="K726" s="27" t="n">
        <f aca="false">MIN(F726,G726)</f>
        <v>-7.04897239315939</v>
      </c>
      <c r="L726" s="27" t="n">
        <f aca="false">AVERAGE(F726,G726)</f>
        <v>-7.04887239315939</v>
      </c>
      <c r="M726" s="27" t="n">
        <f aca="false">MAX(0,NG-L726)</f>
        <v>6.34887239315939</v>
      </c>
      <c r="N726" s="27" t="n">
        <f aca="false">MAX(0,GWL-K726)</f>
        <v>5.54897239315939</v>
      </c>
      <c r="O726" s="27" t="n">
        <f aca="false">MAX(0,NG-MAX(K726,GWL))</f>
        <v>0.8</v>
      </c>
      <c r="P726" s="27" t="n">
        <f aca="false">E726/2+WS+SLOPE_A*O726+SLOPE_B*N726</f>
        <v>13.7950171794782</v>
      </c>
      <c r="Q726" s="28" t="str">
        <f aca="false">IF(AND(P726&lt;J726,N726&lt;=MAXOC),"Open cut","Shoring")</f>
        <v>Shoring</v>
      </c>
      <c r="R726" s="27" t="n">
        <f aca="false">IF(Q726="Shoring",D726,0)</f>
        <v>0.807681347739807</v>
      </c>
      <c r="S726" s="27" t="n">
        <f aca="false">MAX(0,GWL-L726)</f>
        <v>5.54887239315939</v>
      </c>
      <c r="T726" s="27" t="n">
        <f aca="false">MAX(0,NG-MAX(L726,GWL))</f>
        <v>0.8</v>
      </c>
      <c r="U726" s="27" t="n">
        <f aca="false">E726+2*WS</f>
        <v>2.99414478631878</v>
      </c>
      <c r="V726" s="27" t="n">
        <f aca="false">IF(Q726="Shoring",D726*M726*U726,0)</f>
        <v>15.3535726833522</v>
      </c>
      <c r="W726" s="27" t="n">
        <f aca="false">IF(Q726="Open cut",D726*(U726*M726+SLOPE_B*S726^2+2*SLOPE_B*S726*T726+SLOPE_A*T726^2),0)</f>
        <v>0</v>
      </c>
      <c r="X726" s="27" t="n">
        <f aca="false">IF(M726&gt;0,D726*(E726+2*SLABOVH)*SLAB,0)</f>
        <v>0.805316774301129</v>
      </c>
      <c r="Y726" s="27" t="n">
        <f aca="false">IF(M726&gt;0,D726*PI()*E726^2/4,0)</f>
        <v>0.626944668386521</v>
      </c>
      <c r="Z726" s="27" t="n">
        <f aca="false">IF(H726-E726&gt;=GWL,99,E726*(MAX(0,GWL-H726)*(GAM_S-GAM_W)+MAX(0,NG-MAX(H726,GWL))*GAM_D)/(GAM_W*PI()*E726^2/4))</f>
        <v>6.21535496633368</v>
      </c>
      <c r="AA726" s="27" t="n">
        <f aca="false">IF(I726-E726&gt;=GWL,99,E726*(MAX(0,GWL-I726)*(GAM_S-GAM_W)+MAX(0,NG-MAX(I726,GWL))*GAM_D)/(GAM_W*PI()*E726^2/4))</f>
        <v>6.2155688144206</v>
      </c>
      <c r="AB726" s="27" t="n">
        <f aca="false">IF(H726-E726&gt;=GWL,99,E726*(MAX(0,GWL-H726)*(GAM_S-GAM_W)+MAX(0,FL-MAX(H726,GWL))*GAM_D)/(GAM_W*PI()*E726^2/4))</f>
        <v>10.2103192275665</v>
      </c>
      <c r="AC726" s="27" t="n">
        <f aca="false">IF(I726-E726&gt;=GWL,99,E726*(MAX(0,GWL-I726)*(GAM_S-GAM_W)+MAX(0,FL-MAX(I726,GWL))*GAM_D)/(GAM_W*PI()*E726^2/4))</f>
        <v>10.2105330756534</v>
      </c>
    </row>
    <row r="727" customFormat="false" ht="15" hidden="false" customHeight="false" outlineLevel="0" collapsed="false">
      <c r="A727" s="25" t="s">
        <v>1240</v>
      </c>
      <c r="B727" s="25" t="s">
        <v>1275</v>
      </c>
      <c r="C727" s="25" t="s">
        <v>1280</v>
      </c>
      <c r="D727" s="26" t="n">
        <v>0.807692158631292</v>
      </c>
      <c r="E727" s="26" t="n">
        <v>0.994156243790097</v>
      </c>
      <c r="F727" s="26" t="n">
        <v>-7.04897812189505</v>
      </c>
      <c r="G727" s="26" t="n">
        <v>-7.04918812189505</v>
      </c>
      <c r="H727" s="26" t="n">
        <v>-5.55482187810495</v>
      </c>
      <c r="I727" s="26" t="n">
        <v>-5.55503187810495</v>
      </c>
      <c r="J727" s="26" t="n">
        <v>19.37</v>
      </c>
      <c r="K727" s="27" t="n">
        <f aca="false">MIN(F727,G727)</f>
        <v>-7.04918812189505</v>
      </c>
      <c r="L727" s="27" t="n">
        <f aca="false">AVERAGE(F727,G727)</f>
        <v>-7.04908312189505</v>
      </c>
      <c r="M727" s="27" t="n">
        <f aca="false">MAX(0,NG-L727)</f>
        <v>6.34908312189505</v>
      </c>
      <c r="N727" s="27" t="n">
        <f aca="false">MAX(0,GWL-K727)</f>
        <v>5.54918812189505</v>
      </c>
      <c r="O727" s="27" t="n">
        <f aca="false">MAX(0,NG-MAX(K727,GWL))</f>
        <v>0.8</v>
      </c>
      <c r="P727" s="27" t="n">
        <f aca="false">E727/2+WS+SLOPE_A*O727+SLOPE_B*N727</f>
        <v>13.7954543656851</v>
      </c>
      <c r="Q727" s="28" t="str">
        <f aca="false">IF(AND(P727&lt;J727,N727&lt;=MAXOC),"Open cut","Shoring")</f>
        <v>Shoring</v>
      </c>
      <c r="R727" s="27" t="n">
        <f aca="false">IF(Q727="Shoring",D727,0)</f>
        <v>0.807692158631292</v>
      </c>
      <c r="S727" s="27" t="n">
        <f aca="false">MAX(0,GWL-L727)</f>
        <v>5.54908312189505</v>
      </c>
      <c r="T727" s="27" t="n">
        <f aca="false">MAX(0,NG-MAX(L727,GWL))</f>
        <v>0.8</v>
      </c>
      <c r="U727" s="27" t="n">
        <f aca="false">E727+2*WS</f>
        <v>2.9941562437901</v>
      </c>
      <c r="V727" s="27" t="n">
        <f aca="false">IF(Q727="Shoring",D727*M727*U727,0)</f>
        <v>15.3543465627533</v>
      </c>
      <c r="W727" s="27" t="n">
        <f aca="false">IF(Q727="Open cut",D727*(U727*M727+SLOPE_B*S727^2+2*SLOPE_B*S727*T727+SLOPE_A*T727^2),0)</f>
        <v>0</v>
      </c>
      <c r="X727" s="27" t="n">
        <f aca="false">IF(M727&gt;0,D727*(E727+2*SLABOVH)*SLAB,0)</f>
        <v>0.805332180597446</v>
      </c>
      <c r="Y727" s="27" t="n">
        <f aca="false">IF(M727&gt;0,D727*PI()*E727^2/4,0)</f>
        <v>0.626967511392001</v>
      </c>
      <c r="Z727" s="27" t="n">
        <f aca="false">IF(H727-E727&gt;=GWL,99,E727*(MAX(0,GWL-H727)*(GAM_S-GAM_W)+MAX(0,NG-MAX(H727,GWL))*GAM_D)/(GAM_W*PI()*E727^2/4))</f>
        <v>6.21549105578635</v>
      </c>
      <c r="AA727" s="27" t="n">
        <f aca="false">IF(I727-E727&gt;=GWL,99,E727*(MAX(0,GWL-I727)*(GAM_S-GAM_W)+MAX(0,NG-MAX(I727,GWL))*GAM_D)/(GAM_W*PI()*E727^2/4))</f>
        <v>6.21571559368984</v>
      </c>
      <c r="AB727" s="27" t="n">
        <f aca="false">IF(H727-E727&gt;=GWL,99,E727*(MAX(0,GWL-H727)*(GAM_S-GAM_W)+MAX(0,FL-MAX(H727,GWL))*GAM_D)/(GAM_W*PI()*E727^2/4))</f>
        <v>10.2104092757769</v>
      </c>
      <c r="AC727" s="27" t="n">
        <f aca="false">IF(I727-E727&gt;=GWL,99,E727*(MAX(0,GWL-I727)*(GAM_S-GAM_W)+MAX(0,FL-MAX(I727,GWL))*GAM_D)/(GAM_W*PI()*E727^2/4))</f>
        <v>10.2106338136804</v>
      </c>
    </row>
    <row r="728" customFormat="false" ht="15" hidden="false" customHeight="false" outlineLevel="0" collapsed="false">
      <c r="A728" s="25" t="s">
        <v>1240</v>
      </c>
      <c r="B728" s="25" t="s">
        <v>1275</v>
      </c>
      <c r="C728" s="25" t="s">
        <v>1281</v>
      </c>
      <c r="D728" s="26" t="n">
        <v>2.23323714754834</v>
      </c>
      <c r="E728" s="26" t="n">
        <v>0.994152586002046</v>
      </c>
      <c r="F728" s="26" t="n">
        <v>-7.04918629300102</v>
      </c>
      <c r="G728" s="26" t="n">
        <v>-7.04974629300102</v>
      </c>
      <c r="H728" s="26" t="n">
        <v>-5.55503370699898</v>
      </c>
      <c r="I728" s="26" t="n">
        <v>-5.55559370699898</v>
      </c>
      <c r="J728" s="26" t="n">
        <v>19.58</v>
      </c>
      <c r="K728" s="27" t="n">
        <f aca="false">MIN(F728,G728)</f>
        <v>-7.04974629300102</v>
      </c>
      <c r="L728" s="27" t="n">
        <f aca="false">AVERAGE(F728,G728)</f>
        <v>-7.04946629300102</v>
      </c>
      <c r="M728" s="27" t="n">
        <f aca="false">MAX(0,NG-L728)</f>
        <v>6.34946629300102</v>
      </c>
      <c r="N728" s="27" t="n">
        <f aca="false">MAX(0,GWL-K728)</f>
        <v>5.54974629300102</v>
      </c>
      <c r="O728" s="27" t="n">
        <f aca="false">MAX(0,NG-MAX(K728,GWL))</f>
        <v>0.8</v>
      </c>
      <c r="P728" s="27" t="n">
        <f aca="false">E728/2+WS+SLOPE_A*O728+SLOPE_B*N728</f>
        <v>13.7965688790031</v>
      </c>
      <c r="Q728" s="28" t="str">
        <f aca="false">IF(AND(P728&lt;J728,N728&lt;=MAXOC),"Open cut","Shoring")</f>
        <v>Shoring</v>
      </c>
      <c r="R728" s="27" t="n">
        <f aca="false">IF(Q728="Shoring",D728,0)</f>
        <v>2.23323714754834</v>
      </c>
      <c r="S728" s="27" t="n">
        <f aca="false">MAX(0,GWL-L728)</f>
        <v>5.54946629300102</v>
      </c>
      <c r="T728" s="27" t="n">
        <f aca="false">MAX(0,NG-MAX(L728,GWL))</f>
        <v>0.8</v>
      </c>
      <c r="U728" s="27" t="n">
        <f aca="false">E728+2*WS</f>
        <v>2.99415258600205</v>
      </c>
      <c r="V728" s="27" t="n">
        <f aca="false">IF(Q728="Shoring",D728*M728*U728,0)</f>
        <v>42.4566764427083</v>
      </c>
      <c r="W728" s="27" t="n">
        <f aca="false">IF(Q728="Open cut",D728*(U728*M728+SLOPE_B*S728^2+2*SLOPE_B*S728*T728+SLOPE_A*T728^2),0)</f>
        <v>0</v>
      </c>
      <c r="X728" s="27" t="n">
        <f aca="false">IF(M728&gt;0,D728*(E728+2*SLABOVH)*SLAB,0)</f>
        <v>2.22670781646968</v>
      </c>
      <c r="Y728" s="27" t="n">
        <f aca="false">IF(M728&gt;0,D728*PI()*E728^2/4,0)</f>
        <v>1.73352782810142</v>
      </c>
      <c r="Z728" s="27" t="n">
        <f aca="false">IF(H728-E728&gt;=GWL,99,E728*(MAX(0,GWL-H728)*(GAM_S-GAM_W)+MAX(0,NG-MAX(H728,GWL))*GAM_D)/(GAM_W*PI()*E728^2/4))</f>
        <v>6.21574041869958</v>
      </c>
      <c r="AA728" s="27" t="n">
        <f aca="false">IF(I728-E728&gt;=GWL,99,E728*(MAX(0,GWL-I728)*(GAM_S-GAM_W)+MAX(0,NG-MAX(I728,GWL))*GAM_D)/(GAM_W*PI()*E728^2/4))</f>
        <v>6.21633918864525</v>
      </c>
      <c r="AB728" s="27" t="n">
        <f aca="false">IF(H728-E728&gt;=GWL,99,E728*(MAX(0,GWL-H728)*(GAM_S-GAM_W)+MAX(0,FL-MAX(H728,GWL))*GAM_D)/(GAM_W*PI()*E728^2/4))</f>
        <v>10.2106733372026</v>
      </c>
      <c r="AC728" s="27" t="n">
        <f aca="false">IF(I728-E728&gt;=GWL,99,E728*(MAX(0,GWL-I728)*(GAM_S-GAM_W)+MAX(0,FL-MAX(I728,GWL))*GAM_D)/(GAM_W*PI()*E728^2/4))</f>
        <v>10.2112721071482</v>
      </c>
    </row>
    <row r="729" customFormat="false" ht="15" hidden="false" customHeight="false" outlineLevel="0" collapsed="false">
      <c r="A729" s="25" t="s">
        <v>1240</v>
      </c>
      <c r="B729" s="25" t="s">
        <v>1275</v>
      </c>
      <c r="C729" s="25" t="s">
        <v>1282</v>
      </c>
      <c r="D729" s="26" t="n">
        <v>3.51616148044309</v>
      </c>
      <c r="E729" s="26" t="n">
        <v>2.06960150150859</v>
      </c>
      <c r="F729" s="26" t="n">
        <v>-7.5874707507543</v>
      </c>
      <c r="G729" s="26" t="n">
        <v>-7.5883542511956</v>
      </c>
      <c r="H729" s="26" t="n">
        <v>-5.0178692492457</v>
      </c>
      <c r="I729" s="26" t="n">
        <v>-5.01875274968701</v>
      </c>
      <c r="J729" s="26" t="n">
        <v>19.62</v>
      </c>
      <c r="K729" s="27" t="n">
        <f aca="false">MIN(F729,G729)</f>
        <v>-7.5883542511956</v>
      </c>
      <c r="L729" s="27" t="n">
        <f aca="false">AVERAGE(F729,G729)</f>
        <v>-7.58791250097495</v>
      </c>
      <c r="M729" s="27" t="n">
        <f aca="false">MAX(0,NG-L729)</f>
        <v>6.88791250097495</v>
      </c>
      <c r="N729" s="27" t="n">
        <f aca="false">MAX(0,GWL-K729)</f>
        <v>6.0883542511956</v>
      </c>
      <c r="O729" s="27" t="n">
        <f aca="false">MAX(0,NG-MAX(K729,GWL))</f>
        <v>0.8</v>
      </c>
      <c r="P729" s="27" t="n">
        <f aca="false">E729/2+WS+SLOPE_A*O729+SLOPE_B*N729</f>
        <v>15.4115092531455</v>
      </c>
      <c r="Q729" s="28" t="str">
        <f aca="false">IF(AND(P729&lt;J729,N729&lt;=MAXOC),"Open cut","Shoring")</f>
        <v>Shoring</v>
      </c>
      <c r="R729" s="27" t="n">
        <f aca="false">IF(Q729="Shoring",D729,0)</f>
        <v>3.51616148044309</v>
      </c>
      <c r="S729" s="27" t="n">
        <f aca="false">MAX(0,GWL-L729)</f>
        <v>6.08791250097495</v>
      </c>
      <c r="T729" s="27" t="n">
        <f aca="false">MAX(0,NG-MAX(L729,GWL))</f>
        <v>0.8</v>
      </c>
      <c r="U729" s="27" t="n">
        <f aca="false">E729+2*WS</f>
        <v>4.06960150150859</v>
      </c>
      <c r="V729" s="27" t="n">
        <f aca="false">IF(Q729="Shoring",D729*M729*U729,0)</f>
        <v>98.5617301095325</v>
      </c>
      <c r="W729" s="27" t="n">
        <f aca="false">IF(Q729="Open cut",D729*(U729*M729+SLOPE_B*S729^2+2*SLOPE_B*S729*T729+SLOPE_A*T729^2),0)</f>
        <v>0</v>
      </c>
      <c r="X729" s="27" t="n">
        <f aca="false">IF(M729&gt;0,D729*(E729+2*SLABOVH)*SLAB,0)</f>
        <v>5.39660727995739</v>
      </c>
      <c r="Y729" s="27" t="n">
        <f aca="false">IF(M729&gt;0,D729*PI()*E729^2/4,0)</f>
        <v>11.828567563824</v>
      </c>
      <c r="Z729" s="27" t="n">
        <f aca="false">IF(H729-E729&gt;=GWL,99,E729*(MAX(0,GWL-H729)*(GAM_S-GAM_W)+MAX(0,NG-MAX(H729,GWL))*GAM_D)/(GAM_W*PI()*E729^2/4))</f>
        <v>2.70989339608711</v>
      </c>
      <c r="AA729" s="27" t="n">
        <f aca="false">IF(I729-E729&gt;=GWL,99,E729*(MAX(0,GWL-I729)*(GAM_S-GAM_W)+MAX(0,NG-MAX(I729,GWL))*GAM_D)/(GAM_W*PI()*E729^2/4))</f>
        <v>2.71034717577596</v>
      </c>
      <c r="AB729" s="27" t="n">
        <f aca="false">IF(H729-E729&gt;=GWL,99,E729*(MAX(0,GWL-H729)*(GAM_S-GAM_W)+MAX(0,FL-MAX(H729,GWL))*GAM_D)/(GAM_W*PI()*E729^2/4))</f>
        <v>4.62889707333583</v>
      </c>
      <c r="AC729" s="27" t="n">
        <f aca="false">IF(I729-E729&gt;=GWL,99,E729*(MAX(0,GWL-I729)*(GAM_S-GAM_W)+MAX(0,FL-MAX(I729,GWL))*GAM_D)/(GAM_W*PI()*E729^2/4))</f>
        <v>4.62935085302468</v>
      </c>
    </row>
    <row r="730" customFormat="false" ht="15" hidden="false" customHeight="false" outlineLevel="0" collapsed="false">
      <c r="A730" s="25" t="s">
        <v>1240</v>
      </c>
      <c r="B730" s="25" t="s">
        <v>1275</v>
      </c>
      <c r="C730" s="25" t="s">
        <v>1283</v>
      </c>
      <c r="D730" s="26" t="n">
        <v>9.99999999952025</v>
      </c>
      <c r="E730" s="26" t="n">
        <v>2.06960150150859</v>
      </c>
      <c r="F730" s="26" t="n">
        <v>-7.5883542511956</v>
      </c>
      <c r="G730" s="26" t="n">
        <v>-7.59086693568507</v>
      </c>
      <c r="H730" s="26" t="n">
        <v>-5.01875274968701</v>
      </c>
      <c r="I730" s="26" t="n">
        <v>-5.02126543417647</v>
      </c>
      <c r="J730" s="26" t="n">
        <v>20.13</v>
      </c>
      <c r="K730" s="27" t="n">
        <f aca="false">MIN(F730,G730)</f>
        <v>-7.59086693568507</v>
      </c>
      <c r="L730" s="27" t="n">
        <f aca="false">AVERAGE(F730,G730)</f>
        <v>-7.58961059344033</v>
      </c>
      <c r="M730" s="27" t="n">
        <f aca="false">MAX(0,NG-L730)</f>
        <v>6.88961059344033</v>
      </c>
      <c r="N730" s="27" t="n">
        <f aca="false">MAX(0,GWL-K730)</f>
        <v>6.09086693568507</v>
      </c>
      <c r="O730" s="27" t="n">
        <f aca="false">MAX(0,NG-MAX(K730,GWL))</f>
        <v>0.8</v>
      </c>
      <c r="P730" s="27" t="n">
        <f aca="false">E730/2+WS+SLOPE_A*O730+SLOPE_B*N730</f>
        <v>15.4165346221244</v>
      </c>
      <c r="Q730" s="28" t="str">
        <f aca="false">IF(AND(P730&lt;J730,N730&lt;=MAXOC),"Open cut","Shoring")</f>
        <v>Shoring</v>
      </c>
      <c r="R730" s="27" t="n">
        <f aca="false">IF(Q730="Shoring",D730,0)</f>
        <v>9.99999999952025</v>
      </c>
      <c r="S730" s="27" t="n">
        <f aca="false">MAX(0,GWL-L730)</f>
        <v>6.08961059344033</v>
      </c>
      <c r="T730" s="27" t="n">
        <f aca="false">MAX(0,NG-MAX(L730,GWL))</f>
        <v>0.8</v>
      </c>
      <c r="U730" s="27" t="n">
        <f aca="false">E730+2*WS</f>
        <v>4.06960150150859</v>
      </c>
      <c r="V730" s="27" t="n">
        <f aca="false">IF(Q730="Shoring",D730*M730*U730,0)</f>
        <v>280.379696145292</v>
      </c>
      <c r="W730" s="27" t="n">
        <f aca="false">IF(Q730="Open cut",D730*(U730*M730+SLOPE_B*S730^2+2*SLOPE_B*S730*T730+SLOPE_A*T730^2),0)</f>
        <v>0</v>
      </c>
      <c r="X730" s="27" t="n">
        <f aca="false">IF(M730&gt;0,D730*(E730+2*SLABOVH)*SLAB,0)</f>
        <v>15.3480075068066</v>
      </c>
      <c r="Y730" s="27" t="n">
        <f aca="false">IF(M730&gt;0,D730*PI()*E730^2/4,0)</f>
        <v>33.6405697777166</v>
      </c>
      <c r="Z730" s="27" t="n">
        <f aca="false">IF(H730-E730&gt;=GWL,99,E730*(MAX(0,GWL-H730)*(GAM_S-GAM_W)+MAX(0,NG-MAX(H730,GWL))*GAM_D)/(GAM_W*PI()*E730^2/4))</f>
        <v>2.71034717577596</v>
      </c>
      <c r="AA730" s="27" t="n">
        <f aca="false">IF(I730-E730&gt;=GWL,99,E730*(MAX(0,GWL-I730)*(GAM_S-GAM_W)+MAX(0,NG-MAX(I730,GWL))*GAM_D)/(GAM_W*PI()*E730^2/4))</f>
        <v>2.71163772995399</v>
      </c>
      <c r="AB730" s="27" t="n">
        <f aca="false">IF(H730-E730&gt;=GWL,99,E730*(MAX(0,GWL-H730)*(GAM_S-GAM_W)+MAX(0,FL-MAX(H730,GWL))*GAM_D)/(GAM_W*PI()*E730^2/4))</f>
        <v>4.62935085302468</v>
      </c>
      <c r="AC730" s="27" t="n">
        <f aca="false">IF(I730-E730&gt;=GWL,99,E730*(MAX(0,GWL-I730)*(GAM_S-GAM_W)+MAX(0,FL-MAX(I730,GWL))*GAM_D)/(GAM_W*PI()*E730^2/4))</f>
        <v>4.63064140720271</v>
      </c>
    </row>
    <row r="731" customFormat="false" ht="15" hidden="false" customHeight="false" outlineLevel="0" collapsed="false">
      <c r="A731" s="25" t="s">
        <v>1240</v>
      </c>
      <c r="B731" s="25" t="s">
        <v>1275</v>
      </c>
      <c r="C731" s="25" t="s">
        <v>1284</v>
      </c>
      <c r="D731" s="26" t="n">
        <v>10.0000000003844</v>
      </c>
      <c r="E731" s="26" t="n">
        <v>2.06960150150859</v>
      </c>
      <c r="F731" s="26" t="n">
        <v>-7.59086693568507</v>
      </c>
      <c r="G731" s="26" t="n">
        <v>-7.59337962017453</v>
      </c>
      <c r="H731" s="26" t="n">
        <v>-5.02126543417647</v>
      </c>
      <c r="I731" s="26" t="n">
        <v>-5.02377811866594</v>
      </c>
      <c r="J731" s="26" t="n">
        <v>19.47</v>
      </c>
      <c r="K731" s="27" t="n">
        <f aca="false">MIN(F731,G731)</f>
        <v>-7.59337962017453</v>
      </c>
      <c r="L731" s="27" t="n">
        <f aca="false">AVERAGE(F731,G731)</f>
        <v>-7.5921232779298</v>
      </c>
      <c r="M731" s="27" t="n">
        <f aca="false">MAX(0,NG-L731)</f>
        <v>6.8921232779298</v>
      </c>
      <c r="N731" s="27" t="n">
        <f aca="false">MAX(0,GWL-K731)</f>
        <v>6.09337962017453</v>
      </c>
      <c r="O731" s="27" t="n">
        <f aca="false">MAX(0,NG-MAX(K731,GWL))</f>
        <v>0.8</v>
      </c>
      <c r="P731" s="27" t="n">
        <f aca="false">E731/2+WS+SLOPE_A*O731+SLOPE_B*N731</f>
        <v>15.4215599911034</v>
      </c>
      <c r="Q731" s="28" t="str">
        <f aca="false">IF(AND(P731&lt;J731,N731&lt;=MAXOC),"Open cut","Shoring")</f>
        <v>Shoring</v>
      </c>
      <c r="R731" s="27" t="n">
        <f aca="false">IF(Q731="Shoring",D731,0)</f>
        <v>10.0000000003844</v>
      </c>
      <c r="S731" s="27" t="n">
        <f aca="false">MAX(0,GWL-L731)</f>
        <v>6.0921232779298</v>
      </c>
      <c r="T731" s="27" t="n">
        <f aca="false">MAX(0,NG-MAX(L731,GWL))</f>
        <v>0.8</v>
      </c>
      <c r="U731" s="27" t="n">
        <f aca="false">E731+2*WS</f>
        <v>4.06960150150859</v>
      </c>
      <c r="V731" s="27" t="n">
        <f aca="false">IF(Q731="Shoring",D731*M731*U731,0)</f>
        <v>280.481952415237</v>
      </c>
      <c r="W731" s="27" t="n">
        <f aca="false">IF(Q731="Open cut",D731*(U731*M731+SLOPE_B*S731^2+2*SLOPE_B*S731*T731+SLOPE_A*T731^2),0)</f>
        <v>0</v>
      </c>
      <c r="X731" s="27" t="n">
        <f aca="false">IF(M731&gt;0,D731*(E731+2*SLABOVH)*SLAB,0)</f>
        <v>15.348007508133</v>
      </c>
      <c r="Y731" s="27" t="n">
        <f aca="false">IF(M731&gt;0,D731*PI()*E731^2/4,0)</f>
        <v>33.6405697806238</v>
      </c>
      <c r="Z731" s="27" t="n">
        <f aca="false">IF(H731-E731&gt;=GWL,99,E731*(MAX(0,GWL-H731)*(GAM_S-GAM_W)+MAX(0,NG-MAX(H731,GWL))*GAM_D)/(GAM_W*PI()*E731^2/4))</f>
        <v>2.71163772995399</v>
      </c>
      <c r="AA731" s="27" t="n">
        <f aca="false">IF(I731-E731&gt;=GWL,99,E731*(MAX(0,GWL-I731)*(GAM_S-GAM_W)+MAX(0,NG-MAX(I731,GWL))*GAM_D)/(GAM_W*PI()*E731^2/4))</f>
        <v>2.71292828413202</v>
      </c>
      <c r="AB731" s="27" t="n">
        <f aca="false">IF(H731-E731&gt;=GWL,99,E731*(MAX(0,GWL-H731)*(GAM_S-GAM_W)+MAX(0,FL-MAX(H731,GWL))*GAM_D)/(GAM_W*PI()*E731^2/4))</f>
        <v>4.63064140720271</v>
      </c>
      <c r="AC731" s="27" t="n">
        <f aca="false">IF(I731-E731&gt;=GWL,99,E731*(MAX(0,GWL-I731)*(GAM_S-GAM_W)+MAX(0,FL-MAX(I731,GWL))*GAM_D)/(GAM_W*PI()*E731^2/4))</f>
        <v>4.63193196138074</v>
      </c>
    </row>
    <row r="732" customFormat="false" ht="15" hidden="false" customHeight="false" outlineLevel="0" collapsed="false">
      <c r="A732" s="25" t="s">
        <v>1240</v>
      </c>
      <c r="B732" s="25" t="s">
        <v>1275</v>
      </c>
      <c r="C732" s="25" t="s">
        <v>1285</v>
      </c>
      <c r="D732" s="26" t="n">
        <v>2.50000000000997</v>
      </c>
      <c r="E732" s="26" t="n">
        <v>2.06960150150859</v>
      </c>
      <c r="F732" s="26" t="n">
        <v>-7.59337962017453</v>
      </c>
      <c r="G732" s="26" t="n">
        <v>-7.5940077912969</v>
      </c>
      <c r="H732" s="26" t="n">
        <v>-5.02377811866594</v>
      </c>
      <c r="I732" s="26" t="n">
        <v>-5.0244062897883</v>
      </c>
      <c r="J732" s="26" t="n">
        <v>17.04</v>
      </c>
      <c r="K732" s="27" t="n">
        <f aca="false">MIN(F732,G732)</f>
        <v>-7.5940077912969</v>
      </c>
      <c r="L732" s="27" t="n">
        <f aca="false">AVERAGE(F732,G732)</f>
        <v>-7.59369370573571</v>
      </c>
      <c r="M732" s="27" t="n">
        <f aca="false">MAX(0,NG-L732)</f>
        <v>6.89369370573571</v>
      </c>
      <c r="N732" s="27" t="n">
        <f aca="false">MAX(0,GWL-K732)</f>
        <v>6.0940077912969</v>
      </c>
      <c r="O732" s="27" t="n">
        <f aca="false">MAX(0,NG-MAX(K732,GWL))</f>
        <v>0.8</v>
      </c>
      <c r="P732" s="27" t="n">
        <f aca="false">E732/2+WS+SLOPE_A*O732+SLOPE_B*N732</f>
        <v>15.4228163333481</v>
      </c>
      <c r="Q732" s="28" t="str">
        <f aca="false">IF(AND(P732&lt;J732,N732&lt;=MAXOC),"Open cut","Shoring")</f>
        <v>Shoring</v>
      </c>
      <c r="R732" s="27" t="n">
        <f aca="false">IF(Q732="Shoring",D732,0)</f>
        <v>2.50000000000997</v>
      </c>
      <c r="S732" s="27" t="n">
        <f aca="false">MAX(0,GWL-L732)</f>
        <v>6.09369370573571</v>
      </c>
      <c r="T732" s="27" t="n">
        <f aca="false">MAX(0,NG-MAX(L732,GWL))</f>
        <v>0.8</v>
      </c>
      <c r="U732" s="27" t="n">
        <f aca="false">E732+2*WS</f>
        <v>4.06960150150859</v>
      </c>
      <c r="V732" s="27" t="n">
        <f aca="false">IF(Q732="Shoring",D732*M732*U732,0)</f>
        <v>70.1364656397858</v>
      </c>
      <c r="W732" s="27" t="n">
        <f aca="false">IF(Q732="Open cut",D732*(U732*M732+SLOPE_B*S732^2+2*SLOPE_B*S732*T732+SLOPE_A*T732^2),0)</f>
        <v>0</v>
      </c>
      <c r="X732" s="27" t="n">
        <f aca="false">IF(M732&gt;0,D732*(E732+2*SLABOVH)*SLAB,0)</f>
        <v>3.83700187690105</v>
      </c>
      <c r="Y732" s="27" t="n">
        <f aca="false">IF(M732&gt;0,D732*PI()*E732^2/4,0)</f>
        <v>8.41014244486617</v>
      </c>
      <c r="Z732" s="27" t="n">
        <f aca="false">IF(H732-E732&gt;=GWL,99,E732*(MAX(0,GWL-H732)*(GAM_S-GAM_W)+MAX(0,NG-MAX(H732,GWL))*GAM_D)/(GAM_W*PI()*E732^2/4))</f>
        <v>2.71292828413202</v>
      </c>
      <c r="AA732" s="27" t="n">
        <f aca="false">IF(I732-E732&gt;=GWL,99,E732*(MAX(0,GWL-I732)*(GAM_S-GAM_W)+MAX(0,NG-MAX(I732,GWL))*GAM_D)/(GAM_W*PI()*E732^2/4))</f>
        <v>2.71325092267653</v>
      </c>
      <c r="AB732" s="27" t="n">
        <f aca="false">IF(H732-E732&gt;=GWL,99,E732*(MAX(0,GWL-H732)*(GAM_S-GAM_W)+MAX(0,FL-MAX(H732,GWL))*GAM_D)/(GAM_W*PI()*E732^2/4))</f>
        <v>4.63193196138074</v>
      </c>
      <c r="AC732" s="27" t="n">
        <f aca="false">IF(I732-E732&gt;=GWL,99,E732*(MAX(0,GWL-I732)*(GAM_S-GAM_W)+MAX(0,FL-MAX(I732,GWL))*GAM_D)/(GAM_W*PI()*E732^2/4))</f>
        <v>4.63225459992524</v>
      </c>
    </row>
    <row r="733" customFormat="false" ht="15" hidden="false" customHeight="false" outlineLevel="0" collapsed="false">
      <c r="A733" s="25" t="s">
        <v>1240</v>
      </c>
      <c r="B733" s="25" t="s">
        <v>1286</v>
      </c>
      <c r="C733" s="25" t="s">
        <v>1287</v>
      </c>
      <c r="D733" s="26" t="n">
        <v>7.49999999956864</v>
      </c>
      <c r="E733" s="26" t="n">
        <v>2.06960150150859</v>
      </c>
      <c r="F733" s="26" t="n">
        <v>-7.5940077912969</v>
      </c>
      <c r="G733" s="26" t="n">
        <v>-7.595892304664</v>
      </c>
      <c r="H733" s="26" t="n">
        <v>-5.0244062897883</v>
      </c>
      <c r="I733" s="26" t="n">
        <v>-5.0262908031554</v>
      </c>
      <c r="J733" s="26" t="n">
        <v>9.62</v>
      </c>
      <c r="K733" s="27" t="n">
        <f aca="false">MIN(F733,G733)</f>
        <v>-7.595892304664</v>
      </c>
      <c r="L733" s="27" t="n">
        <f aca="false">AVERAGE(F733,G733)</f>
        <v>-7.59495004798045</v>
      </c>
      <c r="M733" s="27" t="n">
        <f aca="false">MAX(0,NG-L733)</f>
        <v>6.89495004798045</v>
      </c>
      <c r="N733" s="27" t="n">
        <f aca="false">MAX(0,GWL-K733)</f>
        <v>6.095892304664</v>
      </c>
      <c r="O733" s="27" t="n">
        <f aca="false">MAX(0,NG-MAX(K733,GWL))</f>
        <v>0.8</v>
      </c>
      <c r="P733" s="27" t="n">
        <f aca="false">E733/2+WS+SLOPE_A*O733+SLOPE_B*N733</f>
        <v>15.4265853600823</v>
      </c>
      <c r="Q733" s="28" t="str">
        <f aca="false">IF(AND(P733&lt;J733,N733&lt;=MAXOC),"Open cut","Shoring")</f>
        <v>Shoring</v>
      </c>
      <c r="R733" s="27" t="n">
        <f aca="false">IF(Q733="Shoring",D733,0)</f>
        <v>7.49999999956864</v>
      </c>
      <c r="S733" s="27" t="n">
        <f aca="false">MAX(0,GWL-L733)</f>
        <v>6.09495004798045</v>
      </c>
      <c r="T733" s="27" t="n">
        <f aca="false">MAX(0,NG-MAX(L733,GWL))</f>
        <v>0.8</v>
      </c>
      <c r="U733" s="27" t="n">
        <f aca="false">E733+2*WS</f>
        <v>4.06960150150859</v>
      </c>
      <c r="V733" s="27" t="n">
        <f aca="false">IF(Q733="Shoring",D733*M733*U733,0)</f>
        <v>210.447742998556</v>
      </c>
      <c r="W733" s="27" t="n">
        <f aca="false">IF(Q733="Open cut",D733*(U733*M733+SLOPE_B*S733^2+2*SLOPE_B*S733*T733+SLOPE_A*T733^2),0)</f>
        <v>0</v>
      </c>
      <c r="X733" s="27" t="n">
        <f aca="false">IF(M733&gt;0,D733*(E733+2*SLABOVH)*SLAB,0)</f>
        <v>11.5110056299952</v>
      </c>
      <c r="Y733" s="27" t="n">
        <f aca="false">IF(M733&gt;0,D733*PI()*E733^2/4,0)</f>
        <v>25.2304273330467</v>
      </c>
      <c r="Z733" s="27" t="n">
        <f aca="false">IF(H733-E733&gt;=GWL,99,E733*(MAX(0,GWL-H733)*(GAM_S-GAM_W)+MAX(0,NG-MAX(H733,GWL))*GAM_D)/(GAM_W*PI()*E733^2/4))</f>
        <v>2.71325092267653</v>
      </c>
      <c r="AA733" s="27" t="n">
        <f aca="false">IF(I733-E733&gt;=GWL,99,E733*(MAX(0,GWL-I733)*(GAM_S-GAM_W)+MAX(0,NG-MAX(I733,GWL))*GAM_D)/(GAM_W*PI()*E733^2/4))</f>
        <v>2.71421883831005</v>
      </c>
      <c r="AB733" s="27" t="n">
        <f aca="false">IF(H733-E733&gt;=GWL,99,E733*(MAX(0,GWL-H733)*(GAM_S-GAM_W)+MAX(0,FL-MAX(H733,GWL))*GAM_D)/(GAM_W*PI()*E733^2/4))</f>
        <v>4.63225459992524</v>
      </c>
      <c r="AC733" s="27" t="n">
        <f aca="false">IF(I733-E733&gt;=GWL,99,E733*(MAX(0,GWL-I733)*(GAM_S-GAM_W)+MAX(0,FL-MAX(I733,GWL))*GAM_D)/(GAM_W*PI()*E733^2/4))</f>
        <v>4.63322251555877</v>
      </c>
    </row>
    <row r="734" customFormat="false" ht="15" hidden="false" customHeight="false" outlineLevel="0" collapsed="false">
      <c r="A734" s="25" t="s">
        <v>1240</v>
      </c>
      <c r="B734" s="25" t="s">
        <v>1286</v>
      </c>
      <c r="C734" s="25" t="s">
        <v>1288</v>
      </c>
      <c r="D734" s="26" t="n">
        <v>10.0000000003844</v>
      </c>
      <c r="E734" s="26" t="n">
        <v>2.06960150150859</v>
      </c>
      <c r="F734" s="26" t="n">
        <v>-7.595892304664</v>
      </c>
      <c r="G734" s="26" t="n">
        <v>-7.59840498915346</v>
      </c>
      <c r="H734" s="26" t="n">
        <v>-5.0262908031554</v>
      </c>
      <c r="I734" s="26" t="n">
        <v>-5.02880348764487</v>
      </c>
      <c r="J734" s="26" t="n">
        <v>0.91</v>
      </c>
      <c r="K734" s="27" t="n">
        <f aca="false">MIN(F734,G734)</f>
        <v>-7.59840498915346</v>
      </c>
      <c r="L734" s="27" t="n">
        <f aca="false">AVERAGE(F734,G734)</f>
        <v>-7.59714864690873</v>
      </c>
      <c r="M734" s="27" t="n">
        <f aca="false">MAX(0,NG-L734)</f>
        <v>6.89714864690873</v>
      </c>
      <c r="N734" s="27" t="n">
        <f aca="false">MAX(0,GWL-K734)</f>
        <v>6.09840498915346</v>
      </c>
      <c r="O734" s="27" t="n">
        <f aca="false">MAX(0,NG-MAX(K734,GWL))</f>
        <v>0.8</v>
      </c>
      <c r="P734" s="27" t="n">
        <f aca="false">E734/2+WS+SLOPE_A*O734+SLOPE_B*N734</f>
        <v>15.4316107290612</v>
      </c>
      <c r="Q734" s="28" t="str">
        <f aca="false">IF(AND(P734&lt;J734,N734&lt;=MAXOC),"Open cut","Shoring")</f>
        <v>Shoring</v>
      </c>
      <c r="R734" s="27" t="n">
        <f aca="false">IF(Q734="Shoring",D734,0)</f>
        <v>10.0000000003844</v>
      </c>
      <c r="S734" s="27" t="n">
        <f aca="false">MAX(0,GWL-L734)</f>
        <v>6.09714864690873</v>
      </c>
      <c r="T734" s="27" t="n">
        <f aca="false">MAX(0,NG-MAX(L734,GWL))</f>
        <v>0.8</v>
      </c>
      <c r="U734" s="27" t="n">
        <f aca="false">E734+2*WS</f>
        <v>4.06960150150859</v>
      </c>
      <c r="V734" s="27" t="n">
        <f aca="false">IF(Q734="Shoring",D734*M734*U734,0)</f>
        <v>280.686464906668</v>
      </c>
      <c r="W734" s="27" t="n">
        <f aca="false">IF(Q734="Open cut",D734*(U734*M734+SLOPE_B*S734^2+2*SLOPE_B*S734*T734+SLOPE_A*T734^2),0)</f>
        <v>0</v>
      </c>
      <c r="X734" s="27" t="n">
        <f aca="false">IF(M734&gt;0,D734*(E734+2*SLABOVH)*SLAB,0)</f>
        <v>15.348007508133</v>
      </c>
      <c r="Y734" s="27" t="n">
        <f aca="false">IF(M734&gt;0,D734*PI()*E734^2/4,0)</f>
        <v>33.6405697806238</v>
      </c>
      <c r="Z734" s="27" t="n">
        <f aca="false">IF(H734-E734&gt;=GWL,99,E734*(MAX(0,GWL-H734)*(GAM_S-GAM_W)+MAX(0,NG-MAX(H734,GWL))*GAM_D)/(GAM_W*PI()*E734^2/4))</f>
        <v>2.71421883831005</v>
      </c>
      <c r="AA734" s="27" t="n">
        <f aca="false">IF(I734-E734&gt;=GWL,99,E734*(MAX(0,GWL-I734)*(GAM_S-GAM_W)+MAX(0,NG-MAX(I734,GWL))*GAM_D)/(GAM_W*PI()*E734^2/4))</f>
        <v>2.71550939248808</v>
      </c>
      <c r="AB734" s="27" t="n">
        <f aca="false">IF(H734-E734&gt;=GWL,99,E734*(MAX(0,GWL-H734)*(GAM_S-GAM_W)+MAX(0,FL-MAX(H734,GWL))*GAM_D)/(GAM_W*PI()*E734^2/4))</f>
        <v>4.63322251555877</v>
      </c>
      <c r="AC734" s="27" t="n">
        <f aca="false">IF(I734-E734&gt;=GWL,99,E734*(MAX(0,GWL-I734)*(GAM_S-GAM_W)+MAX(0,FL-MAX(I734,GWL))*GAM_D)/(GAM_W*PI()*E734^2/4))</f>
        <v>4.63451306973679</v>
      </c>
    </row>
    <row r="735" customFormat="false" ht="15" hidden="false" customHeight="false" outlineLevel="0" collapsed="false">
      <c r="A735" s="25" t="s">
        <v>1240</v>
      </c>
      <c r="B735" s="25" t="s">
        <v>1286</v>
      </c>
      <c r="C735" s="25" t="s">
        <v>1289</v>
      </c>
      <c r="D735" s="26" t="n">
        <v>10.0000000003844</v>
      </c>
      <c r="E735" s="26" t="n">
        <v>2.06960150150859</v>
      </c>
      <c r="F735" s="26" t="n">
        <v>-7.59840498915346</v>
      </c>
      <c r="G735" s="26" t="n">
        <v>-7.60091767364293</v>
      </c>
      <c r="H735" s="26" t="n">
        <v>-5.02880348764487</v>
      </c>
      <c r="I735" s="26" t="n">
        <v>-5.03131617213434</v>
      </c>
      <c r="J735" s="26" t="n">
        <v>0</v>
      </c>
      <c r="K735" s="27" t="n">
        <f aca="false">MIN(F735,G735)</f>
        <v>-7.60091767364293</v>
      </c>
      <c r="L735" s="27" t="n">
        <f aca="false">AVERAGE(F735,G735)</f>
        <v>-7.5996613313982</v>
      </c>
      <c r="M735" s="27" t="n">
        <f aca="false">MAX(0,NG-L735)</f>
        <v>6.8996613313982</v>
      </c>
      <c r="N735" s="27" t="n">
        <f aca="false">MAX(0,GWL-K735)</f>
        <v>6.10091767364293</v>
      </c>
      <c r="O735" s="27" t="n">
        <f aca="false">MAX(0,NG-MAX(K735,GWL))</f>
        <v>0.8</v>
      </c>
      <c r="P735" s="27" t="n">
        <f aca="false">E735/2+WS+SLOPE_A*O735+SLOPE_B*N735</f>
        <v>15.4366360980402</v>
      </c>
      <c r="Q735" s="28" t="str">
        <f aca="false">IF(AND(P735&lt;J735,N735&lt;=MAXOC),"Open cut","Shoring")</f>
        <v>Shoring</v>
      </c>
      <c r="R735" s="27" t="n">
        <f aca="false">IF(Q735="Shoring",D735,0)</f>
        <v>10.0000000003844</v>
      </c>
      <c r="S735" s="27" t="n">
        <f aca="false">MAX(0,GWL-L735)</f>
        <v>6.0996613313982</v>
      </c>
      <c r="T735" s="27" t="n">
        <f aca="false">MAX(0,NG-MAX(L735,GWL))</f>
        <v>0.8</v>
      </c>
      <c r="U735" s="27" t="n">
        <f aca="false">E735+2*WS</f>
        <v>4.06960150150859</v>
      </c>
      <c r="V735" s="27" t="n">
        <f aca="false">IF(Q735="Shoring",D735*M735*U735,0)</f>
        <v>280.788721152383</v>
      </c>
      <c r="W735" s="27" t="n">
        <f aca="false">IF(Q735="Open cut",D735*(U735*M735+SLOPE_B*S735^2+2*SLOPE_B*S735*T735+SLOPE_A*T735^2),0)</f>
        <v>0</v>
      </c>
      <c r="X735" s="27" t="n">
        <f aca="false">IF(M735&gt;0,D735*(E735+2*SLABOVH)*SLAB,0)</f>
        <v>15.348007508133</v>
      </c>
      <c r="Y735" s="27" t="n">
        <f aca="false">IF(M735&gt;0,D735*PI()*E735^2/4,0)</f>
        <v>33.6405697806238</v>
      </c>
      <c r="Z735" s="27" t="n">
        <f aca="false">IF(H735-E735&gt;=GWL,99,E735*(MAX(0,GWL-H735)*(GAM_S-GAM_W)+MAX(0,NG-MAX(H735,GWL))*GAM_D)/(GAM_W*PI()*E735^2/4))</f>
        <v>2.71550939248808</v>
      </c>
      <c r="AA735" s="27" t="n">
        <f aca="false">IF(I735-E735&gt;=GWL,99,E735*(MAX(0,GWL-I735)*(GAM_S-GAM_W)+MAX(0,NG-MAX(I735,GWL))*GAM_D)/(GAM_W*PI()*E735^2/4))</f>
        <v>2.71679994666611</v>
      </c>
      <c r="AB735" s="27" t="n">
        <f aca="false">IF(H735-E735&gt;=GWL,99,E735*(MAX(0,GWL-H735)*(GAM_S-GAM_W)+MAX(0,FL-MAX(H735,GWL))*GAM_D)/(GAM_W*PI()*E735^2/4))</f>
        <v>4.63451306973679</v>
      </c>
      <c r="AC735" s="27" t="n">
        <f aca="false">IF(I735-E735&gt;=GWL,99,E735*(MAX(0,GWL-I735)*(GAM_S-GAM_W)+MAX(0,FL-MAX(I735,GWL))*GAM_D)/(GAM_W*PI()*E735^2/4))</f>
        <v>4.63580362391482</v>
      </c>
    </row>
    <row r="736" customFormat="false" ht="15" hidden="false" customHeight="false" outlineLevel="0" collapsed="false">
      <c r="A736" s="25" t="s">
        <v>1240</v>
      </c>
      <c r="B736" s="25" t="s">
        <v>1286</v>
      </c>
      <c r="C736" s="25" t="s">
        <v>1290</v>
      </c>
      <c r="D736" s="26" t="n">
        <v>9.99999999957861</v>
      </c>
      <c r="E736" s="26" t="n">
        <v>2.06960150150859</v>
      </c>
      <c r="F736" s="26" t="n">
        <v>-7.60091767364293</v>
      </c>
      <c r="G736" s="26" t="n">
        <v>-7.60343035813239</v>
      </c>
      <c r="H736" s="26" t="n">
        <v>-5.03131617213434</v>
      </c>
      <c r="I736" s="26" t="n">
        <v>-5.0338288566238</v>
      </c>
      <c r="J736" s="26" t="n">
        <v>0</v>
      </c>
      <c r="K736" s="27" t="n">
        <f aca="false">MIN(F736,G736)</f>
        <v>-7.60343035813239</v>
      </c>
      <c r="L736" s="27" t="n">
        <f aca="false">AVERAGE(F736,G736)</f>
        <v>-7.60217401588766</v>
      </c>
      <c r="M736" s="27" t="n">
        <f aca="false">MAX(0,NG-L736)</f>
        <v>6.90217401588766</v>
      </c>
      <c r="N736" s="27" t="n">
        <f aca="false">MAX(0,GWL-K736)</f>
        <v>6.10343035813239</v>
      </c>
      <c r="O736" s="27" t="n">
        <f aca="false">MAX(0,NG-MAX(K736,GWL))</f>
        <v>0.8</v>
      </c>
      <c r="P736" s="27" t="n">
        <f aca="false">E736/2+WS+SLOPE_A*O736+SLOPE_B*N736</f>
        <v>15.4416614670191</v>
      </c>
      <c r="Q736" s="28" t="str">
        <f aca="false">IF(AND(P736&lt;J736,N736&lt;=MAXOC),"Open cut","Shoring")</f>
        <v>Shoring</v>
      </c>
      <c r="R736" s="27" t="n">
        <f aca="false">IF(Q736="Shoring",D736,0)</f>
        <v>9.99999999957861</v>
      </c>
      <c r="S736" s="27" t="n">
        <f aca="false">MAX(0,GWL-L736)</f>
        <v>6.10217401588766</v>
      </c>
      <c r="T736" s="27" t="n">
        <f aca="false">MAX(0,NG-MAX(L736,GWL))</f>
        <v>0.8</v>
      </c>
      <c r="U736" s="27" t="n">
        <f aca="false">E736+2*WS</f>
        <v>4.06960150150859</v>
      </c>
      <c r="V736" s="27" t="n">
        <f aca="false">IF(Q736="Shoring",D736*M736*U736,0)</f>
        <v>280.890977375464</v>
      </c>
      <c r="W736" s="27" t="n">
        <f aca="false">IF(Q736="Open cut",D736*(U736*M736+SLOPE_B*S736^2+2*SLOPE_B*S736*T736+SLOPE_A*T736^2),0)</f>
        <v>0</v>
      </c>
      <c r="X736" s="27" t="n">
        <f aca="false">IF(M736&gt;0,D736*(E736+2*SLABOVH)*SLAB,0)</f>
        <v>15.3480075068962</v>
      </c>
      <c r="Y736" s="27" t="n">
        <f aca="false">IF(M736&gt;0,D736*PI()*E736^2/4,0)</f>
        <v>33.6405697779129</v>
      </c>
      <c r="Z736" s="27" t="n">
        <f aca="false">IF(H736-E736&gt;=GWL,99,E736*(MAX(0,GWL-H736)*(GAM_S-GAM_W)+MAX(0,NG-MAX(H736,GWL))*GAM_D)/(GAM_W*PI()*E736^2/4))</f>
        <v>2.71679994666611</v>
      </c>
      <c r="AA736" s="27" t="n">
        <f aca="false">IF(I736-E736&gt;=GWL,99,E736*(MAX(0,GWL-I736)*(GAM_S-GAM_W)+MAX(0,NG-MAX(I736,GWL))*GAM_D)/(GAM_W*PI()*E736^2/4))</f>
        <v>2.71809050084414</v>
      </c>
      <c r="AB736" s="27" t="n">
        <f aca="false">IF(H736-E736&gt;=GWL,99,E736*(MAX(0,GWL-H736)*(GAM_S-GAM_W)+MAX(0,FL-MAX(H736,GWL))*GAM_D)/(GAM_W*PI()*E736^2/4))</f>
        <v>4.63580362391482</v>
      </c>
      <c r="AC736" s="27" t="n">
        <f aca="false">IF(I736-E736&gt;=GWL,99,E736*(MAX(0,GWL-I736)*(GAM_S-GAM_W)+MAX(0,FL-MAX(I736,GWL))*GAM_D)/(GAM_W*PI()*E736^2/4))</f>
        <v>4.63709417809285</v>
      </c>
    </row>
    <row r="737" customFormat="false" ht="15" hidden="false" customHeight="false" outlineLevel="0" collapsed="false">
      <c r="A737" s="25" t="s">
        <v>1240</v>
      </c>
      <c r="B737" s="25" t="s">
        <v>1286</v>
      </c>
      <c r="C737" s="25" t="s">
        <v>1291</v>
      </c>
      <c r="D737" s="26" t="n">
        <v>5.45389851990973</v>
      </c>
      <c r="E737" s="26" t="n">
        <v>2.06960150150859</v>
      </c>
      <c r="F737" s="26" t="n">
        <v>-7.60343035813239</v>
      </c>
      <c r="G737" s="26" t="n">
        <v>-7.6048007507543</v>
      </c>
      <c r="H737" s="26" t="n">
        <v>-5.0338288566238</v>
      </c>
      <c r="I737" s="26" t="n">
        <v>-5.0351992492457</v>
      </c>
      <c r="J737" s="26" t="n">
        <v>6.31</v>
      </c>
      <c r="K737" s="27" t="n">
        <f aca="false">MIN(F737,G737)</f>
        <v>-7.6048007507543</v>
      </c>
      <c r="L737" s="27" t="n">
        <f aca="false">AVERAGE(F737,G737)</f>
        <v>-7.60411555444335</v>
      </c>
      <c r="M737" s="27" t="n">
        <f aca="false">MAX(0,NG-L737)</f>
        <v>6.90411555444335</v>
      </c>
      <c r="N737" s="27" t="n">
        <f aca="false">MAX(0,GWL-K737)</f>
        <v>6.1048007507543</v>
      </c>
      <c r="O737" s="27" t="n">
        <f aca="false">MAX(0,NG-MAX(K737,GWL))</f>
        <v>0.8</v>
      </c>
      <c r="P737" s="27" t="n">
        <f aca="false">E737/2+WS+SLOPE_A*O737+SLOPE_B*N737</f>
        <v>15.4444022522629</v>
      </c>
      <c r="Q737" s="28" t="str">
        <f aca="false">IF(AND(P737&lt;J737,N737&lt;=MAXOC),"Open cut","Shoring")</f>
        <v>Shoring</v>
      </c>
      <c r="R737" s="27" t="n">
        <f aca="false">IF(Q737="Shoring",D737,0)</f>
        <v>5.45389851990973</v>
      </c>
      <c r="S737" s="27" t="n">
        <f aca="false">MAX(0,GWL-L737)</f>
        <v>6.10411555444335</v>
      </c>
      <c r="T737" s="27" t="n">
        <f aca="false">MAX(0,NG-MAX(L737,GWL))</f>
        <v>0.8</v>
      </c>
      <c r="U737" s="27" t="n">
        <f aca="false">E737+2*WS</f>
        <v>4.06960150150859</v>
      </c>
      <c r="V737" s="27" t="n">
        <f aca="false">IF(Q737="Shoring",D737*M737*U737,0)</f>
        <v>153.238181406996</v>
      </c>
      <c r="W737" s="27" t="n">
        <f aca="false">IF(Q737="Open cut",D737*(U737*M737+SLOPE_B*S737^2+2*SLOPE_B*S737*T737+SLOPE_A*T737^2),0)</f>
        <v>0</v>
      </c>
      <c r="X737" s="27" t="n">
        <f aca="false">IF(M737&gt;0,D737*(E737+2*SLABOVH)*SLAB,0)</f>
        <v>8.3706475428952</v>
      </c>
      <c r="Y737" s="27" t="n">
        <f aca="false">IF(M737&gt;0,D737*PI()*E737^2/4,0)</f>
        <v>18.3472253728411</v>
      </c>
      <c r="Z737" s="27" t="n">
        <f aca="false">IF(H737-E737&gt;=GWL,99,E737*(MAX(0,GWL-H737)*(GAM_S-GAM_W)+MAX(0,NG-MAX(H737,GWL))*GAM_D)/(GAM_W*PI()*E737^2/4))</f>
        <v>2.71809050084414</v>
      </c>
      <c r="AA737" s="27" t="n">
        <f aca="false">IF(I737-E737&gt;=GWL,99,E737*(MAX(0,GWL-I737)*(GAM_S-GAM_W)+MAX(0,NG-MAX(I737,GWL))*GAM_D)/(GAM_W*PI()*E737^2/4))</f>
        <v>2.71879435599632</v>
      </c>
      <c r="AB737" s="27" t="n">
        <f aca="false">IF(H737-E737&gt;=GWL,99,E737*(MAX(0,GWL-H737)*(GAM_S-GAM_W)+MAX(0,FL-MAX(H737,GWL))*GAM_D)/(GAM_W*PI()*E737^2/4))</f>
        <v>4.63709417809285</v>
      </c>
      <c r="AC737" s="27" t="n">
        <f aca="false">IF(I737-E737&gt;=GWL,99,E737*(MAX(0,GWL-I737)*(GAM_S-GAM_W)+MAX(0,FL-MAX(I737,GWL))*GAM_D)/(GAM_W*PI()*E737^2/4))</f>
        <v>4.63779803324504</v>
      </c>
    </row>
    <row r="738" customFormat="false" ht="15" hidden="false" customHeight="false" outlineLevel="0" collapsed="false">
      <c r="A738" s="25" t="s">
        <v>1240</v>
      </c>
      <c r="B738" s="25" t="s">
        <v>1286</v>
      </c>
      <c r="C738" s="25" t="s">
        <v>1292</v>
      </c>
      <c r="D738" s="26" t="n">
        <v>0.250297922918362</v>
      </c>
      <c r="E738" s="26" t="n">
        <v>0.994152585836579</v>
      </c>
      <c r="F738" s="26" t="n">
        <v>-7.06707629291829</v>
      </c>
      <c r="G738" s="26" t="n">
        <v>-7.06707629291829</v>
      </c>
      <c r="H738" s="26" t="n">
        <v>-5.57292370708171</v>
      </c>
      <c r="I738" s="26" t="n">
        <v>-5.57292370708171</v>
      </c>
      <c r="J738" s="26" t="n">
        <v>9.64</v>
      </c>
      <c r="K738" s="27" t="n">
        <f aca="false">MIN(F738,G738)</f>
        <v>-7.06707629291829</v>
      </c>
      <c r="L738" s="27" t="n">
        <f aca="false">AVERAGE(F738,G738)</f>
        <v>-7.06707629291829</v>
      </c>
      <c r="M738" s="27" t="n">
        <f aca="false">MAX(0,NG-L738)</f>
        <v>6.36707629291829</v>
      </c>
      <c r="N738" s="27" t="n">
        <f aca="false">MAX(0,GWL-K738)</f>
        <v>5.56707629291829</v>
      </c>
      <c r="O738" s="27" t="n">
        <f aca="false">MAX(0,NG-MAX(K738,GWL))</f>
        <v>0.8</v>
      </c>
      <c r="P738" s="27" t="n">
        <f aca="false">E738/2+WS+SLOPE_A*O738+SLOPE_B*N738</f>
        <v>13.8312288787549</v>
      </c>
      <c r="Q738" s="28" t="str">
        <f aca="false">IF(AND(P738&lt;J738,N738&lt;=MAXOC),"Open cut","Shoring")</f>
        <v>Shoring</v>
      </c>
      <c r="R738" s="27" t="n">
        <f aca="false">IF(Q738="Shoring",D738,0)</f>
        <v>0.250297922918362</v>
      </c>
      <c r="S738" s="27" t="n">
        <f aca="false">MAX(0,GWL-L738)</f>
        <v>5.56707629291829</v>
      </c>
      <c r="T738" s="27" t="n">
        <f aca="false">MAX(0,NG-MAX(L738,GWL))</f>
        <v>0.8</v>
      </c>
      <c r="U738" s="27" t="n">
        <f aca="false">E738+2*WS</f>
        <v>2.99415258583658</v>
      </c>
      <c r="V738" s="27" t="n">
        <f aca="false">IF(Q738="Shoring",D738*M738*U738,0)</f>
        <v>4.77167908856894</v>
      </c>
      <c r="W738" s="27" t="n">
        <f aca="false">IF(Q738="Open cut",D738*(U738*M738+SLOPE_B*S738^2+2*SLOPE_B*S738*T738+SLOPE_A*T738^2),0)</f>
        <v>0</v>
      </c>
      <c r="X738" s="27" t="n">
        <f aca="false">IF(M738&gt;0,D738*(E738+2*SLABOVH)*SLAB,0)</f>
        <v>0.249566125108589</v>
      </c>
      <c r="Y738" s="27" t="n">
        <f aca="false">IF(M738&gt;0,D738*PI()*E738^2/4,0)</f>
        <v>0.194291239972819</v>
      </c>
      <c r="Z738" s="27" t="n">
        <f aca="false">IF(H738-E738&gt;=GWL,99,E738*(MAX(0,GWL-H738)*(GAM_S-GAM_W)+MAX(0,NG-MAX(H738,GWL))*GAM_D)/(GAM_W*PI()*E738^2/4))</f>
        <v>6.23486898112576</v>
      </c>
      <c r="AA738" s="27" t="n">
        <f aca="false">IF(I738-E738&gt;=GWL,99,E738*(MAX(0,GWL-I738)*(GAM_S-GAM_W)+MAX(0,NG-MAX(I738,GWL))*GAM_D)/(GAM_W*PI()*E738^2/4))</f>
        <v>6.23486898112576</v>
      </c>
      <c r="AB738" s="27" t="n">
        <f aca="false">IF(H738-E738&gt;=GWL,99,E738*(MAX(0,GWL-H738)*(GAM_S-GAM_W)+MAX(0,FL-MAX(H738,GWL))*GAM_D)/(GAM_W*PI()*E738^2/4))</f>
        <v>10.2298019002937</v>
      </c>
      <c r="AC738" s="27" t="n">
        <f aca="false">IF(I738-E738&gt;=GWL,99,E738*(MAX(0,GWL-I738)*(GAM_S-GAM_W)+MAX(0,FL-MAX(I738,GWL))*GAM_D)/(GAM_W*PI()*E738^2/4))</f>
        <v>10.2298019002937</v>
      </c>
    </row>
    <row r="739" customFormat="false" ht="15" hidden="false" customHeight="false" outlineLevel="0" collapsed="false">
      <c r="A739" s="25" t="s">
        <v>1293</v>
      </c>
      <c r="B739" s="25" t="s">
        <v>1294</v>
      </c>
      <c r="C739" s="25" t="s">
        <v>1295</v>
      </c>
      <c r="D739" s="26" t="n">
        <v>5.99999999994433</v>
      </c>
      <c r="E739" s="26" t="n">
        <v>0.999986104738115</v>
      </c>
      <c r="F739" s="26" t="n">
        <v>-4.08999305236906</v>
      </c>
      <c r="G739" s="26" t="n">
        <v>-4.08999305236906</v>
      </c>
      <c r="H739" s="26" t="n">
        <v>-2.59000694763094</v>
      </c>
      <c r="I739" s="26" t="n">
        <v>-2.59000694763094</v>
      </c>
      <c r="J739" s="26" t="n">
        <v>12.5</v>
      </c>
      <c r="K739" s="27" t="n">
        <f aca="false">MIN(F739,G739)</f>
        <v>-4.08999305236906</v>
      </c>
      <c r="L739" s="27" t="n">
        <f aca="false">AVERAGE(F739,G739)</f>
        <v>-4.08999305236906</v>
      </c>
      <c r="M739" s="27" t="n">
        <f aca="false">MAX(0,NG-L739)</f>
        <v>3.38999305236906</v>
      </c>
      <c r="N739" s="27" t="n">
        <f aca="false">MAX(0,GWL-K739)</f>
        <v>2.58999305236906</v>
      </c>
      <c r="O739" s="27" t="n">
        <f aca="false">MAX(0,NG-MAX(K739,GWL))</f>
        <v>0.8</v>
      </c>
      <c r="P739" s="27" t="n">
        <f aca="false">E739/2+WS+SLOPE_A*O739+SLOPE_B*N739</f>
        <v>7.87997915710717</v>
      </c>
      <c r="Q739" s="28" t="str">
        <f aca="false">IF(AND(P739&lt;J739,N739&lt;=MAXOC),"Open cut","Shoring")</f>
        <v>Shoring</v>
      </c>
      <c r="R739" s="27" t="n">
        <f aca="false">IF(Q739="Shoring",D739,0)</f>
        <v>5.99999999994433</v>
      </c>
      <c r="S739" s="27" t="n">
        <f aca="false">MAX(0,GWL-L739)</f>
        <v>2.58999305236906</v>
      </c>
      <c r="T739" s="27" t="n">
        <f aca="false">MAX(0,NG-MAX(L739,GWL))</f>
        <v>0.8</v>
      </c>
      <c r="U739" s="27" t="n">
        <f aca="false">E739+2*WS</f>
        <v>2.99998610473812</v>
      </c>
      <c r="V739" s="27" t="n">
        <f aca="false">IF(Q739="Shoring",D739*M739*U739,0)</f>
        <v>61.0195923130294</v>
      </c>
      <c r="W739" s="27" t="n">
        <f aca="false">IF(Q739="Open cut",D739*(U739*M739+SLOPE_B*S739^2+2*SLOPE_B*S739*T739+SLOPE_A*T739^2),0)</f>
        <v>0</v>
      </c>
      <c r="X739" s="27" t="n">
        <f aca="false">IF(M739&gt;0,D739*(E739+2*SLABOVH)*SLAB,0)</f>
        <v>5.99995831415868</v>
      </c>
      <c r="Y739" s="27" t="n">
        <f aca="false">IF(M739&gt;0,D739*PI()*E739^2/4,0)</f>
        <v>4.71225802149286</v>
      </c>
      <c r="Z739" s="27" t="n">
        <f aca="false">IF(H739-E739&gt;=GWL,99,E739*(MAX(0,GWL-H739)*(GAM_S-GAM_W)+MAX(0,NG-MAX(H739,GWL))*GAM_D)/(GAM_W*PI()*E739^2/4))</f>
        <v>3.02767291971882</v>
      </c>
      <c r="AA739" s="27" t="n">
        <f aca="false">IF(I739-E739&gt;=GWL,99,E739*(MAX(0,GWL-I739)*(GAM_S-GAM_W)+MAX(0,NG-MAX(I739,GWL))*GAM_D)/(GAM_W*PI()*E739^2/4))</f>
        <v>3.02767291971882</v>
      </c>
      <c r="AB739" s="27" t="n">
        <f aca="false">IF(H739-E739&gt;=GWL,99,E739*(MAX(0,GWL-H739)*(GAM_S-GAM_W)+MAX(0,FL-MAX(H739,GWL))*GAM_D)/(GAM_W*PI()*E739^2/4))</f>
        <v>6.99930099836554</v>
      </c>
      <c r="AC739" s="27" t="n">
        <f aca="false">IF(I739-E739&gt;=GWL,99,E739*(MAX(0,GWL-I739)*(GAM_S-GAM_W)+MAX(0,FL-MAX(I739,GWL))*GAM_D)/(GAM_W*PI()*E739^2/4))</f>
        <v>6.99930099836554</v>
      </c>
    </row>
    <row r="740" customFormat="false" ht="15" hidden="false" customHeight="false" outlineLevel="0" collapsed="false">
      <c r="A740" s="25" t="s">
        <v>1293</v>
      </c>
      <c r="B740" s="25" t="s">
        <v>1296</v>
      </c>
      <c r="C740" s="25" t="s">
        <v>1297</v>
      </c>
      <c r="D740" s="26" t="n">
        <v>3.99999999999119</v>
      </c>
      <c r="E740" s="26" t="n">
        <v>0.999986104738115</v>
      </c>
      <c r="F740" s="26" t="n">
        <v>-4.08999305236906</v>
      </c>
      <c r="G740" s="26" t="n">
        <v>-4.08999305236906</v>
      </c>
      <c r="H740" s="26" t="n">
        <v>-2.59000694763094</v>
      </c>
      <c r="I740" s="26" t="n">
        <v>-2.59000694763094</v>
      </c>
      <c r="J740" s="26" t="n">
        <v>18</v>
      </c>
      <c r="K740" s="27" t="n">
        <f aca="false">MIN(F740,G740)</f>
        <v>-4.08999305236906</v>
      </c>
      <c r="L740" s="27" t="n">
        <f aca="false">AVERAGE(F740,G740)</f>
        <v>-4.08999305236906</v>
      </c>
      <c r="M740" s="27" t="n">
        <f aca="false">MAX(0,NG-L740)</f>
        <v>3.38999305236906</v>
      </c>
      <c r="N740" s="27" t="n">
        <f aca="false">MAX(0,GWL-K740)</f>
        <v>2.58999305236906</v>
      </c>
      <c r="O740" s="27" t="n">
        <f aca="false">MAX(0,NG-MAX(K740,GWL))</f>
        <v>0.8</v>
      </c>
      <c r="P740" s="27" t="n">
        <f aca="false">E740/2+WS+SLOPE_A*O740+SLOPE_B*N740</f>
        <v>7.87997915710717</v>
      </c>
      <c r="Q740" s="28" t="str">
        <f aca="false">IF(AND(P740&lt;J740,N740&lt;=MAXOC),"Open cut","Shoring")</f>
        <v>Shoring</v>
      </c>
      <c r="R740" s="27" t="n">
        <f aca="false">IF(Q740="Shoring",D740,0)</f>
        <v>3.99999999999119</v>
      </c>
      <c r="S740" s="27" t="n">
        <f aca="false">MAX(0,GWL-L740)</f>
        <v>2.58999305236906</v>
      </c>
      <c r="T740" s="27" t="n">
        <f aca="false">MAX(0,NG-MAX(L740,GWL))</f>
        <v>0.8</v>
      </c>
      <c r="U740" s="27" t="n">
        <f aca="false">E740+2*WS</f>
        <v>2.99998610473812</v>
      </c>
      <c r="V740" s="27" t="n">
        <f aca="false">IF(Q740="Shoring",D740*M740*U740,0)</f>
        <v>40.6797282089741</v>
      </c>
      <c r="W740" s="27" t="n">
        <f aca="false">IF(Q740="Open cut",D740*(U740*M740+SLOPE_B*S740^2+2*SLOPE_B*S740*T740+SLOPE_A*T740^2),0)</f>
        <v>0</v>
      </c>
      <c r="X740" s="27" t="n">
        <f aca="false">IF(M740&gt;0,D740*(E740+2*SLABOVH)*SLAB,0)</f>
        <v>3.99997220946742</v>
      </c>
      <c r="Y740" s="27" t="n">
        <f aca="false">IF(M740&gt;0,D740*PI()*E740^2/4,0)</f>
        <v>3.14150534768414</v>
      </c>
      <c r="Z740" s="27" t="n">
        <f aca="false">IF(H740-E740&gt;=GWL,99,E740*(MAX(0,GWL-H740)*(GAM_S-GAM_W)+MAX(0,NG-MAX(H740,GWL))*GAM_D)/(GAM_W*PI()*E740^2/4))</f>
        <v>3.02767291971882</v>
      </c>
      <c r="AA740" s="27" t="n">
        <f aca="false">IF(I740-E740&gt;=GWL,99,E740*(MAX(0,GWL-I740)*(GAM_S-GAM_W)+MAX(0,NG-MAX(I740,GWL))*GAM_D)/(GAM_W*PI()*E740^2/4))</f>
        <v>3.02767291971882</v>
      </c>
      <c r="AB740" s="27" t="n">
        <f aca="false">IF(H740-E740&gt;=GWL,99,E740*(MAX(0,GWL-H740)*(GAM_S-GAM_W)+MAX(0,FL-MAX(H740,GWL))*GAM_D)/(GAM_W*PI()*E740^2/4))</f>
        <v>6.99930099836554</v>
      </c>
      <c r="AC740" s="27" t="n">
        <f aca="false">IF(I740-E740&gt;=GWL,99,E740*(MAX(0,GWL-I740)*(GAM_S-GAM_W)+MAX(0,FL-MAX(I740,GWL))*GAM_D)/(GAM_W*PI()*E740^2/4))</f>
        <v>6.99930099836554</v>
      </c>
    </row>
    <row r="741" customFormat="false" ht="15" hidden="false" customHeight="false" outlineLevel="0" collapsed="false">
      <c r="A741" s="25" t="s">
        <v>1293</v>
      </c>
      <c r="B741" s="25" t="s">
        <v>1296</v>
      </c>
      <c r="C741" s="25" t="s">
        <v>1298</v>
      </c>
      <c r="D741" s="26" t="n">
        <v>10.0000000000515</v>
      </c>
      <c r="E741" s="26" t="n">
        <v>0.999986104738115</v>
      </c>
      <c r="F741" s="26" t="n">
        <v>-4.08999305236906</v>
      </c>
      <c r="G741" s="26" t="n">
        <v>-4.08999305236906</v>
      </c>
      <c r="H741" s="26" t="n">
        <v>-2.59000694763094</v>
      </c>
      <c r="I741" s="26" t="n">
        <v>-2.59000694763094</v>
      </c>
      <c r="J741" s="26" t="n">
        <v>21.81</v>
      </c>
      <c r="K741" s="27" t="n">
        <f aca="false">MIN(F741,G741)</f>
        <v>-4.08999305236906</v>
      </c>
      <c r="L741" s="27" t="n">
        <f aca="false">AVERAGE(F741,G741)</f>
        <v>-4.08999305236906</v>
      </c>
      <c r="M741" s="27" t="n">
        <f aca="false">MAX(0,NG-L741)</f>
        <v>3.38999305236906</v>
      </c>
      <c r="N741" s="27" t="n">
        <f aca="false">MAX(0,GWL-K741)</f>
        <v>2.58999305236906</v>
      </c>
      <c r="O741" s="27" t="n">
        <f aca="false">MAX(0,NG-MAX(K741,GWL))</f>
        <v>0.8</v>
      </c>
      <c r="P741" s="27" t="n">
        <f aca="false">E741/2+WS+SLOPE_A*O741+SLOPE_B*N741</f>
        <v>7.87997915710717</v>
      </c>
      <c r="Q741" s="28" t="str">
        <f aca="false">IF(AND(P741&lt;J741,N741&lt;=MAXOC),"Open cut","Shoring")</f>
        <v>Shoring</v>
      </c>
      <c r="R741" s="27" t="n">
        <f aca="false">IF(Q741="Shoring",D741,0)</f>
        <v>10.0000000000515</v>
      </c>
      <c r="S741" s="27" t="n">
        <f aca="false">MAX(0,GWL-L741)</f>
        <v>2.58999305236906</v>
      </c>
      <c r="T741" s="27" t="n">
        <f aca="false">MAX(0,NG-MAX(L741,GWL))</f>
        <v>0.8</v>
      </c>
      <c r="U741" s="27" t="n">
        <f aca="false">E741+2*WS</f>
        <v>2.99998610473812</v>
      </c>
      <c r="V741" s="27" t="n">
        <f aca="false">IF(Q741="Shoring",D741*M741*U741,0)</f>
        <v>101.699320523183</v>
      </c>
      <c r="W741" s="27" t="n">
        <f aca="false">IF(Q741="Open cut",D741*(U741*M741+SLOPE_B*S741^2+2*SLOPE_B*S741*T741+SLOPE_A*T741^2),0)</f>
        <v>0</v>
      </c>
      <c r="X741" s="27" t="n">
        <f aca="false">IF(M741&gt;0,D741*(E741+2*SLABOVH)*SLAB,0)</f>
        <v>9.99993052374209</v>
      </c>
      <c r="Y741" s="27" t="n">
        <f aca="false">IF(M741&gt;0,D741*PI()*E741^2/4,0)</f>
        <v>7.85376336926809</v>
      </c>
      <c r="Z741" s="27" t="n">
        <f aca="false">IF(H741-E741&gt;=GWL,99,E741*(MAX(0,GWL-H741)*(GAM_S-GAM_W)+MAX(0,NG-MAX(H741,GWL))*GAM_D)/(GAM_W*PI()*E741^2/4))</f>
        <v>3.02767291971882</v>
      </c>
      <c r="AA741" s="27" t="n">
        <f aca="false">IF(I741-E741&gt;=GWL,99,E741*(MAX(0,GWL-I741)*(GAM_S-GAM_W)+MAX(0,NG-MAX(I741,GWL))*GAM_D)/(GAM_W*PI()*E741^2/4))</f>
        <v>3.02767291971882</v>
      </c>
      <c r="AB741" s="27" t="n">
        <f aca="false">IF(H741-E741&gt;=GWL,99,E741*(MAX(0,GWL-H741)*(GAM_S-GAM_W)+MAX(0,FL-MAX(H741,GWL))*GAM_D)/(GAM_W*PI()*E741^2/4))</f>
        <v>6.99930099836554</v>
      </c>
      <c r="AC741" s="27" t="n">
        <f aca="false">IF(I741-E741&gt;=GWL,99,E741*(MAX(0,GWL-I741)*(GAM_S-GAM_W)+MAX(0,FL-MAX(I741,GWL))*GAM_D)/(GAM_W*PI()*E741^2/4))</f>
        <v>6.99930099836554</v>
      </c>
    </row>
    <row r="742" customFormat="false" ht="15" hidden="false" customHeight="false" outlineLevel="0" collapsed="false">
      <c r="A742" s="25" t="s">
        <v>1293</v>
      </c>
      <c r="B742" s="25" t="s">
        <v>1296</v>
      </c>
      <c r="C742" s="25" t="s">
        <v>1299</v>
      </c>
      <c r="D742" s="26" t="n">
        <v>9.99999999993553</v>
      </c>
      <c r="E742" s="26" t="n">
        <v>0.999986104738115</v>
      </c>
      <c r="F742" s="26" t="n">
        <v>-4.08999305236906</v>
      </c>
      <c r="G742" s="26" t="n">
        <v>-4.08999305236906</v>
      </c>
      <c r="H742" s="26" t="n">
        <v>-2.59000694763094</v>
      </c>
      <c r="I742" s="26" t="n">
        <v>-2.59000694763094</v>
      </c>
      <c r="J742" s="26" t="n">
        <v>0</v>
      </c>
      <c r="K742" s="27" t="n">
        <f aca="false">MIN(F742,G742)</f>
        <v>-4.08999305236906</v>
      </c>
      <c r="L742" s="27" t="n">
        <f aca="false">AVERAGE(F742,G742)</f>
        <v>-4.08999305236906</v>
      </c>
      <c r="M742" s="27" t="n">
        <f aca="false">MAX(0,NG-L742)</f>
        <v>3.38999305236906</v>
      </c>
      <c r="N742" s="27" t="n">
        <f aca="false">MAX(0,GWL-K742)</f>
        <v>2.58999305236906</v>
      </c>
      <c r="O742" s="27" t="n">
        <f aca="false">MAX(0,NG-MAX(K742,GWL))</f>
        <v>0.8</v>
      </c>
      <c r="P742" s="27" t="n">
        <f aca="false">E742/2+WS+SLOPE_A*O742+SLOPE_B*N742</f>
        <v>7.87997915710717</v>
      </c>
      <c r="Q742" s="28" t="str">
        <f aca="false">IF(AND(P742&lt;J742,N742&lt;=MAXOC),"Open cut","Shoring")</f>
        <v>Shoring</v>
      </c>
      <c r="R742" s="27" t="n">
        <f aca="false">IF(Q742="Shoring",D742,0)</f>
        <v>9.99999999993553</v>
      </c>
      <c r="S742" s="27" t="n">
        <f aca="false">MAX(0,GWL-L742)</f>
        <v>2.58999305236906</v>
      </c>
      <c r="T742" s="27" t="n">
        <f aca="false">MAX(0,NG-MAX(L742,GWL))</f>
        <v>0.8</v>
      </c>
      <c r="U742" s="27" t="n">
        <f aca="false">E742+2*WS</f>
        <v>2.99998610473812</v>
      </c>
      <c r="V742" s="27" t="n">
        <f aca="false">IF(Q742="Shoring",D742*M742*U742,0)</f>
        <v>101.699320522004</v>
      </c>
      <c r="W742" s="27" t="n">
        <f aca="false">IF(Q742="Open cut",D742*(U742*M742+SLOPE_B*S742^2+2*SLOPE_B*S742*T742+SLOPE_A*T742^2),0)</f>
        <v>0</v>
      </c>
      <c r="X742" s="27" t="n">
        <f aca="false">IF(M742&gt;0,D742*(E742+2*SLABOVH)*SLAB,0)</f>
        <v>9.9999305236261</v>
      </c>
      <c r="Y742" s="27" t="n">
        <f aca="false">IF(M742&gt;0,D742*PI()*E742^2/4,0)</f>
        <v>7.853763369177</v>
      </c>
      <c r="Z742" s="27" t="n">
        <f aca="false">IF(H742-E742&gt;=GWL,99,E742*(MAX(0,GWL-H742)*(GAM_S-GAM_W)+MAX(0,NG-MAX(H742,GWL))*GAM_D)/(GAM_W*PI()*E742^2/4))</f>
        <v>3.02767291971882</v>
      </c>
      <c r="AA742" s="27" t="n">
        <f aca="false">IF(I742-E742&gt;=GWL,99,E742*(MAX(0,GWL-I742)*(GAM_S-GAM_W)+MAX(0,NG-MAX(I742,GWL))*GAM_D)/(GAM_W*PI()*E742^2/4))</f>
        <v>3.02767291971882</v>
      </c>
      <c r="AB742" s="27" t="n">
        <f aca="false">IF(H742-E742&gt;=GWL,99,E742*(MAX(0,GWL-H742)*(GAM_S-GAM_W)+MAX(0,FL-MAX(H742,GWL))*GAM_D)/(GAM_W*PI()*E742^2/4))</f>
        <v>6.99930099836554</v>
      </c>
      <c r="AC742" s="27" t="n">
        <f aca="false">IF(I742-E742&gt;=GWL,99,E742*(MAX(0,GWL-I742)*(GAM_S-GAM_W)+MAX(0,FL-MAX(I742,GWL))*GAM_D)/(GAM_W*PI()*E742^2/4))</f>
        <v>6.99930099836554</v>
      </c>
    </row>
    <row r="743" customFormat="false" ht="15" hidden="false" customHeight="false" outlineLevel="0" collapsed="false">
      <c r="A743" s="25" t="s">
        <v>1293</v>
      </c>
      <c r="B743" s="25" t="s">
        <v>1296</v>
      </c>
      <c r="C743" s="25" t="s">
        <v>1300</v>
      </c>
      <c r="D743" s="26" t="n">
        <v>5.68950484519793</v>
      </c>
      <c r="E743" s="26" t="n">
        <v>0.999986104738115</v>
      </c>
      <c r="F743" s="26" t="n">
        <v>-4.08999305236906</v>
      </c>
      <c r="G743" s="26" t="n">
        <v>-4.08999305236906</v>
      </c>
      <c r="H743" s="26" t="n">
        <v>-2.59000694763094</v>
      </c>
      <c r="I743" s="26" t="n">
        <v>-2.59000694763094</v>
      </c>
      <c r="J743" s="26" t="n">
        <v>1</v>
      </c>
      <c r="K743" s="27" t="n">
        <f aca="false">MIN(F743,G743)</f>
        <v>-4.08999305236906</v>
      </c>
      <c r="L743" s="27" t="n">
        <f aca="false">AVERAGE(F743,G743)</f>
        <v>-4.08999305236906</v>
      </c>
      <c r="M743" s="27" t="n">
        <f aca="false">MAX(0,NG-L743)</f>
        <v>3.38999305236906</v>
      </c>
      <c r="N743" s="27" t="n">
        <f aca="false">MAX(0,GWL-K743)</f>
        <v>2.58999305236906</v>
      </c>
      <c r="O743" s="27" t="n">
        <f aca="false">MAX(0,NG-MAX(K743,GWL))</f>
        <v>0.8</v>
      </c>
      <c r="P743" s="27" t="n">
        <f aca="false">E743/2+WS+SLOPE_A*O743+SLOPE_B*N743</f>
        <v>7.87997915710717</v>
      </c>
      <c r="Q743" s="28" t="str">
        <f aca="false">IF(AND(P743&lt;J743,N743&lt;=MAXOC),"Open cut","Shoring")</f>
        <v>Shoring</v>
      </c>
      <c r="R743" s="27" t="n">
        <f aca="false">IF(Q743="Shoring",D743,0)</f>
        <v>5.68950484519793</v>
      </c>
      <c r="S743" s="27" t="n">
        <f aca="false">MAX(0,GWL-L743)</f>
        <v>2.58999305236906</v>
      </c>
      <c r="T743" s="27" t="n">
        <f aca="false">MAX(0,NG-MAX(L743,GWL))</f>
        <v>0.8</v>
      </c>
      <c r="U743" s="27" t="n">
        <f aca="false">E743+2*WS</f>
        <v>2.99998610473812</v>
      </c>
      <c r="V743" s="27" t="n">
        <f aca="false">IF(Q743="Shoring",D743*M743*U743,0)</f>
        <v>57.8618776867007</v>
      </c>
      <c r="W743" s="27" t="n">
        <f aca="false">IF(Q743="Open cut",D743*(U743*M743+SLOPE_B*S743^2+2*SLOPE_B*S743*T743+SLOPE_A*T743^2),0)</f>
        <v>0</v>
      </c>
      <c r="X743" s="27" t="n">
        <f aca="false">IF(M743&gt;0,D743*(E743+2*SLABOVH)*SLAB,0)</f>
        <v>5.68946531661802</v>
      </c>
      <c r="Y743" s="27" t="n">
        <f aca="false">IF(M743&gt;0,D743*PI()*E743^2/4,0)</f>
        <v>4.46840247422587</v>
      </c>
      <c r="Z743" s="27" t="n">
        <f aca="false">IF(H743-E743&gt;=GWL,99,E743*(MAX(0,GWL-H743)*(GAM_S-GAM_W)+MAX(0,NG-MAX(H743,GWL))*GAM_D)/(GAM_W*PI()*E743^2/4))</f>
        <v>3.02767291971882</v>
      </c>
      <c r="AA743" s="27" t="n">
        <f aca="false">IF(I743-E743&gt;=GWL,99,E743*(MAX(0,GWL-I743)*(GAM_S-GAM_W)+MAX(0,NG-MAX(I743,GWL))*GAM_D)/(GAM_W*PI()*E743^2/4))</f>
        <v>3.02767291971882</v>
      </c>
      <c r="AB743" s="27" t="n">
        <f aca="false">IF(H743-E743&gt;=GWL,99,E743*(MAX(0,GWL-H743)*(GAM_S-GAM_W)+MAX(0,FL-MAX(H743,GWL))*GAM_D)/(GAM_W*PI()*E743^2/4))</f>
        <v>6.99930099836554</v>
      </c>
      <c r="AC743" s="27" t="n">
        <f aca="false">IF(I743-E743&gt;=GWL,99,E743*(MAX(0,GWL-I743)*(GAM_S-GAM_W)+MAX(0,FL-MAX(I743,GWL))*GAM_D)/(GAM_W*PI()*E743^2/4))</f>
        <v>6.99930099836554</v>
      </c>
    </row>
    <row r="744" customFormat="false" ht="15" hidden="false" customHeight="false" outlineLevel="0" collapsed="false">
      <c r="A744" s="25" t="s">
        <v>1293</v>
      </c>
      <c r="B744" s="25" t="s">
        <v>1296</v>
      </c>
      <c r="C744" s="25" t="s">
        <v>1301</v>
      </c>
      <c r="D744" s="26" t="n">
        <v>0.300849999972163</v>
      </c>
      <c r="E744" s="26" t="n">
        <v>0.999995864205992</v>
      </c>
      <c r="F744" s="26" t="n">
        <v>-4.089997932103</v>
      </c>
      <c r="G744" s="26" t="n">
        <v>-4.089997932103</v>
      </c>
      <c r="H744" s="26" t="n">
        <v>-2.590002067897</v>
      </c>
      <c r="I744" s="26" t="n">
        <v>-2.590002067897</v>
      </c>
      <c r="J744" s="26" t="n">
        <v>6.69</v>
      </c>
      <c r="K744" s="27" t="n">
        <f aca="false">MIN(F744,G744)</f>
        <v>-4.089997932103</v>
      </c>
      <c r="L744" s="27" t="n">
        <f aca="false">AVERAGE(F744,G744)</f>
        <v>-4.089997932103</v>
      </c>
      <c r="M744" s="27" t="n">
        <f aca="false">MAX(0,NG-L744)</f>
        <v>3.389997932103</v>
      </c>
      <c r="N744" s="27" t="n">
        <f aca="false">MAX(0,GWL-K744)</f>
        <v>2.589997932103</v>
      </c>
      <c r="O744" s="27" t="n">
        <f aca="false">MAX(0,NG-MAX(K744,GWL))</f>
        <v>0.8</v>
      </c>
      <c r="P744" s="27" t="n">
        <f aca="false">E744/2+WS+SLOPE_A*O744+SLOPE_B*N744</f>
        <v>7.87999379630899</v>
      </c>
      <c r="Q744" s="28" t="str">
        <f aca="false">IF(AND(P744&lt;J744,N744&lt;=MAXOC),"Open cut","Shoring")</f>
        <v>Shoring</v>
      </c>
      <c r="R744" s="27" t="n">
        <f aca="false">IF(Q744="Shoring",D744,0)</f>
        <v>0.300849999972163</v>
      </c>
      <c r="S744" s="27" t="n">
        <f aca="false">MAX(0,GWL-L744)</f>
        <v>2.589997932103</v>
      </c>
      <c r="T744" s="27" t="n">
        <f aca="false">MAX(0,NG-MAX(L744,GWL))</f>
        <v>0.8</v>
      </c>
      <c r="U744" s="27" t="n">
        <f aca="false">E744+2*WS</f>
        <v>2.99999586420599</v>
      </c>
      <c r="V744" s="27" t="n">
        <f aca="false">IF(Q744="Shoring",D744*M744*U744,0)</f>
        <v>3.05963841531924</v>
      </c>
      <c r="W744" s="27" t="n">
        <f aca="false">IF(Q744="Open cut",D744*(U744*M744+SLOPE_B*S744^2+2*SLOPE_B*S744*T744+SLOPE_A*T744^2),0)</f>
        <v>0</v>
      </c>
      <c r="X744" s="27" t="n">
        <f aca="false">IF(M744&gt;0,D744*(E744+2*SLABOVH)*SLAB,0)</f>
        <v>0.30084937784535</v>
      </c>
      <c r="Y744" s="27" t="n">
        <f aca="false">IF(M744&gt;0,D744*PI()*E744^2/4,0)</f>
        <v>0.236285082971274</v>
      </c>
      <c r="Z744" s="27" t="n">
        <f aca="false">IF(H744-E744&gt;=GWL,99,E744*(MAX(0,GWL-H744)*(GAM_S-GAM_W)+MAX(0,NG-MAX(H744,GWL))*GAM_D)/(GAM_W*PI()*E744^2/4))</f>
        <v>3.02763818403994</v>
      </c>
      <c r="AA744" s="27" t="n">
        <f aca="false">IF(I744-E744&gt;=GWL,99,E744*(MAX(0,GWL-I744)*(GAM_S-GAM_W)+MAX(0,NG-MAX(I744,GWL))*GAM_D)/(GAM_W*PI()*E744^2/4))</f>
        <v>3.02763818403994</v>
      </c>
      <c r="AB744" s="27" t="n">
        <f aca="false">IF(H744-E744&gt;=GWL,99,E744*(MAX(0,GWL-H744)*(GAM_S-GAM_W)+MAX(0,FL-MAX(H744,GWL))*GAM_D)/(GAM_W*PI()*E744^2/4))</f>
        <v>6.99922750154969</v>
      </c>
      <c r="AC744" s="27" t="n">
        <f aca="false">IF(I744-E744&gt;=GWL,99,E744*(MAX(0,GWL-I744)*(GAM_S-GAM_W)+MAX(0,FL-MAX(I744,GWL))*GAM_D)/(GAM_W*PI()*E744^2/4))</f>
        <v>6.99922750154969</v>
      </c>
    </row>
    <row r="745" customFormat="false" ht="15" hidden="false" customHeight="false" outlineLevel="0" collapsed="false">
      <c r="A745" s="25" t="s">
        <v>1293</v>
      </c>
      <c r="B745" s="25" t="s">
        <v>1296</v>
      </c>
      <c r="C745" s="25" t="s">
        <v>1302</v>
      </c>
      <c r="D745" s="26" t="n">
        <v>4.00964515493532</v>
      </c>
      <c r="E745" s="26" t="n">
        <v>1.40003423567376</v>
      </c>
      <c r="F745" s="26" t="n">
        <v>-4.29001711783688</v>
      </c>
      <c r="G745" s="26" t="n">
        <v>-4.29001711783688</v>
      </c>
      <c r="H745" s="26" t="n">
        <v>-2.38998288216312</v>
      </c>
      <c r="I745" s="26" t="n">
        <v>-2.38998288216312</v>
      </c>
      <c r="J745" s="26" t="n">
        <v>6.99</v>
      </c>
      <c r="K745" s="27" t="n">
        <f aca="false">MIN(F745,G745)</f>
        <v>-4.29001711783688</v>
      </c>
      <c r="L745" s="27" t="n">
        <f aca="false">AVERAGE(F745,G745)</f>
        <v>-4.29001711783688</v>
      </c>
      <c r="M745" s="27" t="n">
        <f aca="false">MAX(0,NG-L745)</f>
        <v>3.59001711783688</v>
      </c>
      <c r="N745" s="27" t="n">
        <f aca="false">MAX(0,GWL-K745)</f>
        <v>2.79001711783688</v>
      </c>
      <c r="O745" s="27" t="n">
        <f aca="false">MAX(0,NG-MAX(K745,GWL))</f>
        <v>0.8</v>
      </c>
      <c r="P745" s="27" t="n">
        <f aca="false">E745/2+WS+SLOPE_A*O745+SLOPE_B*N745</f>
        <v>8.48005135351064</v>
      </c>
      <c r="Q745" s="28" t="str">
        <f aca="false">IF(AND(P745&lt;J745,N745&lt;=MAXOC),"Open cut","Shoring")</f>
        <v>Shoring</v>
      </c>
      <c r="R745" s="27" t="n">
        <f aca="false">IF(Q745="Shoring",D745,0)</f>
        <v>4.00964515493532</v>
      </c>
      <c r="S745" s="27" t="n">
        <f aca="false">MAX(0,GWL-L745)</f>
        <v>2.79001711783688</v>
      </c>
      <c r="T745" s="27" t="n">
        <f aca="false">MAX(0,NG-MAX(L745,GWL))</f>
        <v>0.8</v>
      </c>
      <c r="U745" s="27" t="n">
        <f aca="false">E745+2*WS</f>
        <v>3.40003423567376</v>
      </c>
      <c r="V745" s="27" t="n">
        <f aca="false">IF(Q745="Shoring",D745*M745*U745,0)</f>
        <v>48.9424549371494</v>
      </c>
      <c r="W745" s="27" t="n">
        <f aca="false">IF(Q745="Open cut",D745*(U745*M745+SLOPE_B*S745^2+2*SLOPE_B*S745*T745+SLOPE_A*T745^2),0)</f>
        <v>0</v>
      </c>
      <c r="X745" s="27" t="n">
        <f aca="false">IF(M745&gt;0,D745*(E745+2*SLABOVH)*SLAB,0)</f>
        <v>4.81164282237409</v>
      </c>
      <c r="Y745" s="27" t="n">
        <f aca="false">IF(M745&gt;0,D745*PI()*E745^2/4,0)</f>
        <v>6.17267104607341</v>
      </c>
      <c r="Z745" s="27" t="n">
        <f aca="false">IF(H745-E745&gt;=GWL,99,E745*(MAX(0,GWL-H745)*(GAM_S-GAM_W)+MAX(0,NG-MAX(H745,GWL))*GAM_D)/(GAM_W*PI()*E745^2/4))</f>
        <v>2.01067176494379</v>
      </c>
      <c r="AA745" s="27" t="n">
        <f aca="false">IF(I745-E745&gt;=GWL,99,E745*(MAX(0,GWL-I745)*(GAM_S-GAM_W)+MAX(0,NG-MAX(I745,GWL))*GAM_D)/(GAM_W*PI()*E745^2/4))</f>
        <v>2.01067176494379</v>
      </c>
      <c r="AB745" s="27" t="n">
        <f aca="false">IF(H745-E745&gt;=GWL,99,E745*(MAX(0,GWL-H745)*(GAM_S-GAM_W)+MAX(0,FL-MAX(H745,GWL))*GAM_D)/(GAM_W*PI()*E745^2/4))</f>
        <v>4.8474401743414</v>
      </c>
      <c r="AC745" s="27" t="n">
        <f aca="false">IF(I745-E745&gt;=GWL,99,E745*(MAX(0,GWL-I745)*(GAM_S-GAM_W)+MAX(0,FL-MAX(I745,GWL))*GAM_D)/(GAM_W*PI()*E745^2/4))</f>
        <v>4.8474401743414</v>
      </c>
    </row>
    <row r="746" customFormat="false" ht="15" hidden="false" customHeight="false" outlineLevel="0" collapsed="false">
      <c r="A746" s="25" t="s">
        <v>1293</v>
      </c>
      <c r="B746" s="25" t="s">
        <v>1296</v>
      </c>
      <c r="C746" s="25" t="s">
        <v>1303</v>
      </c>
      <c r="D746" s="26" t="n">
        <v>9.99999999995891</v>
      </c>
      <c r="E746" s="26" t="n">
        <v>1.40003423567376</v>
      </c>
      <c r="F746" s="26" t="n">
        <v>-4.29001711783688</v>
      </c>
      <c r="G746" s="26" t="n">
        <v>-4.29001711783688</v>
      </c>
      <c r="H746" s="26" t="n">
        <v>-2.38998288216312</v>
      </c>
      <c r="I746" s="26" t="n">
        <v>-2.38998288216312</v>
      </c>
      <c r="J746" s="26" t="n">
        <v>11</v>
      </c>
      <c r="K746" s="27" t="n">
        <f aca="false">MIN(F746,G746)</f>
        <v>-4.29001711783688</v>
      </c>
      <c r="L746" s="27" t="n">
        <f aca="false">AVERAGE(F746,G746)</f>
        <v>-4.29001711783688</v>
      </c>
      <c r="M746" s="27" t="n">
        <f aca="false">MAX(0,NG-L746)</f>
        <v>3.59001711783688</v>
      </c>
      <c r="N746" s="27" t="n">
        <f aca="false">MAX(0,GWL-K746)</f>
        <v>2.79001711783688</v>
      </c>
      <c r="O746" s="27" t="n">
        <f aca="false">MAX(0,NG-MAX(K746,GWL))</f>
        <v>0.8</v>
      </c>
      <c r="P746" s="27" t="n">
        <f aca="false">E746/2+WS+SLOPE_A*O746+SLOPE_B*N746</f>
        <v>8.48005135351064</v>
      </c>
      <c r="Q746" s="28" t="str">
        <f aca="false">IF(AND(P746&lt;J746,N746&lt;=MAXOC),"Open cut","Shoring")</f>
        <v>Shoring</v>
      </c>
      <c r="R746" s="27" t="n">
        <f aca="false">IF(Q746="Shoring",D746,0)</f>
        <v>9.99999999995891</v>
      </c>
      <c r="S746" s="27" t="n">
        <f aca="false">MAX(0,GWL-L746)</f>
        <v>2.79001711783688</v>
      </c>
      <c r="T746" s="27" t="n">
        <f aca="false">MAX(0,NG-MAX(L746,GWL))</f>
        <v>0.8</v>
      </c>
      <c r="U746" s="27" t="n">
        <f aca="false">E746+2*WS</f>
        <v>3.40003423567376</v>
      </c>
      <c r="V746" s="27" t="n">
        <f aca="false">IF(Q746="Shoring",D746*M746*U746,0)</f>
        <v>122.061811072501</v>
      </c>
      <c r="W746" s="27" t="n">
        <f aca="false">IF(Q746="Open cut",D746*(U746*M746+SLOPE_B*S746^2+2*SLOPE_B*S746*T746+SLOPE_A*T746^2),0)</f>
        <v>0</v>
      </c>
      <c r="X746" s="27" t="n">
        <f aca="false">IF(M746&gt;0,D746*(E746+2*SLABOVH)*SLAB,0)</f>
        <v>12.0001711783195</v>
      </c>
      <c r="Y746" s="27" t="n">
        <f aca="false">IF(M746&gt;0,D746*PI()*E746^2/4,0)</f>
        <v>15.3945568935205</v>
      </c>
      <c r="Z746" s="27" t="n">
        <f aca="false">IF(H746-E746&gt;=GWL,99,E746*(MAX(0,GWL-H746)*(GAM_S-GAM_W)+MAX(0,NG-MAX(H746,GWL))*GAM_D)/(GAM_W*PI()*E746^2/4))</f>
        <v>2.01067176494379</v>
      </c>
      <c r="AA746" s="27" t="n">
        <f aca="false">IF(I746-E746&gt;=GWL,99,E746*(MAX(0,GWL-I746)*(GAM_S-GAM_W)+MAX(0,NG-MAX(I746,GWL))*GAM_D)/(GAM_W*PI()*E746^2/4))</f>
        <v>2.01067176494379</v>
      </c>
      <c r="AB746" s="27" t="n">
        <f aca="false">IF(H746-E746&gt;=GWL,99,E746*(MAX(0,GWL-H746)*(GAM_S-GAM_W)+MAX(0,FL-MAX(H746,GWL))*GAM_D)/(GAM_W*PI()*E746^2/4))</f>
        <v>4.8474401743414</v>
      </c>
      <c r="AC746" s="27" t="n">
        <f aca="false">IF(I746-E746&gt;=GWL,99,E746*(MAX(0,GWL-I746)*(GAM_S-GAM_W)+MAX(0,FL-MAX(I746,GWL))*GAM_D)/(GAM_W*PI()*E746^2/4))</f>
        <v>4.8474401743414</v>
      </c>
    </row>
    <row r="747" customFormat="false" ht="15" hidden="false" customHeight="false" outlineLevel="0" collapsed="false">
      <c r="A747" s="25" t="s">
        <v>1293</v>
      </c>
      <c r="B747" s="25" t="s">
        <v>1296</v>
      </c>
      <c r="C747" s="25" t="s">
        <v>1304</v>
      </c>
      <c r="D747" s="26" t="n">
        <v>4.30000000000789</v>
      </c>
      <c r="E747" s="26" t="n">
        <v>1.40003423567376</v>
      </c>
      <c r="F747" s="26" t="n">
        <v>-4.29001711783688</v>
      </c>
      <c r="G747" s="26" t="n">
        <v>-4.29001711783688</v>
      </c>
      <c r="H747" s="26" t="n">
        <v>-2.38998288216312</v>
      </c>
      <c r="I747" s="26" t="n">
        <v>-2.38998288216312</v>
      </c>
      <c r="J747" s="26" t="n">
        <v>10.95</v>
      </c>
      <c r="K747" s="27" t="n">
        <f aca="false">MIN(F747,G747)</f>
        <v>-4.29001711783688</v>
      </c>
      <c r="L747" s="27" t="n">
        <f aca="false">AVERAGE(F747,G747)</f>
        <v>-4.29001711783688</v>
      </c>
      <c r="M747" s="27" t="n">
        <f aca="false">MAX(0,NG-L747)</f>
        <v>3.59001711783688</v>
      </c>
      <c r="N747" s="27" t="n">
        <f aca="false">MAX(0,GWL-K747)</f>
        <v>2.79001711783688</v>
      </c>
      <c r="O747" s="27" t="n">
        <f aca="false">MAX(0,NG-MAX(K747,GWL))</f>
        <v>0.8</v>
      </c>
      <c r="P747" s="27" t="n">
        <f aca="false">E747/2+WS+SLOPE_A*O747+SLOPE_B*N747</f>
        <v>8.48005135351064</v>
      </c>
      <c r="Q747" s="28" t="str">
        <f aca="false">IF(AND(P747&lt;J747,N747&lt;=MAXOC),"Open cut","Shoring")</f>
        <v>Shoring</v>
      </c>
      <c r="R747" s="27" t="n">
        <f aca="false">IF(Q747="Shoring",D747,0)</f>
        <v>4.30000000000789</v>
      </c>
      <c r="S747" s="27" t="n">
        <f aca="false">MAX(0,GWL-L747)</f>
        <v>2.79001711783688</v>
      </c>
      <c r="T747" s="27" t="n">
        <f aca="false">MAX(0,NG-MAX(L747,GWL))</f>
        <v>0.8</v>
      </c>
      <c r="U747" s="27" t="n">
        <f aca="false">E747+2*WS</f>
        <v>3.40003423567376</v>
      </c>
      <c r="V747" s="27" t="n">
        <f aca="false">IF(Q747="Shoring",D747*M747*U747,0)</f>
        <v>52.4865787614873</v>
      </c>
      <c r="W747" s="27" t="n">
        <f aca="false">IF(Q747="Open cut",D747*(U747*M747+SLOPE_B*S747^2+2*SLOPE_B*S747*T747+SLOPE_A*T747^2),0)</f>
        <v>0</v>
      </c>
      <c r="X747" s="27" t="n">
        <f aca="false">IF(M747&gt;0,D747*(E747+2*SLABOVH)*SLAB,0)</f>
        <v>5.16007360670806</v>
      </c>
      <c r="Y747" s="27" t="n">
        <f aca="false">IF(M747&gt;0,D747*PI()*E747^2/4,0)</f>
        <v>6.61965946425316</v>
      </c>
      <c r="Z747" s="27" t="n">
        <f aca="false">IF(H747-E747&gt;=GWL,99,E747*(MAX(0,GWL-H747)*(GAM_S-GAM_W)+MAX(0,NG-MAX(H747,GWL))*GAM_D)/(GAM_W*PI()*E747^2/4))</f>
        <v>2.01067176494379</v>
      </c>
      <c r="AA747" s="27" t="n">
        <f aca="false">IF(I747-E747&gt;=GWL,99,E747*(MAX(0,GWL-I747)*(GAM_S-GAM_W)+MAX(0,NG-MAX(I747,GWL))*GAM_D)/(GAM_W*PI()*E747^2/4))</f>
        <v>2.01067176494379</v>
      </c>
      <c r="AB747" s="27" t="n">
        <f aca="false">IF(H747-E747&gt;=GWL,99,E747*(MAX(0,GWL-H747)*(GAM_S-GAM_W)+MAX(0,FL-MAX(H747,GWL))*GAM_D)/(GAM_W*PI()*E747^2/4))</f>
        <v>4.8474401743414</v>
      </c>
      <c r="AC747" s="27" t="n">
        <f aca="false">IF(I747-E747&gt;=GWL,99,E747*(MAX(0,GWL-I747)*(GAM_S-GAM_W)+MAX(0,FL-MAX(I747,GWL))*GAM_D)/(GAM_W*PI()*E747^2/4))</f>
        <v>4.8474401743414</v>
      </c>
    </row>
    <row r="748" customFormat="false" ht="15" hidden="false" customHeight="false" outlineLevel="0" collapsed="false">
      <c r="A748" s="25" t="s">
        <v>1293</v>
      </c>
      <c r="B748" s="25" t="s">
        <v>1305</v>
      </c>
      <c r="C748" s="25" t="s">
        <v>1306</v>
      </c>
      <c r="D748" s="26" t="n">
        <v>5.69999999995101</v>
      </c>
      <c r="E748" s="26" t="n">
        <v>1.40003423567376</v>
      </c>
      <c r="F748" s="26" t="n">
        <v>-4.29001711783688</v>
      </c>
      <c r="G748" s="26" t="n">
        <v>-4.29001711783688</v>
      </c>
      <c r="H748" s="26" t="n">
        <v>-2.38998288216312</v>
      </c>
      <c r="I748" s="26" t="n">
        <v>-2.38998288216312</v>
      </c>
      <c r="J748" s="26" t="n">
        <v>10.83</v>
      </c>
      <c r="K748" s="27" t="n">
        <f aca="false">MIN(F748,G748)</f>
        <v>-4.29001711783688</v>
      </c>
      <c r="L748" s="27" t="n">
        <f aca="false">AVERAGE(F748,G748)</f>
        <v>-4.29001711783688</v>
      </c>
      <c r="M748" s="27" t="n">
        <f aca="false">MAX(0,NG-L748)</f>
        <v>3.59001711783688</v>
      </c>
      <c r="N748" s="27" t="n">
        <f aca="false">MAX(0,GWL-K748)</f>
        <v>2.79001711783688</v>
      </c>
      <c r="O748" s="27" t="n">
        <f aca="false">MAX(0,NG-MAX(K748,GWL))</f>
        <v>0.8</v>
      </c>
      <c r="P748" s="27" t="n">
        <f aca="false">E748/2+WS+SLOPE_A*O748+SLOPE_B*N748</f>
        <v>8.48005135351064</v>
      </c>
      <c r="Q748" s="28" t="str">
        <f aca="false">IF(AND(P748&lt;J748,N748&lt;=MAXOC),"Open cut","Shoring")</f>
        <v>Shoring</v>
      </c>
      <c r="R748" s="27" t="n">
        <f aca="false">IF(Q748="Shoring",D748,0)</f>
        <v>5.69999999995101</v>
      </c>
      <c r="S748" s="27" t="n">
        <f aca="false">MAX(0,GWL-L748)</f>
        <v>2.79001711783688</v>
      </c>
      <c r="T748" s="27" t="n">
        <f aca="false">MAX(0,NG-MAX(L748,GWL))</f>
        <v>0.8</v>
      </c>
      <c r="U748" s="27" t="n">
        <f aca="false">E748+2*WS</f>
        <v>3.40003423567376</v>
      </c>
      <c r="V748" s="27" t="n">
        <f aca="false">IF(Q748="Shoring",D748*M748*U748,0)</f>
        <v>69.5752323110134</v>
      </c>
      <c r="W748" s="27" t="n">
        <f aca="false">IF(Q748="Open cut",D748*(U748*M748+SLOPE_B*S748^2+2*SLOPE_B*S748*T748+SLOPE_A*T748^2),0)</f>
        <v>0</v>
      </c>
      <c r="X748" s="27" t="n">
        <f aca="false">IF(M748&gt;0,D748*(E748+2*SLABOVH)*SLAB,0)</f>
        <v>6.84009757161144</v>
      </c>
      <c r="Y748" s="27" t="n">
        <f aca="false">IF(M748&gt;0,D748*PI()*E748^2/4,0)</f>
        <v>8.77489742926732</v>
      </c>
      <c r="Z748" s="27" t="n">
        <f aca="false">IF(H748-E748&gt;=GWL,99,E748*(MAX(0,GWL-H748)*(GAM_S-GAM_W)+MAX(0,NG-MAX(H748,GWL))*GAM_D)/(GAM_W*PI()*E748^2/4))</f>
        <v>2.01067176494379</v>
      </c>
      <c r="AA748" s="27" t="n">
        <f aca="false">IF(I748-E748&gt;=GWL,99,E748*(MAX(0,GWL-I748)*(GAM_S-GAM_W)+MAX(0,NG-MAX(I748,GWL))*GAM_D)/(GAM_W*PI()*E748^2/4))</f>
        <v>2.01067176494379</v>
      </c>
      <c r="AB748" s="27" t="n">
        <f aca="false">IF(H748-E748&gt;=GWL,99,E748*(MAX(0,GWL-H748)*(GAM_S-GAM_W)+MAX(0,FL-MAX(H748,GWL))*GAM_D)/(GAM_W*PI()*E748^2/4))</f>
        <v>4.8474401743414</v>
      </c>
      <c r="AC748" s="27" t="n">
        <f aca="false">IF(I748-E748&gt;=GWL,99,E748*(MAX(0,GWL-I748)*(GAM_S-GAM_W)+MAX(0,FL-MAX(I748,GWL))*GAM_D)/(GAM_W*PI()*E748^2/4))</f>
        <v>4.8474401743414</v>
      </c>
    </row>
    <row r="749" customFormat="false" ht="15" hidden="false" customHeight="false" outlineLevel="0" collapsed="false">
      <c r="A749" s="25" t="s">
        <v>1293</v>
      </c>
      <c r="B749" s="25" t="s">
        <v>1305</v>
      </c>
      <c r="C749" s="25" t="s">
        <v>1307</v>
      </c>
      <c r="D749" s="26" t="n">
        <v>10.000000000045</v>
      </c>
      <c r="E749" s="26" t="n">
        <v>1.40003423567376</v>
      </c>
      <c r="F749" s="26" t="n">
        <v>-4.29001711783688</v>
      </c>
      <c r="G749" s="26" t="n">
        <v>-4.29001711783688</v>
      </c>
      <c r="H749" s="26" t="n">
        <v>-2.38998288216312</v>
      </c>
      <c r="I749" s="26" t="n">
        <v>-2.38998288216312</v>
      </c>
      <c r="J749" s="26" t="n">
        <v>2.25</v>
      </c>
      <c r="K749" s="27" t="n">
        <f aca="false">MIN(F749,G749)</f>
        <v>-4.29001711783688</v>
      </c>
      <c r="L749" s="27" t="n">
        <f aca="false">AVERAGE(F749,G749)</f>
        <v>-4.29001711783688</v>
      </c>
      <c r="M749" s="27" t="n">
        <f aca="false">MAX(0,NG-L749)</f>
        <v>3.59001711783688</v>
      </c>
      <c r="N749" s="27" t="n">
        <f aca="false">MAX(0,GWL-K749)</f>
        <v>2.79001711783688</v>
      </c>
      <c r="O749" s="27" t="n">
        <f aca="false">MAX(0,NG-MAX(K749,GWL))</f>
        <v>0.8</v>
      </c>
      <c r="P749" s="27" t="n">
        <f aca="false">E749/2+WS+SLOPE_A*O749+SLOPE_B*N749</f>
        <v>8.48005135351064</v>
      </c>
      <c r="Q749" s="28" t="str">
        <f aca="false">IF(AND(P749&lt;J749,N749&lt;=MAXOC),"Open cut","Shoring")</f>
        <v>Shoring</v>
      </c>
      <c r="R749" s="27" t="n">
        <f aca="false">IF(Q749="Shoring",D749,0)</f>
        <v>10.000000000045</v>
      </c>
      <c r="S749" s="27" t="n">
        <f aca="false">MAX(0,GWL-L749)</f>
        <v>2.79001711783688</v>
      </c>
      <c r="T749" s="27" t="n">
        <f aca="false">MAX(0,NG-MAX(L749,GWL))</f>
        <v>0.8</v>
      </c>
      <c r="U749" s="27" t="n">
        <f aca="false">E749+2*WS</f>
        <v>3.40003423567376</v>
      </c>
      <c r="V749" s="27" t="n">
        <f aca="false">IF(Q749="Shoring",D749*M749*U749,0)</f>
        <v>122.061811073551</v>
      </c>
      <c r="W749" s="27" t="n">
        <f aca="false">IF(Q749="Open cut",D749*(U749*M749+SLOPE_B*S749^2+2*SLOPE_B*S749*T749+SLOPE_A*T749^2),0)</f>
        <v>0</v>
      </c>
      <c r="X749" s="27" t="n">
        <f aca="false">IF(M749&gt;0,D749*(E749+2*SLABOVH)*SLAB,0)</f>
        <v>12.0001711784227</v>
      </c>
      <c r="Y749" s="27" t="n">
        <f aca="false">IF(M749&gt;0,D749*PI()*E749^2/4,0)</f>
        <v>15.3945568936529</v>
      </c>
      <c r="Z749" s="27" t="n">
        <f aca="false">IF(H749-E749&gt;=GWL,99,E749*(MAX(0,GWL-H749)*(GAM_S-GAM_W)+MAX(0,NG-MAX(H749,GWL))*GAM_D)/(GAM_W*PI()*E749^2/4))</f>
        <v>2.01067176494379</v>
      </c>
      <c r="AA749" s="27" t="n">
        <f aca="false">IF(I749-E749&gt;=GWL,99,E749*(MAX(0,GWL-I749)*(GAM_S-GAM_W)+MAX(0,NG-MAX(I749,GWL))*GAM_D)/(GAM_W*PI()*E749^2/4))</f>
        <v>2.01067176494379</v>
      </c>
      <c r="AB749" s="27" t="n">
        <f aca="false">IF(H749-E749&gt;=GWL,99,E749*(MAX(0,GWL-H749)*(GAM_S-GAM_W)+MAX(0,FL-MAX(H749,GWL))*GAM_D)/(GAM_W*PI()*E749^2/4))</f>
        <v>4.8474401743414</v>
      </c>
      <c r="AC749" s="27" t="n">
        <f aca="false">IF(I749-E749&gt;=GWL,99,E749*(MAX(0,GWL-I749)*(GAM_S-GAM_W)+MAX(0,FL-MAX(I749,GWL))*GAM_D)/(GAM_W*PI()*E749^2/4))</f>
        <v>4.8474401743414</v>
      </c>
    </row>
    <row r="750" customFormat="false" ht="15" hidden="false" customHeight="false" outlineLevel="0" collapsed="false">
      <c r="A750" s="25" t="s">
        <v>1293</v>
      </c>
      <c r="B750" s="25" t="s">
        <v>1305</v>
      </c>
      <c r="C750" s="25" t="s">
        <v>1308</v>
      </c>
      <c r="D750" s="26" t="n">
        <v>3.24227484510323</v>
      </c>
      <c r="E750" s="26" t="n">
        <v>1.40003423567376</v>
      </c>
      <c r="F750" s="26" t="n">
        <v>-4.29001711783688</v>
      </c>
      <c r="G750" s="26" t="n">
        <v>-4.29001711783688</v>
      </c>
      <c r="H750" s="26" t="n">
        <v>-2.38998288216312</v>
      </c>
      <c r="I750" s="26" t="n">
        <v>-2.38998288216312</v>
      </c>
      <c r="J750" s="26" t="n">
        <v>0</v>
      </c>
      <c r="K750" s="27" t="n">
        <f aca="false">MIN(F750,G750)</f>
        <v>-4.29001711783688</v>
      </c>
      <c r="L750" s="27" t="n">
        <f aca="false">AVERAGE(F750,G750)</f>
        <v>-4.29001711783688</v>
      </c>
      <c r="M750" s="27" t="n">
        <f aca="false">MAX(0,NG-L750)</f>
        <v>3.59001711783688</v>
      </c>
      <c r="N750" s="27" t="n">
        <f aca="false">MAX(0,GWL-K750)</f>
        <v>2.79001711783688</v>
      </c>
      <c r="O750" s="27" t="n">
        <f aca="false">MAX(0,NG-MAX(K750,GWL))</f>
        <v>0.8</v>
      </c>
      <c r="P750" s="27" t="n">
        <f aca="false">E750/2+WS+SLOPE_A*O750+SLOPE_B*N750</f>
        <v>8.48005135351064</v>
      </c>
      <c r="Q750" s="28" t="str">
        <f aca="false">IF(AND(P750&lt;J750,N750&lt;=MAXOC),"Open cut","Shoring")</f>
        <v>Shoring</v>
      </c>
      <c r="R750" s="27" t="n">
        <f aca="false">IF(Q750="Shoring",D750,0)</f>
        <v>3.24227484510323</v>
      </c>
      <c r="S750" s="27" t="n">
        <f aca="false">MAX(0,GWL-L750)</f>
        <v>2.79001711783688</v>
      </c>
      <c r="T750" s="27" t="n">
        <f aca="false">MAX(0,NG-MAX(L750,GWL))</f>
        <v>0.8</v>
      </c>
      <c r="U750" s="27" t="n">
        <f aca="false">E750+2*WS</f>
        <v>3.40003423567376</v>
      </c>
      <c r="V750" s="27" t="n">
        <f aca="false">IF(Q750="Shoring",D750*M750*U750,0)</f>
        <v>39.5757939589738</v>
      </c>
      <c r="W750" s="27" t="n">
        <f aca="false">IF(Q750="Open cut",D750*(U750*M750+SLOPE_B*S750^2+2*SLOPE_B*S750*T750+SLOPE_A*T750^2),0)</f>
        <v>0</v>
      </c>
      <c r="X750" s="27" t="n">
        <f aca="false">IF(M750&gt;0,D750*(E750+2*SLABOVH)*SLAB,0)</f>
        <v>3.89078531485579</v>
      </c>
      <c r="Y750" s="27" t="n">
        <f aca="false">IF(M750&gt;0,D750*PI()*E750^2/4,0)</f>
        <v>4.9913384567577</v>
      </c>
      <c r="Z750" s="27" t="n">
        <f aca="false">IF(H750-E750&gt;=GWL,99,E750*(MAX(0,GWL-H750)*(GAM_S-GAM_W)+MAX(0,NG-MAX(H750,GWL))*GAM_D)/(GAM_W*PI()*E750^2/4))</f>
        <v>2.01067176494379</v>
      </c>
      <c r="AA750" s="27" t="n">
        <f aca="false">IF(I750-E750&gt;=GWL,99,E750*(MAX(0,GWL-I750)*(GAM_S-GAM_W)+MAX(0,NG-MAX(I750,GWL))*GAM_D)/(GAM_W*PI()*E750^2/4))</f>
        <v>2.01067176494379</v>
      </c>
      <c r="AB750" s="27" t="n">
        <f aca="false">IF(H750-E750&gt;=GWL,99,E750*(MAX(0,GWL-H750)*(GAM_S-GAM_W)+MAX(0,FL-MAX(H750,GWL))*GAM_D)/(GAM_W*PI()*E750^2/4))</f>
        <v>4.8474401743414</v>
      </c>
      <c r="AC750" s="27" t="n">
        <f aca="false">IF(I750-E750&gt;=GWL,99,E750*(MAX(0,GWL-I750)*(GAM_S-GAM_W)+MAX(0,FL-MAX(I750,GWL))*GAM_D)/(GAM_W*PI()*E750^2/4))</f>
        <v>4.8474401743414</v>
      </c>
    </row>
    <row r="751" customFormat="false" ht="15" hidden="false" customHeight="false" outlineLevel="0" collapsed="false">
      <c r="A751" s="25" t="s">
        <v>1293</v>
      </c>
      <c r="B751" s="25" t="s">
        <v>1305</v>
      </c>
      <c r="C751" s="25" t="s">
        <v>1309</v>
      </c>
      <c r="D751" s="26" t="n">
        <v>1.04311276585394</v>
      </c>
      <c r="E751" s="26" t="n">
        <v>1.40003423567376</v>
      </c>
      <c r="F751" s="26" t="n">
        <v>-4.29001711783688</v>
      </c>
      <c r="G751" s="26" t="n">
        <v>-4.29001711783688</v>
      </c>
      <c r="H751" s="26" t="n">
        <v>-2.38998288216312</v>
      </c>
      <c r="I751" s="26" t="n">
        <v>-2.38998288216312</v>
      </c>
      <c r="J751" s="26" t="n">
        <v>0</v>
      </c>
      <c r="K751" s="27" t="n">
        <f aca="false">MIN(F751,G751)</f>
        <v>-4.29001711783688</v>
      </c>
      <c r="L751" s="27" t="n">
        <f aca="false">AVERAGE(F751,G751)</f>
        <v>-4.29001711783688</v>
      </c>
      <c r="M751" s="27" t="n">
        <f aca="false">MAX(0,NG-L751)</f>
        <v>3.59001711783688</v>
      </c>
      <c r="N751" s="27" t="n">
        <f aca="false">MAX(0,GWL-K751)</f>
        <v>2.79001711783688</v>
      </c>
      <c r="O751" s="27" t="n">
        <f aca="false">MAX(0,NG-MAX(K751,GWL))</f>
        <v>0.8</v>
      </c>
      <c r="P751" s="27" t="n">
        <f aca="false">E751/2+WS+SLOPE_A*O751+SLOPE_B*N751</f>
        <v>8.48005135351064</v>
      </c>
      <c r="Q751" s="28" t="str">
        <f aca="false">IF(AND(P751&lt;J751,N751&lt;=MAXOC),"Open cut","Shoring")</f>
        <v>Shoring</v>
      </c>
      <c r="R751" s="27" t="n">
        <f aca="false">IF(Q751="Shoring",D751,0)</f>
        <v>1.04311276585394</v>
      </c>
      <c r="S751" s="27" t="n">
        <f aca="false">MAX(0,GWL-L751)</f>
        <v>2.79001711783688</v>
      </c>
      <c r="T751" s="27" t="n">
        <f aca="false">MAX(0,NG-MAX(L751,GWL))</f>
        <v>0.8</v>
      </c>
      <c r="U751" s="27" t="n">
        <f aca="false">E751+2*WS</f>
        <v>3.40003423567376</v>
      </c>
      <c r="V751" s="27" t="n">
        <f aca="false">IF(Q751="Shoring",D751*M751*U751,0)</f>
        <v>12.7324233353501</v>
      </c>
      <c r="W751" s="27" t="n">
        <f aca="false">IF(Q751="Open cut",D751*(U751*M751+SLOPE_B*S751^2+2*SLOPE_B*S751*T751+SLOPE_A*T751^2),0)</f>
        <v>0</v>
      </c>
      <c r="X751" s="27" t="n">
        <f aca="false">IF(M751&gt;0,D751*(E751+2*SLABOVH)*SLAB,0)</f>
        <v>1.25175317485891</v>
      </c>
      <c r="Y751" s="27" t="n">
        <f aca="false">IF(M751&gt;0,D751*PI()*E751^2/4,0)</f>
        <v>1.6058258820362</v>
      </c>
      <c r="Z751" s="27" t="n">
        <f aca="false">IF(H751-E751&gt;=GWL,99,E751*(MAX(0,GWL-H751)*(GAM_S-GAM_W)+MAX(0,NG-MAX(H751,GWL))*GAM_D)/(GAM_W*PI()*E751^2/4))</f>
        <v>2.01067176494379</v>
      </c>
      <c r="AA751" s="27" t="n">
        <f aca="false">IF(I751-E751&gt;=GWL,99,E751*(MAX(0,GWL-I751)*(GAM_S-GAM_W)+MAX(0,NG-MAX(I751,GWL))*GAM_D)/(GAM_W*PI()*E751^2/4))</f>
        <v>2.01067176494379</v>
      </c>
      <c r="AB751" s="27" t="n">
        <f aca="false">IF(H751-E751&gt;=GWL,99,E751*(MAX(0,GWL-H751)*(GAM_S-GAM_W)+MAX(0,FL-MAX(H751,GWL))*GAM_D)/(GAM_W*PI()*E751^2/4))</f>
        <v>4.8474401743414</v>
      </c>
      <c r="AC751" s="27" t="n">
        <f aca="false">IF(I751-E751&gt;=GWL,99,E751*(MAX(0,GWL-I751)*(GAM_S-GAM_W)+MAX(0,FL-MAX(I751,GWL))*GAM_D)/(GAM_W*PI()*E751^2/4))</f>
        <v>4.8474401743414</v>
      </c>
    </row>
    <row r="752" customFormat="false" ht="15" hidden="false" customHeight="false" outlineLevel="0" collapsed="false">
      <c r="A752" s="25" t="s">
        <v>1293</v>
      </c>
      <c r="B752" s="25" t="s">
        <v>1305</v>
      </c>
      <c r="C752" s="25" t="s">
        <v>1310</v>
      </c>
      <c r="D752" s="26" t="n">
        <v>0.974185089446883</v>
      </c>
      <c r="E752" s="26" t="n">
        <v>1.39894081587435</v>
      </c>
      <c r="F752" s="26" t="n">
        <v>-4.28947040793717</v>
      </c>
      <c r="G752" s="26" t="n">
        <v>-4.28947040793717</v>
      </c>
      <c r="H752" s="26" t="n">
        <v>-2.39052959206283</v>
      </c>
      <c r="I752" s="26" t="n">
        <v>-2.39052959206283</v>
      </c>
      <c r="J752" s="26" t="n">
        <v>0.19</v>
      </c>
      <c r="K752" s="27" t="n">
        <f aca="false">MIN(F752,G752)</f>
        <v>-4.28947040793717</v>
      </c>
      <c r="L752" s="27" t="n">
        <f aca="false">AVERAGE(F752,G752)</f>
        <v>-4.28947040793717</v>
      </c>
      <c r="M752" s="27" t="n">
        <f aca="false">MAX(0,NG-L752)</f>
        <v>3.58947040793717</v>
      </c>
      <c r="N752" s="27" t="n">
        <f aca="false">MAX(0,GWL-K752)</f>
        <v>2.78947040793717</v>
      </c>
      <c r="O752" s="27" t="n">
        <f aca="false">MAX(0,NG-MAX(K752,GWL))</f>
        <v>0.8</v>
      </c>
      <c r="P752" s="27" t="n">
        <f aca="false">E752/2+WS+SLOPE_A*O752+SLOPE_B*N752</f>
        <v>8.47841122381152</v>
      </c>
      <c r="Q752" s="28" t="str">
        <f aca="false">IF(AND(P752&lt;J752,N752&lt;=MAXOC),"Open cut","Shoring")</f>
        <v>Shoring</v>
      </c>
      <c r="R752" s="27" t="n">
        <f aca="false">IF(Q752="Shoring",D752,0)</f>
        <v>0.974185089446883</v>
      </c>
      <c r="S752" s="27" t="n">
        <f aca="false">MAX(0,GWL-L752)</f>
        <v>2.78947040793717</v>
      </c>
      <c r="T752" s="27" t="n">
        <f aca="false">MAX(0,NG-MAX(L752,GWL))</f>
        <v>0.8</v>
      </c>
      <c r="U752" s="27" t="n">
        <f aca="false">E752+2*WS</f>
        <v>3.39894081587435</v>
      </c>
      <c r="V752" s="27" t="n">
        <f aca="false">IF(Q752="Shoring",D752*M752*U752,0)</f>
        <v>11.8854453073319</v>
      </c>
      <c r="W752" s="27" t="n">
        <f aca="false">IF(Q752="Open cut",D752*(U752*M752+SLOPE_B*S752^2+2*SLOPE_B*S752*T752+SLOPE_A*T752^2),0)</f>
        <v>0</v>
      </c>
      <c r="X752" s="27" t="n">
        <f aca="false">IF(M752&gt;0,D752*(E752+2*SLABOVH)*SLAB,0)</f>
        <v>1.16850618664516</v>
      </c>
      <c r="Y752" s="27" t="n">
        <f aca="false">IF(M752&gt;0,D752*PI()*E752^2/4,0)</f>
        <v>1.49737315357444</v>
      </c>
      <c r="Z752" s="27" t="n">
        <f aca="false">IF(H752-E752&gt;=GWL,99,E752*(MAX(0,GWL-H752)*(GAM_S-GAM_W)+MAX(0,NG-MAX(H752,GWL))*GAM_D)/(GAM_W*PI()*E752^2/4))</f>
        <v>2.0126587324181</v>
      </c>
      <c r="AA752" s="27" t="n">
        <f aca="false">IF(I752-E752&gt;=GWL,99,E752*(MAX(0,GWL-I752)*(GAM_S-GAM_W)+MAX(0,NG-MAX(I752,GWL))*GAM_D)/(GAM_W*PI()*E752^2/4))</f>
        <v>2.0126587324181</v>
      </c>
      <c r="AB752" s="27" t="n">
        <f aca="false">IF(H752-E752&gt;=GWL,99,E752*(MAX(0,GWL-H752)*(GAM_S-GAM_W)+MAX(0,FL-MAX(H752,GWL))*GAM_D)/(GAM_W*PI()*E752^2/4))</f>
        <v>4.85164437553282</v>
      </c>
      <c r="AC752" s="27" t="n">
        <f aca="false">IF(I752-E752&gt;=GWL,99,E752*(MAX(0,GWL-I752)*(GAM_S-GAM_W)+MAX(0,FL-MAX(I752,GWL))*GAM_D)/(GAM_W*PI()*E752^2/4))</f>
        <v>4.85164437553282</v>
      </c>
    </row>
    <row r="753" customFormat="false" ht="15" hidden="false" customHeight="false" outlineLevel="0" collapsed="false">
      <c r="A753" s="25" t="s">
        <v>1293</v>
      </c>
      <c r="B753" s="25" t="s">
        <v>1305</v>
      </c>
      <c r="C753" s="25" t="s">
        <v>1311</v>
      </c>
      <c r="D753" s="26" t="n">
        <v>4.74042729939395</v>
      </c>
      <c r="E753" s="26" t="n">
        <v>1.39894081587435</v>
      </c>
      <c r="F753" s="26" t="n">
        <v>-4.28947040793717</v>
      </c>
      <c r="G753" s="26" t="n">
        <v>-4.28947040793717</v>
      </c>
      <c r="H753" s="26" t="n">
        <v>-2.39052959206283</v>
      </c>
      <c r="I753" s="26" t="n">
        <v>-2.39052959206283</v>
      </c>
      <c r="J753" s="26" t="n">
        <v>1.13</v>
      </c>
      <c r="K753" s="27" t="n">
        <f aca="false">MIN(F753,G753)</f>
        <v>-4.28947040793717</v>
      </c>
      <c r="L753" s="27" t="n">
        <f aca="false">AVERAGE(F753,G753)</f>
        <v>-4.28947040793717</v>
      </c>
      <c r="M753" s="27" t="n">
        <f aca="false">MAX(0,NG-L753)</f>
        <v>3.58947040793717</v>
      </c>
      <c r="N753" s="27" t="n">
        <f aca="false">MAX(0,GWL-K753)</f>
        <v>2.78947040793717</v>
      </c>
      <c r="O753" s="27" t="n">
        <f aca="false">MAX(0,NG-MAX(K753,GWL))</f>
        <v>0.8</v>
      </c>
      <c r="P753" s="27" t="n">
        <f aca="false">E753/2+WS+SLOPE_A*O753+SLOPE_B*N753</f>
        <v>8.47841122381152</v>
      </c>
      <c r="Q753" s="28" t="str">
        <f aca="false">IF(AND(P753&lt;J753,N753&lt;=MAXOC),"Open cut","Shoring")</f>
        <v>Shoring</v>
      </c>
      <c r="R753" s="27" t="n">
        <f aca="false">IF(Q753="Shoring",D753,0)</f>
        <v>4.74042729939395</v>
      </c>
      <c r="S753" s="27" t="n">
        <f aca="false">MAX(0,GWL-L753)</f>
        <v>2.78947040793717</v>
      </c>
      <c r="T753" s="27" t="n">
        <f aca="false">MAX(0,NG-MAX(L753,GWL))</f>
        <v>0.8</v>
      </c>
      <c r="U753" s="27" t="n">
        <f aca="false">E753+2*WS</f>
        <v>3.39894081587435</v>
      </c>
      <c r="V753" s="27" t="n">
        <f aca="false">IF(Q753="Shoring",D753*M753*U753,0)</f>
        <v>57.835097263005</v>
      </c>
      <c r="W753" s="27" t="n">
        <f aca="false">IF(Q753="Open cut",D753*(U753*M753+SLOPE_B*S753^2+2*SLOPE_B*S753*T753+SLOPE_A*T753^2),0)</f>
        <v>0</v>
      </c>
      <c r="X753" s="27" t="n">
        <f aca="false">IF(M753&gt;0,D753*(E753+2*SLABOVH)*SLAB,0)</f>
        <v>5.68600226660057</v>
      </c>
      <c r="Y753" s="27" t="n">
        <f aca="false">IF(M753&gt;0,D753*PI()*E753^2/4,0)</f>
        <v>7.28628332693331</v>
      </c>
      <c r="Z753" s="27" t="n">
        <f aca="false">IF(H753-E753&gt;=GWL,99,E753*(MAX(0,GWL-H753)*(GAM_S-GAM_W)+MAX(0,NG-MAX(H753,GWL))*GAM_D)/(GAM_W*PI()*E753^2/4))</f>
        <v>2.0126587324181</v>
      </c>
      <c r="AA753" s="27" t="n">
        <f aca="false">IF(I753-E753&gt;=GWL,99,E753*(MAX(0,GWL-I753)*(GAM_S-GAM_W)+MAX(0,NG-MAX(I753,GWL))*GAM_D)/(GAM_W*PI()*E753^2/4))</f>
        <v>2.0126587324181</v>
      </c>
      <c r="AB753" s="27" t="n">
        <f aca="false">IF(H753-E753&gt;=GWL,99,E753*(MAX(0,GWL-H753)*(GAM_S-GAM_W)+MAX(0,FL-MAX(H753,GWL))*GAM_D)/(GAM_W*PI()*E753^2/4))</f>
        <v>4.85164437553282</v>
      </c>
      <c r="AC753" s="27" t="n">
        <f aca="false">IF(I753-E753&gt;=GWL,99,E753*(MAX(0,GWL-I753)*(GAM_S-GAM_W)+MAX(0,FL-MAX(I753,GWL))*GAM_D)/(GAM_W*PI()*E753^2/4))</f>
        <v>4.85164437553282</v>
      </c>
    </row>
    <row r="754" customFormat="false" ht="15" hidden="false" customHeight="false" outlineLevel="0" collapsed="false">
      <c r="A754" s="25" t="s">
        <v>1293</v>
      </c>
      <c r="B754" s="25" t="s">
        <v>1305</v>
      </c>
      <c r="C754" s="25" t="s">
        <v>1312</v>
      </c>
      <c r="D754" s="26" t="n">
        <v>2.99561270055343</v>
      </c>
      <c r="E754" s="26" t="n">
        <v>1.39894081587435</v>
      </c>
      <c r="F754" s="26" t="n">
        <v>-4.28947040793717</v>
      </c>
      <c r="G754" s="26" t="n">
        <v>-4.28947040793717</v>
      </c>
      <c r="H754" s="26" t="n">
        <v>-2.39052959206283</v>
      </c>
      <c r="I754" s="26" t="n">
        <v>-2.39052959206283</v>
      </c>
      <c r="J754" s="26" t="n">
        <v>5.74</v>
      </c>
      <c r="K754" s="27" t="n">
        <f aca="false">MIN(F754,G754)</f>
        <v>-4.28947040793717</v>
      </c>
      <c r="L754" s="27" t="n">
        <f aca="false">AVERAGE(F754,G754)</f>
        <v>-4.28947040793717</v>
      </c>
      <c r="M754" s="27" t="n">
        <f aca="false">MAX(0,NG-L754)</f>
        <v>3.58947040793717</v>
      </c>
      <c r="N754" s="27" t="n">
        <f aca="false">MAX(0,GWL-K754)</f>
        <v>2.78947040793717</v>
      </c>
      <c r="O754" s="27" t="n">
        <f aca="false">MAX(0,NG-MAX(K754,GWL))</f>
        <v>0.8</v>
      </c>
      <c r="P754" s="27" t="n">
        <f aca="false">E754/2+WS+SLOPE_A*O754+SLOPE_B*N754</f>
        <v>8.47841122381152</v>
      </c>
      <c r="Q754" s="28" t="str">
        <f aca="false">IF(AND(P754&lt;J754,N754&lt;=MAXOC),"Open cut","Shoring")</f>
        <v>Shoring</v>
      </c>
      <c r="R754" s="27" t="n">
        <f aca="false">IF(Q754="Shoring",D754,0)</f>
        <v>2.99561270055343</v>
      </c>
      <c r="S754" s="27" t="n">
        <f aca="false">MAX(0,GWL-L754)</f>
        <v>2.78947040793717</v>
      </c>
      <c r="T754" s="27" t="n">
        <f aca="false">MAX(0,NG-MAX(L754,GWL))</f>
        <v>0.8</v>
      </c>
      <c r="U754" s="27" t="n">
        <f aca="false">E754+2*WS</f>
        <v>3.39894081587435</v>
      </c>
      <c r="V754" s="27" t="n">
        <f aca="false">IF(Q754="Shoring",D754*M754*U754,0)</f>
        <v>36.547665633634</v>
      </c>
      <c r="W754" s="27" t="n">
        <f aca="false">IF(Q754="Open cut",D754*(U754*M754+SLOPE_B*S754^2+2*SLOPE_B*S754*T754+SLOPE_A*T754^2),0)</f>
        <v>0</v>
      </c>
      <c r="X754" s="27" t="n">
        <f aca="false">IF(M754&gt;0,D754*(E754+2*SLABOVH)*SLAB,0)</f>
        <v>3.5931487879546</v>
      </c>
      <c r="Y754" s="27" t="n">
        <f aca="false">IF(M754&gt;0,D754*PI()*E754^2/4,0)</f>
        <v>4.60441253403098</v>
      </c>
      <c r="Z754" s="27" t="n">
        <f aca="false">IF(H754-E754&gt;=GWL,99,E754*(MAX(0,GWL-H754)*(GAM_S-GAM_W)+MAX(0,NG-MAX(H754,GWL))*GAM_D)/(GAM_W*PI()*E754^2/4))</f>
        <v>2.0126587324181</v>
      </c>
      <c r="AA754" s="27" t="n">
        <f aca="false">IF(I754-E754&gt;=GWL,99,E754*(MAX(0,GWL-I754)*(GAM_S-GAM_W)+MAX(0,NG-MAX(I754,GWL))*GAM_D)/(GAM_W*PI()*E754^2/4))</f>
        <v>2.0126587324181</v>
      </c>
      <c r="AB754" s="27" t="n">
        <f aca="false">IF(H754-E754&gt;=GWL,99,E754*(MAX(0,GWL-H754)*(GAM_S-GAM_W)+MAX(0,FL-MAX(H754,GWL))*GAM_D)/(GAM_W*PI()*E754^2/4))</f>
        <v>4.85164437553282</v>
      </c>
      <c r="AC754" s="27" t="n">
        <f aca="false">IF(I754-E754&gt;=GWL,99,E754*(MAX(0,GWL-I754)*(GAM_S-GAM_W)+MAX(0,FL-MAX(I754,GWL))*GAM_D)/(GAM_W*PI()*E754^2/4))</f>
        <v>4.85164437553282</v>
      </c>
    </row>
    <row r="755" customFormat="false" ht="15" hidden="false" customHeight="false" outlineLevel="0" collapsed="false">
      <c r="A755" s="25" t="s">
        <v>1293</v>
      </c>
      <c r="B755" s="25" t="s">
        <v>1305</v>
      </c>
      <c r="C755" s="25" t="s">
        <v>1313</v>
      </c>
      <c r="D755" s="26" t="n">
        <v>1.03235795080475</v>
      </c>
      <c r="E755" s="26" t="n">
        <v>1.40000382090742</v>
      </c>
      <c r="F755" s="26" t="n">
        <v>-4.29000191045371</v>
      </c>
      <c r="G755" s="26" t="n">
        <v>-4.29000191045371</v>
      </c>
      <c r="H755" s="26" t="n">
        <v>-2.38999808954629</v>
      </c>
      <c r="I755" s="26" t="n">
        <v>-2.38999808954629</v>
      </c>
      <c r="J755" s="26" t="n">
        <v>8.66</v>
      </c>
      <c r="K755" s="27" t="n">
        <f aca="false">MIN(F755,G755)</f>
        <v>-4.29000191045371</v>
      </c>
      <c r="L755" s="27" t="n">
        <f aca="false">AVERAGE(F755,G755)</f>
        <v>-4.29000191045371</v>
      </c>
      <c r="M755" s="27" t="n">
        <f aca="false">MAX(0,NG-L755)</f>
        <v>3.59000191045371</v>
      </c>
      <c r="N755" s="27" t="n">
        <f aca="false">MAX(0,GWL-K755)</f>
        <v>2.79000191045371</v>
      </c>
      <c r="O755" s="27" t="n">
        <f aca="false">MAX(0,NG-MAX(K755,GWL))</f>
        <v>0.8</v>
      </c>
      <c r="P755" s="27" t="n">
        <f aca="false">E755/2+WS+SLOPE_A*O755+SLOPE_B*N755</f>
        <v>8.48000573136113</v>
      </c>
      <c r="Q755" s="28" t="str">
        <f aca="false">IF(AND(P755&lt;J755,N755&lt;=MAXOC),"Open cut","Shoring")</f>
        <v>Shoring</v>
      </c>
      <c r="R755" s="27" t="n">
        <f aca="false">IF(Q755="Shoring",D755,0)</f>
        <v>1.03235795080475</v>
      </c>
      <c r="S755" s="27" t="n">
        <f aca="false">MAX(0,GWL-L755)</f>
        <v>2.79000191045371</v>
      </c>
      <c r="T755" s="27" t="n">
        <f aca="false">MAX(0,NG-MAX(L755,GWL))</f>
        <v>0.8</v>
      </c>
      <c r="U755" s="27" t="n">
        <f aca="false">E755+2*WS</f>
        <v>3.40000382090742</v>
      </c>
      <c r="V755" s="27" t="n">
        <f aca="false">IF(Q755="Shoring",D755*M755*U755,0)</f>
        <v>12.6009820141689</v>
      </c>
      <c r="W755" s="27" t="n">
        <f aca="false">IF(Q755="Open cut",D755*(U755*M755+SLOPE_B*S755^2+2*SLOPE_B*S755*T755+SLOPE_A*T755^2),0)</f>
        <v>0</v>
      </c>
      <c r="X755" s="27" t="n">
        <f aca="false">IF(M755&gt;0,D755*(E755+2*SLABOVH)*SLAB,0)</f>
        <v>1.23883151323778</v>
      </c>
      <c r="Y755" s="27" t="n">
        <f aca="false">IF(M755&gt;0,D755*PI()*E755^2/4,0)</f>
        <v>1.58920027003788</v>
      </c>
      <c r="Z755" s="27" t="n">
        <f aca="false">IF(H755-E755&gt;=GWL,99,E755*(MAX(0,GWL-H755)*(GAM_S-GAM_W)+MAX(0,NG-MAX(H755,GWL))*GAM_D)/(GAM_W*PI()*E755^2/4))</f>
        <v>2.01072699283098</v>
      </c>
      <c r="AA755" s="27" t="n">
        <f aca="false">IF(I755-E755&gt;=GWL,99,E755*(MAX(0,GWL-I755)*(GAM_S-GAM_W)+MAX(0,NG-MAX(I755,GWL))*GAM_D)/(GAM_W*PI()*E755^2/4))</f>
        <v>2.01072699283098</v>
      </c>
      <c r="AB755" s="27" t="n">
        <f aca="false">IF(H755-E755&gt;=GWL,99,E755*(MAX(0,GWL-H755)*(GAM_S-GAM_W)+MAX(0,FL-MAX(H755,GWL))*GAM_D)/(GAM_W*PI()*E755^2/4))</f>
        <v>4.84755703038063</v>
      </c>
      <c r="AC755" s="27" t="n">
        <f aca="false">IF(I755-E755&gt;=GWL,99,E755*(MAX(0,GWL-I755)*(GAM_S-GAM_W)+MAX(0,FL-MAX(I755,GWL))*GAM_D)/(GAM_W*PI()*E755^2/4))</f>
        <v>4.84755703038063</v>
      </c>
    </row>
    <row r="756" customFormat="false" ht="15" hidden="false" customHeight="false" outlineLevel="0" collapsed="false">
      <c r="A756" s="25" t="s">
        <v>1293</v>
      </c>
      <c r="B756" s="25" t="s">
        <v>1314</v>
      </c>
      <c r="C756" s="25" t="s">
        <v>1315</v>
      </c>
      <c r="D756" s="26" t="n">
        <v>0.995625973887535</v>
      </c>
      <c r="E756" s="26" t="n">
        <v>1.40000382090742</v>
      </c>
      <c r="F756" s="26" t="n">
        <v>-4.29000191045371</v>
      </c>
      <c r="G756" s="26" t="n">
        <v>-4.29000191045371</v>
      </c>
      <c r="H756" s="26" t="n">
        <v>-2.38999808954629</v>
      </c>
      <c r="I756" s="26" t="n">
        <v>-2.38999808954629</v>
      </c>
      <c r="J756" s="26" t="n">
        <v>9.68</v>
      </c>
      <c r="K756" s="27" t="n">
        <f aca="false">MIN(F756,G756)</f>
        <v>-4.29000191045371</v>
      </c>
      <c r="L756" s="27" t="n">
        <f aca="false">AVERAGE(F756,G756)</f>
        <v>-4.29000191045371</v>
      </c>
      <c r="M756" s="27" t="n">
        <f aca="false">MAX(0,NG-L756)</f>
        <v>3.59000191045371</v>
      </c>
      <c r="N756" s="27" t="n">
        <f aca="false">MAX(0,GWL-K756)</f>
        <v>2.79000191045371</v>
      </c>
      <c r="O756" s="27" t="n">
        <f aca="false">MAX(0,NG-MAX(K756,GWL))</f>
        <v>0.8</v>
      </c>
      <c r="P756" s="27" t="n">
        <f aca="false">E756/2+WS+SLOPE_A*O756+SLOPE_B*N756</f>
        <v>8.48000573136113</v>
      </c>
      <c r="Q756" s="28" t="str">
        <f aca="false">IF(AND(P756&lt;J756,N756&lt;=MAXOC),"Open cut","Shoring")</f>
        <v>Shoring</v>
      </c>
      <c r="R756" s="27" t="n">
        <f aca="false">IF(Q756="Shoring",D756,0)</f>
        <v>0.995625973887535</v>
      </c>
      <c r="S756" s="27" t="n">
        <f aca="false">MAX(0,GWL-L756)</f>
        <v>2.79000191045371</v>
      </c>
      <c r="T756" s="27" t="n">
        <f aca="false">MAX(0,NG-MAX(L756,GWL))</f>
        <v>0.8</v>
      </c>
      <c r="U756" s="27" t="n">
        <f aca="false">E756+2*WS</f>
        <v>3.40000382090742</v>
      </c>
      <c r="V756" s="27" t="n">
        <f aca="false">IF(Q756="Shoring",D756*M756*U756,0)</f>
        <v>12.1526307614683</v>
      </c>
      <c r="W756" s="27" t="n">
        <f aca="false">IF(Q756="Open cut",D756*(U756*M756+SLOPE_B*S756^2+2*SLOPE_B*S756*T756+SLOPE_A*T756^2),0)</f>
        <v>0</v>
      </c>
      <c r="X756" s="27" t="n">
        <f aca="false">IF(M756&gt;0,D756*(E756+2*SLABOVH)*SLAB,0)</f>
        <v>1.19475307076238</v>
      </c>
      <c r="Y756" s="27" t="n">
        <f aca="false">IF(M756&gt;0,D756*PI()*E756^2/4,0)</f>
        <v>1.53265547606369</v>
      </c>
      <c r="Z756" s="27" t="n">
        <f aca="false">IF(H756-E756&gt;=GWL,99,E756*(MAX(0,GWL-H756)*(GAM_S-GAM_W)+MAX(0,NG-MAX(H756,GWL))*GAM_D)/(GAM_W*PI()*E756^2/4))</f>
        <v>2.01072699283098</v>
      </c>
      <c r="AA756" s="27" t="n">
        <f aca="false">IF(I756-E756&gt;=GWL,99,E756*(MAX(0,GWL-I756)*(GAM_S-GAM_W)+MAX(0,NG-MAX(I756,GWL))*GAM_D)/(GAM_W*PI()*E756^2/4))</f>
        <v>2.01072699283098</v>
      </c>
      <c r="AB756" s="27" t="n">
        <f aca="false">IF(H756-E756&gt;=GWL,99,E756*(MAX(0,GWL-H756)*(GAM_S-GAM_W)+MAX(0,FL-MAX(H756,GWL))*GAM_D)/(GAM_W*PI()*E756^2/4))</f>
        <v>4.84755703038063</v>
      </c>
      <c r="AC756" s="27" t="n">
        <f aca="false">IF(I756-E756&gt;=GWL,99,E756*(MAX(0,GWL-I756)*(GAM_S-GAM_W)+MAX(0,FL-MAX(I756,GWL))*GAM_D)/(GAM_W*PI()*E756^2/4))</f>
        <v>4.84755703038063</v>
      </c>
    </row>
    <row r="757" customFormat="false" ht="15" hidden="false" customHeight="false" outlineLevel="0" collapsed="false">
      <c r="A757" s="25" t="s">
        <v>1293</v>
      </c>
      <c r="B757" s="25" t="s">
        <v>1314</v>
      </c>
      <c r="C757" s="25" t="s">
        <v>1316</v>
      </c>
      <c r="D757" s="26" t="n">
        <v>4.97640337479072</v>
      </c>
      <c r="E757" s="26" t="n">
        <v>1.40000382090742</v>
      </c>
      <c r="F757" s="26" t="n">
        <v>-4.29000191045371</v>
      </c>
      <c r="G757" s="26" t="n">
        <v>-4.29000191045371</v>
      </c>
      <c r="H757" s="26" t="n">
        <v>-2.38999808954629</v>
      </c>
      <c r="I757" s="26" t="n">
        <v>-2.38999808954629</v>
      </c>
      <c r="J757" s="26" t="n">
        <v>10.66</v>
      </c>
      <c r="K757" s="27" t="n">
        <f aca="false">MIN(F757,G757)</f>
        <v>-4.29000191045371</v>
      </c>
      <c r="L757" s="27" t="n">
        <f aca="false">AVERAGE(F757,G757)</f>
        <v>-4.29000191045371</v>
      </c>
      <c r="M757" s="27" t="n">
        <f aca="false">MAX(0,NG-L757)</f>
        <v>3.59000191045371</v>
      </c>
      <c r="N757" s="27" t="n">
        <f aca="false">MAX(0,GWL-K757)</f>
        <v>2.79000191045371</v>
      </c>
      <c r="O757" s="27" t="n">
        <f aca="false">MAX(0,NG-MAX(K757,GWL))</f>
        <v>0.8</v>
      </c>
      <c r="P757" s="27" t="n">
        <f aca="false">E757/2+WS+SLOPE_A*O757+SLOPE_B*N757</f>
        <v>8.48000573136113</v>
      </c>
      <c r="Q757" s="28" t="str">
        <f aca="false">IF(AND(P757&lt;J757,N757&lt;=MAXOC),"Open cut","Shoring")</f>
        <v>Shoring</v>
      </c>
      <c r="R757" s="27" t="n">
        <f aca="false">IF(Q757="Shoring",D757,0)</f>
        <v>4.97640337479072</v>
      </c>
      <c r="S757" s="27" t="n">
        <f aca="false">MAX(0,GWL-L757)</f>
        <v>2.79000191045371</v>
      </c>
      <c r="T757" s="27" t="n">
        <f aca="false">MAX(0,NG-MAX(L757,GWL))</f>
        <v>0.8</v>
      </c>
      <c r="U757" s="27" t="n">
        <f aca="false">E757+2*WS</f>
        <v>3.40000382090742</v>
      </c>
      <c r="V757" s="27" t="n">
        <f aca="false">IF(Q757="Shoring",D757*M757*U757,0)</f>
        <v>60.742080178784</v>
      </c>
      <c r="W757" s="27" t="n">
        <f aca="false">IF(Q757="Open cut",D757*(U757*M757+SLOPE_B*S757^2+2*SLOPE_B*S757*T757+SLOPE_A*T757^2),0)</f>
        <v>0</v>
      </c>
      <c r="X757" s="27" t="n">
        <f aca="false">IF(M757&gt;0,D757*(E757+2*SLABOVH)*SLAB,0)</f>
        <v>5.97169355693716</v>
      </c>
      <c r="Y757" s="27" t="n">
        <f aca="false">IF(M757&gt;0,D757*PI()*E757^2/4,0)</f>
        <v>7.66061963379069</v>
      </c>
      <c r="Z757" s="27" t="n">
        <f aca="false">IF(H757-E757&gt;=GWL,99,E757*(MAX(0,GWL-H757)*(GAM_S-GAM_W)+MAX(0,NG-MAX(H757,GWL))*GAM_D)/(GAM_W*PI()*E757^2/4))</f>
        <v>2.01072699283098</v>
      </c>
      <c r="AA757" s="27" t="n">
        <f aca="false">IF(I757-E757&gt;=GWL,99,E757*(MAX(0,GWL-I757)*(GAM_S-GAM_W)+MAX(0,NG-MAX(I757,GWL))*GAM_D)/(GAM_W*PI()*E757^2/4))</f>
        <v>2.01072699283098</v>
      </c>
      <c r="AB757" s="27" t="n">
        <f aca="false">IF(H757-E757&gt;=GWL,99,E757*(MAX(0,GWL-H757)*(GAM_S-GAM_W)+MAX(0,FL-MAX(H757,GWL))*GAM_D)/(GAM_W*PI()*E757^2/4))</f>
        <v>4.84755703038063</v>
      </c>
      <c r="AC757" s="27" t="n">
        <f aca="false">IF(I757-E757&gt;=GWL,99,E757*(MAX(0,GWL-I757)*(GAM_S-GAM_W)+MAX(0,FL-MAX(I757,GWL))*GAM_D)/(GAM_W*PI()*E757^2/4))</f>
        <v>4.84755703038063</v>
      </c>
    </row>
    <row r="758" customFormat="false" ht="15" hidden="false" customHeight="false" outlineLevel="0" collapsed="false">
      <c r="A758" s="25" t="s">
        <v>1293</v>
      </c>
      <c r="B758" s="25" t="s">
        <v>1314</v>
      </c>
      <c r="C758" s="25" t="s">
        <v>1317</v>
      </c>
      <c r="D758" s="26" t="n">
        <v>10.0000000004812</v>
      </c>
      <c r="E758" s="26" t="n">
        <v>1.40000382090742</v>
      </c>
      <c r="F758" s="26" t="n">
        <v>-4.29000191045371</v>
      </c>
      <c r="G758" s="26" t="n">
        <v>-4.29000191045371</v>
      </c>
      <c r="H758" s="26" t="n">
        <v>-2.38999808954629</v>
      </c>
      <c r="I758" s="26" t="n">
        <v>-2.38999808954629</v>
      </c>
      <c r="J758" s="26" t="n">
        <v>13.53</v>
      </c>
      <c r="K758" s="27" t="n">
        <f aca="false">MIN(F758,G758)</f>
        <v>-4.29000191045371</v>
      </c>
      <c r="L758" s="27" t="n">
        <f aca="false">AVERAGE(F758,G758)</f>
        <v>-4.29000191045371</v>
      </c>
      <c r="M758" s="27" t="n">
        <f aca="false">MAX(0,NG-L758)</f>
        <v>3.59000191045371</v>
      </c>
      <c r="N758" s="27" t="n">
        <f aca="false">MAX(0,GWL-K758)</f>
        <v>2.79000191045371</v>
      </c>
      <c r="O758" s="27" t="n">
        <f aca="false">MAX(0,NG-MAX(K758,GWL))</f>
        <v>0.8</v>
      </c>
      <c r="P758" s="27" t="n">
        <f aca="false">E758/2+WS+SLOPE_A*O758+SLOPE_B*N758</f>
        <v>8.48000573136113</v>
      </c>
      <c r="Q758" s="28" t="str">
        <f aca="false">IF(AND(P758&lt;J758,N758&lt;=MAXOC),"Open cut","Shoring")</f>
        <v>Shoring</v>
      </c>
      <c r="R758" s="27" t="n">
        <f aca="false">IF(Q758="Shoring",D758,0)</f>
        <v>10.0000000004812</v>
      </c>
      <c r="S758" s="27" t="n">
        <f aca="false">MAX(0,GWL-L758)</f>
        <v>2.79000191045371</v>
      </c>
      <c r="T758" s="27" t="n">
        <f aca="false">MAX(0,NG-MAX(L758,GWL))</f>
        <v>0.8</v>
      </c>
      <c r="U758" s="27" t="n">
        <f aca="false">E758+2*WS</f>
        <v>3.40000382090742</v>
      </c>
      <c r="V758" s="27" t="n">
        <f aca="false">IF(Q758="Shoring",D758*M758*U758,0)</f>
        <v>122.060202131949</v>
      </c>
      <c r="W758" s="27" t="n">
        <f aca="false">IF(Q758="Open cut",D758*(U758*M758+SLOPE_B*S758^2+2*SLOPE_B*S758*T758+SLOPE_A*T758^2),0)</f>
        <v>0</v>
      </c>
      <c r="X758" s="27" t="n">
        <f aca="false">IF(M758&gt;0,D758*(E758+2*SLABOVH)*SLAB,0)</f>
        <v>12.0000191051145</v>
      </c>
      <c r="Y758" s="27" t="n">
        <f aca="false">IF(M758&gt;0,D758*PI()*E758^2/4,0)</f>
        <v>15.3938880295881</v>
      </c>
      <c r="Z758" s="27" t="n">
        <f aca="false">IF(H758-E758&gt;=GWL,99,E758*(MAX(0,GWL-H758)*(GAM_S-GAM_W)+MAX(0,NG-MAX(H758,GWL))*GAM_D)/(GAM_W*PI()*E758^2/4))</f>
        <v>2.01072699283098</v>
      </c>
      <c r="AA758" s="27" t="n">
        <f aca="false">IF(I758-E758&gt;=GWL,99,E758*(MAX(0,GWL-I758)*(GAM_S-GAM_W)+MAX(0,NG-MAX(I758,GWL))*GAM_D)/(GAM_W*PI()*E758^2/4))</f>
        <v>2.01072699283098</v>
      </c>
      <c r="AB758" s="27" t="n">
        <f aca="false">IF(H758-E758&gt;=GWL,99,E758*(MAX(0,GWL-H758)*(GAM_S-GAM_W)+MAX(0,FL-MAX(H758,GWL))*GAM_D)/(GAM_W*PI()*E758^2/4))</f>
        <v>4.84755703038063</v>
      </c>
      <c r="AC758" s="27" t="n">
        <f aca="false">IF(I758-E758&gt;=GWL,99,E758*(MAX(0,GWL-I758)*(GAM_S-GAM_W)+MAX(0,FL-MAX(I758,GWL))*GAM_D)/(GAM_W*PI()*E758^2/4))</f>
        <v>4.84755703038063</v>
      </c>
    </row>
    <row r="759" customFormat="false" ht="15" hidden="false" customHeight="false" outlineLevel="0" collapsed="false">
      <c r="A759" s="25" t="s">
        <v>1293</v>
      </c>
      <c r="B759" s="25" t="s">
        <v>1314</v>
      </c>
      <c r="C759" s="25" t="s">
        <v>1318</v>
      </c>
      <c r="D759" s="26" t="n">
        <v>9.99999999954741</v>
      </c>
      <c r="E759" s="26" t="n">
        <v>1.40000382090742</v>
      </c>
      <c r="F759" s="26" t="n">
        <v>-4.29000191045371</v>
      </c>
      <c r="G759" s="26" t="n">
        <v>-4.29000191045371</v>
      </c>
      <c r="H759" s="26" t="n">
        <v>-2.38999808954629</v>
      </c>
      <c r="I759" s="26" t="n">
        <v>-2.38999808954629</v>
      </c>
      <c r="J759" s="26" t="n">
        <v>16.13</v>
      </c>
      <c r="K759" s="27" t="n">
        <f aca="false">MIN(F759,G759)</f>
        <v>-4.29000191045371</v>
      </c>
      <c r="L759" s="27" t="n">
        <f aca="false">AVERAGE(F759,G759)</f>
        <v>-4.29000191045371</v>
      </c>
      <c r="M759" s="27" t="n">
        <f aca="false">MAX(0,NG-L759)</f>
        <v>3.59000191045371</v>
      </c>
      <c r="N759" s="27" t="n">
        <f aca="false">MAX(0,GWL-K759)</f>
        <v>2.79000191045371</v>
      </c>
      <c r="O759" s="27" t="n">
        <f aca="false">MAX(0,NG-MAX(K759,GWL))</f>
        <v>0.8</v>
      </c>
      <c r="P759" s="27" t="n">
        <f aca="false">E759/2+WS+SLOPE_A*O759+SLOPE_B*N759</f>
        <v>8.48000573136113</v>
      </c>
      <c r="Q759" s="28" t="str">
        <f aca="false">IF(AND(P759&lt;J759,N759&lt;=MAXOC),"Open cut","Shoring")</f>
        <v>Shoring</v>
      </c>
      <c r="R759" s="27" t="n">
        <f aca="false">IF(Q759="Shoring",D759,0)</f>
        <v>9.99999999954741</v>
      </c>
      <c r="S759" s="27" t="n">
        <f aca="false">MAX(0,GWL-L759)</f>
        <v>2.79000191045371</v>
      </c>
      <c r="T759" s="27" t="n">
        <f aca="false">MAX(0,NG-MAX(L759,GWL))</f>
        <v>0.8</v>
      </c>
      <c r="U759" s="27" t="n">
        <f aca="false">E759+2*WS</f>
        <v>3.40000382090742</v>
      </c>
      <c r="V759" s="27" t="n">
        <f aca="false">IF(Q759="Shoring",D759*M759*U759,0)</f>
        <v>122.060202120551</v>
      </c>
      <c r="W759" s="27" t="n">
        <f aca="false">IF(Q759="Open cut",D759*(U759*M759+SLOPE_B*S759^2+2*SLOPE_B*S759*T759+SLOPE_A*T759^2),0)</f>
        <v>0</v>
      </c>
      <c r="X759" s="27" t="n">
        <f aca="false">IF(M759&gt;0,D759*(E759+2*SLABOVH)*SLAB,0)</f>
        <v>12.000019103994</v>
      </c>
      <c r="Y759" s="27" t="n">
        <f aca="false">IF(M759&gt;0,D759*PI()*E759^2/4,0)</f>
        <v>15.3938880281507</v>
      </c>
      <c r="Z759" s="27" t="n">
        <f aca="false">IF(H759-E759&gt;=GWL,99,E759*(MAX(0,GWL-H759)*(GAM_S-GAM_W)+MAX(0,NG-MAX(H759,GWL))*GAM_D)/(GAM_W*PI()*E759^2/4))</f>
        <v>2.01072699283098</v>
      </c>
      <c r="AA759" s="27" t="n">
        <f aca="false">IF(I759-E759&gt;=GWL,99,E759*(MAX(0,GWL-I759)*(GAM_S-GAM_W)+MAX(0,NG-MAX(I759,GWL))*GAM_D)/(GAM_W*PI()*E759^2/4))</f>
        <v>2.01072699283098</v>
      </c>
      <c r="AB759" s="27" t="n">
        <f aca="false">IF(H759-E759&gt;=GWL,99,E759*(MAX(0,GWL-H759)*(GAM_S-GAM_W)+MAX(0,FL-MAX(H759,GWL))*GAM_D)/(GAM_W*PI()*E759^2/4))</f>
        <v>4.84755703038063</v>
      </c>
      <c r="AC759" s="27" t="n">
        <f aca="false">IF(I759-E759&gt;=GWL,99,E759*(MAX(0,GWL-I759)*(GAM_S-GAM_W)+MAX(0,FL-MAX(I759,GWL))*GAM_D)/(GAM_W*PI()*E759^2/4))</f>
        <v>4.84755703038063</v>
      </c>
    </row>
    <row r="760" customFormat="false" ht="15" hidden="false" customHeight="false" outlineLevel="0" collapsed="false">
      <c r="A760" s="25" t="s">
        <v>1293</v>
      </c>
      <c r="B760" s="25" t="s">
        <v>1314</v>
      </c>
      <c r="C760" s="25" t="s">
        <v>1319</v>
      </c>
      <c r="D760" s="26" t="n">
        <v>10.000000000115</v>
      </c>
      <c r="E760" s="26" t="n">
        <v>1.40000382090742</v>
      </c>
      <c r="F760" s="26" t="n">
        <v>-4.29000191045371</v>
      </c>
      <c r="G760" s="26" t="n">
        <v>-4.29000191045371</v>
      </c>
      <c r="H760" s="26" t="n">
        <v>-2.38999808954629</v>
      </c>
      <c r="I760" s="26" t="n">
        <v>-2.38999808954629</v>
      </c>
      <c r="J760" s="26" t="n">
        <v>6.79</v>
      </c>
      <c r="K760" s="27" t="n">
        <f aca="false">MIN(F760,G760)</f>
        <v>-4.29000191045371</v>
      </c>
      <c r="L760" s="27" t="n">
        <f aca="false">AVERAGE(F760,G760)</f>
        <v>-4.29000191045371</v>
      </c>
      <c r="M760" s="27" t="n">
        <f aca="false">MAX(0,NG-L760)</f>
        <v>3.59000191045371</v>
      </c>
      <c r="N760" s="27" t="n">
        <f aca="false">MAX(0,GWL-K760)</f>
        <v>2.79000191045371</v>
      </c>
      <c r="O760" s="27" t="n">
        <f aca="false">MAX(0,NG-MAX(K760,GWL))</f>
        <v>0.8</v>
      </c>
      <c r="P760" s="27" t="n">
        <f aca="false">E760/2+WS+SLOPE_A*O760+SLOPE_B*N760</f>
        <v>8.48000573136113</v>
      </c>
      <c r="Q760" s="28" t="str">
        <f aca="false">IF(AND(P760&lt;J760,N760&lt;=MAXOC),"Open cut","Shoring")</f>
        <v>Shoring</v>
      </c>
      <c r="R760" s="27" t="n">
        <f aca="false">IF(Q760="Shoring",D760,0)</f>
        <v>10.000000000115</v>
      </c>
      <c r="S760" s="27" t="n">
        <f aca="false">MAX(0,GWL-L760)</f>
        <v>2.79000191045371</v>
      </c>
      <c r="T760" s="27" t="n">
        <f aca="false">MAX(0,NG-MAX(L760,GWL))</f>
        <v>0.8</v>
      </c>
      <c r="U760" s="27" t="n">
        <f aca="false">E760+2*WS</f>
        <v>3.40000382090742</v>
      </c>
      <c r="V760" s="27" t="n">
        <f aca="false">IF(Q760="Shoring",D760*M760*U760,0)</f>
        <v>122.060202127479</v>
      </c>
      <c r="W760" s="27" t="n">
        <f aca="false">IF(Q760="Open cut",D760*(U760*M760+SLOPE_B*S760^2+2*SLOPE_B*S760*T760+SLOPE_A*T760^2),0)</f>
        <v>0</v>
      </c>
      <c r="X760" s="27" t="n">
        <f aca="false">IF(M760&gt;0,D760*(E760+2*SLABOVH)*SLAB,0)</f>
        <v>12.0000191046751</v>
      </c>
      <c r="Y760" s="27" t="n">
        <f aca="false">IF(M760&gt;0,D760*PI()*E760^2/4,0)</f>
        <v>15.3938880290245</v>
      </c>
      <c r="Z760" s="27" t="n">
        <f aca="false">IF(H760-E760&gt;=GWL,99,E760*(MAX(0,GWL-H760)*(GAM_S-GAM_W)+MAX(0,NG-MAX(H760,GWL))*GAM_D)/(GAM_W*PI()*E760^2/4))</f>
        <v>2.01072699283098</v>
      </c>
      <c r="AA760" s="27" t="n">
        <f aca="false">IF(I760-E760&gt;=GWL,99,E760*(MAX(0,GWL-I760)*(GAM_S-GAM_W)+MAX(0,NG-MAX(I760,GWL))*GAM_D)/(GAM_W*PI()*E760^2/4))</f>
        <v>2.01072699283098</v>
      </c>
      <c r="AB760" s="27" t="n">
        <f aca="false">IF(H760-E760&gt;=GWL,99,E760*(MAX(0,GWL-H760)*(GAM_S-GAM_W)+MAX(0,FL-MAX(H760,GWL))*GAM_D)/(GAM_W*PI()*E760^2/4))</f>
        <v>4.84755703038063</v>
      </c>
      <c r="AC760" s="27" t="n">
        <f aca="false">IF(I760-E760&gt;=GWL,99,E760*(MAX(0,GWL-I760)*(GAM_S-GAM_W)+MAX(0,FL-MAX(I760,GWL))*GAM_D)/(GAM_W*PI()*E760^2/4))</f>
        <v>4.84755703038063</v>
      </c>
    </row>
    <row r="761" customFormat="false" ht="15" hidden="false" customHeight="false" outlineLevel="0" collapsed="false">
      <c r="A761" s="25" t="s">
        <v>1293</v>
      </c>
      <c r="B761" s="25" t="s">
        <v>1314</v>
      </c>
      <c r="C761" s="25" t="s">
        <v>1320</v>
      </c>
      <c r="D761" s="26" t="n">
        <v>3.69999999979455</v>
      </c>
      <c r="E761" s="26" t="n">
        <v>1.40000382090742</v>
      </c>
      <c r="F761" s="26" t="n">
        <v>-4.29000191045371</v>
      </c>
      <c r="G761" s="26" t="n">
        <v>-4.29000191045371</v>
      </c>
      <c r="H761" s="26" t="n">
        <v>-2.38999808954629</v>
      </c>
      <c r="I761" s="26" t="n">
        <v>-2.38999808954629</v>
      </c>
      <c r="J761" s="26" t="n">
        <v>3.09</v>
      </c>
      <c r="K761" s="27" t="n">
        <f aca="false">MIN(F761,G761)</f>
        <v>-4.29000191045371</v>
      </c>
      <c r="L761" s="27" t="n">
        <f aca="false">AVERAGE(F761,G761)</f>
        <v>-4.29000191045371</v>
      </c>
      <c r="M761" s="27" t="n">
        <f aca="false">MAX(0,NG-L761)</f>
        <v>3.59000191045371</v>
      </c>
      <c r="N761" s="27" t="n">
        <f aca="false">MAX(0,GWL-K761)</f>
        <v>2.79000191045371</v>
      </c>
      <c r="O761" s="27" t="n">
        <f aca="false">MAX(0,NG-MAX(K761,GWL))</f>
        <v>0.8</v>
      </c>
      <c r="P761" s="27" t="n">
        <f aca="false">E761/2+WS+SLOPE_A*O761+SLOPE_B*N761</f>
        <v>8.48000573136113</v>
      </c>
      <c r="Q761" s="28" t="str">
        <f aca="false">IF(AND(P761&lt;J761,N761&lt;=MAXOC),"Open cut","Shoring")</f>
        <v>Shoring</v>
      </c>
      <c r="R761" s="27" t="n">
        <f aca="false">IF(Q761="Shoring",D761,0)</f>
        <v>3.69999999979455</v>
      </c>
      <c r="S761" s="27" t="n">
        <f aca="false">MAX(0,GWL-L761)</f>
        <v>2.79000191045371</v>
      </c>
      <c r="T761" s="27" t="n">
        <f aca="false">MAX(0,NG-MAX(L761,GWL))</f>
        <v>0.8</v>
      </c>
      <c r="U761" s="27" t="n">
        <f aca="false">E761+2*WS</f>
        <v>3.40000382090742</v>
      </c>
      <c r="V761" s="27" t="n">
        <f aca="false">IF(Q761="Shoring",D761*M761*U761,0)</f>
        <v>45.1622747841403</v>
      </c>
      <c r="W761" s="27" t="n">
        <f aca="false">IF(Q761="Open cut",D761*(U761*M761+SLOPE_B*S761^2+2*SLOPE_B*S761*T761+SLOPE_A*T761^2),0)</f>
        <v>0</v>
      </c>
      <c r="X761" s="27" t="n">
        <f aca="false">IF(M761&gt;0,D761*(E761+2*SLABOVH)*SLAB,0)</f>
        <v>4.44000706843219</v>
      </c>
      <c r="Y761" s="27" t="n">
        <f aca="false">IF(M761&gt;0,D761*PI()*E761^2/4,0)</f>
        <v>5.69573857035729</v>
      </c>
      <c r="Z761" s="27" t="n">
        <f aca="false">IF(H761-E761&gt;=GWL,99,E761*(MAX(0,GWL-H761)*(GAM_S-GAM_W)+MAX(0,NG-MAX(H761,GWL))*GAM_D)/(GAM_W*PI()*E761^2/4))</f>
        <v>2.01072699283098</v>
      </c>
      <c r="AA761" s="27" t="n">
        <f aca="false">IF(I761-E761&gt;=GWL,99,E761*(MAX(0,GWL-I761)*(GAM_S-GAM_W)+MAX(0,NG-MAX(I761,GWL))*GAM_D)/(GAM_W*PI()*E761^2/4))</f>
        <v>2.01072699283098</v>
      </c>
      <c r="AB761" s="27" t="n">
        <f aca="false">IF(H761-E761&gt;=GWL,99,E761*(MAX(0,GWL-H761)*(GAM_S-GAM_W)+MAX(0,FL-MAX(H761,GWL))*GAM_D)/(GAM_W*PI()*E761^2/4))</f>
        <v>4.84755703038063</v>
      </c>
      <c r="AC761" s="27" t="n">
        <f aca="false">IF(I761-E761&gt;=GWL,99,E761*(MAX(0,GWL-I761)*(GAM_S-GAM_W)+MAX(0,FL-MAX(I761,GWL))*GAM_D)/(GAM_W*PI()*E761^2/4))</f>
        <v>4.84755703038063</v>
      </c>
    </row>
    <row r="762" customFormat="false" ht="15" hidden="false" customHeight="false" outlineLevel="0" collapsed="false">
      <c r="A762" s="25" t="s">
        <v>1293</v>
      </c>
      <c r="B762" s="25" t="s">
        <v>1321</v>
      </c>
      <c r="C762" s="25" t="s">
        <v>1322</v>
      </c>
      <c r="D762" s="26" t="n">
        <v>6.29999999998629</v>
      </c>
      <c r="E762" s="26" t="n">
        <v>1.40000382090742</v>
      </c>
      <c r="F762" s="26" t="n">
        <v>-4.29000191045371</v>
      </c>
      <c r="G762" s="26" t="n">
        <v>-4.29000191045371</v>
      </c>
      <c r="H762" s="26" t="n">
        <v>-2.38999808954629</v>
      </c>
      <c r="I762" s="26" t="n">
        <v>-2.38999808954629</v>
      </c>
      <c r="J762" s="26" t="n">
        <v>0</v>
      </c>
      <c r="K762" s="27" t="n">
        <f aca="false">MIN(F762,G762)</f>
        <v>-4.29000191045371</v>
      </c>
      <c r="L762" s="27" t="n">
        <f aca="false">AVERAGE(F762,G762)</f>
        <v>-4.29000191045371</v>
      </c>
      <c r="M762" s="27" t="n">
        <f aca="false">MAX(0,NG-L762)</f>
        <v>3.59000191045371</v>
      </c>
      <c r="N762" s="27" t="n">
        <f aca="false">MAX(0,GWL-K762)</f>
        <v>2.79000191045371</v>
      </c>
      <c r="O762" s="27" t="n">
        <f aca="false">MAX(0,NG-MAX(K762,GWL))</f>
        <v>0.8</v>
      </c>
      <c r="P762" s="27" t="n">
        <f aca="false">E762/2+WS+SLOPE_A*O762+SLOPE_B*N762</f>
        <v>8.48000573136113</v>
      </c>
      <c r="Q762" s="28" t="str">
        <f aca="false">IF(AND(P762&lt;J762,N762&lt;=MAXOC),"Open cut","Shoring")</f>
        <v>Shoring</v>
      </c>
      <c r="R762" s="27" t="n">
        <f aca="false">IF(Q762="Shoring",D762,0)</f>
        <v>6.29999999998629</v>
      </c>
      <c r="S762" s="27" t="n">
        <f aca="false">MAX(0,GWL-L762)</f>
        <v>2.79000191045371</v>
      </c>
      <c r="T762" s="27" t="n">
        <f aca="false">MAX(0,NG-MAX(L762,GWL))</f>
        <v>0.8</v>
      </c>
      <c r="U762" s="27" t="n">
        <f aca="false">E762+2*WS</f>
        <v>3.40000382090742</v>
      </c>
      <c r="V762" s="27" t="n">
        <f aca="false">IF(Q762="Shoring",D762*M762*U762,0)</f>
        <v>76.8979273392603</v>
      </c>
      <c r="W762" s="27" t="n">
        <f aca="false">IF(Q762="Open cut",D762*(U762*M762+SLOPE_B*S762^2+2*SLOPE_B*S762*T762+SLOPE_A*T762^2),0)</f>
        <v>0</v>
      </c>
      <c r="X762" s="27" t="n">
        <f aca="false">IF(M762&gt;0,D762*(E762+2*SLABOVH)*SLAB,0)</f>
        <v>7.56001203584193</v>
      </c>
      <c r="Y762" s="27" t="n">
        <f aca="false">IF(M762&gt;0,D762*PI()*E762^2/4,0)</f>
        <v>9.6981494581528</v>
      </c>
      <c r="Z762" s="27" t="n">
        <f aca="false">IF(H762-E762&gt;=GWL,99,E762*(MAX(0,GWL-H762)*(GAM_S-GAM_W)+MAX(0,NG-MAX(H762,GWL))*GAM_D)/(GAM_W*PI()*E762^2/4))</f>
        <v>2.01072699283098</v>
      </c>
      <c r="AA762" s="27" t="n">
        <f aca="false">IF(I762-E762&gt;=GWL,99,E762*(MAX(0,GWL-I762)*(GAM_S-GAM_W)+MAX(0,NG-MAX(I762,GWL))*GAM_D)/(GAM_W*PI()*E762^2/4))</f>
        <v>2.01072699283098</v>
      </c>
      <c r="AB762" s="27" t="n">
        <f aca="false">IF(H762-E762&gt;=GWL,99,E762*(MAX(0,GWL-H762)*(GAM_S-GAM_W)+MAX(0,FL-MAX(H762,GWL))*GAM_D)/(GAM_W*PI()*E762^2/4))</f>
        <v>4.84755703038063</v>
      </c>
      <c r="AC762" s="27" t="n">
        <f aca="false">IF(I762-E762&gt;=GWL,99,E762*(MAX(0,GWL-I762)*(GAM_S-GAM_W)+MAX(0,FL-MAX(I762,GWL))*GAM_D)/(GAM_W*PI()*E762^2/4))</f>
        <v>4.84755703038063</v>
      </c>
    </row>
    <row r="763" customFormat="false" ht="15" hidden="false" customHeight="false" outlineLevel="0" collapsed="false">
      <c r="A763" s="25" t="s">
        <v>1293</v>
      </c>
      <c r="B763" s="25" t="s">
        <v>1321</v>
      </c>
      <c r="C763" s="25" t="s">
        <v>1323</v>
      </c>
      <c r="D763" s="26" t="n">
        <v>10.0000000000143</v>
      </c>
      <c r="E763" s="26" t="n">
        <v>1.40000382090742</v>
      </c>
      <c r="F763" s="26" t="n">
        <v>-4.29000191045371</v>
      </c>
      <c r="G763" s="26" t="n">
        <v>-4.29000191045371</v>
      </c>
      <c r="H763" s="26" t="n">
        <v>-2.38999808954629</v>
      </c>
      <c r="I763" s="26" t="n">
        <v>-2.38999808954629</v>
      </c>
      <c r="J763" s="26" t="n">
        <v>1.01</v>
      </c>
      <c r="K763" s="27" t="n">
        <f aca="false">MIN(F763,G763)</f>
        <v>-4.29000191045371</v>
      </c>
      <c r="L763" s="27" t="n">
        <f aca="false">AVERAGE(F763,G763)</f>
        <v>-4.29000191045371</v>
      </c>
      <c r="M763" s="27" t="n">
        <f aca="false">MAX(0,NG-L763)</f>
        <v>3.59000191045371</v>
      </c>
      <c r="N763" s="27" t="n">
        <f aca="false">MAX(0,GWL-K763)</f>
        <v>2.79000191045371</v>
      </c>
      <c r="O763" s="27" t="n">
        <f aca="false">MAX(0,NG-MAX(K763,GWL))</f>
        <v>0.8</v>
      </c>
      <c r="P763" s="27" t="n">
        <f aca="false">E763/2+WS+SLOPE_A*O763+SLOPE_B*N763</f>
        <v>8.48000573136113</v>
      </c>
      <c r="Q763" s="28" t="str">
        <f aca="false">IF(AND(P763&lt;J763,N763&lt;=MAXOC),"Open cut","Shoring")</f>
        <v>Shoring</v>
      </c>
      <c r="R763" s="27" t="n">
        <f aca="false">IF(Q763="Shoring",D763,0)</f>
        <v>10.0000000000143</v>
      </c>
      <c r="S763" s="27" t="n">
        <f aca="false">MAX(0,GWL-L763)</f>
        <v>2.79000191045371</v>
      </c>
      <c r="T763" s="27" t="n">
        <f aca="false">MAX(0,NG-MAX(L763,GWL))</f>
        <v>0.8</v>
      </c>
      <c r="U763" s="27" t="n">
        <f aca="false">E763+2*WS</f>
        <v>3.40000382090742</v>
      </c>
      <c r="V763" s="27" t="n">
        <f aca="false">IF(Q763="Shoring",D763*M763*U763,0)</f>
        <v>122.06020212625</v>
      </c>
      <c r="W763" s="27" t="n">
        <f aca="false">IF(Q763="Open cut",D763*(U763*M763+SLOPE_B*S763^2+2*SLOPE_B*S763*T763+SLOPE_A*T763^2),0)</f>
        <v>0</v>
      </c>
      <c r="X763" s="27" t="n">
        <f aca="false">IF(M763&gt;0,D763*(E763+2*SLABOVH)*SLAB,0)</f>
        <v>12.0000191045542</v>
      </c>
      <c r="Y763" s="27" t="n">
        <f aca="false">IF(M763&gt;0,D763*PI()*E763^2/4,0)</f>
        <v>15.3938880288694</v>
      </c>
      <c r="Z763" s="27" t="n">
        <f aca="false">IF(H763-E763&gt;=GWL,99,E763*(MAX(0,GWL-H763)*(GAM_S-GAM_W)+MAX(0,NG-MAX(H763,GWL))*GAM_D)/(GAM_W*PI()*E763^2/4))</f>
        <v>2.01072699283098</v>
      </c>
      <c r="AA763" s="27" t="n">
        <f aca="false">IF(I763-E763&gt;=GWL,99,E763*(MAX(0,GWL-I763)*(GAM_S-GAM_W)+MAX(0,NG-MAX(I763,GWL))*GAM_D)/(GAM_W*PI()*E763^2/4))</f>
        <v>2.01072699283098</v>
      </c>
      <c r="AB763" s="27" t="n">
        <f aca="false">IF(H763-E763&gt;=GWL,99,E763*(MAX(0,GWL-H763)*(GAM_S-GAM_W)+MAX(0,FL-MAX(H763,GWL))*GAM_D)/(GAM_W*PI()*E763^2/4))</f>
        <v>4.84755703038063</v>
      </c>
      <c r="AC763" s="27" t="n">
        <f aca="false">IF(I763-E763&gt;=GWL,99,E763*(MAX(0,GWL-I763)*(GAM_S-GAM_W)+MAX(0,FL-MAX(I763,GWL))*GAM_D)/(GAM_W*PI()*E763^2/4))</f>
        <v>4.84755703038063</v>
      </c>
    </row>
    <row r="764" customFormat="false" ht="15" hidden="false" customHeight="false" outlineLevel="0" collapsed="false">
      <c r="A764" s="25" t="s">
        <v>1293</v>
      </c>
      <c r="B764" s="25" t="s">
        <v>1321</v>
      </c>
      <c r="C764" s="25" t="s">
        <v>1324</v>
      </c>
      <c r="D764" s="26" t="n">
        <v>10.000000000115</v>
      </c>
      <c r="E764" s="26" t="n">
        <v>1.40000382090742</v>
      </c>
      <c r="F764" s="26" t="n">
        <v>-4.29000191045371</v>
      </c>
      <c r="G764" s="26" t="n">
        <v>-4.29000191045371</v>
      </c>
      <c r="H764" s="26" t="n">
        <v>-2.38999808954629</v>
      </c>
      <c r="I764" s="26" t="n">
        <v>-2.38999808954629</v>
      </c>
      <c r="J764" s="26" t="n">
        <v>11.01</v>
      </c>
      <c r="K764" s="27" t="n">
        <f aca="false">MIN(F764,G764)</f>
        <v>-4.29000191045371</v>
      </c>
      <c r="L764" s="27" t="n">
        <f aca="false">AVERAGE(F764,G764)</f>
        <v>-4.29000191045371</v>
      </c>
      <c r="M764" s="27" t="n">
        <f aca="false">MAX(0,NG-L764)</f>
        <v>3.59000191045371</v>
      </c>
      <c r="N764" s="27" t="n">
        <f aca="false">MAX(0,GWL-K764)</f>
        <v>2.79000191045371</v>
      </c>
      <c r="O764" s="27" t="n">
        <f aca="false">MAX(0,NG-MAX(K764,GWL))</f>
        <v>0.8</v>
      </c>
      <c r="P764" s="27" t="n">
        <f aca="false">E764/2+WS+SLOPE_A*O764+SLOPE_B*N764</f>
        <v>8.48000573136113</v>
      </c>
      <c r="Q764" s="28" t="str">
        <f aca="false">IF(AND(P764&lt;J764,N764&lt;=MAXOC),"Open cut","Shoring")</f>
        <v>Shoring</v>
      </c>
      <c r="R764" s="27" t="n">
        <f aca="false">IF(Q764="Shoring",D764,0)</f>
        <v>10.000000000115</v>
      </c>
      <c r="S764" s="27" t="n">
        <f aca="false">MAX(0,GWL-L764)</f>
        <v>2.79000191045371</v>
      </c>
      <c r="T764" s="27" t="n">
        <f aca="false">MAX(0,NG-MAX(L764,GWL))</f>
        <v>0.8</v>
      </c>
      <c r="U764" s="27" t="n">
        <f aca="false">E764+2*WS</f>
        <v>3.40000382090742</v>
      </c>
      <c r="V764" s="27" t="n">
        <f aca="false">IF(Q764="Shoring",D764*M764*U764,0)</f>
        <v>122.060202127479</v>
      </c>
      <c r="W764" s="27" t="n">
        <f aca="false">IF(Q764="Open cut",D764*(U764*M764+SLOPE_B*S764^2+2*SLOPE_B*S764*T764+SLOPE_A*T764^2),0)</f>
        <v>0</v>
      </c>
      <c r="X764" s="27" t="n">
        <f aca="false">IF(M764&gt;0,D764*(E764+2*SLABOVH)*SLAB,0)</f>
        <v>12.0000191046751</v>
      </c>
      <c r="Y764" s="27" t="n">
        <f aca="false">IF(M764&gt;0,D764*PI()*E764^2/4,0)</f>
        <v>15.3938880290245</v>
      </c>
      <c r="Z764" s="27" t="n">
        <f aca="false">IF(H764-E764&gt;=GWL,99,E764*(MAX(0,GWL-H764)*(GAM_S-GAM_W)+MAX(0,NG-MAX(H764,GWL))*GAM_D)/(GAM_W*PI()*E764^2/4))</f>
        <v>2.01072699283098</v>
      </c>
      <c r="AA764" s="27" t="n">
        <f aca="false">IF(I764-E764&gt;=GWL,99,E764*(MAX(0,GWL-I764)*(GAM_S-GAM_W)+MAX(0,NG-MAX(I764,GWL))*GAM_D)/(GAM_W*PI()*E764^2/4))</f>
        <v>2.01072699283098</v>
      </c>
      <c r="AB764" s="27" t="n">
        <f aca="false">IF(H764-E764&gt;=GWL,99,E764*(MAX(0,GWL-H764)*(GAM_S-GAM_W)+MAX(0,FL-MAX(H764,GWL))*GAM_D)/(GAM_W*PI()*E764^2/4))</f>
        <v>4.84755703038063</v>
      </c>
      <c r="AC764" s="27" t="n">
        <f aca="false">IF(I764-E764&gt;=GWL,99,E764*(MAX(0,GWL-I764)*(GAM_S-GAM_W)+MAX(0,FL-MAX(I764,GWL))*GAM_D)/(GAM_W*PI()*E764^2/4))</f>
        <v>4.84755703038063</v>
      </c>
    </row>
    <row r="765" customFormat="false" ht="15" hidden="false" customHeight="false" outlineLevel="0" collapsed="false">
      <c r="A765" s="25" t="s">
        <v>1293</v>
      </c>
      <c r="B765" s="25" t="s">
        <v>1321</v>
      </c>
      <c r="C765" s="25" t="s">
        <v>1325</v>
      </c>
      <c r="D765" s="26" t="n">
        <v>10.0000000000143</v>
      </c>
      <c r="E765" s="26" t="n">
        <v>1.40000382090742</v>
      </c>
      <c r="F765" s="26" t="n">
        <v>-4.29000191045371</v>
      </c>
      <c r="G765" s="26" t="n">
        <v>-4.29000191045371</v>
      </c>
      <c r="H765" s="26" t="n">
        <v>-2.38999808954629</v>
      </c>
      <c r="I765" s="26" t="n">
        <v>-2.38999808954629</v>
      </c>
      <c r="J765" s="26" t="n">
        <v>21</v>
      </c>
      <c r="K765" s="27" t="n">
        <f aca="false">MIN(F765,G765)</f>
        <v>-4.29000191045371</v>
      </c>
      <c r="L765" s="27" t="n">
        <f aca="false">AVERAGE(F765,G765)</f>
        <v>-4.29000191045371</v>
      </c>
      <c r="M765" s="27" t="n">
        <f aca="false">MAX(0,NG-L765)</f>
        <v>3.59000191045371</v>
      </c>
      <c r="N765" s="27" t="n">
        <f aca="false">MAX(0,GWL-K765)</f>
        <v>2.79000191045371</v>
      </c>
      <c r="O765" s="27" t="n">
        <f aca="false">MAX(0,NG-MAX(K765,GWL))</f>
        <v>0.8</v>
      </c>
      <c r="P765" s="27" t="n">
        <f aca="false">E765/2+WS+SLOPE_A*O765+SLOPE_B*N765</f>
        <v>8.48000573136113</v>
      </c>
      <c r="Q765" s="28" t="str">
        <f aca="false">IF(AND(P765&lt;J765,N765&lt;=MAXOC),"Open cut","Shoring")</f>
        <v>Shoring</v>
      </c>
      <c r="R765" s="27" t="n">
        <f aca="false">IF(Q765="Shoring",D765,0)</f>
        <v>10.0000000000143</v>
      </c>
      <c r="S765" s="27" t="n">
        <f aca="false">MAX(0,GWL-L765)</f>
        <v>2.79000191045371</v>
      </c>
      <c r="T765" s="27" t="n">
        <f aca="false">MAX(0,NG-MAX(L765,GWL))</f>
        <v>0.8</v>
      </c>
      <c r="U765" s="27" t="n">
        <f aca="false">E765+2*WS</f>
        <v>3.40000382090742</v>
      </c>
      <c r="V765" s="27" t="n">
        <f aca="false">IF(Q765="Shoring",D765*M765*U765,0)</f>
        <v>122.06020212625</v>
      </c>
      <c r="W765" s="27" t="n">
        <f aca="false">IF(Q765="Open cut",D765*(U765*M765+SLOPE_B*S765^2+2*SLOPE_B*S765*T765+SLOPE_A*T765^2),0)</f>
        <v>0</v>
      </c>
      <c r="X765" s="27" t="n">
        <f aca="false">IF(M765&gt;0,D765*(E765+2*SLABOVH)*SLAB,0)</f>
        <v>12.0000191045542</v>
      </c>
      <c r="Y765" s="27" t="n">
        <f aca="false">IF(M765&gt;0,D765*PI()*E765^2/4,0)</f>
        <v>15.3938880288694</v>
      </c>
      <c r="Z765" s="27" t="n">
        <f aca="false">IF(H765-E765&gt;=GWL,99,E765*(MAX(0,GWL-H765)*(GAM_S-GAM_W)+MAX(0,NG-MAX(H765,GWL))*GAM_D)/(GAM_W*PI()*E765^2/4))</f>
        <v>2.01072699283098</v>
      </c>
      <c r="AA765" s="27" t="n">
        <f aca="false">IF(I765-E765&gt;=GWL,99,E765*(MAX(0,GWL-I765)*(GAM_S-GAM_W)+MAX(0,NG-MAX(I765,GWL))*GAM_D)/(GAM_W*PI()*E765^2/4))</f>
        <v>2.01072699283098</v>
      </c>
      <c r="AB765" s="27" t="n">
        <f aca="false">IF(H765-E765&gt;=GWL,99,E765*(MAX(0,GWL-H765)*(GAM_S-GAM_W)+MAX(0,FL-MAX(H765,GWL))*GAM_D)/(GAM_W*PI()*E765^2/4))</f>
        <v>4.84755703038063</v>
      </c>
      <c r="AC765" s="27" t="n">
        <f aca="false">IF(I765-E765&gt;=GWL,99,E765*(MAX(0,GWL-I765)*(GAM_S-GAM_W)+MAX(0,FL-MAX(I765,GWL))*GAM_D)/(GAM_W*PI()*E765^2/4))</f>
        <v>4.84755703038063</v>
      </c>
    </row>
    <row r="766" customFormat="false" ht="15" hidden="false" customHeight="false" outlineLevel="0" collapsed="false">
      <c r="A766" s="25" t="s">
        <v>1293</v>
      </c>
      <c r="B766" s="25" t="s">
        <v>1321</v>
      </c>
      <c r="C766" s="25" t="s">
        <v>1326</v>
      </c>
      <c r="D766" s="26" t="n">
        <v>3.68562662524011</v>
      </c>
      <c r="E766" s="26" t="n">
        <v>1.40000382090742</v>
      </c>
      <c r="F766" s="26" t="n">
        <v>-4.29000191045371</v>
      </c>
      <c r="G766" s="26" t="n">
        <v>-4.29000191045371</v>
      </c>
      <c r="H766" s="26" t="n">
        <v>-2.38999808954629</v>
      </c>
      <c r="I766" s="26" t="n">
        <v>-2.38999808954629</v>
      </c>
      <c r="J766" s="26" t="n">
        <v>26.78</v>
      </c>
      <c r="K766" s="27" t="n">
        <f aca="false">MIN(F766,G766)</f>
        <v>-4.29000191045371</v>
      </c>
      <c r="L766" s="27" t="n">
        <f aca="false">AVERAGE(F766,G766)</f>
        <v>-4.29000191045371</v>
      </c>
      <c r="M766" s="27" t="n">
        <f aca="false">MAX(0,NG-L766)</f>
        <v>3.59000191045371</v>
      </c>
      <c r="N766" s="27" t="n">
        <f aca="false">MAX(0,GWL-K766)</f>
        <v>2.79000191045371</v>
      </c>
      <c r="O766" s="27" t="n">
        <f aca="false">MAX(0,NG-MAX(K766,GWL))</f>
        <v>0.8</v>
      </c>
      <c r="P766" s="27" t="n">
        <f aca="false">E766/2+WS+SLOPE_A*O766+SLOPE_B*N766</f>
        <v>8.48000573136113</v>
      </c>
      <c r="Q766" s="28" t="str">
        <f aca="false">IF(AND(P766&lt;J766,N766&lt;=MAXOC),"Open cut","Shoring")</f>
        <v>Shoring</v>
      </c>
      <c r="R766" s="27" t="n">
        <f aca="false">IF(Q766="Shoring",D766,0)</f>
        <v>3.68562662524011</v>
      </c>
      <c r="S766" s="27" t="n">
        <f aca="false">MAX(0,GWL-L766)</f>
        <v>2.79000191045371</v>
      </c>
      <c r="T766" s="27" t="n">
        <f aca="false">MAX(0,NG-MAX(L766,GWL))</f>
        <v>0.8</v>
      </c>
      <c r="U766" s="27" t="n">
        <f aca="false">E766+2*WS</f>
        <v>3.40000382090742</v>
      </c>
      <c r="V766" s="27" t="n">
        <f aca="false">IF(Q766="Shoring",D766*M766*U766,0)</f>
        <v>44.9868330838054</v>
      </c>
      <c r="W766" s="27" t="n">
        <f aca="false">IF(Q766="Open cut",D766*(U766*M766+SLOPE_B*S766^2+2*SLOPE_B*S766*T766+SLOPE_A*T766^2),0)</f>
        <v>0</v>
      </c>
      <c r="X766" s="27" t="n">
        <f aca="false">IF(M766&gt;0,D766*(E766+2*SLABOVH)*SLAB,0)</f>
        <v>4.4227589915072</v>
      </c>
      <c r="Y766" s="27" t="n">
        <f aca="false">IF(M766&gt;0,D766*PI()*E766^2/4,0)</f>
        <v>5.67361235850852</v>
      </c>
      <c r="Z766" s="27" t="n">
        <f aca="false">IF(H766-E766&gt;=GWL,99,E766*(MAX(0,GWL-H766)*(GAM_S-GAM_W)+MAX(0,NG-MAX(H766,GWL))*GAM_D)/(GAM_W*PI()*E766^2/4))</f>
        <v>2.01072699283098</v>
      </c>
      <c r="AA766" s="27" t="n">
        <f aca="false">IF(I766-E766&gt;=GWL,99,E766*(MAX(0,GWL-I766)*(GAM_S-GAM_W)+MAX(0,NG-MAX(I766,GWL))*GAM_D)/(GAM_W*PI()*E766^2/4))</f>
        <v>2.01072699283098</v>
      </c>
      <c r="AB766" s="27" t="n">
        <f aca="false">IF(H766-E766&gt;=GWL,99,E766*(MAX(0,GWL-H766)*(GAM_S-GAM_W)+MAX(0,FL-MAX(H766,GWL))*GAM_D)/(GAM_W*PI()*E766^2/4))</f>
        <v>4.84755703038063</v>
      </c>
      <c r="AC766" s="27" t="n">
        <f aca="false">IF(I766-E766&gt;=GWL,99,E766*(MAX(0,GWL-I766)*(GAM_S-GAM_W)+MAX(0,FL-MAX(I766,GWL))*GAM_D)/(GAM_W*PI()*E766^2/4))</f>
        <v>4.84755703038063</v>
      </c>
    </row>
    <row r="767" customFormat="false" ht="15" hidden="false" customHeight="false" outlineLevel="0" collapsed="false">
      <c r="A767" s="25" t="s">
        <v>1293</v>
      </c>
      <c r="B767" s="25" t="s">
        <v>1321</v>
      </c>
      <c r="C767" s="25" t="s">
        <v>1327</v>
      </c>
      <c r="D767" s="26" t="n">
        <v>0.20500484717383</v>
      </c>
      <c r="E767" s="26" t="n">
        <v>1.42000748138612</v>
      </c>
      <c r="F767" s="26" t="n">
        <v>-4.30000374069306</v>
      </c>
      <c r="G767" s="26" t="n">
        <v>-4.30000374069306</v>
      </c>
      <c r="H767" s="26" t="n">
        <v>-2.37999625930694</v>
      </c>
      <c r="I767" s="26" t="n">
        <v>-2.37999625930694</v>
      </c>
      <c r="J767" s="26" t="n">
        <v>26.81</v>
      </c>
      <c r="K767" s="27" t="n">
        <f aca="false">MIN(F767,G767)</f>
        <v>-4.30000374069306</v>
      </c>
      <c r="L767" s="27" t="n">
        <f aca="false">AVERAGE(F767,G767)</f>
        <v>-4.30000374069306</v>
      </c>
      <c r="M767" s="27" t="n">
        <f aca="false">MAX(0,NG-L767)</f>
        <v>3.60000374069306</v>
      </c>
      <c r="N767" s="27" t="n">
        <f aca="false">MAX(0,GWL-K767)</f>
        <v>2.80000374069306</v>
      </c>
      <c r="O767" s="27" t="n">
        <f aca="false">MAX(0,NG-MAX(K767,GWL))</f>
        <v>0.8</v>
      </c>
      <c r="P767" s="27" t="n">
        <f aca="false">E767/2+WS+SLOPE_A*O767+SLOPE_B*N767</f>
        <v>8.51001122207917</v>
      </c>
      <c r="Q767" s="28" t="str">
        <f aca="false">IF(AND(P767&lt;J767,N767&lt;=MAXOC),"Open cut","Shoring")</f>
        <v>Shoring</v>
      </c>
      <c r="R767" s="27" t="n">
        <f aca="false">IF(Q767="Shoring",D767,0)</f>
        <v>0.20500484717383</v>
      </c>
      <c r="S767" s="27" t="n">
        <f aca="false">MAX(0,GWL-L767)</f>
        <v>2.80000374069306</v>
      </c>
      <c r="T767" s="27" t="n">
        <f aca="false">MAX(0,NG-MAX(L767,GWL))</f>
        <v>0.8</v>
      </c>
      <c r="U767" s="27" t="n">
        <f aca="false">E767+2*WS</f>
        <v>3.42000748138612</v>
      </c>
      <c r="V767" s="27" t="n">
        <f aca="false">IF(Q767="Shoring",D767*M767*U767,0)</f>
        <v>2.52402782246534</v>
      </c>
      <c r="W767" s="27" t="n">
        <f aca="false">IF(Q767="Open cut",D767*(U767*M767+SLOPE_B*S767^2+2*SLOPE_B*S767*T767+SLOPE_A*T767^2),0)</f>
        <v>0</v>
      </c>
      <c r="X767" s="27" t="n">
        <f aca="false">IF(M767&gt;0,D767*(E767+2*SLABOVH)*SLAB,0)</f>
        <v>0.248056631940543</v>
      </c>
      <c r="Y767" s="27" t="n">
        <f aca="false">IF(M767&gt;0,D767*PI()*E767^2/4,0)</f>
        <v>0.324664852994927</v>
      </c>
      <c r="Z767" s="27" t="n">
        <f aca="false">IF(H767-E767&gt;=GWL,99,E767*(MAX(0,GWL-H767)*(GAM_S-GAM_W)+MAX(0,NG-MAX(H767,GWL))*GAM_D)/(GAM_W*PI()*E767^2/4))</f>
        <v>1.97491475642517</v>
      </c>
      <c r="AA767" s="27" t="n">
        <f aca="false">IF(I767-E767&gt;=GWL,99,E767*(MAX(0,GWL-I767)*(GAM_S-GAM_W)+MAX(0,NG-MAX(I767,GWL))*GAM_D)/(GAM_W*PI()*E767^2/4))</f>
        <v>1.97491475642517</v>
      </c>
      <c r="AB767" s="27" t="n">
        <f aca="false">IF(H767-E767&gt;=GWL,99,E767*(MAX(0,GWL-H767)*(GAM_S-GAM_W)+MAX(0,FL-MAX(H767,GWL))*GAM_D)/(GAM_W*PI()*E767^2/4))</f>
        <v>4.77178233909288</v>
      </c>
      <c r="AC767" s="27" t="n">
        <f aca="false">IF(I767-E767&gt;=GWL,99,E767*(MAX(0,GWL-I767)*(GAM_S-GAM_W)+MAX(0,FL-MAX(I767,GWL))*GAM_D)/(GAM_W*PI()*E767^2/4))</f>
        <v>4.77178233909288</v>
      </c>
    </row>
    <row r="768" customFormat="false" ht="15" hidden="false" customHeight="false" outlineLevel="0" collapsed="false">
      <c r="A768" s="25" t="s">
        <v>1293</v>
      </c>
      <c r="B768" s="25" t="s">
        <v>1328</v>
      </c>
      <c r="C768" s="25" t="s">
        <v>1329</v>
      </c>
      <c r="D768" s="26" t="n">
        <v>5.99999999951064</v>
      </c>
      <c r="E768" s="26" t="n">
        <v>0.999991563249202</v>
      </c>
      <c r="F768" s="26" t="n">
        <v>-4.0899957816246</v>
      </c>
      <c r="G768" s="26" t="n">
        <v>-4.0899957816246</v>
      </c>
      <c r="H768" s="26" t="n">
        <v>-2.5900042183754</v>
      </c>
      <c r="I768" s="26" t="n">
        <v>-2.5900042183754</v>
      </c>
      <c r="J768" s="26" t="n">
        <v>99</v>
      </c>
      <c r="K768" s="27" t="n">
        <f aca="false">MIN(F768,G768)</f>
        <v>-4.0899957816246</v>
      </c>
      <c r="L768" s="27" t="n">
        <f aca="false">AVERAGE(F768,G768)</f>
        <v>-4.0899957816246</v>
      </c>
      <c r="M768" s="27" t="n">
        <f aca="false">MAX(0,NG-L768)</f>
        <v>3.3899957816246</v>
      </c>
      <c r="N768" s="27" t="n">
        <f aca="false">MAX(0,GWL-K768)</f>
        <v>2.5899957816246</v>
      </c>
      <c r="O768" s="27" t="n">
        <f aca="false">MAX(0,NG-MAX(K768,GWL))</f>
        <v>0.8</v>
      </c>
      <c r="P768" s="27" t="n">
        <f aca="false">E768/2+WS+SLOPE_A*O768+SLOPE_B*N768</f>
        <v>7.8799873448738</v>
      </c>
      <c r="Q768" s="28" t="str">
        <f aca="false">IF(AND(P768&lt;J768,N768&lt;=MAXOC),"Open cut","Shoring")</f>
        <v>Shoring</v>
      </c>
      <c r="R768" s="27" t="n">
        <f aca="false">IF(Q768="Shoring",D768,0)</f>
        <v>5.99999999951064</v>
      </c>
      <c r="S768" s="27" t="n">
        <f aca="false">MAX(0,GWL-L768)</f>
        <v>2.5899957816246</v>
      </c>
      <c r="T768" s="27" t="n">
        <f aca="false">MAX(0,NG-MAX(L768,GWL))</f>
        <v>0.8</v>
      </c>
      <c r="U768" s="27" t="n">
        <f aca="false">E768+2*WS</f>
        <v>2.9999915632492</v>
      </c>
      <c r="V768" s="27" t="n">
        <f aca="false">IF(Q768="Shoring",D768*M768*U768,0)</f>
        <v>61.0197524609683</v>
      </c>
      <c r="W768" s="27" t="n">
        <f aca="false">IF(Q768="Open cut",D768*(U768*M768+SLOPE_B*S768^2+2*SLOPE_B*S768*T768+SLOPE_A*T768^2),0)</f>
        <v>0</v>
      </c>
      <c r="X768" s="27" t="n">
        <f aca="false">IF(M768&gt;0,D768*(E768+2*SLABOVH)*SLAB,0)</f>
        <v>5.99997468925825</v>
      </c>
      <c r="Y768" s="27" t="n">
        <f aca="false">IF(M768&gt;0,D768*PI()*E768^2/4,0)</f>
        <v>4.71230946583279</v>
      </c>
      <c r="Z768" s="27" t="n">
        <f aca="false">IF(H768-E768&gt;=GWL,99,E768*(MAX(0,GWL-H768)*(GAM_S-GAM_W)+MAX(0,NG-MAX(H768,GWL))*GAM_D)/(GAM_W*PI()*E768^2/4))</f>
        <v>3.0276534918252</v>
      </c>
      <c r="AA768" s="27" t="n">
        <f aca="false">IF(I768-E768&gt;=GWL,99,E768*(MAX(0,GWL-I768)*(GAM_S-GAM_W)+MAX(0,NG-MAX(I768,GWL))*GAM_D)/(GAM_W*PI()*E768^2/4))</f>
        <v>3.0276534918252</v>
      </c>
      <c r="AB768" s="27" t="n">
        <f aca="false">IF(H768-E768&gt;=GWL,99,E768*(MAX(0,GWL-H768)*(GAM_S-GAM_W)+MAX(0,FL-MAX(H768,GWL))*GAM_D)/(GAM_W*PI()*E768^2/4))</f>
        <v>6.99925989111311</v>
      </c>
      <c r="AC768" s="27" t="n">
        <f aca="false">IF(I768-E768&gt;=GWL,99,E768*(MAX(0,GWL-I768)*(GAM_S-GAM_W)+MAX(0,FL-MAX(I768,GWL))*GAM_D)/(GAM_W*PI()*E768^2/4))</f>
        <v>6.99925989111311</v>
      </c>
    </row>
    <row r="769" customFormat="false" ht="15" hidden="false" customHeight="false" outlineLevel="0" collapsed="false">
      <c r="A769" s="25" t="s">
        <v>1293</v>
      </c>
      <c r="B769" s="25" t="s">
        <v>1330</v>
      </c>
      <c r="C769" s="25" t="s">
        <v>1331</v>
      </c>
      <c r="D769" s="26" t="n">
        <v>4.00000000071719</v>
      </c>
      <c r="E769" s="26" t="n">
        <v>0.999991563249202</v>
      </c>
      <c r="F769" s="26" t="n">
        <v>-4.0899957816246</v>
      </c>
      <c r="G769" s="26" t="n">
        <v>-4.0899957816246</v>
      </c>
      <c r="H769" s="26" t="n">
        <v>-2.5900042183754</v>
      </c>
      <c r="I769" s="26" t="n">
        <v>-2.5900042183754</v>
      </c>
      <c r="J769" s="26" t="n">
        <v>99</v>
      </c>
      <c r="K769" s="27" t="n">
        <f aca="false">MIN(F769,G769)</f>
        <v>-4.0899957816246</v>
      </c>
      <c r="L769" s="27" t="n">
        <f aca="false">AVERAGE(F769,G769)</f>
        <v>-4.0899957816246</v>
      </c>
      <c r="M769" s="27" t="n">
        <f aca="false">MAX(0,NG-L769)</f>
        <v>3.3899957816246</v>
      </c>
      <c r="N769" s="27" t="n">
        <f aca="false">MAX(0,GWL-K769)</f>
        <v>2.5899957816246</v>
      </c>
      <c r="O769" s="27" t="n">
        <f aca="false">MAX(0,NG-MAX(K769,GWL))</f>
        <v>0.8</v>
      </c>
      <c r="P769" s="27" t="n">
        <f aca="false">E769/2+WS+SLOPE_A*O769+SLOPE_B*N769</f>
        <v>7.8799873448738</v>
      </c>
      <c r="Q769" s="28" t="str">
        <f aca="false">IF(AND(P769&lt;J769,N769&lt;=MAXOC),"Open cut","Shoring")</f>
        <v>Shoring</v>
      </c>
      <c r="R769" s="27" t="n">
        <f aca="false">IF(Q769="Shoring",D769,0)</f>
        <v>4.00000000071719</v>
      </c>
      <c r="S769" s="27" t="n">
        <f aca="false">MAX(0,GWL-L769)</f>
        <v>2.5899957816246</v>
      </c>
      <c r="T769" s="27" t="n">
        <f aca="false">MAX(0,NG-MAX(L769,GWL))</f>
        <v>0.8</v>
      </c>
      <c r="U769" s="27" t="n">
        <f aca="false">E769+2*WS</f>
        <v>2.9999915632492</v>
      </c>
      <c r="V769" s="27" t="n">
        <f aca="false">IF(Q769="Shoring",D769*M769*U769,0)</f>
        <v>40.6798349845905</v>
      </c>
      <c r="W769" s="27" t="n">
        <f aca="false">IF(Q769="Open cut",D769*(U769*M769+SLOPE_B*S769^2+2*SLOPE_B*S769*T769+SLOPE_A*T769^2),0)</f>
        <v>0</v>
      </c>
      <c r="X769" s="27" t="n">
        <f aca="false">IF(M769&gt;0,D769*(E769+2*SLABOVH)*SLAB,0)</f>
        <v>3.99998312721559</v>
      </c>
      <c r="Y769" s="27" t="n">
        <f aca="false">IF(M769&gt;0,D769*PI()*E769^2/4,0)</f>
        <v>3.14153964470802</v>
      </c>
      <c r="Z769" s="27" t="n">
        <f aca="false">IF(H769-E769&gt;=GWL,99,E769*(MAX(0,GWL-H769)*(GAM_S-GAM_W)+MAX(0,NG-MAX(H769,GWL))*GAM_D)/(GAM_W*PI()*E769^2/4))</f>
        <v>3.0276534918252</v>
      </c>
      <c r="AA769" s="27" t="n">
        <f aca="false">IF(I769-E769&gt;=GWL,99,E769*(MAX(0,GWL-I769)*(GAM_S-GAM_W)+MAX(0,NG-MAX(I769,GWL))*GAM_D)/(GAM_W*PI()*E769^2/4))</f>
        <v>3.0276534918252</v>
      </c>
      <c r="AB769" s="27" t="n">
        <f aca="false">IF(H769-E769&gt;=GWL,99,E769*(MAX(0,GWL-H769)*(GAM_S-GAM_W)+MAX(0,FL-MAX(H769,GWL))*GAM_D)/(GAM_W*PI()*E769^2/4))</f>
        <v>6.99925989111311</v>
      </c>
      <c r="AC769" s="27" t="n">
        <f aca="false">IF(I769-E769&gt;=GWL,99,E769*(MAX(0,GWL-I769)*(GAM_S-GAM_W)+MAX(0,FL-MAX(I769,GWL))*GAM_D)/(GAM_W*PI()*E769^2/4))</f>
        <v>6.99925989111311</v>
      </c>
    </row>
    <row r="770" customFormat="false" ht="15" hidden="false" customHeight="false" outlineLevel="0" collapsed="false">
      <c r="A770" s="25" t="s">
        <v>1293</v>
      </c>
      <c r="B770" s="25" t="s">
        <v>1330</v>
      </c>
      <c r="C770" s="25" t="s">
        <v>1332</v>
      </c>
      <c r="D770" s="26" t="n">
        <v>10.0000000002879</v>
      </c>
      <c r="E770" s="26" t="n">
        <v>0.999991563249202</v>
      </c>
      <c r="F770" s="26" t="n">
        <v>-4.0899957816246</v>
      </c>
      <c r="G770" s="26" t="n">
        <v>-4.0899957816246</v>
      </c>
      <c r="H770" s="26" t="n">
        <v>-2.5900042183754</v>
      </c>
      <c r="I770" s="26" t="n">
        <v>-2.5900042183754</v>
      </c>
      <c r="J770" s="26" t="n">
        <v>18.71</v>
      </c>
      <c r="K770" s="27" t="n">
        <f aca="false">MIN(F770,G770)</f>
        <v>-4.0899957816246</v>
      </c>
      <c r="L770" s="27" t="n">
        <f aca="false">AVERAGE(F770,G770)</f>
        <v>-4.0899957816246</v>
      </c>
      <c r="M770" s="27" t="n">
        <f aca="false">MAX(0,NG-L770)</f>
        <v>3.3899957816246</v>
      </c>
      <c r="N770" s="27" t="n">
        <f aca="false">MAX(0,GWL-K770)</f>
        <v>2.5899957816246</v>
      </c>
      <c r="O770" s="27" t="n">
        <f aca="false">MAX(0,NG-MAX(K770,GWL))</f>
        <v>0.8</v>
      </c>
      <c r="P770" s="27" t="n">
        <f aca="false">E770/2+WS+SLOPE_A*O770+SLOPE_B*N770</f>
        <v>7.8799873448738</v>
      </c>
      <c r="Q770" s="28" t="str">
        <f aca="false">IF(AND(P770&lt;J770,N770&lt;=MAXOC),"Open cut","Shoring")</f>
        <v>Shoring</v>
      </c>
      <c r="R770" s="27" t="n">
        <f aca="false">IF(Q770="Shoring",D770,0)</f>
        <v>10.0000000002879</v>
      </c>
      <c r="S770" s="27" t="n">
        <f aca="false">MAX(0,GWL-L770)</f>
        <v>2.5899957816246</v>
      </c>
      <c r="T770" s="27" t="n">
        <f aca="false">MAX(0,NG-MAX(L770,GWL))</f>
        <v>0.8</v>
      </c>
      <c r="U770" s="27" t="n">
        <f aca="false">E770+2*WS</f>
        <v>2.9999915632492</v>
      </c>
      <c r="V770" s="27" t="n">
        <f aca="false">IF(Q770="Shoring",D770*M770*U770,0)</f>
        <v>101.69958744617</v>
      </c>
      <c r="W770" s="27" t="n">
        <f aca="false">IF(Q770="Open cut",D770*(U770*M770+SLOPE_B*S770^2+2*SLOPE_B*S770*T770+SLOPE_A*T770^2),0)</f>
        <v>0</v>
      </c>
      <c r="X770" s="27" t="n">
        <f aca="false">IF(M770&gt;0,D770*(E770+2*SLABOVH)*SLAB,0)</f>
        <v>9.99995781653394</v>
      </c>
      <c r="Y770" s="27" t="n">
        <f aca="false">IF(M770&gt;0,D770*PI()*E770^2/4,0)</f>
        <v>7.85384911058801</v>
      </c>
      <c r="Z770" s="27" t="n">
        <f aca="false">IF(H770-E770&gt;=GWL,99,E770*(MAX(0,GWL-H770)*(GAM_S-GAM_W)+MAX(0,NG-MAX(H770,GWL))*GAM_D)/(GAM_W*PI()*E770^2/4))</f>
        <v>3.0276534918252</v>
      </c>
      <c r="AA770" s="27" t="n">
        <f aca="false">IF(I770-E770&gt;=GWL,99,E770*(MAX(0,GWL-I770)*(GAM_S-GAM_W)+MAX(0,NG-MAX(I770,GWL))*GAM_D)/(GAM_W*PI()*E770^2/4))</f>
        <v>3.0276534918252</v>
      </c>
      <c r="AB770" s="27" t="n">
        <f aca="false">IF(H770-E770&gt;=GWL,99,E770*(MAX(0,GWL-H770)*(GAM_S-GAM_W)+MAX(0,FL-MAX(H770,GWL))*GAM_D)/(GAM_W*PI()*E770^2/4))</f>
        <v>6.99925989111311</v>
      </c>
      <c r="AC770" s="27" t="n">
        <f aca="false">IF(I770-E770&gt;=GWL,99,E770*(MAX(0,GWL-I770)*(GAM_S-GAM_W)+MAX(0,FL-MAX(I770,GWL))*GAM_D)/(GAM_W*PI()*E770^2/4))</f>
        <v>6.99925989111311</v>
      </c>
    </row>
    <row r="771" customFormat="false" ht="15" hidden="false" customHeight="false" outlineLevel="0" collapsed="false">
      <c r="A771" s="25" t="s">
        <v>1293</v>
      </c>
      <c r="B771" s="25" t="s">
        <v>1330</v>
      </c>
      <c r="C771" s="25" t="s">
        <v>1333</v>
      </c>
      <c r="D771" s="26" t="n">
        <v>2.95340746144052</v>
      </c>
      <c r="E771" s="26" t="n">
        <v>0.999991563249202</v>
      </c>
      <c r="F771" s="26" t="n">
        <v>-4.0899957816246</v>
      </c>
      <c r="G771" s="26" t="n">
        <v>-4.0899957816246</v>
      </c>
      <c r="H771" s="26" t="n">
        <v>-2.5900042183754</v>
      </c>
      <c r="I771" s="26" t="n">
        <v>-2.5900042183754</v>
      </c>
      <c r="J771" s="26" t="n">
        <v>0</v>
      </c>
      <c r="K771" s="27" t="n">
        <f aca="false">MIN(F771,G771)</f>
        <v>-4.0899957816246</v>
      </c>
      <c r="L771" s="27" t="n">
        <f aca="false">AVERAGE(F771,G771)</f>
        <v>-4.0899957816246</v>
      </c>
      <c r="M771" s="27" t="n">
        <f aca="false">MAX(0,NG-L771)</f>
        <v>3.3899957816246</v>
      </c>
      <c r="N771" s="27" t="n">
        <f aca="false">MAX(0,GWL-K771)</f>
        <v>2.5899957816246</v>
      </c>
      <c r="O771" s="27" t="n">
        <f aca="false">MAX(0,NG-MAX(K771,GWL))</f>
        <v>0.8</v>
      </c>
      <c r="P771" s="27" t="n">
        <f aca="false">E771/2+WS+SLOPE_A*O771+SLOPE_B*N771</f>
        <v>7.8799873448738</v>
      </c>
      <c r="Q771" s="28" t="str">
        <f aca="false">IF(AND(P771&lt;J771,N771&lt;=MAXOC),"Open cut","Shoring")</f>
        <v>Shoring</v>
      </c>
      <c r="R771" s="27" t="n">
        <f aca="false">IF(Q771="Shoring",D771,0)</f>
        <v>2.95340746144052</v>
      </c>
      <c r="S771" s="27" t="n">
        <f aca="false">MAX(0,GWL-L771)</f>
        <v>2.5899957816246</v>
      </c>
      <c r="T771" s="27" t="n">
        <f aca="false">MAX(0,NG-MAX(L771,GWL))</f>
        <v>0.8</v>
      </c>
      <c r="U771" s="27" t="n">
        <f aca="false">E771+2*WS</f>
        <v>2.9999915632492</v>
      </c>
      <c r="V771" s="27" t="n">
        <f aca="false">IF(Q771="Shoring",D771*M771*U771,0)</f>
        <v>30.0360320380293</v>
      </c>
      <c r="W771" s="27" t="n">
        <f aca="false">IF(Q771="Open cut",D771*(U771*M771+SLOPE_B*S771^2+2*SLOPE_B*S771*T771+SLOPE_A*T771^2),0)</f>
        <v>0</v>
      </c>
      <c r="X771" s="27" t="n">
        <f aca="false">IF(M771&gt;0,D771*(E771+2*SLABOVH)*SLAB,0)</f>
        <v>2.95339500285914</v>
      </c>
      <c r="Y771" s="27" t="n">
        <f aca="false">IF(M771&gt;0,D771*PI()*E771^2/4,0)</f>
        <v>2.31956165635708</v>
      </c>
      <c r="Z771" s="27" t="n">
        <f aca="false">IF(H771-E771&gt;=GWL,99,E771*(MAX(0,GWL-H771)*(GAM_S-GAM_W)+MAX(0,NG-MAX(H771,GWL))*GAM_D)/(GAM_W*PI()*E771^2/4))</f>
        <v>3.0276534918252</v>
      </c>
      <c r="AA771" s="27" t="n">
        <f aca="false">IF(I771-E771&gt;=GWL,99,E771*(MAX(0,GWL-I771)*(GAM_S-GAM_W)+MAX(0,NG-MAX(I771,GWL))*GAM_D)/(GAM_W*PI()*E771^2/4))</f>
        <v>3.0276534918252</v>
      </c>
      <c r="AB771" s="27" t="n">
        <f aca="false">IF(H771-E771&gt;=GWL,99,E771*(MAX(0,GWL-H771)*(GAM_S-GAM_W)+MAX(0,FL-MAX(H771,GWL))*GAM_D)/(GAM_W*PI()*E771^2/4))</f>
        <v>6.99925989111311</v>
      </c>
      <c r="AC771" s="27" t="n">
        <f aca="false">IF(I771-E771&gt;=GWL,99,E771*(MAX(0,GWL-I771)*(GAM_S-GAM_W)+MAX(0,FL-MAX(I771,GWL))*GAM_D)/(GAM_W*PI()*E771^2/4))</f>
        <v>6.99925989111311</v>
      </c>
    </row>
    <row r="772" customFormat="false" ht="15" hidden="false" customHeight="false" outlineLevel="0" collapsed="false">
      <c r="A772" s="25" t="s">
        <v>1293</v>
      </c>
      <c r="B772" s="25" t="s">
        <v>1330</v>
      </c>
      <c r="C772" s="25" t="s">
        <v>1334</v>
      </c>
      <c r="D772" s="26" t="n">
        <v>7.04659253810244</v>
      </c>
      <c r="E772" s="26" t="n">
        <v>1.00000724332801</v>
      </c>
      <c r="F772" s="26" t="n">
        <v>-4.09000362166401</v>
      </c>
      <c r="G772" s="26" t="n">
        <v>-4.09000362166401</v>
      </c>
      <c r="H772" s="26" t="n">
        <v>-2.58999637833599</v>
      </c>
      <c r="I772" s="26" t="n">
        <v>-2.58999637833599</v>
      </c>
      <c r="J772" s="26" t="n">
        <v>0</v>
      </c>
      <c r="K772" s="27" t="n">
        <f aca="false">MIN(F772,G772)</f>
        <v>-4.09000362166401</v>
      </c>
      <c r="L772" s="27" t="n">
        <f aca="false">AVERAGE(F772,G772)</f>
        <v>-4.09000362166401</v>
      </c>
      <c r="M772" s="27" t="n">
        <f aca="false">MAX(0,NG-L772)</f>
        <v>3.39000362166401</v>
      </c>
      <c r="N772" s="27" t="n">
        <f aca="false">MAX(0,GWL-K772)</f>
        <v>2.59000362166401</v>
      </c>
      <c r="O772" s="27" t="n">
        <f aca="false">MAX(0,NG-MAX(K772,GWL))</f>
        <v>0.8</v>
      </c>
      <c r="P772" s="27" t="n">
        <f aca="false">E772/2+WS+SLOPE_A*O772+SLOPE_B*N772</f>
        <v>7.88001086499202</v>
      </c>
      <c r="Q772" s="28" t="str">
        <f aca="false">IF(AND(P772&lt;J772,N772&lt;=MAXOC),"Open cut","Shoring")</f>
        <v>Shoring</v>
      </c>
      <c r="R772" s="27" t="n">
        <f aca="false">IF(Q772="Shoring",D772,0)</f>
        <v>7.04659253810244</v>
      </c>
      <c r="S772" s="27" t="n">
        <f aca="false">MAX(0,GWL-L772)</f>
        <v>2.59000362166401</v>
      </c>
      <c r="T772" s="27" t="n">
        <f aca="false">MAX(0,NG-MAX(L772,GWL))</f>
        <v>0.8</v>
      </c>
      <c r="U772" s="27" t="n">
        <f aca="false">E772+2*WS</f>
        <v>3.00000724332801</v>
      </c>
      <c r="V772" s="27" t="n">
        <f aca="false">IF(Q772="Shoring",D772*M772*U772,0)</f>
        <v>71.6640957021064</v>
      </c>
      <c r="W772" s="27" t="n">
        <f aca="false">IF(Q772="Open cut",D772*(U772*M772+SLOPE_B*S772^2+2*SLOPE_B*S772*T772+SLOPE_A*T772^2),0)</f>
        <v>0</v>
      </c>
      <c r="X772" s="27" t="n">
        <f aca="false">IF(M772&gt;0,D772*(E772+2*SLABOVH)*SLAB,0)</f>
        <v>7.04661805849301</v>
      </c>
      <c r="Y772" s="27" t="n">
        <f aca="false">IF(M772&gt;0,D772*PI()*E772^2/4,0)</f>
        <v>5.5344610125977</v>
      </c>
      <c r="Z772" s="27" t="n">
        <f aca="false">IF(H772-E772&gt;=GWL,99,E772*(MAX(0,GWL-H772)*(GAM_S-GAM_W)+MAX(0,NG-MAX(H772,GWL))*GAM_D)/(GAM_W*PI()*E772^2/4))</f>
        <v>3.02759768458051</v>
      </c>
      <c r="AA772" s="27" t="n">
        <f aca="false">IF(I772-E772&gt;=GWL,99,E772*(MAX(0,GWL-I772)*(GAM_S-GAM_W)+MAX(0,NG-MAX(I772,GWL))*GAM_D)/(GAM_W*PI()*E772^2/4))</f>
        <v>3.02759768458051</v>
      </c>
      <c r="AB772" s="27" t="n">
        <f aca="false">IF(H772-E772&gt;=GWL,99,E772*(MAX(0,GWL-H772)*(GAM_S-GAM_W)+MAX(0,FL-MAX(H772,GWL))*GAM_D)/(GAM_W*PI()*E772^2/4))</f>
        <v>6.99914180921815</v>
      </c>
      <c r="AC772" s="27" t="n">
        <f aca="false">IF(I772-E772&gt;=GWL,99,E772*(MAX(0,GWL-I772)*(GAM_S-GAM_W)+MAX(0,FL-MAX(I772,GWL))*GAM_D)/(GAM_W*PI()*E772^2/4))</f>
        <v>6.99914180921815</v>
      </c>
    </row>
    <row r="773" customFormat="false" ht="15" hidden="false" customHeight="false" outlineLevel="0" collapsed="false">
      <c r="A773" s="25" t="s">
        <v>1293</v>
      </c>
      <c r="B773" s="25" t="s">
        <v>1330</v>
      </c>
      <c r="C773" s="25" t="s">
        <v>1335</v>
      </c>
      <c r="D773" s="26" t="n">
        <v>9.27286746127906</v>
      </c>
      <c r="E773" s="26" t="n">
        <v>1.00000724332801</v>
      </c>
      <c r="F773" s="26" t="n">
        <v>-4.09000362166401</v>
      </c>
      <c r="G773" s="26" t="n">
        <v>-4.09000362166401</v>
      </c>
      <c r="H773" s="26" t="n">
        <v>-2.58999637833599</v>
      </c>
      <c r="I773" s="26" t="n">
        <v>-2.58999637833599</v>
      </c>
      <c r="J773" s="26" t="n">
        <v>1.11</v>
      </c>
      <c r="K773" s="27" t="n">
        <f aca="false">MIN(F773,G773)</f>
        <v>-4.09000362166401</v>
      </c>
      <c r="L773" s="27" t="n">
        <f aca="false">AVERAGE(F773,G773)</f>
        <v>-4.09000362166401</v>
      </c>
      <c r="M773" s="27" t="n">
        <f aca="false">MAX(0,NG-L773)</f>
        <v>3.39000362166401</v>
      </c>
      <c r="N773" s="27" t="n">
        <f aca="false">MAX(0,GWL-K773)</f>
        <v>2.59000362166401</v>
      </c>
      <c r="O773" s="27" t="n">
        <f aca="false">MAX(0,NG-MAX(K773,GWL))</f>
        <v>0.8</v>
      </c>
      <c r="P773" s="27" t="n">
        <f aca="false">E773/2+WS+SLOPE_A*O773+SLOPE_B*N773</f>
        <v>7.88001086499202</v>
      </c>
      <c r="Q773" s="28" t="str">
        <f aca="false">IF(AND(P773&lt;J773,N773&lt;=MAXOC),"Open cut","Shoring")</f>
        <v>Shoring</v>
      </c>
      <c r="R773" s="27" t="n">
        <f aca="false">IF(Q773="Shoring",D773,0)</f>
        <v>9.27286746127906</v>
      </c>
      <c r="S773" s="27" t="n">
        <f aca="false">MAX(0,GWL-L773)</f>
        <v>2.59000362166401</v>
      </c>
      <c r="T773" s="27" t="n">
        <f aca="false">MAX(0,NG-MAX(L773,GWL))</f>
        <v>0.8</v>
      </c>
      <c r="U773" s="27" t="n">
        <f aca="false">E773+2*WS</f>
        <v>3.00000724332801</v>
      </c>
      <c r="V773" s="27" t="n">
        <f aca="false">IF(Q773="Shoring",D773*M773*U773,0)</f>
        <v>94.3053905252483</v>
      </c>
      <c r="W773" s="27" t="n">
        <f aca="false">IF(Q773="Open cut",D773*(U773*M773+SLOPE_B*S773^2+2*SLOPE_B*S773*T773+SLOPE_A*T773^2),0)</f>
        <v>0</v>
      </c>
      <c r="X773" s="27" t="n">
        <f aca="false">IF(M773&gt;0,D773*(E773+2*SLABOVH)*SLAB,0)</f>
        <v>9.27290104448938</v>
      </c>
      <c r="Y773" s="27" t="n">
        <f aca="false">IF(M773&gt;0,D773*PI()*E773^2/4,0)</f>
        <v>7.28299857866547</v>
      </c>
      <c r="Z773" s="27" t="n">
        <f aca="false">IF(H773-E773&gt;=GWL,99,E773*(MAX(0,GWL-H773)*(GAM_S-GAM_W)+MAX(0,NG-MAX(H773,GWL))*GAM_D)/(GAM_W*PI()*E773^2/4))</f>
        <v>3.02759768458051</v>
      </c>
      <c r="AA773" s="27" t="n">
        <f aca="false">IF(I773-E773&gt;=GWL,99,E773*(MAX(0,GWL-I773)*(GAM_S-GAM_W)+MAX(0,NG-MAX(I773,GWL))*GAM_D)/(GAM_W*PI()*E773^2/4))</f>
        <v>3.02759768458051</v>
      </c>
      <c r="AB773" s="27" t="n">
        <f aca="false">IF(H773-E773&gt;=GWL,99,E773*(MAX(0,GWL-H773)*(GAM_S-GAM_W)+MAX(0,FL-MAX(H773,GWL))*GAM_D)/(GAM_W*PI()*E773^2/4))</f>
        <v>6.99914180921815</v>
      </c>
      <c r="AC773" s="27" t="n">
        <f aca="false">IF(I773-E773&gt;=GWL,99,E773*(MAX(0,GWL-I773)*(GAM_S-GAM_W)+MAX(0,FL-MAX(I773,GWL))*GAM_D)/(GAM_W*PI()*E773^2/4))</f>
        <v>6.99914180921815</v>
      </c>
    </row>
    <row r="774" customFormat="false" ht="15" hidden="false" customHeight="false" outlineLevel="0" collapsed="false">
      <c r="A774" s="25" t="s">
        <v>1293</v>
      </c>
      <c r="B774" s="25" t="s">
        <v>1330</v>
      </c>
      <c r="C774" s="25" t="s">
        <v>1336</v>
      </c>
      <c r="D774" s="26" t="n">
        <v>0.191740405228624</v>
      </c>
      <c r="E774" s="26" t="n">
        <v>1.00000724332801</v>
      </c>
      <c r="F774" s="26" t="n">
        <v>-4.09000362166401</v>
      </c>
      <c r="G774" s="26" t="n">
        <v>-4.09000362166401</v>
      </c>
      <c r="H774" s="26" t="n">
        <v>-2.58999637833599</v>
      </c>
      <c r="I774" s="26" t="n">
        <v>-2.58999637833599</v>
      </c>
      <c r="J774" s="26" t="n">
        <v>9.25</v>
      </c>
      <c r="K774" s="27" t="n">
        <f aca="false">MIN(F774,G774)</f>
        <v>-4.09000362166401</v>
      </c>
      <c r="L774" s="27" t="n">
        <f aca="false">AVERAGE(F774,G774)</f>
        <v>-4.09000362166401</v>
      </c>
      <c r="M774" s="27" t="n">
        <f aca="false">MAX(0,NG-L774)</f>
        <v>3.39000362166401</v>
      </c>
      <c r="N774" s="27" t="n">
        <f aca="false">MAX(0,GWL-K774)</f>
        <v>2.59000362166401</v>
      </c>
      <c r="O774" s="27" t="n">
        <f aca="false">MAX(0,NG-MAX(K774,GWL))</f>
        <v>0.8</v>
      </c>
      <c r="P774" s="27" t="n">
        <f aca="false">E774/2+WS+SLOPE_A*O774+SLOPE_B*N774</f>
        <v>7.88001086499202</v>
      </c>
      <c r="Q774" s="28" t="str">
        <f aca="false">IF(AND(P774&lt;J774,N774&lt;=MAXOC),"Open cut","Shoring")</f>
        <v>Shoring</v>
      </c>
      <c r="R774" s="27" t="n">
        <f aca="false">IF(Q774="Shoring",D774,0)</f>
        <v>0.191740405228624</v>
      </c>
      <c r="S774" s="27" t="n">
        <f aca="false">MAX(0,GWL-L774)</f>
        <v>2.59000362166401</v>
      </c>
      <c r="T774" s="27" t="n">
        <f aca="false">MAX(0,NG-MAX(L774,GWL))</f>
        <v>0.8</v>
      </c>
      <c r="U774" s="27" t="n">
        <f aca="false">E774+2*WS</f>
        <v>3.00000724332801</v>
      </c>
      <c r="V774" s="27" t="n">
        <f aca="false">IF(Q774="Shoring",D774*M774*U774,0)</f>
        <v>1.95000671260113</v>
      </c>
      <c r="W774" s="27" t="n">
        <f aca="false">IF(Q774="Open cut",D774*(U774*M774+SLOPE_B*S774^2+2*SLOPE_B*S774*T774+SLOPE_A*T774^2),0)</f>
        <v>0</v>
      </c>
      <c r="X774" s="27" t="n">
        <f aca="false">IF(M774&gt;0,D774*(E774+2*SLABOVH)*SLAB,0)</f>
        <v>0.191741099647948</v>
      </c>
      <c r="Y774" s="27" t="n">
        <f aca="false">IF(M774&gt;0,D774*PI()*E774^2/4,0)</f>
        <v>0.150594743706192</v>
      </c>
      <c r="Z774" s="27" t="n">
        <f aca="false">IF(H774-E774&gt;=GWL,99,E774*(MAX(0,GWL-H774)*(GAM_S-GAM_W)+MAX(0,NG-MAX(H774,GWL))*GAM_D)/(GAM_W*PI()*E774^2/4))</f>
        <v>3.02759768458051</v>
      </c>
      <c r="AA774" s="27" t="n">
        <f aca="false">IF(I774-E774&gt;=GWL,99,E774*(MAX(0,GWL-I774)*(GAM_S-GAM_W)+MAX(0,NG-MAX(I774,GWL))*GAM_D)/(GAM_W*PI()*E774^2/4))</f>
        <v>3.02759768458051</v>
      </c>
      <c r="AB774" s="27" t="n">
        <f aca="false">IF(H774-E774&gt;=GWL,99,E774*(MAX(0,GWL-H774)*(GAM_S-GAM_W)+MAX(0,FL-MAX(H774,GWL))*GAM_D)/(GAM_W*PI()*E774^2/4))</f>
        <v>6.99914180921815</v>
      </c>
      <c r="AC774" s="27" t="n">
        <f aca="false">IF(I774-E774&gt;=GWL,99,E774*(MAX(0,GWL-I774)*(GAM_S-GAM_W)+MAX(0,FL-MAX(I774,GWL))*GAM_D)/(GAM_W*PI()*E774^2/4))</f>
        <v>6.99914180921815</v>
      </c>
    </row>
    <row r="775" customFormat="false" ht="15" hidden="false" customHeight="false" outlineLevel="0" collapsed="false">
      <c r="A775" s="25" t="s">
        <v>1293</v>
      </c>
      <c r="B775" s="25" t="s">
        <v>1330</v>
      </c>
      <c r="C775" s="25" t="s">
        <v>1337</v>
      </c>
      <c r="D775" s="26" t="n">
        <v>0.535392133390783</v>
      </c>
      <c r="E775" s="26" t="n">
        <v>1.20000170371348</v>
      </c>
      <c r="F775" s="26" t="n">
        <v>-4.19000085185674</v>
      </c>
      <c r="G775" s="26" t="n">
        <v>-4.19000085185674</v>
      </c>
      <c r="H775" s="26" t="n">
        <v>-2.48999914814326</v>
      </c>
      <c r="I775" s="26" t="n">
        <v>-2.48999914814326</v>
      </c>
      <c r="J775" s="26" t="n">
        <v>9.28</v>
      </c>
      <c r="K775" s="27" t="n">
        <f aca="false">MIN(F775,G775)</f>
        <v>-4.19000085185674</v>
      </c>
      <c r="L775" s="27" t="n">
        <f aca="false">AVERAGE(F775,G775)</f>
        <v>-4.19000085185674</v>
      </c>
      <c r="M775" s="27" t="n">
        <f aca="false">MAX(0,NG-L775)</f>
        <v>3.49000085185674</v>
      </c>
      <c r="N775" s="27" t="n">
        <f aca="false">MAX(0,GWL-K775)</f>
        <v>2.69000085185674</v>
      </c>
      <c r="O775" s="27" t="n">
        <f aca="false">MAX(0,NG-MAX(K775,GWL))</f>
        <v>0.8</v>
      </c>
      <c r="P775" s="27" t="n">
        <f aca="false">E775/2+WS+SLOPE_A*O775+SLOPE_B*N775</f>
        <v>8.18000255557023</v>
      </c>
      <c r="Q775" s="28" t="str">
        <f aca="false">IF(AND(P775&lt;J775,N775&lt;=MAXOC),"Open cut","Shoring")</f>
        <v>Shoring</v>
      </c>
      <c r="R775" s="27" t="n">
        <f aca="false">IF(Q775="Shoring",D775,0)</f>
        <v>0.535392133390783</v>
      </c>
      <c r="S775" s="27" t="n">
        <f aca="false">MAX(0,GWL-L775)</f>
        <v>2.69000085185674</v>
      </c>
      <c r="T775" s="27" t="n">
        <f aca="false">MAX(0,NG-MAX(L775,GWL))</f>
        <v>0.8</v>
      </c>
      <c r="U775" s="27" t="n">
        <f aca="false">E775+2*WS</f>
        <v>3.20000170371348</v>
      </c>
      <c r="V775" s="27" t="n">
        <f aca="false">IF(Q775="Shoring",D775*M775*U775,0)</f>
        <v>5.97926398857695</v>
      </c>
      <c r="W775" s="27" t="n">
        <f aca="false">IF(Q775="Open cut",D775*(U775*M775+SLOPE_B*S775^2+2*SLOPE_B*S775*T775+SLOPE_A*T775^2),0)</f>
        <v>0</v>
      </c>
      <c r="X775" s="27" t="n">
        <f aca="false">IF(M775&gt;0,D775*(E775+2*SLABOVH)*SLAB,0)</f>
        <v>0.588931802807259</v>
      </c>
      <c r="Y775" s="27" t="n">
        <f aca="false">IF(M775&gt;0,D775*PI()*E775^2/4,0)</f>
        <v>0.605515956870596</v>
      </c>
      <c r="Z775" s="27" t="n">
        <f aca="false">IF(H775-E775&gt;=GWL,99,E775*(MAX(0,GWL-H775)*(GAM_S-GAM_W)+MAX(0,NG-MAX(H775,GWL))*GAM_D)/(GAM_W*PI()*E775^2/4))</f>
        <v>2.43443369232919</v>
      </c>
      <c r="AA775" s="27" t="n">
        <f aca="false">IF(I775-E775&gt;=GWL,99,E775*(MAX(0,GWL-I775)*(GAM_S-GAM_W)+MAX(0,NG-MAX(I775,GWL))*GAM_D)/(GAM_W*PI()*E775^2/4))</f>
        <v>2.43443369232919</v>
      </c>
      <c r="AB775" s="27" t="n">
        <f aca="false">IF(H775-E775&gt;=GWL,99,E775*(MAX(0,GWL-H775)*(GAM_S-GAM_W)+MAX(0,FL-MAX(H775,GWL))*GAM_D)/(GAM_W*PI()*E775^2/4))</f>
        <v>5.74407306996021</v>
      </c>
      <c r="AC775" s="27" t="n">
        <f aca="false">IF(I775-E775&gt;=GWL,99,E775*(MAX(0,GWL-I775)*(GAM_S-GAM_W)+MAX(0,FL-MAX(I775,GWL))*GAM_D)/(GAM_W*PI()*E775^2/4))</f>
        <v>5.74407306996021</v>
      </c>
    </row>
    <row r="776" customFormat="false" ht="15" hidden="false" customHeight="false" outlineLevel="0" collapsed="false">
      <c r="A776" s="25" t="s">
        <v>1293</v>
      </c>
      <c r="B776" s="25" t="s">
        <v>1330</v>
      </c>
      <c r="C776" s="25" t="s">
        <v>1338</v>
      </c>
      <c r="D776" s="26" t="n">
        <v>0.525987867230453</v>
      </c>
      <c r="E776" s="26" t="n">
        <v>1.20000170371348</v>
      </c>
      <c r="F776" s="26" t="n">
        <v>-4.19000085185674</v>
      </c>
      <c r="G776" s="26" t="n">
        <v>-4.19000085185674</v>
      </c>
      <c r="H776" s="26" t="n">
        <v>-2.48999914814326</v>
      </c>
      <c r="I776" s="26" t="n">
        <v>-2.48999914814326</v>
      </c>
      <c r="J776" s="26" t="n">
        <v>9.35</v>
      </c>
      <c r="K776" s="27" t="n">
        <f aca="false">MIN(F776,G776)</f>
        <v>-4.19000085185674</v>
      </c>
      <c r="L776" s="27" t="n">
        <f aca="false">AVERAGE(F776,G776)</f>
        <v>-4.19000085185674</v>
      </c>
      <c r="M776" s="27" t="n">
        <f aca="false">MAX(0,NG-L776)</f>
        <v>3.49000085185674</v>
      </c>
      <c r="N776" s="27" t="n">
        <f aca="false">MAX(0,GWL-K776)</f>
        <v>2.69000085185674</v>
      </c>
      <c r="O776" s="27" t="n">
        <f aca="false">MAX(0,NG-MAX(K776,GWL))</f>
        <v>0.8</v>
      </c>
      <c r="P776" s="27" t="n">
        <f aca="false">E776/2+WS+SLOPE_A*O776+SLOPE_B*N776</f>
        <v>8.18000255557023</v>
      </c>
      <c r="Q776" s="28" t="str">
        <f aca="false">IF(AND(P776&lt;J776,N776&lt;=MAXOC),"Open cut","Shoring")</f>
        <v>Shoring</v>
      </c>
      <c r="R776" s="27" t="n">
        <f aca="false">IF(Q776="Shoring",D776,0)</f>
        <v>0.525987867230453</v>
      </c>
      <c r="S776" s="27" t="n">
        <f aca="false">MAX(0,GWL-L776)</f>
        <v>2.69000085185674</v>
      </c>
      <c r="T776" s="27" t="n">
        <f aca="false">MAX(0,NG-MAX(L776,GWL))</f>
        <v>0.8</v>
      </c>
      <c r="U776" s="27" t="n">
        <f aca="false">E776+2*WS</f>
        <v>3.20000170371348</v>
      </c>
      <c r="V776" s="27" t="n">
        <f aca="false">IF(Q776="Shoring",D776*M776*U776,0)</f>
        <v>5.87423706254551</v>
      </c>
      <c r="W776" s="27" t="n">
        <f aca="false">IF(Q776="Open cut",D776*(U776*M776+SLOPE_B*S776^2+2*SLOPE_B*S776*T776+SLOPE_A*T776^2),0)</f>
        <v>0</v>
      </c>
      <c r="X776" s="27" t="n">
        <f aca="false">IF(M776&gt;0,D776*(E776+2*SLABOVH)*SLAB,0)</f>
        <v>0.57858710201981</v>
      </c>
      <c r="Y776" s="27" t="n">
        <f aca="false">IF(M776&gt;0,D776*PI()*E776^2/4,0)</f>
        <v>0.594879952216076</v>
      </c>
      <c r="Z776" s="27" t="n">
        <f aca="false">IF(H776-E776&gt;=GWL,99,E776*(MAX(0,GWL-H776)*(GAM_S-GAM_W)+MAX(0,NG-MAX(H776,GWL))*GAM_D)/(GAM_W*PI()*E776^2/4))</f>
        <v>2.43443369232919</v>
      </c>
      <c r="AA776" s="27" t="n">
        <f aca="false">IF(I776-E776&gt;=GWL,99,E776*(MAX(0,GWL-I776)*(GAM_S-GAM_W)+MAX(0,NG-MAX(I776,GWL))*GAM_D)/(GAM_W*PI()*E776^2/4))</f>
        <v>2.43443369232919</v>
      </c>
      <c r="AB776" s="27" t="n">
        <f aca="false">IF(H776-E776&gt;=GWL,99,E776*(MAX(0,GWL-H776)*(GAM_S-GAM_W)+MAX(0,FL-MAX(H776,GWL))*GAM_D)/(GAM_W*PI()*E776^2/4))</f>
        <v>5.74407306996021</v>
      </c>
      <c r="AC776" s="27" t="n">
        <f aca="false">IF(I776-E776&gt;=GWL,99,E776*(MAX(0,GWL-I776)*(GAM_S-GAM_W)+MAX(0,FL-MAX(I776,GWL))*GAM_D)/(GAM_W*PI()*E776^2/4))</f>
        <v>5.74407306996021</v>
      </c>
    </row>
    <row r="777" customFormat="false" ht="15" hidden="false" customHeight="false" outlineLevel="0" collapsed="false">
      <c r="A777" s="25" t="s">
        <v>1293</v>
      </c>
      <c r="B777" s="25" t="s">
        <v>1330</v>
      </c>
      <c r="C777" s="25" t="s">
        <v>1339</v>
      </c>
      <c r="D777" s="26" t="n">
        <v>1.41678255570855</v>
      </c>
      <c r="E777" s="26" t="n">
        <v>1.20000170371348</v>
      </c>
      <c r="F777" s="26" t="n">
        <v>-4.19000085185674</v>
      </c>
      <c r="G777" s="26" t="n">
        <v>-4.19000085185674</v>
      </c>
      <c r="H777" s="26" t="n">
        <v>-2.48999914814326</v>
      </c>
      <c r="I777" s="26" t="n">
        <v>-2.48999914814326</v>
      </c>
      <c r="J777" s="26" t="n">
        <v>9.43</v>
      </c>
      <c r="K777" s="27" t="n">
        <f aca="false">MIN(F777,G777)</f>
        <v>-4.19000085185674</v>
      </c>
      <c r="L777" s="27" t="n">
        <f aca="false">AVERAGE(F777,G777)</f>
        <v>-4.19000085185674</v>
      </c>
      <c r="M777" s="27" t="n">
        <f aca="false">MAX(0,NG-L777)</f>
        <v>3.49000085185674</v>
      </c>
      <c r="N777" s="27" t="n">
        <f aca="false">MAX(0,GWL-K777)</f>
        <v>2.69000085185674</v>
      </c>
      <c r="O777" s="27" t="n">
        <f aca="false">MAX(0,NG-MAX(K777,GWL))</f>
        <v>0.8</v>
      </c>
      <c r="P777" s="27" t="n">
        <f aca="false">E777/2+WS+SLOPE_A*O777+SLOPE_B*N777</f>
        <v>8.18000255557023</v>
      </c>
      <c r="Q777" s="28" t="str">
        <f aca="false">IF(AND(P777&lt;J777,N777&lt;=MAXOC),"Open cut","Shoring")</f>
        <v>Shoring</v>
      </c>
      <c r="R777" s="27" t="n">
        <f aca="false">IF(Q777="Shoring",D777,0)</f>
        <v>1.41678255570855</v>
      </c>
      <c r="S777" s="27" t="n">
        <f aca="false">MAX(0,GWL-L777)</f>
        <v>2.69000085185674</v>
      </c>
      <c r="T777" s="27" t="n">
        <f aca="false">MAX(0,NG-MAX(L777,GWL))</f>
        <v>0.8</v>
      </c>
      <c r="U777" s="27" t="n">
        <f aca="false">E777+2*WS</f>
        <v>3.20000170371348</v>
      </c>
      <c r="V777" s="27" t="n">
        <f aca="false">IF(Q777="Shoring",D777*M777*U777,0)</f>
        <v>15.8226398683541</v>
      </c>
      <c r="W777" s="27" t="n">
        <f aca="false">IF(Q777="Open cut",D777*(U777*M777+SLOPE_B*S777^2+2*SLOPE_B*S777*T777+SLOPE_A*T777^2),0)</f>
        <v>0</v>
      </c>
      <c r="X777" s="27" t="n">
        <f aca="false">IF(M777&gt;0,D777*(E777+2*SLABOVH)*SLAB,0)</f>
        <v>1.55846201817518</v>
      </c>
      <c r="Y777" s="27" t="n">
        <f aca="false">IF(M777&gt;0,D777*PI()*E777^2/4,0)</f>
        <v>1.60234787064243</v>
      </c>
      <c r="Z777" s="27" t="n">
        <f aca="false">IF(H777-E777&gt;=GWL,99,E777*(MAX(0,GWL-H777)*(GAM_S-GAM_W)+MAX(0,NG-MAX(H777,GWL))*GAM_D)/(GAM_W*PI()*E777^2/4))</f>
        <v>2.43443369232919</v>
      </c>
      <c r="AA777" s="27" t="n">
        <f aca="false">IF(I777-E777&gt;=GWL,99,E777*(MAX(0,GWL-I777)*(GAM_S-GAM_W)+MAX(0,NG-MAX(I777,GWL))*GAM_D)/(GAM_W*PI()*E777^2/4))</f>
        <v>2.43443369232919</v>
      </c>
      <c r="AB777" s="27" t="n">
        <f aca="false">IF(H777-E777&gt;=GWL,99,E777*(MAX(0,GWL-H777)*(GAM_S-GAM_W)+MAX(0,FL-MAX(H777,GWL))*GAM_D)/(GAM_W*PI()*E777^2/4))</f>
        <v>5.74407306996021</v>
      </c>
      <c r="AC777" s="27" t="n">
        <f aca="false">IF(I777-E777&gt;=GWL,99,E777*(MAX(0,GWL-I777)*(GAM_S-GAM_W)+MAX(0,FL-MAX(I777,GWL))*GAM_D)/(GAM_W*PI()*E777^2/4))</f>
        <v>5.74407306996021</v>
      </c>
    </row>
    <row r="778" customFormat="false" ht="15" hidden="false" customHeight="false" outlineLevel="0" collapsed="false">
      <c r="A778" s="25" t="s">
        <v>1293</v>
      </c>
      <c r="B778" s="25" t="s">
        <v>1330</v>
      </c>
      <c r="C778" s="25" t="s">
        <v>1340</v>
      </c>
      <c r="D778" s="26" t="n">
        <v>0.197519999944417</v>
      </c>
      <c r="E778" s="26" t="n">
        <v>1.20000170371348</v>
      </c>
      <c r="F778" s="26" t="n">
        <v>-4.19000085185674</v>
      </c>
      <c r="G778" s="26" t="n">
        <v>-4.19000085185674</v>
      </c>
      <c r="H778" s="26" t="n">
        <v>-2.48999914814326</v>
      </c>
      <c r="I778" s="26" t="n">
        <v>-2.48999914814326</v>
      </c>
      <c r="J778" s="26" t="n">
        <v>9.43</v>
      </c>
      <c r="K778" s="27" t="n">
        <f aca="false">MIN(F778,G778)</f>
        <v>-4.19000085185674</v>
      </c>
      <c r="L778" s="27" t="n">
        <f aca="false">AVERAGE(F778,G778)</f>
        <v>-4.19000085185674</v>
      </c>
      <c r="M778" s="27" t="n">
        <f aca="false">MAX(0,NG-L778)</f>
        <v>3.49000085185674</v>
      </c>
      <c r="N778" s="27" t="n">
        <f aca="false">MAX(0,GWL-K778)</f>
        <v>2.69000085185674</v>
      </c>
      <c r="O778" s="27" t="n">
        <f aca="false">MAX(0,NG-MAX(K778,GWL))</f>
        <v>0.8</v>
      </c>
      <c r="P778" s="27" t="n">
        <f aca="false">E778/2+WS+SLOPE_A*O778+SLOPE_B*N778</f>
        <v>8.18000255557023</v>
      </c>
      <c r="Q778" s="28" t="str">
        <f aca="false">IF(AND(P778&lt;J778,N778&lt;=MAXOC),"Open cut","Shoring")</f>
        <v>Shoring</v>
      </c>
      <c r="R778" s="27" t="n">
        <f aca="false">IF(Q778="Shoring",D778,0)</f>
        <v>0.197519999944417</v>
      </c>
      <c r="S778" s="27" t="n">
        <f aca="false">MAX(0,GWL-L778)</f>
        <v>2.69000085185674</v>
      </c>
      <c r="T778" s="27" t="n">
        <f aca="false">MAX(0,NG-MAX(L778,GWL))</f>
        <v>0.8</v>
      </c>
      <c r="U778" s="27" t="n">
        <f aca="false">E778+2*WS</f>
        <v>3.20000170371348</v>
      </c>
      <c r="V778" s="27" t="n">
        <f aca="false">IF(Q778="Shoring",D778*M778*U778,0)</f>
        <v>2.20590507225355</v>
      </c>
      <c r="W778" s="27" t="n">
        <f aca="false">IF(Q778="Open cut",D778*(U778*M778+SLOPE_B*S778^2+2*SLOPE_B*S778*T778+SLOPE_A*T778^2),0)</f>
        <v>0</v>
      </c>
      <c r="X778" s="27" t="n">
        <f aca="false">IF(M778&gt;0,D778*(E778+2*SLABOVH)*SLAB,0)</f>
        <v>0.217272168197603</v>
      </c>
      <c r="Y778" s="27" t="n">
        <f aca="false">IF(M778&gt;0,D778*PI()*E778^2/4,0)</f>
        <v>0.223390491395447</v>
      </c>
      <c r="Z778" s="27" t="n">
        <f aca="false">IF(H778-E778&gt;=GWL,99,E778*(MAX(0,GWL-H778)*(GAM_S-GAM_W)+MAX(0,NG-MAX(H778,GWL))*GAM_D)/(GAM_W*PI()*E778^2/4))</f>
        <v>2.43443369232919</v>
      </c>
      <c r="AA778" s="27" t="n">
        <f aca="false">IF(I778-E778&gt;=GWL,99,E778*(MAX(0,GWL-I778)*(GAM_S-GAM_W)+MAX(0,NG-MAX(I778,GWL))*GAM_D)/(GAM_W*PI()*E778^2/4))</f>
        <v>2.43443369232919</v>
      </c>
      <c r="AB778" s="27" t="n">
        <f aca="false">IF(H778-E778&gt;=GWL,99,E778*(MAX(0,GWL-H778)*(GAM_S-GAM_W)+MAX(0,FL-MAX(H778,GWL))*GAM_D)/(GAM_W*PI()*E778^2/4))</f>
        <v>5.74407306996021</v>
      </c>
      <c r="AC778" s="27" t="n">
        <f aca="false">IF(I778-E778&gt;=GWL,99,E778*(MAX(0,GWL-I778)*(GAM_S-GAM_W)+MAX(0,FL-MAX(I778,GWL))*GAM_D)/(GAM_W*PI()*E778^2/4))</f>
        <v>5.74407306996021</v>
      </c>
    </row>
    <row r="779" customFormat="false" ht="15" hidden="false" customHeight="false" outlineLevel="0" collapsed="false">
      <c r="A779" s="25" t="s">
        <v>1341</v>
      </c>
      <c r="B779" s="25" t="s">
        <v>1342</v>
      </c>
      <c r="C779" s="25" t="s">
        <v>1343</v>
      </c>
      <c r="D779" s="26" t="n">
        <v>5.99999999957897</v>
      </c>
      <c r="E779" s="26" t="n">
        <v>0.99999371966523</v>
      </c>
      <c r="F779" s="26" t="n">
        <v>-4.09999685983262</v>
      </c>
      <c r="G779" s="26" t="n">
        <v>-4.09999685983262</v>
      </c>
      <c r="H779" s="26" t="n">
        <v>-2.60000314016739</v>
      </c>
      <c r="I779" s="26" t="n">
        <v>-2.60000314016739</v>
      </c>
      <c r="J779" s="26" t="n">
        <v>49.92</v>
      </c>
      <c r="K779" s="27" t="n">
        <f aca="false">MIN(F779,G779)</f>
        <v>-4.09999685983262</v>
      </c>
      <c r="L779" s="27" t="n">
        <f aca="false">AVERAGE(F779,G779)</f>
        <v>-4.09999685983262</v>
      </c>
      <c r="M779" s="27" t="n">
        <f aca="false">MAX(0,NG-L779)</f>
        <v>3.39999685983261</v>
      </c>
      <c r="N779" s="27" t="n">
        <f aca="false">MAX(0,GWL-K779)</f>
        <v>2.59999685983262</v>
      </c>
      <c r="O779" s="27" t="n">
        <f aca="false">MAX(0,NG-MAX(K779,GWL))</f>
        <v>0.8</v>
      </c>
      <c r="P779" s="27" t="n">
        <f aca="false">E779/2+WS+SLOPE_A*O779+SLOPE_B*N779</f>
        <v>7.89999057949785</v>
      </c>
      <c r="Q779" s="28" t="str">
        <f aca="false">IF(AND(P779&lt;J779,N779&lt;=MAXOC),"Open cut","Shoring")</f>
        <v>Shoring</v>
      </c>
      <c r="R779" s="27" t="n">
        <f aca="false">IF(Q779="Shoring",D779,0)</f>
        <v>5.99999999957897</v>
      </c>
      <c r="S779" s="27" t="n">
        <f aca="false">MAX(0,GWL-L779)</f>
        <v>2.59999685983262</v>
      </c>
      <c r="T779" s="27" t="n">
        <f aca="false">MAX(0,NG-MAX(L779,GWL))</f>
        <v>0.8</v>
      </c>
      <c r="U779" s="27" t="n">
        <f aca="false">E779+2*WS</f>
        <v>2.99999371966523</v>
      </c>
      <c r="V779" s="27" t="n">
        <f aca="false">IF(Q779="Shoring",D779*M779*U779,0)</f>
        <v>61.1998153539816</v>
      </c>
      <c r="W779" s="27" t="n">
        <f aca="false">IF(Q779="Open cut",D779*(U779*M779+SLOPE_B*S779^2+2*SLOPE_B*S779*T779+SLOPE_A*T779^2),0)</f>
        <v>0</v>
      </c>
      <c r="X779" s="27" t="n">
        <f aca="false">IF(M779&gt;0,D779*(E779+2*SLABOVH)*SLAB,0)</f>
        <v>5.99998115857466</v>
      </c>
      <c r="Y779" s="27" t="n">
        <f aca="false">IF(M779&gt;0,D779*PI()*E779^2/4,0)</f>
        <v>4.71232978947916</v>
      </c>
      <c r="Z779" s="27" t="n">
        <f aca="false">IF(H779-E779&gt;=GWL,99,E779*(MAX(0,GWL-H779)*(GAM_S-GAM_W)+MAX(0,NG-MAX(H779,GWL))*GAM_D)/(GAM_W*PI()*E779^2/4))</f>
        <v>3.03827568157627</v>
      </c>
      <c r="AA779" s="27" t="n">
        <f aca="false">IF(I779-E779&gt;=GWL,99,E779*(MAX(0,GWL-I779)*(GAM_S-GAM_W)+MAX(0,NG-MAX(I779,GWL))*GAM_D)/(GAM_W*PI()*E779^2/4))</f>
        <v>3.03827568157627</v>
      </c>
      <c r="AB779" s="27" t="n">
        <f aca="false">IF(H779-E779&gt;=GWL,99,E779*(MAX(0,GWL-H779)*(GAM_S-GAM_W)+MAX(0,FL-MAX(H779,GWL))*GAM_D)/(GAM_W*PI()*E779^2/4))</f>
        <v>7.00987351637469</v>
      </c>
      <c r="AC779" s="27" t="n">
        <f aca="false">IF(I779-E779&gt;=GWL,99,E779*(MAX(0,GWL-I779)*(GAM_S-GAM_W)+MAX(0,FL-MAX(I779,GWL))*GAM_D)/(GAM_W*PI()*E779^2/4))</f>
        <v>7.00987351637469</v>
      </c>
    </row>
    <row r="780" customFormat="false" ht="15" hidden="false" customHeight="false" outlineLevel="0" collapsed="false">
      <c r="A780" s="25" t="s">
        <v>1341</v>
      </c>
      <c r="B780" s="25" t="s">
        <v>1344</v>
      </c>
      <c r="C780" s="25" t="s">
        <v>1345</v>
      </c>
      <c r="D780" s="26" t="n">
        <v>4.00000000026464</v>
      </c>
      <c r="E780" s="26" t="n">
        <v>0.99999371966523</v>
      </c>
      <c r="F780" s="26" t="n">
        <v>-4.09999685983262</v>
      </c>
      <c r="G780" s="26" t="n">
        <v>-4.09999685983262</v>
      </c>
      <c r="H780" s="26" t="n">
        <v>-2.60000314016739</v>
      </c>
      <c r="I780" s="26" t="n">
        <v>-2.60000314016739</v>
      </c>
      <c r="J780" s="26" t="n">
        <v>49.91</v>
      </c>
      <c r="K780" s="27" t="n">
        <f aca="false">MIN(F780,G780)</f>
        <v>-4.09999685983262</v>
      </c>
      <c r="L780" s="27" t="n">
        <f aca="false">AVERAGE(F780,G780)</f>
        <v>-4.09999685983262</v>
      </c>
      <c r="M780" s="27" t="n">
        <f aca="false">MAX(0,NG-L780)</f>
        <v>3.39999685983261</v>
      </c>
      <c r="N780" s="27" t="n">
        <f aca="false">MAX(0,GWL-K780)</f>
        <v>2.59999685983262</v>
      </c>
      <c r="O780" s="27" t="n">
        <f aca="false">MAX(0,NG-MAX(K780,GWL))</f>
        <v>0.8</v>
      </c>
      <c r="P780" s="27" t="n">
        <f aca="false">E780/2+WS+SLOPE_A*O780+SLOPE_B*N780</f>
        <v>7.89999057949785</v>
      </c>
      <c r="Q780" s="28" t="str">
        <f aca="false">IF(AND(P780&lt;J780,N780&lt;=MAXOC),"Open cut","Shoring")</f>
        <v>Shoring</v>
      </c>
      <c r="R780" s="27" t="n">
        <f aca="false">IF(Q780="Shoring",D780,0)</f>
        <v>4.00000000026464</v>
      </c>
      <c r="S780" s="27" t="n">
        <f aca="false">MAX(0,GWL-L780)</f>
        <v>2.59999685983262</v>
      </c>
      <c r="T780" s="27" t="n">
        <f aca="false">MAX(0,NG-MAX(L780,GWL))</f>
        <v>0.8</v>
      </c>
      <c r="U780" s="27" t="n">
        <f aca="false">E780+2*WS</f>
        <v>2.99999371966523</v>
      </c>
      <c r="V780" s="27" t="n">
        <f aca="false">IF(Q780="Shoring",D780*M780*U780,0)</f>
        <v>40.7998769082167</v>
      </c>
      <c r="W780" s="27" t="n">
        <f aca="false">IF(Q780="Open cut",D780*(U780*M780+SLOPE_B*S780^2+2*SLOPE_B*S780*T780+SLOPE_A*T780^2),0)</f>
        <v>0</v>
      </c>
      <c r="X780" s="27" t="n">
        <f aca="false">IF(M780&gt;0,D780*(E780+2*SLABOVH)*SLAB,0)</f>
        <v>3.9999874395951</v>
      </c>
      <c r="Y780" s="27" t="n">
        <f aca="false">IF(M780&gt;0,D780*PI()*E780^2/4,0)</f>
        <v>3.1415531934144</v>
      </c>
      <c r="Z780" s="27" t="n">
        <f aca="false">IF(H780-E780&gt;=GWL,99,E780*(MAX(0,GWL-H780)*(GAM_S-GAM_W)+MAX(0,NG-MAX(H780,GWL))*GAM_D)/(GAM_W*PI()*E780^2/4))</f>
        <v>3.03827568157627</v>
      </c>
      <c r="AA780" s="27" t="n">
        <f aca="false">IF(I780-E780&gt;=GWL,99,E780*(MAX(0,GWL-I780)*(GAM_S-GAM_W)+MAX(0,NG-MAX(I780,GWL))*GAM_D)/(GAM_W*PI()*E780^2/4))</f>
        <v>3.03827568157627</v>
      </c>
      <c r="AB780" s="27" t="n">
        <f aca="false">IF(H780-E780&gt;=GWL,99,E780*(MAX(0,GWL-H780)*(GAM_S-GAM_W)+MAX(0,FL-MAX(H780,GWL))*GAM_D)/(GAM_W*PI()*E780^2/4))</f>
        <v>7.00987351637469</v>
      </c>
      <c r="AC780" s="27" t="n">
        <f aca="false">IF(I780-E780&gt;=GWL,99,E780*(MAX(0,GWL-I780)*(GAM_S-GAM_W)+MAX(0,FL-MAX(I780,GWL))*GAM_D)/(GAM_W*PI()*E780^2/4))</f>
        <v>7.00987351637469</v>
      </c>
    </row>
    <row r="781" customFormat="false" ht="15" hidden="false" customHeight="false" outlineLevel="0" collapsed="false">
      <c r="A781" s="25" t="s">
        <v>1341</v>
      </c>
      <c r="B781" s="25" t="s">
        <v>1344</v>
      </c>
      <c r="C781" s="25" t="s">
        <v>1346</v>
      </c>
      <c r="D781" s="26" t="n">
        <v>9.99999999997663</v>
      </c>
      <c r="E781" s="26" t="n">
        <v>0.99999371966523</v>
      </c>
      <c r="F781" s="26" t="n">
        <v>-4.09999685983262</v>
      </c>
      <c r="G781" s="26" t="n">
        <v>-4.09999685983262</v>
      </c>
      <c r="H781" s="26" t="n">
        <v>-2.60000314016739</v>
      </c>
      <c r="I781" s="26" t="n">
        <v>-2.60000314016739</v>
      </c>
      <c r="J781" s="26" t="n">
        <v>41.68</v>
      </c>
      <c r="K781" s="27" t="n">
        <f aca="false">MIN(F781,G781)</f>
        <v>-4.09999685983262</v>
      </c>
      <c r="L781" s="27" t="n">
        <f aca="false">AVERAGE(F781,G781)</f>
        <v>-4.09999685983262</v>
      </c>
      <c r="M781" s="27" t="n">
        <f aca="false">MAX(0,NG-L781)</f>
        <v>3.39999685983261</v>
      </c>
      <c r="N781" s="27" t="n">
        <f aca="false">MAX(0,GWL-K781)</f>
        <v>2.59999685983262</v>
      </c>
      <c r="O781" s="27" t="n">
        <f aca="false">MAX(0,NG-MAX(K781,GWL))</f>
        <v>0.8</v>
      </c>
      <c r="P781" s="27" t="n">
        <f aca="false">E781/2+WS+SLOPE_A*O781+SLOPE_B*N781</f>
        <v>7.89999057949785</v>
      </c>
      <c r="Q781" s="28" t="str">
        <f aca="false">IF(AND(P781&lt;J781,N781&lt;=MAXOC),"Open cut","Shoring")</f>
        <v>Shoring</v>
      </c>
      <c r="R781" s="27" t="n">
        <f aca="false">IF(Q781="Shoring",D781,0)</f>
        <v>9.99999999997663</v>
      </c>
      <c r="S781" s="27" t="n">
        <f aca="false">MAX(0,GWL-L781)</f>
        <v>2.59999685983262</v>
      </c>
      <c r="T781" s="27" t="n">
        <f aca="false">MAX(0,NG-MAX(L781,GWL))</f>
        <v>0.8</v>
      </c>
      <c r="U781" s="27" t="n">
        <f aca="false">E781+2*WS</f>
        <v>2.99999371966523</v>
      </c>
      <c r="V781" s="27" t="n">
        <f aca="false">IF(Q781="Shoring",D781*M781*U781,0)</f>
        <v>101.999692263555</v>
      </c>
      <c r="W781" s="27" t="n">
        <f aca="false">IF(Q781="Open cut",D781*(U781*M781+SLOPE_B*S781^2+2*SLOPE_B*S781*T781+SLOPE_A*T781^2),0)</f>
        <v>0</v>
      </c>
      <c r="X781" s="27" t="n">
        <f aca="false">IF(M781&gt;0,D781*(E781+2*SLABOVH)*SLAB,0)</f>
        <v>9.99996859830278</v>
      </c>
      <c r="Y781" s="27" t="n">
        <f aca="false">IF(M781&gt;0,D781*PI()*E781^2/4,0)</f>
        <v>7.85388298299804</v>
      </c>
      <c r="Z781" s="27" t="n">
        <f aca="false">IF(H781-E781&gt;=GWL,99,E781*(MAX(0,GWL-H781)*(GAM_S-GAM_W)+MAX(0,NG-MAX(H781,GWL))*GAM_D)/(GAM_W*PI()*E781^2/4))</f>
        <v>3.03827568157627</v>
      </c>
      <c r="AA781" s="27" t="n">
        <f aca="false">IF(I781-E781&gt;=GWL,99,E781*(MAX(0,GWL-I781)*(GAM_S-GAM_W)+MAX(0,NG-MAX(I781,GWL))*GAM_D)/(GAM_W*PI()*E781^2/4))</f>
        <v>3.03827568157627</v>
      </c>
      <c r="AB781" s="27" t="n">
        <f aca="false">IF(H781-E781&gt;=GWL,99,E781*(MAX(0,GWL-H781)*(GAM_S-GAM_W)+MAX(0,FL-MAX(H781,GWL))*GAM_D)/(GAM_W*PI()*E781^2/4))</f>
        <v>7.00987351637469</v>
      </c>
      <c r="AC781" s="27" t="n">
        <f aca="false">IF(I781-E781&gt;=GWL,99,E781*(MAX(0,GWL-I781)*(GAM_S-GAM_W)+MAX(0,FL-MAX(I781,GWL))*GAM_D)/(GAM_W*PI()*E781^2/4))</f>
        <v>7.00987351637469</v>
      </c>
    </row>
    <row r="782" customFormat="false" ht="15" hidden="false" customHeight="false" outlineLevel="0" collapsed="false">
      <c r="A782" s="25" t="s">
        <v>1341</v>
      </c>
      <c r="B782" s="25" t="s">
        <v>1344</v>
      </c>
      <c r="C782" s="25" t="s">
        <v>1347</v>
      </c>
      <c r="D782" s="26" t="n">
        <v>10.0000000000773</v>
      </c>
      <c r="E782" s="26" t="n">
        <v>0.99999371966523</v>
      </c>
      <c r="F782" s="26" t="n">
        <v>-4.09999685983262</v>
      </c>
      <c r="G782" s="26" t="n">
        <v>-4.09999685983262</v>
      </c>
      <c r="H782" s="26" t="n">
        <v>-2.60000314016739</v>
      </c>
      <c r="I782" s="26" t="n">
        <v>-2.60000314016739</v>
      </c>
      <c r="J782" s="26" t="n">
        <v>0</v>
      </c>
      <c r="K782" s="27" t="n">
        <f aca="false">MIN(F782,G782)</f>
        <v>-4.09999685983262</v>
      </c>
      <c r="L782" s="27" t="n">
        <f aca="false">AVERAGE(F782,G782)</f>
        <v>-4.09999685983262</v>
      </c>
      <c r="M782" s="27" t="n">
        <f aca="false">MAX(0,NG-L782)</f>
        <v>3.39999685983261</v>
      </c>
      <c r="N782" s="27" t="n">
        <f aca="false">MAX(0,GWL-K782)</f>
        <v>2.59999685983262</v>
      </c>
      <c r="O782" s="27" t="n">
        <f aca="false">MAX(0,NG-MAX(K782,GWL))</f>
        <v>0.8</v>
      </c>
      <c r="P782" s="27" t="n">
        <f aca="false">E782/2+WS+SLOPE_A*O782+SLOPE_B*N782</f>
        <v>7.89999057949785</v>
      </c>
      <c r="Q782" s="28" t="str">
        <f aca="false">IF(AND(P782&lt;J782,N782&lt;=MAXOC),"Open cut","Shoring")</f>
        <v>Shoring</v>
      </c>
      <c r="R782" s="27" t="n">
        <f aca="false">IF(Q782="Shoring",D782,0)</f>
        <v>10.0000000000773</v>
      </c>
      <c r="S782" s="27" t="n">
        <f aca="false">MAX(0,GWL-L782)</f>
        <v>2.59999685983262</v>
      </c>
      <c r="T782" s="27" t="n">
        <f aca="false">MAX(0,NG-MAX(L782,GWL))</f>
        <v>0.8</v>
      </c>
      <c r="U782" s="27" t="n">
        <f aca="false">E782+2*WS</f>
        <v>2.99999371966523</v>
      </c>
      <c r="V782" s="27" t="n">
        <f aca="false">IF(Q782="Shoring",D782*M782*U782,0)</f>
        <v>101.999692264582</v>
      </c>
      <c r="W782" s="27" t="n">
        <f aca="false">IF(Q782="Open cut",D782*(U782*M782+SLOPE_B*S782^2+2*SLOPE_B*S782*T782+SLOPE_A*T782^2),0)</f>
        <v>0</v>
      </c>
      <c r="X782" s="27" t="n">
        <f aca="false">IF(M782&gt;0,D782*(E782+2*SLABOVH)*SLAB,0)</f>
        <v>9.99996859840347</v>
      </c>
      <c r="Y782" s="27" t="n">
        <f aca="false">IF(M782&gt;0,D782*PI()*E782^2/4,0)</f>
        <v>7.85388298307712</v>
      </c>
      <c r="Z782" s="27" t="n">
        <f aca="false">IF(H782-E782&gt;=GWL,99,E782*(MAX(0,GWL-H782)*(GAM_S-GAM_W)+MAX(0,NG-MAX(H782,GWL))*GAM_D)/(GAM_W*PI()*E782^2/4))</f>
        <v>3.03827568157627</v>
      </c>
      <c r="AA782" s="27" t="n">
        <f aca="false">IF(I782-E782&gt;=GWL,99,E782*(MAX(0,GWL-I782)*(GAM_S-GAM_W)+MAX(0,NG-MAX(I782,GWL))*GAM_D)/(GAM_W*PI()*E782^2/4))</f>
        <v>3.03827568157627</v>
      </c>
      <c r="AB782" s="27" t="n">
        <f aca="false">IF(H782-E782&gt;=GWL,99,E782*(MAX(0,GWL-H782)*(GAM_S-GAM_W)+MAX(0,FL-MAX(H782,GWL))*GAM_D)/(GAM_W*PI()*E782^2/4))</f>
        <v>7.00987351637469</v>
      </c>
      <c r="AC782" s="27" t="n">
        <f aca="false">IF(I782-E782&gt;=GWL,99,E782*(MAX(0,GWL-I782)*(GAM_S-GAM_W)+MAX(0,FL-MAX(I782,GWL))*GAM_D)/(GAM_W*PI()*E782^2/4))</f>
        <v>7.00987351637469</v>
      </c>
    </row>
    <row r="783" customFormat="false" ht="15" hidden="false" customHeight="false" outlineLevel="0" collapsed="false">
      <c r="A783" s="25" t="s">
        <v>1341</v>
      </c>
      <c r="B783" s="25" t="s">
        <v>1344</v>
      </c>
      <c r="C783" s="25" t="s">
        <v>1348</v>
      </c>
      <c r="D783" s="26" t="n">
        <v>9.99999999974292</v>
      </c>
      <c r="E783" s="26" t="n">
        <v>0.99999371966523</v>
      </c>
      <c r="F783" s="26" t="n">
        <v>-4.09999685983262</v>
      </c>
      <c r="G783" s="26" t="n">
        <v>-4.09999685983262</v>
      </c>
      <c r="H783" s="26" t="n">
        <v>-2.60000314016739</v>
      </c>
      <c r="I783" s="26" t="n">
        <v>-2.60000314016739</v>
      </c>
      <c r="J783" s="26" t="n">
        <v>1</v>
      </c>
      <c r="K783" s="27" t="n">
        <f aca="false">MIN(F783,G783)</f>
        <v>-4.09999685983262</v>
      </c>
      <c r="L783" s="27" t="n">
        <f aca="false">AVERAGE(F783,G783)</f>
        <v>-4.09999685983262</v>
      </c>
      <c r="M783" s="27" t="n">
        <f aca="false">MAX(0,NG-L783)</f>
        <v>3.39999685983261</v>
      </c>
      <c r="N783" s="27" t="n">
        <f aca="false">MAX(0,GWL-K783)</f>
        <v>2.59999685983262</v>
      </c>
      <c r="O783" s="27" t="n">
        <f aca="false">MAX(0,NG-MAX(K783,GWL))</f>
        <v>0.8</v>
      </c>
      <c r="P783" s="27" t="n">
        <f aca="false">E783/2+WS+SLOPE_A*O783+SLOPE_B*N783</f>
        <v>7.89999057949785</v>
      </c>
      <c r="Q783" s="28" t="str">
        <f aca="false">IF(AND(P783&lt;J783,N783&lt;=MAXOC),"Open cut","Shoring")</f>
        <v>Shoring</v>
      </c>
      <c r="R783" s="27" t="n">
        <f aca="false">IF(Q783="Shoring",D783,0)</f>
        <v>9.99999999974292</v>
      </c>
      <c r="S783" s="27" t="n">
        <f aca="false">MAX(0,GWL-L783)</f>
        <v>2.59999685983262</v>
      </c>
      <c r="T783" s="27" t="n">
        <f aca="false">MAX(0,NG-MAX(L783,GWL))</f>
        <v>0.8</v>
      </c>
      <c r="U783" s="27" t="n">
        <f aca="false">E783+2*WS</f>
        <v>2.99999371966523</v>
      </c>
      <c r="V783" s="27" t="n">
        <f aca="false">IF(Q783="Shoring",D783*M783*U783,0)</f>
        <v>101.999692261171</v>
      </c>
      <c r="W783" s="27" t="n">
        <f aca="false">IF(Q783="Open cut",D783*(U783*M783+SLOPE_B*S783^2+2*SLOPE_B*S783*T783+SLOPE_A*T783^2),0)</f>
        <v>0</v>
      </c>
      <c r="X783" s="27" t="n">
        <f aca="false">IF(M783&gt;0,D783*(E783+2*SLABOVH)*SLAB,0)</f>
        <v>9.99996859806907</v>
      </c>
      <c r="Y783" s="27" t="n">
        <f aca="false">IF(M783&gt;0,D783*PI()*E783^2/4,0)</f>
        <v>7.85388298281448</v>
      </c>
      <c r="Z783" s="27" t="n">
        <f aca="false">IF(H783-E783&gt;=GWL,99,E783*(MAX(0,GWL-H783)*(GAM_S-GAM_W)+MAX(0,NG-MAX(H783,GWL))*GAM_D)/(GAM_W*PI()*E783^2/4))</f>
        <v>3.03827568157627</v>
      </c>
      <c r="AA783" s="27" t="n">
        <f aca="false">IF(I783-E783&gt;=GWL,99,E783*(MAX(0,GWL-I783)*(GAM_S-GAM_W)+MAX(0,NG-MAX(I783,GWL))*GAM_D)/(GAM_W*PI()*E783^2/4))</f>
        <v>3.03827568157627</v>
      </c>
      <c r="AB783" s="27" t="n">
        <f aca="false">IF(H783-E783&gt;=GWL,99,E783*(MAX(0,GWL-H783)*(GAM_S-GAM_W)+MAX(0,FL-MAX(H783,GWL))*GAM_D)/(GAM_W*PI()*E783^2/4))</f>
        <v>7.00987351637469</v>
      </c>
      <c r="AC783" s="27" t="n">
        <f aca="false">IF(I783-E783&gt;=GWL,99,E783*(MAX(0,GWL-I783)*(GAM_S-GAM_W)+MAX(0,FL-MAX(I783,GWL))*GAM_D)/(GAM_W*PI()*E783^2/4))</f>
        <v>7.00987351637469</v>
      </c>
    </row>
    <row r="784" customFormat="false" ht="15" hidden="false" customHeight="false" outlineLevel="0" collapsed="false">
      <c r="A784" s="25" t="s">
        <v>1341</v>
      </c>
      <c r="B784" s="25" t="s">
        <v>1344</v>
      </c>
      <c r="C784" s="25" t="s">
        <v>1349</v>
      </c>
      <c r="D784" s="26" t="n">
        <v>9.01888000011858</v>
      </c>
      <c r="E784" s="26" t="n">
        <v>0.99999371966523</v>
      </c>
      <c r="F784" s="26" t="n">
        <v>-4.09999685983262</v>
      </c>
      <c r="G784" s="26" t="n">
        <v>-4.09999685983262</v>
      </c>
      <c r="H784" s="26" t="n">
        <v>-2.60000314016739</v>
      </c>
      <c r="I784" s="26" t="n">
        <v>-2.60000314016739</v>
      </c>
      <c r="J784" s="26" t="n">
        <v>11</v>
      </c>
      <c r="K784" s="27" t="n">
        <f aca="false">MIN(F784,G784)</f>
        <v>-4.09999685983262</v>
      </c>
      <c r="L784" s="27" t="n">
        <f aca="false">AVERAGE(F784,G784)</f>
        <v>-4.09999685983262</v>
      </c>
      <c r="M784" s="27" t="n">
        <f aca="false">MAX(0,NG-L784)</f>
        <v>3.39999685983261</v>
      </c>
      <c r="N784" s="27" t="n">
        <f aca="false">MAX(0,GWL-K784)</f>
        <v>2.59999685983262</v>
      </c>
      <c r="O784" s="27" t="n">
        <f aca="false">MAX(0,NG-MAX(K784,GWL))</f>
        <v>0.8</v>
      </c>
      <c r="P784" s="27" t="n">
        <f aca="false">E784/2+WS+SLOPE_A*O784+SLOPE_B*N784</f>
        <v>7.89999057949785</v>
      </c>
      <c r="Q784" s="28" t="str">
        <f aca="false">IF(AND(P784&lt;J784,N784&lt;=MAXOC),"Open cut","Shoring")</f>
        <v>Shoring</v>
      </c>
      <c r="R784" s="27" t="n">
        <f aca="false">IF(Q784="Shoring",D784,0)</f>
        <v>9.01888000011858</v>
      </c>
      <c r="S784" s="27" t="n">
        <f aca="false">MAX(0,GWL-L784)</f>
        <v>2.59999685983262</v>
      </c>
      <c r="T784" s="27" t="n">
        <f aca="false">MAX(0,NG-MAX(L784,GWL))</f>
        <v>0.8</v>
      </c>
      <c r="U784" s="27" t="n">
        <f aca="false">E784+2*WS</f>
        <v>2.99999371966523</v>
      </c>
      <c r="V784" s="27" t="n">
        <f aca="false">IF(Q784="Shoring",D784*M784*U784,0)</f>
        <v>91.9922984576177</v>
      </c>
      <c r="W784" s="27" t="n">
        <f aca="false">IF(Q784="Open cut",D784*(U784*M784+SLOPE_B*S784^2+2*SLOPE_B*S784*T784+SLOPE_A*T784^2),0)</f>
        <v>0</v>
      </c>
      <c r="X784" s="27" t="n">
        <f aca="false">IF(M784&gt;0,D784*(E784+2*SLABOVH)*SLAB,0)</f>
        <v>9.01885167932575</v>
      </c>
      <c r="Y784" s="27" t="n">
        <f aca="false">IF(M784&gt;0,D784*PI()*E784^2/4,0)</f>
        <v>7.08332281587982</v>
      </c>
      <c r="Z784" s="27" t="n">
        <f aca="false">IF(H784-E784&gt;=GWL,99,E784*(MAX(0,GWL-H784)*(GAM_S-GAM_W)+MAX(0,NG-MAX(H784,GWL))*GAM_D)/(GAM_W*PI()*E784^2/4))</f>
        <v>3.03827568157627</v>
      </c>
      <c r="AA784" s="27" t="n">
        <f aca="false">IF(I784-E784&gt;=GWL,99,E784*(MAX(0,GWL-I784)*(GAM_S-GAM_W)+MAX(0,NG-MAX(I784,GWL))*GAM_D)/(GAM_W*PI()*E784^2/4))</f>
        <v>3.03827568157627</v>
      </c>
      <c r="AB784" s="27" t="n">
        <f aca="false">IF(H784-E784&gt;=GWL,99,E784*(MAX(0,GWL-H784)*(GAM_S-GAM_W)+MAX(0,FL-MAX(H784,GWL))*GAM_D)/(GAM_W*PI()*E784^2/4))</f>
        <v>7.00987351637469</v>
      </c>
      <c r="AC784" s="27" t="n">
        <f aca="false">IF(I784-E784&gt;=GWL,99,E784*(MAX(0,GWL-I784)*(GAM_S-GAM_W)+MAX(0,FL-MAX(I784,GWL))*GAM_D)/(GAM_W*PI()*E784^2/4))</f>
        <v>7.00987351637469</v>
      </c>
    </row>
    <row r="785" customFormat="false" ht="15" hidden="false" customHeight="false" outlineLevel="0" collapsed="false">
      <c r="A785" s="25" t="s">
        <v>1341</v>
      </c>
      <c r="B785" s="25" t="s">
        <v>1344</v>
      </c>
      <c r="C785" s="25" t="s">
        <v>1350</v>
      </c>
      <c r="D785" s="26" t="n">
        <v>0.18000746316269</v>
      </c>
      <c r="E785" s="26" t="n">
        <v>1.02215310151201</v>
      </c>
      <c r="F785" s="26" t="n">
        <v>-4.11107655075601</v>
      </c>
      <c r="G785" s="26" t="n">
        <v>-4.11107655075601</v>
      </c>
      <c r="H785" s="26" t="n">
        <v>-2.58892344924399</v>
      </c>
      <c r="I785" s="26" t="n">
        <v>-2.58892344924399</v>
      </c>
      <c r="J785" s="26" t="n">
        <v>20.02</v>
      </c>
      <c r="K785" s="27" t="n">
        <f aca="false">MIN(F785,G785)</f>
        <v>-4.11107655075601</v>
      </c>
      <c r="L785" s="27" t="n">
        <f aca="false">AVERAGE(F785,G785)</f>
        <v>-4.11107655075601</v>
      </c>
      <c r="M785" s="27" t="n">
        <f aca="false">MAX(0,NG-L785)</f>
        <v>3.41107655075601</v>
      </c>
      <c r="N785" s="27" t="n">
        <f aca="false">MAX(0,GWL-K785)</f>
        <v>2.61107655075601</v>
      </c>
      <c r="O785" s="27" t="n">
        <f aca="false">MAX(0,NG-MAX(K785,GWL))</f>
        <v>0.8</v>
      </c>
      <c r="P785" s="27" t="n">
        <f aca="false">E785/2+WS+SLOPE_A*O785+SLOPE_B*N785</f>
        <v>7.93322965226802</v>
      </c>
      <c r="Q785" s="28" t="str">
        <f aca="false">IF(AND(P785&lt;J785,N785&lt;=MAXOC),"Open cut","Shoring")</f>
        <v>Shoring</v>
      </c>
      <c r="R785" s="27" t="n">
        <f aca="false">IF(Q785="Shoring",D785,0)</f>
        <v>0.18000746316269</v>
      </c>
      <c r="S785" s="27" t="n">
        <f aca="false">MAX(0,GWL-L785)</f>
        <v>2.61107655075601</v>
      </c>
      <c r="T785" s="27" t="n">
        <f aca="false">MAX(0,NG-MAX(L785,GWL))</f>
        <v>0.8</v>
      </c>
      <c r="U785" s="27" t="n">
        <f aca="false">E785+2*WS</f>
        <v>3.02215310151201</v>
      </c>
      <c r="V785" s="27" t="n">
        <f aca="false">IF(Q785="Shoring",D785*M785*U785,0)</f>
        <v>1.85566014014372</v>
      </c>
      <c r="W785" s="27" t="n">
        <f aca="false">IF(Q785="Open cut",D785*(U785*M785+SLOPE_B*S785^2+2*SLOPE_B*S785*T785+SLOPE_A*T785^2),0)</f>
        <v>0</v>
      </c>
      <c r="X785" s="27" t="n">
        <f aca="false">IF(M785&gt;0,D785*(E785+2*SLABOVH)*SLAB,0)</f>
        <v>0.182001324964871</v>
      </c>
      <c r="Y785" s="27" t="n">
        <f aca="false">IF(M785&gt;0,D785*PI()*E785^2/4,0)</f>
        <v>0.147710814979709</v>
      </c>
      <c r="Z785" s="27" t="n">
        <f aca="false">IF(H785-E785&gt;=GWL,99,E785*(MAX(0,GWL-H785)*(GAM_S-GAM_W)+MAX(0,NG-MAX(H785,GWL))*GAM_D)/(GAM_W*PI()*E785^2/4))</f>
        <v>2.96088629778794</v>
      </c>
      <c r="AA785" s="27" t="n">
        <f aca="false">IF(I785-E785&gt;=GWL,99,E785*(MAX(0,GWL-I785)*(GAM_S-GAM_W)+MAX(0,NG-MAX(I785,GWL))*GAM_D)/(GAM_W*PI()*E785^2/4))</f>
        <v>2.96088629778794</v>
      </c>
      <c r="AB785" s="27" t="n">
        <f aca="false">IF(H785-E785&gt;=GWL,99,E785*(MAX(0,GWL-H785)*(GAM_S-GAM_W)+MAX(0,FL-MAX(H785,GWL))*GAM_D)/(GAM_W*PI()*E785^2/4))</f>
        <v>6.8463833783716</v>
      </c>
      <c r="AC785" s="27" t="n">
        <f aca="false">IF(I785-E785&gt;=GWL,99,E785*(MAX(0,GWL-I785)*(GAM_S-GAM_W)+MAX(0,FL-MAX(I785,GWL))*GAM_D)/(GAM_W*PI()*E785^2/4))</f>
        <v>6.8463833783716</v>
      </c>
    </row>
    <row r="786" customFormat="false" ht="15" hidden="false" customHeight="false" outlineLevel="0" collapsed="false">
      <c r="A786" s="25" t="s">
        <v>1341</v>
      </c>
      <c r="B786" s="25" t="s">
        <v>1344</v>
      </c>
      <c r="C786" s="25" t="s">
        <v>1351</v>
      </c>
      <c r="D786" s="26" t="n">
        <v>0.801112536916318</v>
      </c>
      <c r="E786" s="26" t="n">
        <v>1.02215310151201</v>
      </c>
      <c r="F786" s="26" t="n">
        <v>-4.11107655075601</v>
      </c>
      <c r="G786" s="26" t="n">
        <v>-4.11107655075601</v>
      </c>
      <c r="H786" s="26" t="n">
        <v>-2.58892344924399</v>
      </c>
      <c r="I786" s="26" t="n">
        <v>-2.58892344924399</v>
      </c>
      <c r="J786" s="26" t="n">
        <v>20.2</v>
      </c>
      <c r="K786" s="27" t="n">
        <f aca="false">MIN(F786,G786)</f>
        <v>-4.11107655075601</v>
      </c>
      <c r="L786" s="27" t="n">
        <f aca="false">AVERAGE(F786,G786)</f>
        <v>-4.11107655075601</v>
      </c>
      <c r="M786" s="27" t="n">
        <f aca="false">MAX(0,NG-L786)</f>
        <v>3.41107655075601</v>
      </c>
      <c r="N786" s="27" t="n">
        <f aca="false">MAX(0,GWL-K786)</f>
        <v>2.61107655075601</v>
      </c>
      <c r="O786" s="27" t="n">
        <f aca="false">MAX(0,NG-MAX(K786,GWL))</f>
        <v>0.8</v>
      </c>
      <c r="P786" s="27" t="n">
        <f aca="false">E786/2+WS+SLOPE_A*O786+SLOPE_B*N786</f>
        <v>7.93322965226802</v>
      </c>
      <c r="Q786" s="28" t="str">
        <f aca="false">IF(AND(P786&lt;J786,N786&lt;=MAXOC),"Open cut","Shoring")</f>
        <v>Shoring</v>
      </c>
      <c r="R786" s="27" t="n">
        <f aca="false">IF(Q786="Shoring",D786,0)</f>
        <v>0.801112536916318</v>
      </c>
      <c r="S786" s="27" t="n">
        <f aca="false">MAX(0,GWL-L786)</f>
        <v>2.61107655075601</v>
      </c>
      <c r="T786" s="27" t="n">
        <f aca="false">MAX(0,NG-MAX(L786,GWL))</f>
        <v>0.8</v>
      </c>
      <c r="U786" s="27" t="n">
        <f aca="false">E786+2*WS</f>
        <v>3.02215310151201</v>
      </c>
      <c r="V786" s="27" t="n">
        <f aca="false">IF(Q786="Shoring",D786*M786*U786,0)</f>
        <v>8.25850537753232</v>
      </c>
      <c r="W786" s="27" t="n">
        <f aca="false">IF(Q786="Open cut",D786*(U786*M786+SLOPE_B*S786^2+2*SLOPE_B*S786*T786+SLOPE_A*T786^2),0)</f>
        <v>0</v>
      </c>
      <c r="X786" s="27" t="n">
        <f aca="false">IF(M786&gt;0,D786*(E786+2*SLABOVH)*SLAB,0)</f>
        <v>0.809986100592744</v>
      </c>
      <c r="Y786" s="27" t="n">
        <f aca="false">IF(M786&gt;0,D786*PI()*E786^2/4,0)</f>
        <v>0.657378219987595</v>
      </c>
      <c r="Z786" s="27" t="n">
        <f aca="false">IF(H786-E786&gt;=GWL,99,E786*(MAX(0,GWL-H786)*(GAM_S-GAM_W)+MAX(0,NG-MAX(H786,GWL))*GAM_D)/(GAM_W*PI()*E786^2/4))</f>
        <v>2.96088629778794</v>
      </c>
      <c r="AA786" s="27" t="n">
        <f aca="false">IF(I786-E786&gt;=GWL,99,E786*(MAX(0,GWL-I786)*(GAM_S-GAM_W)+MAX(0,NG-MAX(I786,GWL))*GAM_D)/(GAM_W*PI()*E786^2/4))</f>
        <v>2.96088629778794</v>
      </c>
      <c r="AB786" s="27" t="n">
        <f aca="false">IF(H786-E786&gt;=GWL,99,E786*(MAX(0,GWL-H786)*(GAM_S-GAM_W)+MAX(0,FL-MAX(H786,GWL))*GAM_D)/(GAM_W*PI()*E786^2/4))</f>
        <v>6.8463833783716</v>
      </c>
      <c r="AC786" s="27" t="n">
        <f aca="false">IF(I786-E786&gt;=GWL,99,E786*(MAX(0,GWL-I786)*(GAM_S-GAM_W)+MAX(0,FL-MAX(I786,GWL))*GAM_D)/(GAM_W*PI()*E786^2/4))</f>
        <v>6.8463833783716</v>
      </c>
    </row>
    <row r="787" customFormat="false" ht="15" hidden="false" customHeight="false" outlineLevel="0" collapsed="false">
      <c r="A787" s="25" t="s">
        <v>1341</v>
      </c>
      <c r="B787" s="25" t="s">
        <v>1344</v>
      </c>
      <c r="C787" s="25" t="s">
        <v>1352</v>
      </c>
      <c r="D787" s="26" t="n">
        <v>5.62908128538579</v>
      </c>
      <c r="E787" s="26" t="n">
        <v>1.02215310151201</v>
      </c>
      <c r="F787" s="26" t="n">
        <v>-4.11107655075601</v>
      </c>
      <c r="G787" s="26" t="n">
        <v>-4.11107655075601</v>
      </c>
      <c r="H787" s="26" t="n">
        <v>-2.58892344924399</v>
      </c>
      <c r="I787" s="26" t="n">
        <v>-2.58892344924399</v>
      </c>
      <c r="J787" s="26" t="n">
        <v>21</v>
      </c>
      <c r="K787" s="27" t="n">
        <f aca="false">MIN(F787,G787)</f>
        <v>-4.11107655075601</v>
      </c>
      <c r="L787" s="27" t="n">
        <f aca="false">AVERAGE(F787,G787)</f>
        <v>-4.11107655075601</v>
      </c>
      <c r="M787" s="27" t="n">
        <f aca="false">MAX(0,NG-L787)</f>
        <v>3.41107655075601</v>
      </c>
      <c r="N787" s="27" t="n">
        <f aca="false">MAX(0,GWL-K787)</f>
        <v>2.61107655075601</v>
      </c>
      <c r="O787" s="27" t="n">
        <f aca="false">MAX(0,NG-MAX(K787,GWL))</f>
        <v>0.8</v>
      </c>
      <c r="P787" s="27" t="n">
        <f aca="false">E787/2+WS+SLOPE_A*O787+SLOPE_B*N787</f>
        <v>7.93322965226802</v>
      </c>
      <c r="Q787" s="28" t="str">
        <f aca="false">IF(AND(P787&lt;J787,N787&lt;=MAXOC),"Open cut","Shoring")</f>
        <v>Shoring</v>
      </c>
      <c r="R787" s="27" t="n">
        <f aca="false">IF(Q787="Shoring",D787,0)</f>
        <v>5.62908128538579</v>
      </c>
      <c r="S787" s="27" t="n">
        <f aca="false">MAX(0,GWL-L787)</f>
        <v>2.61107655075601</v>
      </c>
      <c r="T787" s="27" t="n">
        <f aca="false">MAX(0,NG-MAX(L787,GWL))</f>
        <v>0.8</v>
      </c>
      <c r="U787" s="27" t="n">
        <f aca="false">E787+2*WS</f>
        <v>3.02215310151201</v>
      </c>
      <c r="V787" s="27" t="n">
        <f aca="false">IF(Q787="Shoring",D787*M787*U787,0)</f>
        <v>58.0290482593971</v>
      </c>
      <c r="W787" s="27" t="n">
        <f aca="false">IF(Q787="Open cut",D787*(U787*M787+SLOPE_B*S787^2+2*SLOPE_B*S787*T787+SLOPE_A*T787^2),0)</f>
        <v>0</v>
      </c>
      <c r="X787" s="27" t="n">
        <f aca="false">IF(M787&gt;0,D787*(E787+2*SLABOVH)*SLAB,0)</f>
        <v>5.69143208995304</v>
      </c>
      <c r="Y787" s="27" t="n">
        <f aca="false">IF(M787&gt;0,D787*PI()*E787^2/4,0)</f>
        <v>4.61912061668175</v>
      </c>
      <c r="Z787" s="27" t="n">
        <f aca="false">IF(H787-E787&gt;=GWL,99,E787*(MAX(0,GWL-H787)*(GAM_S-GAM_W)+MAX(0,NG-MAX(H787,GWL))*GAM_D)/(GAM_W*PI()*E787^2/4))</f>
        <v>2.96088629778794</v>
      </c>
      <c r="AA787" s="27" t="n">
        <f aca="false">IF(I787-E787&gt;=GWL,99,E787*(MAX(0,GWL-I787)*(GAM_S-GAM_W)+MAX(0,NG-MAX(I787,GWL))*GAM_D)/(GAM_W*PI()*E787^2/4))</f>
        <v>2.96088629778794</v>
      </c>
      <c r="AB787" s="27" t="n">
        <f aca="false">IF(H787-E787&gt;=GWL,99,E787*(MAX(0,GWL-H787)*(GAM_S-GAM_W)+MAX(0,FL-MAX(H787,GWL))*GAM_D)/(GAM_W*PI()*E787^2/4))</f>
        <v>6.8463833783716</v>
      </c>
      <c r="AC787" s="27" t="n">
        <f aca="false">IF(I787-E787&gt;=GWL,99,E787*(MAX(0,GWL-I787)*(GAM_S-GAM_W)+MAX(0,FL-MAX(I787,GWL))*GAM_D)/(GAM_W*PI()*E787^2/4))</f>
        <v>6.8463833783716</v>
      </c>
    </row>
    <row r="788" customFormat="false" ht="15" hidden="false" customHeight="false" outlineLevel="0" collapsed="false">
      <c r="A788" s="25" t="s">
        <v>1341</v>
      </c>
      <c r="B788" s="25" t="s">
        <v>1353</v>
      </c>
      <c r="C788" s="25" t="s">
        <v>1354</v>
      </c>
      <c r="D788" s="26" t="n">
        <v>2.36555422201481</v>
      </c>
      <c r="E788" s="26" t="n">
        <v>2.06959899489387</v>
      </c>
      <c r="F788" s="26" t="n">
        <v>-4.63479949744693</v>
      </c>
      <c r="G788" s="26" t="n">
        <v>-4.63479949744693</v>
      </c>
      <c r="H788" s="26" t="n">
        <v>-2.06520050255307</v>
      </c>
      <c r="I788" s="26" t="n">
        <v>-2.06520050255307</v>
      </c>
      <c r="J788" s="26" t="n">
        <v>26.63</v>
      </c>
      <c r="K788" s="27" t="n">
        <f aca="false">MIN(F788,G788)</f>
        <v>-4.63479949744693</v>
      </c>
      <c r="L788" s="27" t="n">
        <f aca="false">AVERAGE(F788,G788)</f>
        <v>-4.63479949744693</v>
      </c>
      <c r="M788" s="27" t="n">
        <f aca="false">MAX(0,NG-L788)</f>
        <v>3.93479949744693</v>
      </c>
      <c r="N788" s="27" t="n">
        <f aca="false">MAX(0,GWL-K788)</f>
        <v>3.13479949744693</v>
      </c>
      <c r="O788" s="27" t="n">
        <f aca="false">MAX(0,NG-MAX(K788,GWL))</f>
        <v>0.8</v>
      </c>
      <c r="P788" s="27" t="n">
        <f aca="false">E788/2+WS+SLOPE_A*O788+SLOPE_B*N788</f>
        <v>9.5043984923408</v>
      </c>
      <c r="Q788" s="28" t="str">
        <f aca="false">IF(AND(P788&lt;J788,N788&lt;=MAXOC),"Open cut","Shoring")</f>
        <v>Shoring</v>
      </c>
      <c r="R788" s="27" t="n">
        <f aca="false">IF(Q788="Shoring",D788,0)</f>
        <v>2.36555422201481</v>
      </c>
      <c r="S788" s="27" t="n">
        <f aca="false">MAX(0,GWL-L788)</f>
        <v>3.13479949744693</v>
      </c>
      <c r="T788" s="27" t="n">
        <f aca="false">MAX(0,NG-MAX(L788,GWL))</f>
        <v>0.8</v>
      </c>
      <c r="U788" s="27" t="n">
        <f aca="false">E788+2*WS</f>
        <v>4.06959899489387</v>
      </c>
      <c r="V788" s="27" t="n">
        <f aca="false">IF(Q788="Shoring",D788*M788*U788,0)</f>
        <v>37.8797524172121</v>
      </c>
      <c r="W788" s="27" t="n">
        <f aca="false">IF(Q788="Open cut",D788*(U788*M788+SLOPE_B*S788^2+2*SLOPE_B*S788*T788+SLOPE_A*T788^2),0)</f>
        <v>0</v>
      </c>
      <c r="X788" s="27" t="n">
        <f aca="false">IF(M788&gt;0,D788*(E788+2*SLABOVH)*SLAB,0)</f>
        <v>3.6306514311318</v>
      </c>
      <c r="Y788" s="27" t="n">
        <f aca="false">IF(M788&gt;0,D788*PI()*E788^2/4,0)</f>
        <v>7.95783991080754</v>
      </c>
      <c r="Z788" s="27" t="n">
        <f aca="false">IF(H788-E788&gt;=GWL,99,E788*(MAX(0,GWL-H788)*(GAM_S-GAM_W)+MAX(0,NG-MAX(H788,GWL))*GAM_D)/(GAM_W*PI()*E788^2/4))</f>
        <v>1.19335784550088</v>
      </c>
      <c r="AA788" s="27" t="n">
        <f aca="false">IF(I788-E788&gt;=GWL,99,E788*(MAX(0,GWL-I788)*(GAM_S-GAM_W)+MAX(0,NG-MAX(I788,GWL))*GAM_D)/(GAM_W*PI()*E788^2/4))</f>
        <v>1.19335784550088</v>
      </c>
      <c r="AB788" s="27" t="n">
        <f aca="false">IF(H788-E788&gt;=GWL,99,E788*(MAX(0,GWL-H788)*(GAM_S-GAM_W)+MAX(0,FL-MAX(H788,GWL))*GAM_D)/(GAM_W*PI()*E788^2/4))</f>
        <v>3.11236384696935</v>
      </c>
      <c r="AC788" s="27" t="n">
        <f aca="false">IF(I788-E788&gt;=GWL,99,E788*(MAX(0,GWL-I788)*(GAM_S-GAM_W)+MAX(0,FL-MAX(I788,GWL))*GAM_D)/(GAM_W*PI()*E788^2/4))</f>
        <v>3.11236384696935</v>
      </c>
    </row>
    <row r="789" customFormat="false" ht="15" hidden="false" customHeight="false" outlineLevel="0" collapsed="false">
      <c r="A789" s="25" t="s">
        <v>1341</v>
      </c>
      <c r="B789" s="25" t="s">
        <v>1353</v>
      </c>
      <c r="C789" s="25" t="s">
        <v>1355</v>
      </c>
      <c r="D789" s="26" t="n">
        <v>2.00536449198713</v>
      </c>
      <c r="E789" s="26" t="n">
        <v>2.06959608601728</v>
      </c>
      <c r="F789" s="26" t="n">
        <v>-4.63479804300864</v>
      </c>
      <c r="G789" s="26" t="n">
        <v>-4.63479804300864</v>
      </c>
      <c r="H789" s="26" t="n">
        <v>-2.06520195699136</v>
      </c>
      <c r="I789" s="26" t="n">
        <v>-2.06520195699136</v>
      </c>
      <c r="J789" s="26" t="n">
        <v>26.69</v>
      </c>
      <c r="K789" s="27" t="n">
        <f aca="false">MIN(F789,G789)</f>
        <v>-4.63479804300864</v>
      </c>
      <c r="L789" s="27" t="n">
        <f aca="false">AVERAGE(F789,G789)</f>
        <v>-4.63479804300864</v>
      </c>
      <c r="M789" s="27" t="n">
        <f aca="false">MAX(0,NG-L789)</f>
        <v>3.93479804300864</v>
      </c>
      <c r="N789" s="27" t="n">
        <f aca="false">MAX(0,GWL-K789)</f>
        <v>3.13479804300864</v>
      </c>
      <c r="O789" s="27" t="n">
        <f aca="false">MAX(0,NG-MAX(K789,GWL))</f>
        <v>0.8</v>
      </c>
      <c r="P789" s="27" t="n">
        <f aca="false">E789/2+WS+SLOPE_A*O789+SLOPE_B*N789</f>
        <v>9.50439412902592</v>
      </c>
      <c r="Q789" s="28" t="str">
        <f aca="false">IF(AND(P789&lt;J789,N789&lt;=MAXOC),"Open cut","Shoring")</f>
        <v>Shoring</v>
      </c>
      <c r="R789" s="27" t="n">
        <f aca="false">IF(Q789="Shoring",D789,0)</f>
        <v>2.00536449198713</v>
      </c>
      <c r="S789" s="27" t="n">
        <f aca="false">MAX(0,GWL-L789)</f>
        <v>3.13479804300864</v>
      </c>
      <c r="T789" s="27" t="n">
        <f aca="false">MAX(0,NG-MAX(L789,GWL))</f>
        <v>0.8</v>
      </c>
      <c r="U789" s="27" t="n">
        <f aca="false">E789+2*WS</f>
        <v>4.06959608601728</v>
      </c>
      <c r="V789" s="27" t="n">
        <f aca="false">IF(Q789="Shoring",D789*M789*U789,0)</f>
        <v>32.1119792480695</v>
      </c>
      <c r="W789" s="27" t="n">
        <f aca="false">IF(Q789="Open cut",D789*(U789*M789+SLOPE_B*S789^2+2*SLOPE_B*S789*T789+SLOPE_A*T789^2),0)</f>
        <v>0</v>
      </c>
      <c r="X789" s="27" t="n">
        <f aca="false">IF(M789&gt;0,D789*(E789+2*SLABOVH)*SLAB,0)</f>
        <v>3.07782949782086</v>
      </c>
      <c r="Y789" s="27" t="n">
        <f aca="false">IF(M789&gt;0,D789*PI()*E789^2/4,0)</f>
        <v>6.74612510748649</v>
      </c>
      <c r="Z789" s="27" t="n">
        <f aca="false">IF(H789-E789&gt;=GWL,99,E789*(MAX(0,GWL-H789)*(GAM_S-GAM_W)+MAX(0,NG-MAX(H789,GWL))*GAM_D)/(GAM_W*PI()*E789^2/4))</f>
        <v>1.1933602698238</v>
      </c>
      <c r="AA789" s="27" t="n">
        <f aca="false">IF(I789-E789&gt;=GWL,99,E789*(MAX(0,GWL-I789)*(GAM_S-GAM_W)+MAX(0,NG-MAX(I789,GWL))*GAM_D)/(GAM_W*PI()*E789^2/4))</f>
        <v>1.1933602698238</v>
      </c>
      <c r="AB789" s="27" t="n">
        <f aca="false">IF(H789-E789&gt;=GWL,99,E789*(MAX(0,GWL-H789)*(GAM_S-GAM_W)+MAX(0,FL-MAX(H789,GWL))*GAM_D)/(GAM_W*PI()*E789^2/4))</f>
        <v>3.11236896851019</v>
      </c>
      <c r="AC789" s="27" t="n">
        <f aca="false">IF(I789-E789&gt;=GWL,99,E789*(MAX(0,GWL-I789)*(GAM_S-GAM_W)+MAX(0,FL-MAX(I789,GWL))*GAM_D)/(GAM_W*PI()*E789^2/4))</f>
        <v>3.11236896851019</v>
      </c>
    </row>
    <row r="790" customFormat="false" ht="15" hidden="false" customHeight="false" outlineLevel="0" collapsed="false">
      <c r="A790" s="25" t="s">
        <v>1341</v>
      </c>
      <c r="B790" s="25" t="s">
        <v>1353</v>
      </c>
      <c r="C790" s="25" t="s">
        <v>1356</v>
      </c>
      <c r="D790" s="26" t="n">
        <v>10.0000000007514</v>
      </c>
      <c r="E790" s="26" t="n">
        <v>2.06959608601728</v>
      </c>
      <c r="F790" s="26" t="n">
        <v>-4.63479804300864</v>
      </c>
      <c r="G790" s="26" t="n">
        <v>-4.63479804300864</v>
      </c>
      <c r="H790" s="26" t="n">
        <v>-2.06520195699136</v>
      </c>
      <c r="I790" s="26" t="n">
        <v>-2.06520195699136</v>
      </c>
      <c r="J790" s="26" t="n">
        <v>26.81</v>
      </c>
      <c r="K790" s="27" t="n">
        <f aca="false">MIN(F790,G790)</f>
        <v>-4.63479804300864</v>
      </c>
      <c r="L790" s="27" t="n">
        <f aca="false">AVERAGE(F790,G790)</f>
        <v>-4.63479804300864</v>
      </c>
      <c r="M790" s="27" t="n">
        <f aca="false">MAX(0,NG-L790)</f>
        <v>3.93479804300864</v>
      </c>
      <c r="N790" s="27" t="n">
        <f aca="false">MAX(0,GWL-K790)</f>
        <v>3.13479804300864</v>
      </c>
      <c r="O790" s="27" t="n">
        <f aca="false">MAX(0,NG-MAX(K790,GWL))</f>
        <v>0.8</v>
      </c>
      <c r="P790" s="27" t="n">
        <f aca="false">E790/2+WS+SLOPE_A*O790+SLOPE_B*N790</f>
        <v>9.50439412902592</v>
      </c>
      <c r="Q790" s="28" t="str">
        <f aca="false">IF(AND(P790&lt;J790,N790&lt;=MAXOC),"Open cut","Shoring")</f>
        <v>Shoring</v>
      </c>
      <c r="R790" s="27" t="n">
        <f aca="false">IF(Q790="Shoring",D790,0)</f>
        <v>10.0000000007514</v>
      </c>
      <c r="S790" s="27" t="n">
        <f aca="false">MAX(0,GWL-L790)</f>
        <v>3.13479804300864</v>
      </c>
      <c r="T790" s="27" t="n">
        <f aca="false">MAX(0,NG-MAX(L790,GWL))</f>
        <v>0.8</v>
      </c>
      <c r="U790" s="27" t="n">
        <f aca="false">E790+2*WS</f>
        <v>4.06959608601728</v>
      </c>
      <c r="V790" s="27" t="n">
        <f aca="false">IF(Q790="Shoring",D790*M790*U790,0)</f>
        <v>160.130387162996</v>
      </c>
      <c r="W790" s="27" t="n">
        <f aca="false">IF(Q790="Open cut",D790*(U790*M790+SLOPE_B*S790^2+2*SLOPE_B*S790*T790+SLOPE_A*T790^2),0)</f>
        <v>0</v>
      </c>
      <c r="X790" s="27" t="n">
        <f aca="false">IF(M790&gt;0,D790*(E790+2*SLABOVH)*SLAB,0)</f>
        <v>15.3479804312396</v>
      </c>
      <c r="Y790" s="27" t="n">
        <f aca="false">IF(M790&gt;0,D790*PI()*E790^2/4,0)</f>
        <v>33.6403937286662</v>
      </c>
      <c r="Z790" s="27" t="n">
        <f aca="false">IF(H790-E790&gt;=GWL,99,E790*(MAX(0,GWL-H790)*(GAM_S-GAM_W)+MAX(0,NG-MAX(H790,GWL))*GAM_D)/(GAM_W*PI()*E790^2/4))</f>
        <v>1.1933602698238</v>
      </c>
      <c r="AA790" s="27" t="n">
        <f aca="false">IF(I790-E790&gt;=GWL,99,E790*(MAX(0,GWL-I790)*(GAM_S-GAM_W)+MAX(0,NG-MAX(I790,GWL))*GAM_D)/(GAM_W*PI()*E790^2/4))</f>
        <v>1.1933602698238</v>
      </c>
      <c r="AB790" s="27" t="n">
        <f aca="false">IF(H790-E790&gt;=GWL,99,E790*(MAX(0,GWL-H790)*(GAM_S-GAM_W)+MAX(0,FL-MAX(H790,GWL))*GAM_D)/(GAM_W*PI()*E790^2/4))</f>
        <v>3.11236896851019</v>
      </c>
      <c r="AC790" s="27" t="n">
        <f aca="false">IF(I790-E790&gt;=GWL,99,E790*(MAX(0,GWL-I790)*(GAM_S-GAM_W)+MAX(0,FL-MAX(I790,GWL))*GAM_D)/(GAM_W*PI()*E790^2/4))</f>
        <v>3.11236896851019</v>
      </c>
    </row>
    <row r="791" customFormat="false" ht="15" hidden="false" customHeight="false" outlineLevel="0" collapsed="false">
      <c r="A791" s="25" t="s">
        <v>1341</v>
      </c>
      <c r="B791" s="25" t="s">
        <v>1353</v>
      </c>
      <c r="C791" s="25" t="s">
        <v>1357</v>
      </c>
      <c r="D791" s="26" t="n">
        <v>9.9999999995427</v>
      </c>
      <c r="E791" s="26" t="n">
        <v>2.06959608601728</v>
      </c>
      <c r="F791" s="26" t="n">
        <v>-4.63479804300864</v>
      </c>
      <c r="G791" s="26" t="n">
        <v>-4.63479804300864</v>
      </c>
      <c r="H791" s="26" t="n">
        <v>-2.06520195699136</v>
      </c>
      <c r="I791" s="26" t="n">
        <v>-2.06520195699136</v>
      </c>
      <c r="J791" s="26" t="n">
        <v>28.47</v>
      </c>
      <c r="K791" s="27" t="n">
        <f aca="false">MIN(F791,G791)</f>
        <v>-4.63479804300864</v>
      </c>
      <c r="L791" s="27" t="n">
        <f aca="false">AVERAGE(F791,G791)</f>
        <v>-4.63479804300864</v>
      </c>
      <c r="M791" s="27" t="n">
        <f aca="false">MAX(0,NG-L791)</f>
        <v>3.93479804300864</v>
      </c>
      <c r="N791" s="27" t="n">
        <f aca="false">MAX(0,GWL-K791)</f>
        <v>3.13479804300864</v>
      </c>
      <c r="O791" s="27" t="n">
        <f aca="false">MAX(0,NG-MAX(K791,GWL))</f>
        <v>0.8</v>
      </c>
      <c r="P791" s="27" t="n">
        <f aca="false">E791/2+WS+SLOPE_A*O791+SLOPE_B*N791</f>
        <v>9.50439412902592</v>
      </c>
      <c r="Q791" s="28" t="str">
        <f aca="false">IF(AND(P791&lt;J791,N791&lt;=MAXOC),"Open cut","Shoring")</f>
        <v>Shoring</v>
      </c>
      <c r="R791" s="27" t="n">
        <f aca="false">IF(Q791="Shoring",D791,0)</f>
        <v>9.9999999995427</v>
      </c>
      <c r="S791" s="27" t="n">
        <f aca="false">MAX(0,GWL-L791)</f>
        <v>3.13479804300864</v>
      </c>
      <c r="T791" s="27" t="n">
        <f aca="false">MAX(0,NG-MAX(L791,GWL))</f>
        <v>0.8</v>
      </c>
      <c r="U791" s="27" t="n">
        <f aca="false">E791+2*WS</f>
        <v>4.06959608601728</v>
      </c>
      <c r="V791" s="27" t="n">
        <f aca="false">IF(Q791="Shoring",D791*M791*U791,0)</f>
        <v>160.130387143641</v>
      </c>
      <c r="W791" s="27" t="n">
        <f aca="false">IF(Q791="Open cut",D791*(U791*M791+SLOPE_B*S791^2+2*SLOPE_B*S791*T791+SLOPE_A*T791^2),0)</f>
        <v>0</v>
      </c>
      <c r="X791" s="27" t="n">
        <f aca="false">IF(M791&gt;0,D791*(E791+2*SLABOVH)*SLAB,0)</f>
        <v>15.3479804293845</v>
      </c>
      <c r="Y791" s="27" t="n">
        <f aca="false">IF(M791&gt;0,D791*PI()*E791^2/4,0)</f>
        <v>33.6403937246001</v>
      </c>
      <c r="Z791" s="27" t="n">
        <f aca="false">IF(H791-E791&gt;=GWL,99,E791*(MAX(0,GWL-H791)*(GAM_S-GAM_W)+MAX(0,NG-MAX(H791,GWL))*GAM_D)/(GAM_W*PI()*E791^2/4))</f>
        <v>1.1933602698238</v>
      </c>
      <c r="AA791" s="27" t="n">
        <f aca="false">IF(I791-E791&gt;=GWL,99,E791*(MAX(0,GWL-I791)*(GAM_S-GAM_W)+MAX(0,NG-MAX(I791,GWL))*GAM_D)/(GAM_W*PI()*E791^2/4))</f>
        <v>1.1933602698238</v>
      </c>
      <c r="AB791" s="27" t="n">
        <f aca="false">IF(H791-E791&gt;=GWL,99,E791*(MAX(0,GWL-H791)*(GAM_S-GAM_W)+MAX(0,FL-MAX(H791,GWL))*GAM_D)/(GAM_W*PI()*E791^2/4))</f>
        <v>3.11236896851019</v>
      </c>
      <c r="AC791" s="27" t="n">
        <f aca="false">IF(I791-E791&gt;=GWL,99,E791*(MAX(0,GWL-I791)*(GAM_S-GAM_W)+MAX(0,FL-MAX(I791,GWL))*GAM_D)/(GAM_W*PI()*E791^2/4))</f>
        <v>3.11236896851019</v>
      </c>
    </row>
    <row r="792" customFormat="false" ht="15" hidden="false" customHeight="false" outlineLevel="0" collapsed="false">
      <c r="A792" s="25" t="s">
        <v>1341</v>
      </c>
      <c r="B792" s="25" t="s">
        <v>1353</v>
      </c>
      <c r="C792" s="25" t="s">
        <v>1358</v>
      </c>
      <c r="D792" s="26" t="n">
        <v>9.99999999994559</v>
      </c>
      <c r="E792" s="26" t="n">
        <v>2.06959608601728</v>
      </c>
      <c r="F792" s="26" t="n">
        <v>-4.63479804300864</v>
      </c>
      <c r="G792" s="26" t="n">
        <v>-4.63479804300864</v>
      </c>
      <c r="H792" s="26" t="n">
        <v>-2.06520195699136</v>
      </c>
      <c r="I792" s="26" t="n">
        <v>-2.06520195699136</v>
      </c>
      <c r="J792" s="26" t="n">
        <v>31.75</v>
      </c>
      <c r="K792" s="27" t="n">
        <f aca="false">MIN(F792,G792)</f>
        <v>-4.63479804300864</v>
      </c>
      <c r="L792" s="27" t="n">
        <f aca="false">AVERAGE(F792,G792)</f>
        <v>-4.63479804300864</v>
      </c>
      <c r="M792" s="27" t="n">
        <f aca="false">MAX(0,NG-L792)</f>
        <v>3.93479804300864</v>
      </c>
      <c r="N792" s="27" t="n">
        <f aca="false">MAX(0,GWL-K792)</f>
        <v>3.13479804300864</v>
      </c>
      <c r="O792" s="27" t="n">
        <f aca="false">MAX(0,NG-MAX(K792,GWL))</f>
        <v>0.8</v>
      </c>
      <c r="P792" s="27" t="n">
        <f aca="false">E792/2+WS+SLOPE_A*O792+SLOPE_B*N792</f>
        <v>9.50439412902592</v>
      </c>
      <c r="Q792" s="28" t="str">
        <f aca="false">IF(AND(P792&lt;J792,N792&lt;=MAXOC),"Open cut","Shoring")</f>
        <v>Shoring</v>
      </c>
      <c r="R792" s="27" t="n">
        <f aca="false">IF(Q792="Shoring",D792,0)</f>
        <v>9.99999999994559</v>
      </c>
      <c r="S792" s="27" t="n">
        <f aca="false">MAX(0,GWL-L792)</f>
        <v>3.13479804300864</v>
      </c>
      <c r="T792" s="27" t="n">
        <f aca="false">MAX(0,NG-MAX(L792,GWL))</f>
        <v>0.8</v>
      </c>
      <c r="U792" s="27" t="n">
        <f aca="false">E792+2*WS</f>
        <v>4.06959608601728</v>
      </c>
      <c r="V792" s="27" t="n">
        <f aca="false">IF(Q792="Shoring",D792*M792*U792,0)</f>
        <v>160.130387150093</v>
      </c>
      <c r="W792" s="27" t="n">
        <f aca="false">IF(Q792="Open cut",D792*(U792*M792+SLOPE_B*S792^2+2*SLOPE_B*S792*T792+SLOPE_A*T792^2),0)</f>
        <v>0</v>
      </c>
      <c r="X792" s="27" t="n">
        <f aca="false">IF(M792&gt;0,D792*(E792+2*SLABOVH)*SLAB,0)</f>
        <v>15.3479804300029</v>
      </c>
      <c r="Y792" s="27" t="n">
        <f aca="false">IF(M792&gt;0,D792*PI()*E792^2/4,0)</f>
        <v>33.6403937259555</v>
      </c>
      <c r="Z792" s="27" t="n">
        <f aca="false">IF(H792-E792&gt;=GWL,99,E792*(MAX(0,GWL-H792)*(GAM_S-GAM_W)+MAX(0,NG-MAX(H792,GWL))*GAM_D)/(GAM_W*PI()*E792^2/4))</f>
        <v>1.1933602698238</v>
      </c>
      <c r="AA792" s="27" t="n">
        <f aca="false">IF(I792-E792&gt;=GWL,99,E792*(MAX(0,GWL-I792)*(GAM_S-GAM_W)+MAX(0,NG-MAX(I792,GWL))*GAM_D)/(GAM_W*PI()*E792^2/4))</f>
        <v>1.1933602698238</v>
      </c>
      <c r="AB792" s="27" t="n">
        <f aca="false">IF(H792-E792&gt;=GWL,99,E792*(MAX(0,GWL-H792)*(GAM_S-GAM_W)+MAX(0,FL-MAX(H792,GWL))*GAM_D)/(GAM_W*PI()*E792^2/4))</f>
        <v>3.11236896851019</v>
      </c>
      <c r="AC792" s="27" t="n">
        <f aca="false">IF(I792-E792&gt;=GWL,99,E792*(MAX(0,GWL-I792)*(GAM_S-GAM_W)+MAX(0,FL-MAX(I792,GWL))*GAM_D)/(GAM_W*PI()*E792^2/4))</f>
        <v>3.11236896851019</v>
      </c>
    </row>
    <row r="793" customFormat="false" ht="15" hidden="false" customHeight="false" outlineLevel="0" collapsed="false">
      <c r="A793" s="25" t="s">
        <v>1341</v>
      </c>
      <c r="B793" s="25" t="s">
        <v>1353</v>
      </c>
      <c r="C793" s="25" t="s">
        <v>1359</v>
      </c>
      <c r="D793" s="26" t="n">
        <v>10.0000000008098</v>
      </c>
      <c r="E793" s="26" t="n">
        <v>2.06959608601728</v>
      </c>
      <c r="F793" s="26" t="n">
        <v>-4.63479804300864</v>
      </c>
      <c r="G793" s="26" t="n">
        <v>-4.63479804300864</v>
      </c>
      <c r="H793" s="26" t="n">
        <v>-2.06520195699136</v>
      </c>
      <c r="I793" s="26" t="n">
        <v>-2.06520195699136</v>
      </c>
      <c r="J793" s="26" t="n">
        <v>99</v>
      </c>
      <c r="K793" s="27" t="n">
        <f aca="false">MIN(F793,G793)</f>
        <v>-4.63479804300864</v>
      </c>
      <c r="L793" s="27" t="n">
        <f aca="false">AVERAGE(F793,G793)</f>
        <v>-4.63479804300864</v>
      </c>
      <c r="M793" s="27" t="n">
        <f aca="false">MAX(0,NG-L793)</f>
        <v>3.93479804300864</v>
      </c>
      <c r="N793" s="27" t="n">
        <f aca="false">MAX(0,GWL-K793)</f>
        <v>3.13479804300864</v>
      </c>
      <c r="O793" s="27" t="n">
        <f aca="false">MAX(0,NG-MAX(K793,GWL))</f>
        <v>0.8</v>
      </c>
      <c r="P793" s="27" t="n">
        <f aca="false">E793/2+WS+SLOPE_A*O793+SLOPE_B*N793</f>
        <v>9.50439412902592</v>
      </c>
      <c r="Q793" s="28" t="str">
        <f aca="false">IF(AND(P793&lt;J793,N793&lt;=MAXOC),"Open cut","Shoring")</f>
        <v>Shoring</v>
      </c>
      <c r="R793" s="27" t="n">
        <f aca="false">IF(Q793="Shoring",D793,0)</f>
        <v>10.0000000008098</v>
      </c>
      <c r="S793" s="27" t="n">
        <f aca="false">MAX(0,GWL-L793)</f>
        <v>3.13479804300864</v>
      </c>
      <c r="T793" s="27" t="n">
        <f aca="false">MAX(0,NG-MAX(L793,GWL))</f>
        <v>0.8</v>
      </c>
      <c r="U793" s="27" t="n">
        <f aca="false">E793+2*WS</f>
        <v>4.06959608601728</v>
      </c>
      <c r="V793" s="27" t="n">
        <f aca="false">IF(Q793="Shoring",D793*M793*U793,0)</f>
        <v>160.130387163931</v>
      </c>
      <c r="W793" s="27" t="n">
        <f aca="false">IF(Q793="Open cut",D793*(U793*M793+SLOPE_B*S793^2+2*SLOPE_B*S793*T793+SLOPE_A*T793^2),0)</f>
        <v>0</v>
      </c>
      <c r="X793" s="27" t="n">
        <f aca="false">IF(M793&gt;0,D793*(E793+2*SLABOVH)*SLAB,0)</f>
        <v>15.3479804313292</v>
      </c>
      <c r="Y793" s="27" t="n">
        <f aca="false">IF(M793&gt;0,D793*PI()*E793^2/4,0)</f>
        <v>33.6403937288626</v>
      </c>
      <c r="Z793" s="27" t="n">
        <f aca="false">IF(H793-E793&gt;=GWL,99,E793*(MAX(0,GWL-H793)*(GAM_S-GAM_W)+MAX(0,NG-MAX(H793,GWL))*GAM_D)/(GAM_W*PI()*E793^2/4))</f>
        <v>1.1933602698238</v>
      </c>
      <c r="AA793" s="27" t="n">
        <f aca="false">IF(I793-E793&gt;=GWL,99,E793*(MAX(0,GWL-I793)*(GAM_S-GAM_W)+MAX(0,NG-MAX(I793,GWL))*GAM_D)/(GAM_W*PI()*E793^2/4))</f>
        <v>1.1933602698238</v>
      </c>
      <c r="AB793" s="27" t="n">
        <f aca="false">IF(H793-E793&gt;=GWL,99,E793*(MAX(0,GWL-H793)*(GAM_S-GAM_W)+MAX(0,FL-MAX(H793,GWL))*GAM_D)/(GAM_W*PI()*E793^2/4))</f>
        <v>3.11236896851019</v>
      </c>
      <c r="AC793" s="27" t="n">
        <f aca="false">IF(I793-E793&gt;=GWL,99,E793*(MAX(0,GWL-I793)*(GAM_S-GAM_W)+MAX(0,FL-MAX(I793,GWL))*GAM_D)/(GAM_W*PI()*E793^2/4))</f>
        <v>3.11236896851019</v>
      </c>
    </row>
    <row r="794" customFormat="false" ht="15" hidden="false" customHeight="false" outlineLevel="0" collapsed="false">
      <c r="A794" s="25" t="s">
        <v>1341</v>
      </c>
      <c r="B794" s="25" t="s">
        <v>1353</v>
      </c>
      <c r="C794" s="25" t="s">
        <v>1360</v>
      </c>
      <c r="D794" s="26" t="n">
        <v>9.99999999994559</v>
      </c>
      <c r="E794" s="26" t="n">
        <v>2.06959608601728</v>
      </c>
      <c r="F794" s="26" t="n">
        <v>-4.63479804300864</v>
      </c>
      <c r="G794" s="26" t="n">
        <v>-4.63479804300864</v>
      </c>
      <c r="H794" s="26" t="n">
        <v>-2.06520195699136</v>
      </c>
      <c r="I794" s="26" t="n">
        <v>-2.06520195699136</v>
      </c>
      <c r="J794" s="26" t="n">
        <v>99</v>
      </c>
      <c r="K794" s="27" t="n">
        <f aca="false">MIN(F794,G794)</f>
        <v>-4.63479804300864</v>
      </c>
      <c r="L794" s="27" t="n">
        <f aca="false">AVERAGE(F794,G794)</f>
        <v>-4.63479804300864</v>
      </c>
      <c r="M794" s="27" t="n">
        <f aca="false">MAX(0,NG-L794)</f>
        <v>3.93479804300864</v>
      </c>
      <c r="N794" s="27" t="n">
        <f aca="false">MAX(0,GWL-K794)</f>
        <v>3.13479804300864</v>
      </c>
      <c r="O794" s="27" t="n">
        <f aca="false">MAX(0,NG-MAX(K794,GWL))</f>
        <v>0.8</v>
      </c>
      <c r="P794" s="27" t="n">
        <f aca="false">E794/2+WS+SLOPE_A*O794+SLOPE_B*N794</f>
        <v>9.50439412902592</v>
      </c>
      <c r="Q794" s="28" t="str">
        <f aca="false">IF(AND(P794&lt;J794,N794&lt;=MAXOC),"Open cut","Shoring")</f>
        <v>Shoring</v>
      </c>
      <c r="R794" s="27" t="n">
        <f aca="false">IF(Q794="Shoring",D794,0)</f>
        <v>9.99999999994559</v>
      </c>
      <c r="S794" s="27" t="n">
        <f aca="false">MAX(0,GWL-L794)</f>
        <v>3.13479804300864</v>
      </c>
      <c r="T794" s="27" t="n">
        <f aca="false">MAX(0,NG-MAX(L794,GWL))</f>
        <v>0.8</v>
      </c>
      <c r="U794" s="27" t="n">
        <f aca="false">E794+2*WS</f>
        <v>4.06959608601728</v>
      </c>
      <c r="V794" s="27" t="n">
        <f aca="false">IF(Q794="Shoring",D794*M794*U794,0)</f>
        <v>160.130387150093</v>
      </c>
      <c r="W794" s="27" t="n">
        <f aca="false">IF(Q794="Open cut",D794*(U794*M794+SLOPE_B*S794^2+2*SLOPE_B*S794*T794+SLOPE_A*T794^2),0)</f>
        <v>0</v>
      </c>
      <c r="X794" s="27" t="n">
        <f aca="false">IF(M794&gt;0,D794*(E794+2*SLABOVH)*SLAB,0)</f>
        <v>15.3479804300029</v>
      </c>
      <c r="Y794" s="27" t="n">
        <f aca="false">IF(M794&gt;0,D794*PI()*E794^2/4,0)</f>
        <v>33.6403937259555</v>
      </c>
      <c r="Z794" s="27" t="n">
        <f aca="false">IF(H794-E794&gt;=GWL,99,E794*(MAX(0,GWL-H794)*(GAM_S-GAM_W)+MAX(0,NG-MAX(H794,GWL))*GAM_D)/(GAM_W*PI()*E794^2/4))</f>
        <v>1.1933602698238</v>
      </c>
      <c r="AA794" s="27" t="n">
        <f aca="false">IF(I794-E794&gt;=GWL,99,E794*(MAX(0,GWL-I794)*(GAM_S-GAM_W)+MAX(0,NG-MAX(I794,GWL))*GAM_D)/(GAM_W*PI()*E794^2/4))</f>
        <v>1.1933602698238</v>
      </c>
      <c r="AB794" s="27" t="n">
        <f aca="false">IF(H794-E794&gt;=GWL,99,E794*(MAX(0,GWL-H794)*(GAM_S-GAM_W)+MAX(0,FL-MAX(H794,GWL))*GAM_D)/(GAM_W*PI()*E794^2/4))</f>
        <v>3.11236896851019</v>
      </c>
      <c r="AC794" s="27" t="n">
        <f aca="false">IF(I794-E794&gt;=GWL,99,E794*(MAX(0,GWL-I794)*(GAM_S-GAM_W)+MAX(0,FL-MAX(I794,GWL))*GAM_D)/(GAM_W*PI()*E794^2/4))</f>
        <v>3.11236896851019</v>
      </c>
    </row>
    <row r="795" customFormat="false" ht="15" hidden="false" customHeight="false" outlineLevel="0" collapsed="false">
      <c r="A795" s="25" t="s">
        <v>1341</v>
      </c>
      <c r="B795" s="25" t="s">
        <v>1353</v>
      </c>
      <c r="C795" s="25" t="s">
        <v>1361</v>
      </c>
      <c r="D795" s="26" t="n">
        <v>9.9999999995427</v>
      </c>
      <c r="E795" s="26" t="n">
        <v>2.06959608601728</v>
      </c>
      <c r="F795" s="26" t="n">
        <v>-4.63479804300864</v>
      </c>
      <c r="G795" s="26" t="n">
        <v>-4.63479804300864</v>
      </c>
      <c r="H795" s="26" t="n">
        <v>-2.06520195699136</v>
      </c>
      <c r="I795" s="26" t="n">
        <v>-2.06520195699136</v>
      </c>
      <c r="J795" s="26" t="n">
        <v>21.07</v>
      </c>
      <c r="K795" s="27" t="n">
        <f aca="false">MIN(F795,G795)</f>
        <v>-4.63479804300864</v>
      </c>
      <c r="L795" s="27" t="n">
        <f aca="false">AVERAGE(F795,G795)</f>
        <v>-4.63479804300864</v>
      </c>
      <c r="M795" s="27" t="n">
        <f aca="false">MAX(0,NG-L795)</f>
        <v>3.93479804300864</v>
      </c>
      <c r="N795" s="27" t="n">
        <f aca="false">MAX(0,GWL-K795)</f>
        <v>3.13479804300864</v>
      </c>
      <c r="O795" s="27" t="n">
        <f aca="false">MAX(0,NG-MAX(K795,GWL))</f>
        <v>0.8</v>
      </c>
      <c r="P795" s="27" t="n">
        <f aca="false">E795/2+WS+SLOPE_A*O795+SLOPE_B*N795</f>
        <v>9.50439412902592</v>
      </c>
      <c r="Q795" s="28" t="str">
        <f aca="false">IF(AND(P795&lt;J795,N795&lt;=MAXOC),"Open cut","Shoring")</f>
        <v>Shoring</v>
      </c>
      <c r="R795" s="27" t="n">
        <f aca="false">IF(Q795="Shoring",D795,0)</f>
        <v>9.9999999995427</v>
      </c>
      <c r="S795" s="27" t="n">
        <f aca="false">MAX(0,GWL-L795)</f>
        <v>3.13479804300864</v>
      </c>
      <c r="T795" s="27" t="n">
        <f aca="false">MAX(0,NG-MAX(L795,GWL))</f>
        <v>0.8</v>
      </c>
      <c r="U795" s="27" t="n">
        <f aca="false">E795+2*WS</f>
        <v>4.06959608601728</v>
      </c>
      <c r="V795" s="27" t="n">
        <f aca="false">IF(Q795="Shoring",D795*M795*U795,0)</f>
        <v>160.130387143641</v>
      </c>
      <c r="W795" s="27" t="n">
        <f aca="false">IF(Q795="Open cut",D795*(U795*M795+SLOPE_B*S795^2+2*SLOPE_B*S795*T795+SLOPE_A*T795^2),0)</f>
        <v>0</v>
      </c>
      <c r="X795" s="27" t="n">
        <f aca="false">IF(M795&gt;0,D795*(E795+2*SLABOVH)*SLAB,0)</f>
        <v>15.3479804293845</v>
      </c>
      <c r="Y795" s="27" t="n">
        <f aca="false">IF(M795&gt;0,D795*PI()*E795^2/4,0)</f>
        <v>33.6403937246001</v>
      </c>
      <c r="Z795" s="27" t="n">
        <f aca="false">IF(H795-E795&gt;=GWL,99,E795*(MAX(0,GWL-H795)*(GAM_S-GAM_W)+MAX(0,NG-MAX(H795,GWL))*GAM_D)/(GAM_W*PI()*E795^2/4))</f>
        <v>1.1933602698238</v>
      </c>
      <c r="AA795" s="27" t="n">
        <f aca="false">IF(I795-E795&gt;=GWL,99,E795*(MAX(0,GWL-I795)*(GAM_S-GAM_W)+MAX(0,NG-MAX(I795,GWL))*GAM_D)/(GAM_W*PI()*E795^2/4))</f>
        <v>1.1933602698238</v>
      </c>
      <c r="AB795" s="27" t="n">
        <f aca="false">IF(H795-E795&gt;=GWL,99,E795*(MAX(0,GWL-H795)*(GAM_S-GAM_W)+MAX(0,FL-MAX(H795,GWL))*GAM_D)/(GAM_W*PI()*E795^2/4))</f>
        <v>3.11236896851019</v>
      </c>
      <c r="AC795" s="27" t="n">
        <f aca="false">IF(I795-E795&gt;=GWL,99,E795*(MAX(0,GWL-I795)*(GAM_S-GAM_W)+MAX(0,FL-MAX(I795,GWL))*GAM_D)/(GAM_W*PI()*E795^2/4))</f>
        <v>3.11236896851019</v>
      </c>
    </row>
    <row r="796" customFormat="false" ht="15" hidden="false" customHeight="false" outlineLevel="0" collapsed="false">
      <c r="A796" s="25" t="s">
        <v>1341</v>
      </c>
      <c r="B796" s="25" t="s">
        <v>1353</v>
      </c>
      <c r="C796" s="25" t="s">
        <v>1362</v>
      </c>
      <c r="D796" s="26" t="n">
        <v>5.84429594101158</v>
      </c>
      <c r="E796" s="26" t="n">
        <v>2.06959608601728</v>
      </c>
      <c r="F796" s="26" t="n">
        <v>-4.63479804300864</v>
      </c>
      <c r="G796" s="26" t="n">
        <v>-4.63479804300864</v>
      </c>
      <c r="H796" s="26" t="n">
        <v>-2.06520195699136</v>
      </c>
      <c r="I796" s="26" t="n">
        <v>-2.06520195699136</v>
      </c>
      <c r="J796" s="26" t="n">
        <v>17.77</v>
      </c>
      <c r="K796" s="27" t="n">
        <f aca="false">MIN(F796,G796)</f>
        <v>-4.63479804300864</v>
      </c>
      <c r="L796" s="27" t="n">
        <f aca="false">AVERAGE(F796,G796)</f>
        <v>-4.63479804300864</v>
      </c>
      <c r="M796" s="27" t="n">
        <f aca="false">MAX(0,NG-L796)</f>
        <v>3.93479804300864</v>
      </c>
      <c r="N796" s="27" t="n">
        <f aca="false">MAX(0,GWL-K796)</f>
        <v>3.13479804300864</v>
      </c>
      <c r="O796" s="27" t="n">
        <f aca="false">MAX(0,NG-MAX(K796,GWL))</f>
        <v>0.8</v>
      </c>
      <c r="P796" s="27" t="n">
        <f aca="false">E796/2+WS+SLOPE_A*O796+SLOPE_B*N796</f>
        <v>9.50439412902592</v>
      </c>
      <c r="Q796" s="28" t="str">
        <f aca="false">IF(AND(P796&lt;J796,N796&lt;=MAXOC),"Open cut","Shoring")</f>
        <v>Shoring</v>
      </c>
      <c r="R796" s="27" t="n">
        <f aca="false">IF(Q796="Shoring",D796,0)</f>
        <v>5.84429594101158</v>
      </c>
      <c r="S796" s="27" t="n">
        <f aca="false">MAX(0,GWL-L796)</f>
        <v>3.13479804300864</v>
      </c>
      <c r="T796" s="27" t="n">
        <f aca="false">MAX(0,NG-MAX(L796,GWL))</f>
        <v>0.8</v>
      </c>
      <c r="U796" s="27" t="n">
        <f aca="false">E796+2*WS</f>
        <v>4.06959608601728</v>
      </c>
      <c r="V796" s="27" t="n">
        <f aca="false">IF(Q796="Shoring",D796*M796*U796,0)</f>
        <v>93.5849371658991</v>
      </c>
      <c r="W796" s="27" t="n">
        <f aca="false">IF(Q796="Open cut",D796*(U796*M796+SLOPE_B*S796^2+2*SLOPE_B*S796*T796+SLOPE_A*T796^2),0)</f>
        <v>0</v>
      </c>
      <c r="X796" s="27" t="n">
        <f aca="false">IF(M796&gt;0,D796*(E796+2*SLABOVH)*SLAB,0)</f>
        <v>8.9698139730279</v>
      </c>
      <c r="Y796" s="27" t="n">
        <f aca="false">IF(M796&gt;0,D796*PI()*E796^2/4,0)</f>
        <v>19.6604416507703</v>
      </c>
      <c r="Z796" s="27" t="n">
        <f aca="false">IF(H796-E796&gt;=GWL,99,E796*(MAX(0,GWL-H796)*(GAM_S-GAM_W)+MAX(0,NG-MAX(H796,GWL))*GAM_D)/(GAM_W*PI()*E796^2/4))</f>
        <v>1.1933602698238</v>
      </c>
      <c r="AA796" s="27" t="n">
        <f aca="false">IF(I796-E796&gt;=GWL,99,E796*(MAX(0,GWL-I796)*(GAM_S-GAM_W)+MAX(0,NG-MAX(I796,GWL))*GAM_D)/(GAM_W*PI()*E796^2/4))</f>
        <v>1.1933602698238</v>
      </c>
      <c r="AB796" s="27" t="n">
        <f aca="false">IF(H796-E796&gt;=GWL,99,E796*(MAX(0,GWL-H796)*(GAM_S-GAM_W)+MAX(0,FL-MAX(H796,GWL))*GAM_D)/(GAM_W*PI()*E796^2/4))</f>
        <v>3.11236896851019</v>
      </c>
      <c r="AC796" s="27" t="n">
        <f aca="false">IF(I796-E796&gt;=GWL,99,E796*(MAX(0,GWL-I796)*(GAM_S-GAM_W)+MAX(0,FL-MAX(I796,GWL))*GAM_D)/(GAM_W*PI()*E796^2/4))</f>
        <v>3.11236896851019</v>
      </c>
    </row>
    <row r="797" customFormat="false" ht="15" hidden="false" customHeight="false" outlineLevel="0" collapsed="false">
      <c r="A797" s="25" t="s">
        <v>1341</v>
      </c>
      <c r="B797" s="25" t="s">
        <v>1363</v>
      </c>
      <c r="C797" s="25" t="s">
        <v>1364</v>
      </c>
      <c r="D797" s="26" t="n">
        <v>4.15570405893401</v>
      </c>
      <c r="E797" s="26" t="n">
        <v>2.06959608601728</v>
      </c>
      <c r="F797" s="26" t="n">
        <v>-4.63479804300864</v>
      </c>
      <c r="G797" s="26" t="n">
        <v>-4.63479804300864</v>
      </c>
      <c r="H797" s="26" t="n">
        <v>-2.06520195699136</v>
      </c>
      <c r="I797" s="26" t="n">
        <v>-2.06520195699136</v>
      </c>
      <c r="J797" s="26" t="n">
        <v>16.31</v>
      </c>
      <c r="K797" s="27" t="n">
        <f aca="false">MIN(F797,G797)</f>
        <v>-4.63479804300864</v>
      </c>
      <c r="L797" s="27" t="n">
        <f aca="false">AVERAGE(F797,G797)</f>
        <v>-4.63479804300864</v>
      </c>
      <c r="M797" s="27" t="n">
        <f aca="false">MAX(0,NG-L797)</f>
        <v>3.93479804300864</v>
      </c>
      <c r="N797" s="27" t="n">
        <f aca="false">MAX(0,GWL-K797)</f>
        <v>3.13479804300864</v>
      </c>
      <c r="O797" s="27" t="n">
        <f aca="false">MAX(0,NG-MAX(K797,GWL))</f>
        <v>0.8</v>
      </c>
      <c r="P797" s="27" t="n">
        <f aca="false">E797/2+WS+SLOPE_A*O797+SLOPE_B*N797</f>
        <v>9.50439412902592</v>
      </c>
      <c r="Q797" s="28" t="str">
        <f aca="false">IF(AND(P797&lt;J797,N797&lt;=MAXOC),"Open cut","Shoring")</f>
        <v>Shoring</v>
      </c>
      <c r="R797" s="27" t="n">
        <f aca="false">IF(Q797="Shoring",D797,0)</f>
        <v>4.15570405893401</v>
      </c>
      <c r="S797" s="27" t="n">
        <f aca="false">MAX(0,GWL-L797)</f>
        <v>3.13479804300864</v>
      </c>
      <c r="T797" s="27" t="n">
        <f aca="false">MAX(0,NG-MAX(L797,GWL))</f>
        <v>0.8</v>
      </c>
      <c r="U797" s="27" t="n">
        <f aca="false">E797+2*WS</f>
        <v>4.06959608601728</v>
      </c>
      <c r="V797" s="27" t="n">
        <f aca="false">IF(Q797="Shoring",D797*M797*U797,0)</f>
        <v>66.5454499841935</v>
      </c>
      <c r="W797" s="27" t="n">
        <f aca="false">IF(Q797="Open cut",D797*(U797*M797+SLOPE_B*S797^2+2*SLOPE_B*S797*T797+SLOPE_A*T797^2),0)</f>
        <v>0</v>
      </c>
      <c r="X797" s="27" t="n">
        <f aca="false">IF(M797&gt;0,D797*(E797+2*SLABOVH)*SLAB,0)</f>
        <v>6.37816645697497</v>
      </c>
      <c r="Y797" s="27" t="n">
        <f aca="false">IF(M797&gt;0,D797*PI()*E797^2/4,0)</f>
        <v>13.9799520751852</v>
      </c>
      <c r="Z797" s="27" t="n">
        <f aca="false">IF(H797-E797&gt;=GWL,99,E797*(MAX(0,GWL-H797)*(GAM_S-GAM_W)+MAX(0,NG-MAX(H797,GWL))*GAM_D)/(GAM_W*PI()*E797^2/4))</f>
        <v>1.1933602698238</v>
      </c>
      <c r="AA797" s="27" t="n">
        <f aca="false">IF(I797-E797&gt;=GWL,99,E797*(MAX(0,GWL-I797)*(GAM_S-GAM_W)+MAX(0,NG-MAX(I797,GWL))*GAM_D)/(GAM_W*PI()*E797^2/4))</f>
        <v>1.1933602698238</v>
      </c>
      <c r="AB797" s="27" t="n">
        <f aca="false">IF(H797-E797&gt;=GWL,99,E797*(MAX(0,GWL-H797)*(GAM_S-GAM_W)+MAX(0,FL-MAX(H797,GWL))*GAM_D)/(GAM_W*PI()*E797^2/4))</f>
        <v>3.11236896851019</v>
      </c>
      <c r="AC797" s="27" t="n">
        <f aca="false">IF(I797-E797&gt;=GWL,99,E797*(MAX(0,GWL-I797)*(GAM_S-GAM_W)+MAX(0,FL-MAX(I797,GWL))*GAM_D)/(GAM_W*PI()*E797^2/4))</f>
        <v>3.11236896851019</v>
      </c>
    </row>
    <row r="798" customFormat="false" ht="15" hidden="false" customHeight="false" outlineLevel="0" collapsed="false">
      <c r="A798" s="25" t="s">
        <v>1341</v>
      </c>
      <c r="B798" s="25" t="s">
        <v>1363</v>
      </c>
      <c r="C798" s="25" t="s">
        <v>1365</v>
      </c>
      <c r="D798" s="26" t="n">
        <v>5.87531920323264</v>
      </c>
      <c r="E798" s="26" t="n">
        <v>2.06959608601728</v>
      </c>
      <c r="F798" s="26" t="n">
        <v>-4.63479804300864</v>
      </c>
      <c r="G798" s="26" t="n">
        <v>-4.63479804300864</v>
      </c>
      <c r="H798" s="26" t="n">
        <v>-2.06520195699136</v>
      </c>
      <c r="I798" s="26" t="n">
        <v>-2.06520195699136</v>
      </c>
      <c r="J798" s="26" t="n">
        <v>15.84</v>
      </c>
      <c r="K798" s="27" t="n">
        <f aca="false">MIN(F798,G798)</f>
        <v>-4.63479804300864</v>
      </c>
      <c r="L798" s="27" t="n">
        <f aca="false">AVERAGE(F798,G798)</f>
        <v>-4.63479804300864</v>
      </c>
      <c r="M798" s="27" t="n">
        <f aca="false">MAX(0,NG-L798)</f>
        <v>3.93479804300864</v>
      </c>
      <c r="N798" s="27" t="n">
        <f aca="false">MAX(0,GWL-K798)</f>
        <v>3.13479804300864</v>
      </c>
      <c r="O798" s="27" t="n">
        <f aca="false">MAX(0,NG-MAX(K798,GWL))</f>
        <v>0.8</v>
      </c>
      <c r="P798" s="27" t="n">
        <f aca="false">E798/2+WS+SLOPE_A*O798+SLOPE_B*N798</f>
        <v>9.50439412902592</v>
      </c>
      <c r="Q798" s="28" t="str">
        <f aca="false">IF(AND(P798&lt;J798,N798&lt;=MAXOC),"Open cut","Shoring")</f>
        <v>Shoring</v>
      </c>
      <c r="R798" s="27" t="n">
        <f aca="false">IF(Q798="Shoring",D798,0)</f>
        <v>5.87531920323264</v>
      </c>
      <c r="S798" s="27" t="n">
        <f aca="false">MAX(0,GWL-L798)</f>
        <v>3.13479804300864</v>
      </c>
      <c r="T798" s="27" t="n">
        <f aca="false">MAX(0,NG-MAX(L798,GWL))</f>
        <v>0.8</v>
      </c>
      <c r="U798" s="27" t="n">
        <f aca="false">E798+2*WS</f>
        <v>4.06959608601728</v>
      </c>
      <c r="V798" s="27" t="n">
        <f aca="false">IF(Q798="Shoring",D798*M798*U798,0)</f>
        <v>94.0817138649135</v>
      </c>
      <c r="W798" s="27" t="n">
        <f aca="false">IF(Q798="Open cut",D798*(U798*M798+SLOPE_B*S798^2+2*SLOPE_B*S798*T798+SLOPE_A*T798^2),0)</f>
        <v>0</v>
      </c>
      <c r="X798" s="27" t="n">
        <f aca="false">IF(M798&gt;0,D798*(E798+2*SLABOVH)*SLAB,0)</f>
        <v>9.01742841517252</v>
      </c>
      <c r="Y798" s="27" t="n">
        <f aca="false">IF(M798&gt;0,D798*PI()*E798^2/4,0)</f>
        <v>19.7648051263488</v>
      </c>
      <c r="Z798" s="27" t="n">
        <f aca="false">IF(H798-E798&gt;=GWL,99,E798*(MAX(0,GWL-H798)*(GAM_S-GAM_W)+MAX(0,NG-MAX(H798,GWL))*GAM_D)/(GAM_W*PI()*E798^2/4))</f>
        <v>1.1933602698238</v>
      </c>
      <c r="AA798" s="27" t="n">
        <f aca="false">IF(I798-E798&gt;=GWL,99,E798*(MAX(0,GWL-I798)*(GAM_S-GAM_W)+MAX(0,NG-MAX(I798,GWL))*GAM_D)/(GAM_W*PI()*E798^2/4))</f>
        <v>1.1933602698238</v>
      </c>
      <c r="AB798" s="27" t="n">
        <f aca="false">IF(H798-E798&gt;=GWL,99,E798*(MAX(0,GWL-H798)*(GAM_S-GAM_W)+MAX(0,FL-MAX(H798,GWL))*GAM_D)/(GAM_W*PI()*E798^2/4))</f>
        <v>3.11236896851019</v>
      </c>
      <c r="AC798" s="27" t="n">
        <f aca="false">IF(I798-E798&gt;=GWL,99,E798*(MAX(0,GWL-I798)*(GAM_S-GAM_W)+MAX(0,FL-MAX(I798,GWL))*GAM_D)/(GAM_W*PI()*E798^2/4))</f>
        <v>3.11236896851019</v>
      </c>
    </row>
    <row r="799" customFormat="false" ht="15" hidden="false" customHeight="false" outlineLevel="0" collapsed="false">
      <c r="A799" s="25" t="s">
        <v>1341</v>
      </c>
      <c r="B799" s="25" t="s">
        <v>1363</v>
      </c>
      <c r="C799" s="25" t="s">
        <v>1366</v>
      </c>
      <c r="D799" s="26" t="n">
        <v>1.50000406113699</v>
      </c>
      <c r="E799" s="26" t="n">
        <v>1.4296005035999</v>
      </c>
      <c r="F799" s="26" t="n">
        <v>-4.31480025179995</v>
      </c>
      <c r="G799" s="26" t="n">
        <v>-4.31480025179995</v>
      </c>
      <c r="H799" s="26" t="n">
        <v>-2.38519974820005</v>
      </c>
      <c r="I799" s="26" t="n">
        <v>-2.38519974820005</v>
      </c>
      <c r="J799" s="26" t="n">
        <v>15.83</v>
      </c>
      <c r="K799" s="27" t="n">
        <f aca="false">MIN(F799,G799)</f>
        <v>-4.31480025179995</v>
      </c>
      <c r="L799" s="27" t="n">
        <f aca="false">AVERAGE(F799,G799)</f>
        <v>-4.31480025179995</v>
      </c>
      <c r="M799" s="27" t="n">
        <f aca="false">MAX(0,NG-L799)</f>
        <v>3.61480025179995</v>
      </c>
      <c r="N799" s="27" t="n">
        <f aca="false">MAX(0,GWL-K799)</f>
        <v>2.81480025179995</v>
      </c>
      <c r="O799" s="27" t="n">
        <f aca="false">MAX(0,NG-MAX(K799,GWL))</f>
        <v>0.8</v>
      </c>
      <c r="P799" s="27" t="n">
        <f aca="false">E799/2+WS+SLOPE_A*O799+SLOPE_B*N799</f>
        <v>8.54440075539985</v>
      </c>
      <c r="Q799" s="28" t="str">
        <f aca="false">IF(AND(P799&lt;J799,N799&lt;=MAXOC),"Open cut","Shoring")</f>
        <v>Shoring</v>
      </c>
      <c r="R799" s="27" t="n">
        <f aca="false">IF(Q799="Shoring",D799,0)</f>
        <v>1.50000406113699</v>
      </c>
      <c r="S799" s="27" t="n">
        <f aca="false">MAX(0,GWL-L799)</f>
        <v>2.81480025179995</v>
      </c>
      <c r="T799" s="27" t="n">
        <f aca="false">MAX(0,NG-MAX(L799,GWL))</f>
        <v>0.8</v>
      </c>
      <c r="U799" s="27" t="n">
        <f aca="false">E799+2*WS</f>
        <v>3.4296005035999</v>
      </c>
      <c r="V799" s="27" t="n">
        <f aca="false">IF(Q799="Shoring",D799*M799*U799,0)</f>
        <v>18.5960314931971</v>
      </c>
      <c r="W799" s="27" t="n">
        <f aca="false">IF(Q799="Open cut",D799*(U799*M799+SLOPE_B*S799^2+2*SLOPE_B*S799*T799+SLOPE_A*T799^2),0)</f>
        <v>0</v>
      </c>
      <c r="X799" s="27" t="n">
        <f aca="false">IF(M799&gt;0,D799*(E799+2*SLABOVH)*SLAB,0)</f>
        <v>1.82220531117015</v>
      </c>
      <c r="Y799" s="27" t="n">
        <f aca="false">IF(M799&gt;0,D799*PI()*E799^2/4,0)</f>
        <v>2.40775171686712</v>
      </c>
      <c r="Z799" s="27" t="n">
        <f aca="false">IF(H799-E799&gt;=GWL,99,E799*(MAX(0,GWL-H799)*(GAM_S-GAM_W)+MAX(0,NG-MAX(H799,GWL))*GAM_D)/(GAM_W*PI()*E799^2/4))</f>
        <v>1.96553157735219</v>
      </c>
      <c r="AA799" s="27" t="n">
        <f aca="false">IF(I799-E799&gt;=GWL,99,E799*(MAX(0,GWL-I799)*(GAM_S-GAM_W)+MAX(0,NG-MAX(I799,GWL))*GAM_D)/(GAM_W*PI()*E799^2/4))</f>
        <v>1.96553157735219</v>
      </c>
      <c r="AB799" s="27" t="n">
        <f aca="false">IF(H799-E799&gt;=GWL,99,E799*(MAX(0,GWL-H799)*(GAM_S-GAM_W)+MAX(0,FL-MAX(H799,GWL))*GAM_D)/(GAM_W*PI()*E799^2/4))</f>
        <v>4.74363139043534</v>
      </c>
      <c r="AC799" s="27" t="n">
        <f aca="false">IF(I799-E799&gt;=GWL,99,E799*(MAX(0,GWL-I799)*(GAM_S-GAM_W)+MAX(0,FL-MAX(I799,GWL))*GAM_D)/(GAM_W*PI()*E799^2/4))</f>
        <v>4.74363139043534</v>
      </c>
    </row>
    <row r="800" customFormat="false" ht="15" hidden="false" customHeight="false" outlineLevel="0" collapsed="false">
      <c r="A800" s="25" t="s">
        <v>1341</v>
      </c>
      <c r="B800" s="25" t="s">
        <v>1363</v>
      </c>
      <c r="C800" s="25" t="s">
        <v>1367</v>
      </c>
      <c r="D800" s="26" t="n">
        <v>1.96639999993475</v>
      </c>
      <c r="E800" s="26" t="n">
        <v>1.4296005035999</v>
      </c>
      <c r="F800" s="26" t="n">
        <v>-4.31480025179995</v>
      </c>
      <c r="G800" s="26" t="n">
        <v>-4.31480025179995</v>
      </c>
      <c r="H800" s="26" t="n">
        <v>-2.38519974820005</v>
      </c>
      <c r="I800" s="26" t="n">
        <v>-2.38519974820005</v>
      </c>
      <c r="J800" s="26" t="n">
        <v>15.83</v>
      </c>
      <c r="K800" s="27" t="n">
        <f aca="false">MIN(F800,G800)</f>
        <v>-4.31480025179995</v>
      </c>
      <c r="L800" s="27" t="n">
        <f aca="false">AVERAGE(F800,G800)</f>
        <v>-4.31480025179995</v>
      </c>
      <c r="M800" s="27" t="n">
        <f aca="false">MAX(0,NG-L800)</f>
        <v>3.61480025179995</v>
      </c>
      <c r="N800" s="27" t="n">
        <f aca="false">MAX(0,GWL-K800)</f>
        <v>2.81480025179995</v>
      </c>
      <c r="O800" s="27" t="n">
        <f aca="false">MAX(0,NG-MAX(K800,GWL))</f>
        <v>0.8</v>
      </c>
      <c r="P800" s="27" t="n">
        <f aca="false">E800/2+WS+SLOPE_A*O800+SLOPE_B*N800</f>
        <v>8.54440075539985</v>
      </c>
      <c r="Q800" s="28" t="str">
        <f aca="false">IF(AND(P800&lt;J800,N800&lt;=MAXOC),"Open cut","Shoring")</f>
        <v>Shoring</v>
      </c>
      <c r="R800" s="27" t="n">
        <f aca="false">IF(Q800="Shoring",D800,0)</f>
        <v>1.96639999993475</v>
      </c>
      <c r="S800" s="27" t="n">
        <f aca="false">MAX(0,GWL-L800)</f>
        <v>2.81480025179995</v>
      </c>
      <c r="T800" s="27" t="n">
        <f aca="false">MAX(0,NG-MAX(L800,GWL))</f>
        <v>0.8</v>
      </c>
      <c r="U800" s="27" t="n">
        <f aca="false">E800+2*WS</f>
        <v>3.4296005035999</v>
      </c>
      <c r="V800" s="27" t="n">
        <f aca="false">IF(Q800="Shoring",D800*M800*U800,0)</f>
        <v>24.3780915494934</v>
      </c>
      <c r="W800" s="27" t="n">
        <f aca="false">IF(Q800="Open cut",D800*(U800*M800+SLOPE_B*S800^2+2*SLOPE_B*S800*T800+SLOPE_A*T800^2),0)</f>
        <v>0</v>
      </c>
      <c r="X800" s="27" t="n">
        <f aca="false">IF(M800&gt;0,D800*(E800+2*SLABOVH)*SLAB,0)</f>
        <v>2.38878321506015</v>
      </c>
      <c r="Y800" s="27" t="n">
        <f aca="false">IF(M800&gt;0,D800*PI()*E800^2/4,0)</f>
        <v>3.15639343822951</v>
      </c>
      <c r="Z800" s="27" t="n">
        <f aca="false">IF(H800-E800&gt;=GWL,99,E800*(MAX(0,GWL-H800)*(GAM_S-GAM_W)+MAX(0,NG-MAX(H800,GWL))*GAM_D)/(GAM_W*PI()*E800^2/4))</f>
        <v>1.96553157735219</v>
      </c>
      <c r="AA800" s="27" t="n">
        <f aca="false">IF(I800-E800&gt;=GWL,99,E800*(MAX(0,GWL-I800)*(GAM_S-GAM_W)+MAX(0,NG-MAX(I800,GWL))*GAM_D)/(GAM_W*PI()*E800^2/4))</f>
        <v>1.96553157735219</v>
      </c>
      <c r="AB800" s="27" t="n">
        <f aca="false">IF(H800-E800&gt;=GWL,99,E800*(MAX(0,GWL-H800)*(GAM_S-GAM_W)+MAX(0,FL-MAX(H800,GWL))*GAM_D)/(GAM_W*PI()*E800^2/4))</f>
        <v>4.74363139043534</v>
      </c>
      <c r="AC800" s="27" t="n">
        <f aca="false">IF(I800-E800&gt;=GWL,99,E800*(MAX(0,GWL-I800)*(GAM_S-GAM_W)+MAX(0,FL-MAX(I800,GWL))*GAM_D)/(GAM_W*PI()*E800^2/4))</f>
        <v>4.74363139043534</v>
      </c>
    </row>
    <row r="801" customFormat="false" ht="15" hidden="false" customHeight="false" outlineLevel="0" collapsed="false">
      <c r="A801" s="25" t="s">
        <v>1341</v>
      </c>
      <c r="B801" s="25" t="s">
        <v>1363</v>
      </c>
      <c r="C801" s="25" t="s">
        <v>1368</v>
      </c>
      <c r="D801" s="26" t="n">
        <v>0.205009800044792</v>
      </c>
      <c r="E801" s="26" t="n">
        <v>1.4296005035999</v>
      </c>
      <c r="F801" s="26" t="n">
        <v>-4.31480025179995</v>
      </c>
      <c r="G801" s="26" t="n">
        <v>-4.31480025179995</v>
      </c>
      <c r="H801" s="26" t="n">
        <v>-2.38519974820005</v>
      </c>
      <c r="I801" s="26" t="n">
        <v>-2.38519974820005</v>
      </c>
      <c r="J801" s="26" t="n">
        <v>15.83</v>
      </c>
      <c r="K801" s="27" t="n">
        <f aca="false">MIN(F801,G801)</f>
        <v>-4.31480025179995</v>
      </c>
      <c r="L801" s="27" t="n">
        <f aca="false">AVERAGE(F801,G801)</f>
        <v>-4.31480025179995</v>
      </c>
      <c r="M801" s="27" t="n">
        <f aca="false">MAX(0,NG-L801)</f>
        <v>3.61480025179995</v>
      </c>
      <c r="N801" s="27" t="n">
        <f aca="false">MAX(0,GWL-K801)</f>
        <v>2.81480025179995</v>
      </c>
      <c r="O801" s="27" t="n">
        <f aca="false">MAX(0,NG-MAX(K801,GWL))</f>
        <v>0.8</v>
      </c>
      <c r="P801" s="27" t="n">
        <f aca="false">E801/2+WS+SLOPE_A*O801+SLOPE_B*N801</f>
        <v>8.54440075539985</v>
      </c>
      <c r="Q801" s="28" t="str">
        <f aca="false">IF(AND(P801&lt;J801,N801&lt;=MAXOC),"Open cut","Shoring")</f>
        <v>Shoring</v>
      </c>
      <c r="R801" s="27" t="n">
        <f aca="false">IF(Q801="Shoring",D801,0)</f>
        <v>0.205009800044792</v>
      </c>
      <c r="S801" s="27" t="n">
        <f aca="false">MAX(0,GWL-L801)</f>
        <v>2.81480025179995</v>
      </c>
      <c r="T801" s="27" t="n">
        <f aca="false">MAX(0,NG-MAX(L801,GWL))</f>
        <v>0.8</v>
      </c>
      <c r="U801" s="27" t="n">
        <f aca="false">E801+2*WS</f>
        <v>3.4296005035999</v>
      </c>
      <c r="V801" s="27" t="n">
        <f aca="false">IF(Q801="Shoring",D801*M801*U801,0)</f>
        <v>2.54157225091594</v>
      </c>
      <c r="W801" s="27" t="n">
        <f aca="false">IF(Q801="Open cut",D801*(U801*M801+SLOPE_B*S801^2+2*SLOPE_B*S801*T801+SLOPE_A*T801^2),0)</f>
        <v>0</v>
      </c>
      <c r="X801" s="27" t="n">
        <f aca="false">IF(M801&gt;0,D801*(E801+2*SLABOVH)*SLAB,0)</f>
        <v>0.24904595671587</v>
      </c>
      <c r="Y801" s="27" t="n">
        <f aca="false">IF(M801&gt;0,D801*PI()*E801^2/4,0)</f>
        <v>0.329074241077907</v>
      </c>
      <c r="Z801" s="27" t="n">
        <f aca="false">IF(H801-E801&gt;=GWL,99,E801*(MAX(0,GWL-H801)*(GAM_S-GAM_W)+MAX(0,NG-MAX(H801,GWL))*GAM_D)/(GAM_W*PI()*E801^2/4))</f>
        <v>1.96553157735219</v>
      </c>
      <c r="AA801" s="27" t="n">
        <f aca="false">IF(I801-E801&gt;=GWL,99,E801*(MAX(0,GWL-I801)*(GAM_S-GAM_W)+MAX(0,NG-MAX(I801,GWL))*GAM_D)/(GAM_W*PI()*E801^2/4))</f>
        <v>1.96553157735219</v>
      </c>
      <c r="AB801" s="27" t="n">
        <f aca="false">IF(H801-E801&gt;=GWL,99,E801*(MAX(0,GWL-H801)*(GAM_S-GAM_W)+MAX(0,FL-MAX(H801,GWL))*GAM_D)/(GAM_W*PI()*E801^2/4))</f>
        <v>4.74363139043534</v>
      </c>
      <c r="AC801" s="27" t="n">
        <f aca="false">IF(I801-E801&gt;=GWL,99,E801*(MAX(0,GWL-I801)*(GAM_S-GAM_W)+MAX(0,FL-MAX(I801,GWL))*GAM_D)/(GAM_W*PI()*E801^2/4))</f>
        <v>4.74363139043534</v>
      </c>
    </row>
    <row r="802" customFormat="false" ht="15" hidden="false" customHeight="false" outlineLevel="0" collapsed="false">
      <c r="A802" s="25" t="s">
        <v>1341</v>
      </c>
      <c r="B802" s="25" t="s">
        <v>1363</v>
      </c>
      <c r="C802" s="25" t="s">
        <v>1369</v>
      </c>
      <c r="D802" s="26" t="n">
        <v>0.453266935272816</v>
      </c>
      <c r="E802" s="26" t="n">
        <v>1.4000035305475</v>
      </c>
      <c r="F802" s="26" t="n">
        <v>-4.30000176527375</v>
      </c>
      <c r="G802" s="26" t="n">
        <v>-4.30000176527375</v>
      </c>
      <c r="H802" s="26" t="n">
        <v>-2.39999823472625</v>
      </c>
      <c r="I802" s="26" t="n">
        <v>-2.39999823472625</v>
      </c>
      <c r="J802" s="26" t="n">
        <v>15.83</v>
      </c>
      <c r="K802" s="27" t="n">
        <f aca="false">MIN(F802,G802)</f>
        <v>-4.30000176527375</v>
      </c>
      <c r="L802" s="27" t="n">
        <f aca="false">AVERAGE(F802,G802)</f>
        <v>-4.30000176527375</v>
      </c>
      <c r="M802" s="27" t="n">
        <f aca="false">MAX(0,NG-L802)</f>
        <v>3.60000176527375</v>
      </c>
      <c r="N802" s="27" t="n">
        <f aca="false">MAX(0,GWL-K802)</f>
        <v>2.80000176527375</v>
      </c>
      <c r="O802" s="27" t="n">
        <f aca="false">MAX(0,NG-MAX(K802,GWL))</f>
        <v>0.8</v>
      </c>
      <c r="P802" s="27" t="n">
        <f aca="false">E802/2+WS+SLOPE_A*O802+SLOPE_B*N802</f>
        <v>8.50000529582125</v>
      </c>
      <c r="Q802" s="28" t="str">
        <f aca="false">IF(AND(P802&lt;J802,N802&lt;=MAXOC),"Open cut","Shoring")</f>
        <v>Shoring</v>
      </c>
      <c r="R802" s="27" t="n">
        <f aca="false">IF(Q802="Shoring",D802,0)</f>
        <v>0.453266935272816</v>
      </c>
      <c r="S802" s="27" t="n">
        <f aca="false">MAX(0,GWL-L802)</f>
        <v>2.80000176527375</v>
      </c>
      <c r="T802" s="27" t="n">
        <f aca="false">MAX(0,NG-MAX(L802,GWL))</f>
        <v>0.8</v>
      </c>
      <c r="U802" s="27" t="n">
        <f aca="false">E802+2*WS</f>
        <v>3.4000035305475</v>
      </c>
      <c r="V802" s="27" t="n">
        <f aca="false">IF(Q802="Shoring",D802*M802*U802,0)</f>
        <v>5.54799576922845</v>
      </c>
      <c r="W802" s="27" t="n">
        <f aca="false">IF(Q802="Open cut",D802*(U802*M802+SLOPE_B*S802^2+2*SLOPE_B*S802*T802+SLOPE_A*T802^2),0)</f>
        <v>0</v>
      </c>
      <c r="X802" s="27" t="n">
        <f aca="false">IF(M802&gt;0,D802*(E802+2*SLABOVH)*SLAB,0)</f>
        <v>0.543921122467602</v>
      </c>
      <c r="Y802" s="27" t="n">
        <f aca="false">IF(M802&gt;0,D802*PI()*E802^2/4,0)</f>
        <v>0.697753755449376</v>
      </c>
      <c r="Z802" s="27" t="n">
        <f aca="false">IF(H802-E802&gt;=GWL,99,E802*(MAX(0,GWL-H802)*(GAM_S-GAM_W)+MAX(0,NG-MAX(H802,GWL))*GAM_D)/(GAM_W*PI()*E802^2/4))</f>
        <v>2.01832021381934</v>
      </c>
      <c r="AA802" s="27" t="n">
        <f aca="false">IF(I802-E802&gt;=GWL,99,E802*(MAX(0,GWL-I802)*(GAM_S-GAM_W)+MAX(0,NG-MAX(I802,GWL))*GAM_D)/(GAM_W*PI()*E802^2/4))</f>
        <v>2.01832021381934</v>
      </c>
      <c r="AB802" s="27" t="n">
        <f aca="false">IF(H802-E802&gt;=GWL,99,E802*(MAX(0,GWL-H802)*(GAM_S-GAM_W)+MAX(0,FL-MAX(H802,GWL))*GAM_D)/(GAM_W*PI()*E802^2/4))</f>
        <v>4.8551508397259</v>
      </c>
      <c r="AC802" s="27" t="n">
        <f aca="false">IF(I802-E802&gt;=GWL,99,E802*(MAX(0,GWL-I802)*(GAM_S-GAM_W)+MAX(0,FL-MAX(I802,GWL))*GAM_D)/(GAM_W*PI()*E802^2/4))</f>
        <v>4.8551508397259</v>
      </c>
    </row>
    <row r="803" customFormat="false" ht="15" hidden="false" customHeight="false" outlineLevel="0" collapsed="false">
      <c r="A803" s="25" t="s">
        <v>1341</v>
      </c>
      <c r="B803" s="25" t="s">
        <v>1363</v>
      </c>
      <c r="C803" s="25" t="s">
        <v>1370</v>
      </c>
      <c r="D803" s="26" t="n">
        <v>10.0000000005634</v>
      </c>
      <c r="E803" s="26" t="n">
        <v>1.4000035305475</v>
      </c>
      <c r="F803" s="26" t="n">
        <v>-4.30000176527375</v>
      </c>
      <c r="G803" s="26" t="n">
        <v>-4.30000176527375</v>
      </c>
      <c r="H803" s="26" t="n">
        <v>-2.39999823472625</v>
      </c>
      <c r="I803" s="26" t="n">
        <v>-2.39999823472625</v>
      </c>
      <c r="J803" s="26" t="n">
        <v>15.83</v>
      </c>
      <c r="K803" s="27" t="n">
        <f aca="false">MIN(F803,G803)</f>
        <v>-4.30000176527375</v>
      </c>
      <c r="L803" s="27" t="n">
        <f aca="false">AVERAGE(F803,G803)</f>
        <v>-4.30000176527375</v>
      </c>
      <c r="M803" s="27" t="n">
        <f aca="false">MAX(0,NG-L803)</f>
        <v>3.60000176527375</v>
      </c>
      <c r="N803" s="27" t="n">
        <f aca="false">MAX(0,GWL-K803)</f>
        <v>2.80000176527375</v>
      </c>
      <c r="O803" s="27" t="n">
        <f aca="false">MAX(0,NG-MAX(K803,GWL))</f>
        <v>0.8</v>
      </c>
      <c r="P803" s="27" t="n">
        <f aca="false">E803/2+WS+SLOPE_A*O803+SLOPE_B*N803</f>
        <v>8.50000529582125</v>
      </c>
      <c r="Q803" s="28" t="str">
        <f aca="false">IF(AND(P803&lt;J803,N803&lt;=MAXOC),"Open cut","Shoring")</f>
        <v>Shoring</v>
      </c>
      <c r="R803" s="27" t="n">
        <f aca="false">IF(Q803="Shoring",D803,0)</f>
        <v>10.0000000005634</v>
      </c>
      <c r="S803" s="27" t="n">
        <f aca="false">MAX(0,GWL-L803)</f>
        <v>2.80000176527375</v>
      </c>
      <c r="T803" s="27" t="n">
        <f aca="false">MAX(0,NG-MAX(L803,GWL))</f>
        <v>0.8</v>
      </c>
      <c r="U803" s="27" t="n">
        <f aca="false">E803+2*WS</f>
        <v>3.4000035305475</v>
      </c>
      <c r="V803" s="27" t="n">
        <f aca="false">IF(Q803="Shoring",D803*M803*U803,0)</f>
        <v>122.400187125976</v>
      </c>
      <c r="W803" s="27" t="n">
        <f aca="false">IF(Q803="Open cut",D803*(U803*M803+SLOPE_B*S803^2+2*SLOPE_B*S803*T803+SLOPE_A*T803^2),0)</f>
        <v>0</v>
      </c>
      <c r="X803" s="27" t="n">
        <f aca="false">IF(M803&gt;0,D803*(E803+2*SLABOVH)*SLAB,0)</f>
        <v>12.0000176534136</v>
      </c>
      <c r="Y803" s="27" t="n">
        <f aca="false">IF(M803&gt;0,D803*PI()*E803^2/4,0)</f>
        <v>15.3938816443498</v>
      </c>
      <c r="Z803" s="27" t="n">
        <f aca="false">IF(H803-E803&gt;=GWL,99,E803*(MAX(0,GWL-H803)*(GAM_S-GAM_W)+MAX(0,NG-MAX(H803,GWL))*GAM_D)/(GAM_W*PI()*E803^2/4))</f>
        <v>2.01832021381934</v>
      </c>
      <c r="AA803" s="27" t="n">
        <f aca="false">IF(I803-E803&gt;=GWL,99,E803*(MAX(0,GWL-I803)*(GAM_S-GAM_W)+MAX(0,NG-MAX(I803,GWL))*GAM_D)/(GAM_W*PI()*E803^2/4))</f>
        <v>2.01832021381934</v>
      </c>
      <c r="AB803" s="27" t="n">
        <f aca="false">IF(H803-E803&gt;=GWL,99,E803*(MAX(0,GWL-H803)*(GAM_S-GAM_W)+MAX(0,FL-MAX(H803,GWL))*GAM_D)/(GAM_W*PI()*E803^2/4))</f>
        <v>4.8551508397259</v>
      </c>
      <c r="AC803" s="27" t="n">
        <f aca="false">IF(I803-E803&gt;=GWL,99,E803*(MAX(0,GWL-I803)*(GAM_S-GAM_W)+MAX(0,FL-MAX(I803,GWL))*GAM_D)/(GAM_W*PI()*E803^2/4))</f>
        <v>4.8551508397259</v>
      </c>
    </row>
    <row r="804" customFormat="false" ht="15" hidden="false" customHeight="false" outlineLevel="0" collapsed="false">
      <c r="A804" s="25" t="s">
        <v>1341</v>
      </c>
      <c r="B804" s="25" t="s">
        <v>1363</v>
      </c>
      <c r="C804" s="25" t="s">
        <v>1371</v>
      </c>
      <c r="D804" s="26" t="n">
        <v>2.00388306473199</v>
      </c>
      <c r="E804" s="26" t="n">
        <v>1.4000035305475</v>
      </c>
      <c r="F804" s="26" t="n">
        <v>-4.30000176527375</v>
      </c>
      <c r="G804" s="26" t="n">
        <v>-4.30000176527375</v>
      </c>
      <c r="H804" s="26" t="n">
        <v>-2.39999823472625</v>
      </c>
      <c r="I804" s="26" t="n">
        <v>-2.39999823472625</v>
      </c>
      <c r="J804" s="26" t="n">
        <v>15.83</v>
      </c>
      <c r="K804" s="27" t="n">
        <f aca="false">MIN(F804,G804)</f>
        <v>-4.30000176527375</v>
      </c>
      <c r="L804" s="27" t="n">
        <f aca="false">AVERAGE(F804,G804)</f>
        <v>-4.30000176527375</v>
      </c>
      <c r="M804" s="27" t="n">
        <f aca="false">MAX(0,NG-L804)</f>
        <v>3.60000176527375</v>
      </c>
      <c r="N804" s="27" t="n">
        <f aca="false">MAX(0,GWL-K804)</f>
        <v>2.80000176527375</v>
      </c>
      <c r="O804" s="27" t="n">
        <f aca="false">MAX(0,NG-MAX(K804,GWL))</f>
        <v>0.8</v>
      </c>
      <c r="P804" s="27" t="n">
        <f aca="false">E804/2+WS+SLOPE_A*O804+SLOPE_B*N804</f>
        <v>8.50000529582125</v>
      </c>
      <c r="Q804" s="28" t="str">
        <f aca="false">IF(AND(P804&lt;J804,N804&lt;=MAXOC),"Open cut","Shoring")</f>
        <v>Shoring</v>
      </c>
      <c r="R804" s="27" t="n">
        <f aca="false">IF(Q804="Shoring",D804,0)</f>
        <v>2.00388306473199</v>
      </c>
      <c r="S804" s="27" t="n">
        <f aca="false">MAX(0,GWL-L804)</f>
        <v>2.80000176527375</v>
      </c>
      <c r="T804" s="27" t="n">
        <f aca="false">MAX(0,NG-MAX(L804,GWL))</f>
        <v>0.8</v>
      </c>
      <c r="U804" s="27" t="n">
        <f aca="false">E804+2*WS</f>
        <v>3.4000035305475</v>
      </c>
      <c r="V804" s="27" t="n">
        <f aca="false">IF(Q804="Shoring",D804*M804*U804,0)</f>
        <v>24.527566208795</v>
      </c>
      <c r="W804" s="27" t="n">
        <f aca="false">IF(Q804="Open cut",D804*(U804*M804+SLOPE_B*S804^2+2*SLOPE_B*S804*T804+SLOPE_A*T804^2),0)</f>
        <v>0</v>
      </c>
      <c r="X804" s="27" t="n">
        <f aca="false">IF(M804&gt;0,D804*(E804+2*SLABOVH)*SLAB,0)</f>
        <v>2.40466321508056</v>
      </c>
      <c r="Y804" s="27" t="n">
        <f aca="false">IF(M804&gt;0,D804*PI()*E804^2/4,0)</f>
        <v>3.08475387258632</v>
      </c>
      <c r="Z804" s="27" t="n">
        <f aca="false">IF(H804-E804&gt;=GWL,99,E804*(MAX(0,GWL-H804)*(GAM_S-GAM_W)+MAX(0,NG-MAX(H804,GWL))*GAM_D)/(GAM_W*PI()*E804^2/4))</f>
        <v>2.01832021381934</v>
      </c>
      <c r="AA804" s="27" t="n">
        <f aca="false">IF(I804-E804&gt;=GWL,99,E804*(MAX(0,GWL-I804)*(GAM_S-GAM_W)+MAX(0,NG-MAX(I804,GWL))*GAM_D)/(GAM_W*PI()*E804^2/4))</f>
        <v>2.01832021381934</v>
      </c>
      <c r="AB804" s="27" t="n">
        <f aca="false">IF(H804-E804&gt;=GWL,99,E804*(MAX(0,GWL-H804)*(GAM_S-GAM_W)+MAX(0,FL-MAX(H804,GWL))*GAM_D)/(GAM_W*PI()*E804^2/4))</f>
        <v>4.8551508397259</v>
      </c>
      <c r="AC804" s="27" t="n">
        <f aca="false">IF(I804-E804&gt;=GWL,99,E804*(MAX(0,GWL-I804)*(GAM_S-GAM_W)+MAX(0,FL-MAX(I804,GWL))*GAM_D)/(GAM_W*PI()*E804^2/4))</f>
        <v>4.8551508397259</v>
      </c>
    </row>
    <row r="805" customFormat="false" ht="15" hidden="false" customHeight="false" outlineLevel="0" collapsed="false">
      <c r="A805" s="25" t="s">
        <v>1341</v>
      </c>
      <c r="B805" s="25" t="s">
        <v>1363</v>
      </c>
      <c r="C805" s="25" t="s">
        <v>1372</v>
      </c>
      <c r="D805" s="26" t="n">
        <v>1.8506844690139</v>
      </c>
      <c r="E805" s="26" t="n">
        <v>1.4000035305475</v>
      </c>
      <c r="F805" s="26" t="n">
        <v>-4.30000176527375</v>
      </c>
      <c r="G805" s="26" t="n">
        <v>-4.30000176527375</v>
      </c>
      <c r="H805" s="26" t="n">
        <v>-2.39999823472625</v>
      </c>
      <c r="I805" s="26" t="n">
        <v>-2.39999823472625</v>
      </c>
      <c r="J805" s="26" t="n">
        <v>15.83</v>
      </c>
      <c r="K805" s="27" t="n">
        <f aca="false">MIN(F805,G805)</f>
        <v>-4.30000176527375</v>
      </c>
      <c r="L805" s="27" t="n">
        <f aca="false">AVERAGE(F805,G805)</f>
        <v>-4.30000176527375</v>
      </c>
      <c r="M805" s="27" t="n">
        <f aca="false">MAX(0,NG-L805)</f>
        <v>3.60000176527375</v>
      </c>
      <c r="N805" s="27" t="n">
        <f aca="false">MAX(0,GWL-K805)</f>
        <v>2.80000176527375</v>
      </c>
      <c r="O805" s="27" t="n">
        <f aca="false">MAX(0,NG-MAX(K805,GWL))</f>
        <v>0.8</v>
      </c>
      <c r="P805" s="27" t="n">
        <f aca="false">E805/2+WS+SLOPE_A*O805+SLOPE_B*N805</f>
        <v>8.50000529582125</v>
      </c>
      <c r="Q805" s="28" t="str">
        <f aca="false">IF(AND(P805&lt;J805,N805&lt;=MAXOC),"Open cut","Shoring")</f>
        <v>Shoring</v>
      </c>
      <c r="R805" s="27" t="n">
        <f aca="false">IF(Q805="Shoring",D805,0)</f>
        <v>1.8506844690139</v>
      </c>
      <c r="S805" s="27" t="n">
        <f aca="false">MAX(0,GWL-L805)</f>
        <v>2.80000176527375</v>
      </c>
      <c r="T805" s="27" t="n">
        <f aca="false">MAX(0,NG-MAX(L805,GWL))</f>
        <v>0.8</v>
      </c>
      <c r="U805" s="27" t="n">
        <f aca="false">E805+2*WS</f>
        <v>3.4000035305475</v>
      </c>
      <c r="V805" s="27" t="n">
        <f aca="false">IF(Q805="Shoring",D805*M805*U805,0)</f>
        <v>22.6524125305675</v>
      </c>
      <c r="W805" s="27" t="n">
        <f aca="false">IF(Q805="Open cut",D805*(U805*M805+SLOPE_B*S805^2+2*SLOPE_B*S805*T805+SLOPE_A*T805^2),0)</f>
        <v>0</v>
      </c>
      <c r="X805" s="27" t="n">
        <f aca="false">IF(M805&gt;0,D805*(E805+2*SLABOVH)*SLAB,0)</f>
        <v>2.22082462978139</v>
      </c>
      <c r="Y805" s="27" t="n">
        <f aca="false">IF(M805&gt;0,D805*PI()*E805^2/4,0)</f>
        <v>2.84892176754311</v>
      </c>
      <c r="Z805" s="27" t="n">
        <f aca="false">IF(H805-E805&gt;=GWL,99,E805*(MAX(0,GWL-H805)*(GAM_S-GAM_W)+MAX(0,NG-MAX(H805,GWL))*GAM_D)/(GAM_W*PI()*E805^2/4))</f>
        <v>2.01832021381934</v>
      </c>
      <c r="AA805" s="27" t="n">
        <f aca="false">IF(I805-E805&gt;=GWL,99,E805*(MAX(0,GWL-I805)*(GAM_S-GAM_W)+MAX(0,NG-MAX(I805,GWL))*GAM_D)/(GAM_W*PI()*E805^2/4))</f>
        <v>2.01832021381934</v>
      </c>
      <c r="AB805" s="27" t="n">
        <f aca="false">IF(H805-E805&gt;=GWL,99,E805*(MAX(0,GWL-H805)*(GAM_S-GAM_W)+MAX(0,FL-MAX(H805,GWL))*GAM_D)/(GAM_W*PI()*E805^2/4))</f>
        <v>4.8551508397259</v>
      </c>
      <c r="AC805" s="27" t="n">
        <f aca="false">IF(I805-E805&gt;=GWL,99,E805*(MAX(0,GWL-I805)*(GAM_S-GAM_W)+MAX(0,FL-MAX(I805,GWL))*GAM_D)/(GAM_W*PI()*E805^2/4))</f>
        <v>4.8551508397259</v>
      </c>
    </row>
    <row r="806" customFormat="false" ht="15" hidden="false" customHeight="false" outlineLevel="0" collapsed="false">
      <c r="A806" s="25" t="s">
        <v>1341</v>
      </c>
      <c r="B806" s="25" t="s">
        <v>1363</v>
      </c>
      <c r="C806" s="25" t="s">
        <v>1373</v>
      </c>
      <c r="D806" s="26" t="n">
        <v>1.84863327244229</v>
      </c>
      <c r="E806" s="26" t="n">
        <v>1.40000166615987</v>
      </c>
      <c r="F806" s="26" t="n">
        <v>-4.30000083307994</v>
      </c>
      <c r="G806" s="26" t="n">
        <v>-4.30000083307994</v>
      </c>
      <c r="H806" s="26" t="n">
        <v>-2.39999916692007</v>
      </c>
      <c r="I806" s="26" t="n">
        <v>-2.39999916692007</v>
      </c>
      <c r="J806" s="26" t="n">
        <v>15.83</v>
      </c>
      <c r="K806" s="27" t="n">
        <f aca="false">MIN(F806,G806)</f>
        <v>-4.30000083307994</v>
      </c>
      <c r="L806" s="27" t="n">
        <f aca="false">AVERAGE(F806,G806)</f>
        <v>-4.30000083307994</v>
      </c>
      <c r="M806" s="27" t="n">
        <f aca="false">MAX(0,NG-L806)</f>
        <v>3.60000083307993</v>
      </c>
      <c r="N806" s="27" t="n">
        <f aca="false">MAX(0,GWL-K806)</f>
        <v>2.80000083307993</v>
      </c>
      <c r="O806" s="27" t="n">
        <f aca="false">MAX(0,NG-MAX(K806,GWL))</f>
        <v>0.8</v>
      </c>
      <c r="P806" s="27" t="n">
        <f aca="false">E806/2+WS+SLOPE_A*O806+SLOPE_B*N806</f>
        <v>8.5000024992398</v>
      </c>
      <c r="Q806" s="28" t="str">
        <f aca="false">IF(AND(P806&lt;J806,N806&lt;=MAXOC),"Open cut","Shoring")</f>
        <v>Shoring</v>
      </c>
      <c r="R806" s="27" t="n">
        <f aca="false">IF(Q806="Shoring",D806,0)</f>
        <v>1.84863327244229</v>
      </c>
      <c r="S806" s="27" t="n">
        <f aca="false">MAX(0,GWL-L806)</f>
        <v>2.80000083307993</v>
      </c>
      <c r="T806" s="27" t="n">
        <f aca="false">MAX(0,NG-MAX(L806,GWL))</f>
        <v>0.8</v>
      </c>
      <c r="U806" s="27" t="n">
        <f aca="false">E806+2*WS</f>
        <v>3.40000166615987</v>
      </c>
      <c r="V806" s="27" t="n">
        <f aca="false">IF(Q806="Shoring",D806*M806*U806,0)</f>
        <v>22.6272875793247</v>
      </c>
      <c r="W806" s="27" t="n">
        <f aca="false">IF(Q806="Open cut",D806*(U806*M806+SLOPE_B*S806^2+2*SLOPE_B*S806*T806+SLOPE_A*T806^2),0)</f>
        <v>0</v>
      </c>
      <c r="X806" s="27" t="n">
        <f aca="false">IF(M806&gt;0,D806*(E806+2*SLABOVH)*SLAB,0)</f>
        <v>2.21836146699004</v>
      </c>
      <c r="Y806" s="27" t="n">
        <f aca="false">IF(M806&gt;0,D806*PI()*E806^2/4,0)</f>
        <v>2.84575660040286</v>
      </c>
      <c r="Z806" s="27" t="n">
        <f aca="false">IF(H806-E806&gt;=GWL,99,E806*(MAX(0,GWL-H806)*(GAM_S-GAM_W)+MAX(0,NG-MAX(H806,GWL))*GAM_D)/(GAM_W*PI()*E806^2/4))</f>
        <v>2.01832360941133</v>
      </c>
      <c r="AA806" s="27" t="n">
        <f aca="false">IF(I806-E806&gt;=GWL,99,E806*(MAX(0,GWL-I806)*(GAM_S-GAM_W)+MAX(0,NG-MAX(I806,GWL))*GAM_D)/(GAM_W*PI()*E806^2/4))</f>
        <v>2.01832360941133</v>
      </c>
      <c r="AB806" s="27" t="n">
        <f aca="false">IF(H806-E806&gt;=GWL,99,E806*(MAX(0,GWL-H806)*(GAM_S-GAM_W)+MAX(0,FL-MAX(H806,GWL))*GAM_D)/(GAM_W*PI()*E806^2/4))</f>
        <v>4.8551580131362</v>
      </c>
      <c r="AC806" s="27" t="n">
        <f aca="false">IF(I806-E806&gt;=GWL,99,E806*(MAX(0,GWL-I806)*(GAM_S-GAM_W)+MAX(0,FL-MAX(I806,GWL))*GAM_D)/(GAM_W*PI()*E806^2/4))</f>
        <v>4.8551580131362</v>
      </c>
    </row>
    <row r="807" customFormat="false" ht="15" hidden="false" customHeight="false" outlineLevel="0" collapsed="false">
      <c r="A807" s="25" t="s">
        <v>1341</v>
      </c>
      <c r="B807" s="25" t="s">
        <v>1363</v>
      </c>
      <c r="C807" s="25" t="s">
        <v>1374</v>
      </c>
      <c r="D807" s="26" t="n">
        <v>4.29679919406984</v>
      </c>
      <c r="E807" s="26" t="n">
        <v>1.40000166615987</v>
      </c>
      <c r="F807" s="26" t="n">
        <v>-4.30000083307994</v>
      </c>
      <c r="G807" s="26" t="n">
        <v>-4.30000083307994</v>
      </c>
      <c r="H807" s="26" t="n">
        <v>-2.39999916692007</v>
      </c>
      <c r="I807" s="26" t="n">
        <v>-2.39999916692007</v>
      </c>
      <c r="J807" s="26" t="n">
        <v>17.43</v>
      </c>
      <c r="K807" s="27" t="n">
        <f aca="false">MIN(F807,G807)</f>
        <v>-4.30000083307994</v>
      </c>
      <c r="L807" s="27" t="n">
        <f aca="false">AVERAGE(F807,G807)</f>
        <v>-4.30000083307994</v>
      </c>
      <c r="M807" s="27" t="n">
        <f aca="false">MAX(0,NG-L807)</f>
        <v>3.60000083307993</v>
      </c>
      <c r="N807" s="27" t="n">
        <f aca="false">MAX(0,GWL-K807)</f>
        <v>2.80000083307993</v>
      </c>
      <c r="O807" s="27" t="n">
        <f aca="false">MAX(0,NG-MAX(K807,GWL))</f>
        <v>0.8</v>
      </c>
      <c r="P807" s="27" t="n">
        <f aca="false">E807/2+WS+SLOPE_A*O807+SLOPE_B*N807</f>
        <v>8.5000024992398</v>
      </c>
      <c r="Q807" s="28" t="str">
        <f aca="false">IF(AND(P807&lt;J807,N807&lt;=MAXOC),"Open cut","Shoring")</f>
        <v>Shoring</v>
      </c>
      <c r="R807" s="27" t="n">
        <f aca="false">IF(Q807="Shoring",D807,0)</f>
        <v>4.29679919406984</v>
      </c>
      <c r="S807" s="27" t="n">
        <f aca="false">MAX(0,GWL-L807)</f>
        <v>2.80000083307993</v>
      </c>
      <c r="T807" s="27" t="n">
        <f aca="false">MAX(0,NG-MAX(L807,GWL))</f>
        <v>0.8</v>
      </c>
      <c r="U807" s="27" t="n">
        <f aca="false">E807+2*WS</f>
        <v>3.40000166615987</v>
      </c>
      <c r="V807" s="27" t="n">
        <f aca="false">IF(Q807="Shoring",D807*M807*U807,0)</f>
        <v>52.592860078939</v>
      </c>
      <c r="W807" s="27" t="n">
        <f aca="false">IF(Q807="Open cut",D807*(U807*M807+SLOPE_B*S807^2+2*SLOPE_B*S807*T807+SLOPE_A*T807^2),0)</f>
        <v>0</v>
      </c>
      <c r="X807" s="27" t="n">
        <f aca="false">IF(M807&gt;0,D807*(E807+2*SLABOVH)*SLAB,0)</f>
        <v>5.156162612461</v>
      </c>
      <c r="Y807" s="27" t="n">
        <f aca="false">IF(M807&gt;0,D807*PI()*E807^2/4,0)</f>
        <v>6.61442420701191</v>
      </c>
      <c r="Z807" s="27" t="n">
        <f aca="false">IF(H807-E807&gt;=GWL,99,E807*(MAX(0,GWL-H807)*(GAM_S-GAM_W)+MAX(0,NG-MAX(H807,GWL))*GAM_D)/(GAM_W*PI()*E807^2/4))</f>
        <v>2.01832360941133</v>
      </c>
      <c r="AA807" s="27" t="n">
        <f aca="false">IF(I807-E807&gt;=GWL,99,E807*(MAX(0,GWL-I807)*(GAM_S-GAM_W)+MAX(0,NG-MAX(I807,GWL))*GAM_D)/(GAM_W*PI()*E807^2/4))</f>
        <v>2.01832360941133</v>
      </c>
      <c r="AB807" s="27" t="n">
        <f aca="false">IF(H807-E807&gt;=GWL,99,E807*(MAX(0,GWL-H807)*(GAM_S-GAM_W)+MAX(0,FL-MAX(H807,GWL))*GAM_D)/(GAM_W*PI()*E807^2/4))</f>
        <v>4.8551580131362</v>
      </c>
      <c r="AC807" s="27" t="n">
        <f aca="false">IF(I807-E807&gt;=GWL,99,E807*(MAX(0,GWL-I807)*(GAM_S-GAM_W)+MAX(0,FL-MAX(I807,GWL))*GAM_D)/(GAM_W*PI()*E807^2/4))</f>
        <v>4.8551580131362</v>
      </c>
    </row>
    <row r="808" customFormat="false" ht="15" hidden="false" customHeight="false" outlineLevel="0" collapsed="false">
      <c r="A808" s="25" t="s">
        <v>1341</v>
      </c>
      <c r="B808" s="25" t="s">
        <v>1363</v>
      </c>
      <c r="C808" s="25" t="s">
        <v>1375</v>
      </c>
      <c r="D808" s="26" t="n">
        <v>6.10000000001209</v>
      </c>
      <c r="E808" s="26" t="n">
        <v>1.40000166615987</v>
      </c>
      <c r="F808" s="26" t="n">
        <v>-4.30000083307994</v>
      </c>
      <c r="G808" s="26" t="n">
        <v>-4.30000083307994</v>
      </c>
      <c r="H808" s="26" t="n">
        <v>-2.39999916692007</v>
      </c>
      <c r="I808" s="26" t="n">
        <v>-2.39999916692007</v>
      </c>
      <c r="J808" s="26" t="n">
        <v>21.15</v>
      </c>
      <c r="K808" s="27" t="n">
        <f aca="false">MIN(F808,G808)</f>
        <v>-4.30000083307994</v>
      </c>
      <c r="L808" s="27" t="n">
        <f aca="false">AVERAGE(F808,G808)</f>
        <v>-4.30000083307994</v>
      </c>
      <c r="M808" s="27" t="n">
        <f aca="false">MAX(0,NG-L808)</f>
        <v>3.60000083307993</v>
      </c>
      <c r="N808" s="27" t="n">
        <f aca="false">MAX(0,GWL-K808)</f>
        <v>2.80000083307993</v>
      </c>
      <c r="O808" s="27" t="n">
        <f aca="false">MAX(0,NG-MAX(K808,GWL))</f>
        <v>0.8</v>
      </c>
      <c r="P808" s="27" t="n">
        <f aca="false">E808/2+WS+SLOPE_A*O808+SLOPE_B*N808</f>
        <v>8.5000024992398</v>
      </c>
      <c r="Q808" s="28" t="str">
        <f aca="false">IF(AND(P808&lt;J808,N808&lt;=MAXOC),"Open cut","Shoring")</f>
        <v>Shoring</v>
      </c>
      <c r="R808" s="27" t="n">
        <f aca="false">IF(Q808="Shoring",D808,0)</f>
        <v>6.10000000001209</v>
      </c>
      <c r="S808" s="27" t="n">
        <f aca="false">MAX(0,GWL-L808)</f>
        <v>2.80000083307993</v>
      </c>
      <c r="T808" s="27" t="n">
        <f aca="false">MAX(0,NG-MAX(L808,GWL))</f>
        <v>0.8</v>
      </c>
      <c r="U808" s="27" t="n">
        <f aca="false">E808+2*WS</f>
        <v>3.40000166615987</v>
      </c>
      <c r="V808" s="27" t="n">
        <f aca="false">IF(Q808="Shoring",D808*M808*U808,0)</f>
        <v>74.664053867105</v>
      </c>
      <c r="W808" s="27" t="n">
        <f aca="false">IF(Q808="Open cut",D808*(U808*M808+SLOPE_B*S808^2+2*SLOPE_B*S808*T808+SLOPE_A*T808^2),0)</f>
        <v>0</v>
      </c>
      <c r="X808" s="27" t="n">
        <f aca="false">IF(M808&gt;0,D808*(E808+2*SLABOVH)*SLAB,0)</f>
        <v>7.32000508180211</v>
      </c>
      <c r="Y808" s="27" t="n">
        <f aca="false">IF(M808&gt;0,D808*PI()*E808^2/4,0)</f>
        <v>9.39024279248104</v>
      </c>
      <c r="Z808" s="27" t="n">
        <f aca="false">IF(H808-E808&gt;=GWL,99,E808*(MAX(0,GWL-H808)*(GAM_S-GAM_W)+MAX(0,NG-MAX(H808,GWL))*GAM_D)/(GAM_W*PI()*E808^2/4))</f>
        <v>2.01832360941133</v>
      </c>
      <c r="AA808" s="27" t="n">
        <f aca="false">IF(I808-E808&gt;=GWL,99,E808*(MAX(0,GWL-I808)*(GAM_S-GAM_W)+MAX(0,NG-MAX(I808,GWL))*GAM_D)/(GAM_W*PI()*E808^2/4))</f>
        <v>2.01832360941133</v>
      </c>
      <c r="AB808" s="27" t="n">
        <f aca="false">IF(H808-E808&gt;=GWL,99,E808*(MAX(0,GWL-H808)*(GAM_S-GAM_W)+MAX(0,FL-MAX(H808,GWL))*GAM_D)/(GAM_W*PI()*E808^2/4))</f>
        <v>4.8551580131362</v>
      </c>
      <c r="AC808" s="27" t="n">
        <f aca="false">IF(I808-E808&gt;=GWL,99,E808*(MAX(0,GWL-I808)*(GAM_S-GAM_W)+MAX(0,FL-MAX(I808,GWL))*GAM_D)/(GAM_W*PI()*E808^2/4))</f>
        <v>4.8551580131362</v>
      </c>
    </row>
    <row r="809" customFormat="false" ht="15" hidden="false" customHeight="false" outlineLevel="0" collapsed="false">
      <c r="A809" s="25" t="s">
        <v>1341</v>
      </c>
      <c r="B809" s="25" t="s">
        <v>1376</v>
      </c>
      <c r="C809" s="25" t="s">
        <v>1377</v>
      </c>
      <c r="D809" s="26" t="n">
        <v>0.657580805937462</v>
      </c>
      <c r="E809" s="26" t="n">
        <v>1.40000166615987</v>
      </c>
      <c r="F809" s="26" t="n">
        <v>-4.30000083307994</v>
      </c>
      <c r="G809" s="26" t="n">
        <v>-4.30000083307994</v>
      </c>
      <c r="H809" s="26" t="n">
        <v>-2.39999916692007</v>
      </c>
      <c r="I809" s="26" t="n">
        <v>-2.39999916692007</v>
      </c>
      <c r="J809" s="26" t="n">
        <v>26.44</v>
      </c>
      <c r="K809" s="27" t="n">
        <f aca="false">MIN(F809,G809)</f>
        <v>-4.30000083307994</v>
      </c>
      <c r="L809" s="27" t="n">
        <f aca="false">AVERAGE(F809,G809)</f>
        <v>-4.30000083307994</v>
      </c>
      <c r="M809" s="27" t="n">
        <f aca="false">MAX(0,NG-L809)</f>
        <v>3.60000083307993</v>
      </c>
      <c r="N809" s="27" t="n">
        <f aca="false">MAX(0,GWL-K809)</f>
        <v>2.80000083307993</v>
      </c>
      <c r="O809" s="27" t="n">
        <f aca="false">MAX(0,NG-MAX(K809,GWL))</f>
        <v>0.8</v>
      </c>
      <c r="P809" s="27" t="n">
        <f aca="false">E809/2+WS+SLOPE_A*O809+SLOPE_B*N809</f>
        <v>8.5000024992398</v>
      </c>
      <c r="Q809" s="28" t="str">
        <f aca="false">IF(AND(P809&lt;J809,N809&lt;=MAXOC),"Open cut","Shoring")</f>
        <v>Shoring</v>
      </c>
      <c r="R809" s="27" t="n">
        <f aca="false">IF(Q809="Shoring",D809,0)</f>
        <v>0.657580805937462</v>
      </c>
      <c r="S809" s="27" t="n">
        <f aca="false">MAX(0,GWL-L809)</f>
        <v>2.80000083307993</v>
      </c>
      <c r="T809" s="27" t="n">
        <f aca="false">MAX(0,NG-MAX(L809,GWL))</f>
        <v>0.8</v>
      </c>
      <c r="U809" s="27" t="n">
        <f aca="false">E809+2*WS</f>
        <v>3.40000166615987</v>
      </c>
      <c r="V809" s="27" t="n">
        <f aca="false">IF(Q809="Shoring",D809*M809*U809,0)</f>
        <v>8.04879487153962</v>
      </c>
      <c r="W809" s="27" t="n">
        <f aca="false">IF(Q809="Open cut",D809*(U809*M809+SLOPE_B*S809^2+2*SLOPE_B*S809*T809+SLOPE_A*T809^2),0)</f>
        <v>0</v>
      </c>
      <c r="X809" s="27" t="n">
        <f aca="false">IF(M809&gt;0,D809*(E809+2*SLABOVH)*SLAB,0)</f>
        <v>0.789097514942329</v>
      </c>
      <c r="Y809" s="27" t="n">
        <f aca="false">IF(M809&gt;0,D809*PI()*E809^2/4,0)</f>
        <v>1.01226941367473</v>
      </c>
      <c r="Z809" s="27" t="n">
        <f aca="false">IF(H809-E809&gt;=GWL,99,E809*(MAX(0,GWL-H809)*(GAM_S-GAM_W)+MAX(0,NG-MAX(H809,GWL))*GAM_D)/(GAM_W*PI()*E809^2/4))</f>
        <v>2.01832360941133</v>
      </c>
      <c r="AA809" s="27" t="n">
        <f aca="false">IF(I809-E809&gt;=GWL,99,E809*(MAX(0,GWL-I809)*(GAM_S-GAM_W)+MAX(0,NG-MAX(I809,GWL))*GAM_D)/(GAM_W*PI()*E809^2/4))</f>
        <v>2.01832360941133</v>
      </c>
      <c r="AB809" s="27" t="n">
        <f aca="false">IF(H809-E809&gt;=GWL,99,E809*(MAX(0,GWL-H809)*(GAM_S-GAM_W)+MAX(0,FL-MAX(H809,GWL))*GAM_D)/(GAM_W*PI()*E809^2/4))</f>
        <v>4.8551580131362</v>
      </c>
      <c r="AC809" s="27" t="n">
        <f aca="false">IF(I809-E809&gt;=GWL,99,E809*(MAX(0,GWL-I809)*(GAM_S-GAM_W)+MAX(0,FL-MAX(I809,GWL))*GAM_D)/(GAM_W*PI()*E809^2/4))</f>
        <v>4.8551580131362</v>
      </c>
    </row>
    <row r="810" customFormat="false" ht="15" hidden="false" customHeight="false" outlineLevel="0" collapsed="false">
      <c r="A810" s="25" t="s">
        <v>1341</v>
      </c>
      <c r="B810" s="25" t="s">
        <v>1376</v>
      </c>
      <c r="C810" s="25" t="s">
        <v>1378</v>
      </c>
      <c r="D810" s="26" t="n">
        <v>0.335340000052704</v>
      </c>
      <c r="E810" s="26" t="n">
        <v>1.40000166615987</v>
      </c>
      <c r="F810" s="26" t="n">
        <v>-4.30000083307994</v>
      </c>
      <c r="G810" s="26" t="n">
        <v>-4.30000083307994</v>
      </c>
      <c r="H810" s="26" t="n">
        <v>-2.39999916692007</v>
      </c>
      <c r="I810" s="26" t="n">
        <v>-2.39999916692007</v>
      </c>
      <c r="J810" s="26" t="n">
        <v>27.02</v>
      </c>
      <c r="K810" s="27" t="n">
        <f aca="false">MIN(F810,G810)</f>
        <v>-4.30000083307994</v>
      </c>
      <c r="L810" s="27" t="n">
        <f aca="false">AVERAGE(F810,G810)</f>
        <v>-4.30000083307994</v>
      </c>
      <c r="M810" s="27" t="n">
        <f aca="false">MAX(0,NG-L810)</f>
        <v>3.60000083307993</v>
      </c>
      <c r="N810" s="27" t="n">
        <f aca="false">MAX(0,GWL-K810)</f>
        <v>2.80000083307993</v>
      </c>
      <c r="O810" s="27" t="n">
        <f aca="false">MAX(0,NG-MAX(K810,GWL))</f>
        <v>0.8</v>
      </c>
      <c r="P810" s="27" t="n">
        <f aca="false">E810/2+WS+SLOPE_A*O810+SLOPE_B*N810</f>
        <v>8.5000024992398</v>
      </c>
      <c r="Q810" s="28" t="str">
        <f aca="false">IF(AND(P810&lt;J810,N810&lt;=MAXOC),"Open cut","Shoring")</f>
        <v>Shoring</v>
      </c>
      <c r="R810" s="27" t="n">
        <f aca="false">IF(Q810="Shoring",D810,0)</f>
        <v>0.335340000052704</v>
      </c>
      <c r="S810" s="27" t="n">
        <f aca="false">MAX(0,GWL-L810)</f>
        <v>2.80000083307993</v>
      </c>
      <c r="T810" s="27" t="n">
        <f aca="false">MAX(0,NG-MAX(L810,GWL))</f>
        <v>0.8</v>
      </c>
      <c r="U810" s="27" t="n">
        <f aca="false">E810+2*WS</f>
        <v>3.40000166615987</v>
      </c>
      <c r="V810" s="27" t="n">
        <f aca="false">IF(Q810="Shoring",D810*M810*U810,0)</f>
        <v>4.10456456191483</v>
      </c>
      <c r="W810" s="27" t="n">
        <f aca="false">IF(Q810="Open cut",D810*(U810*M810+SLOPE_B*S810^2+2*SLOPE_B*S810*T810+SLOPE_A*T810^2),0)</f>
        <v>0</v>
      </c>
      <c r="X810" s="27" t="n">
        <f aca="false">IF(M810&gt;0,D810*(E810+2*SLABOVH)*SLAB,0)</f>
        <v>0.40240827942827</v>
      </c>
      <c r="Y810" s="27" t="n">
        <f aca="false">IF(M810&gt;0,D810*PI()*E810^2/4,0)</f>
        <v>0.516217052216271</v>
      </c>
      <c r="Z810" s="27" t="n">
        <f aca="false">IF(H810-E810&gt;=GWL,99,E810*(MAX(0,GWL-H810)*(GAM_S-GAM_W)+MAX(0,NG-MAX(H810,GWL))*GAM_D)/(GAM_W*PI()*E810^2/4))</f>
        <v>2.01832360941133</v>
      </c>
      <c r="AA810" s="27" t="n">
        <f aca="false">IF(I810-E810&gt;=GWL,99,E810*(MAX(0,GWL-I810)*(GAM_S-GAM_W)+MAX(0,NG-MAX(I810,GWL))*GAM_D)/(GAM_W*PI()*E810^2/4))</f>
        <v>2.01832360941133</v>
      </c>
      <c r="AB810" s="27" t="n">
        <f aca="false">IF(H810-E810&gt;=GWL,99,E810*(MAX(0,GWL-H810)*(GAM_S-GAM_W)+MAX(0,FL-MAX(H810,GWL))*GAM_D)/(GAM_W*PI()*E810^2/4))</f>
        <v>4.8551580131362</v>
      </c>
      <c r="AC810" s="27" t="n">
        <f aca="false">IF(I810-E810&gt;=GWL,99,E810*(MAX(0,GWL-I810)*(GAM_S-GAM_W)+MAX(0,FL-MAX(I810,GWL))*GAM_D)/(GAM_W*PI()*E810^2/4))</f>
        <v>4.8551580131362</v>
      </c>
    </row>
    <row r="811" customFormat="false" ht="15" hidden="false" customHeight="false" outlineLevel="0" collapsed="false">
      <c r="A811" s="25" t="s">
        <v>1341</v>
      </c>
      <c r="B811" s="25" t="s">
        <v>1376</v>
      </c>
      <c r="C811" s="25" t="s">
        <v>1379</v>
      </c>
      <c r="D811" s="26" t="n">
        <v>0.334790610182716</v>
      </c>
      <c r="E811" s="26" t="n">
        <v>1.40000535299119</v>
      </c>
      <c r="F811" s="26" t="n">
        <v>-4.3000026764956</v>
      </c>
      <c r="G811" s="26" t="n">
        <v>-4.3000026764956</v>
      </c>
      <c r="H811" s="26" t="n">
        <v>-2.3999973235044</v>
      </c>
      <c r="I811" s="26" t="n">
        <v>-2.3999973235044</v>
      </c>
      <c r="J811" s="26" t="n">
        <v>26.87</v>
      </c>
      <c r="K811" s="27" t="n">
        <f aca="false">MIN(F811,G811)</f>
        <v>-4.3000026764956</v>
      </c>
      <c r="L811" s="27" t="n">
        <f aca="false">AVERAGE(F811,G811)</f>
        <v>-4.3000026764956</v>
      </c>
      <c r="M811" s="27" t="n">
        <f aca="false">MAX(0,NG-L811)</f>
        <v>3.6000026764956</v>
      </c>
      <c r="N811" s="27" t="n">
        <f aca="false">MAX(0,GWL-K811)</f>
        <v>2.8000026764956</v>
      </c>
      <c r="O811" s="27" t="n">
        <f aca="false">MAX(0,NG-MAX(K811,GWL))</f>
        <v>0.8</v>
      </c>
      <c r="P811" s="27" t="n">
        <f aca="false">E811/2+WS+SLOPE_A*O811+SLOPE_B*N811</f>
        <v>8.50000802948679</v>
      </c>
      <c r="Q811" s="28" t="str">
        <f aca="false">IF(AND(P811&lt;J811,N811&lt;=MAXOC),"Open cut","Shoring")</f>
        <v>Shoring</v>
      </c>
      <c r="R811" s="27" t="n">
        <f aca="false">IF(Q811="Shoring",D811,0)</f>
        <v>0.334790610182716</v>
      </c>
      <c r="S811" s="27" t="n">
        <f aca="false">MAX(0,GWL-L811)</f>
        <v>2.8000026764956</v>
      </c>
      <c r="T811" s="27" t="n">
        <f aca="false">MAX(0,NG-MAX(L811,GWL))</f>
        <v>0.8</v>
      </c>
      <c r="U811" s="27" t="n">
        <f aca="false">E811+2*WS</f>
        <v>3.40000535299119</v>
      </c>
      <c r="V811" s="27" t="n">
        <f aca="false">IF(Q811="Shoring",D811*M811*U811,0)</f>
        <v>4.09784656693653</v>
      </c>
      <c r="W811" s="27" t="n">
        <f aca="false">IF(Q811="Open cut",D811*(U811*M811+SLOPE_B*S811^2+2*SLOPE_B*S811*T811+SLOPE_A*T811^2),0)</f>
        <v>0</v>
      </c>
      <c r="X811" s="27" t="n">
        <f aca="false">IF(M811&gt;0,D811*(E811+2*SLABOVH)*SLAB,0)</f>
        <v>0.401749628284853</v>
      </c>
      <c r="Y811" s="27" t="n">
        <f aca="false">IF(M811&gt;0,D811*PI()*E811^2/4,0)</f>
        <v>0.515374044615879</v>
      </c>
      <c r="Z811" s="27" t="n">
        <f aca="false">IF(H811-E811&gt;=GWL,99,E811*(MAX(0,GWL-H811)*(GAM_S-GAM_W)+MAX(0,NG-MAX(H811,GWL))*GAM_D)/(GAM_W*PI()*E811^2/4))</f>
        <v>2.0183168946282</v>
      </c>
      <c r="AA811" s="27" t="n">
        <f aca="false">IF(I811-E811&gt;=GWL,99,E811*(MAX(0,GWL-I811)*(GAM_S-GAM_W)+MAX(0,NG-MAX(I811,GWL))*GAM_D)/(GAM_W*PI()*E811^2/4))</f>
        <v>2.0183168946282</v>
      </c>
      <c r="AB811" s="27" t="n">
        <f aca="false">IF(H811-E811&gt;=GWL,99,E811*(MAX(0,GWL-H811)*(GAM_S-GAM_W)+MAX(0,FL-MAX(H811,GWL))*GAM_D)/(GAM_W*PI()*E811^2/4))</f>
        <v>4.85514382771739</v>
      </c>
      <c r="AC811" s="27" t="n">
        <f aca="false">IF(I811-E811&gt;=GWL,99,E811*(MAX(0,GWL-I811)*(GAM_S-GAM_W)+MAX(0,FL-MAX(I811,GWL))*GAM_D)/(GAM_W*PI()*E811^2/4))</f>
        <v>4.85514382771739</v>
      </c>
    </row>
    <row r="812" customFormat="false" ht="15" hidden="false" customHeight="false" outlineLevel="0" collapsed="false">
      <c r="A812" s="25" t="s">
        <v>1341</v>
      </c>
      <c r="B812" s="25" t="s">
        <v>1376</v>
      </c>
      <c r="C812" s="25" t="s">
        <v>1380</v>
      </c>
      <c r="D812" s="26" t="n">
        <v>2.57228858341136</v>
      </c>
      <c r="E812" s="26" t="n">
        <v>1.40000535299119</v>
      </c>
      <c r="F812" s="26" t="n">
        <v>-4.3000026764956</v>
      </c>
      <c r="G812" s="26" t="n">
        <v>-4.3000026764956</v>
      </c>
      <c r="H812" s="26" t="n">
        <v>-2.3999973235044</v>
      </c>
      <c r="I812" s="26" t="n">
        <v>-2.3999973235044</v>
      </c>
      <c r="J812" s="26" t="n">
        <v>24.89</v>
      </c>
      <c r="K812" s="27" t="n">
        <f aca="false">MIN(F812,G812)</f>
        <v>-4.3000026764956</v>
      </c>
      <c r="L812" s="27" t="n">
        <f aca="false">AVERAGE(F812,G812)</f>
        <v>-4.3000026764956</v>
      </c>
      <c r="M812" s="27" t="n">
        <f aca="false">MAX(0,NG-L812)</f>
        <v>3.6000026764956</v>
      </c>
      <c r="N812" s="27" t="n">
        <f aca="false">MAX(0,GWL-K812)</f>
        <v>2.8000026764956</v>
      </c>
      <c r="O812" s="27" t="n">
        <f aca="false">MAX(0,NG-MAX(K812,GWL))</f>
        <v>0.8</v>
      </c>
      <c r="P812" s="27" t="n">
        <f aca="false">E812/2+WS+SLOPE_A*O812+SLOPE_B*N812</f>
        <v>8.50000802948679</v>
      </c>
      <c r="Q812" s="28" t="str">
        <f aca="false">IF(AND(P812&lt;J812,N812&lt;=MAXOC),"Open cut","Shoring")</f>
        <v>Shoring</v>
      </c>
      <c r="R812" s="27" t="n">
        <f aca="false">IF(Q812="Shoring",D812,0)</f>
        <v>2.57228858341136</v>
      </c>
      <c r="S812" s="27" t="n">
        <f aca="false">MAX(0,GWL-L812)</f>
        <v>2.8000026764956</v>
      </c>
      <c r="T812" s="27" t="n">
        <f aca="false">MAX(0,NG-MAX(L812,GWL))</f>
        <v>0.8</v>
      </c>
      <c r="U812" s="27" t="n">
        <f aca="false">E812+2*WS</f>
        <v>3.40000535299119</v>
      </c>
      <c r="V812" s="27" t="n">
        <f aca="false">IF(Q812="Shoring",D812*M812*U812,0)</f>
        <v>31.484885239014</v>
      </c>
      <c r="W812" s="27" t="n">
        <f aca="false">IF(Q812="Open cut",D812*(U812*M812+SLOPE_B*S812^2+2*SLOPE_B*S812*T812+SLOPE_A*T812^2),0)</f>
        <v>0</v>
      </c>
      <c r="X812" s="27" t="n">
        <f aca="false">IF(M812&gt;0,D812*(E812+2*SLABOVH)*SLAB,0)</f>
        <v>3.0867531848127</v>
      </c>
      <c r="Y812" s="27" t="n">
        <f aca="false">IF(M812&gt;0,D812*PI()*E812^2/4,0)</f>
        <v>3.9597609097473</v>
      </c>
      <c r="Z812" s="27" t="n">
        <f aca="false">IF(H812-E812&gt;=GWL,99,E812*(MAX(0,GWL-H812)*(GAM_S-GAM_W)+MAX(0,NG-MAX(H812,GWL))*GAM_D)/(GAM_W*PI()*E812^2/4))</f>
        <v>2.0183168946282</v>
      </c>
      <c r="AA812" s="27" t="n">
        <f aca="false">IF(I812-E812&gt;=GWL,99,E812*(MAX(0,GWL-I812)*(GAM_S-GAM_W)+MAX(0,NG-MAX(I812,GWL))*GAM_D)/(GAM_W*PI()*E812^2/4))</f>
        <v>2.0183168946282</v>
      </c>
      <c r="AB812" s="27" t="n">
        <f aca="false">IF(H812-E812&gt;=GWL,99,E812*(MAX(0,GWL-H812)*(GAM_S-GAM_W)+MAX(0,FL-MAX(H812,GWL))*GAM_D)/(GAM_W*PI()*E812^2/4))</f>
        <v>4.85514382771739</v>
      </c>
      <c r="AC812" s="27" t="n">
        <f aca="false">IF(I812-E812&gt;=GWL,99,E812*(MAX(0,GWL-I812)*(GAM_S-GAM_W)+MAX(0,FL-MAX(I812,GWL))*GAM_D)/(GAM_W*PI()*E812^2/4))</f>
        <v>4.85514382771739</v>
      </c>
    </row>
    <row r="813" customFormat="false" ht="15" hidden="false" customHeight="false" outlineLevel="0" collapsed="false">
      <c r="A813" s="25" t="s">
        <v>1341</v>
      </c>
      <c r="B813" s="25" t="s">
        <v>1376</v>
      </c>
      <c r="C813" s="25" t="s">
        <v>1381</v>
      </c>
      <c r="D813" s="26" t="n">
        <v>10.0000000001125</v>
      </c>
      <c r="E813" s="26" t="n">
        <v>1.40000535299119</v>
      </c>
      <c r="F813" s="26" t="n">
        <v>-4.3000026764956</v>
      </c>
      <c r="G813" s="26" t="n">
        <v>-4.3000026764956</v>
      </c>
      <c r="H813" s="26" t="n">
        <v>-2.3999973235044</v>
      </c>
      <c r="I813" s="26" t="n">
        <v>-2.3999973235044</v>
      </c>
      <c r="J813" s="26" t="n">
        <v>17.71</v>
      </c>
      <c r="K813" s="27" t="n">
        <f aca="false">MIN(F813,G813)</f>
        <v>-4.3000026764956</v>
      </c>
      <c r="L813" s="27" t="n">
        <f aca="false">AVERAGE(F813,G813)</f>
        <v>-4.3000026764956</v>
      </c>
      <c r="M813" s="27" t="n">
        <f aca="false">MAX(0,NG-L813)</f>
        <v>3.6000026764956</v>
      </c>
      <c r="N813" s="27" t="n">
        <f aca="false">MAX(0,GWL-K813)</f>
        <v>2.8000026764956</v>
      </c>
      <c r="O813" s="27" t="n">
        <f aca="false">MAX(0,NG-MAX(K813,GWL))</f>
        <v>0.8</v>
      </c>
      <c r="P813" s="27" t="n">
        <f aca="false">E813/2+WS+SLOPE_A*O813+SLOPE_B*N813</f>
        <v>8.50000802948679</v>
      </c>
      <c r="Q813" s="28" t="str">
        <f aca="false">IF(AND(P813&lt;J813,N813&lt;=MAXOC),"Open cut","Shoring")</f>
        <v>Shoring</v>
      </c>
      <c r="R813" s="27" t="n">
        <f aca="false">IF(Q813="Shoring",D813,0)</f>
        <v>10.0000000001125</v>
      </c>
      <c r="S813" s="27" t="n">
        <f aca="false">MAX(0,GWL-L813)</f>
        <v>2.8000026764956</v>
      </c>
      <c r="T813" s="27" t="n">
        <f aca="false">MAX(0,NG-MAX(L813,GWL))</f>
        <v>0.8</v>
      </c>
      <c r="U813" s="27" t="n">
        <f aca="false">E813+2*WS</f>
        <v>3.40000535299119</v>
      </c>
      <c r="V813" s="27" t="n">
        <f aca="false">IF(Q813="Shoring",D813*M813*U813,0)</f>
        <v>122.400283710053</v>
      </c>
      <c r="W813" s="27" t="n">
        <f aca="false">IF(Q813="Open cut",D813*(U813*M813+SLOPE_B*S813^2+2*SLOPE_B*S813*T813+SLOPE_A*T813^2),0)</f>
        <v>0</v>
      </c>
      <c r="X813" s="27" t="n">
        <f aca="false">IF(M813&gt;0,D813*(E813+2*SLABOVH)*SLAB,0)</f>
        <v>12.0000267650909</v>
      </c>
      <c r="Y813" s="27" t="n">
        <f aca="false">IF(M813&gt;0,D813*PI()*E813^2/4,0)</f>
        <v>15.3939217214128</v>
      </c>
      <c r="Z813" s="27" t="n">
        <f aca="false">IF(H813-E813&gt;=GWL,99,E813*(MAX(0,GWL-H813)*(GAM_S-GAM_W)+MAX(0,NG-MAX(H813,GWL))*GAM_D)/(GAM_W*PI()*E813^2/4))</f>
        <v>2.0183168946282</v>
      </c>
      <c r="AA813" s="27" t="n">
        <f aca="false">IF(I813-E813&gt;=GWL,99,E813*(MAX(0,GWL-I813)*(GAM_S-GAM_W)+MAX(0,NG-MAX(I813,GWL))*GAM_D)/(GAM_W*PI()*E813^2/4))</f>
        <v>2.0183168946282</v>
      </c>
      <c r="AB813" s="27" t="n">
        <f aca="false">IF(H813-E813&gt;=GWL,99,E813*(MAX(0,GWL-H813)*(GAM_S-GAM_W)+MAX(0,FL-MAX(H813,GWL))*GAM_D)/(GAM_W*PI()*E813^2/4))</f>
        <v>4.85514382771739</v>
      </c>
      <c r="AC813" s="27" t="n">
        <f aca="false">IF(I813-E813&gt;=GWL,99,E813*(MAX(0,GWL-I813)*(GAM_S-GAM_W)+MAX(0,FL-MAX(I813,GWL))*GAM_D)/(GAM_W*PI()*E813^2/4))</f>
        <v>4.85514382771739</v>
      </c>
    </row>
    <row r="814" customFormat="false" ht="15" hidden="false" customHeight="false" outlineLevel="0" collapsed="false">
      <c r="A814" s="25" t="s">
        <v>1341</v>
      </c>
      <c r="B814" s="25" t="s">
        <v>1376</v>
      </c>
      <c r="C814" s="25" t="s">
        <v>1382</v>
      </c>
      <c r="D814" s="26" t="n">
        <v>10.0000000001125</v>
      </c>
      <c r="E814" s="26" t="n">
        <v>1.40000535299119</v>
      </c>
      <c r="F814" s="26" t="n">
        <v>-4.3000026764956</v>
      </c>
      <c r="G814" s="26" t="n">
        <v>-4.3000026764956</v>
      </c>
      <c r="H814" s="26" t="n">
        <v>-2.3999973235044</v>
      </c>
      <c r="I814" s="26" t="n">
        <v>-2.3999973235044</v>
      </c>
      <c r="J814" s="26" t="n">
        <v>11.74</v>
      </c>
      <c r="K814" s="27" t="n">
        <f aca="false">MIN(F814,G814)</f>
        <v>-4.3000026764956</v>
      </c>
      <c r="L814" s="27" t="n">
        <f aca="false">AVERAGE(F814,G814)</f>
        <v>-4.3000026764956</v>
      </c>
      <c r="M814" s="27" t="n">
        <f aca="false">MAX(0,NG-L814)</f>
        <v>3.6000026764956</v>
      </c>
      <c r="N814" s="27" t="n">
        <f aca="false">MAX(0,GWL-K814)</f>
        <v>2.8000026764956</v>
      </c>
      <c r="O814" s="27" t="n">
        <f aca="false">MAX(0,NG-MAX(K814,GWL))</f>
        <v>0.8</v>
      </c>
      <c r="P814" s="27" t="n">
        <f aca="false">E814/2+WS+SLOPE_A*O814+SLOPE_B*N814</f>
        <v>8.50000802948679</v>
      </c>
      <c r="Q814" s="28" t="str">
        <f aca="false">IF(AND(P814&lt;J814,N814&lt;=MAXOC),"Open cut","Shoring")</f>
        <v>Shoring</v>
      </c>
      <c r="R814" s="27" t="n">
        <f aca="false">IF(Q814="Shoring",D814,0)</f>
        <v>10.0000000001125</v>
      </c>
      <c r="S814" s="27" t="n">
        <f aca="false">MAX(0,GWL-L814)</f>
        <v>2.8000026764956</v>
      </c>
      <c r="T814" s="27" t="n">
        <f aca="false">MAX(0,NG-MAX(L814,GWL))</f>
        <v>0.8</v>
      </c>
      <c r="U814" s="27" t="n">
        <f aca="false">E814+2*WS</f>
        <v>3.40000535299119</v>
      </c>
      <c r="V814" s="27" t="n">
        <f aca="false">IF(Q814="Shoring",D814*M814*U814,0)</f>
        <v>122.400283710053</v>
      </c>
      <c r="W814" s="27" t="n">
        <f aca="false">IF(Q814="Open cut",D814*(U814*M814+SLOPE_B*S814^2+2*SLOPE_B*S814*T814+SLOPE_A*T814^2),0)</f>
        <v>0</v>
      </c>
      <c r="X814" s="27" t="n">
        <f aca="false">IF(M814&gt;0,D814*(E814+2*SLABOVH)*SLAB,0)</f>
        <v>12.0000267650909</v>
      </c>
      <c r="Y814" s="27" t="n">
        <f aca="false">IF(M814&gt;0,D814*PI()*E814^2/4,0)</f>
        <v>15.3939217214128</v>
      </c>
      <c r="Z814" s="27" t="n">
        <f aca="false">IF(H814-E814&gt;=GWL,99,E814*(MAX(0,GWL-H814)*(GAM_S-GAM_W)+MAX(0,NG-MAX(H814,GWL))*GAM_D)/(GAM_W*PI()*E814^2/4))</f>
        <v>2.0183168946282</v>
      </c>
      <c r="AA814" s="27" t="n">
        <f aca="false">IF(I814-E814&gt;=GWL,99,E814*(MAX(0,GWL-I814)*(GAM_S-GAM_W)+MAX(0,NG-MAX(I814,GWL))*GAM_D)/(GAM_W*PI()*E814^2/4))</f>
        <v>2.0183168946282</v>
      </c>
      <c r="AB814" s="27" t="n">
        <f aca="false">IF(H814-E814&gt;=GWL,99,E814*(MAX(0,GWL-H814)*(GAM_S-GAM_W)+MAX(0,FL-MAX(H814,GWL))*GAM_D)/(GAM_W*PI()*E814^2/4))</f>
        <v>4.85514382771739</v>
      </c>
      <c r="AC814" s="27" t="n">
        <f aca="false">IF(I814-E814&gt;=GWL,99,E814*(MAX(0,GWL-I814)*(GAM_S-GAM_W)+MAX(0,FL-MAX(I814,GWL))*GAM_D)/(GAM_W*PI()*E814^2/4))</f>
        <v>4.85514382771739</v>
      </c>
    </row>
    <row r="815" customFormat="false" ht="15" hidden="false" customHeight="false" outlineLevel="0" collapsed="false">
      <c r="A815" s="25" t="s">
        <v>1341</v>
      </c>
      <c r="B815" s="25" t="s">
        <v>1376</v>
      </c>
      <c r="C815" s="25" t="s">
        <v>1383</v>
      </c>
      <c r="D815" s="26" t="n">
        <v>9.99999999964505</v>
      </c>
      <c r="E815" s="26" t="n">
        <v>1.40000535299119</v>
      </c>
      <c r="F815" s="26" t="n">
        <v>-4.3000026764956</v>
      </c>
      <c r="G815" s="26" t="n">
        <v>-4.3000026764956</v>
      </c>
      <c r="H815" s="26" t="n">
        <v>-2.3999973235044</v>
      </c>
      <c r="I815" s="26" t="n">
        <v>-2.3999973235044</v>
      </c>
      <c r="J815" s="26" t="n">
        <v>7.57</v>
      </c>
      <c r="K815" s="27" t="n">
        <f aca="false">MIN(F815,G815)</f>
        <v>-4.3000026764956</v>
      </c>
      <c r="L815" s="27" t="n">
        <f aca="false">AVERAGE(F815,G815)</f>
        <v>-4.3000026764956</v>
      </c>
      <c r="M815" s="27" t="n">
        <f aca="false">MAX(0,NG-L815)</f>
        <v>3.6000026764956</v>
      </c>
      <c r="N815" s="27" t="n">
        <f aca="false">MAX(0,GWL-K815)</f>
        <v>2.8000026764956</v>
      </c>
      <c r="O815" s="27" t="n">
        <f aca="false">MAX(0,NG-MAX(K815,GWL))</f>
        <v>0.8</v>
      </c>
      <c r="P815" s="27" t="n">
        <f aca="false">E815/2+WS+SLOPE_A*O815+SLOPE_B*N815</f>
        <v>8.50000802948679</v>
      </c>
      <c r="Q815" s="28" t="str">
        <f aca="false">IF(AND(P815&lt;J815,N815&lt;=MAXOC),"Open cut","Shoring")</f>
        <v>Shoring</v>
      </c>
      <c r="R815" s="27" t="n">
        <f aca="false">IF(Q815="Shoring",D815,0)</f>
        <v>9.99999999964505</v>
      </c>
      <c r="S815" s="27" t="n">
        <f aca="false">MAX(0,GWL-L815)</f>
        <v>2.8000026764956</v>
      </c>
      <c r="T815" s="27" t="n">
        <f aca="false">MAX(0,NG-MAX(L815,GWL))</f>
        <v>0.8</v>
      </c>
      <c r="U815" s="27" t="n">
        <f aca="false">E815+2*WS</f>
        <v>3.40000535299119</v>
      </c>
      <c r="V815" s="27" t="n">
        <f aca="false">IF(Q815="Shoring",D815*M815*U815,0)</f>
        <v>122.400283704332</v>
      </c>
      <c r="W815" s="27" t="n">
        <f aca="false">IF(Q815="Open cut",D815*(U815*M815+SLOPE_B*S815^2+2*SLOPE_B*S815*T815+SLOPE_A*T815^2),0)</f>
        <v>0</v>
      </c>
      <c r="X815" s="27" t="n">
        <f aca="false">IF(M815&gt;0,D815*(E815+2*SLABOVH)*SLAB,0)</f>
        <v>12.00002676453</v>
      </c>
      <c r="Y815" s="27" t="n">
        <f aca="false">IF(M815&gt;0,D815*PI()*E815^2/4,0)</f>
        <v>15.3939217206933</v>
      </c>
      <c r="Z815" s="27" t="n">
        <f aca="false">IF(H815-E815&gt;=GWL,99,E815*(MAX(0,GWL-H815)*(GAM_S-GAM_W)+MAX(0,NG-MAX(H815,GWL))*GAM_D)/(GAM_W*PI()*E815^2/4))</f>
        <v>2.0183168946282</v>
      </c>
      <c r="AA815" s="27" t="n">
        <f aca="false">IF(I815-E815&gt;=GWL,99,E815*(MAX(0,GWL-I815)*(GAM_S-GAM_W)+MAX(0,NG-MAX(I815,GWL))*GAM_D)/(GAM_W*PI()*E815^2/4))</f>
        <v>2.0183168946282</v>
      </c>
      <c r="AB815" s="27" t="n">
        <f aca="false">IF(H815-E815&gt;=GWL,99,E815*(MAX(0,GWL-H815)*(GAM_S-GAM_W)+MAX(0,FL-MAX(H815,GWL))*GAM_D)/(GAM_W*PI()*E815^2/4))</f>
        <v>4.85514382771739</v>
      </c>
      <c r="AC815" s="27" t="n">
        <f aca="false">IF(I815-E815&gt;=GWL,99,E815*(MAX(0,GWL-I815)*(GAM_S-GAM_W)+MAX(0,FL-MAX(I815,GWL))*GAM_D)/(GAM_W*PI()*E815^2/4))</f>
        <v>4.85514382771739</v>
      </c>
    </row>
    <row r="816" customFormat="false" ht="15" hidden="false" customHeight="false" outlineLevel="0" collapsed="false">
      <c r="A816" s="25" t="s">
        <v>1341</v>
      </c>
      <c r="B816" s="25" t="s">
        <v>1376</v>
      </c>
      <c r="C816" s="25" t="s">
        <v>1384</v>
      </c>
      <c r="D816" s="26" t="n">
        <v>10.0000000001125</v>
      </c>
      <c r="E816" s="26" t="n">
        <v>1.40000535299119</v>
      </c>
      <c r="F816" s="26" t="n">
        <v>-4.3000026764956</v>
      </c>
      <c r="G816" s="26" t="n">
        <v>-4.3000026764956</v>
      </c>
      <c r="H816" s="26" t="n">
        <v>-2.3999973235044</v>
      </c>
      <c r="I816" s="26" t="n">
        <v>-2.3999973235044</v>
      </c>
      <c r="J816" s="26" t="n">
        <v>5.87</v>
      </c>
      <c r="K816" s="27" t="n">
        <f aca="false">MIN(F816,G816)</f>
        <v>-4.3000026764956</v>
      </c>
      <c r="L816" s="27" t="n">
        <f aca="false">AVERAGE(F816,G816)</f>
        <v>-4.3000026764956</v>
      </c>
      <c r="M816" s="27" t="n">
        <f aca="false">MAX(0,NG-L816)</f>
        <v>3.6000026764956</v>
      </c>
      <c r="N816" s="27" t="n">
        <f aca="false">MAX(0,GWL-K816)</f>
        <v>2.8000026764956</v>
      </c>
      <c r="O816" s="27" t="n">
        <f aca="false">MAX(0,NG-MAX(K816,GWL))</f>
        <v>0.8</v>
      </c>
      <c r="P816" s="27" t="n">
        <f aca="false">E816/2+WS+SLOPE_A*O816+SLOPE_B*N816</f>
        <v>8.50000802948679</v>
      </c>
      <c r="Q816" s="28" t="str">
        <f aca="false">IF(AND(P816&lt;J816,N816&lt;=MAXOC),"Open cut","Shoring")</f>
        <v>Shoring</v>
      </c>
      <c r="R816" s="27" t="n">
        <f aca="false">IF(Q816="Shoring",D816,0)</f>
        <v>10.0000000001125</v>
      </c>
      <c r="S816" s="27" t="n">
        <f aca="false">MAX(0,GWL-L816)</f>
        <v>2.8000026764956</v>
      </c>
      <c r="T816" s="27" t="n">
        <f aca="false">MAX(0,NG-MAX(L816,GWL))</f>
        <v>0.8</v>
      </c>
      <c r="U816" s="27" t="n">
        <f aca="false">E816+2*WS</f>
        <v>3.40000535299119</v>
      </c>
      <c r="V816" s="27" t="n">
        <f aca="false">IF(Q816="Shoring",D816*M816*U816,0)</f>
        <v>122.400283710053</v>
      </c>
      <c r="W816" s="27" t="n">
        <f aca="false">IF(Q816="Open cut",D816*(U816*M816+SLOPE_B*S816^2+2*SLOPE_B*S816*T816+SLOPE_A*T816^2),0)</f>
        <v>0</v>
      </c>
      <c r="X816" s="27" t="n">
        <f aca="false">IF(M816&gt;0,D816*(E816+2*SLABOVH)*SLAB,0)</f>
        <v>12.0000267650909</v>
      </c>
      <c r="Y816" s="27" t="n">
        <f aca="false">IF(M816&gt;0,D816*PI()*E816^2/4,0)</f>
        <v>15.3939217214128</v>
      </c>
      <c r="Z816" s="27" t="n">
        <f aca="false">IF(H816-E816&gt;=GWL,99,E816*(MAX(0,GWL-H816)*(GAM_S-GAM_W)+MAX(0,NG-MAX(H816,GWL))*GAM_D)/(GAM_W*PI()*E816^2/4))</f>
        <v>2.0183168946282</v>
      </c>
      <c r="AA816" s="27" t="n">
        <f aca="false">IF(I816-E816&gt;=GWL,99,E816*(MAX(0,GWL-I816)*(GAM_S-GAM_W)+MAX(0,NG-MAX(I816,GWL))*GAM_D)/(GAM_W*PI()*E816^2/4))</f>
        <v>2.0183168946282</v>
      </c>
      <c r="AB816" s="27" t="n">
        <f aca="false">IF(H816-E816&gt;=GWL,99,E816*(MAX(0,GWL-H816)*(GAM_S-GAM_W)+MAX(0,FL-MAX(H816,GWL))*GAM_D)/(GAM_W*PI()*E816^2/4))</f>
        <v>4.85514382771739</v>
      </c>
      <c r="AC816" s="27" t="n">
        <f aca="false">IF(I816-E816&gt;=GWL,99,E816*(MAX(0,GWL-I816)*(GAM_S-GAM_W)+MAX(0,FL-MAX(I816,GWL))*GAM_D)/(GAM_W*PI()*E816^2/4))</f>
        <v>4.85514382771739</v>
      </c>
    </row>
    <row r="817" customFormat="false" ht="15" hidden="false" customHeight="false" outlineLevel="0" collapsed="false">
      <c r="A817" s="25" t="s">
        <v>1341</v>
      </c>
      <c r="B817" s="25" t="s">
        <v>1376</v>
      </c>
      <c r="C817" s="25" t="s">
        <v>1385</v>
      </c>
      <c r="D817" s="26" t="n">
        <v>10.0000000001125</v>
      </c>
      <c r="E817" s="26" t="n">
        <v>1.40000535299119</v>
      </c>
      <c r="F817" s="26" t="n">
        <v>-4.3000026764956</v>
      </c>
      <c r="G817" s="26" t="n">
        <v>-4.3000026764956</v>
      </c>
      <c r="H817" s="26" t="n">
        <v>-2.3999973235044</v>
      </c>
      <c r="I817" s="26" t="n">
        <v>-2.3999973235044</v>
      </c>
      <c r="J817" s="26" t="n">
        <v>5.85</v>
      </c>
      <c r="K817" s="27" t="n">
        <f aca="false">MIN(F817,G817)</f>
        <v>-4.3000026764956</v>
      </c>
      <c r="L817" s="27" t="n">
        <f aca="false">AVERAGE(F817,G817)</f>
        <v>-4.3000026764956</v>
      </c>
      <c r="M817" s="27" t="n">
        <f aca="false">MAX(0,NG-L817)</f>
        <v>3.6000026764956</v>
      </c>
      <c r="N817" s="27" t="n">
        <f aca="false">MAX(0,GWL-K817)</f>
        <v>2.8000026764956</v>
      </c>
      <c r="O817" s="27" t="n">
        <f aca="false">MAX(0,NG-MAX(K817,GWL))</f>
        <v>0.8</v>
      </c>
      <c r="P817" s="27" t="n">
        <f aca="false">E817/2+WS+SLOPE_A*O817+SLOPE_B*N817</f>
        <v>8.50000802948679</v>
      </c>
      <c r="Q817" s="28" t="str">
        <f aca="false">IF(AND(P817&lt;J817,N817&lt;=MAXOC),"Open cut","Shoring")</f>
        <v>Shoring</v>
      </c>
      <c r="R817" s="27" t="n">
        <f aca="false">IF(Q817="Shoring",D817,0)</f>
        <v>10.0000000001125</v>
      </c>
      <c r="S817" s="27" t="n">
        <f aca="false">MAX(0,GWL-L817)</f>
        <v>2.8000026764956</v>
      </c>
      <c r="T817" s="27" t="n">
        <f aca="false">MAX(0,NG-MAX(L817,GWL))</f>
        <v>0.8</v>
      </c>
      <c r="U817" s="27" t="n">
        <f aca="false">E817+2*WS</f>
        <v>3.40000535299119</v>
      </c>
      <c r="V817" s="27" t="n">
        <f aca="false">IF(Q817="Shoring",D817*M817*U817,0)</f>
        <v>122.400283710053</v>
      </c>
      <c r="W817" s="27" t="n">
        <f aca="false">IF(Q817="Open cut",D817*(U817*M817+SLOPE_B*S817^2+2*SLOPE_B*S817*T817+SLOPE_A*T817^2),0)</f>
        <v>0</v>
      </c>
      <c r="X817" s="27" t="n">
        <f aca="false">IF(M817&gt;0,D817*(E817+2*SLABOVH)*SLAB,0)</f>
        <v>12.0000267650909</v>
      </c>
      <c r="Y817" s="27" t="n">
        <f aca="false">IF(M817&gt;0,D817*PI()*E817^2/4,0)</f>
        <v>15.3939217214128</v>
      </c>
      <c r="Z817" s="27" t="n">
        <f aca="false">IF(H817-E817&gt;=GWL,99,E817*(MAX(0,GWL-H817)*(GAM_S-GAM_W)+MAX(0,NG-MAX(H817,GWL))*GAM_D)/(GAM_W*PI()*E817^2/4))</f>
        <v>2.0183168946282</v>
      </c>
      <c r="AA817" s="27" t="n">
        <f aca="false">IF(I817-E817&gt;=GWL,99,E817*(MAX(0,GWL-I817)*(GAM_S-GAM_W)+MAX(0,NG-MAX(I817,GWL))*GAM_D)/(GAM_W*PI()*E817^2/4))</f>
        <v>2.0183168946282</v>
      </c>
      <c r="AB817" s="27" t="n">
        <f aca="false">IF(H817-E817&gt;=GWL,99,E817*(MAX(0,GWL-H817)*(GAM_S-GAM_W)+MAX(0,FL-MAX(H817,GWL))*GAM_D)/(GAM_W*PI()*E817^2/4))</f>
        <v>4.85514382771739</v>
      </c>
      <c r="AC817" s="27" t="n">
        <f aca="false">IF(I817-E817&gt;=GWL,99,E817*(MAX(0,GWL-I817)*(GAM_S-GAM_W)+MAX(0,FL-MAX(I817,GWL))*GAM_D)/(GAM_W*PI()*E817^2/4))</f>
        <v>4.85514382771739</v>
      </c>
    </row>
    <row r="818" customFormat="false" ht="15" hidden="false" customHeight="false" outlineLevel="0" collapsed="false">
      <c r="A818" s="25" t="s">
        <v>1341</v>
      </c>
      <c r="B818" s="25" t="s">
        <v>1376</v>
      </c>
      <c r="C818" s="25" t="s">
        <v>1386</v>
      </c>
      <c r="D818" s="26" t="n">
        <v>10.0000000001125</v>
      </c>
      <c r="E818" s="26" t="n">
        <v>1.40000535299119</v>
      </c>
      <c r="F818" s="26" t="n">
        <v>-4.3000026764956</v>
      </c>
      <c r="G818" s="26" t="n">
        <v>-4.3000026764956</v>
      </c>
      <c r="H818" s="26" t="n">
        <v>-2.3999973235044</v>
      </c>
      <c r="I818" s="26" t="n">
        <v>-2.3999973235044</v>
      </c>
      <c r="J818" s="26" t="n">
        <v>6.97</v>
      </c>
      <c r="K818" s="27" t="n">
        <f aca="false">MIN(F818,G818)</f>
        <v>-4.3000026764956</v>
      </c>
      <c r="L818" s="27" t="n">
        <f aca="false">AVERAGE(F818,G818)</f>
        <v>-4.3000026764956</v>
      </c>
      <c r="M818" s="27" t="n">
        <f aca="false">MAX(0,NG-L818)</f>
        <v>3.6000026764956</v>
      </c>
      <c r="N818" s="27" t="n">
        <f aca="false">MAX(0,GWL-K818)</f>
        <v>2.8000026764956</v>
      </c>
      <c r="O818" s="27" t="n">
        <f aca="false">MAX(0,NG-MAX(K818,GWL))</f>
        <v>0.8</v>
      </c>
      <c r="P818" s="27" t="n">
        <f aca="false">E818/2+WS+SLOPE_A*O818+SLOPE_B*N818</f>
        <v>8.50000802948679</v>
      </c>
      <c r="Q818" s="28" t="str">
        <f aca="false">IF(AND(P818&lt;J818,N818&lt;=MAXOC),"Open cut","Shoring")</f>
        <v>Shoring</v>
      </c>
      <c r="R818" s="27" t="n">
        <f aca="false">IF(Q818="Shoring",D818,0)</f>
        <v>10.0000000001125</v>
      </c>
      <c r="S818" s="27" t="n">
        <f aca="false">MAX(0,GWL-L818)</f>
        <v>2.8000026764956</v>
      </c>
      <c r="T818" s="27" t="n">
        <f aca="false">MAX(0,NG-MAX(L818,GWL))</f>
        <v>0.8</v>
      </c>
      <c r="U818" s="27" t="n">
        <f aca="false">E818+2*WS</f>
        <v>3.40000535299119</v>
      </c>
      <c r="V818" s="27" t="n">
        <f aca="false">IF(Q818="Shoring",D818*M818*U818,0)</f>
        <v>122.400283710053</v>
      </c>
      <c r="W818" s="27" t="n">
        <f aca="false">IF(Q818="Open cut",D818*(U818*M818+SLOPE_B*S818^2+2*SLOPE_B*S818*T818+SLOPE_A*T818^2),0)</f>
        <v>0</v>
      </c>
      <c r="X818" s="27" t="n">
        <f aca="false">IF(M818&gt;0,D818*(E818+2*SLABOVH)*SLAB,0)</f>
        <v>12.0000267650909</v>
      </c>
      <c r="Y818" s="27" t="n">
        <f aca="false">IF(M818&gt;0,D818*PI()*E818^2/4,0)</f>
        <v>15.3939217214128</v>
      </c>
      <c r="Z818" s="27" t="n">
        <f aca="false">IF(H818-E818&gt;=GWL,99,E818*(MAX(0,GWL-H818)*(GAM_S-GAM_W)+MAX(0,NG-MAX(H818,GWL))*GAM_D)/(GAM_W*PI()*E818^2/4))</f>
        <v>2.0183168946282</v>
      </c>
      <c r="AA818" s="27" t="n">
        <f aca="false">IF(I818-E818&gt;=GWL,99,E818*(MAX(0,GWL-I818)*(GAM_S-GAM_W)+MAX(0,NG-MAX(I818,GWL))*GAM_D)/(GAM_W*PI()*E818^2/4))</f>
        <v>2.0183168946282</v>
      </c>
      <c r="AB818" s="27" t="n">
        <f aca="false">IF(H818-E818&gt;=GWL,99,E818*(MAX(0,GWL-H818)*(GAM_S-GAM_W)+MAX(0,FL-MAX(H818,GWL))*GAM_D)/(GAM_W*PI()*E818^2/4))</f>
        <v>4.85514382771739</v>
      </c>
      <c r="AC818" s="27" t="n">
        <f aca="false">IF(I818-E818&gt;=GWL,99,E818*(MAX(0,GWL-I818)*(GAM_S-GAM_W)+MAX(0,FL-MAX(I818,GWL))*GAM_D)/(GAM_W*PI()*E818^2/4))</f>
        <v>4.85514382771739</v>
      </c>
    </row>
    <row r="819" customFormat="false" ht="15" hidden="false" customHeight="false" outlineLevel="0" collapsed="false">
      <c r="A819" s="25" t="s">
        <v>1341</v>
      </c>
      <c r="B819" s="25" t="s">
        <v>1376</v>
      </c>
      <c r="C819" s="25" t="s">
        <v>1387</v>
      </c>
      <c r="D819" s="26" t="n">
        <v>7.37338853421387</v>
      </c>
      <c r="E819" s="26" t="n">
        <v>1.40000535299119</v>
      </c>
      <c r="F819" s="26" t="n">
        <v>-4.3000026764956</v>
      </c>
      <c r="G819" s="26" t="n">
        <v>-4.3000026764956</v>
      </c>
      <c r="H819" s="26" t="n">
        <v>-2.3999973235044</v>
      </c>
      <c r="I819" s="26" t="n">
        <v>-2.3999973235044</v>
      </c>
      <c r="J819" s="26" t="n">
        <v>10.65</v>
      </c>
      <c r="K819" s="27" t="n">
        <f aca="false">MIN(F819,G819)</f>
        <v>-4.3000026764956</v>
      </c>
      <c r="L819" s="27" t="n">
        <f aca="false">AVERAGE(F819,G819)</f>
        <v>-4.3000026764956</v>
      </c>
      <c r="M819" s="27" t="n">
        <f aca="false">MAX(0,NG-L819)</f>
        <v>3.6000026764956</v>
      </c>
      <c r="N819" s="27" t="n">
        <f aca="false">MAX(0,GWL-K819)</f>
        <v>2.8000026764956</v>
      </c>
      <c r="O819" s="27" t="n">
        <f aca="false">MAX(0,NG-MAX(K819,GWL))</f>
        <v>0.8</v>
      </c>
      <c r="P819" s="27" t="n">
        <f aca="false">E819/2+WS+SLOPE_A*O819+SLOPE_B*N819</f>
        <v>8.50000802948679</v>
      </c>
      <c r="Q819" s="28" t="str">
        <f aca="false">IF(AND(P819&lt;J819,N819&lt;=MAXOC),"Open cut","Shoring")</f>
        <v>Shoring</v>
      </c>
      <c r="R819" s="27" t="n">
        <f aca="false">IF(Q819="Shoring",D819,0)</f>
        <v>7.37338853421387</v>
      </c>
      <c r="S819" s="27" t="n">
        <f aca="false">MAX(0,GWL-L819)</f>
        <v>2.8000026764956</v>
      </c>
      <c r="T819" s="27" t="n">
        <f aca="false">MAX(0,NG-MAX(L819,GWL))</f>
        <v>0.8</v>
      </c>
      <c r="U819" s="27" t="n">
        <f aca="false">E819+2*WS</f>
        <v>3.40000535299119</v>
      </c>
      <c r="V819" s="27" t="n">
        <f aca="false">IF(Q819="Shoring",D819*M819*U819,0)</f>
        <v>90.250484848208</v>
      </c>
      <c r="W819" s="27" t="n">
        <f aca="false">IF(Q819="Open cut",D819*(U819*M819+SLOPE_B*S819^2+2*SLOPE_B*S819*T819+SLOPE_A*T819^2),0)</f>
        <v>0</v>
      </c>
      <c r="X819" s="27" t="n">
        <f aca="false">IF(M819&gt;0,D819*(E819+2*SLABOVH)*SLAB,0)</f>
        <v>8.84808597589858</v>
      </c>
      <c r="Y819" s="27" t="n">
        <f aca="false">IF(M819&gt;0,D819*PI()*E819^2/4,0)</f>
        <v>11.3505365915974</v>
      </c>
      <c r="Z819" s="27" t="n">
        <f aca="false">IF(H819-E819&gt;=GWL,99,E819*(MAX(0,GWL-H819)*(GAM_S-GAM_W)+MAX(0,NG-MAX(H819,GWL))*GAM_D)/(GAM_W*PI()*E819^2/4))</f>
        <v>2.0183168946282</v>
      </c>
      <c r="AA819" s="27" t="n">
        <f aca="false">IF(I819-E819&gt;=GWL,99,E819*(MAX(0,GWL-I819)*(GAM_S-GAM_W)+MAX(0,NG-MAX(I819,GWL))*GAM_D)/(GAM_W*PI()*E819^2/4))</f>
        <v>2.0183168946282</v>
      </c>
      <c r="AB819" s="27" t="n">
        <f aca="false">IF(H819-E819&gt;=GWL,99,E819*(MAX(0,GWL-H819)*(GAM_S-GAM_W)+MAX(0,FL-MAX(H819,GWL))*GAM_D)/(GAM_W*PI()*E819^2/4))</f>
        <v>4.85514382771739</v>
      </c>
      <c r="AC819" s="27" t="n">
        <f aca="false">IF(I819-E819&gt;=GWL,99,E819*(MAX(0,GWL-I819)*(GAM_S-GAM_W)+MAX(0,FL-MAX(I819,GWL))*GAM_D)/(GAM_W*PI()*E819^2/4))</f>
        <v>4.85514382771739</v>
      </c>
    </row>
    <row r="820" customFormat="false" ht="15" hidden="false" customHeight="false" outlineLevel="0" collapsed="false">
      <c r="A820" s="25" t="s">
        <v>1341</v>
      </c>
      <c r="B820" s="25" t="s">
        <v>1376</v>
      </c>
      <c r="C820" s="25" t="s">
        <v>1388</v>
      </c>
      <c r="D820" s="26" t="n">
        <v>1.35520999976315</v>
      </c>
      <c r="E820" s="26" t="n">
        <v>1.39999071656364</v>
      </c>
      <c r="F820" s="26" t="n">
        <v>-4.29999535828182</v>
      </c>
      <c r="G820" s="26" t="n">
        <v>-4.29999535828182</v>
      </c>
      <c r="H820" s="26" t="n">
        <v>-2.40000464171818</v>
      </c>
      <c r="I820" s="26" t="n">
        <v>-2.40000464171818</v>
      </c>
      <c r="J820" s="26" t="n">
        <v>14.64</v>
      </c>
      <c r="K820" s="27" t="n">
        <f aca="false">MIN(F820,G820)</f>
        <v>-4.29999535828182</v>
      </c>
      <c r="L820" s="27" t="n">
        <f aca="false">AVERAGE(F820,G820)</f>
        <v>-4.29999535828182</v>
      </c>
      <c r="M820" s="27" t="n">
        <f aca="false">MAX(0,NG-L820)</f>
        <v>3.59999535828182</v>
      </c>
      <c r="N820" s="27" t="n">
        <f aca="false">MAX(0,GWL-K820)</f>
        <v>2.79999535828182</v>
      </c>
      <c r="O820" s="27" t="n">
        <f aca="false">MAX(0,NG-MAX(K820,GWL))</f>
        <v>0.8</v>
      </c>
      <c r="P820" s="27" t="n">
        <f aca="false">E820/2+WS+SLOPE_A*O820+SLOPE_B*N820</f>
        <v>8.49998607484546</v>
      </c>
      <c r="Q820" s="28" t="str">
        <f aca="false">IF(AND(P820&lt;J820,N820&lt;=MAXOC),"Open cut","Shoring")</f>
        <v>Shoring</v>
      </c>
      <c r="R820" s="27" t="n">
        <f aca="false">IF(Q820="Shoring",D820,0)</f>
        <v>1.35520999976315</v>
      </c>
      <c r="S820" s="27" t="n">
        <f aca="false">MAX(0,GWL-L820)</f>
        <v>2.79999535828182</v>
      </c>
      <c r="T820" s="27" t="n">
        <f aca="false">MAX(0,NG-MAX(L820,GWL))</f>
        <v>0.8</v>
      </c>
      <c r="U820" s="27" t="n">
        <f aca="false">E820+2*WS</f>
        <v>3.39999071656364</v>
      </c>
      <c r="V820" s="27" t="n">
        <f aca="false">IF(Q820="Shoring",D820*M820*U820,0)</f>
        <v>16.5877037178287</v>
      </c>
      <c r="W820" s="27" t="n">
        <f aca="false">IF(Q820="Open cut",D820*(U820*M820+SLOPE_B*S820^2+2*SLOPE_B*S820*T820+SLOPE_A*T820^2),0)</f>
        <v>0</v>
      </c>
      <c r="X820" s="27" t="n">
        <f aca="false">IF(M820&gt;0,D820*(E820+2*SLABOVH)*SLAB,0)</f>
        <v>1.62624570921289</v>
      </c>
      <c r="Y820" s="27" t="n">
        <f aca="false">IF(M820&gt;0,D820*PI()*E820^2/4,0)</f>
        <v>2.08615604488538</v>
      </c>
      <c r="Z820" s="27" t="n">
        <f aca="false">IF(H820-E820&gt;=GWL,99,E820*(MAX(0,GWL-H820)*(GAM_S-GAM_W)+MAX(0,NG-MAX(H820,GWL))*GAM_D)/(GAM_W*PI()*E820^2/4))</f>
        <v>2.01834355199243</v>
      </c>
      <c r="AA820" s="27" t="n">
        <f aca="false">IF(I820-E820&gt;=GWL,99,E820*(MAX(0,GWL-I820)*(GAM_S-GAM_W)+MAX(0,NG-MAX(I820,GWL))*GAM_D)/(GAM_W*PI()*E820^2/4))</f>
        <v>2.01834355199243</v>
      </c>
      <c r="AB820" s="27" t="n">
        <f aca="false">IF(H820-E820&gt;=GWL,99,E820*(MAX(0,GWL-H820)*(GAM_S-GAM_W)+MAX(0,FL-MAX(H820,GWL))*GAM_D)/(GAM_W*PI()*E820^2/4))</f>
        <v>4.85520014314392</v>
      </c>
      <c r="AC820" s="27" t="n">
        <f aca="false">IF(I820-E820&gt;=GWL,99,E820*(MAX(0,GWL-I820)*(GAM_S-GAM_W)+MAX(0,FL-MAX(I820,GWL))*GAM_D)/(GAM_W*PI()*E820^2/4))</f>
        <v>4.85520014314392</v>
      </c>
    </row>
    <row r="821" customFormat="false" ht="15" hidden="false" customHeight="false" outlineLevel="0" collapsed="false">
      <c r="A821" s="25" t="s">
        <v>1341</v>
      </c>
      <c r="B821" s="25" t="s">
        <v>1376</v>
      </c>
      <c r="C821" s="25" t="s">
        <v>1389</v>
      </c>
      <c r="D821" s="26" t="n">
        <v>1.00500445339054</v>
      </c>
      <c r="E821" s="26" t="n">
        <v>1.42499614084635</v>
      </c>
      <c r="F821" s="26" t="n">
        <v>-4.31249807042317</v>
      </c>
      <c r="G821" s="26" t="n">
        <v>-4.31249807042317</v>
      </c>
      <c r="H821" s="26" t="n">
        <v>-2.38750192957683</v>
      </c>
      <c r="I821" s="26" t="n">
        <v>-2.38750192957683</v>
      </c>
      <c r="J821" s="26" t="n">
        <v>15.47</v>
      </c>
      <c r="K821" s="27" t="n">
        <f aca="false">MIN(F821,G821)</f>
        <v>-4.31249807042317</v>
      </c>
      <c r="L821" s="27" t="n">
        <f aca="false">AVERAGE(F821,G821)</f>
        <v>-4.31249807042317</v>
      </c>
      <c r="M821" s="27" t="n">
        <f aca="false">MAX(0,NG-L821)</f>
        <v>3.61249807042317</v>
      </c>
      <c r="N821" s="27" t="n">
        <f aca="false">MAX(0,GWL-K821)</f>
        <v>2.81249807042317</v>
      </c>
      <c r="O821" s="27" t="n">
        <f aca="false">MAX(0,NG-MAX(K821,GWL))</f>
        <v>0.8</v>
      </c>
      <c r="P821" s="27" t="n">
        <f aca="false">E821/2+WS+SLOPE_A*O821+SLOPE_B*N821</f>
        <v>8.53749421126952</v>
      </c>
      <c r="Q821" s="28" t="str">
        <f aca="false">IF(AND(P821&lt;J821,N821&lt;=MAXOC),"Open cut","Shoring")</f>
        <v>Shoring</v>
      </c>
      <c r="R821" s="27" t="n">
        <f aca="false">IF(Q821="Shoring",D821,0)</f>
        <v>1.00500445339054</v>
      </c>
      <c r="S821" s="27" t="n">
        <f aca="false">MAX(0,GWL-L821)</f>
        <v>2.81249807042317</v>
      </c>
      <c r="T821" s="27" t="n">
        <f aca="false">MAX(0,NG-MAX(L821,GWL))</f>
        <v>0.8</v>
      </c>
      <c r="U821" s="27" t="n">
        <f aca="false">E821+2*WS</f>
        <v>3.42499614084635</v>
      </c>
      <c r="V821" s="27" t="n">
        <f aca="false">IF(Q821="Shoring",D821*M821*U821,0)</f>
        <v>12.4347110106389</v>
      </c>
      <c r="W821" s="27" t="n">
        <f aca="false">IF(Q821="Open cut",D821*(U821*M821+SLOPE_B*S821^2+2*SLOPE_B*S821*T821+SLOPE_A*T821^2),0)</f>
        <v>0</v>
      </c>
      <c r="X821" s="27" t="n">
        <f aca="false">IF(M821&gt;0,D821*(E821+2*SLABOVH)*SLAB,0)</f>
        <v>1.21856596050272</v>
      </c>
      <c r="Y821" s="27" t="n">
        <f aca="false">IF(M821&gt;0,D821*PI()*E821^2/4,0)</f>
        <v>1.60282181227396</v>
      </c>
      <c r="Z821" s="27" t="n">
        <f aca="false">IF(H821-E821&gt;=GWL,99,E821*(MAX(0,GWL-H821)*(GAM_S-GAM_W)+MAX(0,NG-MAX(H821,GWL))*GAM_D)/(GAM_W*PI()*E821^2/4))</f>
        <v>1.97359980460096</v>
      </c>
      <c r="AA821" s="27" t="n">
        <f aca="false">IF(I821-E821&gt;=GWL,99,E821*(MAX(0,GWL-I821)*(GAM_S-GAM_W)+MAX(0,NG-MAX(I821,GWL))*GAM_D)/(GAM_W*PI()*E821^2/4))</f>
        <v>1.97359980460096</v>
      </c>
      <c r="AB821" s="27" t="n">
        <f aca="false">IF(H821-E821&gt;=GWL,99,E821*(MAX(0,GWL-H821)*(GAM_S-GAM_W)+MAX(0,FL-MAX(H821,GWL))*GAM_D)/(GAM_W*PI()*E821^2/4))</f>
        <v>4.76067604852371</v>
      </c>
      <c r="AC821" s="27" t="n">
        <f aca="false">IF(I821-E821&gt;=GWL,99,E821*(MAX(0,GWL-I821)*(GAM_S-GAM_W)+MAX(0,FL-MAX(I821,GWL))*GAM_D)/(GAM_W*PI()*E821^2/4))</f>
        <v>4.76067604852371</v>
      </c>
    </row>
    <row r="822" customFormat="false" ht="15" hidden="false" customHeight="false" outlineLevel="0" collapsed="false">
      <c r="A822" s="25" t="s">
        <v>1341</v>
      </c>
      <c r="B822" s="25" t="s">
        <v>1376</v>
      </c>
      <c r="C822" s="25" t="s">
        <v>1390</v>
      </c>
      <c r="D822" s="26" t="n">
        <v>0.266397012057643</v>
      </c>
      <c r="E822" s="26" t="n">
        <v>1.42499895331155</v>
      </c>
      <c r="F822" s="26" t="n">
        <v>-4.31249947665578</v>
      </c>
      <c r="G822" s="26" t="n">
        <v>-4.31249947665578</v>
      </c>
      <c r="H822" s="26" t="n">
        <v>-2.38750052334422</v>
      </c>
      <c r="I822" s="26" t="n">
        <v>-2.38750052334422</v>
      </c>
      <c r="J822" s="26" t="n">
        <v>16.08</v>
      </c>
      <c r="K822" s="27" t="n">
        <f aca="false">MIN(F822,G822)</f>
        <v>-4.31249947665578</v>
      </c>
      <c r="L822" s="27" t="n">
        <f aca="false">AVERAGE(F822,G822)</f>
        <v>-4.31249947665578</v>
      </c>
      <c r="M822" s="27" t="n">
        <f aca="false">MAX(0,NG-L822)</f>
        <v>3.61249947665578</v>
      </c>
      <c r="N822" s="27" t="n">
        <f aca="false">MAX(0,GWL-K822)</f>
        <v>2.81249947665578</v>
      </c>
      <c r="O822" s="27" t="n">
        <f aca="false">MAX(0,NG-MAX(K822,GWL))</f>
        <v>0.8</v>
      </c>
      <c r="P822" s="27" t="n">
        <f aca="false">E822/2+WS+SLOPE_A*O822+SLOPE_B*N822</f>
        <v>8.53749842996733</v>
      </c>
      <c r="Q822" s="28" t="str">
        <f aca="false">IF(AND(P822&lt;J822,N822&lt;=MAXOC),"Open cut","Shoring")</f>
        <v>Shoring</v>
      </c>
      <c r="R822" s="27" t="n">
        <f aca="false">IF(Q822="Shoring",D822,0)</f>
        <v>0.266397012057643</v>
      </c>
      <c r="S822" s="27" t="n">
        <f aca="false">MAX(0,GWL-L822)</f>
        <v>2.81249947665578</v>
      </c>
      <c r="T822" s="27" t="n">
        <f aca="false">MAX(0,NG-MAX(L822,GWL))</f>
        <v>0.8</v>
      </c>
      <c r="U822" s="27" t="n">
        <f aca="false">E822+2*WS</f>
        <v>3.42499895331155</v>
      </c>
      <c r="V822" s="27" t="n">
        <f aca="false">IF(Q822="Shoring",D822*M822*U822,0)</f>
        <v>3.29607879595496</v>
      </c>
      <c r="W822" s="27" t="n">
        <f aca="false">IF(Q822="Open cut",D822*(U822*M822+SLOPE_B*S822^2+2*SLOPE_B*S822*T822+SLOPE_A*T822^2),0)</f>
        <v>0</v>
      </c>
      <c r="X822" s="27" t="n">
        <f aca="false">IF(M822&gt;0,D822*(E822+2*SLABOVH)*SLAB,0)</f>
        <v>0.323006237702555</v>
      </c>
      <c r="Y822" s="27" t="n">
        <f aca="false">IF(M822&gt;0,D822*PI()*E822^2/4,0)</f>
        <v>0.424862422917865</v>
      </c>
      <c r="Z822" s="27" t="n">
        <f aca="false">IF(H822-E822&gt;=GWL,99,E822*(MAX(0,GWL-H822)*(GAM_S-GAM_W)+MAX(0,NG-MAX(H822,GWL))*GAM_D)/(GAM_W*PI()*E822^2/4))</f>
        <v>1.97359486040249</v>
      </c>
      <c r="AA822" s="27" t="n">
        <f aca="false">IF(I822-E822&gt;=GWL,99,E822*(MAX(0,GWL-I822)*(GAM_S-GAM_W)+MAX(0,NG-MAX(I822,GWL))*GAM_D)/(GAM_W*PI()*E822^2/4))</f>
        <v>1.97359486040249</v>
      </c>
      <c r="AB822" s="27" t="n">
        <f aca="false">IF(H822-E822&gt;=GWL,99,E822*(MAX(0,GWL-H822)*(GAM_S-GAM_W)+MAX(0,FL-MAX(H822,GWL))*GAM_D)/(GAM_W*PI()*E822^2/4))</f>
        <v>4.76066560358087</v>
      </c>
      <c r="AC822" s="27" t="n">
        <f aca="false">IF(I822-E822&gt;=GWL,99,E822*(MAX(0,GWL-I822)*(GAM_S-GAM_W)+MAX(0,FL-MAX(I822,GWL))*GAM_D)/(GAM_W*PI()*E822^2/4))</f>
        <v>4.76066560358087</v>
      </c>
    </row>
    <row r="823" customFormat="false" ht="15" hidden="false" customHeight="false" outlineLevel="0" collapsed="false">
      <c r="A823" s="25" t="s">
        <v>1341</v>
      </c>
      <c r="B823" s="25" t="s">
        <v>1376</v>
      </c>
      <c r="C823" s="25" t="s">
        <v>1391</v>
      </c>
      <c r="D823" s="26" t="n">
        <v>0.738603950985935</v>
      </c>
      <c r="E823" s="26" t="n">
        <v>1.42499895331155</v>
      </c>
      <c r="F823" s="26" t="n">
        <v>-4.31249947665578</v>
      </c>
      <c r="G823" s="26" t="n">
        <v>-4.31249947665578</v>
      </c>
      <c r="H823" s="26" t="n">
        <v>-2.38750052334422</v>
      </c>
      <c r="I823" s="26" t="n">
        <v>-2.38750052334422</v>
      </c>
      <c r="J823" s="26" t="n">
        <v>16.02</v>
      </c>
      <c r="K823" s="27" t="n">
        <f aca="false">MIN(F823,G823)</f>
        <v>-4.31249947665578</v>
      </c>
      <c r="L823" s="27" t="n">
        <f aca="false">AVERAGE(F823,G823)</f>
        <v>-4.31249947665578</v>
      </c>
      <c r="M823" s="27" t="n">
        <f aca="false">MAX(0,NG-L823)</f>
        <v>3.61249947665578</v>
      </c>
      <c r="N823" s="27" t="n">
        <f aca="false">MAX(0,GWL-K823)</f>
        <v>2.81249947665578</v>
      </c>
      <c r="O823" s="27" t="n">
        <f aca="false">MAX(0,NG-MAX(K823,GWL))</f>
        <v>0.8</v>
      </c>
      <c r="P823" s="27" t="n">
        <f aca="false">E823/2+WS+SLOPE_A*O823+SLOPE_B*N823</f>
        <v>8.53749842996733</v>
      </c>
      <c r="Q823" s="28" t="str">
        <f aca="false">IF(AND(P823&lt;J823,N823&lt;=MAXOC),"Open cut","Shoring")</f>
        <v>Shoring</v>
      </c>
      <c r="R823" s="27" t="n">
        <f aca="false">IF(Q823="Shoring",D823,0)</f>
        <v>0.738603950985935</v>
      </c>
      <c r="S823" s="27" t="n">
        <f aca="false">MAX(0,GWL-L823)</f>
        <v>2.81249947665578</v>
      </c>
      <c r="T823" s="27" t="n">
        <f aca="false">MAX(0,NG-MAX(L823,GWL))</f>
        <v>0.8</v>
      </c>
      <c r="U823" s="27" t="n">
        <f aca="false">E823+2*WS</f>
        <v>3.42499895331155</v>
      </c>
      <c r="V823" s="27" t="n">
        <f aca="false">IF(Q823="Shoring",D823*M823*U823,0)</f>
        <v>9.13860408061379</v>
      </c>
      <c r="W823" s="27" t="n">
        <f aca="false">IF(Q823="Open cut",D823*(U823*M823+SLOPE_B*S823^2+2*SLOPE_B*S823*T823+SLOPE_A*T823^2),0)</f>
        <v>0</v>
      </c>
      <c r="X823" s="27" t="n">
        <f aca="false">IF(M823&gt;0,D823*(E823+2*SLABOVH)*SLAB,0)</f>
        <v>0.895556904026336</v>
      </c>
      <c r="Y823" s="27" t="n">
        <f aca="false">IF(M823&gt;0,D823*PI()*E823^2/4,0)</f>
        <v>1.17796014966073</v>
      </c>
      <c r="Z823" s="27" t="n">
        <f aca="false">IF(H823-E823&gt;=GWL,99,E823*(MAX(0,GWL-H823)*(GAM_S-GAM_W)+MAX(0,NG-MAX(H823,GWL))*GAM_D)/(GAM_W*PI()*E823^2/4))</f>
        <v>1.97359486040249</v>
      </c>
      <c r="AA823" s="27" t="n">
        <f aca="false">IF(I823-E823&gt;=GWL,99,E823*(MAX(0,GWL-I823)*(GAM_S-GAM_W)+MAX(0,NG-MAX(I823,GWL))*GAM_D)/(GAM_W*PI()*E823^2/4))</f>
        <v>1.97359486040249</v>
      </c>
      <c r="AB823" s="27" t="n">
        <f aca="false">IF(H823-E823&gt;=GWL,99,E823*(MAX(0,GWL-H823)*(GAM_S-GAM_W)+MAX(0,FL-MAX(H823,GWL))*GAM_D)/(GAM_W*PI()*E823^2/4))</f>
        <v>4.76066560358087</v>
      </c>
      <c r="AC823" s="27" t="n">
        <f aca="false">IF(I823-E823&gt;=GWL,99,E823*(MAX(0,GWL-I823)*(GAM_S-GAM_W)+MAX(0,FL-MAX(I823,GWL))*GAM_D)/(GAM_W*PI()*E823^2/4))</f>
        <v>4.76066560358087</v>
      </c>
    </row>
    <row r="824" customFormat="false" ht="15" hidden="false" customHeight="false" outlineLevel="0" collapsed="false">
      <c r="A824" s="25" t="s">
        <v>1341</v>
      </c>
      <c r="B824" s="25" t="s">
        <v>1376</v>
      </c>
      <c r="C824" s="25" t="s">
        <v>1392</v>
      </c>
      <c r="D824" s="26" t="n">
        <v>0.461396048781514</v>
      </c>
      <c r="E824" s="26" t="n">
        <v>1.39999601880732</v>
      </c>
      <c r="F824" s="26" t="n">
        <v>-4.29999800940366</v>
      </c>
      <c r="G824" s="26" t="n">
        <v>-4.29999800940366</v>
      </c>
      <c r="H824" s="26" t="n">
        <v>-2.40000199059634</v>
      </c>
      <c r="I824" s="26" t="n">
        <v>-2.40000199059634</v>
      </c>
      <c r="J824" s="26" t="n">
        <v>15.99</v>
      </c>
      <c r="K824" s="27" t="n">
        <f aca="false">MIN(F824,G824)</f>
        <v>-4.29999800940366</v>
      </c>
      <c r="L824" s="27" t="n">
        <f aca="false">AVERAGE(F824,G824)</f>
        <v>-4.29999800940366</v>
      </c>
      <c r="M824" s="27" t="n">
        <f aca="false">MAX(0,NG-L824)</f>
        <v>3.59999800940366</v>
      </c>
      <c r="N824" s="27" t="n">
        <f aca="false">MAX(0,GWL-K824)</f>
        <v>2.79999800940366</v>
      </c>
      <c r="O824" s="27" t="n">
        <f aca="false">MAX(0,NG-MAX(K824,GWL))</f>
        <v>0.8</v>
      </c>
      <c r="P824" s="27" t="n">
        <f aca="false">E824/2+WS+SLOPE_A*O824+SLOPE_B*N824</f>
        <v>8.49999402821098</v>
      </c>
      <c r="Q824" s="28" t="str">
        <f aca="false">IF(AND(P824&lt;J824,N824&lt;=MAXOC),"Open cut","Shoring")</f>
        <v>Shoring</v>
      </c>
      <c r="R824" s="27" t="n">
        <f aca="false">IF(Q824="Shoring",D824,0)</f>
        <v>0.461396048781514</v>
      </c>
      <c r="S824" s="27" t="n">
        <f aca="false">MAX(0,GWL-L824)</f>
        <v>2.79999800940366</v>
      </c>
      <c r="T824" s="27" t="n">
        <f aca="false">MAX(0,NG-MAX(L824,GWL))</f>
        <v>0.8</v>
      </c>
      <c r="U824" s="27" t="n">
        <f aca="false">E824+2*WS</f>
        <v>3.39999601880732</v>
      </c>
      <c r="V824" s="27" t="n">
        <f aca="false">IF(Q824="Shoring",D824*M824*U824,0)</f>
        <v>5.64747790148456</v>
      </c>
      <c r="W824" s="27" t="n">
        <f aca="false">IF(Q824="Open cut",D824*(U824*M824+SLOPE_B*S824^2+2*SLOPE_B*S824*T824+SLOPE_A*T824^2),0)</f>
        <v>0</v>
      </c>
      <c r="X824" s="27" t="n">
        <f aca="false">IF(M824&gt;0,D824*(E824+2*SLABOVH)*SLAB,0)</f>
        <v>0.553674340084531</v>
      </c>
      <c r="Y824" s="27" t="n">
        <f aca="false">IF(M824&gt;0,D824*PI()*E824^2/4,0)</f>
        <v>0.710259994688417</v>
      </c>
      <c r="Z824" s="27" t="n">
        <f aca="false">IF(H824-E824&gt;=GWL,99,E824*(MAX(0,GWL-H824)*(GAM_S-GAM_W)+MAX(0,NG-MAX(H824,GWL))*GAM_D)/(GAM_W*PI()*E824^2/4))</f>
        <v>2.0183338949376</v>
      </c>
      <c r="AA824" s="27" t="n">
        <f aca="false">IF(I824-E824&gt;=GWL,99,E824*(MAX(0,GWL-I824)*(GAM_S-GAM_W)+MAX(0,NG-MAX(I824,GWL))*GAM_D)/(GAM_W*PI()*E824^2/4))</f>
        <v>2.0183338949376</v>
      </c>
      <c r="AB824" s="27" t="n">
        <f aca="false">IF(H824-E824&gt;=GWL,99,E824*(MAX(0,GWL-H824)*(GAM_S-GAM_W)+MAX(0,FL-MAX(H824,GWL))*GAM_D)/(GAM_W*PI()*E824^2/4))</f>
        <v>4.85517974198358</v>
      </c>
      <c r="AC824" s="27" t="n">
        <f aca="false">IF(I824-E824&gt;=GWL,99,E824*(MAX(0,GWL-I824)*(GAM_S-GAM_W)+MAX(0,FL-MAX(I824,GWL))*GAM_D)/(GAM_W*PI()*E824^2/4))</f>
        <v>4.85517974198358</v>
      </c>
    </row>
    <row r="825" customFormat="false" ht="15" hidden="false" customHeight="false" outlineLevel="0" collapsed="false">
      <c r="A825" s="25" t="s">
        <v>1341</v>
      </c>
      <c r="B825" s="25" t="s">
        <v>1393</v>
      </c>
      <c r="C825" s="25" t="s">
        <v>1394</v>
      </c>
      <c r="D825" s="26" t="n">
        <v>8.61973332171251</v>
      </c>
      <c r="E825" s="26" t="n">
        <v>1.39999601880732</v>
      </c>
      <c r="F825" s="26" t="n">
        <v>-4.29999800940366</v>
      </c>
      <c r="G825" s="26" t="n">
        <v>-4.29999800940366</v>
      </c>
      <c r="H825" s="26" t="n">
        <v>-2.40000199059634</v>
      </c>
      <c r="I825" s="26" t="n">
        <v>-2.40000199059634</v>
      </c>
      <c r="J825" s="26" t="n">
        <v>15.38</v>
      </c>
      <c r="K825" s="27" t="n">
        <f aca="false">MIN(F825,G825)</f>
        <v>-4.29999800940366</v>
      </c>
      <c r="L825" s="27" t="n">
        <f aca="false">AVERAGE(F825,G825)</f>
        <v>-4.29999800940366</v>
      </c>
      <c r="M825" s="27" t="n">
        <f aca="false">MAX(0,NG-L825)</f>
        <v>3.59999800940366</v>
      </c>
      <c r="N825" s="27" t="n">
        <f aca="false">MAX(0,GWL-K825)</f>
        <v>2.79999800940366</v>
      </c>
      <c r="O825" s="27" t="n">
        <f aca="false">MAX(0,NG-MAX(K825,GWL))</f>
        <v>0.8</v>
      </c>
      <c r="P825" s="27" t="n">
        <f aca="false">E825/2+WS+SLOPE_A*O825+SLOPE_B*N825</f>
        <v>8.49999402821098</v>
      </c>
      <c r="Q825" s="28" t="str">
        <f aca="false">IF(AND(P825&lt;J825,N825&lt;=MAXOC),"Open cut","Shoring")</f>
        <v>Shoring</v>
      </c>
      <c r="R825" s="27" t="n">
        <f aca="false">IF(Q825="Shoring",D825,0)</f>
        <v>8.61973332171251</v>
      </c>
      <c r="S825" s="27" t="n">
        <f aca="false">MAX(0,GWL-L825)</f>
        <v>2.79999800940366</v>
      </c>
      <c r="T825" s="27" t="n">
        <f aca="false">MAX(0,NG-MAX(L825,GWL))</f>
        <v>0.8</v>
      </c>
      <c r="U825" s="27" t="n">
        <f aca="false">E825+2*WS</f>
        <v>3.39999601880732</v>
      </c>
      <c r="V825" s="27" t="n">
        <f aca="false">IF(Q825="Shoring",D825*M825*U825,0)</f>
        <v>105.505353978688</v>
      </c>
      <c r="W825" s="27" t="n">
        <f aca="false">IF(Q825="Open cut",D825*(U825*M825+SLOPE_B*S825^2+2*SLOPE_B*S825*T825+SLOPE_A*T825^2),0)</f>
        <v>0</v>
      </c>
      <c r="X825" s="27" t="n">
        <f aca="false">IF(M825&gt;0,D825*(E825+2*SLABOVH)*SLAB,0)</f>
        <v>10.3436628276454</v>
      </c>
      <c r="Y825" s="27" t="n">
        <f aca="false">IF(M825&gt;0,D825*PI()*E825^2/4,0)</f>
        <v>13.268973064384</v>
      </c>
      <c r="Z825" s="27" t="n">
        <f aca="false">IF(H825-E825&gt;=GWL,99,E825*(MAX(0,GWL-H825)*(GAM_S-GAM_W)+MAX(0,NG-MAX(H825,GWL))*GAM_D)/(GAM_W*PI()*E825^2/4))</f>
        <v>2.0183338949376</v>
      </c>
      <c r="AA825" s="27" t="n">
        <f aca="false">IF(I825-E825&gt;=GWL,99,E825*(MAX(0,GWL-I825)*(GAM_S-GAM_W)+MAX(0,NG-MAX(I825,GWL))*GAM_D)/(GAM_W*PI()*E825^2/4))</f>
        <v>2.0183338949376</v>
      </c>
      <c r="AB825" s="27" t="n">
        <f aca="false">IF(H825-E825&gt;=GWL,99,E825*(MAX(0,GWL-H825)*(GAM_S-GAM_W)+MAX(0,FL-MAX(H825,GWL))*GAM_D)/(GAM_W*PI()*E825^2/4))</f>
        <v>4.85517974198358</v>
      </c>
      <c r="AC825" s="27" t="n">
        <f aca="false">IF(I825-E825&gt;=GWL,99,E825*(MAX(0,GWL-I825)*(GAM_S-GAM_W)+MAX(0,FL-MAX(I825,GWL))*GAM_D)/(GAM_W*PI()*E825^2/4))</f>
        <v>4.85517974198358</v>
      </c>
    </row>
    <row r="826" customFormat="false" ht="15" hidden="false" customHeight="false" outlineLevel="0" collapsed="false">
      <c r="A826" s="25" t="s">
        <v>1341</v>
      </c>
      <c r="B826" s="25" t="s">
        <v>1393</v>
      </c>
      <c r="C826" s="25" t="s">
        <v>1395</v>
      </c>
      <c r="D826" s="26" t="n">
        <v>0.180266679300175</v>
      </c>
      <c r="E826" s="26" t="n">
        <v>1.42500210045913</v>
      </c>
      <c r="F826" s="26" t="n">
        <v>-4.31250105022956</v>
      </c>
      <c r="G826" s="26" t="n">
        <v>-4.31250105022956</v>
      </c>
      <c r="H826" s="26" t="n">
        <v>-2.38749894977044</v>
      </c>
      <c r="I826" s="26" t="n">
        <v>-2.38749894977044</v>
      </c>
      <c r="J826" s="26" t="n">
        <v>15.2</v>
      </c>
      <c r="K826" s="27" t="n">
        <f aca="false">MIN(F826,G826)</f>
        <v>-4.31250105022956</v>
      </c>
      <c r="L826" s="27" t="n">
        <f aca="false">AVERAGE(F826,G826)</f>
        <v>-4.31250105022956</v>
      </c>
      <c r="M826" s="27" t="n">
        <f aca="false">MAX(0,NG-L826)</f>
        <v>3.61250105022956</v>
      </c>
      <c r="N826" s="27" t="n">
        <f aca="false">MAX(0,GWL-K826)</f>
        <v>2.81250105022956</v>
      </c>
      <c r="O826" s="27" t="n">
        <f aca="false">MAX(0,NG-MAX(K826,GWL))</f>
        <v>0.8</v>
      </c>
      <c r="P826" s="27" t="n">
        <f aca="false">E826/2+WS+SLOPE_A*O826+SLOPE_B*N826</f>
        <v>8.53750315068869</v>
      </c>
      <c r="Q826" s="28" t="str">
        <f aca="false">IF(AND(P826&lt;J826,N826&lt;=MAXOC),"Open cut","Shoring")</f>
        <v>Shoring</v>
      </c>
      <c r="R826" s="27" t="n">
        <f aca="false">IF(Q826="Shoring",D826,0)</f>
        <v>0.180266679300175</v>
      </c>
      <c r="S826" s="27" t="n">
        <f aca="false">MAX(0,GWL-L826)</f>
        <v>2.81250105022956</v>
      </c>
      <c r="T826" s="27" t="n">
        <f aca="false">MAX(0,NG-MAX(L826,GWL))</f>
        <v>0.8</v>
      </c>
      <c r="U826" s="27" t="n">
        <f aca="false">E826+2*WS</f>
        <v>3.42500210045913</v>
      </c>
      <c r="V826" s="27" t="n">
        <f aca="false">IF(Q826="Shoring",D826*M826*U826,0)</f>
        <v>2.23040783925196</v>
      </c>
      <c r="W826" s="27" t="n">
        <f aca="false">IF(Q826="Open cut",D826*(U826*M826+SLOPE_B*S826^2+2*SLOPE_B*S826*T826+SLOPE_A*T826^2),0)</f>
        <v>0</v>
      </c>
      <c r="X826" s="27" t="n">
        <f aca="false">IF(M826&gt;0,D826*(E826+2*SLABOVH)*SLAB,0)</f>
        <v>0.218573537972858</v>
      </c>
      <c r="Y826" s="27" t="n">
        <f aca="false">IF(M826&gt;0,D826*PI()*E826^2/4,0)</f>
        <v>0.287499007001711</v>
      </c>
      <c r="Z826" s="27" t="n">
        <f aca="false">IF(H826-E826&gt;=GWL,99,E826*(MAX(0,GWL-H826)*(GAM_S-GAM_W)+MAX(0,NG-MAX(H826,GWL))*GAM_D)/(GAM_W*PI()*E826^2/4))</f>
        <v>1.97358932786929</v>
      </c>
      <c r="AA826" s="27" t="n">
        <f aca="false">IF(I826-E826&gt;=GWL,99,E826*(MAX(0,GWL-I826)*(GAM_S-GAM_W)+MAX(0,NG-MAX(I826,GWL))*GAM_D)/(GAM_W*PI()*E826^2/4))</f>
        <v>1.97358932786929</v>
      </c>
      <c r="AB826" s="27" t="n">
        <f aca="false">IF(H826-E826&gt;=GWL,99,E826*(MAX(0,GWL-H826)*(GAM_S-GAM_W)+MAX(0,FL-MAX(H826,GWL))*GAM_D)/(GAM_W*PI()*E826^2/4))</f>
        <v>4.76065391574242</v>
      </c>
      <c r="AC826" s="27" t="n">
        <f aca="false">IF(I826-E826&gt;=GWL,99,E826*(MAX(0,GWL-I826)*(GAM_S-GAM_W)+MAX(0,FL-MAX(I826,GWL))*GAM_D)/(GAM_W*PI()*E826^2/4))</f>
        <v>4.76065391574242</v>
      </c>
    </row>
    <row r="827" customFormat="false" ht="15" hidden="false" customHeight="false" outlineLevel="0" collapsed="false">
      <c r="A827" s="25" t="s">
        <v>1341</v>
      </c>
      <c r="B827" s="25" t="s">
        <v>1393</v>
      </c>
      <c r="C827" s="25" t="s">
        <v>1396</v>
      </c>
      <c r="D827" s="26" t="n">
        <v>0.824729817978899</v>
      </c>
      <c r="E827" s="26" t="n">
        <v>1.42500210045913</v>
      </c>
      <c r="F827" s="26" t="n">
        <v>-4.31250105022956</v>
      </c>
      <c r="G827" s="26" t="n">
        <v>-4.31250105022956</v>
      </c>
      <c r="H827" s="26" t="n">
        <v>-2.38749894977044</v>
      </c>
      <c r="I827" s="26" t="n">
        <v>-2.38749894977044</v>
      </c>
      <c r="J827" s="26" t="n">
        <v>14.38</v>
      </c>
      <c r="K827" s="27" t="n">
        <f aca="false">MIN(F827,G827)</f>
        <v>-4.31250105022956</v>
      </c>
      <c r="L827" s="27" t="n">
        <f aca="false">AVERAGE(F827,G827)</f>
        <v>-4.31250105022956</v>
      </c>
      <c r="M827" s="27" t="n">
        <f aca="false">MAX(0,NG-L827)</f>
        <v>3.61250105022956</v>
      </c>
      <c r="N827" s="27" t="n">
        <f aca="false">MAX(0,GWL-K827)</f>
        <v>2.81250105022956</v>
      </c>
      <c r="O827" s="27" t="n">
        <f aca="false">MAX(0,NG-MAX(K827,GWL))</f>
        <v>0.8</v>
      </c>
      <c r="P827" s="27" t="n">
        <f aca="false">E827/2+WS+SLOPE_A*O827+SLOPE_B*N827</f>
        <v>8.53750315068869</v>
      </c>
      <c r="Q827" s="28" t="str">
        <f aca="false">IF(AND(P827&lt;J827,N827&lt;=MAXOC),"Open cut","Shoring")</f>
        <v>Shoring</v>
      </c>
      <c r="R827" s="27" t="n">
        <f aca="false">IF(Q827="Shoring",D827,0)</f>
        <v>0.824729817978899</v>
      </c>
      <c r="S827" s="27" t="n">
        <f aca="false">MAX(0,GWL-L827)</f>
        <v>2.81250105022956</v>
      </c>
      <c r="T827" s="27" t="n">
        <f aca="false">MAX(0,NG-MAX(L827,GWL))</f>
        <v>0.8</v>
      </c>
      <c r="U827" s="27" t="n">
        <f aca="false">E827+2*WS</f>
        <v>3.42500210045913</v>
      </c>
      <c r="V827" s="27" t="n">
        <f aca="false">IF(Q827="Shoring",D827*M827*U827,0)</f>
        <v>10.2042366255714</v>
      </c>
      <c r="W827" s="27" t="n">
        <f aca="false">IF(Q827="Open cut",D827*(U827*M827+SLOPE_B*S827^2+2*SLOPE_B*S827*T827+SLOPE_A*T827^2),0)</f>
        <v>0</v>
      </c>
      <c r="X827" s="27" t="n">
        <f aca="false">IF(M827&gt;0,D827*(E827+2*SLABOVH)*SLAB,0)</f>
        <v>0.999985770455052</v>
      </c>
      <c r="Y827" s="27" t="n">
        <f aca="false">IF(M827&gt;0,D827*PI()*E827^2/4,0)</f>
        <v>1.31532352309441</v>
      </c>
      <c r="Z827" s="27" t="n">
        <f aca="false">IF(H827-E827&gt;=GWL,99,E827*(MAX(0,GWL-H827)*(GAM_S-GAM_W)+MAX(0,NG-MAX(H827,GWL))*GAM_D)/(GAM_W*PI()*E827^2/4))</f>
        <v>1.97358932786929</v>
      </c>
      <c r="AA827" s="27" t="n">
        <f aca="false">IF(I827-E827&gt;=GWL,99,E827*(MAX(0,GWL-I827)*(GAM_S-GAM_W)+MAX(0,NG-MAX(I827,GWL))*GAM_D)/(GAM_W*PI()*E827^2/4))</f>
        <v>1.97358932786929</v>
      </c>
      <c r="AB827" s="27" t="n">
        <f aca="false">IF(H827-E827&gt;=GWL,99,E827*(MAX(0,GWL-H827)*(GAM_S-GAM_W)+MAX(0,FL-MAX(H827,GWL))*GAM_D)/(GAM_W*PI()*E827^2/4))</f>
        <v>4.76065391574242</v>
      </c>
      <c r="AC827" s="27" t="n">
        <f aca="false">IF(I827-E827&gt;=GWL,99,E827*(MAX(0,GWL-I827)*(GAM_S-GAM_W)+MAX(0,FL-MAX(I827,GWL))*GAM_D)/(GAM_W*PI()*E827^2/4))</f>
        <v>4.76065391574242</v>
      </c>
    </row>
    <row r="828" customFormat="false" ht="15" hidden="false" customHeight="false" outlineLevel="0" collapsed="false">
      <c r="A828" s="25" t="s">
        <v>1341</v>
      </c>
      <c r="B828" s="25" t="s">
        <v>1393</v>
      </c>
      <c r="C828" s="25" t="s">
        <v>1397</v>
      </c>
      <c r="D828" s="26" t="n">
        <v>1.00499999962673</v>
      </c>
      <c r="E828" s="26" t="n">
        <v>1.42500055832278</v>
      </c>
      <c r="F828" s="26" t="n">
        <v>-4.31250027916139</v>
      </c>
      <c r="G828" s="26" t="n">
        <v>-4.31250027916139</v>
      </c>
      <c r="H828" s="26" t="n">
        <v>-2.38749972083861</v>
      </c>
      <c r="I828" s="26" t="n">
        <v>-2.38749972083861</v>
      </c>
      <c r="J828" s="26" t="n">
        <v>13.75</v>
      </c>
      <c r="K828" s="27" t="n">
        <f aca="false">MIN(F828,G828)</f>
        <v>-4.31250027916139</v>
      </c>
      <c r="L828" s="27" t="n">
        <f aca="false">AVERAGE(F828,G828)</f>
        <v>-4.31250027916139</v>
      </c>
      <c r="M828" s="27" t="n">
        <f aca="false">MAX(0,NG-L828)</f>
        <v>3.61250027916139</v>
      </c>
      <c r="N828" s="27" t="n">
        <f aca="false">MAX(0,GWL-K828)</f>
        <v>2.81250027916139</v>
      </c>
      <c r="O828" s="27" t="n">
        <f aca="false">MAX(0,NG-MAX(K828,GWL))</f>
        <v>0.8</v>
      </c>
      <c r="P828" s="27" t="n">
        <f aca="false">E828/2+WS+SLOPE_A*O828+SLOPE_B*N828</f>
        <v>8.53750083748416</v>
      </c>
      <c r="Q828" s="28" t="str">
        <f aca="false">IF(AND(P828&lt;J828,N828&lt;=MAXOC),"Open cut","Shoring")</f>
        <v>Shoring</v>
      </c>
      <c r="R828" s="27" t="n">
        <f aca="false">IF(Q828="Shoring",D828,0)</f>
        <v>1.00499999962673</v>
      </c>
      <c r="S828" s="27" t="n">
        <f aca="false">MAX(0,GWL-L828)</f>
        <v>2.81250027916139</v>
      </c>
      <c r="T828" s="27" t="n">
        <f aca="false">MAX(0,NG-MAX(L828,GWL))</f>
        <v>0.8</v>
      </c>
      <c r="U828" s="27" t="n">
        <f aca="false">E828+2*WS</f>
        <v>3.42500055832278</v>
      </c>
      <c r="V828" s="27" t="n">
        <f aca="false">IF(Q828="Shoring",D828*M828*U828,0)</f>
        <v>12.4346795458159</v>
      </c>
      <c r="W828" s="27" t="n">
        <f aca="false">IF(Q828="Open cut",D828*(U828*M828+SLOPE_B*S828^2+2*SLOPE_B*S828*T828+SLOPE_A*T828^2),0)</f>
        <v>0</v>
      </c>
      <c r="X828" s="27" t="n">
        <f aca="false">IF(M828&gt;0,D828*(E828+2*SLABOVH)*SLAB,0)</f>
        <v>1.2185627801046</v>
      </c>
      <c r="Y828" s="27" t="n">
        <f aca="false">IF(M828&gt;0,D828*PI()*E828^2/4,0)</f>
        <v>1.60282464667152</v>
      </c>
      <c r="Z828" s="27" t="n">
        <f aca="false">IF(H828-E828&gt;=GWL,99,E828*(MAX(0,GWL-H828)*(GAM_S-GAM_W)+MAX(0,NG-MAX(H828,GWL))*GAM_D)/(GAM_W*PI()*E828^2/4))</f>
        <v>1.97359203886735</v>
      </c>
      <c r="AA828" s="27" t="n">
        <f aca="false">IF(I828-E828&gt;=GWL,99,E828*(MAX(0,GWL-I828)*(GAM_S-GAM_W)+MAX(0,NG-MAX(I828,GWL))*GAM_D)/(GAM_W*PI()*E828^2/4))</f>
        <v>1.97359203886735</v>
      </c>
      <c r="AB828" s="27" t="n">
        <f aca="false">IF(H828-E828&gt;=GWL,99,E828*(MAX(0,GWL-H828)*(GAM_S-GAM_W)+MAX(0,FL-MAX(H828,GWL))*GAM_D)/(GAM_W*PI()*E828^2/4))</f>
        <v>4.76065964290323</v>
      </c>
      <c r="AC828" s="27" t="n">
        <f aca="false">IF(I828-E828&gt;=GWL,99,E828*(MAX(0,GWL-I828)*(GAM_S-GAM_W)+MAX(0,FL-MAX(I828,GWL))*GAM_D)/(GAM_W*PI()*E828^2/4))</f>
        <v>4.76065964290323</v>
      </c>
    </row>
    <row r="829" customFormat="false" ht="15" hidden="false" customHeight="false" outlineLevel="0" collapsed="false">
      <c r="A829" s="25" t="s">
        <v>1341</v>
      </c>
      <c r="B829" s="25" t="s">
        <v>1393</v>
      </c>
      <c r="C829" s="25" t="s">
        <v>1398</v>
      </c>
      <c r="D829" s="26" t="n">
        <v>7.05700633337058</v>
      </c>
      <c r="E829" s="26" t="n">
        <v>1.3999987402706</v>
      </c>
      <c r="F829" s="26" t="n">
        <v>-4.2999993701353</v>
      </c>
      <c r="G829" s="26" t="n">
        <v>-4.2999993701353</v>
      </c>
      <c r="H829" s="26" t="n">
        <v>-2.4000006298647</v>
      </c>
      <c r="I829" s="26" t="n">
        <v>-2.4000006298647</v>
      </c>
      <c r="J829" s="26" t="n">
        <v>9.76</v>
      </c>
      <c r="K829" s="27" t="n">
        <f aca="false">MIN(F829,G829)</f>
        <v>-4.2999993701353</v>
      </c>
      <c r="L829" s="27" t="n">
        <f aca="false">AVERAGE(F829,G829)</f>
        <v>-4.2999993701353</v>
      </c>
      <c r="M829" s="27" t="n">
        <f aca="false">MAX(0,NG-L829)</f>
        <v>3.5999993701353</v>
      </c>
      <c r="N829" s="27" t="n">
        <f aca="false">MAX(0,GWL-K829)</f>
        <v>2.7999993701353</v>
      </c>
      <c r="O829" s="27" t="n">
        <f aca="false">MAX(0,NG-MAX(K829,GWL))</f>
        <v>0.8</v>
      </c>
      <c r="P829" s="27" t="n">
        <f aca="false">E829/2+WS+SLOPE_A*O829+SLOPE_B*N829</f>
        <v>8.49999811040589</v>
      </c>
      <c r="Q829" s="28" t="str">
        <f aca="false">IF(AND(P829&lt;J829,N829&lt;=MAXOC),"Open cut","Shoring")</f>
        <v>Shoring</v>
      </c>
      <c r="R829" s="27" t="n">
        <f aca="false">IF(Q829="Shoring",D829,0)</f>
        <v>7.05700633337058</v>
      </c>
      <c r="S829" s="27" t="n">
        <f aca="false">MAX(0,GWL-L829)</f>
        <v>2.7999993701353</v>
      </c>
      <c r="T829" s="27" t="n">
        <f aca="false">MAX(0,NG-MAX(L829,GWL))</f>
        <v>0.8</v>
      </c>
      <c r="U829" s="27" t="n">
        <f aca="false">E829+2*WS</f>
        <v>3.3999987402706</v>
      </c>
      <c r="V829" s="27" t="n">
        <f aca="false">IF(Q829="Shoring",D829*M829*U829,0)</f>
        <v>86.377710403894</v>
      </c>
      <c r="W829" s="27" t="n">
        <f aca="false">IF(Q829="Open cut",D829*(U829*M829+SLOPE_B*S829^2+2*SLOPE_B*S829*T829+SLOPE_A*T829^2),0)</f>
        <v>0</v>
      </c>
      <c r="X829" s="27" t="n">
        <f aca="false">IF(M829&gt;0,D829*(E829+2*SLABOVH)*SLAB,0)</f>
        <v>8.4684031550855</v>
      </c>
      <c r="Y829" s="27" t="n">
        <f aca="false">IF(M829&gt;0,D829*PI()*E829^2/4,0)</f>
        <v>10.8633976841515</v>
      </c>
      <c r="Z829" s="27" t="n">
        <f aca="false">IF(H829-E829&gt;=GWL,99,E829*(MAX(0,GWL-H829)*(GAM_S-GAM_W)+MAX(0,NG-MAX(H829,GWL))*GAM_D)/(GAM_W*PI()*E829^2/4))</f>
        <v>2.0183289383247</v>
      </c>
      <c r="AA829" s="27" t="n">
        <f aca="false">IF(I829-E829&gt;=GWL,99,E829*(MAX(0,GWL-I829)*(GAM_S-GAM_W)+MAX(0,NG-MAX(I829,GWL))*GAM_D)/(GAM_W*PI()*E829^2/4))</f>
        <v>2.0183289383247</v>
      </c>
      <c r="AB829" s="27" t="n">
        <f aca="false">IF(H829-E829&gt;=GWL,99,E829*(MAX(0,GWL-H829)*(GAM_S-GAM_W)+MAX(0,FL-MAX(H829,GWL))*GAM_D)/(GAM_W*PI()*E829^2/4))</f>
        <v>4.85516927081444</v>
      </c>
      <c r="AC829" s="27" t="n">
        <f aca="false">IF(I829-E829&gt;=GWL,99,E829*(MAX(0,GWL-I829)*(GAM_S-GAM_W)+MAX(0,FL-MAX(I829,GWL))*GAM_D)/(GAM_W*PI()*E829^2/4))</f>
        <v>4.85516927081444</v>
      </c>
    </row>
    <row r="830" customFormat="false" ht="15" hidden="false" customHeight="false" outlineLevel="0" collapsed="false">
      <c r="A830" s="25" t="s">
        <v>1341</v>
      </c>
      <c r="B830" s="25" t="s">
        <v>1399</v>
      </c>
      <c r="C830" s="25" t="s">
        <v>1400</v>
      </c>
      <c r="D830" s="26" t="n">
        <v>1.11326384813976</v>
      </c>
      <c r="E830" s="26" t="n">
        <v>1.3999987402706</v>
      </c>
      <c r="F830" s="26" t="n">
        <v>-4.2999993701353</v>
      </c>
      <c r="G830" s="26" t="n">
        <v>-4.2999993701353</v>
      </c>
      <c r="H830" s="26" t="n">
        <v>-2.4000006298647</v>
      </c>
      <c r="I830" s="26" t="n">
        <v>-2.4000006298647</v>
      </c>
      <c r="J830" s="26" t="n">
        <v>9.21</v>
      </c>
      <c r="K830" s="27" t="n">
        <f aca="false">MIN(F830,G830)</f>
        <v>-4.2999993701353</v>
      </c>
      <c r="L830" s="27" t="n">
        <f aca="false">AVERAGE(F830,G830)</f>
        <v>-4.2999993701353</v>
      </c>
      <c r="M830" s="27" t="n">
        <f aca="false">MAX(0,NG-L830)</f>
        <v>3.5999993701353</v>
      </c>
      <c r="N830" s="27" t="n">
        <f aca="false">MAX(0,GWL-K830)</f>
        <v>2.7999993701353</v>
      </c>
      <c r="O830" s="27" t="n">
        <f aca="false">MAX(0,NG-MAX(K830,GWL))</f>
        <v>0.8</v>
      </c>
      <c r="P830" s="27" t="n">
        <f aca="false">E830/2+WS+SLOPE_A*O830+SLOPE_B*N830</f>
        <v>8.49999811040589</v>
      </c>
      <c r="Q830" s="28" t="str">
        <f aca="false">IF(AND(P830&lt;J830,N830&lt;=MAXOC),"Open cut","Shoring")</f>
        <v>Shoring</v>
      </c>
      <c r="R830" s="27" t="n">
        <f aca="false">IF(Q830="Shoring",D830,0)</f>
        <v>1.11326384813976</v>
      </c>
      <c r="S830" s="27" t="n">
        <f aca="false">MAX(0,GWL-L830)</f>
        <v>2.7999993701353</v>
      </c>
      <c r="T830" s="27" t="n">
        <f aca="false">MAX(0,NG-MAX(L830,GWL))</f>
        <v>0.8</v>
      </c>
      <c r="U830" s="27" t="n">
        <f aca="false">E830+2*WS</f>
        <v>3.3999987402706</v>
      </c>
      <c r="V830" s="27" t="n">
        <f aca="false">IF(Q830="Shoring",D830*M830*U830,0)</f>
        <v>13.6263420684521</v>
      </c>
      <c r="W830" s="27" t="n">
        <f aca="false">IF(Q830="Open cut",D830*(U830*M830+SLOPE_B*S830^2+2*SLOPE_B*S830*T830+SLOPE_A*T830^2),0)</f>
        <v>0</v>
      </c>
      <c r="X830" s="27" t="n">
        <f aca="false">IF(M830&gt;0,D830*(E830+2*SLABOVH)*SLAB,0)</f>
        <v>1.33591591656211</v>
      </c>
      <c r="Y830" s="27" t="n">
        <f aca="false">IF(M830&gt;0,D830*PI()*E830^2/4,0)</f>
        <v>1.71373346408132</v>
      </c>
      <c r="Z830" s="27" t="n">
        <f aca="false">IF(H830-E830&gt;=GWL,99,E830*(MAX(0,GWL-H830)*(GAM_S-GAM_W)+MAX(0,NG-MAX(H830,GWL))*GAM_D)/(GAM_W*PI()*E830^2/4))</f>
        <v>2.0183289383247</v>
      </c>
      <c r="AA830" s="27" t="n">
        <f aca="false">IF(I830-E830&gt;=GWL,99,E830*(MAX(0,GWL-I830)*(GAM_S-GAM_W)+MAX(0,NG-MAX(I830,GWL))*GAM_D)/(GAM_W*PI()*E830^2/4))</f>
        <v>2.0183289383247</v>
      </c>
      <c r="AB830" s="27" t="n">
        <f aca="false">IF(H830-E830&gt;=GWL,99,E830*(MAX(0,GWL-H830)*(GAM_S-GAM_W)+MAX(0,FL-MAX(H830,GWL))*GAM_D)/(GAM_W*PI()*E830^2/4))</f>
        <v>4.85516927081444</v>
      </c>
      <c r="AC830" s="27" t="n">
        <f aca="false">IF(I830-E830&gt;=GWL,99,E830*(MAX(0,GWL-I830)*(GAM_S-GAM_W)+MAX(0,FL-MAX(I830,GWL))*GAM_D)/(GAM_W*PI()*E830^2/4))</f>
        <v>4.85516927081444</v>
      </c>
    </row>
    <row r="831" customFormat="false" ht="15" hidden="false" customHeight="false" outlineLevel="0" collapsed="false">
      <c r="A831" s="25" t="s">
        <v>1341</v>
      </c>
      <c r="B831" s="25" t="s">
        <v>1399</v>
      </c>
      <c r="C831" s="25" t="s">
        <v>1401</v>
      </c>
      <c r="D831" s="26" t="n">
        <v>10.0000000005855</v>
      </c>
      <c r="E831" s="26" t="n">
        <v>1.3999987402706</v>
      </c>
      <c r="F831" s="26" t="n">
        <v>-4.2999993701353</v>
      </c>
      <c r="G831" s="26" t="n">
        <v>-4.2999993701353</v>
      </c>
      <c r="H831" s="26" t="n">
        <v>-2.4000006298647</v>
      </c>
      <c r="I831" s="26" t="n">
        <v>-2.4000006298647</v>
      </c>
      <c r="J831" s="26" t="n">
        <v>5.54</v>
      </c>
      <c r="K831" s="27" t="n">
        <f aca="false">MIN(F831,G831)</f>
        <v>-4.2999993701353</v>
      </c>
      <c r="L831" s="27" t="n">
        <f aca="false">AVERAGE(F831,G831)</f>
        <v>-4.2999993701353</v>
      </c>
      <c r="M831" s="27" t="n">
        <f aca="false">MAX(0,NG-L831)</f>
        <v>3.5999993701353</v>
      </c>
      <c r="N831" s="27" t="n">
        <f aca="false">MAX(0,GWL-K831)</f>
        <v>2.7999993701353</v>
      </c>
      <c r="O831" s="27" t="n">
        <f aca="false">MAX(0,NG-MAX(K831,GWL))</f>
        <v>0.8</v>
      </c>
      <c r="P831" s="27" t="n">
        <f aca="false">E831/2+WS+SLOPE_A*O831+SLOPE_B*N831</f>
        <v>8.49999811040589</v>
      </c>
      <c r="Q831" s="28" t="str">
        <f aca="false">IF(AND(P831&lt;J831,N831&lt;=MAXOC),"Open cut","Shoring")</f>
        <v>Shoring</v>
      </c>
      <c r="R831" s="27" t="n">
        <f aca="false">IF(Q831="Shoring",D831,0)</f>
        <v>10.0000000005855</v>
      </c>
      <c r="S831" s="27" t="n">
        <f aca="false">MAX(0,GWL-L831)</f>
        <v>2.7999993701353</v>
      </c>
      <c r="T831" s="27" t="n">
        <f aca="false">MAX(0,NG-MAX(L831,GWL))</f>
        <v>0.8</v>
      </c>
      <c r="U831" s="27" t="n">
        <f aca="false">E831+2*WS</f>
        <v>3.3999987402706</v>
      </c>
      <c r="V831" s="27" t="n">
        <f aca="false">IF(Q831="Shoring",D831*M831*U831,0)</f>
        <v>122.399933241516</v>
      </c>
      <c r="W831" s="27" t="n">
        <f aca="false">IF(Q831="Open cut",D831*(U831*M831+SLOPE_B*S831^2+2*SLOPE_B*S831*T831+SLOPE_A*T831^2),0)</f>
        <v>0</v>
      </c>
      <c r="X831" s="27" t="n">
        <f aca="false">IF(M831&gt;0,D831*(E831+2*SLABOVH)*SLAB,0)</f>
        <v>11.9999937020555</v>
      </c>
      <c r="Y831" s="27" t="n">
        <f aca="false">IF(M831&gt;0,D831*PI()*E831^2/4,0)</f>
        <v>15.3937763006072</v>
      </c>
      <c r="Z831" s="27" t="n">
        <f aca="false">IF(H831-E831&gt;=GWL,99,E831*(MAX(0,GWL-H831)*(GAM_S-GAM_W)+MAX(0,NG-MAX(H831,GWL))*GAM_D)/(GAM_W*PI()*E831^2/4))</f>
        <v>2.0183289383247</v>
      </c>
      <c r="AA831" s="27" t="n">
        <f aca="false">IF(I831-E831&gt;=GWL,99,E831*(MAX(0,GWL-I831)*(GAM_S-GAM_W)+MAX(0,NG-MAX(I831,GWL))*GAM_D)/(GAM_W*PI()*E831^2/4))</f>
        <v>2.0183289383247</v>
      </c>
      <c r="AB831" s="27" t="n">
        <f aca="false">IF(H831-E831&gt;=GWL,99,E831*(MAX(0,GWL-H831)*(GAM_S-GAM_W)+MAX(0,FL-MAX(H831,GWL))*GAM_D)/(GAM_W*PI()*E831^2/4))</f>
        <v>4.85516927081444</v>
      </c>
      <c r="AC831" s="27" t="n">
        <f aca="false">IF(I831-E831&gt;=GWL,99,E831*(MAX(0,GWL-I831)*(GAM_S-GAM_W)+MAX(0,FL-MAX(I831,GWL))*GAM_D)/(GAM_W*PI()*E831^2/4))</f>
        <v>4.85516927081444</v>
      </c>
    </row>
    <row r="832" customFormat="false" ht="15" hidden="false" customHeight="false" outlineLevel="0" collapsed="false">
      <c r="A832" s="25" t="s">
        <v>1341</v>
      </c>
      <c r="B832" s="25" t="s">
        <v>1399</v>
      </c>
      <c r="C832" s="25" t="s">
        <v>1402</v>
      </c>
      <c r="D832" s="26" t="n">
        <v>2.40564731091099</v>
      </c>
      <c r="E832" s="26" t="n">
        <v>1.3999987402706</v>
      </c>
      <c r="F832" s="26" t="n">
        <v>-4.2999993701353</v>
      </c>
      <c r="G832" s="26" t="n">
        <v>-4.2999993701353</v>
      </c>
      <c r="H832" s="26" t="n">
        <v>-2.4000006298647</v>
      </c>
      <c r="I832" s="26" t="n">
        <v>-2.4000006298647</v>
      </c>
      <c r="J832" s="26" t="n">
        <v>5.03</v>
      </c>
      <c r="K832" s="27" t="n">
        <f aca="false">MIN(F832,G832)</f>
        <v>-4.2999993701353</v>
      </c>
      <c r="L832" s="27" t="n">
        <f aca="false">AVERAGE(F832,G832)</f>
        <v>-4.2999993701353</v>
      </c>
      <c r="M832" s="27" t="n">
        <f aca="false">MAX(0,NG-L832)</f>
        <v>3.5999993701353</v>
      </c>
      <c r="N832" s="27" t="n">
        <f aca="false">MAX(0,GWL-K832)</f>
        <v>2.7999993701353</v>
      </c>
      <c r="O832" s="27" t="n">
        <f aca="false">MAX(0,NG-MAX(K832,GWL))</f>
        <v>0.8</v>
      </c>
      <c r="P832" s="27" t="n">
        <f aca="false">E832/2+WS+SLOPE_A*O832+SLOPE_B*N832</f>
        <v>8.49999811040589</v>
      </c>
      <c r="Q832" s="28" t="str">
        <f aca="false">IF(AND(P832&lt;J832,N832&lt;=MAXOC),"Open cut","Shoring")</f>
        <v>Shoring</v>
      </c>
      <c r="R832" s="27" t="n">
        <f aca="false">IF(Q832="Shoring",D832,0)</f>
        <v>2.40564731091099</v>
      </c>
      <c r="S832" s="27" t="n">
        <f aca="false">MAX(0,GWL-L832)</f>
        <v>2.7999993701353</v>
      </c>
      <c r="T832" s="27" t="n">
        <f aca="false">MAX(0,NG-MAX(L832,GWL))</f>
        <v>0.8</v>
      </c>
      <c r="U832" s="27" t="n">
        <f aca="false">E832+2*WS</f>
        <v>3.3999987402706</v>
      </c>
      <c r="V832" s="27" t="n">
        <f aca="false">IF(Q832="Shoring",D832*M832*U832,0)</f>
        <v>29.4451070240897</v>
      </c>
      <c r="W832" s="27" t="n">
        <f aca="false">IF(Q832="Open cut",D832*(U832*M832+SLOPE_B*S832^2+2*SLOPE_B*S832*T832+SLOPE_A*T832^2),0)</f>
        <v>0</v>
      </c>
      <c r="X832" s="27" t="n">
        <f aca="false">IF(M832&gt;0,D832*(E832+2*SLABOVH)*SLAB,0)</f>
        <v>2.88677525786086</v>
      </c>
      <c r="Y832" s="27" t="n">
        <f aca="false">IF(M832&gt;0,D832*PI()*E832^2/4,0)</f>
        <v>3.70319965601529</v>
      </c>
      <c r="Z832" s="27" t="n">
        <f aca="false">IF(H832-E832&gt;=GWL,99,E832*(MAX(0,GWL-H832)*(GAM_S-GAM_W)+MAX(0,NG-MAX(H832,GWL))*GAM_D)/(GAM_W*PI()*E832^2/4))</f>
        <v>2.0183289383247</v>
      </c>
      <c r="AA832" s="27" t="n">
        <f aca="false">IF(I832-E832&gt;=GWL,99,E832*(MAX(0,GWL-I832)*(GAM_S-GAM_W)+MAX(0,NG-MAX(I832,GWL))*GAM_D)/(GAM_W*PI()*E832^2/4))</f>
        <v>2.0183289383247</v>
      </c>
      <c r="AB832" s="27" t="n">
        <f aca="false">IF(H832-E832&gt;=GWL,99,E832*(MAX(0,GWL-H832)*(GAM_S-GAM_W)+MAX(0,FL-MAX(H832,GWL))*GAM_D)/(GAM_W*PI()*E832^2/4))</f>
        <v>4.85516927081444</v>
      </c>
      <c r="AC832" s="27" t="n">
        <f aca="false">IF(I832-E832&gt;=GWL,99,E832*(MAX(0,GWL-I832)*(GAM_S-GAM_W)+MAX(0,FL-MAX(I832,GWL))*GAM_D)/(GAM_W*PI()*E832^2/4))</f>
        <v>4.85516927081444</v>
      </c>
    </row>
    <row r="833" customFormat="false" ht="15" hidden="false" customHeight="false" outlineLevel="0" collapsed="false">
      <c r="A833" s="25" t="s">
        <v>1341</v>
      </c>
      <c r="B833" s="25" t="s">
        <v>1399</v>
      </c>
      <c r="C833" s="25" t="s">
        <v>1403</v>
      </c>
      <c r="D833" s="26" t="n">
        <v>0.299996874465786</v>
      </c>
      <c r="E833" s="26" t="n">
        <v>1.3999987402706</v>
      </c>
      <c r="F833" s="26" t="n">
        <v>-4.2999993701353</v>
      </c>
      <c r="G833" s="26" t="n">
        <v>-4.2999993701353</v>
      </c>
      <c r="H833" s="26" t="n">
        <v>-2.4000006298647</v>
      </c>
      <c r="I833" s="26" t="n">
        <v>-2.4000006298647</v>
      </c>
      <c r="J833" s="26" t="n">
        <v>4.98</v>
      </c>
      <c r="K833" s="27" t="n">
        <f aca="false">MIN(F833,G833)</f>
        <v>-4.2999993701353</v>
      </c>
      <c r="L833" s="27" t="n">
        <f aca="false">AVERAGE(F833,G833)</f>
        <v>-4.2999993701353</v>
      </c>
      <c r="M833" s="27" t="n">
        <f aca="false">MAX(0,NG-L833)</f>
        <v>3.5999993701353</v>
      </c>
      <c r="N833" s="27" t="n">
        <f aca="false">MAX(0,GWL-K833)</f>
        <v>2.7999993701353</v>
      </c>
      <c r="O833" s="27" t="n">
        <f aca="false">MAX(0,NG-MAX(K833,GWL))</f>
        <v>0.8</v>
      </c>
      <c r="P833" s="27" t="n">
        <f aca="false">E833/2+WS+SLOPE_A*O833+SLOPE_B*N833</f>
        <v>8.49999811040589</v>
      </c>
      <c r="Q833" s="28" t="str">
        <f aca="false">IF(AND(P833&lt;J833,N833&lt;=MAXOC),"Open cut","Shoring")</f>
        <v>Shoring</v>
      </c>
      <c r="R833" s="27" t="n">
        <f aca="false">IF(Q833="Shoring",D833,0)</f>
        <v>0.299996874465786</v>
      </c>
      <c r="S833" s="27" t="n">
        <f aca="false">MAX(0,GWL-L833)</f>
        <v>2.7999993701353</v>
      </c>
      <c r="T833" s="27" t="n">
        <f aca="false">MAX(0,NG-MAX(L833,GWL))</f>
        <v>0.8</v>
      </c>
      <c r="U833" s="27" t="n">
        <f aca="false">E833+2*WS</f>
        <v>3.3999987402706</v>
      </c>
      <c r="V833" s="27" t="n">
        <f aca="false">IF(Q833="Shoring",D833*M833*U833,0)</f>
        <v>3.67195974051257</v>
      </c>
      <c r="W833" s="27" t="n">
        <f aca="false">IF(Q833="Open cut",D833*(U833*M833+SLOPE_B*S833^2+2*SLOPE_B*S833*T833+SLOPE_A*T833^2),0)</f>
        <v>0</v>
      </c>
      <c r="X833" s="27" t="n">
        <f aca="false">IF(M833&gt;0,D833*(E833+2*SLABOVH)*SLAB,0)</f>
        <v>0.359996060401501</v>
      </c>
      <c r="Y833" s="27" t="n">
        <f aca="false">IF(M833&gt;0,D833*PI()*E833^2/4,0)</f>
        <v>0.461808477613727</v>
      </c>
      <c r="Z833" s="27" t="n">
        <f aca="false">IF(H833-E833&gt;=GWL,99,E833*(MAX(0,GWL-H833)*(GAM_S-GAM_W)+MAX(0,NG-MAX(H833,GWL))*GAM_D)/(GAM_W*PI()*E833^2/4))</f>
        <v>2.0183289383247</v>
      </c>
      <c r="AA833" s="27" t="n">
        <f aca="false">IF(I833-E833&gt;=GWL,99,E833*(MAX(0,GWL-I833)*(GAM_S-GAM_W)+MAX(0,NG-MAX(I833,GWL))*GAM_D)/(GAM_W*PI()*E833^2/4))</f>
        <v>2.0183289383247</v>
      </c>
      <c r="AB833" s="27" t="n">
        <f aca="false">IF(H833-E833&gt;=GWL,99,E833*(MAX(0,GWL-H833)*(GAM_S-GAM_W)+MAX(0,FL-MAX(H833,GWL))*GAM_D)/(GAM_W*PI()*E833^2/4))</f>
        <v>4.85516927081444</v>
      </c>
      <c r="AC833" s="27" t="n">
        <f aca="false">IF(I833-E833&gt;=GWL,99,E833*(MAX(0,GWL-I833)*(GAM_S-GAM_W)+MAX(0,FL-MAX(I833,GWL))*GAM_D)/(GAM_W*PI()*E833^2/4))</f>
        <v>4.85516927081444</v>
      </c>
    </row>
    <row r="834" customFormat="false" ht="15" hidden="false" customHeight="false" outlineLevel="0" collapsed="false">
      <c r="A834" s="25" t="s">
        <v>1341</v>
      </c>
      <c r="B834" s="25" t="s">
        <v>1399</v>
      </c>
      <c r="C834" s="25" t="s">
        <v>1404</v>
      </c>
      <c r="D834" s="26" t="n">
        <v>7.29435581438913</v>
      </c>
      <c r="E834" s="26" t="n">
        <v>0.999998920080546</v>
      </c>
      <c r="F834" s="26" t="n">
        <v>-4.09999946004027</v>
      </c>
      <c r="G834" s="26" t="n">
        <v>-4.09999946004027</v>
      </c>
      <c r="H834" s="26" t="n">
        <v>-2.60000053995973</v>
      </c>
      <c r="I834" s="26" t="n">
        <v>-2.60000053995973</v>
      </c>
      <c r="J834" s="26" t="n">
        <v>4.57</v>
      </c>
      <c r="K834" s="27" t="n">
        <f aca="false">MIN(F834,G834)</f>
        <v>-4.09999946004027</v>
      </c>
      <c r="L834" s="27" t="n">
        <f aca="false">AVERAGE(F834,G834)</f>
        <v>-4.09999946004027</v>
      </c>
      <c r="M834" s="27" t="n">
        <f aca="false">MAX(0,NG-L834)</f>
        <v>3.39999946004027</v>
      </c>
      <c r="N834" s="27" t="n">
        <f aca="false">MAX(0,GWL-K834)</f>
        <v>2.59999946004027</v>
      </c>
      <c r="O834" s="27" t="n">
        <f aca="false">MAX(0,NG-MAX(K834,GWL))</f>
        <v>0.8</v>
      </c>
      <c r="P834" s="27" t="n">
        <f aca="false">E834/2+WS+SLOPE_A*O834+SLOPE_B*N834</f>
        <v>7.89999838012082</v>
      </c>
      <c r="Q834" s="28" t="str">
        <f aca="false">IF(AND(P834&lt;J834,N834&lt;=MAXOC),"Open cut","Shoring")</f>
        <v>Shoring</v>
      </c>
      <c r="R834" s="27" t="n">
        <f aca="false">IF(Q834="Shoring",D834,0)</f>
        <v>7.29435581438913</v>
      </c>
      <c r="S834" s="27" t="n">
        <f aca="false">MAX(0,GWL-L834)</f>
        <v>2.59999946004027</v>
      </c>
      <c r="T834" s="27" t="n">
        <f aca="false">MAX(0,NG-MAX(L834,GWL))</f>
        <v>0.8</v>
      </c>
      <c r="U834" s="27" t="n">
        <f aca="false">E834+2*WS</f>
        <v>2.99999892008055</v>
      </c>
      <c r="V834" s="27" t="n">
        <f aca="false">IF(Q834="Shoring",D834*M834*U834,0)</f>
        <v>74.4023907079213</v>
      </c>
      <c r="W834" s="27" t="n">
        <f aca="false">IF(Q834="Open cut",D834*(U834*M834+SLOPE_B*S834^2+2*SLOPE_B*S834*T834+SLOPE_A*T834^2),0)</f>
        <v>0</v>
      </c>
      <c r="X834" s="27" t="n">
        <f aca="false">IF(M834&gt;0,D834*(E834+2*SLABOVH)*SLAB,0)</f>
        <v>7.29435187573075</v>
      </c>
      <c r="Y834" s="27" t="n">
        <f aca="false">IF(M834&gt;0,D834*PI()*E834^2/4,0)</f>
        <v>5.72896128613518</v>
      </c>
      <c r="Z834" s="27" t="n">
        <f aca="false">IF(H834-E834&gt;=GWL,99,E834*(MAX(0,GWL-H834)*(GAM_S-GAM_W)+MAX(0,NG-MAX(H834,GWL))*GAM_D)/(GAM_W*PI()*E834^2/4))</f>
        <v>3.03825711729261</v>
      </c>
      <c r="AA834" s="27" t="n">
        <f aca="false">IF(I834-E834&gt;=GWL,99,E834*(MAX(0,GWL-I834)*(GAM_S-GAM_W)+MAX(0,NG-MAX(I834,GWL))*GAM_D)/(GAM_W*PI()*E834^2/4))</f>
        <v>3.03825711729261</v>
      </c>
      <c r="AB834" s="27" t="n">
        <f aca="false">IF(H834-E834&gt;=GWL,99,E834*(MAX(0,GWL-H834)*(GAM_S-GAM_W)+MAX(0,FL-MAX(H834,GWL))*GAM_D)/(GAM_W*PI()*E834^2/4))</f>
        <v>7.00983429811052</v>
      </c>
      <c r="AC834" s="27" t="n">
        <f aca="false">IF(I834-E834&gt;=GWL,99,E834*(MAX(0,GWL-I834)*(GAM_S-GAM_W)+MAX(0,FL-MAX(I834,GWL))*GAM_D)/(GAM_W*PI()*E834^2/4))</f>
        <v>7.00983429811052</v>
      </c>
    </row>
    <row r="835" customFormat="false" ht="15" hidden="false" customHeight="false" outlineLevel="0" collapsed="false">
      <c r="A835" s="25" t="s">
        <v>1341</v>
      </c>
      <c r="B835" s="25" t="s">
        <v>1399</v>
      </c>
      <c r="C835" s="25" t="s">
        <v>1405</v>
      </c>
      <c r="D835" s="26" t="n">
        <v>9.99999999981895</v>
      </c>
      <c r="E835" s="26" t="n">
        <v>0.999998920080546</v>
      </c>
      <c r="F835" s="26" t="n">
        <v>-4.09999946004027</v>
      </c>
      <c r="G835" s="26" t="n">
        <v>-4.09999946004027</v>
      </c>
      <c r="H835" s="26" t="n">
        <v>-2.60000053995973</v>
      </c>
      <c r="I835" s="26" t="n">
        <v>-2.60000053995973</v>
      </c>
      <c r="J835" s="26" t="n">
        <v>4.63</v>
      </c>
      <c r="K835" s="27" t="n">
        <f aca="false">MIN(F835,G835)</f>
        <v>-4.09999946004027</v>
      </c>
      <c r="L835" s="27" t="n">
        <f aca="false">AVERAGE(F835,G835)</f>
        <v>-4.09999946004027</v>
      </c>
      <c r="M835" s="27" t="n">
        <f aca="false">MAX(0,NG-L835)</f>
        <v>3.39999946004027</v>
      </c>
      <c r="N835" s="27" t="n">
        <f aca="false">MAX(0,GWL-K835)</f>
        <v>2.59999946004027</v>
      </c>
      <c r="O835" s="27" t="n">
        <f aca="false">MAX(0,NG-MAX(K835,GWL))</f>
        <v>0.8</v>
      </c>
      <c r="P835" s="27" t="n">
        <f aca="false">E835/2+WS+SLOPE_A*O835+SLOPE_B*N835</f>
        <v>7.89999838012082</v>
      </c>
      <c r="Q835" s="28" t="str">
        <f aca="false">IF(AND(P835&lt;J835,N835&lt;=MAXOC),"Open cut","Shoring")</f>
        <v>Shoring</v>
      </c>
      <c r="R835" s="27" t="n">
        <f aca="false">IF(Q835="Shoring",D835,0)</f>
        <v>9.99999999981895</v>
      </c>
      <c r="S835" s="27" t="n">
        <f aca="false">MAX(0,GWL-L835)</f>
        <v>2.59999946004027</v>
      </c>
      <c r="T835" s="27" t="n">
        <f aca="false">MAX(0,NG-MAX(L835,GWL))</f>
        <v>0.8</v>
      </c>
      <c r="U835" s="27" t="n">
        <f aca="false">E835+2*WS</f>
        <v>2.99999892008055</v>
      </c>
      <c r="V835" s="27" t="n">
        <f aca="false">IF(Q835="Shoring",D835*M835*U835,0)</f>
        <v>101.999947082106</v>
      </c>
      <c r="W835" s="27" t="n">
        <f aca="false">IF(Q835="Open cut",D835*(U835*M835+SLOPE_B*S835^2+2*SLOPE_B*S835*T835+SLOPE_A*T835^2),0)</f>
        <v>0</v>
      </c>
      <c r="X835" s="27" t="n">
        <f aca="false">IF(M835&gt;0,D835*(E835+2*SLABOVH)*SLAB,0)</f>
        <v>9.99999460022168</v>
      </c>
      <c r="Y835" s="27" t="n">
        <f aca="false">IF(M835&gt;0,D835*PI()*E835^2/4,0)</f>
        <v>7.85396467050633</v>
      </c>
      <c r="Z835" s="27" t="n">
        <f aca="false">IF(H835-E835&gt;=GWL,99,E835*(MAX(0,GWL-H835)*(GAM_S-GAM_W)+MAX(0,NG-MAX(H835,GWL))*GAM_D)/(GAM_W*PI()*E835^2/4))</f>
        <v>3.03825711729261</v>
      </c>
      <c r="AA835" s="27" t="n">
        <f aca="false">IF(I835-E835&gt;=GWL,99,E835*(MAX(0,GWL-I835)*(GAM_S-GAM_W)+MAX(0,NG-MAX(I835,GWL))*GAM_D)/(GAM_W*PI()*E835^2/4))</f>
        <v>3.03825711729261</v>
      </c>
      <c r="AB835" s="27" t="n">
        <f aca="false">IF(H835-E835&gt;=GWL,99,E835*(MAX(0,GWL-H835)*(GAM_S-GAM_W)+MAX(0,FL-MAX(H835,GWL))*GAM_D)/(GAM_W*PI()*E835^2/4))</f>
        <v>7.00983429811052</v>
      </c>
      <c r="AC835" s="27" t="n">
        <f aca="false">IF(I835-E835&gt;=GWL,99,E835*(MAX(0,GWL-I835)*(GAM_S-GAM_W)+MAX(0,FL-MAX(I835,GWL))*GAM_D)/(GAM_W*PI()*E835^2/4))</f>
        <v>7.00983429811052</v>
      </c>
    </row>
    <row r="836" customFormat="false" ht="15" hidden="false" customHeight="false" outlineLevel="0" collapsed="false">
      <c r="A836" s="25" t="s">
        <v>1341</v>
      </c>
      <c r="B836" s="25" t="s">
        <v>1399</v>
      </c>
      <c r="C836" s="25" t="s">
        <v>1406</v>
      </c>
      <c r="D836" s="26" t="n">
        <v>2.44338418528582</v>
      </c>
      <c r="E836" s="26" t="n">
        <v>0.999998920080546</v>
      </c>
      <c r="F836" s="26" t="n">
        <v>-4.09999946004027</v>
      </c>
      <c r="G836" s="26" t="n">
        <v>-4.09999946004027</v>
      </c>
      <c r="H836" s="26" t="n">
        <v>-2.60000053995973</v>
      </c>
      <c r="I836" s="26" t="n">
        <v>-2.60000053995973</v>
      </c>
      <c r="J836" s="26" t="n">
        <v>6.65</v>
      </c>
      <c r="K836" s="27" t="n">
        <f aca="false">MIN(F836,G836)</f>
        <v>-4.09999946004027</v>
      </c>
      <c r="L836" s="27" t="n">
        <f aca="false">AVERAGE(F836,G836)</f>
        <v>-4.09999946004027</v>
      </c>
      <c r="M836" s="27" t="n">
        <f aca="false">MAX(0,NG-L836)</f>
        <v>3.39999946004027</v>
      </c>
      <c r="N836" s="27" t="n">
        <f aca="false">MAX(0,GWL-K836)</f>
        <v>2.59999946004027</v>
      </c>
      <c r="O836" s="27" t="n">
        <f aca="false">MAX(0,NG-MAX(K836,GWL))</f>
        <v>0.8</v>
      </c>
      <c r="P836" s="27" t="n">
        <f aca="false">E836/2+WS+SLOPE_A*O836+SLOPE_B*N836</f>
        <v>7.89999838012082</v>
      </c>
      <c r="Q836" s="28" t="str">
        <f aca="false">IF(AND(P836&lt;J836,N836&lt;=MAXOC),"Open cut","Shoring")</f>
        <v>Shoring</v>
      </c>
      <c r="R836" s="27" t="n">
        <f aca="false">IF(Q836="Shoring",D836,0)</f>
        <v>2.44338418528582</v>
      </c>
      <c r="S836" s="27" t="n">
        <f aca="false">MAX(0,GWL-L836)</f>
        <v>2.59999946004027</v>
      </c>
      <c r="T836" s="27" t="n">
        <f aca="false">MAX(0,NG-MAX(L836,GWL))</f>
        <v>0.8</v>
      </c>
      <c r="U836" s="27" t="n">
        <f aca="false">E836+2*WS</f>
        <v>2.99999892008055</v>
      </c>
      <c r="V836" s="27" t="n">
        <f aca="false">IF(Q836="Shoring",D836*M836*U836,0)</f>
        <v>24.922505760492</v>
      </c>
      <c r="W836" s="27" t="n">
        <f aca="false">IF(Q836="Open cut",D836*(U836*M836+SLOPE_B*S836^2+2*SLOPE_B*S836*T836+SLOPE_A*T836^2),0)</f>
        <v>0</v>
      </c>
      <c r="X836" s="27" t="n">
        <f aca="false">IF(M836&gt;0,D836*(E836+2*SLABOVH)*SLAB,0)</f>
        <v>2.44338286595676</v>
      </c>
      <c r="Y836" s="27" t="n">
        <f aca="false">IF(M836&gt;0,D836*PI()*E836^2/4,0)</f>
        <v>1.91902530680562</v>
      </c>
      <c r="Z836" s="27" t="n">
        <f aca="false">IF(H836-E836&gt;=GWL,99,E836*(MAX(0,GWL-H836)*(GAM_S-GAM_W)+MAX(0,NG-MAX(H836,GWL))*GAM_D)/(GAM_W*PI()*E836^2/4))</f>
        <v>3.03825711729261</v>
      </c>
      <c r="AA836" s="27" t="n">
        <f aca="false">IF(I836-E836&gt;=GWL,99,E836*(MAX(0,GWL-I836)*(GAM_S-GAM_W)+MAX(0,NG-MAX(I836,GWL))*GAM_D)/(GAM_W*PI()*E836^2/4))</f>
        <v>3.03825711729261</v>
      </c>
      <c r="AB836" s="27" t="n">
        <f aca="false">IF(H836-E836&gt;=GWL,99,E836*(MAX(0,GWL-H836)*(GAM_S-GAM_W)+MAX(0,FL-MAX(H836,GWL))*GAM_D)/(GAM_W*PI()*E836^2/4))</f>
        <v>7.00983429811052</v>
      </c>
      <c r="AC836" s="27" t="n">
        <f aca="false">IF(I836-E836&gt;=GWL,99,E836*(MAX(0,GWL-I836)*(GAM_S-GAM_W)+MAX(0,FL-MAX(I836,GWL))*GAM_D)/(GAM_W*PI()*E836^2/4))</f>
        <v>7.00983429811052</v>
      </c>
    </row>
    <row r="837" customFormat="false" ht="15" hidden="false" customHeight="false" outlineLevel="0" collapsed="false">
      <c r="A837" s="25" t="s">
        <v>1341</v>
      </c>
      <c r="B837" s="25" t="s">
        <v>1399</v>
      </c>
      <c r="C837" s="25" t="s">
        <v>1407</v>
      </c>
      <c r="D837" s="26" t="n">
        <v>1.30629410667297</v>
      </c>
      <c r="E837" s="26" t="n">
        <v>0.999998920080546</v>
      </c>
      <c r="F837" s="26" t="n">
        <v>-4.09999946004027</v>
      </c>
      <c r="G837" s="26" t="n">
        <v>-4.09999946004027</v>
      </c>
      <c r="H837" s="26" t="n">
        <v>-2.60000053995973</v>
      </c>
      <c r="I837" s="26" t="n">
        <v>-2.60000053995973</v>
      </c>
      <c r="J837" s="26" t="n">
        <v>7.54</v>
      </c>
      <c r="K837" s="27" t="n">
        <f aca="false">MIN(F837,G837)</f>
        <v>-4.09999946004027</v>
      </c>
      <c r="L837" s="27" t="n">
        <f aca="false">AVERAGE(F837,G837)</f>
        <v>-4.09999946004027</v>
      </c>
      <c r="M837" s="27" t="n">
        <f aca="false">MAX(0,NG-L837)</f>
        <v>3.39999946004027</v>
      </c>
      <c r="N837" s="27" t="n">
        <f aca="false">MAX(0,GWL-K837)</f>
        <v>2.59999946004027</v>
      </c>
      <c r="O837" s="27" t="n">
        <f aca="false">MAX(0,NG-MAX(K837,GWL))</f>
        <v>0.8</v>
      </c>
      <c r="P837" s="27" t="n">
        <f aca="false">E837/2+WS+SLOPE_A*O837+SLOPE_B*N837</f>
        <v>7.89999838012082</v>
      </c>
      <c r="Q837" s="28" t="str">
        <f aca="false">IF(AND(P837&lt;J837,N837&lt;=MAXOC),"Open cut","Shoring")</f>
        <v>Shoring</v>
      </c>
      <c r="R837" s="27" t="n">
        <f aca="false">IF(Q837="Shoring",D837,0)</f>
        <v>1.30629410667297</v>
      </c>
      <c r="S837" s="27" t="n">
        <f aca="false">MAX(0,GWL-L837)</f>
        <v>2.59999946004027</v>
      </c>
      <c r="T837" s="27" t="n">
        <f aca="false">MAX(0,NG-MAX(L837,GWL))</f>
        <v>0.8</v>
      </c>
      <c r="U837" s="27" t="n">
        <f aca="false">E837+2*WS</f>
        <v>2.99999892008055</v>
      </c>
      <c r="V837" s="27" t="n">
        <f aca="false">IF(Q837="Shoring",D837*M837*U837,0)</f>
        <v>13.3241929756722</v>
      </c>
      <c r="W837" s="27" t="n">
        <f aca="false">IF(Q837="Open cut",D837*(U837*M837+SLOPE_B*S837^2+2*SLOPE_B*S837*T837+SLOPE_A*T837^2),0)</f>
        <v>0</v>
      </c>
      <c r="X837" s="27" t="n">
        <f aca="false">IF(M837&gt;0,D837*(E837+2*SLABOVH)*SLAB,0)</f>
        <v>1.30629340132676</v>
      </c>
      <c r="Y837" s="27" t="n">
        <f aca="false">IF(M837&gt;0,D837*PI()*E837^2/4,0)</f>
        <v>1.02595877632859</v>
      </c>
      <c r="Z837" s="27" t="n">
        <f aca="false">IF(H837-E837&gt;=GWL,99,E837*(MAX(0,GWL-H837)*(GAM_S-GAM_W)+MAX(0,NG-MAX(H837,GWL))*GAM_D)/(GAM_W*PI()*E837^2/4))</f>
        <v>3.03825711729261</v>
      </c>
      <c r="AA837" s="27" t="n">
        <f aca="false">IF(I837-E837&gt;=GWL,99,E837*(MAX(0,GWL-I837)*(GAM_S-GAM_W)+MAX(0,NG-MAX(I837,GWL))*GAM_D)/(GAM_W*PI()*E837^2/4))</f>
        <v>3.03825711729261</v>
      </c>
      <c r="AB837" s="27" t="n">
        <f aca="false">IF(H837-E837&gt;=GWL,99,E837*(MAX(0,GWL-H837)*(GAM_S-GAM_W)+MAX(0,FL-MAX(H837,GWL))*GAM_D)/(GAM_W*PI()*E837^2/4))</f>
        <v>7.00983429811052</v>
      </c>
      <c r="AC837" s="27" t="n">
        <f aca="false">IF(I837-E837&gt;=GWL,99,E837*(MAX(0,GWL-I837)*(GAM_S-GAM_W)+MAX(0,FL-MAX(I837,GWL))*GAM_D)/(GAM_W*PI()*E837^2/4))</f>
        <v>7.00983429811052</v>
      </c>
    </row>
    <row r="838" customFormat="false" ht="15" hidden="false" customHeight="false" outlineLevel="0" collapsed="false">
      <c r="A838" s="25" t="s">
        <v>1341</v>
      </c>
      <c r="B838" s="25" t="s">
        <v>1399</v>
      </c>
      <c r="C838" s="25" t="s">
        <v>1408</v>
      </c>
      <c r="D838" s="26" t="n">
        <v>1.34190657067271</v>
      </c>
      <c r="E838" s="26" t="n">
        <v>0.999993962464418</v>
      </c>
      <c r="F838" s="26" t="n">
        <v>-4.09999698123221</v>
      </c>
      <c r="G838" s="26" t="n">
        <v>-4.09999698123221</v>
      </c>
      <c r="H838" s="26" t="n">
        <v>-2.60000301876779</v>
      </c>
      <c r="I838" s="26" t="n">
        <v>-2.60000301876779</v>
      </c>
      <c r="J838" s="26" t="n">
        <v>7.63</v>
      </c>
      <c r="K838" s="27" t="n">
        <f aca="false">MIN(F838,G838)</f>
        <v>-4.09999698123221</v>
      </c>
      <c r="L838" s="27" t="n">
        <f aca="false">AVERAGE(F838,G838)</f>
        <v>-4.09999698123221</v>
      </c>
      <c r="M838" s="27" t="n">
        <f aca="false">MAX(0,NG-L838)</f>
        <v>3.39999698123221</v>
      </c>
      <c r="N838" s="27" t="n">
        <f aca="false">MAX(0,GWL-K838)</f>
        <v>2.59999698123221</v>
      </c>
      <c r="O838" s="27" t="n">
        <f aca="false">MAX(0,NG-MAX(K838,GWL))</f>
        <v>0.8</v>
      </c>
      <c r="P838" s="27" t="n">
        <f aca="false">E838/2+WS+SLOPE_A*O838+SLOPE_B*N838</f>
        <v>7.89999094369663</v>
      </c>
      <c r="Q838" s="28" t="str">
        <f aca="false">IF(AND(P838&lt;J838,N838&lt;=MAXOC),"Open cut","Shoring")</f>
        <v>Shoring</v>
      </c>
      <c r="R838" s="27" t="n">
        <f aca="false">IF(Q838="Shoring",D838,0)</f>
        <v>1.34190657067271</v>
      </c>
      <c r="S838" s="27" t="n">
        <f aca="false">MAX(0,GWL-L838)</f>
        <v>2.59999698123221</v>
      </c>
      <c r="T838" s="27" t="n">
        <f aca="false">MAX(0,NG-MAX(L838,GWL))</f>
        <v>0.8</v>
      </c>
      <c r="U838" s="27" t="n">
        <f aca="false">E838+2*WS</f>
        <v>2.99999396246442</v>
      </c>
      <c r="V838" s="27" t="n">
        <f aca="false">IF(Q838="Shoring",D838*M838*U838,0)</f>
        <v>13.6874073220237</v>
      </c>
      <c r="W838" s="27" t="n">
        <f aca="false">IF(Q838="Open cut",D838*(U838*M838+SLOPE_B*S838^2+2*SLOPE_B*S838*T838+SLOPE_A*T838^2),0)</f>
        <v>0</v>
      </c>
      <c r="X838" s="27" t="n">
        <f aca="false">IF(M838&gt;0,D838*(E838+2*SLABOVH)*SLAB,0)</f>
        <v>1.34190251976838</v>
      </c>
      <c r="Y838" s="27" t="n">
        <f aca="false">IF(M838&gt;0,D838*PI()*E838^2/4,0)</f>
        <v>1.05391822980444</v>
      </c>
      <c r="Z838" s="27" t="n">
        <f aca="false">IF(H838-E838&gt;=GWL,99,E838*(MAX(0,GWL-H838)*(GAM_S-GAM_W)+MAX(0,NG-MAX(H838,GWL))*GAM_D)/(GAM_W*PI()*E838^2/4))</f>
        <v>3.03827481483485</v>
      </c>
      <c r="AA838" s="27" t="n">
        <f aca="false">IF(I838-E838&gt;=GWL,99,E838*(MAX(0,GWL-I838)*(GAM_S-GAM_W)+MAX(0,NG-MAX(I838,GWL))*GAM_D)/(GAM_W*PI()*E838^2/4))</f>
        <v>3.03827481483485</v>
      </c>
      <c r="AB838" s="27" t="n">
        <f aca="false">IF(H838-E838&gt;=GWL,99,E838*(MAX(0,GWL-H838)*(GAM_S-GAM_W)+MAX(0,FL-MAX(H838,GWL))*GAM_D)/(GAM_W*PI()*E838^2/4))</f>
        <v>7.00987168532673</v>
      </c>
      <c r="AC838" s="27" t="n">
        <f aca="false">IF(I838-E838&gt;=GWL,99,E838*(MAX(0,GWL-I838)*(GAM_S-GAM_W)+MAX(0,FL-MAX(I838,GWL))*GAM_D)/(GAM_W*PI()*E838^2/4))</f>
        <v>7.00987168532673</v>
      </c>
    </row>
    <row r="839" customFormat="false" ht="15" hidden="false" customHeight="false" outlineLevel="0" collapsed="false">
      <c r="A839" s="25" t="s">
        <v>1341</v>
      </c>
      <c r="B839" s="25" t="s">
        <v>1399</v>
      </c>
      <c r="C839" s="25" t="s">
        <v>1409</v>
      </c>
      <c r="D839" s="26" t="n">
        <v>4.90841513828987</v>
      </c>
      <c r="E839" s="26" t="n">
        <v>0.999993962464418</v>
      </c>
      <c r="F839" s="26" t="n">
        <v>-4.09999698123221</v>
      </c>
      <c r="G839" s="26" t="n">
        <v>-4.09999698123221</v>
      </c>
      <c r="H839" s="26" t="n">
        <v>-2.60000301876779</v>
      </c>
      <c r="I839" s="26" t="n">
        <v>-2.60000301876779</v>
      </c>
      <c r="J839" s="26" t="n">
        <v>6.37</v>
      </c>
      <c r="K839" s="27" t="n">
        <f aca="false">MIN(F839,G839)</f>
        <v>-4.09999698123221</v>
      </c>
      <c r="L839" s="27" t="n">
        <f aca="false">AVERAGE(F839,G839)</f>
        <v>-4.09999698123221</v>
      </c>
      <c r="M839" s="27" t="n">
        <f aca="false">MAX(0,NG-L839)</f>
        <v>3.39999698123221</v>
      </c>
      <c r="N839" s="27" t="n">
        <f aca="false">MAX(0,GWL-K839)</f>
        <v>2.59999698123221</v>
      </c>
      <c r="O839" s="27" t="n">
        <f aca="false">MAX(0,NG-MAX(K839,GWL))</f>
        <v>0.8</v>
      </c>
      <c r="P839" s="27" t="n">
        <f aca="false">E839/2+WS+SLOPE_A*O839+SLOPE_B*N839</f>
        <v>7.89999094369663</v>
      </c>
      <c r="Q839" s="28" t="str">
        <f aca="false">IF(AND(P839&lt;J839,N839&lt;=MAXOC),"Open cut","Shoring")</f>
        <v>Shoring</v>
      </c>
      <c r="R839" s="27" t="n">
        <f aca="false">IF(Q839="Shoring",D839,0)</f>
        <v>4.90841513828987</v>
      </c>
      <c r="S839" s="27" t="n">
        <f aca="false">MAX(0,GWL-L839)</f>
        <v>2.59999698123221</v>
      </c>
      <c r="T839" s="27" t="n">
        <f aca="false">MAX(0,NG-MAX(L839,GWL))</f>
        <v>0.8</v>
      </c>
      <c r="U839" s="27" t="n">
        <f aca="false">E839+2*WS</f>
        <v>2.99999396246442</v>
      </c>
      <c r="V839" s="27" t="n">
        <f aca="false">IF(Q839="Shoring",D839*M839*U839,0)</f>
        <v>50.065689200464</v>
      </c>
      <c r="W839" s="27" t="n">
        <f aca="false">IF(Q839="Open cut",D839*(U839*M839+SLOPE_B*S839^2+2*SLOPE_B*S839*T839+SLOPE_A*T839^2),0)</f>
        <v>0</v>
      </c>
      <c r="X839" s="27" t="n">
        <f aca="false">IF(M839&gt;0,D839*(E839+2*SLABOVH)*SLAB,0)</f>
        <v>4.90840032092435</v>
      </c>
      <c r="Y839" s="27" t="n">
        <f aca="false">IF(M839&gt;0,D839*PI()*E839^2/4,0)</f>
        <v>3.85501368481894</v>
      </c>
      <c r="Z839" s="27" t="n">
        <f aca="false">IF(H839-E839&gt;=GWL,99,E839*(MAX(0,GWL-H839)*(GAM_S-GAM_W)+MAX(0,NG-MAX(H839,GWL))*GAM_D)/(GAM_W*PI()*E839^2/4))</f>
        <v>3.03827481483485</v>
      </c>
      <c r="AA839" s="27" t="n">
        <f aca="false">IF(I839-E839&gt;=GWL,99,E839*(MAX(0,GWL-I839)*(GAM_S-GAM_W)+MAX(0,NG-MAX(I839,GWL))*GAM_D)/(GAM_W*PI()*E839^2/4))</f>
        <v>3.03827481483485</v>
      </c>
      <c r="AB839" s="27" t="n">
        <f aca="false">IF(H839-E839&gt;=GWL,99,E839*(MAX(0,GWL-H839)*(GAM_S-GAM_W)+MAX(0,FL-MAX(H839,GWL))*GAM_D)/(GAM_W*PI()*E839^2/4))</f>
        <v>7.00987168532673</v>
      </c>
      <c r="AC839" s="27" t="n">
        <f aca="false">IF(I839-E839&gt;=GWL,99,E839*(MAX(0,GWL-I839)*(GAM_S-GAM_W)+MAX(0,FL-MAX(I839,GWL))*GAM_D)/(GAM_W*PI()*E839^2/4))</f>
        <v>7.00987168532673</v>
      </c>
    </row>
    <row r="840" customFormat="false" ht="15" hidden="false" customHeight="false" outlineLevel="0" collapsed="false">
      <c r="A840" s="25" t="s">
        <v>1341</v>
      </c>
      <c r="B840" s="25" t="s">
        <v>1399</v>
      </c>
      <c r="C840" s="25" t="s">
        <v>1410</v>
      </c>
      <c r="D840" s="26" t="n">
        <v>0.493864861469427</v>
      </c>
      <c r="E840" s="26" t="n">
        <v>0.999993962464418</v>
      </c>
      <c r="F840" s="26" t="n">
        <v>-4.09999698123221</v>
      </c>
      <c r="G840" s="26" t="n">
        <v>-4.09999698123221</v>
      </c>
      <c r="H840" s="26" t="n">
        <v>-2.60000301876779</v>
      </c>
      <c r="I840" s="26" t="n">
        <v>-2.60000301876779</v>
      </c>
      <c r="J840" s="26" t="n">
        <v>6.23</v>
      </c>
      <c r="K840" s="27" t="n">
        <f aca="false">MIN(F840,G840)</f>
        <v>-4.09999698123221</v>
      </c>
      <c r="L840" s="27" t="n">
        <f aca="false">AVERAGE(F840,G840)</f>
        <v>-4.09999698123221</v>
      </c>
      <c r="M840" s="27" t="n">
        <f aca="false">MAX(0,NG-L840)</f>
        <v>3.39999698123221</v>
      </c>
      <c r="N840" s="27" t="n">
        <f aca="false">MAX(0,GWL-K840)</f>
        <v>2.59999698123221</v>
      </c>
      <c r="O840" s="27" t="n">
        <f aca="false">MAX(0,NG-MAX(K840,GWL))</f>
        <v>0.8</v>
      </c>
      <c r="P840" s="27" t="n">
        <f aca="false">E840/2+WS+SLOPE_A*O840+SLOPE_B*N840</f>
        <v>7.89999094369663</v>
      </c>
      <c r="Q840" s="28" t="str">
        <f aca="false">IF(AND(P840&lt;J840,N840&lt;=MAXOC),"Open cut","Shoring")</f>
        <v>Shoring</v>
      </c>
      <c r="R840" s="27" t="n">
        <f aca="false">IF(Q840="Shoring",D840,0)</f>
        <v>0.493864861469427</v>
      </c>
      <c r="S840" s="27" t="n">
        <f aca="false">MAX(0,GWL-L840)</f>
        <v>2.59999698123221</v>
      </c>
      <c r="T840" s="27" t="n">
        <f aca="false">MAX(0,NG-MAX(L840,GWL))</f>
        <v>0.8</v>
      </c>
      <c r="U840" s="27" t="n">
        <f aca="false">E840+2*WS</f>
        <v>2.99999396246442</v>
      </c>
      <c r="V840" s="27" t="n">
        <f aca="false">IF(Q840="Shoring",D840*M840*U840,0)</f>
        <v>5.03740697653645</v>
      </c>
      <c r="W840" s="27" t="n">
        <f aca="false">IF(Q840="Open cut",D840*(U840*M840+SLOPE_B*S840^2+2*SLOPE_B*S840*T840+SLOPE_A*T840^2),0)</f>
        <v>0</v>
      </c>
      <c r="X840" s="27" t="n">
        <f aca="false">IF(M840&gt;0,D840*(E840+2*SLABOVH)*SLAB,0)</f>
        <v>0.49386337060609</v>
      </c>
      <c r="Y840" s="27" t="n">
        <f aca="false">IF(M840&gt;0,D840*PI()*E840^2/4,0)</f>
        <v>0.387875871493455</v>
      </c>
      <c r="Z840" s="27" t="n">
        <f aca="false">IF(H840-E840&gt;=GWL,99,E840*(MAX(0,GWL-H840)*(GAM_S-GAM_W)+MAX(0,NG-MAX(H840,GWL))*GAM_D)/(GAM_W*PI()*E840^2/4))</f>
        <v>3.03827481483485</v>
      </c>
      <c r="AA840" s="27" t="n">
        <f aca="false">IF(I840-E840&gt;=GWL,99,E840*(MAX(0,GWL-I840)*(GAM_S-GAM_W)+MAX(0,NG-MAX(I840,GWL))*GAM_D)/(GAM_W*PI()*E840^2/4))</f>
        <v>3.03827481483485</v>
      </c>
      <c r="AB840" s="27" t="n">
        <f aca="false">IF(H840-E840&gt;=GWL,99,E840*(MAX(0,GWL-H840)*(GAM_S-GAM_W)+MAX(0,FL-MAX(H840,GWL))*GAM_D)/(GAM_W*PI()*E840^2/4))</f>
        <v>7.00987168532673</v>
      </c>
      <c r="AC840" s="27" t="n">
        <f aca="false">IF(I840-E840&gt;=GWL,99,E840*(MAX(0,GWL-I840)*(GAM_S-GAM_W)+MAX(0,FL-MAX(I840,GWL))*GAM_D)/(GAM_W*PI()*E840^2/4))</f>
        <v>7.00987168532673</v>
      </c>
    </row>
    <row r="841" customFormat="false" ht="15" hidden="false" customHeight="false" outlineLevel="0" collapsed="false">
      <c r="A841" s="25" t="s">
        <v>1341</v>
      </c>
      <c r="B841" s="25" t="s">
        <v>1399</v>
      </c>
      <c r="C841" s="25" t="s">
        <v>1411</v>
      </c>
      <c r="D841" s="26" t="n">
        <v>9.506135137998</v>
      </c>
      <c r="E841" s="26" t="n">
        <v>1.00000362563797</v>
      </c>
      <c r="F841" s="26" t="n">
        <v>-4.10000181281899</v>
      </c>
      <c r="G841" s="26" t="n">
        <v>-4.10000181281899</v>
      </c>
      <c r="H841" s="26" t="n">
        <v>-2.59999818718101</v>
      </c>
      <c r="I841" s="26" t="n">
        <v>-2.59999818718101</v>
      </c>
      <c r="J841" s="26" t="n">
        <v>4.66</v>
      </c>
      <c r="K841" s="27" t="n">
        <f aca="false">MIN(F841,G841)</f>
        <v>-4.10000181281899</v>
      </c>
      <c r="L841" s="27" t="n">
        <f aca="false">AVERAGE(F841,G841)</f>
        <v>-4.10000181281899</v>
      </c>
      <c r="M841" s="27" t="n">
        <f aca="false">MAX(0,NG-L841)</f>
        <v>3.40000181281899</v>
      </c>
      <c r="N841" s="27" t="n">
        <f aca="false">MAX(0,GWL-K841)</f>
        <v>2.60000181281899</v>
      </c>
      <c r="O841" s="27" t="n">
        <f aca="false">MAX(0,NG-MAX(K841,GWL))</f>
        <v>0.8</v>
      </c>
      <c r="P841" s="27" t="n">
        <f aca="false">E841/2+WS+SLOPE_A*O841+SLOPE_B*N841</f>
        <v>7.90000543845696</v>
      </c>
      <c r="Q841" s="28" t="str">
        <f aca="false">IF(AND(P841&lt;J841,N841&lt;=MAXOC),"Open cut","Shoring")</f>
        <v>Shoring</v>
      </c>
      <c r="R841" s="27" t="n">
        <f aca="false">IF(Q841="Shoring",D841,0)</f>
        <v>9.506135137998</v>
      </c>
      <c r="S841" s="27" t="n">
        <f aca="false">MAX(0,GWL-L841)</f>
        <v>2.60000181281899</v>
      </c>
      <c r="T841" s="27" t="n">
        <f aca="false">MAX(0,NG-MAX(L841,GWL))</f>
        <v>0.8</v>
      </c>
      <c r="U841" s="27" t="n">
        <f aca="false">E841+2*WS</f>
        <v>3.00000362563797</v>
      </c>
      <c r="V841" s="27" t="n">
        <f aca="false">IF(Q841="Shoring",D841*M841*U841,0)</f>
        <v>96.9627472900843</v>
      </c>
      <c r="W841" s="27" t="n">
        <f aca="false">IF(Q841="Open cut",D841*(U841*M841+SLOPE_B*S841^2+2*SLOPE_B*S841*T841+SLOPE_A*T841^2),0)</f>
        <v>0</v>
      </c>
      <c r="X841" s="27" t="n">
        <f aca="false">IF(M841&gt;0,D841*(E841+2*SLABOVH)*SLAB,0)</f>
        <v>9.50615237090027</v>
      </c>
      <c r="Y841" s="27" t="n">
        <f aca="false">IF(M841&gt;0,D841*PI()*E841^2/4,0)</f>
        <v>7.46615521724888</v>
      </c>
      <c r="Z841" s="27" t="n">
        <f aca="false">IF(H841-E841&gt;=GWL,99,E841*(MAX(0,GWL-H841)*(GAM_S-GAM_W)+MAX(0,NG-MAX(H841,GWL))*GAM_D)/(GAM_W*PI()*E841^2/4))</f>
        <v>3.03824031970391</v>
      </c>
      <c r="AA841" s="27" t="n">
        <f aca="false">IF(I841-E841&gt;=GWL,99,E841*(MAX(0,GWL-I841)*(GAM_S-GAM_W)+MAX(0,NG-MAX(I841,GWL))*GAM_D)/(GAM_W*PI()*E841^2/4))</f>
        <v>3.03824031970391</v>
      </c>
      <c r="AB841" s="27" t="n">
        <f aca="false">IF(H841-E841&gt;=GWL,99,E841*(MAX(0,GWL-H841)*(GAM_S-GAM_W)+MAX(0,FL-MAX(H841,GWL))*GAM_D)/(GAM_W*PI()*E841^2/4))</f>
        <v>7.00979881210508</v>
      </c>
      <c r="AC841" s="27" t="n">
        <f aca="false">IF(I841-E841&gt;=GWL,99,E841*(MAX(0,GWL-I841)*(GAM_S-GAM_W)+MAX(0,FL-MAX(I841,GWL))*GAM_D)/(GAM_W*PI()*E841^2/4))</f>
        <v>7.00979881210508</v>
      </c>
    </row>
    <row r="842" customFormat="false" ht="15" hidden="false" customHeight="false" outlineLevel="0" collapsed="false">
      <c r="A842" s="25" t="s">
        <v>1341</v>
      </c>
      <c r="B842" s="25" t="s">
        <v>1399</v>
      </c>
      <c r="C842" s="25" t="s">
        <v>1412</v>
      </c>
      <c r="D842" s="26" t="n">
        <v>9.99999999987842</v>
      </c>
      <c r="E842" s="26" t="n">
        <v>1.00000362563797</v>
      </c>
      <c r="F842" s="26" t="n">
        <v>-4.10000181281899</v>
      </c>
      <c r="G842" s="26" t="n">
        <v>-4.10000181281899</v>
      </c>
      <c r="H842" s="26" t="n">
        <v>-2.59999818718101</v>
      </c>
      <c r="I842" s="26" t="n">
        <v>-2.59999818718101</v>
      </c>
      <c r="J842" s="26" t="n">
        <v>4.65</v>
      </c>
      <c r="K842" s="27" t="n">
        <f aca="false">MIN(F842,G842)</f>
        <v>-4.10000181281899</v>
      </c>
      <c r="L842" s="27" t="n">
        <f aca="false">AVERAGE(F842,G842)</f>
        <v>-4.10000181281899</v>
      </c>
      <c r="M842" s="27" t="n">
        <f aca="false">MAX(0,NG-L842)</f>
        <v>3.40000181281899</v>
      </c>
      <c r="N842" s="27" t="n">
        <f aca="false">MAX(0,GWL-K842)</f>
        <v>2.60000181281899</v>
      </c>
      <c r="O842" s="27" t="n">
        <f aca="false">MAX(0,NG-MAX(K842,GWL))</f>
        <v>0.8</v>
      </c>
      <c r="P842" s="27" t="n">
        <f aca="false">E842/2+WS+SLOPE_A*O842+SLOPE_B*N842</f>
        <v>7.90000543845696</v>
      </c>
      <c r="Q842" s="28" t="str">
        <f aca="false">IF(AND(P842&lt;J842,N842&lt;=MAXOC),"Open cut","Shoring")</f>
        <v>Shoring</v>
      </c>
      <c r="R842" s="27" t="n">
        <f aca="false">IF(Q842="Shoring",D842,0)</f>
        <v>9.99999999987842</v>
      </c>
      <c r="S842" s="27" t="n">
        <f aca="false">MAX(0,GWL-L842)</f>
        <v>2.60000181281899</v>
      </c>
      <c r="T842" s="27" t="n">
        <f aca="false">MAX(0,NG-MAX(L842,GWL))</f>
        <v>0.8</v>
      </c>
      <c r="U842" s="27" t="n">
        <f aca="false">E842+2*WS</f>
        <v>3.00000362563797</v>
      </c>
      <c r="V842" s="27" t="n">
        <f aca="false">IF(Q842="Shoring",D842*M842*U842,0)</f>
        <v>102.000177655086</v>
      </c>
      <c r="W842" s="27" t="n">
        <f aca="false">IF(Q842="Open cut",D842*(U842*M842+SLOPE_B*S842^2+2*SLOPE_B*S842*T842+SLOPE_A*T842^2),0)</f>
        <v>0</v>
      </c>
      <c r="X842" s="27" t="n">
        <f aca="false">IF(M842&gt;0,D842*(E842+2*SLABOVH)*SLAB,0)</f>
        <v>10.0000181280683</v>
      </c>
      <c r="Y842" s="27" t="n">
        <f aca="false">IF(M842&gt;0,D842*PI()*E842^2/4,0)</f>
        <v>7.85403858537034</v>
      </c>
      <c r="Z842" s="27" t="n">
        <f aca="false">IF(H842-E842&gt;=GWL,99,E842*(MAX(0,GWL-H842)*(GAM_S-GAM_W)+MAX(0,NG-MAX(H842,GWL))*GAM_D)/(GAM_W*PI()*E842^2/4))</f>
        <v>3.03824031970391</v>
      </c>
      <c r="AA842" s="27" t="n">
        <f aca="false">IF(I842-E842&gt;=GWL,99,E842*(MAX(0,GWL-I842)*(GAM_S-GAM_W)+MAX(0,NG-MAX(I842,GWL))*GAM_D)/(GAM_W*PI()*E842^2/4))</f>
        <v>3.03824031970391</v>
      </c>
      <c r="AB842" s="27" t="n">
        <f aca="false">IF(H842-E842&gt;=GWL,99,E842*(MAX(0,GWL-H842)*(GAM_S-GAM_W)+MAX(0,FL-MAX(H842,GWL))*GAM_D)/(GAM_W*PI()*E842^2/4))</f>
        <v>7.00979881210508</v>
      </c>
      <c r="AC842" s="27" t="n">
        <f aca="false">IF(I842-E842&gt;=GWL,99,E842*(MAX(0,GWL-I842)*(GAM_S-GAM_W)+MAX(0,FL-MAX(I842,GWL))*GAM_D)/(GAM_W*PI()*E842^2/4))</f>
        <v>7.00979881210508</v>
      </c>
    </row>
    <row r="843" customFormat="false" ht="15" hidden="false" customHeight="false" outlineLevel="0" collapsed="false">
      <c r="A843" s="25" t="s">
        <v>1341</v>
      </c>
      <c r="B843" s="25" t="s">
        <v>1399</v>
      </c>
      <c r="C843" s="25" t="s">
        <v>1413</v>
      </c>
      <c r="D843" s="26" t="n">
        <v>0.41198066026351</v>
      </c>
      <c r="E843" s="26" t="n">
        <v>1.00000362563797</v>
      </c>
      <c r="F843" s="26" t="n">
        <v>-4.10000181281899</v>
      </c>
      <c r="G843" s="26" t="n">
        <v>-4.10000181281899</v>
      </c>
      <c r="H843" s="26" t="n">
        <v>-2.59999818718101</v>
      </c>
      <c r="I843" s="26" t="n">
        <v>-2.59999818718101</v>
      </c>
      <c r="J843" s="26" t="n">
        <v>8.17</v>
      </c>
      <c r="K843" s="27" t="n">
        <f aca="false">MIN(F843,G843)</f>
        <v>-4.10000181281899</v>
      </c>
      <c r="L843" s="27" t="n">
        <f aca="false">AVERAGE(F843,G843)</f>
        <v>-4.10000181281899</v>
      </c>
      <c r="M843" s="27" t="n">
        <f aca="false">MAX(0,NG-L843)</f>
        <v>3.40000181281899</v>
      </c>
      <c r="N843" s="27" t="n">
        <f aca="false">MAX(0,GWL-K843)</f>
        <v>2.60000181281899</v>
      </c>
      <c r="O843" s="27" t="n">
        <f aca="false">MAX(0,NG-MAX(K843,GWL))</f>
        <v>0.8</v>
      </c>
      <c r="P843" s="27" t="n">
        <f aca="false">E843/2+WS+SLOPE_A*O843+SLOPE_B*N843</f>
        <v>7.90000543845696</v>
      </c>
      <c r="Q843" s="28" t="str">
        <f aca="false">IF(AND(P843&lt;J843,N843&lt;=MAXOC),"Open cut","Shoring")</f>
        <v>Shoring</v>
      </c>
      <c r="R843" s="27" t="n">
        <f aca="false">IF(Q843="Shoring",D843,0)</f>
        <v>0.41198066026351</v>
      </c>
      <c r="S843" s="27" t="n">
        <f aca="false">MAX(0,GWL-L843)</f>
        <v>2.60000181281899</v>
      </c>
      <c r="T843" s="27" t="n">
        <f aca="false">MAX(0,NG-MAX(L843,GWL))</f>
        <v>0.8</v>
      </c>
      <c r="U843" s="27" t="n">
        <f aca="false">E843+2*WS</f>
        <v>3.00000362563797</v>
      </c>
      <c r="V843" s="27" t="n">
        <f aca="false">IF(Q843="Shoring",D843*M843*U843,0)</f>
        <v>4.20221005378486</v>
      </c>
      <c r="W843" s="27" t="n">
        <f aca="false">IF(Q843="Open cut",D843*(U843*M843+SLOPE_B*S843^2+2*SLOPE_B*S843*T843+SLOPE_A*T843^2),0)</f>
        <v>0</v>
      </c>
      <c r="X843" s="27" t="n">
        <f aca="false">IF(M843&gt;0,D843*(E843+2*SLABOVH)*SLAB,0)</f>
        <v>0.411981407109872</v>
      </c>
      <c r="Y843" s="27" t="n">
        <f aca="false">IF(M843&gt;0,D843*PI()*E843^2/4,0)</f>
        <v>0.323571200217529</v>
      </c>
      <c r="Z843" s="27" t="n">
        <f aca="false">IF(H843-E843&gt;=GWL,99,E843*(MAX(0,GWL-H843)*(GAM_S-GAM_W)+MAX(0,NG-MAX(H843,GWL))*GAM_D)/(GAM_W*PI()*E843^2/4))</f>
        <v>3.03824031970391</v>
      </c>
      <c r="AA843" s="27" t="n">
        <f aca="false">IF(I843-E843&gt;=GWL,99,E843*(MAX(0,GWL-I843)*(GAM_S-GAM_W)+MAX(0,NG-MAX(I843,GWL))*GAM_D)/(GAM_W*PI()*E843^2/4))</f>
        <v>3.03824031970391</v>
      </c>
      <c r="AB843" s="27" t="n">
        <f aca="false">IF(H843-E843&gt;=GWL,99,E843*(MAX(0,GWL-H843)*(GAM_S-GAM_W)+MAX(0,FL-MAX(H843,GWL))*GAM_D)/(GAM_W*PI()*E843^2/4))</f>
        <v>7.00979881210508</v>
      </c>
      <c r="AC843" s="27" t="n">
        <f aca="false">IF(I843-E843&gt;=GWL,99,E843*(MAX(0,GWL-I843)*(GAM_S-GAM_W)+MAX(0,FL-MAX(I843,GWL))*GAM_D)/(GAM_W*PI()*E843^2/4))</f>
        <v>7.00979881210508</v>
      </c>
    </row>
    <row r="844" customFormat="false" ht="15" hidden="false" customHeight="false" outlineLevel="0" collapsed="false">
      <c r="A844" s="25" t="s">
        <v>1341</v>
      </c>
      <c r="B844" s="25" t="s">
        <v>1399</v>
      </c>
      <c r="C844" s="25" t="s">
        <v>1414</v>
      </c>
      <c r="D844" s="26" t="n">
        <v>0.632679999928034</v>
      </c>
      <c r="E844" s="26" t="n">
        <v>0.999993962337525</v>
      </c>
      <c r="F844" s="26" t="n">
        <v>-4.09999698116876</v>
      </c>
      <c r="G844" s="26" t="n">
        <v>-4.09999698116876</v>
      </c>
      <c r="H844" s="26" t="n">
        <v>-2.60000301883124</v>
      </c>
      <c r="I844" s="26" t="n">
        <v>-2.60000301883124</v>
      </c>
      <c r="J844" s="26" t="n">
        <v>8.32</v>
      </c>
      <c r="K844" s="27" t="n">
        <f aca="false">MIN(F844,G844)</f>
        <v>-4.09999698116876</v>
      </c>
      <c r="L844" s="27" t="n">
        <f aca="false">AVERAGE(F844,G844)</f>
        <v>-4.09999698116876</v>
      </c>
      <c r="M844" s="27" t="n">
        <f aca="false">MAX(0,NG-L844)</f>
        <v>3.39999698116876</v>
      </c>
      <c r="N844" s="27" t="n">
        <f aca="false">MAX(0,GWL-K844)</f>
        <v>2.59999698116876</v>
      </c>
      <c r="O844" s="27" t="n">
        <f aca="false">MAX(0,NG-MAX(K844,GWL))</f>
        <v>0.8</v>
      </c>
      <c r="P844" s="27" t="n">
        <f aca="false">E844/2+WS+SLOPE_A*O844+SLOPE_B*N844</f>
        <v>7.89999094350629</v>
      </c>
      <c r="Q844" s="28" t="str">
        <f aca="false">IF(AND(P844&lt;J844,N844&lt;=MAXOC),"Open cut","Shoring")</f>
        <v>Shoring</v>
      </c>
      <c r="R844" s="27" t="n">
        <f aca="false">IF(Q844="Shoring",D844,0)</f>
        <v>0.632679999928034</v>
      </c>
      <c r="S844" s="27" t="n">
        <f aca="false">MAX(0,GWL-L844)</f>
        <v>2.59999698116876</v>
      </c>
      <c r="T844" s="27" t="n">
        <f aca="false">MAX(0,NG-MAX(L844,GWL))</f>
        <v>0.8</v>
      </c>
      <c r="U844" s="27" t="n">
        <f aca="false">E844+2*WS</f>
        <v>2.99999396233753</v>
      </c>
      <c r="V844" s="27" t="n">
        <f aca="false">IF(Q844="Shoring",D844*M844*U844,0)</f>
        <v>6.45331728172683</v>
      </c>
      <c r="W844" s="27" t="n">
        <f aca="false">IF(Q844="Open cut",D844*(U844*M844+SLOPE_B*S844^2+2*SLOPE_B*S844*T844+SLOPE_A*T844^2),0)</f>
        <v>0</v>
      </c>
      <c r="X844" s="27" t="n">
        <f aca="false">IF(M844&gt;0,D844*(E844+2*SLABOVH)*SLAB,0)</f>
        <v>0.632678089973886</v>
      </c>
      <c r="Y844" s="27" t="n">
        <f aca="false">IF(M844&gt;0,D844*PI()*E844^2/4,0)</f>
        <v>0.496899709681972</v>
      </c>
      <c r="Z844" s="27" t="n">
        <f aca="false">IF(H844-E844&gt;=GWL,99,E844*(MAX(0,GWL-H844)*(GAM_S-GAM_W)+MAX(0,NG-MAX(H844,GWL))*GAM_D)/(GAM_W*PI()*E844^2/4))</f>
        <v>3.03827481528783</v>
      </c>
      <c r="AA844" s="27" t="n">
        <f aca="false">IF(I844-E844&gt;=GWL,99,E844*(MAX(0,GWL-I844)*(GAM_S-GAM_W)+MAX(0,NG-MAX(I844,GWL))*GAM_D)/(GAM_W*PI()*E844^2/4))</f>
        <v>3.03827481528783</v>
      </c>
      <c r="AB844" s="27" t="n">
        <f aca="false">IF(H844-E844&gt;=GWL,99,E844*(MAX(0,GWL-H844)*(GAM_S-GAM_W)+MAX(0,FL-MAX(H844,GWL))*GAM_D)/(GAM_W*PI()*E844^2/4))</f>
        <v>7.00987168628368</v>
      </c>
      <c r="AC844" s="27" t="n">
        <f aca="false">IF(I844-E844&gt;=GWL,99,E844*(MAX(0,GWL-I844)*(GAM_S-GAM_W)+MAX(0,FL-MAX(I844,GWL))*GAM_D)/(GAM_W*PI()*E844^2/4))</f>
        <v>7.00987168628368</v>
      </c>
    </row>
    <row r="845" customFormat="false" ht="15" hidden="false" customHeight="false" outlineLevel="0" collapsed="false">
      <c r="A845" s="25" t="s">
        <v>1341</v>
      </c>
      <c r="B845" s="25" t="s">
        <v>1399</v>
      </c>
      <c r="C845" s="25" t="s">
        <v>1415</v>
      </c>
      <c r="D845" s="26" t="n">
        <v>0.372564237739582</v>
      </c>
      <c r="E845" s="26" t="n">
        <v>0.999993962337525</v>
      </c>
      <c r="F845" s="26" t="n">
        <v>-4.09999698116876</v>
      </c>
      <c r="G845" s="26" t="n">
        <v>-4.09999698116876</v>
      </c>
      <c r="H845" s="26" t="n">
        <v>-2.60000301883124</v>
      </c>
      <c r="I845" s="26" t="n">
        <v>-2.60000301883124</v>
      </c>
      <c r="J845" s="26" t="n">
        <v>8.56</v>
      </c>
      <c r="K845" s="27" t="n">
        <f aca="false">MIN(F845,G845)</f>
        <v>-4.09999698116876</v>
      </c>
      <c r="L845" s="27" t="n">
        <f aca="false">AVERAGE(F845,G845)</f>
        <v>-4.09999698116876</v>
      </c>
      <c r="M845" s="27" t="n">
        <f aca="false">MAX(0,NG-L845)</f>
        <v>3.39999698116876</v>
      </c>
      <c r="N845" s="27" t="n">
        <f aca="false">MAX(0,GWL-K845)</f>
        <v>2.59999698116876</v>
      </c>
      <c r="O845" s="27" t="n">
        <f aca="false">MAX(0,NG-MAX(K845,GWL))</f>
        <v>0.8</v>
      </c>
      <c r="P845" s="27" t="n">
        <f aca="false">E845/2+WS+SLOPE_A*O845+SLOPE_B*N845</f>
        <v>7.89999094350629</v>
      </c>
      <c r="Q845" s="28" t="str">
        <f aca="false">IF(AND(P845&lt;J845,N845&lt;=MAXOC),"Open cut","Shoring")</f>
        <v>Shoring</v>
      </c>
      <c r="R845" s="27" t="n">
        <f aca="false">IF(Q845="Shoring",D845,0)</f>
        <v>0.372564237739582</v>
      </c>
      <c r="S845" s="27" t="n">
        <f aca="false">MAX(0,GWL-L845)</f>
        <v>2.59999698116876</v>
      </c>
      <c r="T845" s="27" t="n">
        <f aca="false">MAX(0,NG-MAX(L845,GWL))</f>
        <v>0.8</v>
      </c>
      <c r="U845" s="27" t="n">
        <f aca="false">E845+2*WS</f>
        <v>2.99999396233753</v>
      </c>
      <c r="V845" s="27" t="n">
        <f aca="false">IF(Q845="Shoring",D845*M845*U845,0)</f>
        <v>3.80014420280665</v>
      </c>
      <c r="W845" s="27" t="n">
        <f aca="false">IF(Q845="Open cut",D845*(U845*M845+SLOPE_B*S845^2+2*SLOPE_B*S845*T845+SLOPE_A*T845^2),0)</f>
        <v>0</v>
      </c>
      <c r="X845" s="27" t="n">
        <f aca="false">IF(M845&gt;0,D845*(E845+2*SLABOVH)*SLAB,0)</f>
        <v>0.372563113031023</v>
      </c>
      <c r="Y845" s="27" t="n">
        <f aca="false">IF(M845&gt;0,D845*PI()*E845^2/4,0)</f>
        <v>0.292607734702759</v>
      </c>
      <c r="Z845" s="27" t="n">
        <f aca="false">IF(H845-E845&gt;=GWL,99,E845*(MAX(0,GWL-H845)*(GAM_S-GAM_W)+MAX(0,NG-MAX(H845,GWL))*GAM_D)/(GAM_W*PI()*E845^2/4))</f>
        <v>3.03827481528783</v>
      </c>
      <c r="AA845" s="27" t="n">
        <f aca="false">IF(I845-E845&gt;=GWL,99,E845*(MAX(0,GWL-I845)*(GAM_S-GAM_W)+MAX(0,NG-MAX(I845,GWL))*GAM_D)/(GAM_W*PI()*E845^2/4))</f>
        <v>3.03827481528783</v>
      </c>
      <c r="AB845" s="27" t="n">
        <f aca="false">IF(H845-E845&gt;=GWL,99,E845*(MAX(0,GWL-H845)*(GAM_S-GAM_W)+MAX(0,FL-MAX(H845,GWL))*GAM_D)/(GAM_W*PI()*E845^2/4))</f>
        <v>7.00987168628368</v>
      </c>
      <c r="AC845" s="27" t="n">
        <f aca="false">IF(I845-E845&gt;=GWL,99,E845*(MAX(0,GWL-I845)*(GAM_S-GAM_W)+MAX(0,FL-MAX(I845,GWL))*GAM_D)/(GAM_W*PI()*E845^2/4))</f>
        <v>7.00987168628368</v>
      </c>
    </row>
    <row r="846" customFormat="false" ht="15" hidden="false" customHeight="false" outlineLevel="0" collapsed="false">
      <c r="A846" s="25" t="s">
        <v>1341</v>
      </c>
      <c r="B846" s="25" t="s">
        <v>1399</v>
      </c>
      <c r="C846" s="25" t="s">
        <v>1416</v>
      </c>
      <c r="D846" s="26" t="n">
        <v>0.372591939401538</v>
      </c>
      <c r="E846" s="26" t="n">
        <v>0.99999854535889</v>
      </c>
      <c r="F846" s="26" t="n">
        <v>-4.09999927267945</v>
      </c>
      <c r="G846" s="26" t="n">
        <v>-4.09999927267945</v>
      </c>
      <c r="H846" s="26" t="n">
        <v>-2.60000072732056</v>
      </c>
      <c r="I846" s="26" t="n">
        <v>-2.60000072732056</v>
      </c>
      <c r="J846" s="26" t="n">
        <v>8.56</v>
      </c>
      <c r="K846" s="27" t="n">
        <f aca="false">MIN(F846,G846)</f>
        <v>-4.09999927267945</v>
      </c>
      <c r="L846" s="27" t="n">
        <f aca="false">AVERAGE(F846,G846)</f>
        <v>-4.09999927267945</v>
      </c>
      <c r="M846" s="27" t="n">
        <f aca="false">MAX(0,NG-L846)</f>
        <v>3.39999927267945</v>
      </c>
      <c r="N846" s="27" t="n">
        <f aca="false">MAX(0,GWL-K846)</f>
        <v>2.59999927267945</v>
      </c>
      <c r="O846" s="27" t="n">
        <f aca="false">MAX(0,NG-MAX(K846,GWL))</f>
        <v>0.8</v>
      </c>
      <c r="P846" s="27" t="n">
        <f aca="false">E846/2+WS+SLOPE_A*O846+SLOPE_B*N846</f>
        <v>7.89999781803834</v>
      </c>
      <c r="Q846" s="28" t="str">
        <f aca="false">IF(AND(P846&lt;J846,N846&lt;=MAXOC),"Open cut","Shoring")</f>
        <v>Shoring</v>
      </c>
      <c r="R846" s="27" t="n">
        <f aca="false">IF(Q846="Shoring",D846,0)</f>
        <v>0.372591939401538</v>
      </c>
      <c r="S846" s="27" t="n">
        <f aca="false">MAX(0,GWL-L846)</f>
        <v>2.59999927267945</v>
      </c>
      <c r="T846" s="27" t="n">
        <f aca="false">MAX(0,NG-MAX(L846,GWL))</f>
        <v>0.8</v>
      </c>
      <c r="U846" s="27" t="n">
        <f aca="false">E846+2*WS</f>
        <v>2.99999854535889</v>
      </c>
      <c r="V846" s="27" t="n">
        <f aca="false">IF(Q846="Shoring",D846*M846*U846,0)</f>
        <v>3.80043512615708</v>
      </c>
      <c r="W846" s="27" t="n">
        <f aca="false">IF(Q846="Open cut",D846*(U846*M846+SLOPE_B*S846^2+2*SLOPE_B*S846*T846+SLOPE_A*T846^2),0)</f>
        <v>0</v>
      </c>
      <c r="X846" s="27" t="n">
        <f aca="false">IF(M846&gt;0,D846*(E846+2*SLABOVH)*SLAB,0)</f>
        <v>0.372591668407762</v>
      </c>
      <c r="Y846" s="27" t="n">
        <f aca="false">IF(M846&gt;0,D846*PI()*E846^2/4,0)</f>
        <v>0.292632173551224</v>
      </c>
      <c r="Z846" s="27" t="n">
        <f aca="false">IF(H846-E846&gt;=GWL,99,E846*(MAX(0,GWL-H846)*(GAM_S-GAM_W)+MAX(0,NG-MAX(H846,GWL))*GAM_D)/(GAM_W*PI()*E846^2/4))</f>
        <v>3.03825845495607</v>
      </c>
      <c r="AA846" s="27" t="n">
        <f aca="false">IF(I846-E846&gt;=GWL,99,E846*(MAX(0,GWL-I846)*(GAM_S-GAM_W)+MAX(0,NG-MAX(I846,GWL))*GAM_D)/(GAM_W*PI()*E846^2/4))</f>
        <v>3.03825845495607</v>
      </c>
      <c r="AB846" s="27" t="n">
        <f aca="false">IF(H846-E846&gt;=GWL,99,E846*(MAX(0,GWL-H846)*(GAM_S-GAM_W)+MAX(0,FL-MAX(H846,GWL))*GAM_D)/(GAM_W*PI()*E846^2/4))</f>
        <v>7.00983712401212</v>
      </c>
      <c r="AC846" s="27" t="n">
        <f aca="false">IF(I846-E846&gt;=GWL,99,E846*(MAX(0,GWL-I846)*(GAM_S-GAM_W)+MAX(0,FL-MAX(I846,GWL))*GAM_D)/(GAM_W*PI()*E846^2/4))</f>
        <v>7.00983712401212</v>
      </c>
    </row>
    <row r="847" customFormat="false" ht="15" hidden="false" customHeight="false" outlineLevel="0" collapsed="false">
      <c r="A847" s="25" t="s">
        <v>1341</v>
      </c>
      <c r="B847" s="25" t="s">
        <v>1399</v>
      </c>
      <c r="C847" s="25" t="s">
        <v>1417</v>
      </c>
      <c r="D847" s="26" t="n">
        <v>0.632243052224543</v>
      </c>
      <c r="E847" s="26" t="n">
        <v>0.99999854535889</v>
      </c>
      <c r="F847" s="26" t="n">
        <v>-4.09999927267945</v>
      </c>
      <c r="G847" s="26" t="n">
        <v>-4.09999927267945</v>
      </c>
      <c r="H847" s="26" t="n">
        <v>-2.60000072732056</v>
      </c>
      <c r="I847" s="26" t="n">
        <v>-2.60000072732056</v>
      </c>
      <c r="J847" s="26" t="n">
        <v>8.33</v>
      </c>
      <c r="K847" s="27" t="n">
        <f aca="false">MIN(F847,G847)</f>
        <v>-4.09999927267945</v>
      </c>
      <c r="L847" s="27" t="n">
        <f aca="false">AVERAGE(F847,G847)</f>
        <v>-4.09999927267945</v>
      </c>
      <c r="M847" s="27" t="n">
        <f aca="false">MAX(0,NG-L847)</f>
        <v>3.39999927267945</v>
      </c>
      <c r="N847" s="27" t="n">
        <f aca="false">MAX(0,GWL-K847)</f>
        <v>2.59999927267945</v>
      </c>
      <c r="O847" s="27" t="n">
        <f aca="false">MAX(0,NG-MAX(K847,GWL))</f>
        <v>0.8</v>
      </c>
      <c r="P847" s="27" t="n">
        <f aca="false">E847/2+WS+SLOPE_A*O847+SLOPE_B*N847</f>
        <v>7.89999781803834</v>
      </c>
      <c r="Q847" s="28" t="str">
        <f aca="false">IF(AND(P847&lt;J847,N847&lt;=MAXOC),"Open cut","Shoring")</f>
        <v>Shoring</v>
      </c>
      <c r="R847" s="27" t="n">
        <f aca="false">IF(Q847="Shoring",D847,0)</f>
        <v>0.632243052224543</v>
      </c>
      <c r="S847" s="27" t="n">
        <f aca="false">MAX(0,GWL-L847)</f>
        <v>2.59999927267945</v>
      </c>
      <c r="T847" s="27" t="n">
        <f aca="false">MAX(0,NG-MAX(L847,GWL))</f>
        <v>0.8</v>
      </c>
      <c r="U847" s="27" t="n">
        <f aca="false">E847+2*WS</f>
        <v>2.99999854535889</v>
      </c>
      <c r="V847" s="27" t="n">
        <f aca="false">IF(Q847="Shoring",D847*M847*U847,0)</f>
        <v>6.44887462622601</v>
      </c>
      <c r="W847" s="27" t="n">
        <f aca="false">IF(Q847="Open cut",D847*(U847*M847+SLOPE_B*S847^2+2*SLOPE_B*S847*T847+SLOPE_A*T847^2),0)</f>
        <v>0</v>
      </c>
      <c r="X847" s="27" t="n">
        <f aca="false">IF(M847&gt;0,D847*(E847+2*SLABOVH)*SLAB,0)</f>
        <v>0.632242592381176</v>
      </c>
      <c r="Y847" s="27" t="n">
        <f aca="false">IF(M847&gt;0,D847*PI()*E847^2/4,0)</f>
        <v>0.496561087398459</v>
      </c>
      <c r="Z847" s="27" t="n">
        <f aca="false">IF(H847-E847&gt;=GWL,99,E847*(MAX(0,GWL-H847)*(GAM_S-GAM_W)+MAX(0,NG-MAX(H847,GWL))*GAM_D)/(GAM_W*PI()*E847^2/4))</f>
        <v>3.03825845495607</v>
      </c>
      <c r="AA847" s="27" t="n">
        <f aca="false">IF(I847-E847&gt;=GWL,99,E847*(MAX(0,GWL-I847)*(GAM_S-GAM_W)+MAX(0,NG-MAX(I847,GWL))*GAM_D)/(GAM_W*PI()*E847^2/4))</f>
        <v>3.03825845495607</v>
      </c>
      <c r="AB847" s="27" t="n">
        <f aca="false">IF(H847-E847&gt;=GWL,99,E847*(MAX(0,GWL-H847)*(GAM_S-GAM_W)+MAX(0,FL-MAX(H847,GWL))*GAM_D)/(GAM_W*PI()*E847^2/4))</f>
        <v>7.00983712401212</v>
      </c>
      <c r="AC847" s="27" t="n">
        <f aca="false">IF(I847-E847&gt;=GWL,99,E847*(MAX(0,GWL-I847)*(GAM_S-GAM_W)+MAX(0,FL-MAX(I847,GWL))*GAM_D)/(GAM_W*PI()*E847^2/4))</f>
        <v>7.00983712401212</v>
      </c>
    </row>
    <row r="848" customFormat="false" ht="15" hidden="false" customHeight="false" outlineLevel="0" collapsed="false">
      <c r="A848" s="25" t="s">
        <v>1341</v>
      </c>
      <c r="B848" s="25" t="s">
        <v>1399</v>
      </c>
      <c r="C848" s="25" t="s">
        <v>1418</v>
      </c>
      <c r="D848" s="26" t="n">
        <v>7.42494999992443</v>
      </c>
      <c r="E848" s="26" t="n">
        <v>0.999998545400393</v>
      </c>
      <c r="F848" s="26" t="n">
        <v>-4.0999992727002</v>
      </c>
      <c r="G848" s="26" t="n">
        <v>-4.0999992727002</v>
      </c>
      <c r="H848" s="26" t="n">
        <v>-2.6000007272998</v>
      </c>
      <c r="I848" s="26" t="n">
        <v>-2.6000007272998</v>
      </c>
      <c r="J848" s="26" t="n">
        <v>6.4</v>
      </c>
      <c r="K848" s="27" t="n">
        <f aca="false">MIN(F848,G848)</f>
        <v>-4.0999992727002</v>
      </c>
      <c r="L848" s="27" t="n">
        <f aca="false">AVERAGE(F848,G848)</f>
        <v>-4.0999992727002</v>
      </c>
      <c r="M848" s="27" t="n">
        <f aca="false">MAX(0,NG-L848)</f>
        <v>3.3999992727002</v>
      </c>
      <c r="N848" s="27" t="n">
        <f aca="false">MAX(0,GWL-K848)</f>
        <v>2.5999992727002</v>
      </c>
      <c r="O848" s="27" t="n">
        <f aca="false">MAX(0,NG-MAX(K848,GWL))</f>
        <v>0.8</v>
      </c>
      <c r="P848" s="27" t="n">
        <f aca="false">E848/2+WS+SLOPE_A*O848+SLOPE_B*N848</f>
        <v>7.89999781810059</v>
      </c>
      <c r="Q848" s="28" t="str">
        <f aca="false">IF(AND(P848&lt;J848,N848&lt;=MAXOC),"Open cut","Shoring")</f>
        <v>Shoring</v>
      </c>
      <c r="R848" s="27" t="n">
        <f aca="false">IF(Q848="Shoring",D848,0)</f>
        <v>7.42494999992443</v>
      </c>
      <c r="S848" s="27" t="n">
        <f aca="false">MAX(0,GWL-L848)</f>
        <v>2.5999992727002</v>
      </c>
      <c r="T848" s="27" t="n">
        <f aca="false">MAX(0,NG-MAX(L848,GWL))</f>
        <v>0.8</v>
      </c>
      <c r="U848" s="27" t="n">
        <f aca="false">E848+2*WS</f>
        <v>2.99999854540039</v>
      </c>
      <c r="V848" s="27" t="n">
        <f aca="false">IF(Q848="Shoring",D848*M848*U848,0)</f>
        <v>75.7344370776232</v>
      </c>
      <c r="W848" s="27" t="n">
        <f aca="false">IF(Q848="Open cut",D848*(U848*M848+SLOPE_B*S848^2+2*SLOPE_B*S848*T848+SLOPE_A*T848^2),0)</f>
        <v>0</v>
      </c>
      <c r="X848" s="27" t="n">
        <f aca="false">IF(M848&gt;0,D848*(E848+2*SLABOVH)*SLAB,0)</f>
        <v>7.42494459975975</v>
      </c>
      <c r="Y848" s="27" t="n">
        <f aca="false">IF(M848&gt;0,D848*PI()*E848^2/4,0)</f>
        <v>5.8315251281532</v>
      </c>
      <c r="Z848" s="27" t="n">
        <f aca="false">IF(H848-E848&gt;=GWL,99,E848*(MAX(0,GWL-H848)*(GAM_S-GAM_W)+MAX(0,NG-MAX(H848,GWL))*GAM_D)/(GAM_W*PI()*E848^2/4))</f>
        <v>3.03825845480791</v>
      </c>
      <c r="AA848" s="27" t="n">
        <f aca="false">IF(I848-E848&gt;=GWL,99,E848*(MAX(0,GWL-I848)*(GAM_S-GAM_W)+MAX(0,NG-MAX(I848,GWL))*GAM_D)/(GAM_W*PI()*E848^2/4))</f>
        <v>3.03825845480791</v>
      </c>
      <c r="AB848" s="27" t="n">
        <f aca="false">IF(H848-E848&gt;=GWL,99,E848*(MAX(0,GWL-H848)*(GAM_S-GAM_W)+MAX(0,FL-MAX(H848,GWL))*GAM_D)/(GAM_W*PI()*E848^2/4))</f>
        <v>7.00983712369914</v>
      </c>
      <c r="AC848" s="27" t="n">
        <f aca="false">IF(I848-E848&gt;=GWL,99,E848*(MAX(0,GWL-I848)*(GAM_S-GAM_W)+MAX(0,FL-MAX(I848,GWL))*GAM_D)/(GAM_W*PI()*E848^2/4))</f>
        <v>7.00983712369914</v>
      </c>
    </row>
    <row r="849" customFormat="false" ht="15" hidden="false" customHeight="false" outlineLevel="0" collapsed="false">
      <c r="A849" s="25" t="s">
        <v>1341</v>
      </c>
      <c r="B849" s="25" t="s">
        <v>1399</v>
      </c>
      <c r="C849" s="25" t="s">
        <v>1419</v>
      </c>
      <c r="D849" s="26" t="n">
        <v>0.152990110970546</v>
      </c>
      <c r="E849" s="26" t="n">
        <v>0.999998545400393</v>
      </c>
      <c r="F849" s="26" t="n">
        <v>-4.0999992727002</v>
      </c>
      <c r="G849" s="26" t="n">
        <v>-4.0999992727002</v>
      </c>
      <c r="H849" s="26" t="n">
        <v>-2.6000007272998</v>
      </c>
      <c r="I849" s="26" t="n">
        <v>-2.6000007272998</v>
      </c>
      <c r="J849" s="26" t="n">
        <v>6.38</v>
      </c>
      <c r="K849" s="27" t="n">
        <f aca="false">MIN(F849,G849)</f>
        <v>-4.0999992727002</v>
      </c>
      <c r="L849" s="27" t="n">
        <f aca="false">AVERAGE(F849,G849)</f>
        <v>-4.0999992727002</v>
      </c>
      <c r="M849" s="27" t="n">
        <f aca="false">MAX(0,NG-L849)</f>
        <v>3.3999992727002</v>
      </c>
      <c r="N849" s="27" t="n">
        <f aca="false">MAX(0,GWL-K849)</f>
        <v>2.5999992727002</v>
      </c>
      <c r="O849" s="27" t="n">
        <f aca="false">MAX(0,NG-MAX(K849,GWL))</f>
        <v>0.8</v>
      </c>
      <c r="P849" s="27" t="n">
        <f aca="false">E849/2+WS+SLOPE_A*O849+SLOPE_B*N849</f>
        <v>7.89999781810059</v>
      </c>
      <c r="Q849" s="28" t="str">
        <f aca="false">IF(AND(P849&lt;J849,N849&lt;=MAXOC),"Open cut","Shoring")</f>
        <v>Shoring</v>
      </c>
      <c r="R849" s="27" t="n">
        <f aca="false">IF(Q849="Shoring",D849,0)</f>
        <v>0.152990110970546</v>
      </c>
      <c r="S849" s="27" t="n">
        <f aca="false">MAX(0,GWL-L849)</f>
        <v>2.5999992727002</v>
      </c>
      <c r="T849" s="27" t="n">
        <f aca="false">MAX(0,NG-MAX(L849,GWL))</f>
        <v>0.8</v>
      </c>
      <c r="U849" s="27" t="n">
        <f aca="false">E849+2*WS</f>
        <v>2.99999854540039</v>
      </c>
      <c r="V849" s="27" t="n">
        <f aca="false">IF(Q849="Shoring",D849*M849*U849,0)</f>
        <v>1.56049804145689</v>
      </c>
      <c r="W849" s="27" t="n">
        <f aca="false">IF(Q849="Open cut",D849*(U849*M849+SLOPE_B*S849^2+2*SLOPE_B*S849*T849+SLOPE_A*T849^2),0)</f>
        <v>0</v>
      </c>
      <c r="X849" s="27" t="n">
        <f aca="false">IF(M849&gt;0,D849*(E849+2*SLABOVH)*SLAB,0)</f>
        <v>0.152989999700868</v>
      </c>
      <c r="Y849" s="27" t="n">
        <f aca="false">IF(M849&gt;0,D849*PI()*E849^2/4,0)</f>
        <v>0.120157802610491</v>
      </c>
      <c r="Z849" s="27" t="n">
        <f aca="false">IF(H849-E849&gt;=GWL,99,E849*(MAX(0,GWL-H849)*(GAM_S-GAM_W)+MAX(0,NG-MAX(H849,GWL))*GAM_D)/(GAM_W*PI()*E849^2/4))</f>
        <v>3.03825845480791</v>
      </c>
      <c r="AA849" s="27" t="n">
        <f aca="false">IF(I849-E849&gt;=GWL,99,E849*(MAX(0,GWL-I849)*(GAM_S-GAM_W)+MAX(0,NG-MAX(I849,GWL))*GAM_D)/(GAM_W*PI()*E849^2/4))</f>
        <v>3.03825845480791</v>
      </c>
      <c r="AB849" s="27" t="n">
        <f aca="false">IF(H849-E849&gt;=GWL,99,E849*(MAX(0,GWL-H849)*(GAM_S-GAM_W)+MAX(0,FL-MAX(H849,GWL))*GAM_D)/(GAM_W*PI()*E849^2/4))</f>
        <v>7.00983712369914</v>
      </c>
      <c r="AC849" s="27" t="n">
        <f aca="false">IF(I849-E849&gt;=GWL,99,E849*(MAX(0,GWL-I849)*(GAM_S-GAM_W)+MAX(0,FL-MAX(I849,GWL))*GAM_D)/(GAM_W*PI()*E849^2/4))</f>
        <v>7.00983712369914</v>
      </c>
    </row>
    <row r="850" customFormat="false" ht="15" hidden="false" customHeight="false" outlineLevel="0" collapsed="false">
      <c r="A850" s="25" t="s">
        <v>1341</v>
      </c>
      <c r="B850" s="25" t="s">
        <v>1399</v>
      </c>
      <c r="C850" s="25" t="s">
        <v>1420</v>
      </c>
      <c r="D850" s="26" t="n">
        <v>1.2399398891191</v>
      </c>
      <c r="E850" s="26" t="n">
        <v>0.999998545400393</v>
      </c>
      <c r="F850" s="26" t="n">
        <v>-4.0999992727002</v>
      </c>
      <c r="G850" s="26" t="n">
        <v>-4.0999992727002</v>
      </c>
      <c r="H850" s="26" t="n">
        <v>-2.6000007272998</v>
      </c>
      <c r="I850" s="26" t="n">
        <v>-2.6000007272998</v>
      </c>
      <c r="J850" s="26" t="n">
        <v>6.2</v>
      </c>
      <c r="K850" s="27" t="n">
        <f aca="false">MIN(F850,G850)</f>
        <v>-4.0999992727002</v>
      </c>
      <c r="L850" s="27" t="n">
        <f aca="false">AVERAGE(F850,G850)</f>
        <v>-4.0999992727002</v>
      </c>
      <c r="M850" s="27" t="n">
        <f aca="false">MAX(0,NG-L850)</f>
        <v>3.3999992727002</v>
      </c>
      <c r="N850" s="27" t="n">
        <f aca="false">MAX(0,GWL-K850)</f>
        <v>2.5999992727002</v>
      </c>
      <c r="O850" s="27" t="n">
        <f aca="false">MAX(0,NG-MAX(K850,GWL))</f>
        <v>0.8</v>
      </c>
      <c r="P850" s="27" t="n">
        <f aca="false">E850/2+WS+SLOPE_A*O850+SLOPE_B*N850</f>
        <v>7.89999781810059</v>
      </c>
      <c r="Q850" s="28" t="str">
        <f aca="false">IF(AND(P850&lt;J850,N850&lt;=MAXOC),"Open cut","Shoring")</f>
        <v>Shoring</v>
      </c>
      <c r="R850" s="27" t="n">
        <f aca="false">IF(Q850="Shoring",D850,0)</f>
        <v>1.2399398891191</v>
      </c>
      <c r="S850" s="27" t="n">
        <f aca="false">MAX(0,GWL-L850)</f>
        <v>2.5999992727002</v>
      </c>
      <c r="T850" s="27" t="n">
        <f aca="false">MAX(0,NG-MAX(L850,GWL))</f>
        <v>0.8</v>
      </c>
      <c r="U850" s="27" t="n">
        <f aca="false">E850+2*WS</f>
        <v>2.99999854540039</v>
      </c>
      <c r="V850" s="27" t="n">
        <f aca="false">IF(Q850="Shoring",D850*M850*U850,0)</f>
        <v>12.6473780312973</v>
      </c>
      <c r="W850" s="27" t="n">
        <f aca="false">IF(Q850="Open cut",D850*(U850*M850+SLOPE_B*S850^2+2*SLOPE_B*S850*T850+SLOPE_A*T850^2),0)</f>
        <v>0</v>
      </c>
      <c r="X850" s="27" t="n">
        <f aca="false">IF(M850&gt;0,D850*(E850+2*SLABOVH)*SLAB,0)</f>
        <v>1.23993898731106</v>
      </c>
      <c r="Y850" s="27" t="n">
        <f aca="false">IF(M850&gt;0,D850*PI()*E850^2/4,0)</f>
        <v>0.973843678525929</v>
      </c>
      <c r="Z850" s="27" t="n">
        <f aca="false">IF(H850-E850&gt;=GWL,99,E850*(MAX(0,GWL-H850)*(GAM_S-GAM_W)+MAX(0,NG-MAX(H850,GWL))*GAM_D)/(GAM_W*PI()*E850^2/4))</f>
        <v>3.03825845480791</v>
      </c>
      <c r="AA850" s="27" t="n">
        <f aca="false">IF(I850-E850&gt;=GWL,99,E850*(MAX(0,GWL-I850)*(GAM_S-GAM_W)+MAX(0,NG-MAX(I850,GWL))*GAM_D)/(GAM_W*PI()*E850^2/4))</f>
        <v>3.03825845480791</v>
      </c>
      <c r="AB850" s="27" t="n">
        <f aca="false">IF(H850-E850&gt;=GWL,99,E850*(MAX(0,GWL-H850)*(GAM_S-GAM_W)+MAX(0,FL-MAX(H850,GWL))*GAM_D)/(GAM_W*PI()*E850^2/4))</f>
        <v>7.00983712369914</v>
      </c>
      <c r="AC850" s="27" t="n">
        <f aca="false">IF(I850-E850&gt;=GWL,99,E850*(MAX(0,GWL-I850)*(GAM_S-GAM_W)+MAX(0,FL-MAX(I850,GWL))*GAM_D)/(GAM_W*PI()*E850^2/4))</f>
        <v>7.00983712369914</v>
      </c>
    </row>
    <row r="851" customFormat="false" ht="15" hidden="false" customHeight="false" outlineLevel="0" collapsed="false">
      <c r="A851" s="25" t="s">
        <v>1341</v>
      </c>
      <c r="B851" s="25" t="s">
        <v>1399</v>
      </c>
      <c r="C851" s="25" t="s">
        <v>1421</v>
      </c>
      <c r="D851" s="26" t="n">
        <v>1.27135087213383</v>
      </c>
      <c r="E851" s="26" t="n">
        <v>0.998871279973827</v>
      </c>
      <c r="F851" s="26" t="n">
        <v>-4.09943563998691</v>
      </c>
      <c r="G851" s="26" t="n">
        <v>-4.09943563998691</v>
      </c>
      <c r="H851" s="26" t="n">
        <v>-2.60056436001309</v>
      </c>
      <c r="I851" s="26" t="n">
        <v>-2.60056436001309</v>
      </c>
      <c r="J851" s="26" t="n">
        <v>5.58</v>
      </c>
      <c r="K851" s="27" t="n">
        <f aca="false">MIN(F851,G851)</f>
        <v>-4.09943563998691</v>
      </c>
      <c r="L851" s="27" t="n">
        <f aca="false">AVERAGE(F851,G851)</f>
        <v>-4.09943563998691</v>
      </c>
      <c r="M851" s="27" t="n">
        <f aca="false">MAX(0,NG-L851)</f>
        <v>3.39943563998691</v>
      </c>
      <c r="N851" s="27" t="n">
        <f aca="false">MAX(0,GWL-K851)</f>
        <v>2.59943563998691</v>
      </c>
      <c r="O851" s="27" t="n">
        <f aca="false">MAX(0,NG-MAX(K851,GWL))</f>
        <v>0.8</v>
      </c>
      <c r="P851" s="27" t="n">
        <f aca="false">E851/2+WS+SLOPE_A*O851+SLOPE_B*N851</f>
        <v>7.89830691996074</v>
      </c>
      <c r="Q851" s="28" t="str">
        <f aca="false">IF(AND(P851&lt;J851,N851&lt;=MAXOC),"Open cut","Shoring")</f>
        <v>Shoring</v>
      </c>
      <c r="R851" s="27" t="n">
        <f aca="false">IF(Q851="Shoring",D851,0)</f>
        <v>1.27135087213383</v>
      </c>
      <c r="S851" s="27" t="n">
        <f aca="false">MAX(0,GWL-L851)</f>
        <v>2.59943563998691</v>
      </c>
      <c r="T851" s="27" t="n">
        <f aca="false">MAX(0,NG-MAX(L851,GWL))</f>
        <v>0.8</v>
      </c>
      <c r="U851" s="27" t="n">
        <f aca="false">E851+2*WS</f>
        <v>2.99887127997383</v>
      </c>
      <c r="V851" s="27" t="n">
        <f aca="false">IF(Q851="Shoring",D851*M851*U851,0)</f>
        <v>12.9607482095918</v>
      </c>
      <c r="W851" s="27" t="n">
        <f aca="false">IF(Q851="Open cut",D851*(U851*M851+SLOPE_B*S851^2+2*SLOPE_B*S851*T851+SLOPE_A*T851^2),0)</f>
        <v>0</v>
      </c>
      <c r="X851" s="27" t="n">
        <f aca="false">IF(M851&gt;0,D851*(E851+2*SLABOVH)*SLAB,0)</f>
        <v>1.27063337253899</v>
      </c>
      <c r="Y851" s="27" t="n">
        <f aca="false">IF(M851&gt;0,D851*PI()*E851^2/4,0)</f>
        <v>0.996263820670647</v>
      </c>
      <c r="Z851" s="27" t="n">
        <f aca="false">IF(H851-E851&gt;=GWL,99,E851*(MAX(0,GWL-H851)*(GAM_S-GAM_W)+MAX(0,NG-MAX(H851,GWL))*GAM_D)/(GAM_W*PI()*E851^2/4))</f>
        <v>3.04228705587445</v>
      </c>
      <c r="AA851" s="27" t="n">
        <f aca="false">IF(I851-E851&gt;=GWL,99,E851*(MAX(0,GWL-I851)*(GAM_S-GAM_W)+MAX(0,NG-MAX(I851,GWL))*GAM_D)/(GAM_W*PI()*E851^2/4))</f>
        <v>3.04228705587445</v>
      </c>
      <c r="AB851" s="27" t="n">
        <f aca="false">IF(H851-E851&gt;=GWL,99,E851*(MAX(0,GWL-H851)*(GAM_S-GAM_W)+MAX(0,FL-MAX(H851,GWL))*GAM_D)/(GAM_W*PI()*E851^2/4))</f>
        <v>7.01834780710409</v>
      </c>
      <c r="AC851" s="27" t="n">
        <f aca="false">IF(I851-E851&gt;=GWL,99,E851*(MAX(0,GWL-I851)*(GAM_S-GAM_W)+MAX(0,FL-MAX(I851,GWL))*GAM_D)/(GAM_W*PI()*E851^2/4))</f>
        <v>7.01834780710409</v>
      </c>
    </row>
    <row r="852" customFormat="false" ht="15" hidden="false" customHeight="false" outlineLevel="0" collapsed="false">
      <c r="A852" s="25" t="s">
        <v>1341</v>
      </c>
      <c r="B852" s="25" t="s">
        <v>1399</v>
      </c>
      <c r="C852" s="25" t="s">
        <v>1422</v>
      </c>
      <c r="D852" s="26" t="n">
        <v>5.56548000004302</v>
      </c>
      <c r="E852" s="26" t="n">
        <v>0.998871279973827</v>
      </c>
      <c r="F852" s="26" t="n">
        <v>-4.09943563998691</v>
      </c>
      <c r="G852" s="26" t="n">
        <v>-4.09943563998691</v>
      </c>
      <c r="H852" s="26" t="n">
        <v>-2.60056436001309</v>
      </c>
      <c r="I852" s="26" t="n">
        <v>-2.60056436001309</v>
      </c>
      <c r="J852" s="26" t="n">
        <v>1.31</v>
      </c>
      <c r="K852" s="27" t="n">
        <f aca="false">MIN(F852,G852)</f>
        <v>-4.09943563998691</v>
      </c>
      <c r="L852" s="27" t="n">
        <f aca="false">AVERAGE(F852,G852)</f>
        <v>-4.09943563998691</v>
      </c>
      <c r="M852" s="27" t="n">
        <f aca="false">MAX(0,NG-L852)</f>
        <v>3.39943563998691</v>
      </c>
      <c r="N852" s="27" t="n">
        <f aca="false">MAX(0,GWL-K852)</f>
        <v>2.59943563998691</v>
      </c>
      <c r="O852" s="27" t="n">
        <f aca="false">MAX(0,NG-MAX(K852,GWL))</f>
        <v>0.8</v>
      </c>
      <c r="P852" s="27" t="n">
        <f aca="false">E852/2+WS+SLOPE_A*O852+SLOPE_B*N852</f>
        <v>7.89830691996074</v>
      </c>
      <c r="Q852" s="28" t="str">
        <f aca="false">IF(AND(P852&lt;J852,N852&lt;=MAXOC),"Open cut","Shoring")</f>
        <v>Shoring</v>
      </c>
      <c r="R852" s="27" t="n">
        <f aca="false">IF(Q852="Shoring",D852,0)</f>
        <v>5.56548000004302</v>
      </c>
      <c r="S852" s="27" t="n">
        <f aca="false">MAX(0,GWL-L852)</f>
        <v>2.59943563998691</v>
      </c>
      <c r="T852" s="27" t="n">
        <f aca="false">MAX(0,NG-MAX(L852,GWL))</f>
        <v>0.8</v>
      </c>
      <c r="U852" s="27" t="n">
        <f aca="false">E852+2*WS</f>
        <v>2.99887127997383</v>
      </c>
      <c r="V852" s="27" t="n">
        <f aca="false">IF(Q852="Shoring",D852*M852*U852,0)</f>
        <v>56.7371183888909</v>
      </c>
      <c r="W852" s="27" t="n">
        <f aca="false">IF(Q852="Open cut",D852*(U852*M852+SLOPE_B*S852^2+2*SLOPE_B*S852*T852+SLOPE_A*T852^2),0)</f>
        <v>0</v>
      </c>
      <c r="X852" s="27" t="n">
        <f aca="false">IF(M852&gt;0,D852*(E852+2*SLABOVH)*SLAB,0)</f>
        <v>5.56233906567736</v>
      </c>
      <c r="Y852" s="27" t="n">
        <f aca="false">IF(M852&gt;0,D852*PI()*E852^2/4,0)</f>
        <v>4.36125580297339</v>
      </c>
      <c r="Z852" s="27" t="n">
        <f aca="false">IF(H852-E852&gt;=GWL,99,E852*(MAX(0,GWL-H852)*(GAM_S-GAM_W)+MAX(0,NG-MAX(H852,GWL))*GAM_D)/(GAM_W*PI()*E852^2/4))</f>
        <v>3.04228705587445</v>
      </c>
      <c r="AA852" s="27" t="n">
        <f aca="false">IF(I852-E852&gt;=GWL,99,E852*(MAX(0,GWL-I852)*(GAM_S-GAM_W)+MAX(0,NG-MAX(I852,GWL))*GAM_D)/(GAM_W*PI()*E852^2/4))</f>
        <v>3.04228705587445</v>
      </c>
      <c r="AB852" s="27" t="n">
        <f aca="false">IF(H852-E852&gt;=GWL,99,E852*(MAX(0,GWL-H852)*(GAM_S-GAM_W)+MAX(0,FL-MAX(H852,GWL))*GAM_D)/(GAM_W*PI()*E852^2/4))</f>
        <v>7.01834780710409</v>
      </c>
      <c r="AC852" s="27" t="n">
        <f aca="false">IF(I852-E852&gt;=GWL,99,E852*(MAX(0,GWL-I852)*(GAM_S-GAM_W)+MAX(0,FL-MAX(I852,GWL))*GAM_D)/(GAM_W*PI()*E852^2/4))</f>
        <v>7.01834780710409</v>
      </c>
    </row>
    <row r="853" customFormat="false" ht="15" hidden="false" customHeight="false" outlineLevel="0" collapsed="false">
      <c r="A853" s="25" t="s">
        <v>1341</v>
      </c>
      <c r="B853" s="25" t="s">
        <v>1399</v>
      </c>
      <c r="C853" s="25" t="s">
        <v>1423</v>
      </c>
      <c r="D853" s="26" t="n">
        <v>0.394863619473246</v>
      </c>
      <c r="E853" s="26" t="n">
        <v>0.998871279973827</v>
      </c>
      <c r="F853" s="26" t="n">
        <v>-4.09943563998691</v>
      </c>
      <c r="G853" s="26" t="n">
        <v>-4.09943563998691</v>
      </c>
      <c r="H853" s="26" t="n">
        <v>-2.60056436001309</v>
      </c>
      <c r="I853" s="26" t="n">
        <v>-2.60056436001309</v>
      </c>
      <c r="J853" s="26" t="n">
        <v>1.02</v>
      </c>
      <c r="K853" s="27" t="n">
        <f aca="false">MIN(F853,G853)</f>
        <v>-4.09943563998691</v>
      </c>
      <c r="L853" s="27" t="n">
        <f aca="false">AVERAGE(F853,G853)</f>
        <v>-4.09943563998691</v>
      </c>
      <c r="M853" s="27" t="n">
        <f aca="false">MAX(0,NG-L853)</f>
        <v>3.39943563998691</v>
      </c>
      <c r="N853" s="27" t="n">
        <f aca="false">MAX(0,GWL-K853)</f>
        <v>2.59943563998691</v>
      </c>
      <c r="O853" s="27" t="n">
        <f aca="false">MAX(0,NG-MAX(K853,GWL))</f>
        <v>0.8</v>
      </c>
      <c r="P853" s="27" t="n">
        <f aca="false">E853/2+WS+SLOPE_A*O853+SLOPE_B*N853</f>
        <v>7.89830691996074</v>
      </c>
      <c r="Q853" s="28" t="str">
        <f aca="false">IF(AND(P853&lt;J853,N853&lt;=MAXOC),"Open cut","Shoring")</f>
        <v>Shoring</v>
      </c>
      <c r="R853" s="27" t="n">
        <f aca="false">IF(Q853="Shoring",D853,0)</f>
        <v>0.394863619473246</v>
      </c>
      <c r="S853" s="27" t="n">
        <f aca="false">MAX(0,GWL-L853)</f>
        <v>2.59943563998691</v>
      </c>
      <c r="T853" s="27" t="n">
        <f aca="false">MAX(0,NG-MAX(L853,GWL))</f>
        <v>0.8</v>
      </c>
      <c r="U853" s="27" t="n">
        <f aca="false">E853+2*WS</f>
        <v>2.99887127997383</v>
      </c>
      <c r="V853" s="27" t="n">
        <f aca="false">IF(Q853="Shoring",D853*M853*U853,0)</f>
        <v>4.02542528682995</v>
      </c>
      <c r="W853" s="27" t="n">
        <f aca="false">IF(Q853="Open cut",D853*(U853*M853+SLOPE_B*S853^2+2*SLOPE_B*S853*T853+SLOPE_A*T853^2),0)</f>
        <v>0</v>
      </c>
      <c r="X853" s="27" t="n">
        <f aca="false">IF(M853&gt;0,D853*(E853+2*SLABOVH)*SLAB,0)</f>
        <v>0.394640774235793</v>
      </c>
      <c r="Y853" s="27" t="n">
        <f aca="false">IF(M853&gt;0,D853*PI()*E853^2/4,0)</f>
        <v>0.309425467668101</v>
      </c>
      <c r="Z853" s="27" t="n">
        <f aca="false">IF(H853-E853&gt;=GWL,99,E853*(MAX(0,GWL-H853)*(GAM_S-GAM_W)+MAX(0,NG-MAX(H853,GWL))*GAM_D)/(GAM_W*PI()*E853^2/4))</f>
        <v>3.04228705587445</v>
      </c>
      <c r="AA853" s="27" t="n">
        <f aca="false">IF(I853-E853&gt;=GWL,99,E853*(MAX(0,GWL-I853)*(GAM_S-GAM_W)+MAX(0,NG-MAX(I853,GWL))*GAM_D)/(GAM_W*PI()*E853^2/4))</f>
        <v>3.04228705587445</v>
      </c>
      <c r="AB853" s="27" t="n">
        <f aca="false">IF(H853-E853&gt;=GWL,99,E853*(MAX(0,GWL-H853)*(GAM_S-GAM_W)+MAX(0,FL-MAX(H853,GWL))*GAM_D)/(GAM_W*PI()*E853^2/4))</f>
        <v>7.01834780710409</v>
      </c>
      <c r="AC853" s="27" t="n">
        <f aca="false">IF(I853-E853&gt;=GWL,99,E853*(MAX(0,GWL-I853)*(GAM_S-GAM_W)+MAX(0,FL-MAX(I853,GWL))*GAM_D)/(GAM_W*PI()*E853^2/4))</f>
        <v>7.01834780710409</v>
      </c>
    </row>
    <row r="854" customFormat="false" ht="15" hidden="false" customHeight="false" outlineLevel="0" collapsed="false">
      <c r="A854" s="25" t="s">
        <v>1341</v>
      </c>
      <c r="B854" s="25" t="s">
        <v>1399</v>
      </c>
      <c r="C854" s="25" t="s">
        <v>1424</v>
      </c>
      <c r="D854" s="26" t="n">
        <v>0.346329999603089</v>
      </c>
      <c r="E854" s="26" t="n">
        <v>1.0000031039704</v>
      </c>
      <c r="F854" s="26" t="n">
        <v>-4.1000015519852</v>
      </c>
      <c r="G854" s="26" t="n">
        <v>-4.1000015519852</v>
      </c>
      <c r="H854" s="26" t="n">
        <v>-2.5999984480148</v>
      </c>
      <c r="I854" s="26" t="n">
        <v>-2.5999984480148</v>
      </c>
      <c r="J854" s="26" t="n">
        <v>0.68</v>
      </c>
      <c r="K854" s="27" t="n">
        <f aca="false">MIN(F854,G854)</f>
        <v>-4.1000015519852</v>
      </c>
      <c r="L854" s="27" t="n">
        <f aca="false">AVERAGE(F854,G854)</f>
        <v>-4.1000015519852</v>
      </c>
      <c r="M854" s="27" t="n">
        <f aca="false">MAX(0,NG-L854)</f>
        <v>3.4000015519852</v>
      </c>
      <c r="N854" s="27" t="n">
        <f aca="false">MAX(0,GWL-K854)</f>
        <v>2.6000015519852</v>
      </c>
      <c r="O854" s="27" t="n">
        <f aca="false">MAX(0,NG-MAX(K854,GWL))</f>
        <v>0.8</v>
      </c>
      <c r="P854" s="27" t="n">
        <f aca="false">E854/2+WS+SLOPE_A*O854+SLOPE_B*N854</f>
        <v>7.90000465595559</v>
      </c>
      <c r="Q854" s="28" t="str">
        <f aca="false">IF(AND(P854&lt;J854,N854&lt;=MAXOC),"Open cut","Shoring")</f>
        <v>Shoring</v>
      </c>
      <c r="R854" s="27" t="n">
        <f aca="false">IF(Q854="Shoring",D854,0)</f>
        <v>0.346329999603089</v>
      </c>
      <c r="S854" s="27" t="n">
        <f aca="false">MAX(0,GWL-L854)</f>
        <v>2.6000015519852</v>
      </c>
      <c r="T854" s="27" t="n">
        <f aca="false">MAX(0,NG-MAX(L854,GWL))</f>
        <v>0.8</v>
      </c>
      <c r="U854" s="27" t="n">
        <f aca="false">E854+2*WS</f>
        <v>3.0000031039704</v>
      </c>
      <c r="V854" s="27" t="n">
        <f aca="false">IF(Q854="Shoring",D854*M854*U854,0)</f>
        <v>3.5325712634437</v>
      </c>
      <c r="W854" s="27" t="n">
        <f aca="false">IF(Q854="Open cut",D854*(U854*M854+SLOPE_B*S854^2+2*SLOPE_B*S854*T854+SLOPE_A*T854^2),0)</f>
        <v>0</v>
      </c>
      <c r="X854" s="27" t="n">
        <f aca="false">IF(M854&gt;0,D854*(E854+2*SLABOVH)*SLAB,0)</f>
        <v>0.346330537102122</v>
      </c>
      <c r="Y854" s="27" t="n">
        <f aca="false">IF(M854&gt;0,D854*PI()*E854^2/4,0)</f>
        <v>0.272008634223339</v>
      </c>
      <c r="Z854" s="27" t="n">
        <f aca="false">IF(H854-E854&gt;=GWL,99,E854*(MAX(0,GWL-H854)*(GAM_S-GAM_W)+MAX(0,NG-MAX(H854,GWL))*GAM_D)/(GAM_W*PI()*E854^2/4))</f>
        <v>3.03824218191065</v>
      </c>
      <c r="AA854" s="27" t="n">
        <f aca="false">IF(I854-E854&gt;=GWL,99,E854*(MAX(0,GWL-I854)*(GAM_S-GAM_W)+MAX(0,NG-MAX(I854,GWL))*GAM_D)/(GAM_W*PI()*E854^2/4))</f>
        <v>3.03824218191065</v>
      </c>
      <c r="AB854" s="27" t="n">
        <f aca="false">IF(H854-E854&gt;=GWL,99,E854*(MAX(0,GWL-H854)*(GAM_S-GAM_W)+MAX(0,FL-MAX(H854,GWL))*GAM_D)/(GAM_W*PI()*E854^2/4))</f>
        <v>7.00980274613868</v>
      </c>
      <c r="AC854" s="27" t="n">
        <f aca="false">IF(I854-E854&gt;=GWL,99,E854*(MAX(0,GWL-I854)*(GAM_S-GAM_W)+MAX(0,FL-MAX(I854,GWL))*GAM_D)/(GAM_W*PI()*E854^2/4))</f>
        <v>7.00980274613868</v>
      </c>
    </row>
    <row r="855" customFormat="false" ht="15" hidden="false" customHeight="false" outlineLevel="0" collapsed="false">
      <c r="A855" s="25" t="s">
        <v>1341</v>
      </c>
      <c r="B855" s="25" t="s">
        <v>1425</v>
      </c>
      <c r="C855" s="25" t="s">
        <v>1426</v>
      </c>
      <c r="D855" s="26" t="n">
        <v>1.18203562005255</v>
      </c>
      <c r="E855" s="26" t="n">
        <v>1.0000031039704</v>
      </c>
      <c r="F855" s="26" t="n">
        <v>-4.1000015519852</v>
      </c>
      <c r="G855" s="26" t="n">
        <v>-4.1000015519852</v>
      </c>
      <c r="H855" s="26" t="n">
        <v>-2.5999984480148</v>
      </c>
      <c r="I855" s="26" t="n">
        <v>-2.5999984480148</v>
      </c>
      <c r="J855" s="26" t="n">
        <v>11.6</v>
      </c>
      <c r="K855" s="27" t="n">
        <f aca="false">MIN(F855,G855)</f>
        <v>-4.1000015519852</v>
      </c>
      <c r="L855" s="27" t="n">
        <f aca="false">AVERAGE(F855,G855)</f>
        <v>-4.1000015519852</v>
      </c>
      <c r="M855" s="27" t="n">
        <f aca="false">MAX(0,NG-L855)</f>
        <v>3.4000015519852</v>
      </c>
      <c r="N855" s="27" t="n">
        <f aca="false">MAX(0,GWL-K855)</f>
        <v>2.6000015519852</v>
      </c>
      <c r="O855" s="27" t="n">
        <f aca="false">MAX(0,NG-MAX(K855,GWL))</f>
        <v>0.8</v>
      </c>
      <c r="P855" s="27" t="n">
        <f aca="false">E855/2+WS+SLOPE_A*O855+SLOPE_B*N855</f>
        <v>7.90000465595559</v>
      </c>
      <c r="Q855" s="28" t="str">
        <f aca="false">IF(AND(P855&lt;J855,N855&lt;=MAXOC),"Open cut","Shoring")</f>
        <v>Shoring</v>
      </c>
      <c r="R855" s="27" t="n">
        <f aca="false">IF(Q855="Shoring",D855,0)</f>
        <v>1.18203562005255</v>
      </c>
      <c r="S855" s="27" t="n">
        <f aca="false">MAX(0,GWL-L855)</f>
        <v>2.6000015519852</v>
      </c>
      <c r="T855" s="27" t="n">
        <f aca="false">MAX(0,NG-MAX(L855,GWL))</f>
        <v>0.8</v>
      </c>
      <c r="U855" s="27" t="n">
        <f aca="false">E855+2*WS</f>
        <v>3.0000031039704</v>
      </c>
      <c r="V855" s="27" t="n">
        <f aca="false">IF(Q855="Shoring",D855*M855*U855,0)</f>
        <v>12.0567813026592</v>
      </c>
      <c r="W855" s="27" t="n">
        <f aca="false">IF(Q855="Open cut",D855*(U855*M855+SLOPE_B*S855^2+2*SLOPE_B*S855*T855+SLOPE_A*T855^2),0)</f>
        <v>0</v>
      </c>
      <c r="X855" s="27" t="n">
        <f aca="false">IF(M855&gt;0,D855*(E855+2*SLABOVH)*SLAB,0)</f>
        <v>1.18203745455433</v>
      </c>
      <c r="Y855" s="27" t="n">
        <f aca="false">IF(M855&gt;0,D855*PI()*E855^2/4,0)</f>
        <v>0.928374368325913</v>
      </c>
      <c r="Z855" s="27" t="n">
        <f aca="false">IF(H855-E855&gt;=GWL,99,E855*(MAX(0,GWL-H855)*(GAM_S-GAM_W)+MAX(0,NG-MAX(H855,GWL))*GAM_D)/(GAM_W*PI()*E855^2/4))</f>
        <v>3.03824218191065</v>
      </c>
      <c r="AA855" s="27" t="n">
        <f aca="false">IF(I855-E855&gt;=GWL,99,E855*(MAX(0,GWL-I855)*(GAM_S-GAM_W)+MAX(0,NG-MAX(I855,GWL))*GAM_D)/(GAM_W*PI()*E855^2/4))</f>
        <v>3.03824218191065</v>
      </c>
      <c r="AB855" s="27" t="n">
        <f aca="false">IF(H855-E855&gt;=GWL,99,E855*(MAX(0,GWL-H855)*(GAM_S-GAM_W)+MAX(0,FL-MAX(H855,GWL))*GAM_D)/(GAM_W*PI()*E855^2/4))</f>
        <v>7.00980274613868</v>
      </c>
      <c r="AC855" s="27" t="n">
        <f aca="false">IF(I855-E855&gt;=GWL,99,E855*(MAX(0,GWL-I855)*(GAM_S-GAM_W)+MAX(0,FL-MAX(I855,GWL))*GAM_D)/(GAM_W*PI()*E855^2/4))</f>
        <v>7.00980274613868</v>
      </c>
    </row>
    <row r="856" customFormat="false" ht="15" hidden="false" customHeight="false" outlineLevel="0" collapsed="false">
      <c r="A856" s="25" t="s">
        <v>1341</v>
      </c>
      <c r="B856" s="25" t="s">
        <v>1425</v>
      </c>
      <c r="C856" s="25" t="s">
        <v>1427</v>
      </c>
      <c r="D856" s="26" t="n">
        <v>9.99999999944842</v>
      </c>
      <c r="E856" s="26" t="n">
        <v>1.0000031039704</v>
      </c>
      <c r="F856" s="26" t="n">
        <v>-4.1000015519852</v>
      </c>
      <c r="G856" s="26" t="n">
        <v>-4.1000015519852</v>
      </c>
      <c r="H856" s="26" t="n">
        <v>-2.5999984480148</v>
      </c>
      <c r="I856" s="26" t="n">
        <v>-2.5999984480148</v>
      </c>
      <c r="J856" s="26" t="n">
        <v>12.78</v>
      </c>
      <c r="K856" s="27" t="n">
        <f aca="false">MIN(F856,G856)</f>
        <v>-4.1000015519852</v>
      </c>
      <c r="L856" s="27" t="n">
        <f aca="false">AVERAGE(F856,G856)</f>
        <v>-4.1000015519852</v>
      </c>
      <c r="M856" s="27" t="n">
        <f aca="false">MAX(0,NG-L856)</f>
        <v>3.4000015519852</v>
      </c>
      <c r="N856" s="27" t="n">
        <f aca="false">MAX(0,GWL-K856)</f>
        <v>2.6000015519852</v>
      </c>
      <c r="O856" s="27" t="n">
        <f aca="false">MAX(0,NG-MAX(K856,GWL))</f>
        <v>0.8</v>
      </c>
      <c r="P856" s="27" t="n">
        <f aca="false">E856/2+WS+SLOPE_A*O856+SLOPE_B*N856</f>
        <v>7.90000465595559</v>
      </c>
      <c r="Q856" s="28" t="str">
        <f aca="false">IF(AND(P856&lt;J856,N856&lt;=MAXOC),"Open cut","Shoring")</f>
        <v>Shoring</v>
      </c>
      <c r="R856" s="27" t="n">
        <f aca="false">IF(Q856="Shoring",D856,0)</f>
        <v>9.99999999944842</v>
      </c>
      <c r="S856" s="27" t="n">
        <f aca="false">MAX(0,GWL-L856)</f>
        <v>2.6000015519852</v>
      </c>
      <c r="T856" s="27" t="n">
        <f aca="false">MAX(0,NG-MAX(L856,GWL))</f>
        <v>0.8</v>
      </c>
      <c r="U856" s="27" t="n">
        <f aca="false">E856+2*WS</f>
        <v>3.0000031039704</v>
      </c>
      <c r="V856" s="27" t="n">
        <f aca="false">IF(Q856="Shoring",D856*M856*U856,0)</f>
        <v>102.000152088971</v>
      </c>
      <c r="W856" s="27" t="n">
        <f aca="false">IF(Q856="Open cut",D856*(U856*M856+SLOPE_B*S856^2+2*SLOPE_B*S856*T856+SLOPE_A*T856^2),0)</f>
        <v>0</v>
      </c>
      <c r="X856" s="27" t="n">
        <f aca="false">IF(M856&gt;0,D856*(E856+2*SLABOVH)*SLAB,0)</f>
        <v>10.0000155193004</v>
      </c>
      <c r="Y856" s="27" t="n">
        <f aca="false">IF(M856&gt;0,D856*PI()*E856^2/4,0)</f>
        <v>7.85403039066991</v>
      </c>
      <c r="Z856" s="27" t="n">
        <f aca="false">IF(H856-E856&gt;=GWL,99,E856*(MAX(0,GWL-H856)*(GAM_S-GAM_W)+MAX(0,NG-MAX(H856,GWL))*GAM_D)/(GAM_W*PI()*E856^2/4))</f>
        <v>3.03824218191065</v>
      </c>
      <c r="AA856" s="27" t="n">
        <f aca="false">IF(I856-E856&gt;=GWL,99,E856*(MAX(0,GWL-I856)*(GAM_S-GAM_W)+MAX(0,NG-MAX(I856,GWL))*GAM_D)/(GAM_W*PI()*E856^2/4))</f>
        <v>3.03824218191065</v>
      </c>
      <c r="AB856" s="27" t="n">
        <f aca="false">IF(H856-E856&gt;=GWL,99,E856*(MAX(0,GWL-H856)*(GAM_S-GAM_W)+MAX(0,FL-MAX(H856,GWL))*GAM_D)/(GAM_W*PI()*E856^2/4))</f>
        <v>7.00980274613868</v>
      </c>
      <c r="AC856" s="27" t="n">
        <f aca="false">IF(I856-E856&gt;=GWL,99,E856*(MAX(0,GWL-I856)*(GAM_S-GAM_W)+MAX(0,FL-MAX(I856,GWL))*GAM_D)/(GAM_W*PI()*E856^2/4))</f>
        <v>7.00980274613868</v>
      </c>
    </row>
    <row r="857" customFormat="false" ht="15" hidden="false" customHeight="false" outlineLevel="0" collapsed="false">
      <c r="A857" s="25" t="s">
        <v>1341</v>
      </c>
      <c r="B857" s="25" t="s">
        <v>1425</v>
      </c>
      <c r="C857" s="25" t="s">
        <v>1428</v>
      </c>
      <c r="D857" s="26" t="n">
        <v>10.0000000003079</v>
      </c>
      <c r="E857" s="26" t="n">
        <v>1.0000031039704</v>
      </c>
      <c r="F857" s="26" t="n">
        <v>-4.1000015519852</v>
      </c>
      <c r="G857" s="26" t="n">
        <v>-4.1000015519852</v>
      </c>
      <c r="H857" s="26" t="n">
        <v>-2.5999984480148</v>
      </c>
      <c r="I857" s="26" t="n">
        <v>-2.5999984480148</v>
      </c>
      <c r="J857" s="26" t="n">
        <v>22.78</v>
      </c>
      <c r="K857" s="27" t="n">
        <f aca="false">MIN(F857,G857)</f>
        <v>-4.1000015519852</v>
      </c>
      <c r="L857" s="27" t="n">
        <f aca="false">AVERAGE(F857,G857)</f>
        <v>-4.1000015519852</v>
      </c>
      <c r="M857" s="27" t="n">
        <f aca="false">MAX(0,NG-L857)</f>
        <v>3.4000015519852</v>
      </c>
      <c r="N857" s="27" t="n">
        <f aca="false">MAX(0,GWL-K857)</f>
        <v>2.6000015519852</v>
      </c>
      <c r="O857" s="27" t="n">
        <f aca="false">MAX(0,NG-MAX(K857,GWL))</f>
        <v>0.8</v>
      </c>
      <c r="P857" s="27" t="n">
        <f aca="false">E857/2+WS+SLOPE_A*O857+SLOPE_B*N857</f>
        <v>7.90000465595559</v>
      </c>
      <c r="Q857" s="28" t="str">
        <f aca="false">IF(AND(P857&lt;J857,N857&lt;=MAXOC),"Open cut","Shoring")</f>
        <v>Shoring</v>
      </c>
      <c r="R857" s="27" t="n">
        <f aca="false">IF(Q857="Shoring",D857,0)</f>
        <v>10.0000000003079</v>
      </c>
      <c r="S857" s="27" t="n">
        <f aca="false">MAX(0,GWL-L857)</f>
        <v>2.6000015519852</v>
      </c>
      <c r="T857" s="27" t="n">
        <f aca="false">MAX(0,NG-MAX(L857,GWL))</f>
        <v>0.8</v>
      </c>
      <c r="U857" s="27" t="n">
        <f aca="false">E857+2*WS</f>
        <v>3.0000031039704</v>
      </c>
      <c r="V857" s="27" t="n">
        <f aca="false">IF(Q857="Shoring",D857*M857*U857,0)</f>
        <v>102.000152097738</v>
      </c>
      <c r="W857" s="27" t="n">
        <f aca="false">IF(Q857="Open cut",D857*(U857*M857+SLOPE_B*S857^2+2*SLOPE_B*S857*T857+SLOPE_A*T857^2),0)</f>
        <v>0</v>
      </c>
      <c r="X857" s="27" t="n">
        <f aca="false">IF(M857&gt;0,D857*(E857+2*SLABOVH)*SLAB,0)</f>
        <v>10.0000155201599</v>
      </c>
      <c r="Y857" s="27" t="n">
        <f aca="false">IF(M857&gt;0,D857*PI()*E857^2/4,0)</f>
        <v>7.85403039134495</v>
      </c>
      <c r="Z857" s="27" t="n">
        <f aca="false">IF(H857-E857&gt;=GWL,99,E857*(MAX(0,GWL-H857)*(GAM_S-GAM_W)+MAX(0,NG-MAX(H857,GWL))*GAM_D)/(GAM_W*PI()*E857^2/4))</f>
        <v>3.03824218191065</v>
      </c>
      <c r="AA857" s="27" t="n">
        <f aca="false">IF(I857-E857&gt;=GWL,99,E857*(MAX(0,GWL-I857)*(GAM_S-GAM_W)+MAX(0,NG-MAX(I857,GWL))*GAM_D)/(GAM_W*PI()*E857^2/4))</f>
        <v>3.03824218191065</v>
      </c>
      <c r="AB857" s="27" t="n">
        <f aca="false">IF(H857-E857&gt;=GWL,99,E857*(MAX(0,GWL-H857)*(GAM_S-GAM_W)+MAX(0,FL-MAX(H857,GWL))*GAM_D)/(GAM_W*PI()*E857^2/4))</f>
        <v>7.00980274613868</v>
      </c>
      <c r="AC857" s="27" t="n">
        <f aca="false">IF(I857-E857&gt;=GWL,99,E857*(MAX(0,GWL-I857)*(GAM_S-GAM_W)+MAX(0,FL-MAX(I857,GWL))*GAM_D)/(GAM_W*PI()*E857^2/4))</f>
        <v>7.00980274613868</v>
      </c>
    </row>
    <row r="858" customFormat="false" ht="15" hidden="false" customHeight="false" outlineLevel="0" collapsed="false">
      <c r="A858" s="25" t="s">
        <v>1341</v>
      </c>
      <c r="B858" s="25" t="s">
        <v>1425</v>
      </c>
      <c r="C858" s="25" t="s">
        <v>1429</v>
      </c>
      <c r="D858" s="26" t="n">
        <v>8.27500438019589</v>
      </c>
      <c r="E858" s="26" t="n">
        <v>1.0000031039704</v>
      </c>
      <c r="F858" s="26" t="n">
        <v>-4.1000015519852</v>
      </c>
      <c r="G858" s="26" t="n">
        <v>-4.1000015519852</v>
      </c>
      <c r="H858" s="26" t="n">
        <v>-2.5999984480148</v>
      </c>
      <c r="I858" s="26" t="n">
        <v>-2.5999984480148</v>
      </c>
      <c r="J858" s="26" t="n">
        <v>32.78</v>
      </c>
      <c r="K858" s="27" t="n">
        <f aca="false">MIN(F858,G858)</f>
        <v>-4.1000015519852</v>
      </c>
      <c r="L858" s="27" t="n">
        <f aca="false">AVERAGE(F858,G858)</f>
        <v>-4.1000015519852</v>
      </c>
      <c r="M858" s="27" t="n">
        <f aca="false">MAX(0,NG-L858)</f>
        <v>3.4000015519852</v>
      </c>
      <c r="N858" s="27" t="n">
        <f aca="false">MAX(0,GWL-K858)</f>
        <v>2.6000015519852</v>
      </c>
      <c r="O858" s="27" t="n">
        <f aca="false">MAX(0,NG-MAX(K858,GWL))</f>
        <v>0.8</v>
      </c>
      <c r="P858" s="27" t="n">
        <f aca="false">E858/2+WS+SLOPE_A*O858+SLOPE_B*N858</f>
        <v>7.90000465595559</v>
      </c>
      <c r="Q858" s="28" t="str">
        <f aca="false">IF(AND(P858&lt;J858,N858&lt;=MAXOC),"Open cut","Shoring")</f>
        <v>Shoring</v>
      </c>
      <c r="R858" s="27" t="n">
        <f aca="false">IF(Q858="Shoring",D858,0)</f>
        <v>8.27500438019589</v>
      </c>
      <c r="S858" s="27" t="n">
        <f aca="false">MAX(0,GWL-L858)</f>
        <v>2.6000015519852</v>
      </c>
      <c r="T858" s="27" t="n">
        <f aca="false">MAX(0,NG-MAX(L858,GWL))</f>
        <v>0.8</v>
      </c>
      <c r="U858" s="27" t="n">
        <f aca="false">E858+2*WS</f>
        <v>3.0000031039704</v>
      </c>
      <c r="V858" s="27" t="n">
        <f aca="false">IF(Q858="Shoring",D858*M858*U858,0)</f>
        <v>84.4051705363442</v>
      </c>
      <c r="W858" s="27" t="n">
        <f aca="false">IF(Q858="Open cut",D858*(U858*M858+SLOPE_B*S858^2+2*SLOPE_B*S858*T858+SLOPE_A*T858^2),0)</f>
        <v>0</v>
      </c>
      <c r="X858" s="27" t="n">
        <f aca="false">IF(M858&gt;0,D858*(E858+2*SLABOVH)*SLAB,0)</f>
        <v>8.27501722288021</v>
      </c>
      <c r="Y858" s="27" t="n">
        <f aca="false">IF(M858&gt;0,D858*PI()*E858^2/4,0)</f>
        <v>6.499213588857</v>
      </c>
      <c r="Z858" s="27" t="n">
        <f aca="false">IF(H858-E858&gt;=GWL,99,E858*(MAX(0,GWL-H858)*(GAM_S-GAM_W)+MAX(0,NG-MAX(H858,GWL))*GAM_D)/(GAM_W*PI()*E858^2/4))</f>
        <v>3.03824218191065</v>
      </c>
      <c r="AA858" s="27" t="n">
        <f aca="false">IF(I858-E858&gt;=GWL,99,E858*(MAX(0,GWL-I858)*(GAM_S-GAM_W)+MAX(0,NG-MAX(I858,GWL))*GAM_D)/(GAM_W*PI()*E858^2/4))</f>
        <v>3.03824218191065</v>
      </c>
      <c r="AB858" s="27" t="n">
        <f aca="false">IF(H858-E858&gt;=GWL,99,E858*(MAX(0,GWL-H858)*(GAM_S-GAM_W)+MAX(0,FL-MAX(H858,GWL))*GAM_D)/(GAM_W*PI()*E858^2/4))</f>
        <v>7.00980274613868</v>
      </c>
      <c r="AC858" s="27" t="n">
        <f aca="false">IF(I858-E858&gt;=GWL,99,E858*(MAX(0,GWL-I858)*(GAM_S-GAM_W)+MAX(0,FL-MAX(I858,GWL))*GAM_D)/(GAM_W*PI()*E858^2/4))</f>
        <v>7.00980274613868</v>
      </c>
    </row>
    <row r="859" customFormat="false" ht="15" hidden="false" customHeight="false" outlineLevel="0" collapsed="false">
      <c r="A859" s="25" t="s">
        <v>1341</v>
      </c>
      <c r="B859" s="25" t="s">
        <v>1430</v>
      </c>
      <c r="C859" s="25" t="s">
        <v>1431</v>
      </c>
      <c r="D859" s="26" t="n">
        <v>5.99999999986834</v>
      </c>
      <c r="E859" s="26" t="n">
        <v>0.999998286010683</v>
      </c>
      <c r="F859" s="26" t="n">
        <v>-4.09999914300534</v>
      </c>
      <c r="G859" s="26" t="n">
        <v>-4.09999914300534</v>
      </c>
      <c r="H859" s="26" t="n">
        <v>-2.60000085699466</v>
      </c>
      <c r="I859" s="26" t="n">
        <v>-2.60000085699466</v>
      </c>
      <c r="J859" s="26" t="n">
        <v>99</v>
      </c>
      <c r="K859" s="27" t="n">
        <f aca="false">MIN(F859,G859)</f>
        <v>-4.09999914300534</v>
      </c>
      <c r="L859" s="27" t="n">
        <f aca="false">AVERAGE(F859,G859)</f>
        <v>-4.09999914300534</v>
      </c>
      <c r="M859" s="27" t="n">
        <f aca="false">MAX(0,NG-L859)</f>
        <v>3.39999914300534</v>
      </c>
      <c r="N859" s="27" t="n">
        <f aca="false">MAX(0,GWL-K859)</f>
        <v>2.59999914300534</v>
      </c>
      <c r="O859" s="27" t="n">
        <f aca="false">MAX(0,NG-MAX(K859,GWL))</f>
        <v>0.8</v>
      </c>
      <c r="P859" s="27" t="n">
        <f aca="false">E859/2+WS+SLOPE_A*O859+SLOPE_B*N859</f>
        <v>7.89999742901602</v>
      </c>
      <c r="Q859" s="28" t="str">
        <f aca="false">IF(AND(P859&lt;J859,N859&lt;=MAXOC),"Open cut","Shoring")</f>
        <v>Shoring</v>
      </c>
      <c r="R859" s="27" t="n">
        <f aca="false">IF(Q859="Shoring",D859,0)</f>
        <v>5.99999999986834</v>
      </c>
      <c r="S859" s="27" t="n">
        <f aca="false">MAX(0,GWL-L859)</f>
        <v>2.59999914300534</v>
      </c>
      <c r="T859" s="27" t="n">
        <f aca="false">MAX(0,NG-MAX(L859,GWL))</f>
        <v>0.8</v>
      </c>
      <c r="U859" s="27" t="n">
        <f aca="false">E859+2*WS</f>
        <v>2.99999828601068</v>
      </c>
      <c r="V859" s="27" t="n">
        <f aca="false">IF(Q859="Shoring",D859*M859*U859,0)</f>
        <v>61.1999496073799</v>
      </c>
      <c r="W859" s="27" t="n">
        <f aca="false">IF(Q859="Open cut",D859*(U859*M859+SLOPE_B*S859^2+2*SLOPE_B*S859*T859+SLOPE_A*T859^2),0)</f>
        <v>0</v>
      </c>
      <c r="X859" s="27" t="n">
        <f aca="false">IF(M859&gt;0,D859*(E859+2*SLABOVH)*SLAB,0)</f>
        <v>5.99999485790039</v>
      </c>
      <c r="Y859" s="27" t="n">
        <f aca="false">IF(M859&gt;0,D859*PI()*E859^2/4,0)</f>
        <v>4.71237282632639</v>
      </c>
      <c r="Z859" s="27" t="n">
        <f aca="false">IF(H859-E859&gt;=GWL,99,E859*(MAX(0,GWL-H859)*(GAM_S-GAM_W)+MAX(0,NG-MAX(H859,GWL))*GAM_D)/(GAM_W*PI()*E859^2/4))</f>
        <v>3.03825938076549</v>
      </c>
      <c r="AA859" s="27" t="n">
        <f aca="false">IF(I859-E859&gt;=GWL,99,E859*(MAX(0,GWL-I859)*(GAM_S-GAM_W)+MAX(0,NG-MAX(I859,GWL))*GAM_D)/(GAM_W*PI()*E859^2/4))</f>
        <v>3.03825938076549</v>
      </c>
      <c r="AB859" s="27" t="n">
        <f aca="false">IF(H859-E859&gt;=GWL,99,E859*(MAX(0,GWL-H859)*(GAM_S-GAM_W)+MAX(0,FL-MAX(H859,GWL))*GAM_D)/(GAM_W*PI()*E859^2/4))</f>
        <v>7.00983907984512</v>
      </c>
      <c r="AC859" s="27" t="n">
        <f aca="false">IF(I859-E859&gt;=GWL,99,E859*(MAX(0,GWL-I859)*(GAM_S-GAM_W)+MAX(0,FL-MAX(I859,GWL))*GAM_D)/(GAM_W*PI()*E859^2/4))</f>
        <v>7.00983907984512</v>
      </c>
    </row>
    <row r="860" customFormat="false" ht="15" hidden="false" customHeight="false" outlineLevel="0" collapsed="false">
      <c r="A860" s="25" t="s">
        <v>1341</v>
      </c>
      <c r="B860" s="25" t="s">
        <v>1432</v>
      </c>
      <c r="C860" s="25" t="s">
        <v>1433</v>
      </c>
      <c r="D860" s="26" t="n">
        <v>4.00000000033855</v>
      </c>
      <c r="E860" s="26" t="n">
        <v>0.999998286010683</v>
      </c>
      <c r="F860" s="26" t="n">
        <v>-4.09999914300534</v>
      </c>
      <c r="G860" s="26" t="n">
        <v>-4.09999914300534</v>
      </c>
      <c r="H860" s="26" t="n">
        <v>-2.60000085699466</v>
      </c>
      <c r="I860" s="26" t="n">
        <v>-2.60000085699466</v>
      </c>
      <c r="J860" s="26" t="n">
        <v>99</v>
      </c>
      <c r="K860" s="27" t="n">
        <f aca="false">MIN(F860,G860)</f>
        <v>-4.09999914300534</v>
      </c>
      <c r="L860" s="27" t="n">
        <f aca="false">AVERAGE(F860,G860)</f>
        <v>-4.09999914300534</v>
      </c>
      <c r="M860" s="27" t="n">
        <f aca="false">MAX(0,NG-L860)</f>
        <v>3.39999914300534</v>
      </c>
      <c r="N860" s="27" t="n">
        <f aca="false">MAX(0,GWL-K860)</f>
        <v>2.59999914300534</v>
      </c>
      <c r="O860" s="27" t="n">
        <f aca="false">MAX(0,NG-MAX(K860,GWL))</f>
        <v>0.8</v>
      </c>
      <c r="P860" s="27" t="n">
        <f aca="false">E860/2+WS+SLOPE_A*O860+SLOPE_B*N860</f>
        <v>7.89999742901602</v>
      </c>
      <c r="Q860" s="28" t="str">
        <f aca="false">IF(AND(P860&lt;J860,N860&lt;=MAXOC),"Open cut","Shoring")</f>
        <v>Shoring</v>
      </c>
      <c r="R860" s="27" t="n">
        <f aca="false">IF(Q860="Shoring",D860,0)</f>
        <v>4.00000000033855</v>
      </c>
      <c r="S860" s="27" t="n">
        <f aca="false">MAX(0,GWL-L860)</f>
        <v>2.59999914300534</v>
      </c>
      <c r="T860" s="27" t="n">
        <f aca="false">MAX(0,NG-MAX(L860,GWL))</f>
        <v>0.8</v>
      </c>
      <c r="U860" s="27" t="n">
        <f aca="false">E860+2*WS</f>
        <v>2.99999828601068</v>
      </c>
      <c r="V860" s="27" t="n">
        <f aca="false">IF(Q860="Shoring",D860*M860*U860,0)</f>
        <v>40.7999664092685</v>
      </c>
      <c r="W860" s="27" t="n">
        <f aca="false">IF(Q860="Open cut",D860*(U860*M860+SLOPE_B*S860^2+2*SLOPE_B*S860*T860+SLOPE_A*T860^2),0)</f>
        <v>0</v>
      </c>
      <c r="X860" s="27" t="n">
        <f aca="false">IF(M860&gt;0,D860*(E860+2*SLABOVH)*SLAB,0)</f>
        <v>3.99999657235992</v>
      </c>
      <c r="Y860" s="27" t="n">
        <f aca="false">IF(M860&gt;0,D860*PI()*E860^2/4,0)</f>
        <v>3.14158188455243</v>
      </c>
      <c r="Z860" s="27" t="n">
        <f aca="false">IF(H860-E860&gt;=GWL,99,E860*(MAX(0,GWL-H860)*(GAM_S-GAM_W)+MAX(0,NG-MAX(H860,GWL))*GAM_D)/(GAM_W*PI()*E860^2/4))</f>
        <v>3.03825938076549</v>
      </c>
      <c r="AA860" s="27" t="n">
        <f aca="false">IF(I860-E860&gt;=GWL,99,E860*(MAX(0,GWL-I860)*(GAM_S-GAM_W)+MAX(0,NG-MAX(I860,GWL))*GAM_D)/(GAM_W*PI()*E860^2/4))</f>
        <v>3.03825938076549</v>
      </c>
      <c r="AB860" s="27" t="n">
        <f aca="false">IF(H860-E860&gt;=GWL,99,E860*(MAX(0,GWL-H860)*(GAM_S-GAM_W)+MAX(0,FL-MAX(H860,GWL))*GAM_D)/(GAM_W*PI()*E860^2/4))</f>
        <v>7.00983907984512</v>
      </c>
      <c r="AC860" s="27" t="n">
        <f aca="false">IF(I860-E860&gt;=GWL,99,E860*(MAX(0,GWL-I860)*(GAM_S-GAM_W)+MAX(0,FL-MAX(I860,GWL))*GAM_D)/(GAM_W*PI()*E860^2/4))</f>
        <v>7.00983907984512</v>
      </c>
    </row>
    <row r="861" customFormat="false" ht="15" hidden="false" customHeight="false" outlineLevel="0" collapsed="false">
      <c r="A861" s="25" t="s">
        <v>1341</v>
      </c>
      <c r="B861" s="25" t="s">
        <v>1432</v>
      </c>
      <c r="C861" s="25" t="s">
        <v>1434</v>
      </c>
      <c r="D861" s="26" t="n">
        <v>9.99999999983586</v>
      </c>
      <c r="E861" s="26" t="n">
        <v>0.999998286010683</v>
      </c>
      <c r="F861" s="26" t="n">
        <v>-4.09999914300534</v>
      </c>
      <c r="G861" s="26" t="n">
        <v>-4.09999914300534</v>
      </c>
      <c r="H861" s="26" t="n">
        <v>-2.60000085699466</v>
      </c>
      <c r="I861" s="26" t="n">
        <v>-2.60000085699466</v>
      </c>
      <c r="J861" s="26" t="n">
        <v>99</v>
      </c>
      <c r="K861" s="27" t="n">
        <f aca="false">MIN(F861,G861)</f>
        <v>-4.09999914300534</v>
      </c>
      <c r="L861" s="27" t="n">
        <f aca="false">AVERAGE(F861,G861)</f>
        <v>-4.09999914300534</v>
      </c>
      <c r="M861" s="27" t="n">
        <f aca="false">MAX(0,NG-L861)</f>
        <v>3.39999914300534</v>
      </c>
      <c r="N861" s="27" t="n">
        <f aca="false">MAX(0,GWL-K861)</f>
        <v>2.59999914300534</v>
      </c>
      <c r="O861" s="27" t="n">
        <f aca="false">MAX(0,NG-MAX(K861,GWL))</f>
        <v>0.8</v>
      </c>
      <c r="P861" s="27" t="n">
        <f aca="false">E861/2+WS+SLOPE_A*O861+SLOPE_B*N861</f>
        <v>7.89999742901602</v>
      </c>
      <c r="Q861" s="28" t="str">
        <f aca="false">IF(AND(P861&lt;J861,N861&lt;=MAXOC),"Open cut","Shoring")</f>
        <v>Shoring</v>
      </c>
      <c r="R861" s="27" t="n">
        <f aca="false">IF(Q861="Shoring",D861,0)</f>
        <v>9.99999999983586</v>
      </c>
      <c r="S861" s="27" t="n">
        <f aca="false">MAX(0,GWL-L861)</f>
        <v>2.59999914300534</v>
      </c>
      <c r="T861" s="27" t="n">
        <f aca="false">MAX(0,NG-MAX(L861,GWL))</f>
        <v>0.8</v>
      </c>
      <c r="U861" s="27" t="n">
        <f aca="false">E861+2*WS</f>
        <v>2.99999828601068</v>
      </c>
      <c r="V861" s="27" t="n">
        <f aca="false">IF(Q861="Shoring",D861*M861*U861,0)</f>
        <v>101.999916012864</v>
      </c>
      <c r="W861" s="27" t="n">
        <f aca="false">IF(Q861="Open cut",D861*(U861*M861+SLOPE_B*S861^2+2*SLOPE_B*S861*T861+SLOPE_A*T861^2),0)</f>
        <v>0</v>
      </c>
      <c r="X861" s="27" t="n">
        <f aca="false">IF(M861&gt;0,D861*(E861+2*SLABOVH)*SLAB,0)</f>
        <v>9.99999142988927</v>
      </c>
      <c r="Y861" s="27" t="n">
        <f aca="false">IF(M861&gt;0,D861*PI()*E861^2/4,0)</f>
        <v>7.85395471058741</v>
      </c>
      <c r="Z861" s="27" t="n">
        <f aca="false">IF(H861-E861&gt;=GWL,99,E861*(MAX(0,GWL-H861)*(GAM_S-GAM_W)+MAX(0,NG-MAX(H861,GWL))*GAM_D)/(GAM_W*PI()*E861^2/4))</f>
        <v>3.03825938076549</v>
      </c>
      <c r="AA861" s="27" t="n">
        <f aca="false">IF(I861-E861&gt;=GWL,99,E861*(MAX(0,GWL-I861)*(GAM_S-GAM_W)+MAX(0,NG-MAX(I861,GWL))*GAM_D)/(GAM_W*PI()*E861^2/4))</f>
        <v>3.03825938076549</v>
      </c>
      <c r="AB861" s="27" t="n">
        <f aca="false">IF(H861-E861&gt;=GWL,99,E861*(MAX(0,GWL-H861)*(GAM_S-GAM_W)+MAX(0,FL-MAX(H861,GWL))*GAM_D)/(GAM_W*PI()*E861^2/4))</f>
        <v>7.00983907984512</v>
      </c>
      <c r="AC861" s="27" t="n">
        <f aca="false">IF(I861-E861&gt;=GWL,99,E861*(MAX(0,GWL-I861)*(GAM_S-GAM_W)+MAX(0,FL-MAX(I861,GWL))*GAM_D)/(GAM_W*PI()*E861^2/4))</f>
        <v>7.00983907984512</v>
      </c>
    </row>
    <row r="862" customFormat="false" ht="15" hidden="false" customHeight="false" outlineLevel="0" collapsed="false">
      <c r="A862" s="25" t="s">
        <v>1341</v>
      </c>
      <c r="B862" s="25" t="s">
        <v>1432</v>
      </c>
      <c r="C862" s="25" t="s">
        <v>1435</v>
      </c>
      <c r="D862" s="26" t="n">
        <v>10.0000000002069</v>
      </c>
      <c r="E862" s="26" t="n">
        <v>0.999998286010683</v>
      </c>
      <c r="F862" s="26" t="n">
        <v>-4.09999914300534</v>
      </c>
      <c r="G862" s="26" t="n">
        <v>-4.09999914300534</v>
      </c>
      <c r="H862" s="26" t="n">
        <v>-2.60000085699466</v>
      </c>
      <c r="I862" s="26" t="n">
        <v>-2.60000085699466</v>
      </c>
      <c r="J862" s="26" t="n">
        <v>0</v>
      </c>
      <c r="K862" s="27" t="n">
        <f aca="false">MIN(F862,G862)</f>
        <v>-4.09999914300534</v>
      </c>
      <c r="L862" s="27" t="n">
        <f aca="false">AVERAGE(F862,G862)</f>
        <v>-4.09999914300534</v>
      </c>
      <c r="M862" s="27" t="n">
        <f aca="false">MAX(0,NG-L862)</f>
        <v>3.39999914300534</v>
      </c>
      <c r="N862" s="27" t="n">
        <f aca="false">MAX(0,GWL-K862)</f>
        <v>2.59999914300534</v>
      </c>
      <c r="O862" s="27" t="n">
        <f aca="false">MAX(0,NG-MAX(K862,GWL))</f>
        <v>0.8</v>
      </c>
      <c r="P862" s="27" t="n">
        <f aca="false">E862/2+WS+SLOPE_A*O862+SLOPE_B*N862</f>
        <v>7.89999742901602</v>
      </c>
      <c r="Q862" s="28" t="str">
        <f aca="false">IF(AND(P862&lt;J862,N862&lt;=MAXOC),"Open cut","Shoring")</f>
        <v>Shoring</v>
      </c>
      <c r="R862" s="27" t="n">
        <f aca="false">IF(Q862="Shoring",D862,0)</f>
        <v>10.0000000002069</v>
      </c>
      <c r="S862" s="27" t="n">
        <f aca="false">MAX(0,GWL-L862)</f>
        <v>2.59999914300534</v>
      </c>
      <c r="T862" s="27" t="n">
        <f aca="false">MAX(0,NG-MAX(L862,GWL))</f>
        <v>0.8</v>
      </c>
      <c r="U862" s="27" t="n">
        <f aca="false">E862+2*WS</f>
        <v>2.99999828601068</v>
      </c>
      <c r="V862" s="27" t="n">
        <f aca="false">IF(Q862="Shoring",D862*M862*U862,0)</f>
        <v>101.999916016648</v>
      </c>
      <c r="W862" s="27" t="n">
        <f aca="false">IF(Q862="Open cut",D862*(U862*M862+SLOPE_B*S862^2+2*SLOPE_B*S862*T862+SLOPE_A*T862^2),0)</f>
        <v>0</v>
      </c>
      <c r="X862" s="27" t="n">
        <f aca="false">IF(M862&gt;0,D862*(E862+2*SLABOVH)*SLAB,0)</f>
        <v>9.99999143026031</v>
      </c>
      <c r="Y862" s="27" t="n">
        <f aca="false">IF(M862&gt;0,D862*PI()*E862^2/4,0)</f>
        <v>7.85395471087882</v>
      </c>
      <c r="Z862" s="27" t="n">
        <f aca="false">IF(H862-E862&gt;=GWL,99,E862*(MAX(0,GWL-H862)*(GAM_S-GAM_W)+MAX(0,NG-MAX(H862,GWL))*GAM_D)/(GAM_W*PI()*E862^2/4))</f>
        <v>3.03825938076549</v>
      </c>
      <c r="AA862" s="27" t="n">
        <f aca="false">IF(I862-E862&gt;=GWL,99,E862*(MAX(0,GWL-I862)*(GAM_S-GAM_W)+MAX(0,NG-MAX(I862,GWL))*GAM_D)/(GAM_W*PI()*E862^2/4))</f>
        <v>3.03825938076549</v>
      </c>
      <c r="AB862" s="27" t="n">
        <f aca="false">IF(H862-E862&gt;=GWL,99,E862*(MAX(0,GWL-H862)*(GAM_S-GAM_W)+MAX(0,FL-MAX(H862,GWL))*GAM_D)/(GAM_W*PI()*E862^2/4))</f>
        <v>7.00983907984512</v>
      </c>
      <c r="AC862" s="27" t="n">
        <f aca="false">IF(I862-E862&gt;=GWL,99,E862*(MAX(0,GWL-I862)*(GAM_S-GAM_W)+MAX(0,FL-MAX(I862,GWL))*GAM_D)/(GAM_W*PI()*E862^2/4))</f>
        <v>7.00983907984512</v>
      </c>
    </row>
    <row r="863" customFormat="false" ht="15" hidden="false" customHeight="false" outlineLevel="0" collapsed="false">
      <c r="A863" s="25" t="s">
        <v>1341</v>
      </c>
      <c r="B863" s="25" t="s">
        <v>1432</v>
      </c>
      <c r="C863" s="25" t="s">
        <v>1436</v>
      </c>
      <c r="D863" s="26" t="n">
        <v>9.99999999983586</v>
      </c>
      <c r="E863" s="26" t="n">
        <v>0.999998286010683</v>
      </c>
      <c r="F863" s="26" t="n">
        <v>-4.09999914300534</v>
      </c>
      <c r="G863" s="26" t="n">
        <v>-4.09999914300534</v>
      </c>
      <c r="H863" s="26" t="n">
        <v>-2.60000085699466</v>
      </c>
      <c r="I863" s="26" t="n">
        <v>-2.60000085699466</v>
      </c>
      <c r="J863" s="26" t="n">
        <v>1.02</v>
      </c>
      <c r="K863" s="27" t="n">
        <f aca="false">MIN(F863,G863)</f>
        <v>-4.09999914300534</v>
      </c>
      <c r="L863" s="27" t="n">
        <f aca="false">AVERAGE(F863,G863)</f>
        <v>-4.09999914300534</v>
      </c>
      <c r="M863" s="27" t="n">
        <f aca="false">MAX(0,NG-L863)</f>
        <v>3.39999914300534</v>
      </c>
      <c r="N863" s="27" t="n">
        <f aca="false">MAX(0,GWL-K863)</f>
        <v>2.59999914300534</v>
      </c>
      <c r="O863" s="27" t="n">
        <f aca="false">MAX(0,NG-MAX(K863,GWL))</f>
        <v>0.8</v>
      </c>
      <c r="P863" s="27" t="n">
        <f aca="false">E863/2+WS+SLOPE_A*O863+SLOPE_B*N863</f>
        <v>7.89999742901602</v>
      </c>
      <c r="Q863" s="28" t="str">
        <f aca="false">IF(AND(P863&lt;J863,N863&lt;=MAXOC),"Open cut","Shoring")</f>
        <v>Shoring</v>
      </c>
      <c r="R863" s="27" t="n">
        <f aca="false">IF(Q863="Shoring",D863,0)</f>
        <v>9.99999999983586</v>
      </c>
      <c r="S863" s="27" t="n">
        <f aca="false">MAX(0,GWL-L863)</f>
        <v>2.59999914300534</v>
      </c>
      <c r="T863" s="27" t="n">
        <f aca="false">MAX(0,NG-MAX(L863,GWL))</f>
        <v>0.8</v>
      </c>
      <c r="U863" s="27" t="n">
        <f aca="false">E863+2*WS</f>
        <v>2.99999828601068</v>
      </c>
      <c r="V863" s="27" t="n">
        <f aca="false">IF(Q863="Shoring",D863*M863*U863,0)</f>
        <v>101.999916012864</v>
      </c>
      <c r="W863" s="27" t="n">
        <f aca="false">IF(Q863="Open cut",D863*(U863*M863+SLOPE_B*S863^2+2*SLOPE_B*S863*T863+SLOPE_A*T863^2),0)</f>
        <v>0</v>
      </c>
      <c r="X863" s="27" t="n">
        <f aca="false">IF(M863&gt;0,D863*(E863+2*SLABOVH)*SLAB,0)</f>
        <v>9.99999142988927</v>
      </c>
      <c r="Y863" s="27" t="n">
        <f aca="false">IF(M863&gt;0,D863*PI()*E863^2/4,0)</f>
        <v>7.85395471058741</v>
      </c>
      <c r="Z863" s="27" t="n">
        <f aca="false">IF(H863-E863&gt;=GWL,99,E863*(MAX(0,GWL-H863)*(GAM_S-GAM_W)+MAX(0,NG-MAX(H863,GWL))*GAM_D)/(GAM_W*PI()*E863^2/4))</f>
        <v>3.03825938076549</v>
      </c>
      <c r="AA863" s="27" t="n">
        <f aca="false">IF(I863-E863&gt;=GWL,99,E863*(MAX(0,GWL-I863)*(GAM_S-GAM_W)+MAX(0,NG-MAX(I863,GWL))*GAM_D)/(GAM_W*PI()*E863^2/4))</f>
        <v>3.03825938076549</v>
      </c>
      <c r="AB863" s="27" t="n">
        <f aca="false">IF(H863-E863&gt;=GWL,99,E863*(MAX(0,GWL-H863)*(GAM_S-GAM_W)+MAX(0,FL-MAX(H863,GWL))*GAM_D)/(GAM_W*PI()*E863^2/4))</f>
        <v>7.00983907984512</v>
      </c>
      <c r="AC863" s="27" t="n">
        <f aca="false">IF(I863-E863&gt;=GWL,99,E863*(MAX(0,GWL-I863)*(GAM_S-GAM_W)+MAX(0,FL-MAX(I863,GWL))*GAM_D)/(GAM_W*PI()*E863^2/4))</f>
        <v>7.00983907984512</v>
      </c>
    </row>
    <row r="864" customFormat="false" ht="15" hidden="false" customHeight="false" outlineLevel="0" collapsed="false">
      <c r="A864" s="25" t="s">
        <v>1341</v>
      </c>
      <c r="B864" s="25" t="s">
        <v>1432</v>
      </c>
      <c r="C864" s="25" t="s">
        <v>1437</v>
      </c>
      <c r="D864" s="26" t="n">
        <v>3.66763746901264</v>
      </c>
      <c r="E864" s="26" t="n">
        <v>0.999998286010683</v>
      </c>
      <c r="F864" s="26" t="n">
        <v>-4.09999914300534</v>
      </c>
      <c r="G864" s="26" t="n">
        <v>-4.09999914300534</v>
      </c>
      <c r="H864" s="26" t="n">
        <v>-2.60000085699466</v>
      </c>
      <c r="I864" s="26" t="n">
        <v>-2.60000085699466</v>
      </c>
      <c r="J864" s="26" t="n">
        <v>11.01</v>
      </c>
      <c r="K864" s="27" t="n">
        <f aca="false">MIN(F864,G864)</f>
        <v>-4.09999914300534</v>
      </c>
      <c r="L864" s="27" t="n">
        <f aca="false">AVERAGE(F864,G864)</f>
        <v>-4.09999914300534</v>
      </c>
      <c r="M864" s="27" t="n">
        <f aca="false">MAX(0,NG-L864)</f>
        <v>3.39999914300534</v>
      </c>
      <c r="N864" s="27" t="n">
        <f aca="false">MAX(0,GWL-K864)</f>
        <v>2.59999914300534</v>
      </c>
      <c r="O864" s="27" t="n">
        <f aca="false">MAX(0,NG-MAX(K864,GWL))</f>
        <v>0.8</v>
      </c>
      <c r="P864" s="27" t="n">
        <f aca="false">E864/2+WS+SLOPE_A*O864+SLOPE_B*N864</f>
        <v>7.89999742901602</v>
      </c>
      <c r="Q864" s="28" t="str">
        <f aca="false">IF(AND(P864&lt;J864,N864&lt;=MAXOC),"Open cut","Shoring")</f>
        <v>Shoring</v>
      </c>
      <c r="R864" s="27" t="n">
        <f aca="false">IF(Q864="Shoring",D864,0)</f>
        <v>3.66763746901264</v>
      </c>
      <c r="S864" s="27" t="n">
        <f aca="false">MAX(0,GWL-L864)</f>
        <v>2.59999914300534</v>
      </c>
      <c r="T864" s="27" t="n">
        <f aca="false">MAX(0,NG-MAX(L864,GWL))</f>
        <v>0.8</v>
      </c>
      <c r="U864" s="27" t="n">
        <f aca="false">E864+2*WS</f>
        <v>2.99999828601068</v>
      </c>
      <c r="V864" s="27" t="n">
        <f aca="false">IF(Q864="Shoring",D864*M864*U864,0)</f>
        <v>37.4098713811063</v>
      </c>
      <c r="W864" s="27" t="n">
        <f aca="false">IF(Q864="Open cut",D864*(U864*M864+SLOPE_B*S864^2+2*SLOPE_B*S864*T864+SLOPE_A*T864^2),0)</f>
        <v>0</v>
      </c>
      <c r="X864" s="27" t="n">
        <f aca="false">IF(M864&gt;0,D864*(E864+2*SLABOVH)*SLAB,0)</f>
        <v>3.66763432586692</v>
      </c>
      <c r="Y864" s="27" t="n">
        <f aca="false">IF(M864&gt;0,D864*PI()*E864^2/4,0)</f>
        <v>2.88054585769515</v>
      </c>
      <c r="Z864" s="27" t="n">
        <f aca="false">IF(H864-E864&gt;=GWL,99,E864*(MAX(0,GWL-H864)*(GAM_S-GAM_W)+MAX(0,NG-MAX(H864,GWL))*GAM_D)/(GAM_W*PI()*E864^2/4))</f>
        <v>3.03825938076549</v>
      </c>
      <c r="AA864" s="27" t="n">
        <f aca="false">IF(I864-E864&gt;=GWL,99,E864*(MAX(0,GWL-I864)*(GAM_S-GAM_W)+MAX(0,NG-MAX(I864,GWL))*GAM_D)/(GAM_W*PI()*E864^2/4))</f>
        <v>3.03825938076549</v>
      </c>
      <c r="AB864" s="27" t="n">
        <f aca="false">IF(H864-E864&gt;=GWL,99,E864*(MAX(0,GWL-H864)*(GAM_S-GAM_W)+MAX(0,FL-MAX(H864,GWL))*GAM_D)/(GAM_W*PI()*E864^2/4))</f>
        <v>7.00983907984512</v>
      </c>
      <c r="AC864" s="27" t="n">
        <f aca="false">IF(I864-E864&gt;=GWL,99,E864*(MAX(0,GWL-I864)*(GAM_S-GAM_W)+MAX(0,FL-MAX(I864,GWL))*GAM_D)/(GAM_W*PI()*E864^2/4))</f>
        <v>7.00983907984512</v>
      </c>
    </row>
    <row r="865" customFormat="false" ht="15" hidden="false" customHeight="false" outlineLevel="0" collapsed="false">
      <c r="A865" s="25" t="s">
        <v>1341</v>
      </c>
      <c r="B865" s="25" t="s">
        <v>1432</v>
      </c>
      <c r="C865" s="25" t="s">
        <v>1438</v>
      </c>
      <c r="D865" s="26" t="n">
        <v>5.16788999991604</v>
      </c>
      <c r="E865" s="26" t="n">
        <v>1.00000242874592</v>
      </c>
      <c r="F865" s="26" t="n">
        <v>-4.10000121437296</v>
      </c>
      <c r="G865" s="26" t="n">
        <v>-4.10000121437296</v>
      </c>
      <c r="H865" s="26" t="n">
        <v>-2.59999878562704</v>
      </c>
      <c r="I865" s="26" t="n">
        <v>-2.59999878562704</v>
      </c>
      <c r="J865" s="26" t="n">
        <v>14.68</v>
      </c>
      <c r="K865" s="27" t="n">
        <f aca="false">MIN(F865,G865)</f>
        <v>-4.10000121437296</v>
      </c>
      <c r="L865" s="27" t="n">
        <f aca="false">AVERAGE(F865,G865)</f>
        <v>-4.10000121437296</v>
      </c>
      <c r="M865" s="27" t="n">
        <f aca="false">MAX(0,NG-L865)</f>
        <v>3.40000121437296</v>
      </c>
      <c r="N865" s="27" t="n">
        <f aca="false">MAX(0,GWL-K865)</f>
        <v>2.60000121437296</v>
      </c>
      <c r="O865" s="27" t="n">
        <f aca="false">MAX(0,NG-MAX(K865,GWL))</f>
        <v>0.8</v>
      </c>
      <c r="P865" s="27" t="n">
        <f aca="false">E865/2+WS+SLOPE_A*O865+SLOPE_B*N865</f>
        <v>7.90000364311888</v>
      </c>
      <c r="Q865" s="28" t="str">
        <f aca="false">IF(AND(P865&lt;J865,N865&lt;=MAXOC),"Open cut","Shoring")</f>
        <v>Shoring</v>
      </c>
      <c r="R865" s="27" t="n">
        <f aca="false">IF(Q865="Shoring",D865,0)</f>
        <v>5.16788999991604</v>
      </c>
      <c r="S865" s="27" t="n">
        <f aca="false">MAX(0,GWL-L865)</f>
        <v>2.60000121437296</v>
      </c>
      <c r="T865" s="27" t="n">
        <f aca="false">MAX(0,NG-MAX(L865,GWL))</f>
        <v>0.8</v>
      </c>
      <c r="U865" s="27" t="n">
        <f aca="false">E865+2*WS</f>
        <v>3.00000242874592</v>
      </c>
      <c r="V865" s="27" t="n">
        <f aca="false">IF(Q865="Shoring",D865*M865*U865,0)</f>
        <v>52.7125395014684</v>
      </c>
      <c r="W865" s="27" t="n">
        <f aca="false">IF(Q865="Open cut",D865*(U865*M865+SLOPE_B*S865^2+2*SLOPE_B*S865*T865+SLOPE_A*T865^2),0)</f>
        <v>0</v>
      </c>
      <c r="X865" s="27" t="n">
        <f aca="false">IF(M865&gt;0,D865*(E865+2*SLABOVH)*SLAB,0)</f>
        <v>5.16789627566192</v>
      </c>
      <c r="Y865" s="27" t="n">
        <f aca="false">IF(M865&gt;0,D865*PI()*E865^2/4,0)</f>
        <v>4.05887103043517</v>
      </c>
      <c r="Z865" s="27" t="n">
        <f aca="false">IF(H865-E865&gt;=GWL,99,E865*(MAX(0,GWL-H865)*(GAM_S-GAM_W)+MAX(0,NG-MAX(H865,GWL))*GAM_D)/(GAM_W*PI()*E865^2/4))</f>
        <v>3.03824459227527</v>
      </c>
      <c r="AA865" s="27" t="n">
        <f aca="false">IF(I865-E865&gt;=GWL,99,E865*(MAX(0,GWL-I865)*(GAM_S-GAM_W)+MAX(0,NG-MAX(I865,GWL))*GAM_D)/(GAM_W*PI()*E865^2/4))</f>
        <v>3.03824459227527</v>
      </c>
      <c r="AB865" s="27" t="n">
        <f aca="false">IF(H865-E865&gt;=GWL,99,E865*(MAX(0,GWL-H865)*(GAM_S-GAM_W)+MAX(0,FL-MAX(H865,GWL))*GAM_D)/(GAM_W*PI()*E865^2/4))</f>
        <v>7.0098078381917</v>
      </c>
      <c r="AC865" s="27" t="n">
        <f aca="false">IF(I865-E865&gt;=GWL,99,E865*(MAX(0,GWL-I865)*(GAM_S-GAM_W)+MAX(0,FL-MAX(I865,GWL))*GAM_D)/(GAM_W*PI()*E865^2/4))</f>
        <v>7.0098078381917</v>
      </c>
    </row>
    <row r="866" customFormat="false" ht="15" hidden="false" customHeight="false" outlineLevel="0" collapsed="false">
      <c r="A866" s="25" t="s">
        <v>1341</v>
      </c>
      <c r="B866" s="25" t="s">
        <v>1432</v>
      </c>
      <c r="C866" s="25" t="s">
        <v>1439</v>
      </c>
      <c r="D866" s="26" t="n">
        <v>0.180017268501449</v>
      </c>
      <c r="E866" s="26" t="n">
        <v>1.00000242874592</v>
      </c>
      <c r="F866" s="26" t="n">
        <v>-4.10000121437296</v>
      </c>
      <c r="G866" s="26" t="n">
        <v>-4.10000121437296</v>
      </c>
      <c r="H866" s="26" t="n">
        <v>-2.59999878562704</v>
      </c>
      <c r="I866" s="26" t="n">
        <v>-2.59999878562704</v>
      </c>
      <c r="J866" s="26" t="n">
        <v>19.85</v>
      </c>
      <c r="K866" s="27" t="n">
        <f aca="false">MIN(F866,G866)</f>
        <v>-4.10000121437296</v>
      </c>
      <c r="L866" s="27" t="n">
        <f aca="false">AVERAGE(F866,G866)</f>
        <v>-4.10000121437296</v>
      </c>
      <c r="M866" s="27" t="n">
        <f aca="false">MAX(0,NG-L866)</f>
        <v>3.40000121437296</v>
      </c>
      <c r="N866" s="27" t="n">
        <f aca="false">MAX(0,GWL-K866)</f>
        <v>2.60000121437296</v>
      </c>
      <c r="O866" s="27" t="n">
        <f aca="false">MAX(0,NG-MAX(K866,GWL))</f>
        <v>0.8</v>
      </c>
      <c r="P866" s="27" t="n">
        <f aca="false">E866/2+WS+SLOPE_A*O866+SLOPE_B*N866</f>
        <v>7.90000364311888</v>
      </c>
      <c r="Q866" s="28" t="str">
        <f aca="false">IF(AND(P866&lt;J866,N866&lt;=MAXOC),"Open cut","Shoring")</f>
        <v>Shoring</v>
      </c>
      <c r="R866" s="27" t="n">
        <f aca="false">IF(Q866="Shoring",D866,0)</f>
        <v>0.180017268501449</v>
      </c>
      <c r="S866" s="27" t="n">
        <f aca="false">MAX(0,GWL-L866)</f>
        <v>2.60000121437296</v>
      </c>
      <c r="T866" s="27" t="n">
        <f aca="false">MAX(0,NG-MAX(L866,GWL))</f>
        <v>0.8</v>
      </c>
      <c r="U866" s="27" t="n">
        <f aca="false">E866+2*WS</f>
        <v>3.00000242874592</v>
      </c>
      <c r="V866" s="27" t="n">
        <f aca="false">IF(Q866="Shoring",D866*M866*U866,0)</f>
        <v>1.83617828107472</v>
      </c>
      <c r="W866" s="27" t="n">
        <f aca="false">IF(Q866="Open cut",D866*(U866*M866+SLOPE_B*S866^2+2*SLOPE_B*S866*T866+SLOPE_A*T866^2),0)</f>
        <v>0</v>
      </c>
      <c r="X866" s="27" t="n">
        <f aca="false">IF(M866&gt;0,D866*(E866+2*SLABOVH)*SLAB,0)</f>
        <v>0.180017487109552</v>
      </c>
      <c r="Y866" s="27" t="n">
        <f aca="false">IF(M866&gt;0,D866*PI()*E866^2/4,0)</f>
        <v>0.141385918839308</v>
      </c>
      <c r="Z866" s="27" t="n">
        <f aca="false">IF(H866-E866&gt;=GWL,99,E866*(MAX(0,GWL-H866)*(GAM_S-GAM_W)+MAX(0,NG-MAX(H866,GWL))*GAM_D)/(GAM_W*PI()*E866^2/4))</f>
        <v>3.03824459227527</v>
      </c>
      <c r="AA866" s="27" t="n">
        <f aca="false">IF(I866-E866&gt;=GWL,99,E866*(MAX(0,GWL-I866)*(GAM_S-GAM_W)+MAX(0,NG-MAX(I866,GWL))*GAM_D)/(GAM_W*PI()*E866^2/4))</f>
        <v>3.03824459227527</v>
      </c>
      <c r="AB866" s="27" t="n">
        <f aca="false">IF(H866-E866&gt;=GWL,99,E866*(MAX(0,GWL-H866)*(GAM_S-GAM_W)+MAX(0,FL-MAX(H866,GWL))*GAM_D)/(GAM_W*PI()*E866^2/4))</f>
        <v>7.0098078381917</v>
      </c>
      <c r="AC866" s="27" t="n">
        <f aca="false">IF(I866-E866&gt;=GWL,99,E866*(MAX(0,GWL-I866)*(GAM_S-GAM_W)+MAX(0,FL-MAX(I866,GWL))*GAM_D)/(GAM_W*PI()*E866^2/4))</f>
        <v>7.0098078381917</v>
      </c>
    </row>
    <row r="867" customFormat="false" ht="15" hidden="false" customHeight="false" outlineLevel="0" collapsed="false">
      <c r="A867" s="25" t="s">
        <v>1341</v>
      </c>
      <c r="B867" s="25" t="s">
        <v>1432</v>
      </c>
      <c r="C867" s="25" t="s">
        <v>1440</v>
      </c>
      <c r="D867" s="26" t="n">
        <v>0.984455262482929</v>
      </c>
      <c r="E867" s="26" t="n">
        <v>1.02192397567297</v>
      </c>
      <c r="F867" s="26" t="n">
        <v>-4.11096198783648</v>
      </c>
      <c r="G867" s="26" t="n">
        <v>-4.11096198783648</v>
      </c>
      <c r="H867" s="26" t="n">
        <v>-2.58903801216352</v>
      </c>
      <c r="I867" s="26" t="n">
        <v>-2.58903801216352</v>
      </c>
      <c r="J867" s="26" t="n">
        <v>20.03</v>
      </c>
      <c r="K867" s="27" t="n">
        <f aca="false">MIN(F867,G867)</f>
        <v>-4.11096198783648</v>
      </c>
      <c r="L867" s="27" t="n">
        <f aca="false">AVERAGE(F867,G867)</f>
        <v>-4.11096198783648</v>
      </c>
      <c r="M867" s="27" t="n">
        <f aca="false">MAX(0,NG-L867)</f>
        <v>3.41096198783648</v>
      </c>
      <c r="N867" s="27" t="n">
        <f aca="false">MAX(0,GWL-K867)</f>
        <v>2.61096198783648</v>
      </c>
      <c r="O867" s="27" t="n">
        <f aca="false">MAX(0,NG-MAX(K867,GWL))</f>
        <v>0.8</v>
      </c>
      <c r="P867" s="27" t="n">
        <f aca="false">E867/2+WS+SLOPE_A*O867+SLOPE_B*N867</f>
        <v>7.93288596350945</v>
      </c>
      <c r="Q867" s="28" t="str">
        <f aca="false">IF(AND(P867&lt;J867,N867&lt;=MAXOC),"Open cut","Shoring")</f>
        <v>Shoring</v>
      </c>
      <c r="R867" s="27" t="n">
        <f aca="false">IF(Q867="Shoring",D867,0)</f>
        <v>0.984455262482929</v>
      </c>
      <c r="S867" s="27" t="n">
        <f aca="false">MAX(0,GWL-L867)</f>
        <v>2.61096198783648</v>
      </c>
      <c r="T867" s="27" t="n">
        <f aca="false">MAX(0,NG-MAX(L867,GWL))</f>
        <v>0.8</v>
      </c>
      <c r="U867" s="27" t="n">
        <f aca="false">E867+2*WS</f>
        <v>3.02192397567297</v>
      </c>
      <c r="V867" s="27" t="n">
        <f aca="false">IF(Q867="Shoring",D867*M867*U867,0)</f>
        <v>10.1474378206147</v>
      </c>
      <c r="W867" s="27" t="n">
        <f aca="false">IF(Q867="Open cut",D867*(U867*M867+SLOPE_B*S867^2+2*SLOPE_B*S867*T867+SLOPE_A*T867^2),0)</f>
        <v>0</v>
      </c>
      <c r="X867" s="27" t="n">
        <f aca="false">IF(M867&gt;0,D867*(E867+2*SLABOVH)*SLAB,0)</f>
        <v>0.995246849095828</v>
      </c>
      <c r="Y867" s="27" t="n">
        <f aca="false">IF(M867&gt;0,D867*PI()*E867^2/4,0)</f>
        <v>0.80746376606856</v>
      </c>
      <c r="Z867" s="27" t="n">
        <f aca="false">IF(H867-E867&gt;=GWL,99,E867*(MAX(0,GWL-H867)*(GAM_S-GAM_W)+MAX(0,NG-MAX(H867,GWL))*GAM_D)/(GAM_W*PI()*E867^2/4))</f>
        <v>2.96166932435941</v>
      </c>
      <c r="AA867" s="27" t="n">
        <f aca="false">IF(I867-E867&gt;=GWL,99,E867*(MAX(0,GWL-I867)*(GAM_S-GAM_W)+MAX(0,NG-MAX(I867,GWL))*GAM_D)/(GAM_W*PI()*E867^2/4))</f>
        <v>2.96166932435941</v>
      </c>
      <c r="AB867" s="27" t="n">
        <f aca="false">IF(H867-E867&gt;=GWL,99,E867*(MAX(0,GWL-H867)*(GAM_S-GAM_W)+MAX(0,FL-MAX(H867,GWL))*GAM_D)/(GAM_W*PI()*E867^2/4))</f>
        <v>6.84803757324902</v>
      </c>
      <c r="AC867" s="27" t="n">
        <f aca="false">IF(I867-E867&gt;=GWL,99,E867*(MAX(0,GWL-I867)*(GAM_S-GAM_W)+MAX(0,FL-MAX(I867,GWL))*GAM_D)/(GAM_W*PI()*E867^2/4))</f>
        <v>6.84803757324902</v>
      </c>
    </row>
    <row r="868" customFormat="false" ht="15" hidden="false" customHeight="false" outlineLevel="0" collapsed="false">
      <c r="A868" s="25" t="s">
        <v>1341</v>
      </c>
      <c r="B868" s="25" t="s">
        <v>1432</v>
      </c>
      <c r="C868" s="25" t="s">
        <v>1441</v>
      </c>
      <c r="D868" s="26" t="n">
        <v>5.4447603697083</v>
      </c>
      <c r="E868" s="26" t="n">
        <v>1.02192397567297</v>
      </c>
      <c r="F868" s="26" t="n">
        <v>-4.11096198783648</v>
      </c>
      <c r="G868" s="26" t="n">
        <v>-4.11096198783648</v>
      </c>
      <c r="H868" s="26" t="n">
        <v>-2.58903801216352</v>
      </c>
      <c r="I868" s="26" t="n">
        <v>-2.58903801216352</v>
      </c>
      <c r="J868" s="26" t="n">
        <v>17.77</v>
      </c>
      <c r="K868" s="27" t="n">
        <f aca="false">MIN(F868,G868)</f>
        <v>-4.11096198783648</v>
      </c>
      <c r="L868" s="27" t="n">
        <f aca="false">AVERAGE(F868,G868)</f>
        <v>-4.11096198783648</v>
      </c>
      <c r="M868" s="27" t="n">
        <f aca="false">MAX(0,NG-L868)</f>
        <v>3.41096198783648</v>
      </c>
      <c r="N868" s="27" t="n">
        <f aca="false">MAX(0,GWL-K868)</f>
        <v>2.61096198783648</v>
      </c>
      <c r="O868" s="27" t="n">
        <f aca="false">MAX(0,NG-MAX(K868,GWL))</f>
        <v>0.8</v>
      </c>
      <c r="P868" s="27" t="n">
        <f aca="false">E868/2+WS+SLOPE_A*O868+SLOPE_B*N868</f>
        <v>7.93288596350945</v>
      </c>
      <c r="Q868" s="28" t="str">
        <f aca="false">IF(AND(P868&lt;J868,N868&lt;=MAXOC),"Open cut","Shoring")</f>
        <v>Shoring</v>
      </c>
      <c r="R868" s="27" t="n">
        <f aca="false">IF(Q868="Shoring",D868,0)</f>
        <v>5.4447603697083</v>
      </c>
      <c r="S868" s="27" t="n">
        <f aca="false">MAX(0,GWL-L868)</f>
        <v>2.61096198783648</v>
      </c>
      <c r="T868" s="27" t="n">
        <f aca="false">MAX(0,NG-MAX(L868,GWL))</f>
        <v>0.8</v>
      </c>
      <c r="U868" s="27" t="n">
        <f aca="false">E868+2*WS</f>
        <v>3.02192397567297</v>
      </c>
      <c r="V868" s="27" t="n">
        <f aca="false">IF(Q868="Shoring",D868*M868*U868,0)</f>
        <v>56.1227812022793</v>
      </c>
      <c r="W868" s="27" t="n">
        <f aca="false">IF(Q868="Open cut",D868*(U868*M868+SLOPE_B*S868^2+2*SLOPE_B*S868*T868+SLOPE_A*T868^2),0)</f>
        <v>0</v>
      </c>
      <c r="X868" s="27" t="n">
        <f aca="false">IF(M868&gt;0,D868*(E868+2*SLABOVH)*SLAB,0)</f>
        <v>5.50444576665361</v>
      </c>
      <c r="Y868" s="27" t="n">
        <f aca="false">IF(M868&gt;0,D868*PI()*E868^2/4,0)</f>
        <v>4.46586745077382</v>
      </c>
      <c r="Z868" s="27" t="n">
        <f aca="false">IF(H868-E868&gt;=GWL,99,E868*(MAX(0,GWL-H868)*(GAM_S-GAM_W)+MAX(0,NG-MAX(H868,GWL))*GAM_D)/(GAM_W*PI()*E868^2/4))</f>
        <v>2.96166932435941</v>
      </c>
      <c r="AA868" s="27" t="n">
        <f aca="false">IF(I868-E868&gt;=GWL,99,E868*(MAX(0,GWL-I868)*(GAM_S-GAM_W)+MAX(0,NG-MAX(I868,GWL))*GAM_D)/(GAM_W*PI()*E868^2/4))</f>
        <v>2.96166932435941</v>
      </c>
      <c r="AB868" s="27" t="n">
        <f aca="false">IF(H868-E868&gt;=GWL,99,E868*(MAX(0,GWL-H868)*(GAM_S-GAM_W)+MAX(0,FL-MAX(H868,GWL))*GAM_D)/(GAM_W*PI()*E868^2/4))</f>
        <v>6.84803757324902</v>
      </c>
      <c r="AC868" s="27" t="n">
        <f aca="false">IF(I868-E868&gt;=GWL,99,E868*(MAX(0,GWL-I868)*(GAM_S-GAM_W)+MAX(0,FL-MAX(I868,GWL))*GAM_D)/(GAM_W*PI()*E868^2/4))</f>
        <v>6.84803757324902</v>
      </c>
    </row>
    <row r="869" customFormat="false" ht="15" hidden="false" customHeight="false" outlineLevel="0" collapsed="false">
      <c r="A869" s="25" t="s">
        <v>1341</v>
      </c>
      <c r="B869" s="25" t="s">
        <v>1442</v>
      </c>
      <c r="C869" s="25" t="s">
        <v>1443</v>
      </c>
      <c r="D869" s="26" t="n">
        <v>5.99999999980784</v>
      </c>
      <c r="E869" s="26" t="n">
        <v>1</v>
      </c>
      <c r="F869" s="26" t="n">
        <v>-4.1</v>
      </c>
      <c r="G869" s="26" t="n">
        <v>-4.1</v>
      </c>
      <c r="H869" s="26" t="n">
        <v>-2.6</v>
      </c>
      <c r="I869" s="26" t="n">
        <v>-2.6</v>
      </c>
      <c r="J869" s="26" t="n">
        <v>99</v>
      </c>
      <c r="K869" s="27" t="n">
        <f aca="false">MIN(F869,G869)</f>
        <v>-4.1</v>
      </c>
      <c r="L869" s="27" t="n">
        <f aca="false">AVERAGE(F869,G869)</f>
        <v>-4.1</v>
      </c>
      <c r="M869" s="27" t="n">
        <f aca="false">MAX(0,NG-L869)</f>
        <v>3.4</v>
      </c>
      <c r="N869" s="27" t="n">
        <f aca="false">MAX(0,GWL-K869)</f>
        <v>2.6</v>
      </c>
      <c r="O869" s="27" t="n">
        <f aca="false">MAX(0,NG-MAX(K869,GWL))</f>
        <v>0.8</v>
      </c>
      <c r="P869" s="27" t="n">
        <f aca="false">E869/2+WS+SLOPE_A*O869+SLOPE_B*N869</f>
        <v>7.9</v>
      </c>
      <c r="Q869" s="28" t="str">
        <f aca="false">IF(AND(P869&lt;J869,N869&lt;=MAXOC),"Open cut","Shoring")</f>
        <v>Shoring</v>
      </c>
      <c r="R869" s="27" t="n">
        <f aca="false">IF(Q869="Shoring",D869,0)</f>
        <v>5.99999999980784</v>
      </c>
      <c r="S869" s="27" t="n">
        <f aca="false">MAX(0,GWL-L869)</f>
        <v>2.6</v>
      </c>
      <c r="T869" s="27" t="n">
        <f aca="false">MAX(0,NG-MAX(L869,GWL))</f>
        <v>0.8</v>
      </c>
      <c r="U869" s="27" t="n">
        <f aca="false">E869+2*WS</f>
        <v>3</v>
      </c>
      <c r="V869" s="27" t="n">
        <f aca="false">IF(Q869="Shoring",D869*M869*U869,0)</f>
        <v>61.1999999980399</v>
      </c>
      <c r="W869" s="27" t="n">
        <f aca="false">IF(Q869="Open cut",D869*(U869*M869+SLOPE_B*S869^2+2*SLOPE_B*S869*T869+SLOPE_A*T869^2),0)</f>
        <v>0</v>
      </c>
      <c r="X869" s="27" t="n">
        <f aca="false">IF(M869&gt;0,D869*(E869+2*SLABOVH)*SLAB,0)</f>
        <v>5.99999999980784</v>
      </c>
      <c r="Y869" s="27" t="n">
        <f aca="false">IF(M869&gt;0,D869*PI()*E869^2/4,0)</f>
        <v>4.71238898023376</v>
      </c>
      <c r="Z869" s="27" t="n">
        <f aca="false">IF(H869-E869&gt;=GWL,99,E869*(MAX(0,GWL-H869)*(GAM_S-GAM_W)+MAX(0,NG-MAX(H869,GWL))*GAM_D)/(GAM_W*PI()*E869^2/4))</f>
        <v>3.03825326225336</v>
      </c>
      <c r="AA869" s="27" t="n">
        <f aca="false">IF(I869-E869&gt;=GWL,99,E869*(MAX(0,GWL-I869)*(GAM_S-GAM_W)+MAX(0,NG-MAX(I869,GWL))*GAM_D)/(GAM_W*PI()*E869^2/4))</f>
        <v>3.03825326225336</v>
      </c>
      <c r="AB869" s="27" t="n">
        <f aca="false">IF(H869-E869&gt;=GWL,99,E869*(MAX(0,GWL-H869)*(GAM_S-GAM_W)+MAX(0,FL-MAX(H869,GWL))*GAM_D)/(GAM_W*PI()*E869^2/4))</f>
        <v>7.00982615408781</v>
      </c>
      <c r="AC869" s="27" t="n">
        <f aca="false">IF(I869-E869&gt;=GWL,99,E869*(MAX(0,GWL-I869)*(GAM_S-GAM_W)+MAX(0,FL-MAX(I869,GWL))*GAM_D)/(GAM_W*PI()*E869^2/4))</f>
        <v>7.00982615408781</v>
      </c>
    </row>
    <row r="870" customFormat="false" ht="15" hidden="false" customHeight="false" outlineLevel="0" collapsed="false">
      <c r="A870" s="25" t="s">
        <v>1341</v>
      </c>
      <c r="B870" s="25" t="s">
        <v>1444</v>
      </c>
      <c r="C870" s="25" t="s">
        <v>1445</v>
      </c>
      <c r="D870" s="26" t="n">
        <v>4.00000000012254</v>
      </c>
      <c r="E870" s="26" t="n">
        <v>1</v>
      </c>
      <c r="F870" s="26" t="n">
        <v>-4.1</v>
      </c>
      <c r="G870" s="26" t="n">
        <v>-4.1</v>
      </c>
      <c r="H870" s="26" t="n">
        <v>-2.6</v>
      </c>
      <c r="I870" s="26" t="n">
        <v>-2.6</v>
      </c>
      <c r="J870" s="26" t="n">
        <v>99</v>
      </c>
      <c r="K870" s="27" t="n">
        <f aca="false">MIN(F870,G870)</f>
        <v>-4.1</v>
      </c>
      <c r="L870" s="27" t="n">
        <f aca="false">AVERAGE(F870,G870)</f>
        <v>-4.1</v>
      </c>
      <c r="M870" s="27" t="n">
        <f aca="false">MAX(0,NG-L870)</f>
        <v>3.4</v>
      </c>
      <c r="N870" s="27" t="n">
        <f aca="false">MAX(0,GWL-K870)</f>
        <v>2.6</v>
      </c>
      <c r="O870" s="27" t="n">
        <f aca="false">MAX(0,NG-MAX(K870,GWL))</f>
        <v>0.8</v>
      </c>
      <c r="P870" s="27" t="n">
        <f aca="false">E870/2+WS+SLOPE_A*O870+SLOPE_B*N870</f>
        <v>7.9</v>
      </c>
      <c r="Q870" s="28" t="str">
        <f aca="false">IF(AND(P870&lt;J870,N870&lt;=MAXOC),"Open cut","Shoring")</f>
        <v>Shoring</v>
      </c>
      <c r="R870" s="27" t="n">
        <f aca="false">IF(Q870="Shoring",D870,0)</f>
        <v>4.00000000012254</v>
      </c>
      <c r="S870" s="27" t="n">
        <f aca="false">MAX(0,GWL-L870)</f>
        <v>2.6</v>
      </c>
      <c r="T870" s="27" t="n">
        <f aca="false">MAX(0,NG-MAX(L870,GWL))</f>
        <v>0.8</v>
      </c>
      <c r="U870" s="27" t="n">
        <f aca="false">E870+2*WS</f>
        <v>3</v>
      </c>
      <c r="V870" s="27" t="n">
        <f aca="false">IF(Q870="Shoring",D870*M870*U870,0)</f>
        <v>40.8000000012499</v>
      </c>
      <c r="W870" s="27" t="n">
        <f aca="false">IF(Q870="Open cut",D870*(U870*M870+SLOPE_B*S870^2+2*SLOPE_B*S870*T870+SLOPE_A*T870^2),0)</f>
        <v>0</v>
      </c>
      <c r="X870" s="27" t="n">
        <f aca="false">IF(M870&gt;0,D870*(E870+2*SLABOVH)*SLAB,0)</f>
        <v>4.00000000012254</v>
      </c>
      <c r="Y870" s="27" t="n">
        <f aca="false">IF(M870&gt;0,D870*PI()*E870^2/4,0)</f>
        <v>3.14159265368604</v>
      </c>
      <c r="Z870" s="27" t="n">
        <f aca="false">IF(H870-E870&gt;=GWL,99,E870*(MAX(0,GWL-H870)*(GAM_S-GAM_W)+MAX(0,NG-MAX(H870,GWL))*GAM_D)/(GAM_W*PI()*E870^2/4))</f>
        <v>3.03825326225336</v>
      </c>
      <c r="AA870" s="27" t="n">
        <f aca="false">IF(I870-E870&gt;=GWL,99,E870*(MAX(0,GWL-I870)*(GAM_S-GAM_W)+MAX(0,NG-MAX(I870,GWL))*GAM_D)/(GAM_W*PI()*E870^2/4))</f>
        <v>3.03825326225336</v>
      </c>
      <c r="AB870" s="27" t="n">
        <f aca="false">IF(H870-E870&gt;=GWL,99,E870*(MAX(0,GWL-H870)*(GAM_S-GAM_W)+MAX(0,FL-MAX(H870,GWL))*GAM_D)/(GAM_W*PI()*E870^2/4))</f>
        <v>7.00982615408781</v>
      </c>
      <c r="AC870" s="27" t="n">
        <f aca="false">IF(I870-E870&gt;=GWL,99,E870*(MAX(0,GWL-I870)*(GAM_S-GAM_W)+MAX(0,FL-MAX(I870,GWL))*GAM_D)/(GAM_W*PI()*E870^2/4))</f>
        <v>7.00982615408781</v>
      </c>
    </row>
    <row r="871" customFormat="false" ht="15" hidden="false" customHeight="false" outlineLevel="0" collapsed="false">
      <c r="A871" s="25" t="s">
        <v>1341</v>
      </c>
      <c r="B871" s="25" t="s">
        <v>1444</v>
      </c>
      <c r="C871" s="25" t="s">
        <v>1446</v>
      </c>
      <c r="D871" s="26" t="n">
        <v>9.99999999952562</v>
      </c>
      <c r="E871" s="26" t="n">
        <v>1</v>
      </c>
      <c r="F871" s="26" t="n">
        <v>-4.1</v>
      </c>
      <c r="G871" s="26" t="n">
        <v>-4.1</v>
      </c>
      <c r="H871" s="26" t="n">
        <v>-2.6</v>
      </c>
      <c r="I871" s="26" t="n">
        <v>-2.6</v>
      </c>
      <c r="J871" s="26" t="n">
        <v>24.58</v>
      </c>
      <c r="K871" s="27" t="n">
        <f aca="false">MIN(F871,G871)</f>
        <v>-4.1</v>
      </c>
      <c r="L871" s="27" t="n">
        <f aca="false">AVERAGE(F871,G871)</f>
        <v>-4.1</v>
      </c>
      <c r="M871" s="27" t="n">
        <f aca="false">MAX(0,NG-L871)</f>
        <v>3.4</v>
      </c>
      <c r="N871" s="27" t="n">
        <f aca="false">MAX(0,GWL-K871)</f>
        <v>2.6</v>
      </c>
      <c r="O871" s="27" t="n">
        <f aca="false">MAX(0,NG-MAX(K871,GWL))</f>
        <v>0.8</v>
      </c>
      <c r="P871" s="27" t="n">
        <f aca="false">E871/2+WS+SLOPE_A*O871+SLOPE_B*N871</f>
        <v>7.9</v>
      </c>
      <c r="Q871" s="28" t="str">
        <f aca="false">IF(AND(P871&lt;J871,N871&lt;=MAXOC),"Open cut","Shoring")</f>
        <v>Shoring</v>
      </c>
      <c r="R871" s="27" t="n">
        <f aca="false">IF(Q871="Shoring",D871,0)</f>
        <v>9.99999999952562</v>
      </c>
      <c r="S871" s="27" t="n">
        <f aca="false">MAX(0,GWL-L871)</f>
        <v>2.6</v>
      </c>
      <c r="T871" s="27" t="n">
        <f aca="false">MAX(0,NG-MAX(L871,GWL))</f>
        <v>0.8</v>
      </c>
      <c r="U871" s="27" t="n">
        <f aca="false">E871+2*WS</f>
        <v>3</v>
      </c>
      <c r="V871" s="27" t="n">
        <f aca="false">IF(Q871="Shoring",D871*M871*U871,0)</f>
        <v>101.999999995161</v>
      </c>
      <c r="W871" s="27" t="n">
        <f aca="false">IF(Q871="Open cut",D871*(U871*M871+SLOPE_B*S871^2+2*SLOPE_B*S871*T871+SLOPE_A*T871^2),0)</f>
        <v>0</v>
      </c>
      <c r="X871" s="27" t="n">
        <f aca="false">IF(M871&gt;0,D871*(E871+2*SLABOVH)*SLAB,0)</f>
        <v>9.99999999952562</v>
      </c>
      <c r="Y871" s="27" t="n">
        <f aca="false">IF(M871&gt;0,D871*PI()*E871^2/4,0)</f>
        <v>7.8539816336019</v>
      </c>
      <c r="Z871" s="27" t="n">
        <f aca="false">IF(H871-E871&gt;=GWL,99,E871*(MAX(0,GWL-H871)*(GAM_S-GAM_W)+MAX(0,NG-MAX(H871,GWL))*GAM_D)/(GAM_W*PI()*E871^2/4))</f>
        <v>3.03825326225336</v>
      </c>
      <c r="AA871" s="27" t="n">
        <f aca="false">IF(I871-E871&gt;=GWL,99,E871*(MAX(0,GWL-I871)*(GAM_S-GAM_W)+MAX(0,NG-MAX(I871,GWL))*GAM_D)/(GAM_W*PI()*E871^2/4))</f>
        <v>3.03825326225336</v>
      </c>
      <c r="AB871" s="27" t="n">
        <f aca="false">IF(H871-E871&gt;=GWL,99,E871*(MAX(0,GWL-H871)*(GAM_S-GAM_W)+MAX(0,FL-MAX(H871,GWL))*GAM_D)/(GAM_W*PI()*E871^2/4))</f>
        <v>7.00982615408781</v>
      </c>
      <c r="AC871" s="27" t="n">
        <f aca="false">IF(I871-E871&gt;=GWL,99,E871*(MAX(0,GWL-I871)*(GAM_S-GAM_W)+MAX(0,FL-MAX(I871,GWL))*GAM_D)/(GAM_W*PI()*E871^2/4))</f>
        <v>7.00982615408781</v>
      </c>
    </row>
    <row r="872" customFormat="false" ht="15" hidden="false" customHeight="false" outlineLevel="0" collapsed="false">
      <c r="A872" s="25" t="s">
        <v>1341</v>
      </c>
      <c r="B872" s="25" t="s">
        <v>1444</v>
      </c>
      <c r="C872" s="25" t="s">
        <v>1447</v>
      </c>
      <c r="D872" s="26" t="n">
        <v>9.99999999993038</v>
      </c>
      <c r="E872" s="26" t="n">
        <v>1</v>
      </c>
      <c r="F872" s="26" t="n">
        <v>-4.1</v>
      </c>
      <c r="G872" s="26" t="n">
        <v>-4.1</v>
      </c>
      <c r="H872" s="26" t="n">
        <v>-2.6</v>
      </c>
      <c r="I872" s="26" t="n">
        <v>-2.6</v>
      </c>
      <c r="J872" s="26" t="n">
        <v>0</v>
      </c>
      <c r="K872" s="27" t="n">
        <f aca="false">MIN(F872,G872)</f>
        <v>-4.1</v>
      </c>
      <c r="L872" s="27" t="n">
        <f aca="false">AVERAGE(F872,G872)</f>
        <v>-4.1</v>
      </c>
      <c r="M872" s="27" t="n">
        <f aca="false">MAX(0,NG-L872)</f>
        <v>3.4</v>
      </c>
      <c r="N872" s="27" t="n">
        <f aca="false">MAX(0,GWL-K872)</f>
        <v>2.6</v>
      </c>
      <c r="O872" s="27" t="n">
        <f aca="false">MAX(0,NG-MAX(K872,GWL))</f>
        <v>0.8</v>
      </c>
      <c r="P872" s="27" t="n">
        <f aca="false">E872/2+WS+SLOPE_A*O872+SLOPE_B*N872</f>
        <v>7.9</v>
      </c>
      <c r="Q872" s="28" t="str">
        <f aca="false">IF(AND(P872&lt;J872,N872&lt;=MAXOC),"Open cut","Shoring")</f>
        <v>Shoring</v>
      </c>
      <c r="R872" s="27" t="n">
        <f aca="false">IF(Q872="Shoring",D872,0)</f>
        <v>9.99999999993038</v>
      </c>
      <c r="S872" s="27" t="n">
        <f aca="false">MAX(0,GWL-L872)</f>
        <v>2.6</v>
      </c>
      <c r="T872" s="27" t="n">
        <f aca="false">MAX(0,NG-MAX(L872,GWL))</f>
        <v>0.8</v>
      </c>
      <c r="U872" s="27" t="n">
        <f aca="false">E872+2*WS</f>
        <v>3</v>
      </c>
      <c r="V872" s="27" t="n">
        <f aca="false">IF(Q872="Shoring",D872*M872*U872,0)</f>
        <v>101.99999999929</v>
      </c>
      <c r="W872" s="27" t="n">
        <f aca="false">IF(Q872="Open cut",D872*(U872*M872+SLOPE_B*S872^2+2*SLOPE_B*S872*T872+SLOPE_A*T872^2),0)</f>
        <v>0</v>
      </c>
      <c r="X872" s="27" t="n">
        <f aca="false">IF(M872&gt;0,D872*(E872+2*SLABOVH)*SLAB,0)</f>
        <v>9.99999999993038</v>
      </c>
      <c r="Y872" s="27" t="n">
        <f aca="false">IF(M872&gt;0,D872*PI()*E872^2/4,0)</f>
        <v>7.8539816339198</v>
      </c>
      <c r="Z872" s="27" t="n">
        <f aca="false">IF(H872-E872&gt;=GWL,99,E872*(MAX(0,GWL-H872)*(GAM_S-GAM_W)+MAX(0,NG-MAX(H872,GWL))*GAM_D)/(GAM_W*PI()*E872^2/4))</f>
        <v>3.03825326225336</v>
      </c>
      <c r="AA872" s="27" t="n">
        <f aca="false">IF(I872-E872&gt;=GWL,99,E872*(MAX(0,GWL-I872)*(GAM_S-GAM_W)+MAX(0,NG-MAX(I872,GWL))*GAM_D)/(GAM_W*PI()*E872^2/4))</f>
        <v>3.03825326225336</v>
      </c>
      <c r="AB872" s="27" t="n">
        <f aca="false">IF(H872-E872&gt;=GWL,99,E872*(MAX(0,GWL-H872)*(GAM_S-GAM_W)+MAX(0,FL-MAX(H872,GWL))*GAM_D)/(GAM_W*PI()*E872^2/4))</f>
        <v>7.00982615408781</v>
      </c>
      <c r="AC872" s="27" t="n">
        <f aca="false">IF(I872-E872&gt;=GWL,99,E872*(MAX(0,GWL-I872)*(GAM_S-GAM_W)+MAX(0,FL-MAX(I872,GWL))*GAM_D)/(GAM_W*PI()*E872^2/4))</f>
        <v>7.00982615408781</v>
      </c>
    </row>
    <row r="873" customFormat="false" ht="15" hidden="false" customHeight="false" outlineLevel="0" collapsed="false">
      <c r="A873" s="25" t="s">
        <v>1341</v>
      </c>
      <c r="B873" s="25" t="s">
        <v>1444</v>
      </c>
      <c r="C873" s="25" t="s">
        <v>1448</v>
      </c>
      <c r="D873" s="26" t="n">
        <v>6.33114573259209</v>
      </c>
      <c r="E873" s="26" t="n">
        <v>1</v>
      </c>
      <c r="F873" s="26" t="n">
        <v>-4.1</v>
      </c>
      <c r="G873" s="26" t="n">
        <v>-4.1</v>
      </c>
      <c r="H873" s="26" t="n">
        <v>-2.6</v>
      </c>
      <c r="I873" s="26" t="n">
        <v>-2.6</v>
      </c>
      <c r="J873" s="26" t="n">
        <v>1</v>
      </c>
      <c r="K873" s="27" t="n">
        <f aca="false">MIN(F873,G873)</f>
        <v>-4.1</v>
      </c>
      <c r="L873" s="27" t="n">
        <f aca="false">AVERAGE(F873,G873)</f>
        <v>-4.1</v>
      </c>
      <c r="M873" s="27" t="n">
        <f aca="false">MAX(0,NG-L873)</f>
        <v>3.4</v>
      </c>
      <c r="N873" s="27" t="n">
        <f aca="false">MAX(0,GWL-K873)</f>
        <v>2.6</v>
      </c>
      <c r="O873" s="27" t="n">
        <f aca="false">MAX(0,NG-MAX(K873,GWL))</f>
        <v>0.8</v>
      </c>
      <c r="P873" s="27" t="n">
        <f aca="false">E873/2+WS+SLOPE_A*O873+SLOPE_B*N873</f>
        <v>7.9</v>
      </c>
      <c r="Q873" s="28" t="str">
        <f aca="false">IF(AND(P873&lt;J873,N873&lt;=MAXOC),"Open cut","Shoring")</f>
        <v>Shoring</v>
      </c>
      <c r="R873" s="27" t="n">
        <f aca="false">IF(Q873="Shoring",D873,0)</f>
        <v>6.33114573259209</v>
      </c>
      <c r="S873" s="27" t="n">
        <f aca="false">MAX(0,GWL-L873)</f>
        <v>2.6</v>
      </c>
      <c r="T873" s="27" t="n">
        <f aca="false">MAX(0,NG-MAX(L873,GWL))</f>
        <v>0.8</v>
      </c>
      <c r="U873" s="27" t="n">
        <f aca="false">E873+2*WS</f>
        <v>3</v>
      </c>
      <c r="V873" s="27" t="n">
        <f aca="false">IF(Q873="Shoring",D873*M873*U873,0)</f>
        <v>64.5776864724393</v>
      </c>
      <c r="W873" s="27" t="n">
        <f aca="false">IF(Q873="Open cut",D873*(U873*M873+SLOPE_B*S873^2+2*SLOPE_B*S873*T873+SLOPE_A*T873^2),0)</f>
        <v>0</v>
      </c>
      <c r="X873" s="27" t="n">
        <f aca="false">IF(M873&gt;0,D873*(E873+2*SLABOVH)*SLAB,0)</f>
        <v>6.33114573259209</v>
      </c>
      <c r="Y873" s="27" t="n">
        <f aca="false">IF(M873&gt;0,D873*PI()*E873^2/4,0)</f>
        <v>4.97247023057942</v>
      </c>
      <c r="Z873" s="27" t="n">
        <f aca="false">IF(H873-E873&gt;=GWL,99,E873*(MAX(0,GWL-H873)*(GAM_S-GAM_W)+MAX(0,NG-MAX(H873,GWL))*GAM_D)/(GAM_W*PI()*E873^2/4))</f>
        <v>3.03825326225336</v>
      </c>
      <c r="AA873" s="27" t="n">
        <f aca="false">IF(I873-E873&gt;=GWL,99,E873*(MAX(0,GWL-I873)*(GAM_S-GAM_W)+MAX(0,NG-MAX(I873,GWL))*GAM_D)/(GAM_W*PI()*E873^2/4))</f>
        <v>3.03825326225336</v>
      </c>
      <c r="AB873" s="27" t="n">
        <f aca="false">IF(H873-E873&gt;=GWL,99,E873*(MAX(0,GWL-H873)*(GAM_S-GAM_W)+MAX(0,FL-MAX(H873,GWL))*GAM_D)/(GAM_W*PI()*E873^2/4))</f>
        <v>7.00982615408781</v>
      </c>
      <c r="AC873" s="27" t="n">
        <f aca="false">IF(I873-E873&gt;=GWL,99,E873*(MAX(0,GWL-I873)*(GAM_S-GAM_W)+MAX(0,FL-MAX(I873,GWL))*GAM_D)/(GAM_W*PI()*E873^2/4))</f>
        <v>7.00982615408781</v>
      </c>
    </row>
    <row r="874" customFormat="false" ht="15" hidden="false" customHeight="false" outlineLevel="0" collapsed="false">
      <c r="A874" s="25" t="s">
        <v>1341</v>
      </c>
      <c r="B874" s="25" t="s">
        <v>1444</v>
      </c>
      <c r="C874" s="25" t="s">
        <v>1449</v>
      </c>
      <c r="D874" s="26" t="n">
        <v>2.43178510728386</v>
      </c>
      <c r="E874" s="26" t="n">
        <v>1.00000053348756</v>
      </c>
      <c r="F874" s="26" t="n">
        <v>-4.10000026674378</v>
      </c>
      <c r="G874" s="26" t="n">
        <v>-4.10000026674378</v>
      </c>
      <c r="H874" s="26" t="n">
        <v>-2.59999973325622</v>
      </c>
      <c r="I874" s="26" t="n">
        <v>-2.59999973325622</v>
      </c>
      <c r="J874" s="26" t="n">
        <v>7.33</v>
      </c>
      <c r="K874" s="27" t="n">
        <f aca="false">MIN(F874,G874)</f>
        <v>-4.10000026674378</v>
      </c>
      <c r="L874" s="27" t="n">
        <f aca="false">AVERAGE(F874,G874)</f>
        <v>-4.10000026674378</v>
      </c>
      <c r="M874" s="27" t="n">
        <f aca="false">MAX(0,NG-L874)</f>
        <v>3.40000026674378</v>
      </c>
      <c r="N874" s="27" t="n">
        <f aca="false">MAX(0,GWL-K874)</f>
        <v>2.60000026674378</v>
      </c>
      <c r="O874" s="27" t="n">
        <f aca="false">MAX(0,NG-MAX(K874,GWL))</f>
        <v>0.8</v>
      </c>
      <c r="P874" s="27" t="n">
        <f aca="false">E874/2+WS+SLOPE_A*O874+SLOPE_B*N874</f>
        <v>7.90000080023134</v>
      </c>
      <c r="Q874" s="28" t="str">
        <f aca="false">IF(AND(P874&lt;J874,N874&lt;=MAXOC),"Open cut","Shoring")</f>
        <v>Shoring</v>
      </c>
      <c r="R874" s="27" t="n">
        <f aca="false">IF(Q874="Shoring",D874,0)</f>
        <v>2.43178510728386</v>
      </c>
      <c r="S874" s="27" t="n">
        <f aca="false">MAX(0,GWL-L874)</f>
        <v>2.60000026674378</v>
      </c>
      <c r="T874" s="27" t="n">
        <f aca="false">MAX(0,NG-MAX(L874,GWL))</f>
        <v>0.8</v>
      </c>
      <c r="U874" s="27" t="n">
        <f aca="false">E874+2*WS</f>
        <v>3.00000053348756</v>
      </c>
      <c r="V874" s="27" t="n">
        <f aca="false">IF(Q874="Shoring",D874*M874*U874,0)</f>
        <v>24.8042144511985</v>
      </c>
      <c r="W874" s="27" t="n">
        <f aca="false">IF(Q874="Open cut",D874*(U874*M874+SLOPE_B*S874^2+2*SLOPE_B*S874*T874+SLOPE_A*T874^2),0)</f>
        <v>0</v>
      </c>
      <c r="X874" s="27" t="n">
        <f aca="false">IF(M874&gt;0,D874*(E874+2*SLABOVH)*SLAB,0)</f>
        <v>2.43178575594741</v>
      </c>
      <c r="Y874" s="27" t="n">
        <f aca="false">IF(M874&gt;0,D874*PI()*E874^2/4,0)</f>
        <v>1.90992159487519</v>
      </c>
      <c r="Z874" s="27" t="n">
        <f aca="false">IF(H874-E874&gt;=GWL,99,E874*(MAX(0,GWL-H874)*(GAM_S-GAM_W)+MAX(0,NG-MAX(H874,GWL))*GAM_D)/(GAM_W*PI()*E874^2/4))</f>
        <v>3.03825135784081</v>
      </c>
      <c r="AA874" s="27" t="n">
        <f aca="false">IF(I874-E874&gt;=GWL,99,E874*(MAX(0,GWL-I874)*(GAM_S-GAM_W)+MAX(0,NG-MAX(I874,GWL))*GAM_D)/(GAM_W*PI()*E874^2/4))</f>
        <v>3.03825135784081</v>
      </c>
      <c r="AB874" s="27" t="n">
        <f aca="false">IF(H874-E874&gt;=GWL,99,E874*(MAX(0,GWL-H874)*(GAM_S-GAM_W)+MAX(0,FL-MAX(H874,GWL))*GAM_D)/(GAM_W*PI()*E874^2/4))</f>
        <v>7.00982213089167</v>
      </c>
      <c r="AC874" s="27" t="n">
        <f aca="false">IF(I874-E874&gt;=GWL,99,E874*(MAX(0,GWL-I874)*(GAM_S-GAM_W)+MAX(0,FL-MAX(I874,GWL))*GAM_D)/(GAM_W*PI()*E874^2/4))</f>
        <v>7.00982213089167</v>
      </c>
    </row>
    <row r="875" customFormat="false" ht="15" hidden="false" customHeight="false" outlineLevel="0" collapsed="false">
      <c r="A875" s="25" t="s">
        <v>1341</v>
      </c>
      <c r="B875" s="25" t="s">
        <v>1450</v>
      </c>
      <c r="C875" s="25" t="s">
        <v>1451</v>
      </c>
      <c r="D875" s="26" t="n">
        <v>9.9999999997686</v>
      </c>
      <c r="E875" s="26" t="n">
        <v>2.06959899489387</v>
      </c>
      <c r="F875" s="26" t="n">
        <v>-4.63479949744693</v>
      </c>
      <c r="G875" s="26" t="n">
        <v>-4.63479949744693</v>
      </c>
      <c r="H875" s="26" t="n">
        <v>-2.06520050255307</v>
      </c>
      <c r="I875" s="26" t="n">
        <v>-2.06520050255307</v>
      </c>
      <c r="J875" s="26" t="n">
        <v>26.63</v>
      </c>
      <c r="K875" s="27" t="n">
        <f aca="false">MIN(F875,G875)</f>
        <v>-4.63479949744693</v>
      </c>
      <c r="L875" s="27" t="n">
        <f aca="false">AVERAGE(F875,G875)</f>
        <v>-4.63479949744693</v>
      </c>
      <c r="M875" s="27" t="n">
        <f aca="false">MAX(0,NG-L875)</f>
        <v>3.93479949744693</v>
      </c>
      <c r="N875" s="27" t="n">
        <f aca="false">MAX(0,GWL-K875)</f>
        <v>3.13479949744693</v>
      </c>
      <c r="O875" s="27" t="n">
        <f aca="false">MAX(0,NG-MAX(K875,GWL))</f>
        <v>0.8</v>
      </c>
      <c r="P875" s="27" t="n">
        <f aca="false">E875/2+WS+SLOPE_A*O875+SLOPE_B*N875</f>
        <v>9.5043984923408</v>
      </c>
      <c r="Q875" s="28" t="str">
        <f aca="false">IF(AND(P875&lt;J875,N875&lt;=MAXOC),"Open cut","Shoring")</f>
        <v>Shoring</v>
      </c>
      <c r="R875" s="27" t="n">
        <f aca="false">IF(Q875="Shoring",D875,0)</f>
        <v>9.9999999997686</v>
      </c>
      <c r="S875" s="27" t="n">
        <f aca="false">MAX(0,GWL-L875)</f>
        <v>3.13479949744693</v>
      </c>
      <c r="T875" s="27" t="n">
        <f aca="false">MAX(0,NG-MAX(L875,GWL))</f>
        <v>0.8</v>
      </c>
      <c r="U875" s="27" t="n">
        <f aca="false">E875+2*WS</f>
        <v>4.06959899489387</v>
      </c>
      <c r="V875" s="27" t="n">
        <f aca="false">IF(Q875="Shoring",D875*M875*U875,0)</f>
        <v>160.130560795484</v>
      </c>
      <c r="W875" s="27" t="n">
        <f aca="false">IF(Q875="Open cut",D875*(U875*M875+SLOPE_B*S875^2+2*SLOPE_B*S875*T875+SLOPE_A*T875^2),0)</f>
        <v>0</v>
      </c>
      <c r="X875" s="27" t="n">
        <f aca="false">IF(M875&gt;0,D875*(E875+2*SLABOVH)*SLAB,0)</f>
        <v>15.3479949741142</v>
      </c>
      <c r="Y875" s="27" t="n">
        <f aca="false">IF(M875&gt;0,D875*PI()*E875^2/4,0)</f>
        <v>33.6404882905008</v>
      </c>
      <c r="Z875" s="27" t="n">
        <f aca="false">IF(H875-E875&gt;=GWL,99,E875*(MAX(0,GWL-H875)*(GAM_S-GAM_W)+MAX(0,NG-MAX(H875,GWL))*GAM_D)/(GAM_W*PI()*E875^2/4))</f>
        <v>1.19335784550088</v>
      </c>
      <c r="AA875" s="27" t="n">
        <f aca="false">IF(I875-E875&gt;=GWL,99,E875*(MAX(0,GWL-I875)*(GAM_S-GAM_W)+MAX(0,NG-MAX(I875,GWL))*GAM_D)/(GAM_W*PI()*E875^2/4))</f>
        <v>1.19335784550088</v>
      </c>
      <c r="AB875" s="27" t="n">
        <f aca="false">IF(H875-E875&gt;=GWL,99,E875*(MAX(0,GWL-H875)*(GAM_S-GAM_W)+MAX(0,FL-MAX(H875,GWL))*GAM_D)/(GAM_W*PI()*E875^2/4))</f>
        <v>3.11236384696935</v>
      </c>
      <c r="AC875" s="27" t="n">
        <f aca="false">IF(I875-E875&gt;=GWL,99,E875*(MAX(0,GWL-I875)*(GAM_S-GAM_W)+MAX(0,FL-MAX(I875,GWL))*GAM_D)/(GAM_W*PI()*E875^2/4))</f>
        <v>3.11236384696935</v>
      </c>
    </row>
    <row r="876" customFormat="false" ht="15" hidden="false" customHeight="false" outlineLevel="0" collapsed="false">
      <c r="A876" s="25" t="s">
        <v>1341</v>
      </c>
      <c r="B876" s="25" t="s">
        <v>1450</v>
      </c>
      <c r="C876" s="25" t="s">
        <v>1452</v>
      </c>
      <c r="D876" s="26" t="n">
        <v>8.09999999985214</v>
      </c>
      <c r="E876" s="26" t="n">
        <v>2.06959899489387</v>
      </c>
      <c r="F876" s="26" t="n">
        <v>-4.63479949744693</v>
      </c>
      <c r="G876" s="26" t="n">
        <v>-4.63479949744693</v>
      </c>
      <c r="H876" s="26" t="n">
        <v>-2.06520050255307</v>
      </c>
      <c r="I876" s="26" t="n">
        <v>-2.06520050255307</v>
      </c>
      <c r="J876" s="26" t="n">
        <v>27.52</v>
      </c>
      <c r="K876" s="27" t="n">
        <f aca="false">MIN(F876,G876)</f>
        <v>-4.63479949744693</v>
      </c>
      <c r="L876" s="27" t="n">
        <f aca="false">AVERAGE(F876,G876)</f>
        <v>-4.63479949744693</v>
      </c>
      <c r="M876" s="27" t="n">
        <f aca="false">MAX(0,NG-L876)</f>
        <v>3.93479949744693</v>
      </c>
      <c r="N876" s="27" t="n">
        <f aca="false">MAX(0,GWL-K876)</f>
        <v>3.13479949744693</v>
      </c>
      <c r="O876" s="27" t="n">
        <f aca="false">MAX(0,NG-MAX(K876,GWL))</f>
        <v>0.8</v>
      </c>
      <c r="P876" s="27" t="n">
        <f aca="false">E876/2+WS+SLOPE_A*O876+SLOPE_B*N876</f>
        <v>9.5043984923408</v>
      </c>
      <c r="Q876" s="28" t="str">
        <f aca="false">IF(AND(P876&lt;J876,N876&lt;=MAXOC),"Open cut","Shoring")</f>
        <v>Shoring</v>
      </c>
      <c r="R876" s="27" t="n">
        <f aca="false">IF(Q876="Shoring",D876,0)</f>
        <v>8.09999999985214</v>
      </c>
      <c r="S876" s="27" t="n">
        <f aca="false">MAX(0,GWL-L876)</f>
        <v>3.13479949744693</v>
      </c>
      <c r="T876" s="27" t="n">
        <f aca="false">MAX(0,NG-MAX(L876,GWL))</f>
        <v>0.8</v>
      </c>
      <c r="U876" s="27" t="n">
        <f aca="false">E876+2*WS</f>
        <v>4.06959899489387</v>
      </c>
      <c r="V876" s="27" t="n">
        <f aca="false">IF(Q876="Shoring",D876*M876*U876,0)</f>
        <v>129.705754244976</v>
      </c>
      <c r="W876" s="27" t="n">
        <f aca="false">IF(Q876="Open cut",D876*(U876*M876+SLOPE_B*S876^2+2*SLOPE_B*S876*T876+SLOPE_A*T876^2),0)</f>
        <v>0</v>
      </c>
      <c r="X876" s="27" t="n">
        <f aca="false">IF(M876&gt;0,D876*(E876+2*SLABOVH)*SLAB,0)</f>
        <v>12.4318759290932</v>
      </c>
      <c r="Y876" s="27" t="n">
        <f aca="false">IF(M876&gt;0,D876*PI()*E876^2/4,0)</f>
        <v>27.2487955154388</v>
      </c>
      <c r="Z876" s="27" t="n">
        <f aca="false">IF(H876-E876&gt;=GWL,99,E876*(MAX(0,GWL-H876)*(GAM_S-GAM_W)+MAX(0,NG-MAX(H876,GWL))*GAM_D)/(GAM_W*PI()*E876^2/4))</f>
        <v>1.19335784550088</v>
      </c>
      <c r="AA876" s="27" t="n">
        <f aca="false">IF(I876-E876&gt;=GWL,99,E876*(MAX(0,GWL-I876)*(GAM_S-GAM_W)+MAX(0,NG-MAX(I876,GWL))*GAM_D)/(GAM_W*PI()*E876^2/4))</f>
        <v>1.19335784550088</v>
      </c>
      <c r="AB876" s="27" t="n">
        <f aca="false">IF(H876-E876&gt;=GWL,99,E876*(MAX(0,GWL-H876)*(GAM_S-GAM_W)+MAX(0,FL-MAX(H876,GWL))*GAM_D)/(GAM_W*PI()*E876^2/4))</f>
        <v>3.11236384696935</v>
      </c>
      <c r="AC876" s="27" t="n">
        <f aca="false">IF(I876-E876&gt;=GWL,99,E876*(MAX(0,GWL-I876)*(GAM_S-GAM_W)+MAX(0,FL-MAX(I876,GWL))*GAM_D)/(GAM_W*PI()*E876^2/4))</f>
        <v>3.11236384696935</v>
      </c>
    </row>
    <row r="877" customFormat="false" ht="15" hidden="false" customHeight="false" outlineLevel="0" collapsed="false">
      <c r="A877" s="25" t="s">
        <v>1341</v>
      </c>
      <c r="B877" s="25" t="s">
        <v>1453</v>
      </c>
      <c r="C877" s="25" t="s">
        <v>1454</v>
      </c>
      <c r="D877" s="26" t="n">
        <v>1.90000000031937</v>
      </c>
      <c r="E877" s="26" t="n">
        <v>2.06959899489387</v>
      </c>
      <c r="F877" s="26" t="n">
        <v>-4.63479949744693</v>
      </c>
      <c r="G877" s="26" t="n">
        <v>-4.63479949744693</v>
      </c>
      <c r="H877" s="26" t="n">
        <v>-2.06520050255307</v>
      </c>
      <c r="I877" s="26" t="n">
        <v>-2.06520050255307</v>
      </c>
      <c r="J877" s="26" t="n">
        <v>99</v>
      </c>
      <c r="K877" s="27" t="n">
        <f aca="false">MIN(F877,G877)</f>
        <v>-4.63479949744693</v>
      </c>
      <c r="L877" s="27" t="n">
        <f aca="false">AVERAGE(F877,G877)</f>
        <v>-4.63479949744693</v>
      </c>
      <c r="M877" s="27" t="n">
        <f aca="false">MAX(0,NG-L877)</f>
        <v>3.93479949744693</v>
      </c>
      <c r="N877" s="27" t="n">
        <f aca="false">MAX(0,GWL-K877)</f>
        <v>3.13479949744693</v>
      </c>
      <c r="O877" s="27" t="n">
        <f aca="false">MAX(0,NG-MAX(K877,GWL))</f>
        <v>0.8</v>
      </c>
      <c r="P877" s="27" t="n">
        <f aca="false">E877/2+WS+SLOPE_A*O877+SLOPE_B*N877</f>
        <v>9.5043984923408</v>
      </c>
      <c r="Q877" s="28" t="str">
        <f aca="false">IF(AND(P877&lt;J877,N877&lt;=MAXOC),"Open cut","Shoring")</f>
        <v>Shoring</v>
      </c>
      <c r="R877" s="27" t="n">
        <f aca="false">IF(Q877="Shoring",D877,0)</f>
        <v>1.90000000031937</v>
      </c>
      <c r="S877" s="27" t="n">
        <f aca="false">MAX(0,GWL-L877)</f>
        <v>3.13479949744693</v>
      </c>
      <c r="T877" s="27" t="n">
        <f aca="false">MAX(0,NG-MAX(L877,GWL))</f>
        <v>0.8</v>
      </c>
      <c r="U877" s="27" t="n">
        <f aca="false">E877+2*WS</f>
        <v>4.06959899489387</v>
      </c>
      <c r="V877" s="27" t="n">
        <f aca="false">IF(Q877="Shoring",D877*M877*U877,0)</f>
        <v>30.4248065569601</v>
      </c>
      <c r="W877" s="27" t="n">
        <f aca="false">IF(Q877="Open cut",D877*(U877*M877+SLOPE_B*S877^2+2*SLOPE_B*S877*T877+SLOPE_A*T877^2),0)</f>
        <v>0</v>
      </c>
      <c r="X877" s="27" t="n">
        <f aca="false">IF(M877&gt;0,D877*(E877+2*SLABOVH)*SLAB,0)</f>
        <v>2.91611904563934</v>
      </c>
      <c r="Y877" s="27" t="n">
        <f aca="false">IF(M877&gt;0,D877*PI()*E877^2/4,0)</f>
        <v>6.39169277641744</v>
      </c>
      <c r="Z877" s="27" t="n">
        <f aca="false">IF(H877-E877&gt;=GWL,99,E877*(MAX(0,GWL-H877)*(GAM_S-GAM_W)+MAX(0,NG-MAX(H877,GWL))*GAM_D)/(GAM_W*PI()*E877^2/4))</f>
        <v>1.19335784550088</v>
      </c>
      <c r="AA877" s="27" t="n">
        <f aca="false">IF(I877-E877&gt;=GWL,99,E877*(MAX(0,GWL-I877)*(GAM_S-GAM_W)+MAX(0,NG-MAX(I877,GWL))*GAM_D)/(GAM_W*PI()*E877^2/4))</f>
        <v>1.19335784550088</v>
      </c>
      <c r="AB877" s="27" t="n">
        <f aca="false">IF(H877-E877&gt;=GWL,99,E877*(MAX(0,GWL-H877)*(GAM_S-GAM_W)+MAX(0,FL-MAX(H877,GWL))*GAM_D)/(GAM_W*PI()*E877^2/4))</f>
        <v>3.11236384696935</v>
      </c>
      <c r="AC877" s="27" t="n">
        <f aca="false">IF(I877-E877&gt;=GWL,99,E877*(MAX(0,GWL-I877)*(GAM_S-GAM_W)+MAX(0,FL-MAX(I877,GWL))*GAM_D)/(GAM_W*PI()*E877^2/4))</f>
        <v>3.11236384696935</v>
      </c>
    </row>
    <row r="878" customFormat="false" ht="15" hidden="false" customHeight="false" outlineLevel="0" collapsed="false">
      <c r="A878" s="25" t="s">
        <v>1341</v>
      </c>
      <c r="B878" s="25" t="s">
        <v>1453</v>
      </c>
      <c r="C878" s="25" t="s">
        <v>1455</v>
      </c>
      <c r="D878" s="26" t="n">
        <v>3.24620577834434</v>
      </c>
      <c r="E878" s="26" t="n">
        <v>2.06959899489387</v>
      </c>
      <c r="F878" s="26" t="n">
        <v>-4.63479949744693</v>
      </c>
      <c r="G878" s="26" t="n">
        <v>-4.63479949744693</v>
      </c>
      <c r="H878" s="26" t="n">
        <v>-2.06520050255307</v>
      </c>
      <c r="I878" s="26" t="n">
        <v>-2.06520050255307</v>
      </c>
      <c r="J878" s="26" t="n">
        <v>26.88</v>
      </c>
      <c r="K878" s="27" t="n">
        <f aca="false">MIN(F878,G878)</f>
        <v>-4.63479949744693</v>
      </c>
      <c r="L878" s="27" t="n">
        <f aca="false">AVERAGE(F878,G878)</f>
        <v>-4.63479949744693</v>
      </c>
      <c r="M878" s="27" t="n">
        <f aca="false">MAX(0,NG-L878)</f>
        <v>3.93479949744693</v>
      </c>
      <c r="N878" s="27" t="n">
        <f aca="false">MAX(0,GWL-K878)</f>
        <v>3.13479949744693</v>
      </c>
      <c r="O878" s="27" t="n">
        <f aca="false">MAX(0,NG-MAX(K878,GWL))</f>
        <v>0.8</v>
      </c>
      <c r="P878" s="27" t="n">
        <f aca="false">E878/2+WS+SLOPE_A*O878+SLOPE_B*N878</f>
        <v>9.5043984923408</v>
      </c>
      <c r="Q878" s="28" t="str">
        <f aca="false">IF(AND(P878&lt;J878,N878&lt;=MAXOC),"Open cut","Shoring")</f>
        <v>Shoring</v>
      </c>
      <c r="R878" s="27" t="n">
        <f aca="false">IF(Q878="Shoring",D878,0)</f>
        <v>3.24620577834434</v>
      </c>
      <c r="S878" s="27" t="n">
        <f aca="false">MAX(0,GWL-L878)</f>
        <v>3.13479949744693</v>
      </c>
      <c r="T878" s="27" t="n">
        <f aca="false">MAX(0,NG-MAX(L878,GWL))</f>
        <v>0.8</v>
      </c>
      <c r="U878" s="27" t="n">
        <f aca="false">E878+2*WS</f>
        <v>4.06959899489387</v>
      </c>
      <c r="V878" s="27" t="n">
        <f aca="false">IF(Q878="Shoring",D878*M878*U878,0)</f>
        <v>51.9816751755848</v>
      </c>
      <c r="W878" s="27" t="n">
        <f aca="false">IF(Q878="Open cut",D878*(U878*M878+SLOPE_B*S878^2+2*SLOPE_B*S878*T878+SLOPE_A*T878^2),0)</f>
        <v>0</v>
      </c>
      <c r="X878" s="27" t="n">
        <f aca="false">IF(M878&gt;0,D878*(E878+2*SLABOVH)*SLAB,0)</f>
        <v>4.98227499721222</v>
      </c>
      <c r="Y878" s="27" t="n">
        <f aca="false">IF(M878&gt;0,D878*PI()*E878^2/4,0)</f>
        <v>10.9203947477476</v>
      </c>
      <c r="Z878" s="27" t="n">
        <f aca="false">IF(H878-E878&gt;=GWL,99,E878*(MAX(0,GWL-H878)*(GAM_S-GAM_W)+MAX(0,NG-MAX(H878,GWL))*GAM_D)/(GAM_W*PI()*E878^2/4))</f>
        <v>1.19335784550088</v>
      </c>
      <c r="AA878" s="27" t="n">
        <f aca="false">IF(I878-E878&gt;=GWL,99,E878*(MAX(0,GWL-I878)*(GAM_S-GAM_W)+MAX(0,NG-MAX(I878,GWL))*GAM_D)/(GAM_W*PI()*E878^2/4))</f>
        <v>1.19335784550088</v>
      </c>
      <c r="AB878" s="27" t="n">
        <f aca="false">IF(H878-E878&gt;=GWL,99,E878*(MAX(0,GWL-H878)*(GAM_S-GAM_W)+MAX(0,FL-MAX(H878,GWL))*GAM_D)/(GAM_W*PI()*E878^2/4))</f>
        <v>3.11236384696935</v>
      </c>
      <c r="AC878" s="27" t="n">
        <f aca="false">IF(I878-E878&gt;=GWL,99,E878*(MAX(0,GWL-I878)*(GAM_S-GAM_W)+MAX(0,FL-MAX(I878,GWL))*GAM_D)/(GAM_W*PI()*E878^2/4))</f>
        <v>3.11236384696935</v>
      </c>
    </row>
    <row r="879" customFormat="false" ht="15" hidden="false" customHeight="false" outlineLevel="0" collapsed="false">
      <c r="A879" s="25" t="s">
        <v>1341</v>
      </c>
      <c r="B879" s="25" t="s">
        <v>1453</v>
      </c>
      <c r="C879" s="25" t="s">
        <v>1456</v>
      </c>
      <c r="D879" s="26" t="n">
        <v>3.09997000006222</v>
      </c>
      <c r="E879" s="26" t="n">
        <v>2.06959899489387</v>
      </c>
      <c r="F879" s="26" t="n">
        <v>-4.63479949744693</v>
      </c>
      <c r="G879" s="26" t="n">
        <v>-4.63479949744693</v>
      </c>
      <c r="H879" s="26" t="n">
        <v>-2.06520050255307</v>
      </c>
      <c r="I879" s="26" t="n">
        <v>-2.06520050255307</v>
      </c>
      <c r="J879" s="26" t="n">
        <v>23.8</v>
      </c>
      <c r="K879" s="27" t="n">
        <f aca="false">MIN(F879,G879)</f>
        <v>-4.63479949744693</v>
      </c>
      <c r="L879" s="27" t="n">
        <f aca="false">AVERAGE(F879,G879)</f>
        <v>-4.63479949744693</v>
      </c>
      <c r="M879" s="27" t="n">
        <f aca="false">MAX(0,NG-L879)</f>
        <v>3.93479949744693</v>
      </c>
      <c r="N879" s="27" t="n">
        <f aca="false">MAX(0,GWL-K879)</f>
        <v>3.13479949744693</v>
      </c>
      <c r="O879" s="27" t="n">
        <f aca="false">MAX(0,NG-MAX(K879,GWL))</f>
        <v>0.8</v>
      </c>
      <c r="P879" s="27" t="n">
        <f aca="false">E879/2+WS+SLOPE_A*O879+SLOPE_B*N879</f>
        <v>9.5043984923408</v>
      </c>
      <c r="Q879" s="28" t="str">
        <f aca="false">IF(AND(P879&lt;J879,N879&lt;=MAXOC),"Open cut","Shoring")</f>
        <v>Shoring</v>
      </c>
      <c r="R879" s="27" t="n">
        <f aca="false">IF(Q879="Shoring",D879,0)</f>
        <v>3.09997000006222</v>
      </c>
      <c r="S879" s="27" t="n">
        <f aca="false">MAX(0,GWL-L879)</f>
        <v>3.13479949744693</v>
      </c>
      <c r="T879" s="27" t="n">
        <f aca="false">MAX(0,NG-MAX(L879,GWL))</f>
        <v>0.8</v>
      </c>
      <c r="U879" s="27" t="n">
        <f aca="false">E879+2*WS</f>
        <v>4.06959899489387</v>
      </c>
      <c r="V879" s="27" t="n">
        <f aca="false">IF(Q879="Shoring",D879*M879*U879,0)</f>
        <v>49.6399934570626</v>
      </c>
      <c r="W879" s="27" t="n">
        <f aca="false">IF(Q879="Open cut",D879*(U879*M879+SLOPE_B*S879^2+2*SLOPE_B*S879*T879+SLOPE_A*T879^2),0)</f>
        <v>0</v>
      </c>
      <c r="X879" s="27" t="n">
        <f aca="false">IF(M879&gt;0,D879*(E879+2*SLABOVH)*SLAB,0)</f>
        <v>4.75783239819607</v>
      </c>
      <c r="Y879" s="27" t="n">
        <f aca="false">IF(M879&gt;0,D879*PI()*E879^2/4,0)</f>
        <v>10.428450449041</v>
      </c>
      <c r="Z879" s="27" t="n">
        <f aca="false">IF(H879-E879&gt;=GWL,99,E879*(MAX(0,GWL-H879)*(GAM_S-GAM_W)+MAX(0,NG-MAX(H879,GWL))*GAM_D)/(GAM_W*PI()*E879^2/4))</f>
        <v>1.19335784550088</v>
      </c>
      <c r="AA879" s="27" t="n">
        <f aca="false">IF(I879-E879&gt;=GWL,99,E879*(MAX(0,GWL-I879)*(GAM_S-GAM_W)+MAX(0,NG-MAX(I879,GWL))*GAM_D)/(GAM_W*PI()*E879^2/4))</f>
        <v>1.19335784550088</v>
      </c>
      <c r="AB879" s="27" t="n">
        <f aca="false">IF(H879-E879&gt;=GWL,99,E879*(MAX(0,GWL-H879)*(GAM_S-GAM_W)+MAX(0,FL-MAX(H879,GWL))*GAM_D)/(GAM_W*PI()*E879^2/4))</f>
        <v>3.11236384696935</v>
      </c>
      <c r="AC879" s="27" t="n">
        <f aca="false">IF(I879-E879&gt;=GWL,99,E879*(MAX(0,GWL-I879)*(GAM_S-GAM_W)+MAX(0,FL-MAX(I879,GWL))*GAM_D)/(GAM_W*PI()*E879^2/4))</f>
        <v>3.11236384696935</v>
      </c>
    </row>
    <row r="880" customFormat="false" ht="15" hidden="false" customHeight="false" outlineLevel="0" collapsed="false">
      <c r="A880" s="25" t="s">
        <v>1341</v>
      </c>
      <c r="B880" s="25" t="s">
        <v>1453</v>
      </c>
      <c r="C880" s="25" t="s">
        <v>1457</v>
      </c>
      <c r="D880" s="26" t="n">
        <v>3.10002553153233</v>
      </c>
      <c r="E880" s="26" t="n">
        <v>2.06960342614359</v>
      </c>
      <c r="F880" s="26" t="n">
        <v>-4.63480171307179</v>
      </c>
      <c r="G880" s="26" t="n">
        <v>-4.63480171307179</v>
      </c>
      <c r="H880" s="26" t="n">
        <v>-2.06519828692821</v>
      </c>
      <c r="I880" s="26" t="n">
        <v>-2.06519828692821</v>
      </c>
      <c r="J880" s="26" t="n">
        <v>21.55</v>
      </c>
      <c r="K880" s="27" t="n">
        <f aca="false">MIN(F880,G880)</f>
        <v>-4.63480171307179</v>
      </c>
      <c r="L880" s="27" t="n">
        <f aca="false">AVERAGE(F880,G880)</f>
        <v>-4.63480171307179</v>
      </c>
      <c r="M880" s="27" t="n">
        <f aca="false">MAX(0,NG-L880)</f>
        <v>3.93480171307179</v>
      </c>
      <c r="N880" s="27" t="n">
        <f aca="false">MAX(0,GWL-K880)</f>
        <v>3.13480171307179</v>
      </c>
      <c r="O880" s="27" t="n">
        <f aca="false">MAX(0,NG-MAX(K880,GWL))</f>
        <v>0.8</v>
      </c>
      <c r="P880" s="27" t="n">
        <f aca="false">E880/2+WS+SLOPE_A*O880+SLOPE_B*N880</f>
        <v>9.50440513921538</v>
      </c>
      <c r="Q880" s="28" t="str">
        <f aca="false">IF(AND(P880&lt;J880,N880&lt;=MAXOC),"Open cut","Shoring")</f>
        <v>Shoring</v>
      </c>
      <c r="R880" s="27" t="n">
        <f aca="false">IF(Q880="Shoring",D880,0)</f>
        <v>3.10002553153233</v>
      </c>
      <c r="S880" s="27" t="n">
        <f aca="false">MAX(0,GWL-L880)</f>
        <v>3.13480171307179</v>
      </c>
      <c r="T880" s="27" t="n">
        <f aca="false">MAX(0,NG-MAX(L880,GWL))</f>
        <v>0.8</v>
      </c>
      <c r="U880" s="27" t="n">
        <f aca="false">E880+2*WS</f>
        <v>4.06960342614359</v>
      </c>
      <c r="V880" s="27" t="n">
        <f aca="false">IF(Q880="Shoring",D880*M880*U880,0)</f>
        <v>49.6409646899436</v>
      </c>
      <c r="W880" s="27" t="n">
        <f aca="false">IF(Q880="Open cut",D880*(U880*M880+SLOPE_B*S880^2+2*SLOPE_B*S880*T880+SLOPE_A*T880^2),0)</f>
        <v>0</v>
      </c>
      <c r="X880" s="27" t="n">
        <f aca="false">IF(M880&gt;0,D880*(E880+2*SLABOVH)*SLAB,0)</f>
        <v>4.75792449636212</v>
      </c>
      <c r="Y880" s="27" t="n">
        <f aca="false">IF(M880&gt;0,D880*PI()*E880^2/4,0)</f>
        <v>10.4286819174919</v>
      </c>
      <c r="Z880" s="27" t="n">
        <f aca="false">IF(H880-E880&gt;=GWL,99,E880*(MAX(0,GWL-H880)*(GAM_S-GAM_W)+MAX(0,NG-MAX(H880,GWL))*GAM_D)/(GAM_W*PI()*E880^2/4))</f>
        <v>1.19335415241118</v>
      </c>
      <c r="AA880" s="27" t="n">
        <f aca="false">IF(I880-E880&gt;=GWL,99,E880*(MAX(0,GWL-I880)*(GAM_S-GAM_W)+MAX(0,NG-MAX(I880,GWL))*GAM_D)/(GAM_W*PI()*E880^2/4))</f>
        <v>1.19335415241118</v>
      </c>
      <c r="AB880" s="27" t="n">
        <f aca="false">IF(H880-E880&gt;=GWL,99,E880*(MAX(0,GWL-H880)*(GAM_S-GAM_W)+MAX(0,FL-MAX(H880,GWL))*GAM_D)/(GAM_W*PI()*E880^2/4))</f>
        <v>3.11235604507567</v>
      </c>
      <c r="AC880" s="27" t="n">
        <f aca="false">IF(I880-E880&gt;=GWL,99,E880*(MAX(0,GWL-I880)*(GAM_S-GAM_W)+MAX(0,FL-MAX(I880,GWL))*GAM_D)/(GAM_W*PI()*E880^2/4))</f>
        <v>3.11235604507567</v>
      </c>
    </row>
    <row r="881" customFormat="false" ht="15" hidden="false" customHeight="false" outlineLevel="0" collapsed="false">
      <c r="A881" s="25" t="s">
        <v>1341</v>
      </c>
      <c r="B881" s="25" t="s">
        <v>1453</v>
      </c>
      <c r="C881" s="25" t="s">
        <v>1458</v>
      </c>
      <c r="D881" s="26" t="n">
        <v>0.553798690370089</v>
      </c>
      <c r="E881" s="26" t="n">
        <v>2.06960342614359</v>
      </c>
      <c r="F881" s="26" t="n">
        <v>-4.63480171307179</v>
      </c>
      <c r="G881" s="26" t="n">
        <v>-4.63480171307179</v>
      </c>
      <c r="H881" s="26" t="n">
        <v>-2.06519828692821</v>
      </c>
      <c r="I881" s="26" t="n">
        <v>-2.06519828692821</v>
      </c>
      <c r="J881" s="26" t="n">
        <v>21.17</v>
      </c>
      <c r="K881" s="27" t="n">
        <f aca="false">MIN(F881,G881)</f>
        <v>-4.63480171307179</v>
      </c>
      <c r="L881" s="27" t="n">
        <f aca="false">AVERAGE(F881,G881)</f>
        <v>-4.63480171307179</v>
      </c>
      <c r="M881" s="27" t="n">
        <f aca="false">MAX(0,NG-L881)</f>
        <v>3.93480171307179</v>
      </c>
      <c r="N881" s="27" t="n">
        <f aca="false">MAX(0,GWL-K881)</f>
        <v>3.13480171307179</v>
      </c>
      <c r="O881" s="27" t="n">
        <f aca="false">MAX(0,NG-MAX(K881,GWL))</f>
        <v>0.8</v>
      </c>
      <c r="P881" s="27" t="n">
        <f aca="false">E881/2+WS+SLOPE_A*O881+SLOPE_B*N881</f>
        <v>9.50440513921538</v>
      </c>
      <c r="Q881" s="28" t="str">
        <f aca="false">IF(AND(P881&lt;J881,N881&lt;=MAXOC),"Open cut","Shoring")</f>
        <v>Shoring</v>
      </c>
      <c r="R881" s="27" t="n">
        <f aca="false">IF(Q881="Shoring",D881,0)</f>
        <v>0.553798690370089</v>
      </c>
      <c r="S881" s="27" t="n">
        <f aca="false">MAX(0,GWL-L881)</f>
        <v>3.13480171307179</v>
      </c>
      <c r="T881" s="27" t="n">
        <f aca="false">MAX(0,NG-MAX(L881,GWL))</f>
        <v>0.8</v>
      </c>
      <c r="U881" s="27" t="n">
        <f aca="false">E881+2*WS</f>
        <v>4.06960342614359</v>
      </c>
      <c r="V881" s="27" t="n">
        <f aca="false">IF(Q881="Shoring",D881*M881*U881,0)</f>
        <v>8.8680241354044</v>
      </c>
      <c r="W881" s="27" t="n">
        <f aca="false">IF(Q881="Open cut",D881*(U881*M881+SLOPE_B*S881^2+2*SLOPE_B*S881*T881+SLOPE_A*T881^2),0)</f>
        <v>0</v>
      </c>
      <c r="X881" s="27" t="n">
        <f aca="false">IF(M881&gt;0,D881*(E881+2*SLABOVH)*SLAB,0)</f>
        <v>0.849971178676928</v>
      </c>
      <c r="Y881" s="27" t="n">
        <f aca="false">IF(M881&gt;0,D881*PI()*E881^2/4,0)</f>
        <v>1.86301381374058</v>
      </c>
      <c r="Z881" s="27" t="n">
        <f aca="false">IF(H881-E881&gt;=GWL,99,E881*(MAX(0,GWL-H881)*(GAM_S-GAM_W)+MAX(0,NG-MAX(H881,GWL))*GAM_D)/(GAM_W*PI()*E881^2/4))</f>
        <v>1.19335415241118</v>
      </c>
      <c r="AA881" s="27" t="n">
        <f aca="false">IF(I881-E881&gt;=GWL,99,E881*(MAX(0,GWL-I881)*(GAM_S-GAM_W)+MAX(0,NG-MAX(I881,GWL))*GAM_D)/(GAM_W*PI()*E881^2/4))</f>
        <v>1.19335415241118</v>
      </c>
      <c r="AB881" s="27" t="n">
        <f aca="false">IF(H881-E881&gt;=GWL,99,E881*(MAX(0,GWL-H881)*(GAM_S-GAM_W)+MAX(0,FL-MAX(H881,GWL))*GAM_D)/(GAM_W*PI()*E881^2/4))</f>
        <v>3.11235604507567</v>
      </c>
      <c r="AC881" s="27" t="n">
        <f aca="false">IF(I881-E881&gt;=GWL,99,E881*(MAX(0,GWL-I881)*(GAM_S-GAM_W)+MAX(0,FL-MAX(I881,GWL))*GAM_D)/(GAM_W*PI()*E881^2/4))</f>
        <v>3.11235604507567</v>
      </c>
    </row>
    <row r="882" customFormat="false" ht="15" hidden="false" customHeight="false" outlineLevel="0" collapsed="false">
      <c r="A882" s="25" t="s">
        <v>1341</v>
      </c>
      <c r="B882" s="25" t="s">
        <v>1453</v>
      </c>
      <c r="C882" s="25" t="s">
        <v>1459</v>
      </c>
      <c r="D882" s="26" t="n">
        <v>8.25384130933651</v>
      </c>
      <c r="E882" s="26" t="n">
        <v>2.06960342614359</v>
      </c>
      <c r="F882" s="26" t="n">
        <v>-4.63480171307179</v>
      </c>
      <c r="G882" s="26" t="n">
        <v>-4.63480171307179</v>
      </c>
      <c r="H882" s="26" t="n">
        <v>-2.06519828692821</v>
      </c>
      <c r="I882" s="26" t="n">
        <v>-2.06519828692821</v>
      </c>
      <c r="J882" s="26" t="n">
        <v>16.68</v>
      </c>
      <c r="K882" s="27" t="n">
        <f aca="false">MIN(F882,G882)</f>
        <v>-4.63480171307179</v>
      </c>
      <c r="L882" s="27" t="n">
        <f aca="false">AVERAGE(F882,G882)</f>
        <v>-4.63480171307179</v>
      </c>
      <c r="M882" s="27" t="n">
        <f aca="false">MAX(0,NG-L882)</f>
        <v>3.93480171307179</v>
      </c>
      <c r="N882" s="27" t="n">
        <f aca="false">MAX(0,GWL-K882)</f>
        <v>3.13480171307179</v>
      </c>
      <c r="O882" s="27" t="n">
        <f aca="false">MAX(0,NG-MAX(K882,GWL))</f>
        <v>0.8</v>
      </c>
      <c r="P882" s="27" t="n">
        <f aca="false">E882/2+WS+SLOPE_A*O882+SLOPE_B*N882</f>
        <v>9.50440513921538</v>
      </c>
      <c r="Q882" s="28" t="str">
        <f aca="false">IF(AND(P882&lt;J882,N882&lt;=MAXOC),"Open cut","Shoring")</f>
        <v>Shoring</v>
      </c>
      <c r="R882" s="27" t="n">
        <f aca="false">IF(Q882="Shoring",D882,0)</f>
        <v>8.25384130933651</v>
      </c>
      <c r="S882" s="27" t="n">
        <f aca="false">MAX(0,GWL-L882)</f>
        <v>3.13480171307179</v>
      </c>
      <c r="T882" s="27" t="n">
        <f aca="false">MAX(0,NG-MAX(L882,GWL))</f>
        <v>0.8</v>
      </c>
      <c r="U882" s="27" t="n">
        <f aca="false">E882+2*WS</f>
        <v>4.06960342614359</v>
      </c>
      <c r="V882" s="27" t="n">
        <f aca="false">IF(Q882="Shoring",D882*M882*U882,0)</f>
        <v>132.169442098318</v>
      </c>
      <c r="W882" s="27" t="n">
        <f aca="false">IF(Q882="Open cut",D882*(U882*M882+SLOPE_B*S882^2+2*SLOPE_B*S882*T882+SLOPE_A*T882^2),0)</f>
        <v>0</v>
      </c>
      <c r="X882" s="27" t="n">
        <f aca="false">IF(M882&gt;0,D882*(E882+2*SLABOVH)*SLAB,0)</f>
        <v>12.6680097809924</v>
      </c>
      <c r="Y882" s="27" t="n">
        <f aca="false">IF(M882&gt;0,D882*PI()*E882^2/4,0)</f>
        <v>27.7664440944065</v>
      </c>
      <c r="Z882" s="27" t="n">
        <f aca="false">IF(H882-E882&gt;=GWL,99,E882*(MAX(0,GWL-H882)*(GAM_S-GAM_W)+MAX(0,NG-MAX(H882,GWL))*GAM_D)/(GAM_W*PI()*E882^2/4))</f>
        <v>1.19335415241118</v>
      </c>
      <c r="AA882" s="27" t="n">
        <f aca="false">IF(I882-E882&gt;=GWL,99,E882*(MAX(0,GWL-I882)*(GAM_S-GAM_W)+MAX(0,NG-MAX(I882,GWL))*GAM_D)/(GAM_W*PI()*E882^2/4))</f>
        <v>1.19335415241118</v>
      </c>
      <c r="AB882" s="27" t="n">
        <f aca="false">IF(H882-E882&gt;=GWL,99,E882*(MAX(0,GWL-H882)*(GAM_S-GAM_W)+MAX(0,FL-MAX(H882,GWL))*GAM_D)/(GAM_W*PI()*E882^2/4))</f>
        <v>3.11235604507567</v>
      </c>
      <c r="AC882" s="27" t="n">
        <f aca="false">IF(I882-E882&gt;=GWL,99,E882*(MAX(0,GWL-I882)*(GAM_S-GAM_W)+MAX(0,FL-MAX(I882,GWL))*GAM_D)/(GAM_W*PI()*E882^2/4))</f>
        <v>3.11235604507567</v>
      </c>
    </row>
    <row r="883" customFormat="false" ht="15" hidden="false" customHeight="false" outlineLevel="0" collapsed="false">
      <c r="A883" s="25" t="s">
        <v>1460</v>
      </c>
      <c r="B883" s="25" t="s">
        <v>1461</v>
      </c>
      <c r="C883" s="25" t="s">
        <v>1462</v>
      </c>
      <c r="D883" s="26" t="n">
        <v>1.30694999981839</v>
      </c>
      <c r="E883" s="26" t="n">
        <v>1.42960007161909</v>
      </c>
      <c r="F883" s="26" t="n">
        <v>-5.61480003580955</v>
      </c>
      <c r="G883" s="26" t="n">
        <v>-5.61480003580955</v>
      </c>
      <c r="H883" s="26" t="n">
        <v>-3.68519996419045</v>
      </c>
      <c r="I883" s="26" t="n">
        <v>-3.68519996419045</v>
      </c>
      <c r="J883" s="26" t="n">
        <v>6.37</v>
      </c>
      <c r="K883" s="27" t="n">
        <f aca="false">MIN(F883,G883)</f>
        <v>-5.61480003580955</v>
      </c>
      <c r="L883" s="27" t="n">
        <f aca="false">AVERAGE(F883,G883)</f>
        <v>-5.61480003580955</v>
      </c>
      <c r="M883" s="27" t="n">
        <f aca="false">MAX(0,NG-L883)</f>
        <v>4.91480003580955</v>
      </c>
      <c r="N883" s="27" t="n">
        <f aca="false">MAX(0,GWL-K883)</f>
        <v>4.11480003580955</v>
      </c>
      <c r="O883" s="27" t="n">
        <f aca="false">MAX(0,NG-MAX(K883,GWL))</f>
        <v>0.8</v>
      </c>
      <c r="P883" s="27" t="n">
        <f aca="false">E883/2+WS+SLOPE_A*O883+SLOPE_B*N883</f>
        <v>11.1444001074286</v>
      </c>
      <c r="Q883" s="28" t="str">
        <f aca="false">IF(AND(P883&lt;J883,N883&lt;=MAXOC),"Open cut","Shoring")</f>
        <v>Shoring</v>
      </c>
      <c r="R883" s="27" t="n">
        <f aca="false">IF(Q883="Shoring",D883,0)</f>
        <v>1.30694999981839</v>
      </c>
      <c r="S883" s="27" t="n">
        <f aca="false">MAX(0,GWL-L883)</f>
        <v>4.11480003580955</v>
      </c>
      <c r="T883" s="27" t="n">
        <f aca="false">MAX(0,NG-MAX(L883,GWL))</f>
        <v>0.8</v>
      </c>
      <c r="U883" s="27" t="n">
        <f aca="false">E883+2*WS</f>
        <v>3.42960007161909</v>
      </c>
      <c r="V883" s="27" t="n">
        <f aca="false">IF(Q883="Shoring",D883*M883*U883,0)</f>
        <v>22.0296859181424</v>
      </c>
      <c r="W883" s="27" t="n">
        <f aca="false">IF(Q883="Open cut",D883*(U883*M883+SLOPE_B*S883^2+2*SLOPE_B*S883*T883+SLOPE_A*T883^2),0)</f>
        <v>0</v>
      </c>
      <c r="X883" s="27" t="n">
        <f aca="false">IF(M883&gt;0,D883*(E883+2*SLABOVH)*SLAB,0)</f>
        <v>1.58768290658066</v>
      </c>
      <c r="Y883" s="27" t="n">
        <f aca="false">IF(M883&gt;0,D883*PI()*E883^2/4,0)</f>
        <v>2.09786712297324</v>
      </c>
      <c r="Z883" s="27" t="n">
        <f aca="false">IF(H883-E883&gt;=GWL,99,E883*(MAX(0,GWL-H883)*(GAM_S-GAM_W)+MAX(0,NG-MAX(H883,GWL))*GAM_D)/(GAM_W*PI()*E883^2/4))</f>
        <v>2.93214794127268</v>
      </c>
      <c r="AA883" s="27" t="n">
        <f aca="false">IF(I883-E883&gt;=GWL,99,E883*(MAX(0,GWL-I883)*(GAM_S-GAM_W)+MAX(0,NG-MAX(I883,GWL))*GAM_D)/(GAM_W*PI()*E883^2/4))</f>
        <v>2.93214794127268</v>
      </c>
      <c r="AB883" s="27" t="n">
        <f aca="false">IF(H883-E883&gt;=GWL,99,E883*(MAX(0,GWL-H883)*(GAM_S-GAM_W)+MAX(0,FL-MAX(H883,GWL))*GAM_D)/(GAM_W*PI()*E883^2/4))</f>
        <v>5.71024859381143</v>
      </c>
      <c r="AC883" s="27" t="n">
        <f aca="false">IF(I883-E883&gt;=GWL,99,E883*(MAX(0,GWL-I883)*(GAM_S-GAM_W)+MAX(0,FL-MAX(I883,GWL))*GAM_D)/(GAM_W*PI()*E883^2/4))</f>
        <v>5.71024859381143</v>
      </c>
    </row>
    <row r="884" customFormat="false" ht="15" hidden="false" customHeight="false" outlineLevel="0" collapsed="false">
      <c r="A884" s="25" t="s">
        <v>1460</v>
      </c>
      <c r="B884" s="25" t="s">
        <v>1461</v>
      </c>
      <c r="C884" s="25" t="s">
        <v>1463</v>
      </c>
      <c r="D884" s="26" t="n">
        <v>1.50000164059377</v>
      </c>
      <c r="E884" s="26" t="n">
        <v>1.42960007161909</v>
      </c>
      <c r="F884" s="26" t="n">
        <v>-5.61480003580955</v>
      </c>
      <c r="G884" s="26" t="n">
        <v>-5.61480003580955</v>
      </c>
      <c r="H884" s="26" t="n">
        <v>-3.68519996419045</v>
      </c>
      <c r="I884" s="26" t="n">
        <v>-3.68519996419045</v>
      </c>
      <c r="J884" s="26" t="n">
        <v>6.47</v>
      </c>
      <c r="K884" s="27" t="n">
        <f aca="false">MIN(F884,G884)</f>
        <v>-5.61480003580955</v>
      </c>
      <c r="L884" s="27" t="n">
        <f aca="false">AVERAGE(F884,G884)</f>
        <v>-5.61480003580955</v>
      </c>
      <c r="M884" s="27" t="n">
        <f aca="false">MAX(0,NG-L884)</f>
        <v>4.91480003580955</v>
      </c>
      <c r="N884" s="27" t="n">
        <f aca="false">MAX(0,GWL-K884)</f>
        <v>4.11480003580955</v>
      </c>
      <c r="O884" s="27" t="n">
        <f aca="false">MAX(0,NG-MAX(K884,GWL))</f>
        <v>0.8</v>
      </c>
      <c r="P884" s="27" t="n">
        <f aca="false">E884/2+WS+SLOPE_A*O884+SLOPE_B*N884</f>
        <v>11.1444001074286</v>
      </c>
      <c r="Q884" s="28" t="str">
        <f aca="false">IF(AND(P884&lt;J884,N884&lt;=MAXOC),"Open cut","Shoring")</f>
        <v>Shoring</v>
      </c>
      <c r="R884" s="27" t="n">
        <f aca="false">IF(Q884="Shoring",D884,0)</f>
        <v>1.50000164059377</v>
      </c>
      <c r="S884" s="27" t="n">
        <f aca="false">MAX(0,GWL-L884)</f>
        <v>4.11480003580955</v>
      </c>
      <c r="T884" s="27" t="n">
        <f aca="false">MAX(0,NG-MAX(L884,GWL))</f>
        <v>0.8</v>
      </c>
      <c r="U884" s="27" t="n">
        <f aca="false">E884+2*WS</f>
        <v>3.42960007161909</v>
      </c>
      <c r="V884" s="27" t="n">
        <f aca="false">IF(Q884="Shoring",D884*M884*U884,0)</f>
        <v>25.2837254857269</v>
      </c>
      <c r="W884" s="27" t="n">
        <f aca="false">IF(Q884="Open cut",D884*(U884*M884+SLOPE_B*S884^2+2*SLOPE_B*S884*T884+SLOPE_A*T884^2),0)</f>
        <v>0</v>
      </c>
      <c r="X884" s="27" t="n">
        <f aca="false">IF(M884&gt;0,D884*(E884+2*SLABOVH)*SLAB,0)</f>
        <v>1.82220204670769</v>
      </c>
      <c r="Y884" s="27" t="n">
        <f aca="false">IF(M884&gt;0,D884*PI()*E884^2/4,0)</f>
        <v>2.40774637640679</v>
      </c>
      <c r="Z884" s="27" t="n">
        <f aca="false">IF(H884-E884&gt;=GWL,99,E884*(MAX(0,GWL-H884)*(GAM_S-GAM_W)+MAX(0,NG-MAX(H884,GWL))*GAM_D)/(GAM_W*PI()*E884^2/4))</f>
        <v>2.93214794127268</v>
      </c>
      <c r="AA884" s="27" t="n">
        <f aca="false">IF(I884-E884&gt;=GWL,99,E884*(MAX(0,GWL-I884)*(GAM_S-GAM_W)+MAX(0,NG-MAX(I884,GWL))*GAM_D)/(GAM_W*PI()*E884^2/4))</f>
        <v>2.93214794127268</v>
      </c>
      <c r="AB884" s="27" t="n">
        <f aca="false">IF(H884-E884&gt;=GWL,99,E884*(MAX(0,GWL-H884)*(GAM_S-GAM_W)+MAX(0,FL-MAX(H884,GWL))*GAM_D)/(GAM_W*PI()*E884^2/4))</f>
        <v>5.71024859381143</v>
      </c>
      <c r="AC884" s="27" t="n">
        <f aca="false">IF(I884-E884&gt;=GWL,99,E884*(MAX(0,GWL-I884)*(GAM_S-GAM_W)+MAX(0,FL-MAX(I884,GWL))*GAM_D)/(GAM_W*PI()*E884^2/4))</f>
        <v>5.71024859381143</v>
      </c>
    </row>
    <row r="885" customFormat="false" ht="15" hidden="false" customHeight="false" outlineLevel="0" collapsed="false">
      <c r="A885" s="25" t="s">
        <v>1460</v>
      </c>
      <c r="B885" s="25" t="s">
        <v>1461</v>
      </c>
      <c r="C885" s="25" t="s">
        <v>1464</v>
      </c>
      <c r="D885" s="26" t="n">
        <v>7.19304835932589</v>
      </c>
      <c r="E885" s="26" t="n">
        <v>2.04120154398754</v>
      </c>
      <c r="F885" s="26" t="n">
        <v>-5.92060077199377</v>
      </c>
      <c r="G885" s="26" t="n">
        <v>-5.92060077199377</v>
      </c>
      <c r="H885" s="26" t="n">
        <v>-3.37939922800623</v>
      </c>
      <c r="I885" s="26" t="n">
        <v>-3.37939922800623</v>
      </c>
      <c r="J885" s="26" t="n">
        <v>6.65</v>
      </c>
      <c r="K885" s="27" t="n">
        <f aca="false">MIN(F885,G885)</f>
        <v>-5.92060077199377</v>
      </c>
      <c r="L885" s="27" t="n">
        <f aca="false">AVERAGE(F885,G885)</f>
        <v>-5.92060077199377</v>
      </c>
      <c r="M885" s="27" t="n">
        <f aca="false">MAX(0,NG-L885)</f>
        <v>5.22060077199377</v>
      </c>
      <c r="N885" s="27" t="n">
        <f aca="false">MAX(0,GWL-K885)</f>
        <v>4.42060077199377</v>
      </c>
      <c r="O885" s="27" t="n">
        <f aca="false">MAX(0,NG-MAX(K885,GWL))</f>
        <v>0.8</v>
      </c>
      <c r="P885" s="27" t="n">
        <f aca="false">E885/2+WS+SLOPE_A*O885+SLOPE_B*N885</f>
        <v>12.0618023159813</v>
      </c>
      <c r="Q885" s="28" t="str">
        <f aca="false">IF(AND(P885&lt;J885,N885&lt;=MAXOC),"Open cut","Shoring")</f>
        <v>Shoring</v>
      </c>
      <c r="R885" s="27" t="n">
        <f aca="false">IF(Q885="Shoring",D885,0)</f>
        <v>7.19304835932589</v>
      </c>
      <c r="S885" s="27" t="n">
        <f aca="false">MAX(0,GWL-L885)</f>
        <v>4.42060077199377</v>
      </c>
      <c r="T885" s="27" t="n">
        <f aca="false">MAX(0,NG-MAX(L885,GWL))</f>
        <v>0.8</v>
      </c>
      <c r="U885" s="27" t="n">
        <f aca="false">E885+2*WS</f>
        <v>4.04120154398754</v>
      </c>
      <c r="V885" s="27" t="n">
        <f aca="false">IF(Q885="Shoring",D885*M885*U885,0)</f>
        <v>151.755337043902</v>
      </c>
      <c r="W885" s="27" t="n">
        <f aca="false">IF(Q885="Open cut",D885*(U885*M885+SLOPE_B*S885^2+2*SLOPE_B*S885*T885+SLOPE_A*T885^2),0)</f>
        <v>0</v>
      </c>
      <c r="X885" s="27" t="n">
        <f aca="false">IF(M885&gt;0,D885*(E885+2*SLABOVH)*SLAB,0)</f>
        <v>10.9377548881795</v>
      </c>
      <c r="Y885" s="27" t="n">
        <f aca="false">IF(M885&gt;0,D885*PI()*E885^2/4,0)</f>
        <v>23.5382752899175</v>
      </c>
      <c r="Z885" s="27" t="n">
        <f aca="false">IF(H885-E885&gt;=GWL,99,E885*(MAX(0,GWL-H885)*(GAM_S-GAM_W)+MAX(0,NG-MAX(H885,GWL))*GAM_D)/(GAM_W*PI()*E885^2/4))</f>
        <v>1.89434449126366</v>
      </c>
      <c r="AA885" s="27" t="n">
        <f aca="false">IF(I885-E885&gt;=GWL,99,E885*(MAX(0,GWL-I885)*(GAM_S-GAM_W)+MAX(0,NG-MAX(I885,GWL))*GAM_D)/(GAM_W*PI()*E885^2/4))</f>
        <v>1.89434449126366</v>
      </c>
      <c r="AB885" s="27" t="n">
        <f aca="false">IF(H885-E885&gt;=GWL,99,E885*(MAX(0,GWL-H885)*(GAM_S-GAM_W)+MAX(0,FL-MAX(H885,GWL))*GAM_D)/(GAM_W*PI()*E885^2/4))</f>
        <v>3.8400479439839</v>
      </c>
      <c r="AC885" s="27" t="n">
        <f aca="false">IF(I885-E885&gt;=GWL,99,E885*(MAX(0,GWL-I885)*(GAM_S-GAM_W)+MAX(0,FL-MAX(I885,GWL))*GAM_D)/(GAM_W*PI()*E885^2/4))</f>
        <v>3.8400479439839</v>
      </c>
    </row>
    <row r="886" customFormat="false" ht="15" hidden="false" customHeight="false" outlineLevel="0" collapsed="false">
      <c r="A886" s="25" t="s">
        <v>1460</v>
      </c>
      <c r="B886" s="25" t="s">
        <v>1461</v>
      </c>
      <c r="C886" s="25" t="s">
        <v>1465</v>
      </c>
      <c r="D886" s="26" t="n">
        <v>2.55911421999906</v>
      </c>
      <c r="E886" s="26" t="n">
        <v>2.04120154398754</v>
      </c>
      <c r="F886" s="26" t="n">
        <v>-5.92060077199377</v>
      </c>
      <c r="G886" s="26" t="n">
        <v>-5.92060077199377</v>
      </c>
      <c r="H886" s="26" t="n">
        <v>-3.37939922800623</v>
      </c>
      <c r="I886" s="26" t="n">
        <v>-3.37939922800623</v>
      </c>
      <c r="J886" s="26" t="n">
        <v>8.34</v>
      </c>
      <c r="K886" s="27" t="n">
        <f aca="false">MIN(F886,G886)</f>
        <v>-5.92060077199377</v>
      </c>
      <c r="L886" s="27" t="n">
        <f aca="false">AVERAGE(F886,G886)</f>
        <v>-5.92060077199377</v>
      </c>
      <c r="M886" s="27" t="n">
        <f aca="false">MAX(0,NG-L886)</f>
        <v>5.22060077199377</v>
      </c>
      <c r="N886" s="27" t="n">
        <f aca="false">MAX(0,GWL-K886)</f>
        <v>4.42060077199377</v>
      </c>
      <c r="O886" s="27" t="n">
        <f aca="false">MAX(0,NG-MAX(K886,GWL))</f>
        <v>0.8</v>
      </c>
      <c r="P886" s="27" t="n">
        <f aca="false">E886/2+WS+SLOPE_A*O886+SLOPE_B*N886</f>
        <v>12.0618023159813</v>
      </c>
      <c r="Q886" s="28" t="str">
        <f aca="false">IF(AND(P886&lt;J886,N886&lt;=MAXOC),"Open cut","Shoring")</f>
        <v>Shoring</v>
      </c>
      <c r="R886" s="27" t="n">
        <f aca="false">IF(Q886="Shoring",D886,0)</f>
        <v>2.55911421999906</v>
      </c>
      <c r="S886" s="27" t="n">
        <f aca="false">MAX(0,GWL-L886)</f>
        <v>4.42060077199377</v>
      </c>
      <c r="T886" s="27" t="n">
        <f aca="false">MAX(0,NG-MAX(L886,GWL))</f>
        <v>0.8</v>
      </c>
      <c r="U886" s="27" t="n">
        <f aca="false">E886+2*WS</f>
        <v>4.04120154398754</v>
      </c>
      <c r="V886" s="27" t="n">
        <f aca="false">IF(Q886="Shoring",D886*M886*U886,0)</f>
        <v>53.9909120013473</v>
      </c>
      <c r="W886" s="27" t="n">
        <f aca="false">IF(Q886="Open cut",D886*(U886*M886+SLOPE_B*S886^2+2*SLOPE_B*S886*T886+SLOPE_A*T886^2),0)</f>
        <v>0</v>
      </c>
      <c r="X886" s="27" t="n">
        <f aca="false">IF(M886&gt;0,D886*(E886+2*SLABOVH)*SLAB,0)</f>
        <v>3.89139105855081</v>
      </c>
      <c r="Y886" s="27" t="n">
        <f aca="false">IF(M886&gt;0,D886*PI()*E886^2/4,0)</f>
        <v>8.37435423753017</v>
      </c>
      <c r="Z886" s="27" t="n">
        <f aca="false">IF(H886-E886&gt;=GWL,99,E886*(MAX(0,GWL-H886)*(GAM_S-GAM_W)+MAX(0,NG-MAX(H886,GWL))*GAM_D)/(GAM_W*PI()*E886^2/4))</f>
        <v>1.89434449126366</v>
      </c>
      <c r="AA886" s="27" t="n">
        <f aca="false">IF(I886-E886&gt;=GWL,99,E886*(MAX(0,GWL-I886)*(GAM_S-GAM_W)+MAX(0,NG-MAX(I886,GWL))*GAM_D)/(GAM_W*PI()*E886^2/4))</f>
        <v>1.89434449126366</v>
      </c>
      <c r="AB886" s="27" t="n">
        <f aca="false">IF(H886-E886&gt;=GWL,99,E886*(MAX(0,GWL-H886)*(GAM_S-GAM_W)+MAX(0,FL-MAX(H886,GWL))*GAM_D)/(GAM_W*PI()*E886^2/4))</f>
        <v>3.8400479439839</v>
      </c>
      <c r="AC886" s="27" t="n">
        <f aca="false">IF(I886-E886&gt;=GWL,99,E886*(MAX(0,GWL-I886)*(GAM_S-GAM_W)+MAX(0,FL-MAX(I886,GWL))*GAM_D)/(GAM_W*PI()*E886^2/4))</f>
        <v>3.8400479439839</v>
      </c>
    </row>
    <row r="887" customFormat="false" ht="15" hidden="false" customHeight="false" outlineLevel="0" collapsed="false">
      <c r="A887" s="25" t="s">
        <v>1460</v>
      </c>
      <c r="B887" s="25" t="s">
        <v>1461</v>
      </c>
      <c r="C887" s="25" t="s">
        <v>1466</v>
      </c>
      <c r="D887" s="26" t="n">
        <v>0.959021747136074</v>
      </c>
      <c r="E887" s="26" t="n">
        <v>2.04120154398754</v>
      </c>
      <c r="F887" s="26" t="n">
        <v>-5.92060077199377</v>
      </c>
      <c r="G887" s="26" t="n">
        <v>-5.92060077199377</v>
      </c>
      <c r="H887" s="26" t="n">
        <v>-3.37939922800623</v>
      </c>
      <c r="I887" s="26" t="n">
        <v>-3.37939922800623</v>
      </c>
      <c r="J887" s="26" t="n">
        <v>9.25</v>
      </c>
      <c r="K887" s="27" t="n">
        <f aca="false">MIN(F887,G887)</f>
        <v>-5.92060077199377</v>
      </c>
      <c r="L887" s="27" t="n">
        <f aca="false">AVERAGE(F887,G887)</f>
        <v>-5.92060077199377</v>
      </c>
      <c r="M887" s="27" t="n">
        <f aca="false">MAX(0,NG-L887)</f>
        <v>5.22060077199377</v>
      </c>
      <c r="N887" s="27" t="n">
        <f aca="false">MAX(0,GWL-K887)</f>
        <v>4.42060077199377</v>
      </c>
      <c r="O887" s="27" t="n">
        <f aca="false">MAX(0,NG-MAX(K887,GWL))</f>
        <v>0.8</v>
      </c>
      <c r="P887" s="27" t="n">
        <f aca="false">E887/2+WS+SLOPE_A*O887+SLOPE_B*N887</f>
        <v>12.0618023159813</v>
      </c>
      <c r="Q887" s="28" t="str">
        <f aca="false">IF(AND(P887&lt;J887,N887&lt;=MAXOC),"Open cut","Shoring")</f>
        <v>Shoring</v>
      </c>
      <c r="R887" s="27" t="n">
        <f aca="false">IF(Q887="Shoring",D887,0)</f>
        <v>0.959021747136074</v>
      </c>
      <c r="S887" s="27" t="n">
        <f aca="false">MAX(0,GWL-L887)</f>
        <v>4.42060077199377</v>
      </c>
      <c r="T887" s="27" t="n">
        <f aca="false">MAX(0,NG-MAX(L887,GWL))</f>
        <v>0.8</v>
      </c>
      <c r="U887" s="27" t="n">
        <f aca="false">E887+2*WS</f>
        <v>4.04120154398754</v>
      </c>
      <c r="V887" s="27" t="n">
        <f aca="false">IF(Q887="Shoring",D887*M887*U887,0)</f>
        <v>20.2329612146117</v>
      </c>
      <c r="W887" s="27" t="n">
        <f aca="false">IF(Q887="Open cut",D887*(U887*M887+SLOPE_B*S887^2+2*SLOPE_B*S887*T887+SLOPE_A*T887^2),0)</f>
        <v>0</v>
      </c>
      <c r="X887" s="27" t="n">
        <f aca="false">IF(M887&gt;0,D887*(E887+2*SLABOVH)*SLAB,0)</f>
        <v>1.45828920905393</v>
      </c>
      <c r="Y887" s="27" t="n">
        <f aca="false">IF(M887&gt;0,D887*PI()*E887^2/4,0)</f>
        <v>3.13826861233866</v>
      </c>
      <c r="Z887" s="27" t="n">
        <f aca="false">IF(H887-E887&gt;=GWL,99,E887*(MAX(0,GWL-H887)*(GAM_S-GAM_W)+MAX(0,NG-MAX(H887,GWL))*GAM_D)/(GAM_W*PI()*E887^2/4))</f>
        <v>1.89434449126366</v>
      </c>
      <c r="AA887" s="27" t="n">
        <f aca="false">IF(I887-E887&gt;=GWL,99,E887*(MAX(0,GWL-I887)*(GAM_S-GAM_W)+MAX(0,NG-MAX(I887,GWL))*GAM_D)/(GAM_W*PI()*E887^2/4))</f>
        <v>1.89434449126366</v>
      </c>
      <c r="AB887" s="27" t="n">
        <f aca="false">IF(H887-E887&gt;=GWL,99,E887*(MAX(0,GWL-H887)*(GAM_S-GAM_W)+MAX(0,FL-MAX(H887,GWL))*GAM_D)/(GAM_W*PI()*E887^2/4))</f>
        <v>3.8400479439839</v>
      </c>
      <c r="AC887" s="27" t="n">
        <f aca="false">IF(I887-E887&gt;=GWL,99,E887*(MAX(0,GWL-I887)*(GAM_S-GAM_W)+MAX(0,FL-MAX(I887,GWL))*GAM_D)/(GAM_W*PI()*E887^2/4))</f>
        <v>3.8400479439839</v>
      </c>
    </row>
    <row r="888" customFormat="false" ht="15" hidden="false" customHeight="false" outlineLevel="0" collapsed="false">
      <c r="A888" s="25" t="s">
        <v>1460</v>
      </c>
      <c r="B888" s="25" t="s">
        <v>1461</v>
      </c>
      <c r="C888" s="25" t="s">
        <v>1467</v>
      </c>
      <c r="D888" s="26" t="n">
        <v>3.10000272333137</v>
      </c>
      <c r="E888" s="26" t="n">
        <v>2.0449937571222</v>
      </c>
      <c r="F888" s="26" t="n">
        <v>-5.9224968785611</v>
      </c>
      <c r="G888" s="26" t="n">
        <v>-5.9224968785611</v>
      </c>
      <c r="H888" s="26" t="n">
        <v>-3.3775031214389</v>
      </c>
      <c r="I888" s="26" t="n">
        <v>-3.3775031214389</v>
      </c>
      <c r="J888" s="26" t="n">
        <v>9.63</v>
      </c>
      <c r="K888" s="27" t="n">
        <f aca="false">MIN(F888,G888)</f>
        <v>-5.9224968785611</v>
      </c>
      <c r="L888" s="27" t="n">
        <f aca="false">AVERAGE(F888,G888)</f>
        <v>-5.9224968785611</v>
      </c>
      <c r="M888" s="27" t="n">
        <f aca="false">MAX(0,NG-L888)</f>
        <v>5.2224968785611</v>
      </c>
      <c r="N888" s="27" t="n">
        <f aca="false">MAX(0,GWL-K888)</f>
        <v>4.4224968785611</v>
      </c>
      <c r="O888" s="27" t="n">
        <f aca="false">MAX(0,NG-MAX(K888,GWL))</f>
        <v>0.8</v>
      </c>
      <c r="P888" s="27" t="n">
        <f aca="false">E888/2+WS+SLOPE_A*O888+SLOPE_B*N888</f>
        <v>12.0674906356833</v>
      </c>
      <c r="Q888" s="28" t="str">
        <f aca="false">IF(AND(P888&lt;J888,N888&lt;=MAXOC),"Open cut","Shoring")</f>
        <v>Shoring</v>
      </c>
      <c r="R888" s="27" t="n">
        <f aca="false">IF(Q888="Shoring",D888,0)</f>
        <v>3.10000272333137</v>
      </c>
      <c r="S888" s="27" t="n">
        <f aca="false">MAX(0,GWL-L888)</f>
        <v>4.4224968785611</v>
      </c>
      <c r="T888" s="27" t="n">
        <f aca="false">MAX(0,NG-MAX(L888,GWL))</f>
        <v>0.8</v>
      </c>
      <c r="U888" s="27" t="n">
        <f aca="false">E888+2*WS</f>
        <v>4.0449937571222</v>
      </c>
      <c r="V888" s="27" t="n">
        <f aca="false">IF(Q888="Shoring",D888*M888*U888,0)</f>
        <v>65.4874560684326</v>
      </c>
      <c r="W888" s="27" t="n">
        <f aca="false">IF(Q888="Open cut",D888*(U888*M888+SLOPE_B*S888^2+2*SLOPE_B*S888*T888+SLOPE_A*T888^2),0)</f>
        <v>0</v>
      </c>
      <c r="X888" s="27" t="n">
        <f aca="false">IF(M888&gt;0,D888*(E888+2*SLABOVH)*SLAB,0)</f>
        <v>4.71974446980293</v>
      </c>
      <c r="Y888" s="27" t="n">
        <f aca="false">IF(M888&gt;0,D888*PI()*E888^2/4,0)</f>
        <v>10.1820665162738</v>
      </c>
      <c r="Z888" s="27" t="n">
        <f aca="false">IF(H888-E888&gt;=GWL,99,E888*(MAX(0,GWL-H888)*(GAM_S-GAM_W)+MAX(0,NG-MAX(H888,GWL))*GAM_D)/(GAM_W*PI()*E888^2/4))</f>
        <v>1.88984605159094</v>
      </c>
      <c r="AA888" s="27" t="n">
        <f aca="false">IF(I888-E888&gt;=GWL,99,E888*(MAX(0,GWL-I888)*(GAM_S-GAM_W)+MAX(0,NG-MAX(I888,GWL))*GAM_D)/(GAM_W*PI()*E888^2/4))</f>
        <v>1.88984605159094</v>
      </c>
      <c r="AB888" s="27" t="n">
        <f aca="false">IF(H888-E888&gt;=GWL,99,E888*(MAX(0,GWL-H888)*(GAM_S-GAM_W)+MAX(0,FL-MAX(H888,GWL))*GAM_D)/(GAM_W*PI()*E888^2/4))</f>
        <v>3.83194141398628</v>
      </c>
      <c r="AC888" s="27" t="n">
        <f aca="false">IF(I888-E888&gt;=GWL,99,E888*(MAX(0,GWL-I888)*(GAM_S-GAM_W)+MAX(0,FL-MAX(I888,GWL))*GAM_D)/(GAM_W*PI()*E888^2/4))</f>
        <v>3.83194141398628</v>
      </c>
    </row>
    <row r="889" customFormat="false" ht="15" hidden="false" customHeight="false" outlineLevel="0" collapsed="false">
      <c r="A889" s="25" t="s">
        <v>1460</v>
      </c>
      <c r="B889" s="25" t="s">
        <v>1461</v>
      </c>
      <c r="C889" s="25" t="s">
        <v>1468</v>
      </c>
      <c r="D889" s="26" t="n">
        <v>3.09999729064024</v>
      </c>
      <c r="E889" s="26" t="n">
        <v>2.04500015711925</v>
      </c>
      <c r="F889" s="26" t="n">
        <v>-5.92250007855962</v>
      </c>
      <c r="G889" s="26" t="n">
        <v>-5.92250007855962</v>
      </c>
      <c r="H889" s="26" t="n">
        <v>-3.37749992144038</v>
      </c>
      <c r="I889" s="26" t="n">
        <v>-3.37749992144038</v>
      </c>
      <c r="J889" s="26" t="n">
        <v>10.19</v>
      </c>
      <c r="K889" s="27" t="n">
        <f aca="false">MIN(F889,G889)</f>
        <v>-5.92250007855962</v>
      </c>
      <c r="L889" s="27" t="n">
        <f aca="false">AVERAGE(F889,G889)</f>
        <v>-5.92250007855962</v>
      </c>
      <c r="M889" s="27" t="n">
        <f aca="false">MAX(0,NG-L889)</f>
        <v>5.22250007855962</v>
      </c>
      <c r="N889" s="27" t="n">
        <f aca="false">MAX(0,GWL-K889)</f>
        <v>4.42250007855962</v>
      </c>
      <c r="O889" s="27" t="n">
        <f aca="false">MAX(0,NG-MAX(K889,GWL))</f>
        <v>0.8</v>
      </c>
      <c r="P889" s="27" t="n">
        <f aca="false">E889/2+WS+SLOPE_A*O889+SLOPE_B*N889</f>
        <v>12.0675002356789</v>
      </c>
      <c r="Q889" s="28" t="str">
        <f aca="false">IF(AND(P889&lt;J889,N889&lt;=MAXOC),"Open cut","Shoring")</f>
        <v>Shoring</v>
      </c>
      <c r="R889" s="27" t="n">
        <f aca="false">IF(Q889="Shoring",D889,0)</f>
        <v>3.09999729064024</v>
      </c>
      <c r="S889" s="27" t="n">
        <f aca="false">MAX(0,GWL-L889)</f>
        <v>4.42250007855962</v>
      </c>
      <c r="T889" s="27" t="n">
        <f aca="false">MAX(0,NG-MAX(L889,GWL))</f>
        <v>0.8</v>
      </c>
      <c r="U889" s="27" t="n">
        <f aca="false">E889+2*WS</f>
        <v>4.04500015711925</v>
      </c>
      <c r="V889" s="27" t="n">
        <f aca="false">IF(Q889="Shoring",D889*M889*U889,0)</f>
        <v>65.4874850435579</v>
      </c>
      <c r="W889" s="27" t="n">
        <f aca="false">IF(Q889="Open cut",D889*(U889*M889+SLOPE_B*S889^2+2*SLOPE_B*S889*T889+SLOPE_A*T889^2),0)</f>
        <v>0</v>
      </c>
      <c r="X889" s="27" t="n">
        <f aca="false">IF(M889&gt;0,D889*(E889+2*SLABOVH)*SLAB,0)</f>
        <v>4.71974611853439</v>
      </c>
      <c r="Y889" s="27" t="n">
        <f aca="false">IF(M889&gt;0,D889*PI()*E889^2/4,0)</f>
        <v>10.1821124038365</v>
      </c>
      <c r="Z889" s="27" t="n">
        <f aca="false">IF(H889-E889&gt;=GWL,99,E889*(MAX(0,GWL-H889)*(GAM_S-GAM_W)+MAX(0,NG-MAX(H889,GWL))*GAM_D)/(GAM_W*PI()*E889^2/4))</f>
        <v>1.88983847381991</v>
      </c>
      <c r="AA889" s="27" t="n">
        <f aca="false">IF(I889-E889&gt;=GWL,99,E889*(MAX(0,GWL-I889)*(GAM_S-GAM_W)+MAX(0,NG-MAX(I889,GWL))*GAM_D)/(GAM_W*PI()*E889^2/4))</f>
        <v>1.88983847381991</v>
      </c>
      <c r="AB889" s="27" t="n">
        <f aca="false">IF(H889-E889&gt;=GWL,99,E889*(MAX(0,GWL-H889)*(GAM_S-GAM_W)+MAX(0,FL-MAX(H889,GWL))*GAM_D)/(GAM_W*PI()*E889^2/4))</f>
        <v>3.83192775826727</v>
      </c>
      <c r="AC889" s="27" t="n">
        <f aca="false">IF(I889-E889&gt;=GWL,99,E889*(MAX(0,GWL-I889)*(GAM_S-GAM_W)+MAX(0,FL-MAX(I889,GWL))*GAM_D)/(GAM_W*PI()*E889^2/4))</f>
        <v>3.83192775826727</v>
      </c>
    </row>
    <row r="890" customFormat="false" ht="15" hidden="false" customHeight="false" outlineLevel="0" collapsed="false">
      <c r="A890" s="25" t="s">
        <v>1460</v>
      </c>
      <c r="B890" s="25" t="s">
        <v>1469</v>
      </c>
      <c r="C890" s="25" t="s">
        <v>1470</v>
      </c>
      <c r="D890" s="26" t="n">
        <v>0.281864019044852</v>
      </c>
      <c r="E890" s="26" t="n">
        <v>2.06959942188185</v>
      </c>
      <c r="F890" s="26" t="n">
        <v>-5.93479971094093</v>
      </c>
      <c r="G890" s="26" t="n">
        <v>-5.93479971094093</v>
      </c>
      <c r="H890" s="26" t="n">
        <v>-3.36520028905908</v>
      </c>
      <c r="I890" s="26" t="n">
        <v>-3.36520028905908</v>
      </c>
      <c r="J890" s="26" t="n">
        <v>10.13</v>
      </c>
      <c r="K890" s="27" t="n">
        <f aca="false">MIN(F890,G890)</f>
        <v>-5.93479971094093</v>
      </c>
      <c r="L890" s="27" t="n">
        <f aca="false">AVERAGE(F890,G890)</f>
        <v>-5.93479971094093</v>
      </c>
      <c r="M890" s="27" t="n">
        <f aca="false">MAX(0,NG-L890)</f>
        <v>5.23479971094092</v>
      </c>
      <c r="N890" s="27" t="n">
        <f aca="false">MAX(0,GWL-K890)</f>
        <v>4.43479971094093</v>
      </c>
      <c r="O890" s="27" t="n">
        <f aca="false">MAX(0,NG-MAX(K890,GWL))</f>
        <v>0.8</v>
      </c>
      <c r="P890" s="27" t="n">
        <f aca="false">E890/2+WS+SLOPE_A*O890+SLOPE_B*N890</f>
        <v>12.1043991328228</v>
      </c>
      <c r="Q890" s="28" t="str">
        <f aca="false">IF(AND(P890&lt;J890,N890&lt;=MAXOC),"Open cut","Shoring")</f>
        <v>Shoring</v>
      </c>
      <c r="R890" s="27" t="n">
        <f aca="false">IF(Q890="Shoring",D890,0)</f>
        <v>0.281864019044852</v>
      </c>
      <c r="S890" s="27" t="n">
        <f aca="false">MAX(0,GWL-L890)</f>
        <v>4.43479971094093</v>
      </c>
      <c r="T890" s="27" t="n">
        <f aca="false">MAX(0,NG-MAX(L890,GWL))</f>
        <v>0.8</v>
      </c>
      <c r="U890" s="27" t="n">
        <f aca="false">E890+2*WS</f>
        <v>4.06959942188185</v>
      </c>
      <c r="V890" s="27" t="n">
        <f aca="false">IF(Q890="Shoring",D890*M890*U890,0)</f>
        <v>6.00470080597352</v>
      </c>
      <c r="W890" s="27" t="n">
        <f aca="false">IF(Q890="Open cut",D890*(U890*M890+SLOPE_B*S890^2+2*SLOPE_B*S890*T890+SLOPE_A*T890^2),0)</f>
        <v>0</v>
      </c>
      <c r="X890" s="27" t="n">
        <f aca="false">IF(M890&gt;0,D890*(E890+2*SLABOVH)*SLAB,0)</f>
        <v>0.432604814954686</v>
      </c>
      <c r="Y890" s="27" t="n">
        <f aca="false">IF(M890&gt;0,D890*PI()*E890^2/4,0)</f>
        <v>0.948204714497493</v>
      </c>
      <c r="Z890" s="27" t="n">
        <f aca="false">IF(H890-E890&gt;=GWL,99,E890*(MAX(0,GWL-H890)*(GAM_S-GAM_W)+MAX(0,NG-MAX(H890,GWL))*GAM_D)/(GAM_W*PI()*E890^2/4))</f>
        <v>1.86105855768884</v>
      </c>
      <c r="AA890" s="27" t="n">
        <f aca="false">IF(I890-E890&gt;=GWL,99,E890*(MAX(0,GWL-I890)*(GAM_S-GAM_W)+MAX(0,NG-MAX(I890,GWL))*GAM_D)/(GAM_W*PI()*E890^2/4))</f>
        <v>1.86105855768884</v>
      </c>
      <c r="AB890" s="27" t="n">
        <f aca="false">IF(H890-E890&gt;=GWL,99,E890*(MAX(0,GWL-H890)*(GAM_S-GAM_W)+MAX(0,FL-MAX(H890,GWL))*GAM_D)/(GAM_W*PI()*E890^2/4))</f>
        <v>3.78006416323891</v>
      </c>
      <c r="AC890" s="27" t="n">
        <f aca="false">IF(I890-E890&gt;=GWL,99,E890*(MAX(0,GWL-I890)*(GAM_S-GAM_W)+MAX(0,FL-MAX(I890,GWL))*GAM_D)/(GAM_W*PI()*E890^2/4))</f>
        <v>3.78006416323891</v>
      </c>
    </row>
    <row r="891" customFormat="false" ht="15" hidden="false" customHeight="false" outlineLevel="0" collapsed="false">
      <c r="A891" s="25" t="s">
        <v>1460</v>
      </c>
      <c r="B891" s="25" t="s">
        <v>1469</v>
      </c>
      <c r="C891" s="25" t="s">
        <v>1471</v>
      </c>
      <c r="D891" s="26" t="n">
        <v>5.58262598083748</v>
      </c>
      <c r="E891" s="26" t="n">
        <v>2.06959942188185</v>
      </c>
      <c r="F891" s="26" t="n">
        <v>-5.93479971094093</v>
      </c>
      <c r="G891" s="26" t="n">
        <v>-5.93479971094093</v>
      </c>
      <c r="H891" s="26" t="n">
        <v>-3.36520028905908</v>
      </c>
      <c r="I891" s="26" t="n">
        <v>-3.36520028905908</v>
      </c>
      <c r="J891" s="26" t="n">
        <v>9.33</v>
      </c>
      <c r="K891" s="27" t="n">
        <f aca="false">MIN(F891,G891)</f>
        <v>-5.93479971094093</v>
      </c>
      <c r="L891" s="27" t="n">
        <f aca="false">AVERAGE(F891,G891)</f>
        <v>-5.93479971094093</v>
      </c>
      <c r="M891" s="27" t="n">
        <f aca="false">MAX(0,NG-L891)</f>
        <v>5.23479971094092</v>
      </c>
      <c r="N891" s="27" t="n">
        <f aca="false">MAX(0,GWL-K891)</f>
        <v>4.43479971094093</v>
      </c>
      <c r="O891" s="27" t="n">
        <f aca="false">MAX(0,NG-MAX(K891,GWL))</f>
        <v>0.8</v>
      </c>
      <c r="P891" s="27" t="n">
        <f aca="false">E891/2+WS+SLOPE_A*O891+SLOPE_B*N891</f>
        <v>12.1043991328228</v>
      </c>
      <c r="Q891" s="28" t="str">
        <f aca="false">IF(AND(P891&lt;J891,N891&lt;=MAXOC),"Open cut","Shoring")</f>
        <v>Shoring</v>
      </c>
      <c r="R891" s="27" t="n">
        <f aca="false">IF(Q891="Shoring",D891,0)</f>
        <v>5.58262598083748</v>
      </c>
      <c r="S891" s="27" t="n">
        <f aca="false">MAX(0,GWL-L891)</f>
        <v>4.43479971094093</v>
      </c>
      <c r="T891" s="27" t="n">
        <f aca="false">MAX(0,NG-MAX(L891,GWL))</f>
        <v>0.8</v>
      </c>
      <c r="U891" s="27" t="n">
        <f aca="false">E891+2*WS</f>
        <v>4.06959942188185</v>
      </c>
      <c r="V891" s="27" t="n">
        <f aca="false">IF(Q891="Shoring",D891*M891*U891,0)</f>
        <v>118.92968403764</v>
      </c>
      <c r="W891" s="27" t="n">
        <f aca="false">IF(Q891="Open cut",D891*(U891*M891+SLOPE_B*S891^2+2*SLOPE_B*S891*T891+SLOPE_A*T891^2),0)</f>
        <v>0</v>
      </c>
      <c r="X891" s="27" t="n">
        <f aca="false">IF(M891&gt;0,D891*(E891+2*SLABOVH)*SLAB,0)</f>
        <v>8.56821274168065</v>
      </c>
      <c r="Y891" s="27" t="n">
        <f aca="false">IF(M891&gt;0,D891*PI()*E891^2/4,0)</f>
        <v>18.7802341435569</v>
      </c>
      <c r="Z891" s="27" t="n">
        <f aca="false">IF(H891-E891&gt;=GWL,99,E891*(MAX(0,GWL-H891)*(GAM_S-GAM_W)+MAX(0,NG-MAX(H891,GWL))*GAM_D)/(GAM_W*PI()*E891^2/4))</f>
        <v>1.86105855768884</v>
      </c>
      <c r="AA891" s="27" t="n">
        <f aca="false">IF(I891-E891&gt;=GWL,99,E891*(MAX(0,GWL-I891)*(GAM_S-GAM_W)+MAX(0,NG-MAX(I891,GWL))*GAM_D)/(GAM_W*PI()*E891^2/4))</f>
        <v>1.86105855768884</v>
      </c>
      <c r="AB891" s="27" t="n">
        <f aca="false">IF(H891-E891&gt;=GWL,99,E891*(MAX(0,GWL-H891)*(GAM_S-GAM_W)+MAX(0,FL-MAX(H891,GWL))*GAM_D)/(GAM_W*PI()*E891^2/4))</f>
        <v>3.78006416323891</v>
      </c>
      <c r="AC891" s="27" t="n">
        <f aca="false">IF(I891-E891&gt;=GWL,99,E891*(MAX(0,GWL-I891)*(GAM_S-GAM_W)+MAX(0,FL-MAX(I891,GWL))*GAM_D)/(GAM_W*PI()*E891^2/4))</f>
        <v>3.78006416323891</v>
      </c>
    </row>
    <row r="892" customFormat="false" ht="15" hidden="false" customHeight="false" outlineLevel="0" collapsed="false">
      <c r="A892" s="25" t="s">
        <v>1460</v>
      </c>
      <c r="B892" s="25" t="s">
        <v>1469</v>
      </c>
      <c r="C892" s="25" t="s">
        <v>1472</v>
      </c>
      <c r="D892" s="26" t="n">
        <v>2.48234523133191</v>
      </c>
      <c r="E892" s="26" t="n">
        <v>2.06960071665032</v>
      </c>
      <c r="F892" s="26" t="n">
        <v>-5.93480035832516</v>
      </c>
      <c r="G892" s="26" t="n">
        <v>-5.93480035832516</v>
      </c>
      <c r="H892" s="26" t="n">
        <v>-3.36519964167484</v>
      </c>
      <c r="I892" s="26" t="n">
        <v>-3.36519964167484</v>
      </c>
      <c r="J892" s="26" t="n">
        <v>9.24</v>
      </c>
      <c r="K892" s="27" t="n">
        <f aca="false">MIN(F892,G892)</f>
        <v>-5.93480035832516</v>
      </c>
      <c r="L892" s="27" t="n">
        <f aca="false">AVERAGE(F892,G892)</f>
        <v>-5.93480035832516</v>
      </c>
      <c r="M892" s="27" t="n">
        <f aca="false">MAX(0,NG-L892)</f>
        <v>5.23480035832516</v>
      </c>
      <c r="N892" s="27" t="n">
        <f aca="false">MAX(0,GWL-K892)</f>
        <v>4.43480035832516</v>
      </c>
      <c r="O892" s="27" t="n">
        <f aca="false">MAX(0,NG-MAX(K892,GWL))</f>
        <v>0.8</v>
      </c>
      <c r="P892" s="27" t="n">
        <f aca="false">E892/2+WS+SLOPE_A*O892+SLOPE_B*N892</f>
        <v>12.1044010749755</v>
      </c>
      <c r="Q892" s="28" t="str">
        <f aca="false">IF(AND(P892&lt;J892,N892&lt;=MAXOC),"Open cut","Shoring")</f>
        <v>Shoring</v>
      </c>
      <c r="R892" s="27" t="n">
        <f aca="false">IF(Q892="Shoring",D892,0)</f>
        <v>2.48234523133191</v>
      </c>
      <c r="S892" s="27" t="n">
        <f aca="false">MAX(0,GWL-L892)</f>
        <v>4.43480035832516</v>
      </c>
      <c r="T892" s="27" t="n">
        <f aca="false">MAX(0,NG-MAX(L892,GWL))</f>
        <v>0.8</v>
      </c>
      <c r="U892" s="27" t="n">
        <f aca="false">E892+2*WS</f>
        <v>4.06960071665032</v>
      </c>
      <c r="V892" s="27" t="n">
        <f aca="false">IF(Q892="Shoring",D892*M892*U892,0)</f>
        <v>52.8827590251931</v>
      </c>
      <c r="W892" s="27" t="n">
        <f aca="false">IF(Q892="Open cut",D892*(U892*M892+SLOPE_B*S892^2+2*SLOPE_B*S892*T892+SLOPE_A*T892^2),0)</f>
        <v>0</v>
      </c>
      <c r="X892" s="27" t="n">
        <f aca="false">IF(M892&gt;0,D892*(E892+2*SLABOVH)*SLAB,0)</f>
        <v>3.80990435053496</v>
      </c>
      <c r="Y892" s="27" t="n">
        <f aca="false">IF(M892&gt;0,D892*PI()*E892^2/4,0)</f>
        <v>8.35074446336506</v>
      </c>
      <c r="Z892" s="27" t="n">
        <f aca="false">IF(H892-E892&gt;=GWL,99,E892*(MAX(0,GWL-H892)*(GAM_S-GAM_W)+MAX(0,NG-MAX(H892,GWL))*GAM_D)/(GAM_W*PI()*E892^2/4))</f>
        <v>1.86105706088017</v>
      </c>
      <c r="AA892" s="27" t="n">
        <f aca="false">IF(I892-E892&gt;=GWL,99,E892*(MAX(0,GWL-I892)*(GAM_S-GAM_W)+MAX(0,NG-MAX(I892,GWL))*GAM_D)/(GAM_W*PI()*E892^2/4))</f>
        <v>1.86105706088017</v>
      </c>
      <c r="AB892" s="27" t="n">
        <f aca="false">IF(H892-E892&gt;=GWL,99,E892*(MAX(0,GWL-H892)*(GAM_S-GAM_W)+MAX(0,FL-MAX(H892,GWL))*GAM_D)/(GAM_W*PI()*E892^2/4))</f>
        <v>3.78006146587599</v>
      </c>
      <c r="AC892" s="27" t="n">
        <f aca="false">IF(I892-E892&gt;=GWL,99,E892*(MAX(0,GWL-I892)*(GAM_S-GAM_W)+MAX(0,FL-MAX(I892,GWL))*GAM_D)/(GAM_W*PI()*E892^2/4))</f>
        <v>3.78006146587599</v>
      </c>
    </row>
    <row r="893" customFormat="false" ht="15" hidden="false" customHeight="false" outlineLevel="0" collapsed="false">
      <c r="A893" s="25" t="s">
        <v>1460</v>
      </c>
      <c r="B893" s="25" t="s">
        <v>1469</v>
      </c>
      <c r="C893" s="25" t="s">
        <v>1473</v>
      </c>
      <c r="D893" s="26" t="n">
        <v>1.93502878759314</v>
      </c>
      <c r="E893" s="26" t="n">
        <v>2.06960071665032</v>
      </c>
      <c r="F893" s="26" t="n">
        <v>-5.93480035832516</v>
      </c>
      <c r="G893" s="26" t="n">
        <v>-5.93480035832516</v>
      </c>
      <c r="H893" s="26" t="n">
        <v>-3.36519964167484</v>
      </c>
      <c r="I893" s="26" t="n">
        <v>-3.36519964167484</v>
      </c>
      <c r="J893" s="26" t="n">
        <v>9.23</v>
      </c>
      <c r="K893" s="27" t="n">
        <f aca="false">MIN(F893,G893)</f>
        <v>-5.93480035832516</v>
      </c>
      <c r="L893" s="27" t="n">
        <f aca="false">AVERAGE(F893,G893)</f>
        <v>-5.93480035832516</v>
      </c>
      <c r="M893" s="27" t="n">
        <f aca="false">MAX(0,NG-L893)</f>
        <v>5.23480035832516</v>
      </c>
      <c r="N893" s="27" t="n">
        <f aca="false">MAX(0,GWL-K893)</f>
        <v>4.43480035832516</v>
      </c>
      <c r="O893" s="27" t="n">
        <f aca="false">MAX(0,NG-MAX(K893,GWL))</f>
        <v>0.8</v>
      </c>
      <c r="P893" s="27" t="n">
        <f aca="false">E893/2+WS+SLOPE_A*O893+SLOPE_B*N893</f>
        <v>12.1044010749755</v>
      </c>
      <c r="Q893" s="28" t="str">
        <f aca="false">IF(AND(P893&lt;J893,N893&lt;=MAXOC),"Open cut","Shoring")</f>
        <v>Shoring</v>
      </c>
      <c r="R893" s="27" t="n">
        <f aca="false">IF(Q893="Shoring",D893,0)</f>
        <v>1.93502878759314</v>
      </c>
      <c r="S893" s="27" t="n">
        <f aca="false">MAX(0,GWL-L893)</f>
        <v>4.43480035832516</v>
      </c>
      <c r="T893" s="27" t="n">
        <f aca="false">MAX(0,NG-MAX(L893,GWL))</f>
        <v>0.8</v>
      </c>
      <c r="U893" s="27" t="n">
        <f aca="false">E893+2*WS</f>
        <v>4.06960071665032</v>
      </c>
      <c r="V893" s="27" t="n">
        <f aca="false">IF(Q893="Shoring",D893*M893*U893,0)</f>
        <v>41.22297728354</v>
      </c>
      <c r="W893" s="27" t="n">
        <f aca="false">IF(Q893="Open cut",D893*(U893*M893+SLOPE_B*S893^2+2*SLOPE_B*S893*T893+SLOPE_A*T893^2),0)</f>
        <v>0</v>
      </c>
      <c r="X893" s="27" t="n">
        <f aca="false">IF(M893&gt;0,D893*(E893+2*SLABOVH)*SLAB,0)</f>
        <v>2.96988287656744</v>
      </c>
      <c r="Y893" s="27" t="n">
        <f aca="false">IF(M893&gt;0,D893*PI()*E893^2/4,0)</f>
        <v>6.5095421581531</v>
      </c>
      <c r="Z893" s="27" t="n">
        <f aca="false">IF(H893-E893&gt;=GWL,99,E893*(MAX(0,GWL-H893)*(GAM_S-GAM_W)+MAX(0,NG-MAX(H893,GWL))*GAM_D)/(GAM_W*PI()*E893^2/4))</f>
        <v>1.86105706088017</v>
      </c>
      <c r="AA893" s="27" t="n">
        <f aca="false">IF(I893-E893&gt;=GWL,99,E893*(MAX(0,GWL-I893)*(GAM_S-GAM_W)+MAX(0,NG-MAX(I893,GWL))*GAM_D)/(GAM_W*PI()*E893^2/4))</f>
        <v>1.86105706088017</v>
      </c>
      <c r="AB893" s="27" t="n">
        <f aca="false">IF(H893-E893&gt;=GWL,99,E893*(MAX(0,GWL-H893)*(GAM_S-GAM_W)+MAX(0,FL-MAX(H893,GWL))*GAM_D)/(GAM_W*PI()*E893^2/4))</f>
        <v>3.78006146587599</v>
      </c>
      <c r="AC893" s="27" t="n">
        <f aca="false">IF(I893-E893&gt;=GWL,99,E893*(MAX(0,GWL-I893)*(GAM_S-GAM_W)+MAX(0,FL-MAX(I893,GWL))*GAM_D)/(GAM_W*PI()*E893^2/4))</f>
        <v>3.78006146587599</v>
      </c>
    </row>
    <row r="894" customFormat="false" ht="15" hidden="false" customHeight="false" outlineLevel="0" collapsed="false">
      <c r="A894" s="25" t="s">
        <v>1460</v>
      </c>
      <c r="B894" s="25" t="s">
        <v>1469</v>
      </c>
      <c r="C894" s="25" t="s">
        <v>1474</v>
      </c>
      <c r="D894" s="26" t="n">
        <v>9.99999999994236</v>
      </c>
      <c r="E894" s="26" t="n">
        <v>2.06960071665032</v>
      </c>
      <c r="F894" s="26" t="n">
        <v>-5.93480035832516</v>
      </c>
      <c r="G894" s="26" t="n">
        <v>-5.93480035832516</v>
      </c>
      <c r="H894" s="26" t="n">
        <v>-3.36519964167484</v>
      </c>
      <c r="I894" s="26" t="n">
        <v>-3.36519964167484</v>
      </c>
      <c r="J894" s="26" t="n">
        <v>9.27</v>
      </c>
      <c r="K894" s="27" t="n">
        <f aca="false">MIN(F894,G894)</f>
        <v>-5.93480035832516</v>
      </c>
      <c r="L894" s="27" t="n">
        <f aca="false">AVERAGE(F894,G894)</f>
        <v>-5.93480035832516</v>
      </c>
      <c r="M894" s="27" t="n">
        <f aca="false">MAX(0,NG-L894)</f>
        <v>5.23480035832516</v>
      </c>
      <c r="N894" s="27" t="n">
        <f aca="false">MAX(0,GWL-K894)</f>
        <v>4.43480035832516</v>
      </c>
      <c r="O894" s="27" t="n">
        <f aca="false">MAX(0,NG-MAX(K894,GWL))</f>
        <v>0.8</v>
      </c>
      <c r="P894" s="27" t="n">
        <f aca="false">E894/2+WS+SLOPE_A*O894+SLOPE_B*N894</f>
        <v>12.1044010749755</v>
      </c>
      <c r="Q894" s="28" t="str">
        <f aca="false">IF(AND(P894&lt;J894,N894&lt;=MAXOC),"Open cut","Shoring")</f>
        <v>Shoring</v>
      </c>
      <c r="R894" s="27" t="n">
        <f aca="false">IF(Q894="Shoring",D894,0)</f>
        <v>9.99999999994236</v>
      </c>
      <c r="S894" s="27" t="n">
        <f aca="false">MAX(0,GWL-L894)</f>
        <v>4.43480035832516</v>
      </c>
      <c r="T894" s="27" t="n">
        <f aca="false">MAX(0,NG-MAX(L894,GWL))</f>
        <v>0.8</v>
      </c>
      <c r="U894" s="27" t="n">
        <f aca="false">E894+2*WS</f>
        <v>4.06960071665032</v>
      </c>
      <c r="V894" s="27" t="n">
        <f aca="false">IF(Q894="Shoring",D894*M894*U894,0)</f>
        <v>213.035472896386</v>
      </c>
      <c r="W894" s="27" t="n">
        <f aca="false">IF(Q894="Open cut",D894*(U894*M894+SLOPE_B*S894^2+2*SLOPE_B*S894*T894+SLOPE_A*T894^2),0)</f>
        <v>0</v>
      </c>
      <c r="X894" s="27" t="n">
        <f aca="false">IF(M894&gt;0,D894*(E894+2*SLABOVH)*SLAB,0)</f>
        <v>15.3480035831631</v>
      </c>
      <c r="Y894" s="27" t="n">
        <f aca="false">IF(M894&gt;0,D894*PI()*E894^2/4,0)</f>
        <v>33.6405442640076</v>
      </c>
      <c r="Z894" s="27" t="n">
        <f aca="false">IF(H894-E894&gt;=GWL,99,E894*(MAX(0,GWL-H894)*(GAM_S-GAM_W)+MAX(0,NG-MAX(H894,GWL))*GAM_D)/(GAM_W*PI()*E894^2/4))</f>
        <v>1.86105706088017</v>
      </c>
      <c r="AA894" s="27" t="n">
        <f aca="false">IF(I894-E894&gt;=GWL,99,E894*(MAX(0,GWL-I894)*(GAM_S-GAM_W)+MAX(0,NG-MAX(I894,GWL))*GAM_D)/(GAM_W*PI()*E894^2/4))</f>
        <v>1.86105706088017</v>
      </c>
      <c r="AB894" s="27" t="n">
        <f aca="false">IF(H894-E894&gt;=GWL,99,E894*(MAX(0,GWL-H894)*(GAM_S-GAM_W)+MAX(0,FL-MAX(H894,GWL))*GAM_D)/(GAM_W*PI()*E894^2/4))</f>
        <v>3.78006146587599</v>
      </c>
      <c r="AC894" s="27" t="n">
        <f aca="false">IF(I894-E894&gt;=GWL,99,E894*(MAX(0,GWL-I894)*(GAM_S-GAM_W)+MAX(0,FL-MAX(I894,GWL))*GAM_D)/(GAM_W*PI()*E894^2/4))</f>
        <v>3.78006146587599</v>
      </c>
    </row>
    <row r="895" customFormat="false" ht="15" hidden="false" customHeight="false" outlineLevel="0" collapsed="false">
      <c r="A895" s="25" t="s">
        <v>1460</v>
      </c>
      <c r="B895" s="25" t="s">
        <v>1469</v>
      </c>
      <c r="C895" s="25" t="s">
        <v>1475</v>
      </c>
      <c r="D895" s="26" t="n">
        <v>3.31746487262477</v>
      </c>
      <c r="E895" s="26" t="n">
        <v>2.06960071665032</v>
      </c>
      <c r="F895" s="26" t="n">
        <v>-5.93480035832516</v>
      </c>
      <c r="G895" s="26" t="n">
        <v>-5.93480035832516</v>
      </c>
      <c r="H895" s="26" t="n">
        <v>-3.36519964167484</v>
      </c>
      <c r="I895" s="26" t="n">
        <v>-3.36519964167484</v>
      </c>
      <c r="J895" s="26" t="n">
        <v>10.98</v>
      </c>
      <c r="K895" s="27" t="n">
        <f aca="false">MIN(F895,G895)</f>
        <v>-5.93480035832516</v>
      </c>
      <c r="L895" s="27" t="n">
        <f aca="false">AVERAGE(F895,G895)</f>
        <v>-5.93480035832516</v>
      </c>
      <c r="M895" s="27" t="n">
        <f aca="false">MAX(0,NG-L895)</f>
        <v>5.23480035832516</v>
      </c>
      <c r="N895" s="27" t="n">
        <f aca="false">MAX(0,GWL-K895)</f>
        <v>4.43480035832516</v>
      </c>
      <c r="O895" s="27" t="n">
        <f aca="false">MAX(0,NG-MAX(K895,GWL))</f>
        <v>0.8</v>
      </c>
      <c r="P895" s="27" t="n">
        <f aca="false">E895/2+WS+SLOPE_A*O895+SLOPE_B*N895</f>
        <v>12.1044010749755</v>
      </c>
      <c r="Q895" s="28" t="str">
        <f aca="false">IF(AND(P895&lt;J895,N895&lt;=MAXOC),"Open cut","Shoring")</f>
        <v>Shoring</v>
      </c>
      <c r="R895" s="27" t="n">
        <f aca="false">IF(Q895="Shoring",D895,0)</f>
        <v>3.31746487262477</v>
      </c>
      <c r="S895" s="27" t="n">
        <f aca="false">MAX(0,GWL-L895)</f>
        <v>4.43480035832516</v>
      </c>
      <c r="T895" s="27" t="n">
        <f aca="false">MAX(0,NG-MAX(L895,GWL))</f>
        <v>0.8</v>
      </c>
      <c r="U895" s="27" t="n">
        <f aca="false">E895+2*WS</f>
        <v>4.06960071665032</v>
      </c>
      <c r="V895" s="27" t="n">
        <f aca="false">IF(Q895="Shoring",D895*M895*U895,0)</f>
        <v>70.6737697960841</v>
      </c>
      <c r="W895" s="27" t="n">
        <f aca="false">IF(Q895="Open cut",D895*(U895*M895+SLOPE_B*S895^2+2*SLOPE_B*S895*T895+SLOPE_A*T895^2),0)</f>
        <v>0</v>
      </c>
      <c r="X895" s="27" t="n">
        <f aca="false">IF(M895&gt;0,D895*(E895+2*SLABOVH)*SLAB,0)</f>
        <v>5.09164627523563</v>
      </c>
      <c r="Y895" s="27" t="n">
        <f aca="false">IF(M895&gt;0,D895*PI()*E895^2/4,0)</f>
        <v>11.1601323892467</v>
      </c>
      <c r="Z895" s="27" t="n">
        <f aca="false">IF(H895-E895&gt;=GWL,99,E895*(MAX(0,GWL-H895)*(GAM_S-GAM_W)+MAX(0,NG-MAX(H895,GWL))*GAM_D)/(GAM_W*PI()*E895^2/4))</f>
        <v>1.86105706088017</v>
      </c>
      <c r="AA895" s="27" t="n">
        <f aca="false">IF(I895-E895&gt;=GWL,99,E895*(MAX(0,GWL-I895)*(GAM_S-GAM_W)+MAX(0,NG-MAX(I895,GWL))*GAM_D)/(GAM_W*PI()*E895^2/4))</f>
        <v>1.86105706088017</v>
      </c>
      <c r="AB895" s="27" t="n">
        <f aca="false">IF(H895-E895&gt;=GWL,99,E895*(MAX(0,GWL-H895)*(GAM_S-GAM_W)+MAX(0,FL-MAX(H895,GWL))*GAM_D)/(GAM_W*PI()*E895^2/4))</f>
        <v>3.78006146587599</v>
      </c>
      <c r="AC895" s="27" t="n">
        <f aca="false">IF(I895-E895&gt;=GWL,99,E895*(MAX(0,GWL-I895)*(GAM_S-GAM_W)+MAX(0,FL-MAX(I895,GWL))*GAM_D)/(GAM_W*PI()*E895^2/4))</f>
        <v>3.78006146587599</v>
      </c>
    </row>
    <row r="896" customFormat="false" ht="15" hidden="false" customHeight="false" outlineLevel="0" collapsed="false">
      <c r="A896" s="25" t="s">
        <v>1460</v>
      </c>
      <c r="B896" s="25" t="s">
        <v>1469</v>
      </c>
      <c r="C896" s="25" t="s">
        <v>1476</v>
      </c>
      <c r="D896" s="26" t="n">
        <v>3.10000095341695</v>
      </c>
      <c r="E896" s="26" t="n">
        <v>2.04499916887012</v>
      </c>
      <c r="F896" s="26" t="n">
        <v>-5.92249958443506</v>
      </c>
      <c r="G896" s="26" t="n">
        <v>-5.92249958443506</v>
      </c>
      <c r="H896" s="26" t="n">
        <v>-3.37750041556494</v>
      </c>
      <c r="I896" s="26" t="n">
        <v>-3.37750041556494</v>
      </c>
      <c r="J896" s="26" t="n">
        <v>12.07</v>
      </c>
      <c r="K896" s="27" t="n">
        <f aca="false">MIN(F896,G896)</f>
        <v>-5.92249958443506</v>
      </c>
      <c r="L896" s="27" t="n">
        <f aca="false">AVERAGE(F896,G896)</f>
        <v>-5.92249958443506</v>
      </c>
      <c r="M896" s="27" t="n">
        <f aca="false">MAX(0,NG-L896)</f>
        <v>5.22249958443506</v>
      </c>
      <c r="N896" s="27" t="n">
        <f aca="false">MAX(0,GWL-K896)</f>
        <v>4.42249958443506</v>
      </c>
      <c r="O896" s="27" t="n">
        <f aca="false">MAX(0,NG-MAX(K896,GWL))</f>
        <v>0.8</v>
      </c>
      <c r="P896" s="27" t="n">
        <f aca="false">E896/2+WS+SLOPE_A*O896+SLOPE_B*N896</f>
        <v>12.0674987533052</v>
      </c>
      <c r="Q896" s="28" t="str">
        <f aca="false">IF(AND(P896&lt;J896,N896&lt;=MAXOC),"Open cut","Shoring")</f>
        <v>Shoring</v>
      </c>
      <c r="R896" s="27" t="n">
        <f aca="false">IF(Q896="Shoring",D896,0)</f>
        <v>3.10000095341695</v>
      </c>
      <c r="S896" s="27" t="n">
        <f aca="false">MAX(0,GWL-L896)</f>
        <v>4.42249958443506</v>
      </c>
      <c r="T896" s="27" t="n">
        <f aca="false">MAX(0,NG-MAX(L896,GWL))</f>
        <v>0.8</v>
      </c>
      <c r="U896" s="27" t="n">
        <f aca="false">E896+2*WS</f>
        <v>4.04499916887012</v>
      </c>
      <c r="V896" s="27" t="n">
        <f aca="false">IF(Q896="Shoring",D896*M896*U896,0)</f>
        <v>65.4875402241787</v>
      </c>
      <c r="W896" s="27" t="n">
        <f aca="false">IF(Q896="Open cut",D896*(U896*M896+SLOPE_B*S896^2+2*SLOPE_B*S896*T896+SLOPE_A*T896^2),0)</f>
        <v>0</v>
      </c>
      <c r="X896" s="27" t="n">
        <f aca="false">IF(M896&gt;0,D896*(E896+2*SLABOVH)*SLAB,0)</f>
        <v>4.71975016332559</v>
      </c>
      <c r="Y896" s="27" t="n">
        <f aca="false">IF(M896&gt;0,D896*PI()*E896^2/4,0)</f>
        <v>10.1821145933802</v>
      </c>
      <c r="Z896" s="27" t="n">
        <f aca="false">IF(H896-E896&gt;=GWL,99,E896*(MAX(0,GWL-H896)*(GAM_S-GAM_W)+MAX(0,NG-MAX(H896,GWL))*GAM_D)/(GAM_W*PI()*E896^2/4))</f>
        <v>1.88983964393072</v>
      </c>
      <c r="AA896" s="27" t="n">
        <f aca="false">IF(I896-E896&gt;=GWL,99,E896*(MAX(0,GWL-I896)*(GAM_S-GAM_W)+MAX(0,NG-MAX(I896,GWL))*GAM_D)/(GAM_W*PI()*E896^2/4))</f>
        <v>1.88983964393072</v>
      </c>
      <c r="AB896" s="27" t="n">
        <f aca="false">IF(H896-E896&gt;=GWL,99,E896*(MAX(0,GWL-H896)*(GAM_S-GAM_W)+MAX(0,FL-MAX(H896,GWL))*GAM_D)/(GAM_W*PI()*E896^2/4))</f>
        <v>3.83192986689584</v>
      </c>
      <c r="AC896" s="27" t="n">
        <f aca="false">IF(I896-E896&gt;=GWL,99,E896*(MAX(0,GWL-I896)*(GAM_S-GAM_W)+MAX(0,FL-MAX(I896,GWL))*GAM_D)/(GAM_W*PI()*E896^2/4))</f>
        <v>3.83192986689584</v>
      </c>
    </row>
    <row r="897" customFormat="false" ht="15" hidden="false" customHeight="false" outlineLevel="0" collapsed="false">
      <c r="A897" s="25" t="s">
        <v>1460</v>
      </c>
      <c r="B897" s="25" t="s">
        <v>1469</v>
      </c>
      <c r="C897" s="25" t="s">
        <v>1477</v>
      </c>
      <c r="D897" s="26" t="n">
        <v>3.10000000017001</v>
      </c>
      <c r="E897" s="26" t="n">
        <v>2.04499937752455</v>
      </c>
      <c r="F897" s="26" t="n">
        <v>-5.92249968876228</v>
      </c>
      <c r="G897" s="26" t="n">
        <v>-5.92249968876228</v>
      </c>
      <c r="H897" s="26" t="n">
        <v>-3.37750031123773</v>
      </c>
      <c r="I897" s="26" t="n">
        <v>-3.37750031123773</v>
      </c>
      <c r="J897" s="26" t="n">
        <v>12.37</v>
      </c>
      <c r="K897" s="27" t="n">
        <f aca="false">MIN(F897,G897)</f>
        <v>-5.92249968876228</v>
      </c>
      <c r="L897" s="27" t="n">
        <f aca="false">AVERAGE(F897,G897)</f>
        <v>-5.92249968876228</v>
      </c>
      <c r="M897" s="27" t="n">
        <f aca="false">MAX(0,NG-L897)</f>
        <v>5.22249968876228</v>
      </c>
      <c r="N897" s="27" t="n">
        <f aca="false">MAX(0,GWL-K897)</f>
        <v>4.42249968876228</v>
      </c>
      <c r="O897" s="27" t="n">
        <f aca="false">MAX(0,NG-MAX(K897,GWL))</f>
        <v>0.8</v>
      </c>
      <c r="P897" s="27" t="n">
        <f aca="false">E897/2+WS+SLOPE_A*O897+SLOPE_B*N897</f>
        <v>12.0674990662868</v>
      </c>
      <c r="Q897" s="28" t="str">
        <f aca="false">IF(AND(P897&lt;J897,N897&lt;=MAXOC),"Open cut","Shoring")</f>
        <v>Shoring</v>
      </c>
      <c r="R897" s="27" t="n">
        <f aca="false">IF(Q897="Shoring",D897,0)</f>
        <v>3.10000000017001</v>
      </c>
      <c r="S897" s="27" t="n">
        <f aca="false">MAX(0,GWL-L897)</f>
        <v>4.42249968876228</v>
      </c>
      <c r="T897" s="27" t="n">
        <f aca="false">MAX(0,NG-MAX(L897,GWL))</f>
        <v>0.8</v>
      </c>
      <c r="U897" s="27" t="n">
        <f aca="false">E897+2*WS</f>
        <v>4.04499937752455</v>
      </c>
      <c r="V897" s="27" t="n">
        <f aca="false">IF(Q897="Shoring",D897*M897*U897,0)</f>
        <v>65.4875247731046</v>
      </c>
      <c r="W897" s="27" t="n">
        <f aca="false">IF(Q897="Open cut",D897*(U897*M897+SLOPE_B*S897^2+2*SLOPE_B*S897*T897+SLOPE_A*T897^2),0)</f>
        <v>0</v>
      </c>
      <c r="X897" s="27" t="n">
        <f aca="false">IF(M897&gt;0,D897*(E897+2*SLABOVH)*SLAB,0)</f>
        <v>4.71974903542189</v>
      </c>
      <c r="Y897" s="27" t="n">
        <f aca="false">IF(M897&gt;0,D897*PI()*E897^2/4,0)</f>
        <v>10.1821135401843</v>
      </c>
      <c r="Z897" s="27" t="n">
        <f aca="false">IF(H897-E897&gt;=GWL,99,E897*(MAX(0,GWL-H897)*(GAM_S-GAM_W)+MAX(0,NG-MAX(H897,GWL))*GAM_D)/(GAM_W*PI()*E897^2/4))</f>
        <v>1.88983939687875</v>
      </c>
      <c r="AA897" s="27" t="n">
        <f aca="false">IF(I897-E897&gt;=GWL,99,E897*(MAX(0,GWL-I897)*(GAM_S-GAM_W)+MAX(0,NG-MAX(I897,GWL))*GAM_D)/(GAM_W*PI()*E897^2/4))</f>
        <v>1.88983939687875</v>
      </c>
      <c r="AB897" s="27" t="n">
        <f aca="false">IF(H897-E897&gt;=GWL,99,E897*(MAX(0,GWL-H897)*(GAM_S-GAM_W)+MAX(0,FL-MAX(H897,GWL))*GAM_D)/(GAM_W*PI()*E897^2/4))</f>
        <v>3.83192942168941</v>
      </c>
      <c r="AC897" s="27" t="n">
        <f aca="false">IF(I897-E897&gt;=GWL,99,E897*(MAX(0,GWL-I897)*(GAM_S-GAM_W)+MAX(0,FL-MAX(I897,GWL))*GAM_D)/(GAM_W*PI()*E897^2/4))</f>
        <v>3.83192942168941</v>
      </c>
    </row>
    <row r="898" customFormat="false" ht="15" hidden="false" customHeight="false" outlineLevel="0" collapsed="false">
      <c r="A898" s="25" t="s">
        <v>1460</v>
      </c>
      <c r="B898" s="25" t="s">
        <v>1469</v>
      </c>
      <c r="C898" s="25" t="s">
        <v>1478</v>
      </c>
      <c r="D898" s="26" t="n">
        <v>0.482534174303105</v>
      </c>
      <c r="E898" s="26" t="n">
        <v>2.04107190019081</v>
      </c>
      <c r="F898" s="26" t="n">
        <v>-5.9205359500954</v>
      </c>
      <c r="G898" s="26" t="n">
        <v>-5.9205359500954</v>
      </c>
      <c r="H898" s="26" t="n">
        <v>-3.3794640499046</v>
      </c>
      <c r="I898" s="26" t="n">
        <v>-3.3794640499046</v>
      </c>
      <c r="J898" s="26" t="n">
        <v>12.24</v>
      </c>
      <c r="K898" s="27" t="n">
        <f aca="false">MIN(F898,G898)</f>
        <v>-5.9205359500954</v>
      </c>
      <c r="L898" s="27" t="n">
        <f aca="false">AVERAGE(F898,G898)</f>
        <v>-5.9205359500954</v>
      </c>
      <c r="M898" s="27" t="n">
        <f aca="false">MAX(0,NG-L898)</f>
        <v>5.2205359500954</v>
      </c>
      <c r="N898" s="27" t="n">
        <f aca="false">MAX(0,GWL-K898)</f>
        <v>4.4205359500954</v>
      </c>
      <c r="O898" s="27" t="n">
        <f aca="false">MAX(0,NG-MAX(K898,GWL))</f>
        <v>0.8</v>
      </c>
      <c r="P898" s="27" t="n">
        <f aca="false">E898/2+WS+SLOPE_A*O898+SLOPE_B*N898</f>
        <v>12.0616078502862</v>
      </c>
      <c r="Q898" s="28" t="str">
        <f aca="false">IF(AND(P898&lt;J898,N898&lt;=MAXOC),"Open cut","Shoring")</f>
        <v>Shoring</v>
      </c>
      <c r="R898" s="27" t="n">
        <f aca="false">IF(Q898="Shoring",D898,0)</f>
        <v>0.482534174303105</v>
      </c>
      <c r="S898" s="27" t="n">
        <f aca="false">MAX(0,GWL-L898)</f>
        <v>4.4205359500954</v>
      </c>
      <c r="T898" s="27" t="n">
        <f aca="false">MAX(0,NG-MAX(L898,GWL))</f>
        <v>0.8</v>
      </c>
      <c r="U898" s="27" t="n">
        <f aca="false">E898+2*WS</f>
        <v>4.04107190019081</v>
      </c>
      <c r="V898" s="27" t="n">
        <f aca="false">IF(Q898="Shoring",D898*M898*U898,0)</f>
        <v>10.1798117064002</v>
      </c>
      <c r="W898" s="27" t="n">
        <f aca="false">IF(Q898="Open cut",D898*(U898*M898+SLOPE_B*S898^2+2*SLOPE_B*S898*T898+SLOPE_A*T898^2),0)</f>
        <v>0</v>
      </c>
      <c r="X898" s="27" t="n">
        <f aca="false">IF(M898&gt;0,D898*(E898+2*SLABOVH)*SLAB,0)</f>
        <v>0.733710559177472</v>
      </c>
      <c r="Y898" s="27" t="n">
        <f aca="false">IF(M898&gt;0,D898*PI()*E898^2/4,0)</f>
        <v>1.57882707514173</v>
      </c>
      <c r="Z898" s="27" t="n">
        <f aca="false">IF(H898-E898&gt;=GWL,99,E898*(MAX(0,GWL-H898)*(GAM_S-GAM_W)+MAX(0,NG-MAX(H898,GWL))*GAM_D)/(GAM_W*PI()*E898^2/4))</f>
        <v>1.89449857421435</v>
      </c>
      <c r="AA898" s="27" t="n">
        <f aca="false">IF(I898-E898&gt;=GWL,99,E898*(MAX(0,GWL-I898)*(GAM_S-GAM_W)+MAX(0,NG-MAX(I898,GWL))*GAM_D)/(GAM_W*PI()*E898^2/4))</f>
        <v>1.89449857421435</v>
      </c>
      <c r="AB898" s="27" t="n">
        <f aca="false">IF(H898-E898&gt;=GWL,99,E898*(MAX(0,GWL-H898)*(GAM_S-GAM_W)+MAX(0,FL-MAX(H898,GWL))*GAM_D)/(GAM_W*PI()*E898^2/4))</f>
        <v>3.84032561316539</v>
      </c>
      <c r="AC898" s="27" t="n">
        <f aca="false">IF(I898-E898&gt;=GWL,99,E898*(MAX(0,GWL-I898)*(GAM_S-GAM_W)+MAX(0,FL-MAX(I898,GWL))*GAM_D)/(GAM_W*PI()*E898^2/4))</f>
        <v>3.84032561316539</v>
      </c>
    </row>
    <row r="899" customFormat="false" ht="15" hidden="false" customHeight="false" outlineLevel="0" collapsed="false">
      <c r="A899" s="25" t="s">
        <v>1460</v>
      </c>
      <c r="B899" s="25" t="s">
        <v>1469</v>
      </c>
      <c r="C899" s="25" t="s">
        <v>1479</v>
      </c>
      <c r="D899" s="26" t="n">
        <v>2.40000000019692</v>
      </c>
      <c r="E899" s="26" t="n">
        <v>2.04107190019081</v>
      </c>
      <c r="F899" s="26" t="n">
        <v>-5.9205359500954</v>
      </c>
      <c r="G899" s="26" t="n">
        <v>-5.9205359500954</v>
      </c>
      <c r="H899" s="26" t="n">
        <v>-3.3794640499046</v>
      </c>
      <c r="I899" s="26" t="n">
        <v>-3.3794640499046</v>
      </c>
      <c r="J899" s="26" t="n">
        <v>11.68</v>
      </c>
      <c r="K899" s="27" t="n">
        <f aca="false">MIN(F899,G899)</f>
        <v>-5.9205359500954</v>
      </c>
      <c r="L899" s="27" t="n">
        <f aca="false">AVERAGE(F899,G899)</f>
        <v>-5.9205359500954</v>
      </c>
      <c r="M899" s="27" t="n">
        <f aca="false">MAX(0,NG-L899)</f>
        <v>5.2205359500954</v>
      </c>
      <c r="N899" s="27" t="n">
        <f aca="false">MAX(0,GWL-K899)</f>
        <v>4.4205359500954</v>
      </c>
      <c r="O899" s="27" t="n">
        <f aca="false">MAX(0,NG-MAX(K899,GWL))</f>
        <v>0.8</v>
      </c>
      <c r="P899" s="27" t="n">
        <f aca="false">E899/2+WS+SLOPE_A*O899+SLOPE_B*N899</f>
        <v>12.0616078502862</v>
      </c>
      <c r="Q899" s="28" t="str">
        <f aca="false">IF(AND(P899&lt;J899,N899&lt;=MAXOC),"Open cut","Shoring")</f>
        <v>Shoring</v>
      </c>
      <c r="R899" s="27" t="n">
        <f aca="false">IF(Q899="Shoring",D899,0)</f>
        <v>2.40000000019692</v>
      </c>
      <c r="S899" s="27" t="n">
        <f aca="false">MAX(0,GWL-L899)</f>
        <v>4.4205359500954</v>
      </c>
      <c r="T899" s="27" t="n">
        <f aca="false">MAX(0,NG-MAX(L899,GWL))</f>
        <v>0.8</v>
      </c>
      <c r="U899" s="27" t="n">
        <f aca="false">E899+2*WS</f>
        <v>4.04107190019081</v>
      </c>
      <c r="V899" s="27" t="n">
        <f aca="false">IF(Q899="Shoring",D899*M899*U899,0)</f>
        <v>50.6317467206337</v>
      </c>
      <c r="W899" s="27" t="n">
        <f aca="false">IF(Q899="Open cut",D899*(U899*M899+SLOPE_B*S899^2+2*SLOPE_B*S899*T899+SLOPE_A*T899^2),0)</f>
        <v>0</v>
      </c>
      <c r="X899" s="27" t="n">
        <f aca="false">IF(M899&gt;0,D899*(E899+2*SLABOVH)*SLAB,0)</f>
        <v>3.64928628052839</v>
      </c>
      <c r="Y899" s="27" t="n">
        <f aca="false">IF(M899&gt;0,D899*PI()*E899^2/4,0)</f>
        <v>7.85267693448562</v>
      </c>
      <c r="Z899" s="27" t="n">
        <f aca="false">IF(H899-E899&gt;=GWL,99,E899*(MAX(0,GWL-H899)*(GAM_S-GAM_W)+MAX(0,NG-MAX(H899,GWL))*GAM_D)/(GAM_W*PI()*E899^2/4))</f>
        <v>1.89449857421435</v>
      </c>
      <c r="AA899" s="27" t="n">
        <f aca="false">IF(I899-E899&gt;=GWL,99,E899*(MAX(0,GWL-I899)*(GAM_S-GAM_W)+MAX(0,NG-MAX(I899,GWL))*GAM_D)/(GAM_W*PI()*E899^2/4))</f>
        <v>1.89449857421435</v>
      </c>
      <c r="AB899" s="27" t="n">
        <f aca="false">IF(H899-E899&gt;=GWL,99,E899*(MAX(0,GWL-H899)*(GAM_S-GAM_W)+MAX(0,FL-MAX(H899,GWL))*GAM_D)/(GAM_W*PI()*E899^2/4))</f>
        <v>3.84032561316539</v>
      </c>
      <c r="AC899" s="27" t="n">
        <f aca="false">IF(I899-E899&gt;=GWL,99,E899*(MAX(0,GWL-I899)*(GAM_S-GAM_W)+MAX(0,FL-MAX(I899,GWL))*GAM_D)/(GAM_W*PI()*E899^2/4))</f>
        <v>3.84032561316539</v>
      </c>
    </row>
    <row r="900" customFormat="false" ht="15" hidden="false" customHeight="false" outlineLevel="0" collapsed="false">
      <c r="A900" s="25" t="s">
        <v>1460</v>
      </c>
      <c r="B900" s="25" t="s">
        <v>1480</v>
      </c>
      <c r="C900" s="25" t="s">
        <v>1481</v>
      </c>
      <c r="D900" s="26" t="n">
        <v>7.60000000000826</v>
      </c>
      <c r="E900" s="26" t="n">
        <v>2.04107190019081</v>
      </c>
      <c r="F900" s="26" t="n">
        <v>-5.9205359500954</v>
      </c>
      <c r="G900" s="26" t="n">
        <v>-5.9205359500954</v>
      </c>
      <c r="H900" s="26" t="n">
        <v>-3.3794640499046</v>
      </c>
      <c r="I900" s="26" t="n">
        <v>-3.3794640499046</v>
      </c>
      <c r="J900" s="26" t="n">
        <v>10.84</v>
      </c>
      <c r="K900" s="27" t="n">
        <f aca="false">MIN(F900,G900)</f>
        <v>-5.9205359500954</v>
      </c>
      <c r="L900" s="27" t="n">
        <f aca="false">AVERAGE(F900,G900)</f>
        <v>-5.9205359500954</v>
      </c>
      <c r="M900" s="27" t="n">
        <f aca="false">MAX(0,NG-L900)</f>
        <v>5.2205359500954</v>
      </c>
      <c r="N900" s="27" t="n">
        <f aca="false">MAX(0,GWL-K900)</f>
        <v>4.4205359500954</v>
      </c>
      <c r="O900" s="27" t="n">
        <f aca="false">MAX(0,NG-MAX(K900,GWL))</f>
        <v>0.8</v>
      </c>
      <c r="P900" s="27" t="n">
        <f aca="false">E900/2+WS+SLOPE_A*O900+SLOPE_B*N900</f>
        <v>12.0616078502862</v>
      </c>
      <c r="Q900" s="28" t="str">
        <f aca="false">IF(AND(P900&lt;J900,N900&lt;=MAXOC),"Open cut","Shoring")</f>
        <v>Shoring</v>
      </c>
      <c r="R900" s="27" t="n">
        <f aca="false">IF(Q900="Shoring",D900,0)</f>
        <v>7.60000000000826</v>
      </c>
      <c r="S900" s="27" t="n">
        <f aca="false">MAX(0,GWL-L900)</f>
        <v>4.4205359500954</v>
      </c>
      <c r="T900" s="27" t="n">
        <f aca="false">MAX(0,NG-MAX(L900,GWL))</f>
        <v>0.8</v>
      </c>
      <c r="U900" s="27" t="n">
        <f aca="false">E900+2*WS</f>
        <v>4.04107190019081</v>
      </c>
      <c r="V900" s="27" t="n">
        <f aca="false">IF(Q900="Shoring",D900*M900*U900,0)</f>
        <v>160.333864602359</v>
      </c>
      <c r="W900" s="27" t="n">
        <f aca="false">IF(Q900="Open cut",D900*(U900*M900+SLOPE_B*S900^2+2*SLOPE_B*S900*T900+SLOPE_A*T900^2),0)</f>
        <v>0</v>
      </c>
      <c r="X900" s="27" t="n">
        <f aca="false">IF(M900&gt;0,D900*(E900+2*SLABOVH)*SLAB,0)</f>
        <v>11.5560732207376</v>
      </c>
      <c r="Y900" s="27" t="n">
        <f aca="false">IF(M900&gt;0,D900*PI()*E900^2/4,0)</f>
        <v>24.8668102905245</v>
      </c>
      <c r="Z900" s="27" t="n">
        <f aca="false">IF(H900-E900&gt;=GWL,99,E900*(MAX(0,GWL-H900)*(GAM_S-GAM_W)+MAX(0,NG-MAX(H900,GWL))*GAM_D)/(GAM_W*PI()*E900^2/4))</f>
        <v>1.89449857421435</v>
      </c>
      <c r="AA900" s="27" t="n">
        <f aca="false">IF(I900-E900&gt;=GWL,99,E900*(MAX(0,GWL-I900)*(GAM_S-GAM_W)+MAX(0,NG-MAX(I900,GWL))*GAM_D)/(GAM_W*PI()*E900^2/4))</f>
        <v>1.89449857421435</v>
      </c>
      <c r="AB900" s="27" t="n">
        <f aca="false">IF(H900-E900&gt;=GWL,99,E900*(MAX(0,GWL-H900)*(GAM_S-GAM_W)+MAX(0,FL-MAX(H900,GWL))*GAM_D)/(GAM_W*PI()*E900^2/4))</f>
        <v>3.84032561316539</v>
      </c>
      <c r="AC900" s="27" t="n">
        <f aca="false">IF(I900-E900&gt;=GWL,99,E900*(MAX(0,GWL-I900)*(GAM_S-GAM_W)+MAX(0,FL-MAX(I900,GWL))*GAM_D)/(GAM_W*PI()*E900^2/4))</f>
        <v>3.84032561316539</v>
      </c>
    </row>
    <row r="901" customFormat="false" ht="15" hidden="false" customHeight="false" outlineLevel="0" collapsed="false">
      <c r="A901" s="25" t="s">
        <v>1460</v>
      </c>
      <c r="B901" s="25" t="s">
        <v>1480</v>
      </c>
      <c r="C901" s="25" t="s">
        <v>1482</v>
      </c>
      <c r="D901" s="26" t="n">
        <v>9.99999999934041</v>
      </c>
      <c r="E901" s="26" t="n">
        <v>2.04107190019081</v>
      </c>
      <c r="F901" s="26" t="n">
        <v>-5.9205359500954</v>
      </c>
      <c r="G901" s="26" t="n">
        <v>-5.9205359500954</v>
      </c>
      <c r="H901" s="26" t="n">
        <v>-3.3794640499046</v>
      </c>
      <c r="I901" s="26" t="n">
        <v>-3.3794640499046</v>
      </c>
      <c r="J901" s="26" t="n">
        <v>10.84</v>
      </c>
      <c r="K901" s="27" t="n">
        <f aca="false">MIN(F901,G901)</f>
        <v>-5.9205359500954</v>
      </c>
      <c r="L901" s="27" t="n">
        <f aca="false">AVERAGE(F901,G901)</f>
        <v>-5.9205359500954</v>
      </c>
      <c r="M901" s="27" t="n">
        <f aca="false">MAX(0,NG-L901)</f>
        <v>5.2205359500954</v>
      </c>
      <c r="N901" s="27" t="n">
        <f aca="false">MAX(0,GWL-K901)</f>
        <v>4.4205359500954</v>
      </c>
      <c r="O901" s="27" t="n">
        <f aca="false">MAX(0,NG-MAX(K901,GWL))</f>
        <v>0.8</v>
      </c>
      <c r="P901" s="27" t="n">
        <f aca="false">E901/2+WS+SLOPE_A*O901+SLOPE_B*N901</f>
        <v>12.0616078502862</v>
      </c>
      <c r="Q901" s="28" t="str">
        <f aca="false">IF(AND(P901&lt;J901,N901&lt;=MAXOC),"Open cut","Shoring")</f>
        <v>Shoring</v>
      </c>
      <c r="R901" s="27" t="n">
        <f aca="false">IF(Q901="Shoring",D901,0)</f>
        <v>9.99999999934041</v>
      </c>
      <c r="S901" s="27" t="n">
        <f aca="false">MAX(0,GWL-L901)</f>
        <v>4.4205359500954</v>
      </c>
      <c r="T901" s="27" t="n">
        <f aca="false">MAX(0,NG-MAX(L901,GWL))</f>
        <v>0.8</v>
      </c>
      <c r="U901" s="27" t="n">
        <f aca="false">E901+2*WS</f>
        <v>4.04107190019081</v>
      </c>
      <c r="V901" s="27" t="n">
        <f aca="false">IF(Q901="Shoring",D901*M901*U901,0)</f>
        <v>210.96561130475</v>
      </c>
      <c r="W901" s="27" t="n">
        <f aca="false">IF(Q901="Open cut",D901*(U901*M901+SLOPE_B*S901^2+2*SLOPE_B*S901*T901+SLOPE_A*T901^2),0)</f>
        <v>0</v>
      </c>
      <c r="X901" s="27" t="n">
        <f aca="false">IF(M901&gt;0,D901*(E901+2*SLABOVH)*SLAB,0)</f>
        <v>15.2053594999511</v>
      </c>
      <c r="Y901" s="27" t="n">
        <f aca="false">IF(M901&gt;0,D901*PI()*E901^2/4,0)</f>
        <v>32.7194872221807</v>
      </c>
      <c r="Z901" s="27" t="n">
        <f aca="false">IF(H901-E901&gt;=GWL,99,E901*(MAX(0,GWL-H901)*(GAM_S-GAM_W)+MAX(0,NG-MAX(H901,GWL))*GAM_D)/(GAM_W*PI()*E901^2/4))</f>
        <v>1.89449857421435</v>
      </c>
      <c r="AA901" s="27" t="n">
        <f aca="false">IF(I901-E901&gt;=GWL,99,E901*(MAX(0,GWL-I901)*(GAM_S-GAM_W)+MAX(0,NG-MAX(I901,GWL))*GAM_D)/(GAM_W*PI()*E901^2/4))</f>
        <v>1.89449857421435</v>
      </c>
      <c r="AB901" s="27" t="n">
        <f aca="false">IF(H901-E901&gt;=GWL,99,E901*(MAX(0,GWL-H901)*(GAM_S-GAM_W)+MAX(0,FL-MAX(H901,GWL))*GAM_D)/(GAM_W*PI()*E901^2/4))</f>
        <v>3.84032561316539</v>
      </c>
      <c r="AC901" s="27" t="n">
        <f aca="false">IF(I901-E901&gt;=GWL,99,E901*(MAX(0,GWL-I901)*(GAM_S-GAM_W)+MAX(0,FL-MAX(I901,GWL))*GAM_D)/(GAM_W*PI()*E901^2/4))</f>
        <v>3.84032561316539</v>
      </c>
    </row>
    <row r="902" customFormat="false" ht="15" hidden="false" customHeight="false" outlineLevel="0" collapsed="false">
      <c r="A902" s="25" t="s">
        <v>1460</v>
      </c>
      <c r="B902" s="25" t="s">
        <v>1480</v>
      </c>
      <c r="C902" s="25" t="s">
        <v>1483</v>
      </c>
      <c r="D902" s="26" t="n">
        <v>10.0000000002052</v>
      </c>
      <c r="E902" s="26" t="n">
        <v>2.04107190019081</v>
      </c>
      <c r="F902" s="26" t="n">
        <v>-5.9205359500954</v>
      </c>
      <c r="G902" s="26" t="n">
        <v>-5.9205359500954</v>
      </c>
      <c r="H902" s="26" t="n">
        <v>-3.3794640499046</v>
      </c>
      <c r="I902" s="26" t="n">
        <v>-3.3794640499046</v>
      </c>
      <c r="J902" s="26" t="n">
        <v>11.92</v>
      </c>
      <c r="K902" s="27" t="n">
        <f aca="false">MIN(F902,G902)</f>
        <v>-5.9205359500954</v>
      </c>
      <c r="L902" s="27" t="n">
        <f aca="false">AVERAGE(F902,G902)</f>
        <v>-5.9205359500954</v>
      </c>
      <c r="M902" s="27" t="n">
        <f aca="false">MAX(0,NG-L902)</f>
        <v>5.2205359500954</v>
      </c>
      <c r="N902" s="27" t="n">
        <f aca="false">MAX(0,GWL-K902)</f>
        <v>4.4205359500954</v>
      </c>
      <c r="O902" s="27" t="n">
        <f aca="false">MAX(0,NG-MAX(K902,GWL))</f>
        <v>0.8</v>
      </c>
      <c r="P902" s="27" t="n">
        <f aca="false">E902/2+WS+SLOPE_A*O902+SLOPE_B*N902</f>
        <v>12.0616078502862</v>
      </c>
      <c r="Q902" s="28" t="str">
        <f aca="false">IF(AND(P902&lt;J902,N902&lt;=MAXOC),"Open cut","Shoring")</f>
        <v>Shoring</v>
      </c>
      <c r="R902" s="27" t="n">
        <f aca="false">IF(Q902="Shoring",D902,0)</f>
        <v>10.0000000002052</v>
      </c>
      <c r="S902" s="27" t="n">
        <f aca="false">MAX(0,GWL-L902)</f>
        <v>4.4205359500954</v>
      </c>
      <c r="T902" s="27" t="n">
        <f aca="false">MAX(0,NG-MAX(L902,GWL))</f>
        <v>0.8</v>
      </c>
      <c r="U902" s="27" t="n">
        <f aca="false">E902+2*WS</f>
        <v>4.04107190019081</v>
      </c>
      <c r="V902" s="27" t="n">
        <f aca="false">IF(Q902="Shoring",D902*M902*U902,0)</f>
        <v>210.965611322993</v>
      </c>
      <c r="W902" s="27" t="n">
        <f aca="false">IF(Q902="Open cut",D902*(U902*M902+SLOPE_B*S902^2+2*SLOPE_B*S902*T902+SLOPE_A*T902^2),0)</f>
        <v>0</v>
      </c>
      <c r="X902" s="27" t="n">
        <f aca="false">IF(M902&gt;0,D902*(E902+2*SLABOVH)*SLAB,0)</f>
        <v>15.205359501266</v>
      </c>
      <c r="Y902" s="27" t="n">
        <f aca="false">IF(M902&gt;0,D902*PI()*E902^2/4,0)</f>
        <v>32.7194872250102</v>
      </c>
      <c r="Z902" s="27" t="n">
        <f aca="false">IF(H902-E902&gt;=GWL,99,E902*(MAX(0,GWL-H902)*(GAM_S-GAM_W)+MAX(0,NG-MAX(H902,GWL))*GAM_D)/(GAM_W*PI()*E902^2/4))</f>
        <v>1.89449857421435</v>
      </c>
      <c r="AA902" s="27" t="n">
        <f aca="false">IF(I902-E902&gt;=GWL,99,E902*(MAX(0,GWL-I902)*(GAM_S-GAM_W)+MAX(0,NG-MAX(I902,GWL))*GAM_D)/(GAM_W*PI()*E902^2/4))</f>
        <v>1.89449857421435</v>
      </c>
      <c r="AB902" s="27" t="n">
        <f aca="false">IF(H902-E902&gt;=GWL,99,E902*(MAX(0,GWL-H902)*(GAM_S-GAM_W)+MAX(0,FL-MAX(H902,GWL))*GAM_D)/(GAM_W*PI()*E902^2/4))</f>
        <v>3.84032561316539</v>
      </c>
      <c r="AC902" s="27" t="n">
        <f aca="false">IF(I902-E902&gt;=GWL,99,E902*(MAX(0,GWL-I902)*(GAM_S-GAM_W)+MAX(0,FL-MAX(I902,GWL))*GAM_D)/(GAM_W*PI()*E902^2/4))</f>
        <v>3.84032561316539</v>
      </c>
    </row>
    <row r="903" customFormat="false" ht="15" hidden="false" customHeight="false" outlineLevel="0" collapsed="false">
      <c r="A903" s="25" t="s">
        <v>1460</v>
      </c>
      <c r="B903" s="25" t="s">
        <v>1480</v>
      </c>
      <c r="C903" s="25" t="s">
        <v>1484</v>
      </c>
      <c r="D903" s="26" t="n">
        <v>1.98729537287835</v>
      </c>
      <c r="E903" s="26" t="n">
        <v>2.04107190019081</v>
      </c>
      <c r="F903" s="26" t="n">
        <v>-5.9205359500954</v>
      </c>
      <c r="G903" s="26" t="n">
        <v>-5.9205359500954</v>
      </c>
      <c r="H903" s="26" t="n">
        <v>-3.3794640499046</v>
      </c>
      <c r="I903" s="26" t="n">
        <v>-3.3794640499046</v>
      </c>
      <c r="J903" s="26" t="n">
        <v>15.29</v>
      </c>
      <c r="K903" s="27" t="n">
        <f aca="false">MIN(F903,G903)</f>
        <v>-5.9205359500954</v>
      </c>
      <c r="L903" s="27" t="n">
        <f aca="false">AVERAGE(F903,G903)</f>
        <v>-5.9205359500954</v>
      </c>
      <c r="M903" s="27" t="n">
        <f aca="false">MAX(0,NG-L903)</f>
        <v>5.2205359500954</v>
      </c>
      <c r="N903" s="27" t="n">
        <f aca="false">MAX(0,GWL-K903)</f>
        <v>4.4205359500954</v>
      </c>
      <c r="O903" s="27" t="n">
        <f aca="false">MAX(0,NG-MAX(K903,GWL))</f>
        <v>0.8</v>
      </c>
      <c r="P903" s="27" t="n">
        <f aca="false">E903/2+WS+SLOPE_A*O903+SLOPE_B*N903</f>
        <v>12.0616078502862</v>
      </c>
      <c r="Q903" s="28" t="str">
        <f aca="false">IF(AND(P903&lt;J903,N903&lt;=MAXOC),"Open cut","Shoring")</f>
        <v>Shoring</v>
      </c>
      <c r="R903" s="27" t="n">
        <f aca="false">IF(Q903="Shoring",D903,0)</f>
        <v>1.98729537287835</v>
      </c>
      <c r="S903" s="27" t="n">
        <f aca="false">MAX(0,GWL-L903)</f>
        <v>4.4205359500954</v>
      </c>
      <c r="T903" s="27" t="n">
        <f aca="false">MAX(0,NG-MAX(L903,GWL))</f>
        <v>0.8</v>
      </c>
      <c r="U903" s="27" t="n">
        <f aca="false">E903+2*WS</f>
        <v>4.04107190019081</v>
      </c>
      <c r="V903" s="27" t="n">
        <f aca="false">IF(Q903="Shoring",D903*M903*U903,0)</f>
        <v>41.9250983210034</v>
      </c>
      <c r="W903" s="27" t="n">
        <f aca="false">IF(Q903="Open cut",D903*(U903*M903+SLOPE_B*S903^2+2*SLOPE_B*S903*T903+SLOPE_A*T903^2),0)</f>
        <v>0</v>
      </c>
      <c r="X903" s="27" t="n">
        <f aca="false">IF(M903&gt;0,D903*(E903+2*SLABOVH)*SLAB,0)</f>
        <v>3.02175405791978</v>
      </c>
      <c r="Y903" s="27" t="n">
        <f aca="false">IF(M903&gt;0,D903*PI()*E903^2/4,0)</f>
        <v>6.50232855638808</v>
      </c>
      <c r="Z903" s="27" t="n">
        <f aca="false">IF(H903-E903&gt;=GWL,99,E903*(MAX(0,GWL-H903)*(GAM_S-GAM_W)+MAX(0,NG-MAX(H903,GWL))*GAM_D)/(GAM_W*PI()*E903^2/4))</f>
        <v>1.89449857421435</v>
      </c>
      <c r="AA903" s="27" t="n">
        <f aca="false">IF(I903-E903&gt;=GWL,99,E903*(MAX(0,GWL-I903)*(GAM_S-GAM_W)+MAX(0,NG-MAX(I903,GWL))*GAM_D)/(GAM_W*PI()*E903^2/4))</f>
        <v>1.89449857421435</v>
      </c>
      <c r="AB903" s="27" t="n">
        <f aca="false">IF(H903-E903&gt;=GWL,99,E903*(MAX(0,GWL-H903)*(GAM_S-GAM_W)+MAX(0,FL-MAX(H903,GWL))*GAM_D)/(GAM_W*PI()*E903^2/4))</f>
        <v>3.84032561316539</v>
      </c>
      <c r="AC903" s="27" t="n">
        <f aca="false">IF(I903-E903&gt;=GWL,99,E903*(MAX(0,GWL-I903)*(GAM_S-GAM_W)+MAX(0,FL-MAX(I903,GWL))*GAM_D)/(GAM_W*PI()*E903^2/4))</f>
        <v>3.84032561316539</v>
      </c>
    </row>
    <row r="904" customFormat="false" ht="15" hidden="false" customHeight="false" outlineLevel="0" collapsed="false">
      <c r="A904" s="25" t="s">
        <v>1460</v>
      </c>
      <c r="B904" s="25" t="s">
        <v>1480</v>
      </c>
      <c r="C904" s="25" t="s">
        <v>1485</v>
      </c>
      <c r="D904" s="26" t="n">
        <v>0.900000000097918</v>
      </c>
      <c r="E904" s="26" t="n">
        <v>2.04120774750846</v>
      </c>
      <c r="F904" s="26" t="n">
        <v>-5.92060387375423</v>
      </c>
      <c r="G904" s="26" t="n">
        <v>-5.92060387375423</v>
      </c>
      <c r="H904" s="26" t="n">
        <v>-3.37939612624577</v>
      </c>
      <c r="I904" s="26" t="n">
        <v>-3.37939612624577</v>
      </c>
      <c r="J904" s="26" t="n">
        <v>16.19</v>
      </c>
      <c r="K904" s="27" t="n">
        <f aca="false">MIN(F904,G904)</f>
        <v>-5.92060387375423</v>
      </c>
      <c r="L904" s="27" t="n">
        <f aca="false">AVERAGE(F904,G904)</f>
        <v>-5.92060387375423</v>
      </c>
      <c r="M904" s="27" t="n">
        <f aca="false">MAX(0,NG-L904)</f>
        <v>5.22060387375423</v>
      </c>
      <c r="N904" s="27" t="n">
        <f aca="false">MAX(0,GWL-K904)</f>
        <v>4.42060387375423</v>
      </c>
      <c r="O904" s="27" t="n">
        <f aca="false">MAX(0,NG-MAX(K904,GWL))</f>
        <v>0.8</v>
      </c>
      <c r="P904" s="27" t="n">
        <f aca="false">E904/2+WS+SLOPE_A*O904+SLOPE_B*N904</f>
        <v>12.0618116212627</v>
      </c>
      <c r="Q904" s="28" t="str">
        <f aca="false">IF(AND(P904&lt;J904,N904&lt;=MAXOC),"Open cut","Shoring")</f>
        <v>Shoring</v>
      </c>
      <c r="R904" s="27" t="n">
        <f aca="false">IF(Q904="Shoring",D904,0)</f>
        <v>0.900000000097918</v>
      </c>
      <c r="S904" s="27" t="n">
        <f aca="false">MAX(0,GWL-L904)</f>
        <v>4.42060387375423</v>
      </c>
      <c r="T904" s="27" t="n">
        <f aca="false">MAX(0,NG-MAX(L904,GWL))</f>
        <v>0.8</v>
      </c>
      <c r="U904" s="27" t="n">
        <f aca="false">E904+2*WS</f>
        <v>4.04120774750846</v>
      </c>
      <c r="V904" s="27" t="n">
        <f aca="false">IF(Q904="Shoring",D904*M904*U904,0)</f>
        <v>18.9877903412253</v>
      </c>
      <c r="W904" s="27" t="n">
        <f aca="false">IF(Q904="Open cut",D904*(U904*M904+SLOPE_B*S904^2+2*SLOPE_B*S904*T904+SLOPE_A*T904^2),0)</f>
        <v>0</v>
      </c>
      <c r="X904" s="27" t="n">
        <f aca="false">IF(M904&gt;0,D904*(E904+2*SLABOVH)*SLAB,0)</f>
        <v>1.3685434865277</v>
      </c>
      <c r="Y904" s="27" t="n">
        <f aca="false">IF(M904&gt;0,D904*PI()*E904^2/4,0)</f>
        <v>2.94514585064012</v>
      </c>
      <c r="Z904" s="27" t="n">
        <f aca="false">IF(H904-E904&gt;=GWL,99,E904*(MAX(0,GWL-H904)*(GAM_S-GAM_W)+MAX(0,NG-MAX(H904,GWL))*GAM_D)/(GAM_W*PI()*E904^2/4))</f>
        <v>1.89433711880761</v>
      </c>
      <c r="AA904" s="27" t="n">
        <f aca="false">IF(I904-E904&gt;=GWL,99,E904*(MAX(0,GWL-I904)*(GAM_S-GAM_W)+MAX(0,NG-MAX(I904,GWL))*GAM_D)/(GAM_W*PI()*E904^2/4))</f>
        <v>1.89433711880761</v>
      </c>
      <c r="AB904" s="27" t="n">
        <f aca="false">IF(H904-E904&gt;=GWL,99,E904*(MAX(0,GWL-H904)*(GAM_S-GAM_W)+MAX(0,FL-MAX(H904,GWL))*GAM_D)/(GAM_W*PI()*E904^2/4))</f>
        <v>3.84003465825808</v>
      </c>
      <c r="AC904" s="27" t="n">
        <f aca="false">IF(I904-E904&gt;=GWL,99,E904*(MAX(0,GWL-I904)*(GAM_S-GAM_W)+MAX(0,FL-MAX(I904,GWL))*GAM_D)/(GAM_W*PI()*E904^2/4))</f>
        <v>3.84003465825808</v>
      </c>
    </row>
    <row r="905" customFormat="false" ht="15" hidden="false" customHeight="false" outlineLevel="0" collapsed="false">
      <c r="A905" s="25" t="s">
        <v>1460</v>
      </c>
      <c r="B905" s="25" t="s">
        <v>1480</v>
      </c>
      <c r="C905" s="25" t="s">
        <v>1486</v>
      </c>
      <c r="D905" s="26" t="n">
        <v>1.57730886034085</v>
      </c>
      <c r="E905" s="26" t="n">
        <v>1.41999474065153</v>
      </c>
      <c r="F905" s="26" t="n">
        <v>-5.60999737032576</v>
      </c>
      <c r="G905" s="26" t="n">
        <v>-5.60999737032576</v>
      </c>
      <c r="H905" s="26" t="n">
        <v>-3.69000262967424</v>
      </c>
      <c r="I905" s="26" t="n">
        <v>-3.69000262967424</v>
      </c>
      <c r="J905" s="26" t="n">
        <v>16.62</v>
      </c>
      <c r="K905" s="27" t="n">
        <f aca="false">MIN(F905,G905)</f>
        <v>-5.60999737032576</v>
      </c>
      <c r="L905" s="27" t="n">
        <f aca="false">AVERAGE(F905,G905)</f>
        <v>-5.60999737032576</v>
      </c>
      <c r="M905" s="27" t="n">
        <f aca="false">MAX(0,NG-L905)</f>
        <v>4.90999737032576</v>
      </c>
      <c r="N905" s="27" t="n">
        <f aca="false">MAX(0,GWL-K905)</f>
        <v>4.10999737032576</v>
      </c>
      <c r="O905" s="27" t="n">
        <f aca="false">MAX(0,NG-MAX(K905,GWL))</f>
        <v>0.8</v>
      </c>
      <c r="P905" s="27" t="n">
        <f aca="false">E905/2+WS+SLOPE_A*O905+SLOPE_B*N905</f>
        <v>11.1299921109773</v>
      </c>
      <c r="Q905" s="28" t="str">
        <f aca="false">IF(AND(P905&lt;J905,N905&lt;=MAXOC),"Open cut","Shoring")</f>
        <v>Shoring</v>
      </c>
      <c r="R905" s="27" t="n">
        <f aca="false">IF(Q905="Shoring",D905,0)</f>
        <v>1.57730886034085</v>
      </c>
      <c r="S905" s="27" t="n">
        <f aca="false">MAX(0,GWL-L905)</f>
        <v>4.10999737032576</v>
      </c>
      <c r="T905" s="27" t="n">
        <f aca="false">MAX(0,NG-MAX(L905,GWL))</f>
        <v>0.8</v>
      </c>
      <c r="U905" s="27" t="n">
        <f aca="false">E905+2*WS</f>
        <v>3.41999474065153</v>
      </c>
      <c r="V905" s="27" t="n">
        <f aca="false">IF(Q905="Shoring",D905*M905*U905,0)</f>
        <v>26.4864309276532</v>
      </c>
      <c r="W905" s="27" t="n">
        <f aca="false">IF(Q905="Open cut",D905*(U905*M905+SLOPE_B*S905^2+2*SLOPE_B*S905*T905+SLOPE_A*T905^2),0)</f>
        <v>0</v>
      </c>
      <c r="X905" s="27" t="n">
        <f aca="false">IF(M905&gt;0,D905*(E905+2*SLABOVH)*SLAB,0)</f>
        <v>1.90853957320395</v>
      </c>
      <c r="Y905" s="27" t="n">
        <f aca="false">IF(M905&gt;0,D905*PI()*E905^2/4,0)</f>
        <v>2.49792903435491</v>
      </c>
      <c r="Z905" s="27" t="n">
        <f aca="false">IF(H905-E905&gt;=GWL,99,E905*(MAX(0,GWL-H905)*(GAM_S-GAM_W)+MAX(0,NG-MAX(H905,GWL))*GAM_D)/(GAM_W*PI()*E905^2/4))</f>
        <v>2.95557717441074</v>
      </c>
      <c r="AA905" s="27" t="n">
        <f aca="false">IF(I905-E905&gt;=GWL,99,E905*(MAX(0,GWL-I905)*(GAM_S-GAM_W)+MAX(0,NG-MAX(I905,GWL))*GAM_D)/(GAM_W*PI()*E905^2/4))</f>
        <v>2.95557717441074</v>
      </c>
      <c r="AB905" s="27" t="n">
        <f aca="false">IF(H905-E905&gt;=GWL,99,E905*(MAX(0,GWL-H905)*(GAM_S-GAM_W)+MAX(0,FL-MAX(H905,GWL))*GAM_D)/(GAM_W*PI()*E905^2/4))</f>
        <v>5.75246985164151</v>
      </c>
      <c r="AC905" s="27" t="n">
        <f aca="false">IF(I905-E905&gt;=GWL,99,E905*(MAX(0,GWL-I905)*(GAM_S-GAM_W)+MAX(0,FL-MAX(I905,GWL))*GAM_D)/(GAM_W*PI()*E905^2/4))</f>
        <v>5.75246985164151</v>
      </c>
    </row>
    <row r="906" customFormat="false" ht="15" hidden="false" customHeight="false" outlineLevel="0" collapsed="false">
      <c r="A906" s="25" t="s">
        <v>1460</v>
      </c>
      <c r="B906" s="25" t="s">
        <v>1480</v>
      </c>
      <c r="C906" s="25" t="s">
        <v>1487</v>
      </c>
      <c r="D906" s="26" t="n">
        <v>0.205004851219867</v>
      </c>
      <c r="E906" s="26" t="n">
        <v>1.41999474065153</v>
      </c>
      <c r="F906" s="26" t="n">
        <v>-5.60999737032576</v>
      </c>
      <c r="G906" s="26" t="n">
        <v>-5.60999737032576</v>
      </c>
      <c r="H906" s="26" t="n">
        <v>-3.69000262967424</v>
      </c>
      <c r="I906" s="26" t="n">
        <v>-3.69000262967424</v>
      </c>
      <c r="J906" s="26" t="n">
        <v>17.41</v>
      </c>
      <c r="K906" s="27" t="n">
        <f aca="false">MIN(F906,G906)</f>
        <v>-5.60999737032576</v>
      </c>
      <c r="L906" s="27" t="n">
        <f aca="false">AVERAGE(F906,G906)</f>
        <v>-5.60999737032576</v>
      </c>
      <c r="M906" s="27" t="n">
        <f aca="false">MAX(0,NG-L906)</f>
        <v>4.90999737032576</v>
      </c>
      <c r="N906" s="27" t="n">
        <f aca="false">MAX(0,GWL-K906)</f>
        <v>4.10999737032576</v>
      </c>
      <c r="O906" s="27" t="n">
        <f aca="false">MAX(0,NG-MAX(K906,GWL))</f>
        <v>0.8</v>
      </c>
      <c r="P906" s="27" t="n">
        <f aca="false">E906/2+WS+SLOPE_A*O906+SLOPE_B*N906</f>
        <v>11.1299921109773</v>
      </c>
      <c r="Q906" s="28" t="str">
        <f aca="false">IF(AND(P906&lt;J906,N906&lt;=MAXOC),"Open cut","Shoring")</f>
        <v>Shoring</v>
      </c>
      <c r="R906" s="27" t="n">
        <f aca="false">IF(Q906="Shoring",D906,0)</f>
        <v>0.205004851219867</v>
      </c>
      <c r="S906" s="27" t="n">
        <f aca="false">MAX(0,GWL-L906)</f>
        <v>4.10999737032576</v>
      </c>
      <c r="T906" s="27" t="n">
        <f aca="false">MAX(0,NG-MAX(L906,GWL))</f>
        <v>0.8</v>
      </c>
      <c r="U906" s="27" t="n">
        <f aca="false">E906+2*WS</f>
        <v>3.41999474065153</v>
      </c>
      <c r="V906" s="27" t="n">
        <f aca="false">IF(Q906="Shoring",D906*M906*U906,0)</f>
        <v>3.44247532502637</v>
      </c>
      <c r="W906" s="27" t="n">
        <f aca="false">IF(Q906="Open cut",D906*(U906*M906+SLOPE_B*S906^2+2*SLOPE_B*S906*T906+SLOPE_A*T906^2),0)</f>
        <v>0</v>
      </c>
      <c r="X906" s="27" t="n">
        <f aca="false">IF(M906&gt;0,D906*(E906+2*SLABOVH)*SLAB,0)</f>
        <v>0.248055330880064</v>
      </c>
      <c r="Y906" s="27" t="n">
        <f aca="false">IF(M906&gt;0,D906*PI()*E906^2/4,0)</f>
        <v>0.324659033447042</v>
      </c>
      <c r="Z906" s="27" t="n">
        <f aca="false">IF(H906-E906&gt;=GWL,99,E906*(MAX(0,GWL-H906)*(GAM_S-GAM_W)+MAX(0,NG-MAX(H906,GWL))*GAM_D)/(GAM_W*PI()*E906^2/4))</f>
        <v>2.95557717441074</v>
      </c>
      <c r="AA906" s="27" t="n">
        <f aca="false">IF(I906-E906&gt;=GWL,99,E906*(MAX(0,GWL-I906)*(GAM_S-GAM_W)+MAX(0,NG-MAX(I906,GWL))*GAM_D)/(GAM_W*PI()*E906^2/4))</f>
        <v>2.95557717441074</v>
      </c>
      <c r="AB906" s="27" t="n">
        <f aca="false">IF(H906-E906&gt;=GWL,99,E906*(MAX(0,GWL-H906)*(GAM_S-GAM_W)+MAX(0,FL-MAX(H906,GWL))*GAM_D)/(GAM_W*PI()*E906^2/4))</f>
        <v>5.75246985164151</v>
      </c>
      <c r="AC906" s="27" t="n">
        <f aca="false">IF(I906-E906&gt;=GWL,99,E906*(MAX(0,GWL-I906)*(GAM_S-GAM_W)+MAX(0,FL-MAX(I906,GWL))*GAM_D)/(GAM_W*PI()*E906^2/4))</f>
        <v>5.75246985164151</v>
      </c>
    </row>
    <row r="907" customFormat="false" ht="15" hidden="false" customHeight="false" outlineLevel="0" collapsed="false">
      <c r="A907" s="25" t="s">
        <v>1460</v>
      </c>
      <c r="B907" s="25" t="s">
        <v>1488</v>
      </c>
      <c r="C907" s="25" t="s">
        <v>1489</v>
      </c>
      <c r="D907" s="26" t="n">
        <v>10.0000000003453</v>
      </c>
      <c r="E907" s="26" t="n">
        <v>2.04120445606693</v>
      </c>
      <c r="F907" s="26" t="n">
        <v>-5.92060222803347</v>
      </c>
      <c r="G907" s="26" t="n">
        <v>-5.92060222803347</v>
      </c>
      <c r="H907" s="26" t="n">
        <v>-3.37939777196654</v>
      </c>
      <c r="I907" s="26" t="n">
        <v>-3.37939777196654</v>
      </c>
      <c r="J907" s="26" t="n">
        <v>15.36</v>
      </c>
      <c r="K907" s="27" t="n">
        <f aca="false">MIN(F907,G907)</f>
        <v>-5.92060222803347</v>
      </c>
      <c r="L907" s="27" t="n">
        <f aca="false">AVERAGE(F907,G907)</f>
        <v>-5.92060222803347</v>
      </c>
      <c r="M907" s="27" t="n">
        <f aca="false">MAX(0,NG-L907)</f>
        <v>5.22060222803347</v>
      </c>
      <c r="N907" s="27" t="n">
        <f aca="false">MAX(0,GWL-K907)</f>
        <v>4.42060222803347</v>
      </c>
      <c r="O907" s="27" t="n">
        <f aca="false">MAX(0,NG-MAX(K907,GWL))</f>
        <v>0.8</v>
      </c>
      <c r="P907" s="27" t="n">
        <f aca="false">E907/2+WS+SLOPE_A*O907+SLOPE_B*N907</f>
        <v>12.0618066841004</v>
      </c>
      <c r="Q907" s="28" t="str">
        <f aca="false">IF(AND(P907&lt;J907,N907&lt;=MAXOC),"Open cut","Shoring")</f>
        <v>Shoring</v>
      </c>
      <c r="R907" s="27" t="n">
        <f aca="false">IF(Q907="Shoring",D907,0)</f>
        <v>10.0000000003453</v>
      </c>
      <c r="S907" s="27" t="n">
        <f aca="false">MAX(0,GWL-L907)</f>
        <v>4.42060222803347</v>
      </c>
      <c r="T907" s="27" t="n">
        <f aca="false">MAX(0,NG-MAX(L907,GWL))</f>
        <v>0.8</v>
      </c>
      <c r="U907" s="27" t="n">
        <f aca="false">E907+2*WS</f>
        <v>4.04120445606693</v>
      </c>
      <c r="V907" s="27" t="n">
        <f aca="false">IF(Q907="Shoring",D907*M907*U907,0)</f>
        <v>210.975209880103</v>
      </c>
      <c r="W907" s="27" t="n">
        <f aca="false">IF(Q907="Open cut",D907*(U907*M907+SLOPE_B*S907^2+2*SLOPE_B*S907*T907+SLOPE_A*T907^2),0)</f>
        <v>0</v>
      </c>
      <c r="X907" s="27" t="n">
        <f aca="false">IF(M907&gt;0,D907*(E907+2*SLABOVH)*SLAB,0)</f>
        <v>15.2060222808597</v>
      </c>
      <c r="Y907" s="27" t="n">
        <f aca="false">IF(M907&gt;0,D907*PI()*E907^2/4,0)</f>
        <v>32.7237372483432</v>
      </c>
      <c r="Z907" s="27" t="n">
        <f aca="false">IF(H907-E907&gt;=GWL,99,E907*(MAX(0,GWL-H907)*(GAM_S-GAM_W)+MAX(0,NG-MAX(H907,GWL))*GAM_D)/(GAM_W*PI()*E907^2/4))</f>
        <v>1.8943410304529</v>
      </c>
      <c r="AA907" s="27" t="n">
        <f aca="false">IF(I907-E907&gt;=GWL,99,E907*(MAX(0,GWL-I907)*(GAM_S-GAM_W)+MAX(0,NG-MAX(I907,GWL))*GAM_D)/(GAM_W*PI()*E907^2/4))</f>
        <v>1.8943410304529</v>
      </c>
      <c r="AB907" s="27" t="n">
        <f aca="false">IF(H907-E907&gt;=GWL,99,E907*(MAX(0,GWL-H907)*(GAM_S-GAM_W)+MAX(0,FL-MAX(H907,GWL))*GAM_D)/(GAM_W*PI()*E907^2/4))</f>
        <v>3.84004170734003</v>
      </c>
      <c r="AC907" s="27" t="n">
        <f aca="false">IF(I907-E907&gt;=GWL,99,E907*(MAX(0,GWL-I907)*(GAM_S-GAM_W)+MAX(0,FL-MAX(I907,GWL))*GAM_D)/(GAM_W*PI()*E907^2/4))</f>
        <v>3.84004170734003</v>
      </c>
    </row>
    <row r="908" customFormat="false" ht="15" hidden="false" customHeight="false" outlineLevel="0" collapsed="false">
      <c r="A908" s="25" t="s">
        <v>1460</v>
      </c>
      <c r="B908" s="25" t="s">
        <v>1488</v>
      </c>
      <c r="C908" s="25" t="s">
        <v>1490</v>
      </c>
      <c r="D908" s="26" t="n">
        <v>9.9999999996468</v>
      </c>
      <c r="E908" s="26" t="n">
        <v>2.04120445606693</v>
      </c>
      <c r="F908" s="26" t="n">
        <v>-5.92060222803347</v>
      </c>
      <c r="G908" s="26" t="n">
        <v>-5.92060222803347</v>
      </c>
      <c r="H908" s="26" t="n">
        <v>-3.37939777196654</v>
      </c>
      <c r="I908" s="26" t="n">
        <v>-3.37939777196654</v>
      </c>
      <c r="J908" s="26" t="n">
        <v>24.52</v>
      </c>
      <c r="K908" s="27" t="n">
        <f aca="false">MIN(F908,G908)</f>
        <v>-5.92060222803347</v>
      </c>
      <c r="L908" s="27" t="n">
        <f aca="false">AVERAGE(F908,G908)</f>
        <v>-5.92060222803347</v>
      </c>
      <c r="M908" s="27" t="n">
        <f aca="false">MAX(0,NG-L908)</f>
        <v>5.22060222803347</v>
      </c>
      <c r="N908" s="27" t="n">
        <f aca="false">MAX(0,GWL-K908)</f>
        <v>4.42060222803347</v>
      </c>
      <c r="O908" s="27" t="n">
        <f aca="false">MAX(0,NG-MAX(K908,GWL))</f>
        <v>0.8</v>
      </c>
      <c r="P908" s="27" t="n">
        <f aca="false">E908/2+WS+SLOPE_A*O908+SLOPE_B*N908</f>
        <v>12.0618066841004</v>
      </c>
      <c r="Q908" s="28" t="str">
        <f aca="false">IF(AND(P908&lt;J908,N908&lt;=MAXOC),"Open cut","Shoring")</f>
        <v>Shoring</v>
      </c>
      <c r="R908" s="27" t="n">
        <f aca="false">IF(Q908="Shoring",D908,0)</f>
        <v>9.9999999996468</v>
      </c>
      <c r="S908" s="27" t="n">
        <f aca="false">MAX(0,GWL-L908)</f>
        <v>4.42060222803347</v>
      </c>
      <c r="T908" s="27" t="n">
        <f aca="false">MAX(0,NG-MAX(L908,GWL))</f>
        <v>0.8</v>
      </c>
      <c r="U908" s="27" t="n">
        <f aca="false">E908+2*WS</f>
        <v>4.04120445606693</v>
      </c>
      <c r="V908" s="27" t="n">
        <f aca="false">IF(Q908="Shoring",D908*M908*U908,0)</f>
        <v>210.975209865366</v>
      </c>
      <c r="W908" s="27" t="n">
        <f aca="false">IF(Q908="Open cut",D908*(U908*M908+SLOPE_B*S908^2+2*SLOPE_B*S908*T908+SLOPE_A*T908^2),0)</f>
        <v>0</v>
      </c>
      <c r="X908" s="27" t="n">
        <f aca="false">IF(M908&gt;0,D908*(E908+2*SLABOVH)*SLAB,0)</f>
        <v>15.2060222797976</v>
      </c>
      <c r="Y908" s="27" t="n">
        <f aca="false">IF(M908&gt;0,D908*PI()*E908^2/4,0)</f>
        <v>32.7237372460575</v>
      </c>
      <c r="Z908" s="27" t="n">
        <f aca="false">IF(H908-E908&gt;=GWL,99,E908*(MAX(0,GWL-H908)*(GAM_S-GAM_W)+MAX(0,NG-MAX(H908,GWL))*GAM_D)/(GAM_W*PI()*E908^2/4))</f>
        <v>1.8943410304529</v>
      </c>
      <c r="AA908" s="27" t="n">
        <f aca="false">IF(I908-E908&gt;=GWL,99,E908*(MAX(0,GWL-I908)*(GAM_S-GAM_W)+MAX(0,NG-MAX(I908,GWL))*GAM_D)/(GAM_W*PI()*E908^2/4))</f>
        <v>1.8943410304529</v>
      </c>
      <c r="AB908" s="27" t="n">
        <f aca="false">IF(H908-E908&gt;=GWL,99,E908*(MAX(0,GWL-H908)*(GAM_S-GAM_W)+MAX(0,FL-MAX(H908,GWL))*GAM_D)/(GAM_W*PI()*E908^2/4))</f>
        <v>3.84004170734003</v>
      </c>
      <c r="AC908" s="27" t="n">
        <f aca="false">IF(I908-E908&gt;=GWL,99,E908*(MAX(0,GWL-I908)*(GAM_S-GAM_W)+MAX(0,FL-MAX(I908,GWL))*GAM_D)/(GAM_W*PI()*E908^2/4))</f>
        <v>3.84004170734003</v>
      </c>
    </row>
    <row r="909" customFormat="false" ht="15" hidden="false" customHeight="false" outlineLevel="0" collapsed="false">
      <c r="A909" s="25" t="s">
        <v>1460</v>
      </c>
      <c r="B909" s="25" t="s">
        <v>1488</v>
      </c>
      <c r="C909" s="25" t="s">
        <v>1491</v>
      </c>
      <c r="D909" s="26" t="n">
        <v>10.0000000003453</v>
      </c>
      <c r="E909" s="26" t="n">
        <v>2.04120445606693</v>
      </c>
      <c r="F909" s="26" t="n">
        <v>-5.92060222803347</v>
      </c>
      <c r="G909" s="26" t="n">
        <v>-5.92060222803347</v>
      </c>
      <c r="H909" s="26" t="n">
        <v>-3.37939777196654</v>
      </c>
      <c r="I909" s="26" t="n">
        <v>-3.37939777196654</v>
      </c>
      <c r="J909" s="26" t="n">
        <v>99</v>
      </c>
      <c r="K909" s="27" t="n">
        <f aca="false">MIN(F909,G909)</f>
        <v>-5.92060222803347</v>
      </c>
      <c r="L909" s="27" t="n">
        <f aca="false">AVERAGE(F909,G909)</f>
        <v>-5.92060222803347</v>
      </c>
      <c r="M909" s="27" t="n">
        <f aca="false">MAX(0,NG-L909)</f>
        <v>5.22060222803347</v>
      </c>
      <c r="N909" s="27" t="n">
        <f aca="false">MAX(0,GWL-K909)</f>
        <v>4.42060222803347</v>
      </c>
      <c r="O909" s="27" t="n">
        <f aca="false">MAX(0,NG-MAX(K909,GWL))</f>
        <v>0.8</v>
      </c>
      <c r="P909" s="27" t="n">
        <f aca="false">E909/2+WS+SLOPE_A*O909+SLOPE_B*N909</f>
        <v>12.0618066841004</v>
      </c>
      <c r="Q909" s="28" t="str">
        <f aca="false">IF(AND(P909&lt;J909,N909&lt;=MAXOC),"Open cut","Shoring")</f>
        <v>Shoring</v>
      </c>
      <c r="R909" s="27" t="n">
        <f aca="false">IF(Q909="Shoring",D909,0)</f>
        <v>10.0000000003453</v>
      </c>
      <c r="S909" s="27" t="n">
        <f aca="false">MAX(0,GWL-L909)</f>
        <v>4.42060222803347</v>
      </c>
      <c r="T909" s="27" t="n">
        <f aca="false">MAX(0,NG-MAX(L909,GWL))</f>
        <v>0.8</v>
      </c>
      <c r="U909" s="27" t="n">
        <f aca="false">E909+2*WS</f>
        <v>4.04120445606693</v>
      </c>
      <c r="V909" s="27" t="n">
        <f aca="false">IF(Q909="Shoring",D909*M909*U909,0)</f>
        <v>210.975209880103</v>
      </c>
      <c r="W909" s="27" t="n">
        <f aca="false">IF(Q909="Open cut",D909*(U909*M909+SLOPE_B*S909^2+2*SLOPE_B*S909*T909+SLOPE_A*T909^2),0)</f>
        <v>0</v>
      </c>
      <c r="X909" s="27" t="n">
        <f aca="false">IF(M909&gt;0,D909*(E909+2*SLABOVH)*SLAB,0)</f>
        <v>15.2060222808597</v>
      </c>
      <c r="Y909" s="27" t="n">
        <f aca="false">IF(M909&gt;0,D909*PI()*E909^2/4,0)</f>
        <v>32.7237372483432</v>
      </c>
      <c r="Z909" s="27" t="n">
        <f aca="false">IF(H909-E909&gt;=GWL,99,E909*(MAX(0,GWL-H909)*(GAM_S-GAM_W)+MAX(0,NG-MAX(H909,GWL))*GAM_D)/(GAM_W*PI()*E909^2/4))</f>
        <v>1.8943410304529</v>
      </c>
      <c r="AA909" s="27" t="n">
        <f aca="false">IF(I909-E909&gt;=GWL,99,E909*(MAX(0,GWL-I909)*(GAM_S-GAM_W)+MAX(0,NG-MAX(I909,GWL))*GAM_D)/(GAM_W*PI()*E909^2/4))</f>
        <v>1.8943410304529</v>
      </c>
      <c r="AB909" s="27" t="n">
        <f aca="false">IF(H909-E909&gt;=GWL,99,E909*(MAX(0,GWL-H909)*(GAM_S-GAM_W)+MAX(0,FL-MAX(H909,GWL))*GAM_D)/(GAM_W*PI()*E909^2/4))</f>
        <v>3.84004170734003</v>
      </c>
      <c r="AC909" s="27" t="n">
        <f aca="false">IF(I909-E909&gt;=GWL,99,E909*(MAX(0,GWL-I909)*(GAM_S-GAM_W)+MAX(0,FL-MAX(I909,GWL))*GAM_D)/(GAM_W*PI()*E909^2/4))</f>
        <v>3.84004170734003</v>
      </c>
    </row>
    <row r="910" customFormat="false" ht="15" hidden="false" customHeight="false" outlineLevel="0" collapsed="false">
      <c r="A910" s="25" t="s">
        <v>1460</v>
      </c>
      <c r="B910" s="25" t="s">
        <v>1488</v>
      </c>
      <c r="C910" s="25" t="s">
        <v>1492</v>
      </c>
      <c r="D910" s="26" t="n">
        <v>7.19999999945237</v>
      </c>
      <c r="E910" s="26" t="n">
        <v>2.04120445606693</v>
      </c>
      <c r="F910" s="26" t="n">
        <v>-5.92060222803347</v>
      </c>
      <c r="G910" s="26" t="n">
        <v>-5.92060222803347</v>
      </c>
      <c r="H910" s="26" t="n">
        <v>-3.37939777196654</v>
      </c>
      <c r="I910" s="26" t="n">
        <v>-3.37939777196654</v>
      </c>
      <c r="J910" s="26" t="n">
        <v>99</v>
      </c>
      <c r="K910" s="27" t="n">
        <f aca="false">MIN(F910,G910)</f>
        <v>-5.92060222803347</v>
      </c>
      <c r="L910" s="27" t="n">
        <f aca="false">AVERAGE(F910,G910)</f>
        <v>-5.92060222803347</v>
      </c>
      <c r="M910" s="27" t="n">
        <f aca="false">MAX(0,NG-L910)</f>
        <v>5.22060222803347</v>
      </c>
      <c r="N910" s="27" t="n">
        <f aca="false">MAX(0,GWL-K910)</f>
        <v>4.42060222803347</v>
      </c>
      <c r="O910" s="27" t="n">
        <f aca="false">MAX(0,NG-MAX(K910,GWL))</f>
        <v>0.8</v>
      </c>
      <c r="P910" s="27" t="n">
        <f aca="false">E910/2+WS+SLOPE_A*O910+SLOPE_B*N910</f>
        <v>12.0618066841004</v>
      </c>
      <c r="Q910" s="28" t="str">
        <f aca="false">IF(AND(P910&lt;J910,N910&lt;=MAXOC),"Open cut","Shoring")</f>
        <v>Shoring</v>
      </c>
      <c r="R910" s="27" t="n">
        <f aca="false">IF(Q910="Shoring",D910,0)</f>
        <v>7.19999999945237</v>
      </c>
      <c r="S910" s="27" t="n">
        <f aca="false">MAX(0,GWL-L910)</f>
        <v>4.42060222803347</v>
      </c>
      <c r="T910" s="27" t="n">
        <f aca="false">MAX(0,NG-MAX(L910,GWL))</f>
        <v>0.8</v>
      </c>
      <c r="U910" s="27" t="n">
        <f aca="false">E910+2*WS</f>
        <v>4.04120445606693</v>
      </c>
      <c r="V910" s="27" t="n">
        <f aca="false">IF(Q910="Shoring",D910*M910*U910,0)</f>
        <v>151.902151096875</v>
      </c>
      <c r="W910" s="27" t="n">
        <f aca="false">IF(Q910="Open cut",D910*(U910*M910+SLOPE_B*S910^2+2*SLOPE_B*S910*T910+SLOPE_A*T910^2),0)</f>
        <v>0</v>
      </c>
      <c r="X910" s="27" t="n">
        <f aca="false">IF(M910&gt;0,D910*(E910+2*SLABOVH)*SLAB,0)</f>
        <v>10.9483360410082</v>
      </c>
      <c r="Y910" s="27" t="n">
        <f aca="false">IF(M910&gt;0,D910*PI()*E910^2/4,0)</f>
        <v>23.5610908162015</v>
      </c>
      <c r="Z910" s="27" t="n">
        <f aca="false">IF(H910-E910&gt;=GWL,99,E910*(MAX(0,GWL-H910)*(GAM_S-GAM_W)+MAX(0,NG-MAX(H910,GWL))*GAM_D)/(GAM_W*PI()*E910^2/4))</f>
        <v>1.8943410304529</v>
      </c>
      <c r="AA910" s="27" t="n">
        <f aca="false">IF(I910-E910&gt;=GWL,99,E910*(MAX(0,GWL-I910)*(GAM_S-GAM_W)+MAX(0,NG-MAX(I910,GWL))*GAM_D)/(GAM_W*PI()*E910^2/4))</f>
        <v>1.8943410304529</v>
      </c>
      <c r="AB910" s="27" t="n">
        <f aca="false">IF(H910-E910&gt;=GWL,99,E910*(MAX(0,GWL-H910)*(GAM_S-GAM_W)+MAX(0,FL-MAX(H910,GWL))*GAM_D)/(GAM_W*PI()*E910^2/4))</f>
        <v>3.84004170734003</v>
      </c>
      <c r="AC910" s="27" t="n">
        <f aca="false">IF(I910-E910&gt;=GWL,99,E910*(MAX(0,GWL-I910)*(GAM_S-GAM_W)+MAX(0,FL-MAX(I910,GWL))*GAM_D)/(GAM_W*PI()*E910^2/4))</f>
        <v>3.84004170734003</v>
      </c>
    </row>
    <row r="911" customFormat="false" ht="15" hidden="false" customHeight="false" outlineLevel="0" collapsed="false">
      <c r="A911" s="25" t="s">
        <v>1460</v>
      </c>
      <c r="B911" s="25" t="s">
        <v>1493</v>
      </c>
      <c r="C911" s="25" t="s">
        <v>1494</v>
      </c>
      <c r="D911" s="26" t="n">
        <v>2.80000000019443</v>
      </c>
      <c r="E911" s="26" t="n">
        <v>2.04120445606693</v>
      </c>
      <c r="F911" s="26" t="n">
        <v>-5.92060222803347</v>
      </c>
      <c r="G911" s="26" t="n">
        <v>-5.92060222803347</v>
      </c>
      <c r="H911" s="26" t="n">
        <v>-3.37939777196654</v>
      </c>
      <c r="I911" s="26" t="n">
        <v>-3.37939777196654</v>
      </c>
      <c r="J911" s="26" t="n">
        <v>32.42</v>
      </c>
      <c r="K911" s="27" t="n">
        <f aca="false">MIN(F911,G911)</f>
        <v>-5.92060222803347</v>
      </c>
      <c r="L911" s="27" t="n">
        <f aca="false">AVERAGE(F911,G911)</f>
        <v>-5.92060222803347</v>
      </c>
      <c r="M911" s="27" t="n">
        <f aca="false">MAX(0,NG-L911)</f>
        <v>5.22060222803347</v>
      </c>
      <c r="N911" s="27" t="n">
        <f aca="false">MAX(0,GWL-K911)</f>
        <v>4.42060222803347</v>
      </c>
      <c r="O911" s="27" t="n">
        <f aca="false">MAX(0,NG-MAX(K911,GWL))</f>
        <v>0.8</v>
      </c>
      <c r="P911" s="27" t="n">
        <f aca="false">E911/2+WS+SLOPE_A*O911+SLOPE_B*N911</f>
        <v>12.0618066841004</v>
      </c>
      <c r="Q911" s="28" t="str">
        <f aca="false">IF(AND(P911&lt;J911,N911&lt;=MAXOC),"Open cut","Shoring")</f>
        <v>Shoring</v>
      </c>
      <c r="R911" s="27" t="n">
        <f aca="false">IF(Q911="Shoring",D911,0)</f>
        <v>2.80000000019443</v>
      </c>
      <c r="S911" s="27" t="n">
        <f aca="false">MAX(0,GWL-L911)</f>
        <v>4.42060222803347</v>
      </c>
      <c r="T911" s="27" t="n">
        <f aca="false">MAX(0,NG-MAX(L911,GWL))</f>
        <v>0.8</v>
      </c>
      <c r="U911" s="27" t="n">
        <f aca="false">E911+2*WS</f>
        <v>4.04120445606693</v>
      </c>
      <c r="V911" s="27" t="n">
        <f aca="false">IF(Q911="Shoring",D911*M911*U911,0)</f>
        <v>59.0730587684909</v>
      </c>
      <c r="W911" s="27" t="n">
        <f aca="false">IF(Q911="Open cut",D911*(U911*M911+SLOPE_B*S911^2+2*SLOPE_B*S911*T911+SLOPE_A*T911^2),0)</f>
        <v>0</v>
      </c>
      <c r="X911" s="27" t="n">
        <f aca="false">IF(M911&gt;0,D911*(E911+2*SLABOVH)*SLAB,0)</f>
        <v>4.25768623878935</v>
      </c>
      <c r="Y911" s="27" t="n">
        <f aca="false">IF(M911&gt;0,D911*PI()*E911^2/4,0)</f>
        <v>9.16264642985595</v>
      </c>
      <c r="Z911" s="27" t="n">
        <f aca="false">IF(H911-E911&gt;=GWL,99,E911*(MAX(0,GWL-H911)*(GAM_S-GAM_W)+MAX(0,NG-MAX(H911,GWL))*GAM_D)/(GAM_W*PI()*E911^2/4))</f>
        <v>1.8943410304529</v>
      </c>
      <c r="AA911" s="27" t="n">
        <f aca="false">IF(I911-E911&gt;=GWL,99,E911*(MAX(0,GWL-I911)*(GAM_S-GAM_W)+MAX(0,NG-MAX(I911,GWL))*GAM_D)/(GAM_W*PI()*E911^2/4))</f>
        <v>1.8943410304529</v>
      </c>
      <c r="AB911" s="27" t="n">
        <f aca="false">IF(H911-E911&gt;=GWL,99,E911*(MAX(0,GWL-H911)*(GAM_S-GAM_W)+MAX(0,FL-MAX(H911,GWL))*GAM_D)/(GAM_W*PI()*E911^2/4))</f>
        <v>3.84004170734003</v>
      </c>
      <c r="AC911" s="27" t="n">
        <f aca="false">IF(I911-E911&gt;=GWL,99,E911*(MAX(0,GWL-I911)*(GAM_S-GAM_W)+MAX(0,FL-MAX(I911,GWL))*GAM_D)/(GAM_W*PI()*E911^2/4))</f>
        <v>3.84004170734003</v>
      </c>
    </row>
    <row r="912" customFormat="false" ht="15" hidden="false" customHeight="false" outlineLevel="0" collapsed="false">
      <c r="A912" s="25" t="s">
        <v>1460</v>
      </c>
      <c r="B912" s="25" t="s">
        <v>1493</v>
      </c>
      <c r="C912" s="25" t="s">
        <v>1495</v>
      </c>
      <c r="D912" s="26" t="n">
        <v>10.0000000003453</v>
      </c>
      <c r="E912" s="26" t="n">
        <v>2.04120445606693</v>
      </c>
      <c r="F912" s="26" t="n">
        <v>-5.92060222803347</v>
      </c>
      <c r="G912" s="26" t="n">
        <v>-5.92060222803347</v>
      </c>
      <c r="H912" s="26" t="n">
        <v>-3.37939777196654</v>
      </c>
      <c r="I912" s="26" t="n">
        <v>-3.37939777196654</v>
      </c>
      <c r="J912" s="26" t="n">
        <v>23.09</v>
      </c>
      <c r="K912" s="27" t="n">
        <f aca="false">MIN(F912,G912)</f>
        <v>-5.92060222803347</v>
      </c>
      <c r="L912" s="27" t="n">
        <f aca="false">AVERAGE(F912,G912)</f>
        <v>-5.92060222803347</v>
      </c>
      <c r="M912" s="27" t="n">
        <f aca="false">MAX(0,NG-L912)</f>
        <v>5.22060222803347</v>
      </c>
      <c r="N912" s="27" t="n">
        <f aca="false">MAX(0,GWL-K912)</f>
        <v>4.42060222803347</v>
      </c>
      <c r="O912" s="27" t="n">
        <f aca="false">MAX(0,NG-MAX(K912,GWL))</f>
        <v>0.8</v>
      </c>
      <c r="P912" s="27" t="n">
        <f aca="false">E912/2+WS+SLOPE_A*O912+SLOPE_B*N912</f>
        <v>12.0618066841004</v>
      </c>
      <c r="Q912" s="28" t="str">
        <f aca="false">IF(AND(P912&lt;J912,N912&lt;=MAXOC),"Open cut","Shoring")</f>
        <v>Shoring</v>
      </c>
      <c r="R912" s="27" t="n">
        <f aca="false">IF(Q912="Shoring",D912,0)</f>
        <v>10.0000000003453</v>
      </c>
      <c r="S912" s="27" t="n">
        <f aca="false">MAX(0,GWL-L912)</f>
        <v>4.42060222803347</v>
      </c>
      <c r="T912" s="27" t="n">
        <f aca="false">MAX(0,NG-MAX(L912,GWL))</f>
        <v>0.8</v>
      </c>
      <c r="U912" s="27" t="n">
        <f aca="false">E912+2*WS</f>
        <v>4.04120445606693</v>
      </c>
      <c r="V912" s="27" t="n">
        <f aca="false">IF(Q912="Shoring",D912*M912*U912,0)</f>
        <v>210.975209880103</v>
      </c>
      <c r="W912" s="27" t="n">
        <f aca="false">IF(Q912="Open cut",D912*(U912*M912+SLOPE_B*S912^2+2*SLOPE_B*S912*T912+SLOPE_A*T912^2),0)</f>
        <v>0</v>
      </c>
      <c r="X912" s="27" t="n">
        <f aca="false">IF(M912&gt;0,D912*(E912+2*SLABOVH)*SLAB,0)</f>
        <v>15.2060222808597</v>
      </c>
      <c r="Y912" s="27" t="n">
        <f aca="false">IF(M912&gt;0,D912*PI()*E912^2/4,0)</f>
        <v>32.7237372483432</v>
      </c>
      <c r="Z912" s="27" t="n">
        <f aca="false">IF(H912-E912&gt;=GWL,99,E912*(MAX(0,GWL-H912)*(GAM_S-GAM_W)+MAX(0,NG-MAX(H912,GWL))*GAM_D)/(GAM_W*PI()*E912^2/4))</f>
        <v>1.8943410304529</v>
      </c>
      <c r="AA912" s="27" t="n">
        <f aca="false">IF(I912-E912&gt;=GWL,99,E912*(MAX(0,GWL-I912)*(GAM_S-GAM_W)+MAX(0,NG-MAX(I912,GWL))*GAM_D)/(GAM_W*PI()*E912^2/4))</f>
        <v>1.8943410304529</v>
      </c>
      <c r="AB912" s="27" t="n">
        <f aca="false">IF(H912-E912&gt;=GWL,99,E912*(MAX(0,GWL-H912)*(GAM_S-GAM_W)+MAX(0,FL-MAX(H912,GWL))*GAM_D)/(GAM_W*PI()*E912^2/4))</f>
        <v>3.84004170734003</v>
      </c>
      <c r="AC912" s="27" t="n">
        <f aca="false">IF(I912-E912&gt;=GWL,99,E912*(MAX(0,GWL-I912)*(GAM_S-GAM_W)+MAX(0,FL-MAX(I912,GWL))*GAM_D)/(GAM_W*PI()*E912^2/4))</f>
        <v>3.84004170734003</v>
      </c>
    </row>
    <row r="913" customFormat="false" ht="15" hidden="false" customHeight="false" outlineLevel="0" collapsed="false">
      <c r="A913" s="25" t="s">
        <v>1460</v>
      </c>
      <c r="B913" s="25" t="s">
        <v>1493</v>
      </c>
      <c r="C913" s="25" t="s">
        <v>1496</v>
      </c>
      <c r="D913" s="26" t="n">
        <v>9.9999999996468</v>
      </c>
      <c r="E913" s="26" t="n">
        <v>2.04120445606693</v>
      </c>
      <c r="F913" s="26" t="n">
        <v>-5.92060222803347</v>
      </c>
      <c r="G913" s="26" t="n">
        <v>-5.92060222803347</v>
      </c>
      <c r="H913" s="26" t="n">
        <v>-3.37939777196654</v>
      </c>
      <c r="I913" s="26" t="n">
        <v>-3.37939777196654</v>
      </c>
      <c r="J913" s="26" t="n">
        <v>14.68</v>
      </c>
      <c r="K913" s="27" t="n">
        <f aca="false">MIN(F913,G913)</f>
        <v>-5.92060222803347</v>
      </c>
      <c r="L913" s="27" t="n">
        <f aca="false">AVERAGE(F913,G913)</f>
        <v>-5.92060222803347</v>
      </c>
      <c r="M913" s="27" t="n">
        <f aca="false">MAX(0,NG-L913)</f>
        <v>5.22060222803347</v>
      </c>
      <c r="N913" s="27" t="n">
        <f aca="false">MAX(0,GWL-K913)</f>
        <v>4.42060222803347</v>
      </c>
      <c r="O913" s="27" t="n">
        <f aca="false">MAX(0,NG-MAX(K913,GWL))</f>
        <v>0.8</v>
      </c>
      <c r="P913" s="27" t="n">
        <f aca="false">E913/2+WS+SLOPE_A*O913+SLOPE_B*N913</f>
        <v>12.0618066841004</v>
      </c>
      <c r="Q913" s="28" t="str">
        <f aca="false">IF(AND(P913&lt;J913,N913&lt;=MAXOC),"Open cut","Shoring")</f>
        <v>Shoring</v>
      </c>
      <c r="R913" s="27" t="n">
        <f aca="false">IF(Q913="Shoring",D913,0)</f>
        <v>9.9999999996468</v>
      </c>
      <c r="S913" s="27" t="n">
        <f aca="false">MAX(0,GWL-L913)</f>
        <v>4.42060222803347</v>
      </c>
      <c r="T913" s="27" t="n">
        <f aca="false">MAX(0,NG-MAX(L913,GWL))</f>
        <v>0.8</v>
      </c>
      <c r="U913" s="27" t="n">
        <f aca="false">E913+2*WS</f>
        <v>4.04120445606693</v>
      </c>
      <c r="V913" s="27" t="n">
        <f aca="false">IF(Q913="Shoring",D913*M913*U913,0)</f>
        <v>210.975209865366</v>
      </c>
      <c r="W913" s="27" t="n">
        <f aca="false">IF(Q913="Open cut",D913*(U913*M913+SLOPE_B*S913^2+2*SLOPE_B*S913*T913+SLOPE_A*T913^2),0)</f>
        <v>0</v>
      </c>
      <c r="X913" s="27" t="n">
        <f aca="false">IF(M913&gt;0,D913*(E913+2*SLABOVH)*SLAB,0)</f>
        <v>15.2060222797976</v>
      </c>
      <c r="Y913" s="27" t="n">
        <f aca="false">IF(M913&gt;0,D913*PI()*E913^2/4,0)</f>
        <v>32.7237372460575</v>
      </c>
      <c r="Z913" s="27" t="n">
        <f aca="false">IF(H913-E913&gt;=GWL,99,E913*(MAX(0,GWL-H913)*(GAM_S-GAM_W)+MAX(0,NG-MAX(H913,GWL))*GAM_D)/(GAM_W*PI()*E913^2/4))</f>
        <v>1.8943410304529</v>
      </c>
      <c r="AA913" s="27" t="n">
        <f aca="false">IF(I913-E913&gt;=GWL,99,E913*(MAX(0,GWL-I913)*(GAM_S-GAM_W)+MAX(0,NG-MAX(I913,GWL))*GAM_D)/(GAM_W*PI()*E913^2/4))</f>
        <v>1.8943410304529</v>
      </c>
      <c r="AB913" s="27" t="n">
        <f aca="false">IF(H913-E913&gt;=GWL,99,E913*(MAX(0,GWL-H913)*(GAM_S-GAM_W)+MAX(0,FL-MAX(H913,GWL))*GAM_D)/(GAM_W*PI()*E913^2/4))</f>
        <v>3.84004170734003</v>
      </c>
      <c r="AC913" s="27" t="n">
        <f aca="false">IF(I913-E913&gt;=GWL,99,E913*(MAX(0,GWL-I913)*(GAM_S-GAM_W)+MAX(0,FL-MAX(I913,GWL))*GAM_D)/(GAM_W*PI()*E913^2/4))</f>
        <v>3.84004170734003</v>
      </c>
    </row>
    <row r="914" customFormat="false" ht="15" hidden="false" customHeight="false" outlineLevel="0" collapsed="false">
      <c r="A914" s="25" t="s">
        <v>1460</v>
      </c>
      <c r="B914" s="25" t="s">
        <v>1493</v>
      </c>
      <c r="C914" s="25" t="s">
        <v>1497</v>
      </c>
      <c r="D914" s="26" t="n">
        <v>10.0000000003453</v>
      </c>
      <c r="E914" s="26" t="n">
        <v>2.04120445606693</v>
      </c>
      <c r="F914" s="26" t="n">
        <v>-5.92060222803347</v>
      </c>
      <c r="G914" s="26" t="n">
        <v>-5.92060222803347</v>
      </c>
      <c r="H914" s="26" t="n">
        <v>-3.37939777196654</v>
      </c>
      <c r="I914" s="26" t="n">
        <v>-3.37939777196654</v>
      </c>
      <c r="J914" s="26" t="n">
        <v>23.88</v>
      </c>
      <c r="K914" s="27" t="n">
        <f aca="false">MIN(F914,G914)</f>
        <v>-5.92060222803347</v>
      </c>
      <c r="L914" s="27" t="n">
        <f aca="false">AVERAGE(F914,G914)</f>
        <v>-5.92060222803347</v>
      </c>
      <c r="M914" s="27" t="n">
        <f aca="false">MAX(0,NG-L914)</f>
        <v>5.22060222803347</v>
      </c>
      <c r="N914" s="27" t="n">
        <f aca="false">MAX(0,GWL-K914)</f>
        <v>4.42060222803347</v>
      </c>
      <c r="O914" s="27" t="n">
        <f aca="false">MAX(0,NG-MAX(K914,GWL))</f>
        <v>0.8</v>
      </c>
      <c r="P914" s="27" t="n">
        <f aca="false">E914/2+WS+SLOPE_A*O914+SLOPE_B*N914</f>
        <v>12.0618066841004</v>
      </c>
      <c r="Q914" s="28" t="str">
        <f aca="false">IF(AND(P914&lt;J914,N914&lt;=MAXOC),"Open cut","Shoring")</f>
        <v>Shoring</v>
      </c>
      <c r="R914" s="27" t="n">
        <f aca="false">IF(Q914="Shoring",D914,0)</f>
        <v>10.0000000003453</v>
      </c>
      <c r="S914" s="27" t="n">
        <f aca="false">MAX(0,GWL-L914)</f>
        <v>4.42060222803347</v>
      </c>
      <c r="T914" s="27" t="n">
        <f aca="false">MAX(0,NG-MAX(L914,GWL))</f>
        <v>0.8</v>
      </c>
      <c r="U914" s="27" t="n">
        <f aca="false">E914+2*WS</f>
        <v>4.04120445606693</v>
      </c>
      <c r="V914" s="27" t="n">
        <f aca="false">IF(Q914="Shoring",D914*M914*U914,0)</f>
        <v>210.975209880103</v>
      </c>
      <c r="W914" s="27" t="n">
        <f aca="false">IF(Q914="Open cut",D914*(U914*M914+SLOPE_B*S914^2+2*SLOPE_B*S914*T914+SLOPE_A*T914^2),0)</f>
        <v>0</v>
      </c>
      <c r="X914" s="27" t="n">
        <f aca="false">IF(M914&gt;0,D914*(E914+2*SLABOVH)*SLAB,0)</f>
        <v>15.2060222808597</v>
      </c>
      <c r="Y914" s="27" t="n">
        <f aca="false">IF(M914&gt;0,D914*PI()*E914^2/4,0)</f>
        <v>32.7237372483432</v>
      </c>
      <c r="Z914" s="27" t="n">
        <f aca="false">IF(H914-E914&gt;=GWL,99,E914*(MAX(0,GWL-H914)*(GAM_S-GAM_W)+MAX(0,NG-MAX(H914,GWL))*GAM_D)/(GAM_W*PI()*E914^2/4))</f>
        <v>1.8943410304529</v>
      </c>
      <c r="AA914" s="27" t="n">
        <f aca="false">IF(I914-E914&gt;=GWL,99,E914*(MAX(0,GWL-I914)*(GAM_S-GAM_W)+MAX(0,NG-MAX(I914,GWL))*GAM_D)/(GAM_W*PI()*E914^2/4))</f>
        <v>1.8943410304529</v>
      </c>
      <c r="AB914" s="27" t="n">
        <f aca="false">IF(H914-E914&gt;=GWL,99,E914*(MAX(0,GWL-H914)*(GAM_S-GAM_W)+MAX(0,FL-MAX(H914,GWL))*GAM_D)/(GAM_W*PI()*E914^2/4))</f>
        <v>3.84004170734003</v>
      </c>
      <c r="AC914" s="27" t="n">
        <f aca="false">IF(I914-E914&gt;=GWL,99,E914*(MAX(0,GWL-I914)*(GAM_S-GAM_W)+MAX(0,FL-MAX(I914,GWL))*GAM_D)/(GAM_W*PI()*E914^2/4))</f>
        <v>3.84004170734003</v>
      </c>
    </row>
    <row r="915" customFormat="false" ht="15" hidden="false" customHeight="false" outlineLevel="0" collapsed="false">
      <c r="A915" s="25" t="s">
        <v>1460</v>
      </c>
      <c r="B915" s="25" t="s">
        <v>1493</v>
      </c>
      <c r="C915" s="25" t="s">
        <v>1498</v>
      </c>
      <c r="D915" s="26" t="n">
        <v>7.53857999970763</v>
      </c>
      <c r="E915" s="26" t="n">
        <v>2.04120445606693</v>
      </c>
      <c r="F915" s="26" t="n">
        <v>-5.92060222803347</v>
      </c>
      <c r="G915" s="26" t="n">
        <v>-5.92060222803347</v>
      </c>
      <c r="H915" s="26" t="n">
        <v>-3.37939777196654</v>
      </c>
      <c r="I915" s="26" t="n">
        <v>-3.37939777196654</v>
      </c>
      <c r="J915" s="26" t="n">
        <v>23.8</v>
      </c>
      <c r="K915" s="27" t="n">
        <f aca="false">MIN(F915,G915)</f>
        <v>-5.92060222803347</v>
      </c>
      <c r="L915" s="27" t="n">
        <f aca="false">AVERAGE(F915,G915)</f>
        <v>-5.92060222803347</v>
      </c>
      <c r="M915" s="27" t="n">
        <f aca="false">MAX(0,NG-L915)</f>
        <v>5.22060222803347</v>
      </c>
      <c r="N915" s="27" t="n">
        <f aca="false">MAX(0,GWL-K915)</f>
        <v>4.42060222803347</v>
      </c>
      <c r="O915" s="27" t="n">
        <f aca="false">MAX(0,NG-MAX(K915,GWL))</f>
        <v>0.8</v>
      </c>
      <c r="P915" s="27" t="n">
        <f aca="false">E915/2+WS+SLOPE_A*O915+SLOPE_B*N915</f>
        <v>12.0618066841004</v>
      </c>
      <c r="Q915" s="28" t="str">
        <f aca="false">IF(AND(P915&lt;J915,N915&lt;=MAXOC),"Open cut","Shoring")</f>
        <v>Shoring</v>
      </c>
      <c r="R915" s="27" t="n">
        <f aca="false">IF(Q915="Shoring",D915,0)</f>
        <v>7.53857999970763</v>
      </c>
      <c r="S915" s="27" t="n">
        <f aca="false">MAX(0,GWL-L915)</f>
        <v>4.42060222803347</v>
      </c>
      <c r="T915" s="27" t="n">
        <f aca="false">MAX(0,NG-MAX(L915,GWL))</f>
        <v>0.8</v>
      </c>
      <c r="U915" s="27" t="n">
        <f aca="false">E915+2*WS</f>
        <v>4.04120445606693</v>
      </c>
      <c r="V915" s="27" t="n">
        <f aca="false">IF(Q915="Shoring",D915*M915*U915,0)</f>
        <v>159.045349758134</v>
      </c>
      <c r="W915" s="27" t="n">
        <f aca="false">IF(Q915="Open cut",D915*(U915*M915+SLOPE_B*S915^2+2*SLOPE_B*S915*T915+SLOPE_A*T915^2),0)</f>
        <v>0</v>
      </c>
      <c r="X915" s="27" t="n">
        <f aca="false">IF(M915&gt;0,D915*(E915+2*SLABOVH)*SLAB,0)</f>
        <v>11.4631815437639</v>
      </c>
      <c r="Y915" s="27" t="n">
        <f aca="false">IF(M915&gt;0,D915*PI()*E915^2/4,0)</f>
        <v>24.6690511127529</v>
      </c>
      <c r="Z915" s="27" t="n">
        <f aca="false">IF(H915-E915&gt;=GWL,99,E915*(MAX(0,GWL-H915)*(GAM_S-GAM_W)+MAX(0,NG-MAX(H915,GWL))*GAM_D)/(GAM_W*PI()*E915^2/4))</f>
        <v>1.8943410304529</v>
      </c>
      <c r="AA915" s="27" t="n">
        <f aca="false">IF(I915-E915&gt;=GWL,99,E915*(MAX(0,GWL-I915)*(GAM_S-GAM_W)+MAX(0,NG-MAX(I915,GWL))*GAM_D)/(GAM_W*PI()*E915^2/4))</f>
        <v>1.8943410304529</v>
      </c>
      <c r="AB915" s="27" t="n">
        <f aca="false">IF(H915-E915&gt;=GWL,99,E915*(MAX(0,GWL-H915)*(GAM_S-GAM_W)+MAX(0,FL-MAX(H915,GWL))*GAM_D)/(GAM_W*PI()*E915^2/4))</f>
        <v>3.84004170734003</v>
      </c>
      <c r="AC915" s="27" t="n">
        <f aca="false">IF(I915-E915&gt;=GWL,99,E915*(MAX(0,GWL-I915)*(GAM_S-GAM_W)+MAX(0,FL-MAX(I915,GWL))*GAM_D)/(GAM_W*PI()*E915^2/4))</f>
        <v>3.84004170734003</v>
      </c>
    </row>
    <row r="916" customFormat="false" ht="15" hidden="false" customHeight="false" outlineLevel="0" collapsed="false">
      <c r="A916" s="25" t="s">
        <v>1460</v>
      </c>
      <c r="B916" s="25" t="s">
        <v>1493</v>
      </c>
      <c r="C916" s="25" t="s">
        <v>1499</v>
      </c>
      <c r="D916" s="26" t="n">
        <v>1.99998995370519</v>
      </c>
      <c r="E916" s="26" t="n">
        <v>2.04120445606693</v>
      </c>
      <c r="F916" s="26" t="n">
        <v>-5.92060222803347</v>
      </c>
      <c r="G916" s="26" t="n">
        <v>-5.92060222803347</v>
      </c>
      <c r="H916" s="26" t="n">
        <v>-3.37939777196654</v>
      </c>
      <c r="I916" s="26" t="n">
        <v>-3.37939777196654</v>
      </c>
      <c r="J916" s="26" t="n">
        <v>23.83</v>
      </c>
      <c r="K916" s="27" t="n">
        <f aca="false">MIN(F916,G916)</f>
        <v>-5.92060222803347</v>
      </c>
      <c r="L916" s="27" t="n">
        <f aca="false">AVERAGE(F916,G916)</f>
        <v>-5.92060222803347</v>
      </c>
      <c r="M916" s="27" t="n">
        <f aca="false">MAX(0,NG-L916)</f>
        <v>5.22060222803347</v>
      </c>
      <c r="N916" s="27" t="n">
        <f aca="false">MAX(0,GWL-K916)</f>
        <v>4.42060222803347</v>
      </c>
      <c r="O916" s="27" t="n">
        <f aca="false">MAX(0,NG-MAX(K916,GWL))</f>
        <v>0.8</v>
      </c>
      <c r="P916" s="27" t="n">
        <f aca="false">E916/2+WS+SLOPE_A*O916+SLOPE_B*N916</f>
        <v>12.0618066841004</v>
      </c>
      <c r="Q916" s="28" t="str">
        <f aca="false">IF(AND(P916&lt;J916,N916&lt;=MAXOC),"Open cut","Shoring")</f>
        <v>Shoring</v>
      </c>
      <c r="R916" s="27" t="n">
        <f aca="false">IF(Q916="Shoring",D916,0)</f>
        <v>1.99998995370519</v>
      </c>
      <c r="S916" s="27" t="n">
        <f aca="false">MAX(0,GWL-L916)</f>
        <v>4.42060222803347</v>
      </c>
      <c r="T916" s="27" t="n">
        <f aca="false">MAX(0,NG-MAX(L916,GWL))</f>
        <v>0.8</v>
      </c>
      <c r="U916" s="27" t="n">
        <f aca="false">E916+2*WS</f>
        <v>4.04120445606693</v>
      </c>
      <c r="V916" s="27" t="n">
        <f aca="false">IF(Q916="Shoring",D916*M916*U916,0)</f>
        <v>42.1948300226479</v>
      </c>
      <c r="W916" s="27" t="n">
        <f aca="false">IF(Q916="Open cut",D916*(U916*M916+SLOPE_B*S916^2+2*SLOPE_B*S916*T916+SLOPE_A*T916^2),0)</f>
        <v>0</v>
      </c>
      <c r="X916" s="27" t="n">
        <f aca="false">IF(M916&gt;0,D916*(E916+2*SLABOVH)*SLAB,0)</f>
        <v>3.04118917964865</v>
      </c>
      <c r="Y916" s="27" t="n">
        <f aca="false">IF(M916&gt;0,D916*PI()*E916^2/4,0)</f>
        <v>6.54471457421148</v>
      </c>
      <c r="Z916" s="27" t="n">
        <f aca="false">IF(H916-E916&gt;=GWL,99,E916*(MAX(0,GWL-H916)*(GAM_S-GAM_W)+MAX(0,NG-MAX(H916,GWL))*GAM_D)/(GAM_W*PI()*E916^2/4))</f>
        <v>1.8943410304529</v>
      </c>
      <c r="AA916" s="27" t="n">
        <f aca="false">IF(I916-E916&gt;=GWL,99,E916*(MAX(0,GWL-I916)*(GAM_S-GAM_W)+MAX(0,NG-MAX(I916,GWL))*GAM_D)/(GAM_W*PI()*E916^2/4))</f>
        <v>1.8943410304529</v>
      </c>
      <c r="AB916" s="27" t="n">
        <f aca="false">IF(H916-E916&gt;=GWL,99,E916*(MAX(0,GWL-H916)*(GAM_S-GAM_W)+MAX(0,FL-MAX(H916,GWL))*GAM_D)/(GAM_W*PI()*E916^2/4))</f>
        <v>3.84004170734003</v>
      </c>
      <c r="AC916" s="27" t="n">
        <f aca="false">IF(I916-E916&gt;=GWL,99,E916*(MAX(0,GWL-I916)*(GAM_S-GAM_W)+MAX(0,FL-MAX(I916,GWL))*GAM_D)/(GAM_W*PI()*E916^2/4))</f>
        <v>3.84004170734003</v>
      </c>
    </row>
    <row r="917" customFormat="false" ht="15" hidden="false" customHeight="false" outlineLevel="0" collapsed="false">
      <c r="A917" s="25" t="s">
        <v>1460</v>
      </c>
      <c r="B917" s="25" t="s">
        <v>1493</v>
      </c>
      <c r="C917" s="25" t="s">
        <v>1500</v>
      </c>
      <c r="D917" s="26" t="n">
        <v>0.461430045880223</v>
      </c>
      <c r="E917" s="26" t="n">
        <v>2.06960331171637</v>
      </c>
      <c r="F917" s="26" t="n">
        <v>-5.93480165585819</v>
      </c>
      <c r="G917" s="26" t="n">
        <v>-5.93480165585819</v>
      </c>
      <c r="H917" s="26" t="n">
        <v>-3.36519834414182</v>
      </c>
      <c r="I917" s="26" t="n">
        <v>-3.36519834414182</v>
      </c>
      <c r="J917" s="26" t="n">
        <v>23.38</v>
      </c>
      <c r="K917" s="27" t="n">
        <f aca="false">MIN(F917,G917)</f>
        <v>-5.93480165585819</v>
      </c>
      <c r="L917" s="27" t="n">
        <f aca="false">AVERAGE(F917,G917)</f>
        <v>-5.93480165585819</v>
      </c>
      <c r="M917" s="27" t="n">
        <f aca="false">MAX(0,NG-L917)</f>
        <v>5.23480165585819</v>
      </c>
      <c r="N917" s="27" t="n">
        <f aca="false">MAX(0,GWL-K917)</f>
        <v>4.43480165585819</v>
      </c>
      <c r="O917" s="27" t="n">
        <f aca="false">MAX(0,NG-MAX(K917,GWL))</f>
        <v>0.8</v>
      </c>
      <c r="P917" s="27" t="n">
        <f aca="false">E917/2+WS+SLOPE_A*O917+SLOPE_B*N917</f>
        <v>12.1044049675746</v>
      </c>
      <c r="Q917" s="28" t="str">
        <f aca="false">IF(AND(P917&lt;J917,N917&lt;=MAXOC),"Open cut","Shoring")</f>
        <v>Shoring</v>
      </c>
      <c r="R917" s="27" t="n">
        <f aca="false">IF(Q917="Shoring",D917,0)</f>
        <v>0.461430045880223</v>
      </c>
      <c r="S917" s="27" t="n">
        <f aca="false">MAX(0,GWL-L917)</f>
        <v>4.43480165585819</v>
      </c>
      <c r="T917" s="27" t="n">
        <f aca="false">MAX(0,NG-MAX(L917,GWL))</f>
        <v>0.8</v>
      </c>
      <c r="U917" s="27" t="n">
        <f aca="false">E917+2*WS</f>
        <v>4.06960331171637</v>
      </c>
      <c r="V917" s="27" t="n">
        <f aca="false">IF(Q917="Shoring",D917*M917*U917,0)</f>
        <v>9.83010550824886</v>
      </c>
      <c r="W917" s="27" t="n">
        <f aca="false">IF(Q917="Open cut",D917*(U917*M917+SLOPE_B*S917^2+2*SLOPE_B*S917*T917+SLOPE_A*T917^2),0)</f>
        <v>0</v>
      </c>
      <c r="X917" s="27" t="n">
        <f aca="false">IF(M917&gt;0,D917*(E917+2*SLABOVH)*SLAB,0)</f>
        <v>0.708203598479684</v>
      </c>
      <c r="Y917" s="27" t="n">
        <f aca="false">IF(M917&gt;0,D917*PI()*E917^2/4,0)</f>
        <v>1.55227968111685</v>
      </c>
      <c r="Z917" s="27" t="n">
        <f aca="false">IF(H917-E917&gt;=GWL,99,E917*(MAX(0,GWL-H917)*(GAM_S-GAM_W)+MAX(0,NG-MAX(H917,GWL))*GAM_D)/(GAM_W*PI()*E917^2/4))</f>
        <v>1.86105406087656</v>
      </c>
      <c r="AA917" s="27" t="n">
        <f aca="false">IF(I917-E917&gt;=GWL,99,E917*(MAX(0,GWL-I917)*(GAM_S-GAM_W)+MAX(0,NG-MAX(I917,GWL))*GAM_D)/(GAM_W*PI()*E917^2/4))</f>
        <v>1.86105406087656</v>
      </c>
      <c r="AB917" s="27" t="n">
        <f aca="false">IF(H917-E917&gt;=GWL,99,E917*(MAX(0,GWL-H917)*(GAM_S-GAM_W)+MAX(0,FL-MAX(H917,GWL))*GAM_D)/(GAM_W*PI()*E917^2/4))</f>
        <v>3.7800560596416</v>
      </c>
      <c r="AC917" s="27" t="n">
        <f aca="false">IF(I917-E917&gt;=GWL,99,E917*(MAX(0,GWL-I917)*(GAM_S-GAM_W)+MAX(0,FL-MAX(I917,GWL))*GAM_D)/(GAM_W*PI()*E917^2/4))</f>
        <v>3.7800560596416</v>
      </c>
    </row>
    <row r="918" customFormat="false" ht="15" hidden="false" customHeight="false" outlineLevel="0" collapsed="false">
      <c r="A918" s="25" t="s">
        <v>1460</v>
      </c>
      <c r="B918" s="25" t="s">
        <v>1493</v>
      </c>
      <c r="C918" s="25" t="s">
        <v>1501</v>
      </c>
      <c r="D918" s="26" t="n">
        <v>1.54310382313316</v>
      </c>
      <c r="E918" s="26" t="n">
        <v>2.06960331171637</v>
      </c>
      <c r="F918" s="26" t="n">
        <v>-5.93480165585819</v>
      </c>
      <c r="G918" s="26" t="n">
        <v>-5.93480165585819</v>
      </c>
      <c r="H918" s="26" t="n">
        <v>-3.36519834414182</v>
      </c>
      <c r="I918" s="26" t="n">
        <v>-3.36519834414182</v>
      </c>
      <c r="J918" s="26" t="n">
        <v>21.83</v>
      </c>
      <c r="K918" s="27" t="n">
        <f aca="false">MIN(F918,G918)</f>
        <v>-5.93480165585819</v>
      </c>
      <c r="L918" s="27" t="n">
        <f aca="false">AVERAGE(F918,G918)</f>
        <v>-5.93480165585819</v>
      </c>
      <c r="M918" s="27" t="n">
        <f aca="false">MAX(0,NG-L918)</f>
        <v>5.23480165585819</v>
      </c>
      <c r="N918" s="27" t="n">
        <f aca="false">MAX(0,GWL-K918)</f>
        <v>4.43480165585819</v>
      </c>
      <c r="O918" s="27" t="n">
        <f aca="false">MAX(0,NG-MAX(K918,GWL))</f>
        <v>0.8</v>
      </c>
      <c r="P918" s="27" t="n">
        <f aca="false">E918/2+WS+SLOPE_A*O918+SLOPE_B*N918</f>
        <v>12.1044049675746</v>
      </c>
      <c r="Q918" s="28" t="str">
        <f aca="false">IF(AND(P918&lt;J918,N918&lt;=MAXOC),"Open cut","Shoring")</f>
        <v>Shoring</v>
      </c>
      <c r="R918" s="27" t="n">
        <f aca="false">IF(Q918="Shoring",D918,0)</f>
        <v>1.54310382313316</v>
      </c>
      <c r="S918" s="27" t="n">
        <f aca="false">MAX(0,GWL-L918)</f>
        <v>4.43480165585819</v>
      </c>
      <c r="T918" s="27" t="n">
        <f aca="false">MAX(0,NG-MAX(L918,GWL))</f>
        <v>0.8</v>
      </c>
      <c r="U918" s="27" t="n">
        <f aca="false">E918+2*WS</f>
        <v>4.06960331171637</v>
      </c>
      <c r="V918" s="27" t="n">
        <f aca="false">IF(Q918="Shoring",D918*M918*U918,0)</f>
        <v>32.8736143799328</v>
      </c>
      <c r="W918" s="27" t="n">
        <f aca="false">IF(Q918="Open cut",D918*(U918*M918+SLOPE_B*S918^2+2*SLOPE_B*S918*T918+SLOPE_A*T918^2),0)</f>
        <v>0</v>
      </c>
      <c r="X918" s="27" t="n">
        <f aca="false">IF(M918&gt;0,D918*(E918+2*SLABOVH)*SLAB,0)</f>
        <v>2.36835830290587</v>
      </c>
      <c r="Y918" s="27" t="n">
        <f aca="false">IF(M918&gt;0,D918*PI()*E918^2/4,0)</f>
        <v>5.19109826481719</v>
      </c>
      <c r="Z918" s="27" t="n">
        <f aca="false">IF(H918-E918&gt;=GWL,99,E918*(MAX(0,GWL-H918)*(GAM_S-GAM_W)+MAX(0,NG-MAX(H918,GWL))*GAM_D)/(GAM_W*PI()*E918^2/4))</f>
        <v>1.86105406087656</v>
      </c>
      <c r="AA918" s="27" t="n">
        <f aca="false">IF(I918-E918&gt;=GWL,99,E918*(MAX(0,GWL-I918)*(GAM_S-GAM_W)+MAX(0,NG-MAX(I918,GWL))*GAM_D)/(GAM_W*PI()*E918^2/4))</f>
        <v>1.86105406087656</v>
      </c>
      <c r="AB918" s="27" t="n">
        <f aca="false">IF(H918-E918&gt;=GWL,99,E918*(MAX(0,GWL-H918)*(GAM_S-GAM_W)+MAX(0,FL-MAX(H918,GWL))*GAM_D)/(GAM_W*PI()*E918^2/4))</f>
        <v>3.7800560596416</v>
      </c>
      <c r="AC918" s="27" t="n">
        <f aca="false">IF(I918-E918&gt;=GWL,99,E918*(MAX(0,GWL-I918)*(GAM_S-GAM_W)+MAX(0,FL-MAX(I918,GWL))*GAM_D)/(GAM_W*PI()*E918^2/4))</f>
        <v>3.7800560596416</v>
      </c>
    </row>
    <row r="919" customFormat="false" ht="15" hidden="false" customHeight="false" outlineLevel="0" collapsed="false">
      <c r="A919" s="25" t="s">
        <v>1502</v>
      </c>
      <c r="B919" s="25" t="s">
        <v>1503</v>
      </c>
      <c r="C919" s="25" t="s">
        <v>1504</v>
      </c>
      <c r="D919" s="26" t="n">
        <v>6.00000000003895</v>
      </c>
      <c r="E919" s="26" t="n">
        <v>0.999996197245304</v>
      </c>
      <c r="F919" s="26" t="n">
        <v>-5.39999809862265</v>
      </c>
      <c r="G919" s="26" t="n">
        <v>-5.39999809862265</v>
      </c>
      <c r="H919" s="26" t="n">
        <v>-3.90000190137735</v>
      </c>
      <c r="I919" s="26" t="n">
        <v>-3.90000190137735</v>
      </c>
      <c r="J919" s="26" t="n">
        <v>99</v>
      </c>
      <c r="K919" s="27" t="n">
        <f aca="false">MIN(F919,G919)</f>
        <v>-5.39999809862265</v>
      </c>
      <c r="L919" s="27" t="n">
        <f aca="false">AVERAGE(F919,G919)</f>
        <v>-5.39999809862265</v>
      </c>
      <c r="M919" s="27" t="n">
        <f aca="false">MAX(0,NG-L919)</f>
        <v>4.69999809862265</v>
      </c>
      <c r="N919" s="27" t="n">
        <f aca="false">MAX(0,GWL-K919)</f>
        <v>3.89999809862265</v>
      </c>
      <c r="O919" s="27" t="n">
        <f aca="false">MAX(0,NG-MAX(K919,GWL))</f>
        <v>0.8</v>
      </c>
      <c r="P919" s="27" t="n">
        <f aca="false">E919/2+WS+SLOPE_A*O919+SLOPE_B*N919</f>
        <v>10.499994295868</v>
      </c>
      <c r="Q919" s="28" t="str">
        <f aca="false">IF(AND(P919&lt;J919,N919&lt;=MAXOC),"Open cut","Shoring")</f>
        <v>Shoring</v>
      </c>
      <c r="R919" s="27" t="n">
        <f aca="false">IF(Q919="Shoring",D919,0)</f>
        <v>6.00000000003895</v>
      </c>
      <c r="S919" s="27" t="n">
        <f aca="false">MAX(0,GWL-L919)</f>
        <v>3.89999809862265</v>
      </c>
      <c r="T919" s="27" t="n">
        <f aca="false">MAX(0,NG-MAX(L919,GWL))</f>
        <v>0.8</v>
      </c>
      <c r="U919" s="27" t="n">
        <f aca="false">E919+2*WS</f>
        <v>2.9999961972453</v>
      </c>
      <c r="V919" s="27" t="n">
        <f aca="false">IF(Q919="Shoring",D919*M919*U919,0)</f>
        <v>84.5998585381178</v>
      </c>
      <c r="W919" s="27" t="n">
        <f aca="false">IF(Q919="Open cut",D919*(U919*M919+SLOPE_B*S919^2+2*SLOPE_B*S919*T919+SLOPE_A*T919^2),0)</f>
        <v>0</v>
      </c>
      <c r="X919" s="27" t="n">
        <f aca="false">IF(M919&gt;0,D919*(E919+2*SLABOVH)*SLAB,0)</f>
        <v>5.99998859177486</v>
      </c>
      <c r="Y919" s="27" t="n">
        <f aca="false">IF(M919&gt;0,D919*PI()*E919^2/4,0)</f>
        <v>4.71235314036477</v>
      </c>
      <c r="Z919" s="27" t="n">
        <f aca="false">IF(H919-E919&gt;=GWL,99,E919*(MAX(0,GWL-H919)*(GAM_S-GAM_W)+MAX(0,NG-MAX(H919,GWL))*GAM_D)/(GAM_W*PI()*E919^2/4))</f>
        <v>4.42014583653299</v>
      </c>
      <c r="AA919" s="27" t="n">
        <f aca="false">IF(I919-E919&gt;=GWL,99,E919*(MAX(0,GWL-I919)*(GAM_S-GAM_W)+MAX(0,NG-MAX(I919,GWL))*GAM_D)/(GAM_W*PI()*E919^2/4))</f>
        <v>4.42014583653299</v>
      </c>
      <c r="AB919" s="27" t="n">
        <f aca="false">IF(H919-E919&gt;=GWL,99,E919*(MAX(0,GWL-H919)*(GAM_S-GAM_W)+MAX(0,FL-MAX(H919,GWL))*GAM_D)/(GAM_W*PI()*E919^2/4))</f>
        <v>8.39173383134234</v>
      </c>
      <c r="AC919" s="27" t="n">
        <f aca="false">IF(I919-E919&gt;=GWL,99,E919*(MAX(0,GWL-I919)*(GAM_S-GAM_W)+MAX(0,FL-MAX(I919,GWL))*GAM_D)/(GAM_W*PI()*E919^2/4))</f>
        <v>8.39173383134234</v>
      </c>
    </row>
    <row r="920" customFormat="false" ht="15" hidden="false" customHeight="false" outlineLevel="0" collapsed="false">
      <c r="A920" s="25" t="s">
        <v>1502</v>
      </c>
      <c r="B920" s="25" t="s">
        <v>1505</v>
      </c>
      <c r="C920" s="25" t="s">
        <v>1506</v>
      </c>
      <c r="D920" s="26" t="n">
        <v>4.00000000001639</v>
      </c>
      <c r="E920" s="26" t="n">
        <v>0.999996197245304</v>
      </c>
      <c r="F920" s="26" t="n">
        <v>-5.39999809862265</v>
      </c>
      <c r="G920" s="26" t="n">
        <v>-5.39999809862265</v>
      </c>
      <c r="H920" s="26" t="n">
        <v>-3.90000190137735</v>
      </c>
      <c r="I920" s="26" t="n">
        <v>-3.90000190137735</v>
      </c>
      <c r="J920" s="26" t="n">
        <v>34.19</v>
      </c>
      <c r="K920" s="27" t="n">
        <f aca="false">MIN(F920,G920)</f>
        <v>-5.39999809862265</v>
      </c>
      <c r="L920" s="27" t="n">
        <f aca="false">AVERAGE(F920,G920)</f>
        <v>-5.39999809862265</v>
      </c>
      <c r="M920" s="27" t="n">
        <f aca="false">MAX(0,NG-L920)</f>
        <v>4.69999809862265</v>
      </c>
      <c r="N920" s="27" t="n">
        <f aca="false">MAX(0,GWL-K920)</f>
        <v>3.89999809862265</v>
      </c>
      <c r="O920" s="27" t="n">
        <f aca="false">MAX(0,NG-MAX(K920,GWL))</f>
        <v>0.8</v>
      </c>
      <c r="P920" s="27" t="n">
        <f aca="false">E920/2+WS+SLOPE_A*O920+SLOPE_B*N920</f>
        <v>10.499994295868</v>
      </c>
      <c r="Q920" s="28" t="str">
        <f aca="false">IF(AND(P920&lt;J920,N920&lt;=MAXOC),"Open cut","Shoring")</f>
        <v>Shoring</v>
      </c>
      <c r="R920" s="27" t="n">
        <f aca="false">IF(Q920="Shoring",D920,0)</f>
        <v>4.00000000001639</v>
      </c>
      <c r="S920" s="27" t="n">
        <f aca="false">MAX(0,GWL-L920)</f>
        <v>3.89999809862265</v>
      </c>
      <c r="T920" s="27" t="n">
        <f aca="false">MAX(0,NG-MAX(L920,GWL))</f>
        <v>0.8</v>
      </c>
      <c r="U920" s="27" t="n">
        <f aca="false">E920+2*WS</f>
        <v>2.9999961972453</v>
      </c>
      <c r="V920" s="27" t="n">
        <f aca="false">IF(Q920="Shoring",D920*M920*U920,0)</f>
        <v>56.3999056919435</v>
      </c>
      <c r="W920" s="27" t="n">
        <f aca="false">IF(Q920="Open cut",D920*(U920*M920+SLOPE_B*S920^2+2*SLOPE_B*S920*T920+SLOPE_A*T920^2),0)</f>
        <v>0</v>
      </c>
      <c r="X920" s="27" t="n">
        <f aca="false">IF(M920&gt;0,D920*(E920+2*SLABOVH)*SLAB,0)</f>
        <v>3.999992394507</v>
      </c>
      <c r="Y920" s="27" t="n">
        <f aca="false">IF(M920&gt;0,D920*PI()*E920^2/4,0)</f>
        <v>3.14156876023566</v>
      </c>
      <c r="Z920" s="27" t="n">
        <f aca="false">IF(H920-E920&gt;=GWL,99,E920*(MAX(0,GWL-H920)*(GAM_S-GAM_W)+MAX(0,NG-MAX(H920,GWL))*GAM_D)/(GAM_W*PI()*E920^2/4))</f>
        <v>4.42014583653299</v>
      </c>
      <c r="AA920" s="27" t="n">
        <f aca="false">IF(I920-E920&gt;=GWL,99,E920*(MAX(0,GWL-I920)*(GAM_S-GAM_W)+MAX(0,NG-MAX(I920,GWL))*GAM_D)/(GAM_W*PI()*E920^2/4))</f>
        <v>4.42014583653299</v>
      </c>
      <c r="AB920" s="27" t="n">
        <f aca="false">IF(H920-E920&gt;=GWL,99,E920*(MAX(0,GWL-H920)*(GAM_S-GAM_W)+MAX(0,FL-MAX(H920,GWL))*GAM_D)/(GAM_W*PI()*E920^2/4))</f>
        <v>8.39173383134234</v>
      </c>
      <c r="AC920" s="27" t="n">
        <f aca="false">IF(I920-E920&gt;=GWL,99,E920*(MAX(0,GWL-I920)*(GAM_S-GAM_W)+MAX(0,FL-MAX(I920,GWL))*GAM_D)/(GAM_W*PI()*E920^2/4))</f>
        <v>8.39173383134234</v>
      </c>
    </row>
    <row r="921" customFormat="false" ht="15" hidden="false" customHeight="false" outlineLevel="0" collapsed="false">
      <c r="A921" s="25" t="s">
        <v>1502</v>
      </c>
      <c r="B921" s="25" t="s">
        <v>1505</v>
      </c>
      <c r="C921" s="25" t="s">
        <v>1507</v>
      </c>
      <c r="D921" s="26" t="n">
        <v>10.0000000005066</v>
      </c>
      <c r="E921" s="26" t="n">
        <v>0.999996197245304</v>
      </c>
      <c r="F921" s="26" t="n">
        <v>-5.39999809862265</v>
      </c>
      <c r="G921" s="26" t="n">
        <v>-5.39999809862265</v>
      </c>
      <c r="H921" s="26" t="n">
        <v>-3.90000190137735</v>
      </c>
      <c r="I921" s="26" t="n">
        <v>-3.90000190137735</v>
      </c>
      <c r="J921" s="26" t="n">
        <v>28.31</v>
      </c>
      <c r="K921" s="27" t="n">
        <f aca="false">MIN(F921,G921)</f>
        <v>-5.39999809862265</v>
      </c>
      <c r="L921" s="27" t="n">
        <f aca="false">AVERAGE(F921,G921)</f>
        <v>-5.39999809862265</v>
      </c>
      <c r="M921" s="27" t="n">
        <f aca="false">MAX(0,NG-L921)</f>
        <v>4.69999809862265</v>
      </c>
      <c r="N921" s="27" t="n">
        <f aca="false">MAX(0,GWL-K921)</f>
        <v>3.89999809862265</v>
      </c>
      <c r="O921" s="27" t="n">
        <f aca="false">MAX(0,NG-MAX(K921,GWL))</f>
        <v>0.8</v>
      </c>
      <c r="P921" s="27" t="n">
        <f aca="false">E921/2+WS+SLOPE_A*O921+SLOPE_B*N921</f>
        <v>10.499994295868</v>
      </c>
      <c r="Q921" s="28" t="str">
        <f aca="false">IF(AND(P921&lt;J921,N921&lt;=MAXOC),"Open cut","Shoring")</f>
        <v>Shoring</v>
      </c>
      <c r="R921" s="27" t="n">
        <f aca="false">IF(Q921="Shoring",D921,0)</f>
        <v>10.0000000005066</v>
      </c>
      <c r="S921" s="27" t="n">
        <f aca="false">MAX(0,GWL-L921)</f>
        <v>3.89999809862265</v>
      </c>
      <c r="T921" s="27" t="n">
        <f aca="false">MAX(0,NG-MAX(L921,GWL))</f>
        <v>0.8</v>
      </c>
      <c r="U921" s="27" t="n">
        <f aca="false">E921+2*WS</f>
        <v>2.9999961972453</v>
      </c>
      <c r="V921" s="27" t="n">
        <f aca="false">IF(Q921="Shoring",D921*M921*U921,0)</f>
        <v>140.999764236424</v>
      </c>
      <c r="W921" s="27" t="n">
        <f aca="false">IF(Q921="Open cut",D921*(U921*M921+SLOPE_B*S921^2+2*SLOPE_B*S921*T921+SLOPE_A*T921^2),0)</f>
        <v>0</v>
      </c>
      <c r="X921" s="27" t="n">
        <f aca="false">IF(M921&gt;0,D921*(E921+2*SLABOVH)*SLAB,0)</f>
        <v>9.99998098673312</v>
      </c>
      <c r="Y921" s="27" t="n">
        <f aca="false">IF(M921&gt;0,D921*PI()*E921^2/4,0)</f>
        <v>7.85392190095486</v>
      </c>
      <c r="Z921" s="27" t="n">
        <f aca="false">IF(H921-E921&gt;=GWL,99,E921*(MAX(0,GWL-H921)*(GAM_S-GAM_W)+MAX(0,NG-MAX(H921,GWL))*GAM_D)/(GAM_W*PI()*E921^2/4))</f>
        <v>4.42014583653299</v>
      </c>
      <c r="AA921" s="27" t="n">
        <f aca="false">IF(I921-E921&gt;=GWL,99,E921*(MAX(0,GWL-I921)*(GAM_S-GAM_W)+MAX(0,NG-MAX(I921,GWL))*GAM_D)/(GAM_W*PI()*E921^2/4))</f>
        <v>4.42014583653299</v>
      </c>
      <c r="AB921" s="27" t="n">
        <f aca="false">IF(H921-E921&gt;=GWL,99,E921*(MAX(0,GWL-H921)*(GAM_S-GAM_W)+MAX(0,FL-MAX(H921,GWL))*GAM_D)/(GAM_W*PI()*E921^2/4))</f>
        <v>8.39173383134234</v>
      </c>
      <c r="AC921" s="27" t="n">
        <f aca="false">IF(I921-E921&gt;=GWL,99,E921*(MAX(0,GWL-I921)*(GAM_S-GAM_W)+MAX(0,FL-MAX(I921,GWL))*GAM_D)/(GAM_W*PI()*E921^2/4))</f>
        <v>8.39173383134234</v>
      </c>
    </row>
    <row r="922" customFormat="false" ht="15" hidden="false" customHeight="false" outlineLevel="0" collapsed="false">
      <c r="A922" s="25" t="s">
        <v>1502</v>
      </c>
      <c r="B922" s="25" t="s">
        <v>1505</v>
      </c>
      <c r="C922" s="25" t="s">
        <v>1508</v>
      </c>
      <c r="D922" s="26" t="n">
        <v>9.99999999960407</v>
      </c>
      <c r="E922" s="26" t="n">
        <v>0.999996197245304</v>
      </c>
      <c r="F922" s="26" t="n">
        <v>-5.39999809862265</v>
      </c>
      <c r="G922" s="26" t="n">
        <v>-5.39999809862265</v>
      </c>
      <c r="H922" s="26" t="n">
        <v>-3.90000190137735</v>
      </c>
      <c r="I922" s="26" t="n">
        <v>-3.90000190137735</v>
      </c>
      <c r="J922" s="26" t="n">
        <v>0</v>
      </c>
      <c r="K922" s="27" t="n">
        <f aca="false">MIN(F922,G922)</f>
        <v>-5.39999809862265</v>
      </c>
      <c r="L922" s="27" t="n">
        <f aca="false">AVERAGE(F922,G922)</f>
        <v>-5.39999809862265</v>
      </c>
      <c r="M922" s="27" t="n">
        <f aca="false">MAX(0,NG-L922)</f>
        <v>4.69999809862265</v>
      </c>
      <c r="N922" s="27" t="n">
        <f aca="false">MAX(0,GWL-K922)</f>
        <v>3.89999809862265</v>
      </c>
      <c r="O922" s="27" t="n">
        <f aca="false">MAX(0,NG-MAX(K922,GWL))</f>
        <v>0.8</v>
      </c>
      <c r="P922" s="27" t="n">
        <f aca="false">E922/2+WS+SLOPE_A*O922+SLOPE_B*N922</f>
        <v>10.499994295868</v>
      </c>
      <c r="Q922" s="28" t="str">
        <f aca="false">IF(AND(P922&lt;J922,N922&lt;=MAXOC),"Open cut","Shoring")</f>
        <v>Shoring</v>
      </c>
      <c r="R922" s="27" t="n">
        <f aca="false">IF(Q922="Shoring",D922,0)</f>
        <v>9.99999999960407</v>
      </c>
      <c r="S922" s="27" t="n">
        <f aca="false">MAX(0,GWL-L922)</f>
        <v>3.89999809862265</v>
      </c>
      <c r="T922" s="27" t="n">
        <f aca="false">MAX(0,NG-MAX(L922,GWL))</f>
        <v>0.8</v>
      </c>
      <c r="U922" s="27" t="n">
        <f aca="false">E922+2*WS</f>
        <v>2.9999961972453</v>
      </c>
      <c r="V922" s="27" t="n">
        <f aca="false">IF(Q922="Shoring",D922*M922*U922,0)</f>
        <v>140.999764223699</v>
      </c>
      <c r="W922" s="27" t="n">
        <f aca="false">IF(Q922="Open cut",D922*(U922*M922+SLOPE_B*S922^2+2*SLOPE_B*S922*T922+SLOPE_A*T922^2),0)</f>
        <v>0</v>
      </c>
      <c r="X922" s="27" t="n">
        <f aca="false">IF(M922&gt;0,D922*(E922+2*SLABOVH)*SLAB,0)</f>
        <v>9.99998098583059</v>
      </c>
      <c r="Y922" s="27" t="n">
        <f aca="false">IF(M922&gt;0,D922*PI()*E922^2/4,0)</f>
        <v>7.85392190024602</v>
      </c>
      <c r="Z922" s="27" t="n">
        <f aca="false">IF(H922-E922&gt;=GWL,99,E922*(MAX(0,GWL-H922)*(GAM_S-GAM_W)+MAX(0,NG-MAX(H922,GWL))*GAM_D)/(GAM_W*PI()*E922^2/4))</f>
        <v>4.42014583653299</v>
      </c>
      <c r="AA922" s="27" t="n">
        <f aca="false">IF(I922-E922&gt;=GWL,99,E922*(MAX(0,GWL-I922)*(GAM_S-GAM_W)+MAX(0,NG-MAX(I922,GWL))*GAM_D)/(GAM_W*PI()*E922^2/4))</f>
        <v>4.42014583653299</v>
      </c>
      <c r="AB922" s="27" t="n">
        <f aca="false">IF(H922-E922&gt;=GWL,99,E922*(MAX(0,GWL-H922)*(GAM_S-GAM_W)+MAX(0,FL-MAX(H922,GWL))*GAM_D)/(GAM_W*PI()*E922^2/4))</f>
        <v>8.39173383134234</v>
      </c>
      <c r="AC922" s="27" t="n">
        <f aca="false">IF(I922-E922&gt;=GWL,99,E922*(MAX(0,GWL-I922)*(GAM_S-GAM_W)+MAX(0,FL-MAX(I922,GWL))*GAM_D)/(GAM_W*PI()*E922^2/4))</f>
        <v>8.39173383134234</v>
      </c>
    </row>
    <row r="923" customFormat="false" ht="15" hidden="false" customHeight="false" outlineLevel="0" collapsed="false">
      <c r="A923" s="25" t="s">
        <v>1502</v>
      </c>
      <c r="B923" s="25" t="s">
        <v>1505</v>
      </c>
      <c r="C923" s="25" t="s">
        <v>1509</v>
      </c>
      <c r="D923" s="26" t="n">
        <v>1.49248999968847</v>
      </c>
      <c r="E923" s="26" t="n">
        <v>0.999996197245304</v>
      </c>
      <c r="F923" s="26" t="n">
        <v>-5.39999809862265</v>
      </c>
      <c r="G923" s="26" t="n">
        <v>-5.39999809862265</v>
      </c>
      <c r="H923" s="26" t="n">
        <v>-3.90000190137735</v>
      </c>
      <c r="I923" s="26" t="n">
        <v>-3.90000190137735</v>
      </c>
      <c r="J923" s="26" t="n">
        <v>1</v>
      </c>
      <c r="K923" s="27" t="n">
        <f aca="false">MIN(F923,G923)</f>
        <v>-5.39999809862265</v>
      </c>
      <c r="L923" s="27" t="n">
        <f aca="false">AVERAGE(F923,G923)</f>
        <v>-5.39999809862265</v>
      </c>
      <c r="M923" s="27" t="n">
        <f aca="false">MAX(0,NG-L923)</f>
        <v>4.69999809862265</v>
      </c>
      <c r="N923" s="27" t="n">
        <f aca="false">MAX(0,GWL-K923)</f>
        <v>3.89999809862265</v>
      </c>
      <c r="O923" s="27" t="n">
        <f aca="false">MAX(0,NG-MAX(K923,GWL))</f>
        <v>0.8</v>
      </c>
      <c r="P923" s="27" t="n">
        <f aca="false">E923/2+WS+SLOPE_A*O923+SLOPE_B*N923</f>
        <v>10.499994295868</v>
      </c>
      <c r="Q923" s="28" t="str">
        <f aca="false">IF(AND(P923&lt;J923,N923&lt;=MAXOC),"Open cut","Shoring")</f>
        <v>Shoring</v>
      </c>
      <c r="R923" s="27" t="n">
        <f aca="false">IF(Q923="Shoring",D923,0)</f>
        <v>1.49248999968847</v>
      </c>
      <c r="S923" s="27" t="n">
        <f aca="false">MAX(0,GWL-L923)</f>
        <v>3.89999809862265</v>
      </c>
      <c r="T923" s="27" t="n">
        <f aca="false">MAX(0,NG-MAX(L923,GWL))</f>
        <v>0.8</v>
      </c>
      <c r="U923" s="27" t="n">
        <f aca="false">E923+2*WS</f>
        <v>2.9999961972453</v>
      </c>
      <c r="V923" s="27" t="n">
        <f aca="false">IF(Q923="Shoring",D923*M923*U923,0)</f>
        <v>21.0440738070634</v>
      </c>
      <c r="W923" s="27" t="n">
        <f aca="false">IF(Q923="Open cut",D923*(U923*M923+SLOPE_B*S923^2+2*SLOPE_B*S923*T923+SLOPE_A*T923^2),0)</f>
        <v>0</v>
      </c>
      <c r="X923" s="27" t="n">
        <f aca="false">IF(M923&gt;0,D923*(E923+2*SLABOVH)*SLAB,0)</f>
        <v>1.49248716190179</v>
      </c>
      <c r="Y923" s="27" t="n">
        <f aca="false">IF(M923&gt;0,D923*PI()*E923^2/4,0)</f>
        <v>1.17218998949155</v>
      </c>
      <c r="Z923" s="27" t="n">
        <f aca="false">IF(H923-E923&gt;=GWL,99,E923*(MAX(0,GWL-H923)*(GAM_S-GAM_W)+MAX(0,NG-MAX(H923,GWL))*GAM_D)/(GAM_W*PI()*E923^2/4))</f>
        <v>4.42014583653299</v>
      </c>
      <c r="AA923" s="27" t="n">
        <f aca="false">IF(I923-E923&gt;=GWL,99,E923*(MAX(0,GWL-I923)*(GAM_S-GAM_W)+MAX(0,NG-MAX(I923,GWL))*GAM_D)/(GAM_W*PI()*E923^2/4))</f>
        <v>4.42014583653299</v>
      </c>
      <c r="AB923" s="27" t="n">
        <f aca="false">IF(H923-E923&gt;=GWL,99,E923*(MAX(0,GWL-H923)*(GAM_S-GAM_W)+MAX(0,FL-MAX(H923,GWL))*GAM_D)/(GAM_W*PI()*E923^2/4))</f>
        <v>8.39173383134234</v>
      </c>
      <c r="AC923" s="27" t="n">
        <f aca="false">IF(I923-E923&gt;=GWL,99,E923*(MAX(0,GWL-I923)*(GAM_S-GAM_W)+MAX(0,FL-MAX(I923,GWL))*GAM_D)/(GAM_W*PI()*E923^2/4))</f>
        <v>8.39173383134234</v>
      </c>
    </row>
    <row r="924" customFormat="false" ht="15" hidden="false" customHeight="false" outlineLevel="0" collapsed="false">
      <c r="A924" s="25" t="s">
        <v>1502</v>
      </c>
      <c r="B924" s="25" t="s">
        <v>1505</v>
      </c>
      <c r="C924" s="25" t="s">
        <v>1510</v>
      </c>
      <c r="D924" s="26" t="n">
        <v>0.636396444562</v>
      </c>
      <c r="E924" s="26" t="n">
        <v>0.980792158724618</v>
      </c>
      <c r="F924" s="26" t="n">
        <v>-5.39039607936231</v>
      </c>
      <c r="G924" s="26" t="n">
        <v>-5.39039607936231</v>
      </c>
      <c r="H924" s="26" t="n">
        <v>-3.90960392063769</v>
      </c>
      <c r="I924" s="26" t="n">
        <v>-3.90960392063769</v>
      </c>
      <c r="J924" s="26" t="n">
        <v>2.49</v>
      </c>
      <c r="K924" s="27" t="n">
        <f aca="false">MIN(F924,G924)</f>
        <v>-5.39039607936231</v>
      </c>
      <c r="L924" s="27" t="n">
        <f aca="false">AVERAGE(F924,G924)</f>
        <v>-5.39039607936231</v>
      </c>
      <c r="M924" s="27" t="n">
        <f aca="false">MAX(0,NG-L924)</f>
        <v>4.69039607936231</v>
      </c>
      <c r="N924" s="27" t="n">
        <f aca="false">MAX(0,GWL-K924)</f>
        <v>3.89039607936231</v>
      </c>
      <c r="O924" s="27" t="n">
        <f aca="false">MAX(0,NG-MAX(K924,GWL))</f>
        <v>0.8</v>
      </c>
      <c r="P924" s="27" t="n">
        <f aca="false">E924/2+WS+SLOPE_A*O924+SLOPE_B*N924</f>
        <v>10.4711882380869</v>
      </c>
      <c r="Q924" s="28" t="str">
        <f aca="false">IF(AND(P924&lt;J924,N924&lt;=MAXOC),"Open cut","Shoring")</f>
        <v>Shoring</v>
      </c>
      <c r="R924" s="27" t="n">
        <f aca="false">IF(Q924="Shoring",D924,0)</f>
        <v>0.636396444562</v>
      </c>
      <c r="S924" s="27" t="n">
        <f aca="false">MAX(0,GWL-L924)</f>
        <v>3.89039607936231</v>
      </c>
      <c r="T924" s="27" t="n">
        <f aca="false">MAX(0,NG-MAX(L924,GWL))</f>
        <v>0.8</v>
      </c>
      <c r="U924" s="27" t="n">
        <f aca="false">E924+2*WS</f>
        <v>2.98079215872462</v>
      </c>
      <c r="V924" s="27" t="n">
        <f aca="false">IF(Q924="Shoring",D924*M924*U924,0)</f>
        <v>8.89751969299624</v>
      </c>
      <c r="W924" s="27" t="n">
        <f aca="false">IF(Q924="Open cut",D924*(U924*M924+SLOPE_B*S924^2+2*SLOPE_B*S924*T924+SLOPE_A*T924^2),0)</f>
        <v>0</v>
      </c>
      <c r="X924" s="27" t="n">
        <f aca="false">IF(M924&gt;0,D924*(E924+2*SLABOVH)*SLAB,0)</f>
        <v>0.630284543614318</v>
      </c>
      <c r="Y924" s="27" t="n">
        <f aca="false">IF(M924&gt;0,D924*PI()*E924^2/4,0)</f>
        <v>0.480807901505443</v>
      </c>
      <c r="Z924" s="27" t="n">
        <f aca="false">IF(H924-E924&gt;=GWL,99,E924*(MAX(0,GWL-H924)*(GAM_S-GAM_W)+MAX(0,NG-MAX(H924,GWL))*GAM_D)/(GAM_W*PI()*E924^2/4))</f>
        <v>4.51709951077638</v>
      </c>
      <c r="AA924" s="27" t="n">
        <f aca="false">IF(I924-E924&gt;=GWL,99,E924*(MAX(0,GWL-I924)*(GAM_S-GAM_W)+MAX(0,NG-MAX(I924,GWL))*GAM_D)/(GAM_W*PI()*E924^2/4))</f>
        <v>4.51709951077638</v>
      </c>
      <c r="AB924" s="27" t="n">
        <f aca="false">IF(H924-E924&gt;=GWL,99,E924*(MAX(0,GWL-H924)*(GAM_S-GAM_W)+MAX(0,FL-MAX(H924,GWL))*GAM_D)/(GAM_W*PI()*E924^2/4))</f>
        <v>8.56645171705719</v>
      </c>
      <c r="AC924" s="27" t="n">
        <f aca="false">IF(I924-E924&gt;=GWL,99,E924*(MAX(0,GWL-I924)*(GAM_S-GAM_W)+MAX(0,FL-MAX(I924,GWL))*GAM_D)/(GAM_W*PI()*E924^2/4))</f>
        <v>8.56645171705719</v>
      </c>
    </row>
    <row r="925" customFormat="false" ht="15" hidden="false" customHeight="false" outlineLevel="0" collapsed="false">
      <c r="A925" s="25" t="s">
        <v>1502</v>
      </c>
      <c r="B925" s="25" t="s">
        <v>1505</v>
      </c>
      <c r="C925" s="25" t="s">
        <v>1511</v>
      </c>
      <c r="D925" s="26" t="n">
        <v>0.783290000536961</v>
      </c>
      <c r="E925" s="26" t="n">
        <v>0.999993963349055</v>
      </c>
      <c r="F925" s="26" t="n">
        <v>-5.39999698167453</v>
      </c>
      <c r="G925" s="26" t="n">
        <v>-5.39999698167453</v>
      </c>
      <c r="H925" s="26" t="n">
        <v>-3.90000301832547</v>
      </c>
      <c r="I925" s="26" t="n">
        <v>-3.90000301832547</v>
      </c>
      <c r="J925" s="26" t="n">
        <v>3.13</v>
      </c>
      <c r="K925" s="27" t="n">
        <f aca="false">MIN(F925,G925)</f>
        <v>-5.39999698167453</v>
      </c>
      <c r="L925" s="27" t="n">
        <f aca="false">AVERAGE(F925,G925)</f>
        <v>-5.39999698167453</v>
      </c>
      <c r="M925" s="27" t="n">
        <f aca="false">MAX(0,NG-L925)</f>
        <v>4.69999698167453</v>
      </c>
      <c r="N925" s="27" t="n">
        <f aca="false">MAX(0,GWL-K925)</f>
        <v>3.89999698167453</v>
      </c>
      <c r="O925" s="27" t="n">
        <f aca="false">MAX(0,NG-MAX(K925,GWL))</f>
        <v>0.8</v>
      </c>
      <c r="P925" s="27" t="n">
        <f aca="false">E925/2+WS+SLOPE_A*O925+SLOPE_B*N925</f>
        <v>10.4999909450236</v>
      </c>
      <c r="Q925" s="28" t="str">
        <f aca="false">IF(AND(P925&lt;J925,N925&lt;=MAXOC),"Open cut","Shoring")</f>
        <v>Shoring</v>
      </c>
      <c r="R925" s="27" t="n">
        <f aca="false">IF(Q925="Shoring",D925,0)</f>
        <v>0.783290000536961</v>
      </c>
      <c r="S925" s="27" t="n">
        <f aca="false">MAX(0,GWL-L925)</f>
        <v>3.89999698167453</v>
      </c>
      <c r="T925" s="27" t="n">
        <f aca="false">MAX(0,NG-MAX(L925,GWL))</f>
        <v>0.8</v>
      </c>
      <c r="U925" s="27" t="n">
        <f aca="false">E925+2*WS</f>
        <v>2.99999396334906</v>
      </c>
      <c r="V925" s="27" t="n">
        <f aca="false">IF(Q925="Shoring",D925*M925*U925,0)</f>
        <v>11.0443596912058</v>
      </c>
      <c r="W925" s="27" t="n">
        <f aca="false">IF(Q925="Open cut",D925*(U925*M925+SLOPE_B*S925^2+2*SLOPE_B*S925*T925+SLOPE_A*T925^2),0)</f>
        <v>0</v>
      </c>
      <c r="X925" s="27" t="n">
        <f aca="false">IF(M925&gt;0,D925*(E925+2*SLABOVH)*SLAB,0)</f>
        <v>0.7832876363128</v>
      </c>
      <c r="Y925" s="27" t="n">
        <f aca="false">IF(M925&gt;0,D925*PI()*E925^2/4,0)</f>
        <v>0.615187100422478</v>
      </c>
      <c r="Z925" s="27" t="n">
        <f aca="false">IF(H925-E925&gt;=GWL,99,E925*(MAX(0,GWL-H925)*(GAM_S-GAM_W)+MAX(0,NG-MAX(H925,GWL))*GAM_D)/(GAM_W*PI()*E925^2/4))</f>
        <v>4.42015689804026</v>
      </c>
      <c r="AA925" s="27" t="n">
        <f aca="false">IF(I925-E925&gt;=GWL,99,E925*(MAX(0,GWL-I925)*(GAM_S-GAM_W)+MAX(0,NG-MAX(I925,GWL))*GAM_D)/(GAM_W*PI()*E925^2/4))</f>
        <v>4.42015689804026</v>
      </c>
      <c r="AB925" s="27" t="n">
        <f aca="false">IF(H925-E925&gt;=GWL,99,E925*(MAX(0,GWL-H925)*(GAM_S-GAM_W)+MAX(0,FL-MAX(H925,GWL))*GAM_D)/(GAM_W*PI()*E925^2/4))</f>
        <v>8.3917537650187</v>
      </c>
      <c r="AC925" s="27" t="n">
        <f aca="false">IF(I925-E925&gt;=GWL,99,E925*(MAX(0,GWL-I925)*(GAM_S-GAM_W)+MAX(0,FL-MAX(I925,GWL))*GAM_D)/(GAM_W*PI()*E925^2/4))</f>
        <v>8.3917537650187</v>
      </c>
    </row>
    <row r="926" customFormat="false" ht="15" hidden="false" customHeight="false" outlineLevel="0" collapsed="false">
      <c r="A926" s="25" t="s">
        <v>1502</v>
      </c>
      <c r="B926" s="25" t="s">
        <v>1505</v>
      </c>
      <c r="C926" s="25" t="s">
        <v>1512</v>
      </c>
      <c r="D926" s="26" t="n">
        <v>0.636395282686067</v>
      </c>
      <c r="E926" s="26" t="n">
        <v>0.999990219937451</v>
      </c>
      <c r="F926" s="26" t="n">
        <v>-5.39999510996873</v>
      </c>
      <c r="G926" s="26" t="n">
        <v>-5.39999510996873</v>
      </c>
      <c r="H926" s="26" t="n">
        <v>-3.90000489003128</v>
      </c>
      <c r="I926" s="26" t="n">
        <v>-3.90000489003128</v>
      </c>
      <c r="J926" s="26" t="n">
        <v>3.91</v>
      </c>
      <c r="K926" s="27" t="n">
        <f aca="false">MIN(F926,G926)</f>
        <v>-5.39999510996873</v>
      </c>
      <c r="L926" s="27" t="n">
        <f aca="false">AVERAGE(F926,G926)</f>
        <v>-5.39999510996873</v>
      </c>
      <c r="M926" s="27" t="n">
        <f aca="false">MAX(0,NG-L926)</f>
        <v>4.69999510996873</v>
      </c>
      <c r="N926" s="27" t="n">
        <f aca="false">MAX(0,GWL-K926)</f>
        <v>3.89999510996873</v>
      </c>
      <c r="O926" s="27" t="n">
        <f aca="false">MAX(0,NG-MAX(K926,GWL))</f>
        <v>0.8</v>
      </c>
      <c r="P926" s="27" t="n">
        <f aca="false">E926/2+WS+SLOPE_A*O926+SLOPE_B*N926</f>
        <v>10.4999853299062</v>
      </c>
      <c r="Q926" s="28" t="str">
        <f aca="false">IF(AND(P926&lt;J926,N926&lt;=MAXOC),"Open cut","Shoring")</f>
        <v>Shoring</v>
      </c>
      <c r="R926" s="27" t="n">
        <f aca="false">IF(Q926="Shoring",D926,0)</f>
        <v>0.636395282686067</v>
      </c>
      <c r="S926" s="27" t="n">
        <f aca="false">MAX(0,GWL-L926)</f>
        <v>3.89999510996873</v>
      </c>
      <c r="T926" s="27" t="n">
        <f aca="false">MAX(0,NG-MAX(L926,GWL))</f>
        <v>0.8</v>
      </c>
      <c r="U926" s="27" t="n">
        <f aca="false">E926+2*WS</f>
        <v>2.99999021993745</v>
      </c>
      <c r="V926" s="27" t="n">
        <f aca="false">IF(Q926="Shoring",D926*M926*U926,0)</f>
        <v>8.97313489719281</v>
      </c>
      <c r="W926" s="27" t="n">
        <f aca="false">IF(Q926="Open cut",D926*(U926*M926+SLOPE_B*S926^2+2*SLOPE_B*S926*T926+SLOPE_A*T926^2),0)</f>
        <v>0</v>
      </c>
      <c r="X926" s="27" t="n">
        <f aca="false">IF(M926&gt;0,D926*(E926+2*SLABOVH)*SLAB,0)</f>
        <v>0.636392170693231</v>
      </c>
      <c r="Y926" s="27" t="n">
        <f aca="false">IF(M926&gt;0,D926*PI()*E926^2/4,0)</f>
        <v>0.499813909650415</v>
      </c>
      <c r="Z926" s="27" t="n">
        <f aca="false">IF(H926-E926&gt;=GWL,99,E926*(MAX(0,GWL-H926)*(GAM_S-GAM_W)+MAX(0,NG-MAX(H926,GWL))*GAM_D)/(GAM_W*PI()*E926^2/4))</f>
        <v>4.42017543427364</v>
      </c>
      <c r="AA926" s="27" t="n">
        <f aca="false">IF(I926-E926&gt;=GWL,99,E926*(MAX(0,GWL-I926)*(GAM_S-GAM_W)+MAX(0,NG-MAX(I926,GWL))*GAM_D)/(GAM_W*PI()*E926^2/4))</f>
        <v>4.42017543427364</v>
      </c>
      <c r="AB926" s="27" t="n">
        <f aca="false">IF(H926-E926&gt;=GWL,99,E926*(MAX(0,GWL-H926)*(GAM_S-GAM_W)+MAX(0,FL-MAX(H926,GWL))*GAM_D)/(GAM_W*PI()*E926^2/4))</f>
        <v>8.39178716871928</v>
      </c>
      <c r="AC926" s="27" t="n">
        <f aca="false">IF(I926-E926&gt;=GWL,99,E926*(MAX(0,GWL-I926)*(GAM_S-GAM_W)+MAX(0,FL-MAX(I926,GWL))*GAM_D)/(GAM_W*PI()*E926^2/4))</f>
        <v>8.39178716871928</v>
      </c>
    </row>
    <row r="927" customFormat="false" ht="15" hidden="false" customHeight="false" outlineLevel="0" collapsed="false">
      <c r="A927" s="25" t="s">
        <v>1502</v>
      </c>
      <c r="B927" s="25" t="s">
        <v>1505</v>
      </c>
      <c r="C927" s="25" t="s">
        <v>1513</v>
      </c>
      <c r="D927" s="26" t="n">
        <v>2.60079999990725</v>
      </c>
      <c r="E927" s="26" t="n">
        <v>0.999990219937451</v>
      </c>
      <c r="F927" s="26" t="n">
        <v>-5.39999510996873</v>
      </c>
      <c r="G927" s="26" t="n">
        <v>-5.39999510996873</v>
      </c>
      <c r="H927" s="26" t="n">
        <v>-3.90000489003128</v>
      </c>
      <c r="I927" s="26" t="n">
        <v>-3.90000489003128</v>
      </c>
      <c r="J927" s="26" t="n">
        <v>4.54</v>
      </c>
      <c r="K927" s="27" t="n">
        <f aca="false">MIN(F927,G927)</f>
        <v>-5.39999510996873</v>
      </c>
      <c r="L927" s="27" t="n">
        <f aca="false">AVERAGE(F927,G927)</f>
        <v>-5.39999510996873</v>
      </c>
      <c r="M927" s="27" t="n">
        <f aca="false">MAX(0,NG-L927)</f>
        <v>4.69999510996873</v>
      </c>
      <c r="N927" s="27" t="n">
        <f aca="false">MAX(0,GWL-K927)</f>
        <v>3.89999510996873</v>
      </c>
      <c r="O927" s="27" t="n">
        <f aca="false">MAX(0,NG-MAX(K927,GWL))</f>
        <v>0.8</v>
      </c>
      <c r="P927" s="27" t="n">
        <f aca="false">E927/2+WS+SLOPE_A*O927+SLOPE_B*N927</f>
        <v>10.4999853299062</v>
      </c>
      <c r="Q927" s="28" t="str">
        <f aca="false">IF(AND(P927&lt;J927,N927&lt;=MAXOC),"Open cut","Shoring")</f>
        <v>Shoring</v>
      </c>
      <c r="R927" s="27" t="n">
        <f aca="false">IF(Q927="Shoring",D927,0)</f>
        <v>2.60079999990725</v>
      </c>
      <c r="S927" s="27" t="n">
        <f aca="false">MAX(0,GWL-L927)</f>
        <v>3.89999510996873</v>
      </c>
      <c r="T927" s="27" t="n">
        <f aca="false">MAX(0,NG-MAX(L927,GWL))</f>
        <v>0.8</v>
      </c>
      <c r="U927" s="27" t="n">
        <f aca="false">E927+2*WS</f>
        <v>2.99999021993745</v>
      </c>
      <c r="V927" s="27" t="n">
        <f aca="false">IF(Q927="Shoring",D927*M927*U927,0)</f>
        <v>36.6711222956992</v>
      </c>
      <c r="W927" s="27" t="n">
        <f aca="false">IF(Q927="Open cut",D927*(U927*M927+SLOPE_B*S927^2+2*SLOPE_B*S927*T927+SLOPE_A*T927^2),0)</f>
        <v>0</v>
      </c>
      <c r="X927" s="27" t="n">
        <f aca="false">IF(M927&gt;0,D927*(E927+2*SLABOVH)*SLAB,0)</f>
        <v>2.60078728191391</v>
      </c>
      <c r="Y927" s="27" t="n">
        <f aca="false">IF(M927&gt;0,D927*PI()*E927^2/4,0)</f>
        <v>2.04262358873218</v>
      </c>
      <c r="Z927" s="27" t="n">
        <f aca="false">IF(H927-E927&gt;=GWL,99,E927*(MAX(0,GWL-H927)*(GAM_S-GAM_W)+MAX(0,NG-MAX(H927,GWL))*GAM_D)/(GAM_W*PI()*E927^2/4))</f>
        <v>4.42017543427364</v>
      </c>
      <c r="AA927" s="27" t="n">
        <f aca="false">IF(I927-E927&gt;=GWL,99,E927*(MAX(0,GWL-I927)*(GAM_S-GAM_W)+MAX(0,NG-MAX(I927,GWL))*GAM_D)/(GAM_W*PI()*E927^2/4))</f>
        <v>4.42017543427364</v>
      </c>
      <c r="AB927" s="27" t="n">
        <f aca="false">IF(H927-E927&gt;=GWL,99,E927*(MAX(0,GWL-H927)*(GAM_S-GAM_W)+MAX(0,FL-MAX(H927,GWL))*GAM_D)/(GAM_W*PI()*E927^2/4))</f>
        <v>8.39178716871928</v>
      </c>
      <c r="AC927" s="27" t="n">
        <f aca="false">IF(I927-E927&gt;=GWL,99,E927*(MAX(0,GWL-I927)*(GAM_S-GAM_W)+MAX(0,FL-MAX(I927,GWL))*GAM_D)/(GAM_W*PI()*E927^2/4))</f>
        <v>8.39178716871928</v>
      </c>
    </row>
    <row r="928" customFormat="false" ht="15" hidden="false" customHeight="false" outlineLevel="0" collapsed="false">
      <c r="A928" s="25" t="s">
        <v>1502</v>
      </c>
      <c r="B928" s="25" t="s">
        <v>1505</v>
      </c>
      <c r="C928" s="25" t="s">
        <v>1514</v>
      </c>
      <c r="D928" s="26" t="n">
        <v>0.179998794145238</v>
      </c>
      <c r="E928" s="26" t="n">
        <v>0.999990219937451</v>
      </c>
      <c r="F928" s="26" t="n">
        <v>-5.39999510996873</v>
      </c>
      <c r="G928" s="26" t="n">
        <v>-5.39999510996873</v>
      </c>
      <c r="H928" s="26" t="n">
        <v>-3.90000489003128</v>
      </c>
      <c r="I928" s="26" t="n">
        <v>-3.90000489003128</v>
      </c>
      <c r="J928" s="26" t="n">
        <v>7.14</v>
      </c>
      <c r="K928" s="27" t="n">
        <f aca="false">MIN(F928,G928)</f>
        <v>-5.39999510996873</v>
      </c>
      <c r="L928" s="27" t="n">
        <f aca="false">AVERAGE(F928,G928)</f>
        <v>-5.39999510996873</v>
      </c>
      <c r="M928" s="27" t="n">
        <f aca="false">MAX(0,NG-L928)</f>
        <v>4.69999510996873</v>
      </c>
      <c r="N928" s="27" t="n">
        <f aca="false">MAX(0,GWL-K928)</f>
        <v>3.89999510996873</v>
      </c>
      <c r="O928" s="27" t="n">
        <f aca="false">MAX(0,NG-MAX(K928,GWL))</f>
        <v>0.8</v>
      </c>
      <c r="P928" s="27" t="n">
        <f aca="false">E928/2+WS+SLOPE_A*O928+SLOPE_B*N928</f>
        <v>10.4999853299062</v>
      </c>
      <c r="Q928" s="28" t="str">
        <f aca="false">IF(AND(P928&lt;J928,N928&lt;=MAXOC),"Open cut","Shoring")</f>
        <v>Shoring</v>
      </c>
      <c r="R928" s="27" t="n">
        <f aca="false">IF(Q928="Shoring",D928,0)</f>
        <v>0.179998794145238</v>
      </c>
      <c r="S928" s="27" t="n">
        <f aca="false">MAX(0,GWL-L928)</f>
        <v>3.89999510996873</v>
      </c>
      <c r="T928" s="27" t="n">
        <f aca="false">MAX(0,NG-MAX(L928,GWL))</f>
        <v>0.8</v>
      </c>
      <c r="U928" s="27" t="n">
        <f aca="false">E928+2*WS</f>
        <v>2.99999021993745</v>
      </c>
      <c r="V928" s="27" t="n">
        <f aca="false">IF(Q928="Shoring",D928*M928*U928,0)</f>
        <v>2.53797208297978</v>
      </c>
      <c r="W928" s="27" t="n">
        <f aca="false">IF(Q928="Open cut",D928*(U928*M928+SLOPE_B*S928^2+2*SLOPE_B*S928*T928+SLOPE_A*T928^2),0)</f>
        <v>0</v>
      </c>
      <c r="X928" s="27" t="n">
        <f aca="false">IF(M928&gt;0,D928*(E928+2*SLABOVH)*SLAB,0)</f>
        <v>0.179997913945505</v>
      </c>
      <c r="Y928" s="27" t="n">
        <f aca="false">IF(M928&gt;0,D928*PI()*E928^2/4,0)</f>
        <v>0.141367957119933</v>
      </c>
      <c r="Z928" s="27" t="n">
        <f aca="false">IF(H928-E928&gt;=GWL,99,E928*(MAX(0,GWL-H928)*(GAM_S-GAM_W)+MAX(0,NG-MAX(H928,GWL))*GAM_D)/(GAM_W*PI()*E928^2/4))</f>
        <v>4.42017543427364</v>
      </c>
      <c r="AA928" s="27" t="n">
        <f aca="false">IF(I928-E928&gt;=GWL,99,E928*(MAX(0,GWL-I928)*(GAM_S-GAM_W)+MAX(0,NG-MAX(I928,GWL))*GAM_D)/(GAM_W*PI()*E928^2/4))</f>
        <v>4.42017543427364</v>
      </c>
      <c r="AB928" s="27" t="n">
        <f aca="false">IF(H928-E928&gt;=GWL,99,E928*(MAX(0,GWL-H928)*(GAM_S-GAM_W)+MAX(0,FL-MAX(H928,GWL))*GAM_D)/(GAM_W*PI()*E928^2/4))</f>
        <v>8.39178716871928</v>
      </c>
      <c r="AC928" s="27" t="n">
        <f aca="false">IF(I928-E928&gt;=GWL,99,E928*(MAX(0,GWL-I928)*(GAM_S-GAM_W)+MAX(0,FL-MAX(I928,GWL))*GAM_D)/(GAM_W*PI()*E928^2/4))</f>
        <v>8.39178716871928</v>
      </c>
    </row>
    <row r="929" customFormat="false" ht="15" hidden="false" customHeight="false" outlineLevel="0" collapsed="false">
      <c r="A929" s="25" t="s">
        <v>1502</v>
      </c>
      <c r="B929" s="25" t="s">
        <v>1505</v>
      </c>
      <c r="C929" s="25" t="s">
        <v>1515</v>
      </c>
      <c r="D929" s="26" t="n">
        <v>1.91450801794157</v>
      </c>
      <c r="E929" s="26" t="n">
        <v>1.02195044240812</v>
      </c>
      <c r="F929" s="26" t="n">
        <v>-5.41097522120406</v>
      </c>
      <c r="G929" s="26" t="n">
        <v>-5.41097522120406</v>
      </c>
      <c r="H929" s="26" t="n">
        <v>-3.88902477879594</v>
      </c>
      <c r="I929" s="26" t="n">
        <v>-3.88902477879594</v>
      </c>
      <c r="J929" s="26" t="n">
        <v>7.32</v>
      </c>
      <c r="K929" s="27" t="n">
        <f aca="false">MIN(F929,G929)</f>
        <v>-5.41097522120406</v>
      </c>
      <c r="L929" s="27" t="n">
        <f aca="false">AVERAGE(F929,G929)</f>
        <v>-5.41097522120406</v>
      </c>
      <c r="M929" s="27" t="n">
        <f aca="false">MAX(0,NG-L929)</f>
        <v>4.71097522120406</v>
      </c>
      <c r="N929" s="27" t="n">
        <f aca="false">MAX(0,GWL-K929)</f>
        <v>3.91097522120406</v>
      </c>
      <c r="O929" s="27" t="n">
        <f aca="false">MAX(0,NG-MAX(K929,GWL))</f>
        <v>0.8</v>
      </c>
      <c r="P929" s="27" t="n">
        <f aca="false">E929/2+WS+SLOPE_A*O929+SLOPE_B*N929</f>
        <v>10.5329256636122</v>
      </c>
      <c r="Q929" s="28" t="str">
        <f aca="false">IF(AND(P929&lt;J929,N929&lt;=MAXOC),"Open cut","Shoring")</f>
        <v>Shoring</v>
      </c>
      <c r="R929" s="27" t="n">
        <f aca="false">IF(Q929="Shoring",D929,0)</f>
        <v>1.91450801794157</v>
      </c>
      <c r="S929" s="27" t="n">
        <f aca="false">MAX(0,GWL-L929)</f>
        <v>3.91097522120406</v>
      </c>
      <c r="T929" s="27" t="n">
        <f aca="false">MAX(0,NG-MAX(L929,GWL))</f>
        <v>0.8</v>
      </c>
      <c r="U929" s="27" t="n">
        <f aca="false">E929+2*WS</f>
        <v>3.02195044240812</v>
      </c>
      <c r="V929" s="27" t="n">
        <f aca="false">IF(Q929="Shoring",D929*M929*U929,0)</f>
        <v>27.2555749264663</v>
      </c>
      <c r="W929" s="27" t="n">
        <f aca="false">IF(Q929="Open cut",D929*(U929*M929+SLOPE_B*S929^2+2*SLOPE_B*S929*T929+SLOPE_A*T929^2),0)</f>
        <v>0</v>
      </c>
      <c r="X929" s="27" t="n">
        <f aca="false">IF(M929&gt;0,D929*(E929+2*SLABOVH)*SLAB,0)</f>
        <v>1.93552016693542</v>
      </c>
      <c r="Y929" s="27" t="n">
        <f aca="false">IF(M929&gt;0,D929*PI()*E929^2/4,0)</f>
        <v>1.57038718607</v>
      </c>
      <c r="Z929" s="27" t="n">
        <f aca="false">IF(H929-E929&gt;=GWL,99,E929*(MAX(0,GWL-H929)*(GAM_S-GAM_W)+MAX(0,NG-MAX(H929,GWL))*GAM_D)/(GAM_W*PI()*E929^2/4))</f>
        <v>4.31377137800447</v>
      </c>
      <c r="AA929" s="27" t="n">
        <f aca="false">IF(I929-E929&gt;=GWL,99,E929*(MAX(0,GWL-I929)*(GAM_S-GAM_W)+MAX(0,NG-MAX(I929,GWL))*GAM_D)/(GAM_W*PI()*E929^2/4))</f>
        <v>4.31377137800447</v>
      </c>
      <c r="AB929" s="27" t="n">
        <f aca="false">IF(H929-E929&gt;=GWL,99,E929*(MAX(0,GWL-H929)*(GAM_S-GAM_W)+MAX(0,FL-MAX(H929,GWL))*GAM_D)/(GAM_W*PI()*E929^2/4))</f>
        <v>8.20003897673056</v>
      </c>
      <c r="AC929" s="27" t="n">
        <f aca="false">IF(I929-E929&gt;=GWL,99,E929*(MAX(0,GWL-I929)*(GAM_S-GAM_W)+MAX(0,FL-MAX(I929,GWL))*GAM_D)/(GAM_W*PI()*E929^2/4))</f>
        <v>8.20003897673056</v>
      </c>
    </row>
    <row r="930" customFormat="false" ht="15" hidden="false" customHeight="false" outlineLevel="0" collapsed="false">
      <c r="A930" s="25" t="s">
        <v>1502</v>
      </c>
      <c r="B930" s="25" t="s">
        <v>1516</v>
      </c>
      <c r="C930" s="25" t="s">
        <v>1517</v>
      </c>
      <c r="D930" s="26" t="n">
        <v>6.00000000037933</v>
      </c>
      <c r="E930" s="26" t="n">
        <v>0.999997848467153</v>
      </c>
      <c r="F930" s="26" t="n">
        <v>-4.14999892423358</v>
      </c>
      <c r="G930" s="26" t="n">
        <v>-4.14999892423358</v>
      </c>
      <c r="H930" s="26" t="n">
        <v>-2.65000107576642</v>
      </c>
      <c r="I930" s="26" t="n">
        <v>-2.65000107576642</v>
      </c>
      <c r="J930" s="26" t="n">
        <v>99</v>
      </c>
      <c r="K930" s="27" t="n">
        <f aca="false">MIN(F930,G930)</f>
        <v>-4.14999892423358</v>
      </c>
      <c r="L930" s="27" t="n">
        <f aca="false">AVERAGE(F930,G930)</f>
        <v>-4.14999892423358</v>
      </c>
      <c r="M930" s="27" t="n">
        <f aca="false">MAX(0,NG-L930)</f>
        <v>3.44999892423358</v>
      </c>
      <c r="N930" s="27" t="n">
        <f aca="false">MAX(0,GWL-K930)</f>
        <v>2.64999892423358</v>
      </c>
      <c r="O930" s="27" t="n">
        <f aca="false">MAX(0,NG-MAX(K930,GWL))</f>
        <v>0.8</v>
      </c>
      <c r="P930" s="27" t="n">
        <f aca="false">E930/2+WS+SLOPE_A*O930+SLOPE_B*N930</f>
        <v>7.99999677270073</v>
      </c>
      <c r="Q930" s="28" t="str">
        <f aca="false">IF(AND(P930&lt;J930,N930&lt;=MAXOC),"Open cut","Shoring")</f>
        <v>Shoring</v>
      </c>
      <c r="R930" s="27" t="n">
        <f aca="false">IF(Q930="Shoring",D930,0)</f>
        <v>6.00000000037933</v>
      </c>
      <c r="S930" s="27" t="n">
        <f aca="false">MAX(0,GWL-L930)</f>
        <v>2.64999892423358</v>
      </c>
      <c r="T930" s="27" t="n">
        <f aca="false">MAX(0,NG-MAX(L930,GWL))</f>
        <v>0.8</v>
      </c>
      <c r="U930" s="27" t="n">
        <f aca="false">E930+2*WS</f>
        <v>2.99999784846715</v>
      </c>
      <c r="V930" s="27" t="n">
        <f aca="false">IF(Q930="Shoring",D930*M930*U930,0)</f>
        <v>62.0999361034144</v>
      </c>
      <c r="W930" s="27" t="n">
        <f aca="false">IF(Q930="Open cut",D930*(U930*M930+SLOPE_B*S930^2+2*SLOPE_B*S930*T930+SLOPE_A*T930^2),0)</f>
        <v>0</v>
      </c>
      <c r="X930" s="27" t="n">
        <f aca="false">IF(M930&gt;0,D930*(E930+2*SLABOVH)*SLAB,0)</f>
        <v>5.99999354578079</v>
      </c>
      <c r="Y930" s="27" t="n">
        <f aca="false">IF(M930&gt;0,D930*PI()*E930^2/4,0)</f>
        <v>4.71236870298507</v>
      </c>
      <c r="Z930" s="27" t="n">
        <f aca="false">IF(H930-E930&gt;=GWL,99,E930*(MAX(0,GWL-H930)*(GAM_S-GAM_W)+MAX(0,NG-MAX(H930,GWL))*GAM_D)/(GAM_W*PI()*E930^2/4))</f>
        <v>3.09141004721173</v>
      </c>
      <c r="AA930" s="27" t="n">
        <f aca="false">IF(I930-E930&gt;=GWL,99,E930*(MAX(0,GWL-I930)*(GAM_S-GAM_W)+MAX(0,NG-MAX(I930,GWL))*GAM_D)/(GAM_W*PI()*E930^2/4))</f>
        <v>3.09141004721173</v>
      </c>
      <c r="AB930" s="27" t="n">
        <f aca="false">IF(H930-E930&gt;=GWL,99,E930*(MAX(0,GWL-H930)*(GAM_S-GAM_W)+MAX(0,FL-MAX(H930,GWL))*GAM_D)/(GAM_W*PI()*E930^2/4))</f>
        <v>7.0629914840341</v>
      </c>
      <c r="AC930" s="27" t="n">
        <f aca="false">IF(I930-E930&gt;=GWL,99,E930*(MAX(0,GWL-I930)*(GAM_S-GAM_W)+MAX(0,FL-MAX(I930,GWL))*GAM_D)/(GAM_W*PI()*E930^2/4))</f>
        <v>7.0629914840341</v>
      </c>
    </row>
    <row r="931" customFormat="false" ht="15" hidden="false" customHeight="false" outlineLevel="0" collapsed="false">
      <c r="A931" s="25" t="s">
        <v>1502</v>
      </c>
      <c r="B931" s="25" t="s">
        <v>1518</v>
      </c>
      <c r="C931" s="25" t="s">
        <v>1519</v>
      </c>
      <c r="D931" s="26" t="n">
        <v>3.99999999955617</v>
      </c>
      <c r="E931" s="26" t="n">
        <v>0.999997848467153</v>
      </c>
      <c r="F931" s="26" t="n">
        <v>-4.14999892423358</v>
      </c>
      <c r="G931" s="26" t="n">
        <v>-4.14999892423358</v>
      </c>
      <c r="H931" s="26" t="n">
        <v>-2.65000107576642</v>
      </c>
      <c r="I931" s="26" t="n">
        <v>-2.65000107576642</v>
      </c>
      <c r="J931" s="26" t="n">
        <v>30.9</v>
      </c>
      <c r="K931" s="27" t="n">
        <f aca="false">MIN(F931,G931)</f>
        <v>-4.14999892423358</v>
      </c>
      <c r="L931" s="27" t="n">
        <f aca="false">AVERAGE(F931,G931)</f>
        <v>-4.14999892423358</v>
      </c>
      <c r="M931" s="27" t="n">
        <f aca="false">MAX(0,NG-L931)</f>
        <v>3.44999892423358</v>
      </c>
      <c r="N931" s="27" t="n">
        <f aca="false">MAX(0,GWL-K931)</f>
        <v>2.64999892423358</v>
      </c>
      <c r="O931" s="27" t="n">
        <f aca="false">MAX(0,NG-MAX(K931,GWL))</f>
        <v>0.8</v>
      </c>
      <c r="P931" s="27" t="n">
        <f aca="false">E931/2+WS+SLOPE_A*O931+SLOPE_B*N931</f>
        <v>7.99999677270073</v>
      </c>
      <c r="Q931" s="28" t="str">
        <f aca="false">IF(AND(P931&lt;J931,N931&lt;=MAXOC),"Open cut","Shoring")</f>
        <v>Shoring</v>
      </c>
      <c r="R931" s="27" t="n">
        <f aca="false">IF(Q931="Shoring",D931,0)</f>
        <v>3.99999999955617</v>
      </c>
      <c r="S931" s="27" t="n">
        <f aca="false">MAX(0,GWL-L931)</f>
        <v>2.64999892423358</v>
      </c>
      <c r="T931" s="27" t="n">
        <f aca="false">MAX(0,NG-MAX(L931,GWL))</f>
        <v>0.8</v>
      </c>
      <c r="U931" s="27" t="n">
        <f aca="false">E931+2*WS</f>
        <v>2.99999784846715</v>
      </c>
      <c r="V931" s="27" t="n">
        <f aca="false">IF(Q931="Shoring",D931*M931*U931,0)</f>
        <v>41.3999573950652</v>
      </c>
      <c r="W931" s="27" t="n">
        <f aca="false">IF(Q931="Open cut",D931*(U931*M931+SLOPE_B*S931^2+2*SLOPE_B*S931*T931+SLOPE_A*T931^2),0)</f>
        <v>0</v>
      </c>
      <c r="X931" s="27" t="n">
        <f aca="false">IF(M931&gt;0,D931*(E931+2*SLABOVH)*SLAB,0)</f>
        <v>3.99999569649047</v>
      </c>
      <c r="Y931" s="27" t="n">
        <f aca="false">IF(M931&gt;0,D931*PI()*E931^2/4,0)</f>
        <v>3.14157913477618</v>
      </c>
      <c r="Z931" s="27" t="n">
        <f aca="false">IF(H931-E931&gt;=GWL,99,E931*(MAX(0,GWL-H931)*(GAM_S-GAM_W)+MAX(0,NG-MAX(H931,GWL))*GAM_D)/(GAM_W*PI()*E931^2/4))</f>
        <v>3.09141004721173</v>
      </c>
      <c r="AA931" s="27" t="n">
        <f aca="false">IF(I931-E931&gt;=GWL,99,E931*(MAX(0,GWL-I931)*(GAM_S-GAM_W)+MAX(0,NG-MAX(I931,GWL))*GAM_D)/(GAM_W*PI()*E931^2/4))</f>
        <v>3.09141004721173</v>
      </c>
      <c r="AB931" s="27" t="n">
        <f aca="false">IF(H931-E931&gt;=GWL,99,E931*(MAX(0,GWL-H931)*(GAM_S-GAM_W)+MAX(0,FL-MAX(H931,GWL))*GAM_D)/(GAM_W*PI()*E931^2/4))</f>
        <v>7.0629914840341</v>
      </c>
      <c r="AC931" s="27" t="n">
        <f aca="false">IF(I931-E931&gt;=GWL,99,E931*(MAX(0,GWL-I931)*(GAM_S-GAM_W)+MAX(0,FL-MAX(I931,GWL))*GAM_D)/(GAM_W*PI()*E931^2/4))</f>
        <v>7.0629914840341</v>
      </c>
    </row>
    <row r="932" customFormat="false" ht="15" hidden="false" customHeight="false" outlineLevel="0" collapsed="false">
      <c r="A932" s="25" t="s">
        <v>1502</v>
      </c>
      <c r="B932" s="25" t="s">
        <v>1518</v>
      </c>
      <c r="C932" s="25" t="s">
        <v>1520</v>
      </c>
      <c r="D932" s="26" t="n">
        <v>9.99999999969931</v>
      </c>
      <c r="E932" s="26" t="n">
        <v>0.999997848467153</v>
      </c>
      <c r="F932" s="26" t="n">
        <v>-4.14999892423358</v>
      </c>
      <c r="G932" s="26" t="n">
        <v>-4.14999892423358</v>
      </c>
      <c r="H932" s="26" t="n">
        <v>-2.65000107576642</v>
      </c>
      <c r="I932" s="26" t="n">
        <v>-2.65000107576642</v>
      </c>
      <c r="J932" s="26" t="n">
        <v>20.9</v>
      </c>
      <c r="K932" s="27" t="n">
        <f aca="false">MIN(F932,G932)</f>
        <v>-4.14999892423358</v>
      </c>
      <c r="L932" s="27" t="n">
        <f aca="false">AVERAGE(F932,G932)</f>
        <v>-4.14999892423358</v>
      </c>
      <c r="M932" s="27" t="n">
        <f aca="false">MAX(0,NG-L932)</f>
        <v>3.44999892423358</v>
      </c>
      <c r="N932" s="27" t="n">
        <f aca="false">MAX(0,GWL-K932)</f>
        <v>2.64999892423358</v>
      </c>
      <c r="O932" s="27" t="n">
        <f aca="false">MAX(0,NG-MAX(K932,GWL))</f>
        <v>0.8</v>
      </c>
      <c r="P932" s="27" t="n">
        <f aca="false">E932/2+WS+SLOPE_A*O932+SLOPE_B*N932</f>
        <v>7.99999677270073</v>
      </c>
      <c r="Q932" s="28" t="str">
        <f aca="false">IF(AND(P932&lt;J932,N932&lt;=MAXOC),"Open cut","Shoring")</f>
        <v>Shoring</v>
      </c>
      <c r="R932" s="27" t="n">
        <f aca="false">IF(Q932="Shoring",D932,0)</f>
        <v>9.99999999969931</v>
      </c>
      <c r="S932" s="27" t="n">
        <f aca="false">MAX(0,GWL-L932)</f>
        <v>2.64999892423358</v>
      </c>
      <c r="T932" s="27" t="n">
        <f aca="false">MAX(0,NG-MAX(L932,GWL))</f>
        <v>0.8</v>
      </c>
      <c r="U932" s="27" t="n">
        <f aca="false">E932+2*WS</f>
        <v>2.99999784846715</v>
      </c>
      <c r="V932" s="27" t="n">
        <f aca="false">IF(Q932="Shoring",D932*M932*U932,0)</f>
        <v>103.499893496035</v>
      </c>
      <c r="W932" s="27" t="n">
        <f aca="false">IF(Q932="Open cut",D932*(U932*M932+SLOPE_B*S932^2+2*SLOPE_B*S932*T932+SLOPE_A*T932^2),0)</f>
        <v>0</v>
      </c>
      <c r="X932" s="27" t="n">
        <f aca="false">IF(M932&gt;0,D932*(E932+2*SLABOVH)*SLAB,0)</f>
        <v>9.99998924203507</v>
      </c>
      <c r="Y932" s="27" t="n">
        <f aca="false">IF(M932&gt;0,D932*PI()*E932^2/4,0)</f>
        <v>7.85394783757575</v>
      </c>
      <c r="Z932" s="27" t="n">
        <f aca="false">IF(H932-E932&gt;=GWL,99,E932*(MAX(0,GWL-H932)*(GAM_S-GAM_W)+MAX(0,NG-MAX(H932,GWL))*GAM_D)/(GAM_W*PI()*E932^2/4))</f>
        <v>3.09141004721173</v>
      </c>
      <c r="AA932" s="27" t="n">
        <f aca="false">IF(I932-E932&gt;=GWL,99,E932*(MAX(0,GWL-I932)*(GAM_S-GAM_W)+MAX(0,NG-MAX(I932,GWL))*GAM_D)/(GAM_W*PI()*E932^2/4))</f>
        <v>3.09141004721173</v>
      </c>
      <c r="AB932" s="27" t="n">
        <f aca="false">IF(H932-E932&gt;=GWL,99,E932*(MAX(0,GWL-H932)*(GAM_S-GAM_W)+MAX(0,FL-MAX(H932,GWL))*GAM_D)/(GAM_W*PI()*E932^2/4))</f>
        <v>7.0629914840341</v>
      </c>
      <c r="AC932" s="27" t="n">
        <f aca="false">IF(I932-E932&gt;=GWL,99,E932*(MAX(0,GWL-I932)*(GAM_S-GAM_W)+MAX(0,FL-MAX(I932,GWL))*GAM_D)/(GAM_W*PI()*E932^2/4))</f>
        <v>7.0629914840341</v>
      </c>
    </row>
    <row r="933" customFormat="false" ht="15" hidden="false" customHeight="false" outlineLevel="0" collapsed="false">
      <c r="A933" s="25" t="s">
        <v>1502</v>
      </c>
      <c r="B933" s="25" t="s">
        <v>1518</v>
      </c>
      <c r="C933" s="25" t="s">
        <v>1521</v>
      </c>
      <c r="D933" s="26" t="n">
        <v>10.0000000004079</v>
      </c>
      <c r="E933" s="26" t="n">
        <v>0.999997848467153</v>
      </c>
      <c r="F933" s="26" t="n">
        <v>-4.14999892423358</v>
      </c>
      <c r="G933" s="26" t="n">
        <v>-4.14999892423358</v>
      </c>
      <c r="H933" s="26" t="n">
        <v>-2.65000107576642</v>
      </c>
      <c r="I933" s="26" t="n">
        <v>-2.65000107576642</v>
      </c>
      <c r="J933" s="26" t="n">
        <v>0</v>
      </c>
      <c r="K933" s="27" t="n">
        <f aca="false">MIN(F933,G933)</f>
        <v>-4.14999892423358</v>
      </c>
      <c r="L933" s="27" t="n">
        <f aca="false">AVERAGE(F933,G933)</f>
        <v>-4.14999892423358</v>
      </c>
      <c r="M933" s="27" t="n">
        <f aca="false">MAX(0,NG-L933)</f>
        <v>3.44999892423358</v>
      </c>
      <c r="N933" s="27" t="n">
        <f aca="false">MAX(0,GWL-K933)</f>
        <v>2.64999892423358</v>
      </c>
      <c r="O933" s="27" t="n">
        <f aca="false">MAX(0,NG-MAX(K933,GWL))</f>
        <v>0.8</v>
      </c>
      <c r="P933" s="27" t="n">
        <f aca="false">E933/2+WS+SLOPE_A*O933+SLOPE_B*N933</f>
        <v>7.99999677270073</v>
      </c>
      <c r="Q933" s="28" t="str">
        <f aca="false">IF(AND(P933&lt;J933,N933&lt;=MAXOC),"Open cut","Shoring")</f>
        <v>Shoring</v>
      </c>
      <c r="R933" s="27" t="n">
        <f aca="false">IF(Q933="Shoring",D933,0)</f>
        <v>10.0000000004079</v>
      </c>
      <c r="S933" s="27" t="n">
        <f aca="false">MAX(0,GWL-L933)</f>
        <v>2.64999892423358</v>
      </c>
      <c r="T933" s="27" t="n">
        <f aca="false">MAX(0,NG-MAX(L933,GWL))</f>
        <v>0.8</v>
      </c>
      <c r="U933" s="27" t="n">
        <f aca="false">E933+2*WS</f>
        <v>2.99999784846715</v>
      </c>
      <c r="V933" s="27" t="n">
        <f aca="false">IF(Q933="Shoring",D933*M933*U933,0)</f>
        <v>103.499893503369</v>
      </c>
      <c r="W933" s="27" t="n">
        <f aca="false">IF(Q933="Open cut",D933*(U933*M933+SLOPE_B*S933^2+2*SLOPE_B*S933*T933+SLOPE_A*T933^2),0)</f>
        <v>0</v>
      </c>
      <c r="X933" s="27" t="n">
        <f aca="false">IF(M933&gt;0,D933*(E933+2*SLABOVH)*SLAB,0)</f>
        <v>9.99998924274363</v>
      </c>
      <c r="Y933" s="27" t="n">
        <f aca="false">IF(M933&gt;0,D933*PI()*E933^2/4,0)</f>
        <v>7.85394783813225</v>
      </c>
      <c r="Z933" s="27" t="n">
        <f aca="false">IF(H933-E933&gt;=GWL,99,E933*(MAX(0,GWL-H933)*(GAM_S-GAM_W)+MAX(0,NG-MAX(H933,GWL))*GAM_D)/(GAM_W*PI()*E933^2/4))</f>
        <v>3.09141004721173</v>
      </c>
      <c r="AA933" s="27" t="n">
        <f aca="false">IF(I933-E933&gt;=GWL,99,E933*(MAX(0,GWL-I933)*(GAM_S-GAM_W)+MAX(0,NG-MAX(I933,GWL))*GAM_D)/(GAM_W*PI()*E933^2/4))</f>
        <v>3.09141004721173</v>
      </c>
      <c r="AB933" s="27" t="n">
        <f aca="false">IF(H933-E933&gt;=GWL,99,E933*(MAX(0,GWL-H933)*(GAM_S-GAM_W)+MAX(0,FL-MAX(H933,GWL))*GAM_D)/(GAM_W*PI()*E933^2/4))</f>
        <v>7.0629914840341</v>
      </c>
      <c r="AC933" s="27" t="n">
        <f aca="false">IF(I933-E933&gt;=GWL,99,E933*(MAX(0,GWL-I933)*(GAM_S-GAM_W)+MAX(0,FL-MAX(I933,GWL))*GAM_D)/(GAM_W*PI()*E933^2/4))</f>
        <v>7.0629914840341</v>
      </c>
    </row>
    <row r="934" customFormat="false" ht="15" hidden="false" customHeight="false" outlineLevel="0" collapsed="false">
      <c r="A934" s="25" t="s">
        <v>1502</v>
      </c>
      <c r="B934" s="25" t="s">
        <v>1518</v>
      </c>
      <c r="C934" s="25" t="s">
        <v>1522</v>
      </c>
      <c r="D934" s="26" t="n">
        <v>1.96265000014658</v>
      </c>
      <c r="E934" s="26" t="n">
        <v>0.999997848467153</v>
      </c>
      <c r="F934" s="26" t="n">
        <v>-4.14999892423358</v>
      </c>
      <c r="G934" s="26" t="n">
        <v>-4.14999892423358</v>
      </c>
      <c r="H934" s="26" t="n">
        <v>-2.65000107576642</v>
      </c>
      <c r="I934" s="26" t="n">
        <v>-2.65000107576642</v>
      </c>
      <c r="J934" s="26" t="n">
        <v>1.1</v>
      </c>
      <c r="K934" s="27" t="n">
        <f aca="false">MIN(F934,G934)</f>
        <v>-4.14999892423358</v>
      </c>
      <c r="L934" s="27" t="n">
        <f aca="false">AVERAGE(F934,G934)</f>
        <v>-4.14999892423358</v>
      </c>
      <c r="M934" s="27" t="n">
        <f aca="false">MAX(0,NG-L934)</f>
        <v>3.44999892423358</v>
      </c>
      <c r="N934" s="27" t="n">
        <f aca="false">MAX(0,GWL-K934)</f>
        <v>2.64999892423358</v>
      </c>
      <c r="O934" s="27" t="n">
        <f aca="false">MAX(0,NG-MAX(K934,GWL))</f>
        <v>0.8</v>
      </c>
      <c r="P934" s="27" t="n">
        <f aca="false">E934/2+WS+SLOPE_A*O934+SLOPE_B*N934</f>
        <v>7.99999677270073</v>
      </c>
      <c r="Q934" s="28" t="str">
        <f aca="false">IF(AND(P934&lt;J934,N934&lt;=MAXOC),"Open cut","Shoring")</f>
        <v>Shoring</v>
      </c>
      <c r="R934" s="27" t="n">
        <f aca="false">IF(Q934="Shoring",D934,0)</f>
        <v>1.96265000014658</v>
      </c>
      <c r="S934" s="27" t="n">
        <f aca="false">MAX(0,GWL-L934)</f>
        <v>2.64999892423358</v>
      </c>
      <c r="T934" s="27" t="n">
        <f aca="false">MAX(0,NG-MAX(L934,GWL))</f>
        <v>0.8</v>
      </c>
      <c r="U934" s="27" t="n">
        <f aca="false">E934+2*WS</f>
        <v>2.99999784846715</v>
      </c>
      <c r="V934" s="27" t="n">
        <f aca="false">IF(Q934="Shoring",D934*M934*U934,0)</f>
        <v>20.3134065991273</v>
      </c>
      <c r="W934" s="27" t="n">
        <f aca="false">IF(Q934="Open cut",D934*(U934*M934+SLOPE_B*S934^2+2*SLOPE_B*S934*T934+SLOPE_A*T934^2),0)</f>
        <v>0</v>
      </c>
      <c r="X934" s="27" t="n">
        <f aca="false">IF(M934&gt;0,D934*(E934+2*SLABOVH)*SLAB,0)</f>
        <v>1.96264788879361</v>
      </c>
      <c r="Y934" s="27" t="n">
        <f aca="false">IF(M934&gt;0,D934*PI()*E934^2/4,0)</f>
        <v>1.54145507250328</v>
      </c>
      <c r="Z934" s="27" t="n">
        <f aca="false">IF(H934-E934&gt;=GWL,99,E934*(MAX(0,GWL-H934)*(GAM_S-GAM_W)+MAX(0,NG-MAX(H934,GWL))*GAM_D)/(GAM_W*PI()*E934^2/4))</f>
        <v>3.09141004721173</v>
      </c>
      <c r="AA934" s="27" t="n">
        <f aca="false">IF(I934-E934&gt;=GWL,99,E934*(MAX(0,GWL-I934)*(GAM_S-GAM_W)+MAX(0,NG-MAX(I934,GWL))*GAM_D)/(GAM_W*PI()*E934^2/4))</f>
        <v>3.09141004721173</v>
      </c>
      <c r="AB934" s="27" t="n">
        <f aca="false">IF(H934-E934&gt;=GWL,99,E934*(MAX(0,GWL-H934)*(GAM_S-GAM_W)+MAX(0,FL-MAX(H934,GWL))*GAM_D)/(GAM_W*PI()*E934^2/4))</f>
        <v>7.0629914840341</v>
      </c>
      <c r="AC934" s="27" t="n">
        <f aca="false">IF(I934-E934&gt;=GWL,99,E934*(MAX(0,GWL-I934)*(GAM_S-GAM_W)+MAX(0,FL-MAX(I934,GWL))*GAM_D)/(GAM_W*PI()*E934^2/4))</f>
        <v>7.0629914840341</v>
      </c>
    </row>
    <row r="935" customFormat="false" ht="15" hidden="false" customHeight="false" outlineLevel="0" collapsed="false">
      <c r="A935" s="25" t="s">
        <v>1502</v>
      </c>
      <c r="B935" s="25" t="s">
        <v>1518</v>
      </c>
      <c r="C935" s="25" t="s">
        <v>1523</v>
      </c>
      <c r="D935" s="26" t="n">
        <v>0.371325727169961</v>
      </c>
      <c r="E935" s="26" t="n">
        <v>0.999997848467153</v>
      </c>
      <c r="F935" s="26" t="n">
        <v>-4.14999892423358</v>
      </c>
      <c r="G935" s="26" t="n">
        <v>-4.14999892423358</v>
      </c>
      <c r="H935" s="26" t="n">
        <v>-2.65000107576642</v>
      </c>
      <c r="I935" s="26" t="n">
        <v>-2.65000107576642</v>
      </c>
      <c r="J935" s="26" t="n">
        <v>3.06</v>
      </c>
      <c r="K935" s="27" t="n">
        <f aca="false">MIN(F935,G935)</f>
        <v>-4.14999892423358</v>
      </c>
      <c r="L935" s="27" t="n">
        <f aca="false">AVERAGE(F935,G935)</f>
        <v>-4.14999892423358</v>
      </c>
      <c r="M935" s="27" t="n">
        <f aca="false">MAX(0,NG-L935)</f>
        <v>3.44999892423358</v>
      </c>
      <c r="N935" s="27" t="n">
        <f aca="false">MAX(0,GWL-K935)</f>
        <v>2.64999892423358</v>
      </c>
      <c r="O935" s="27" t="n">
        <f aca="false">MAX(0,NG-MAX(K935,GWL))</f>
        <v>0.8</v>
      </c>
      <c r="P935" s="27" t="n">
        <f aca="false">E935/2+WS+SLOPE_A*O935+SLOPE_B*N935</f>
        <v>7.99999677270073</v>
      </c>
      <c r="Q935" s="28" t="str">
        <f aca="false">IF(AND(P935&lt;J935,N935&lt;=MAXOC),"Open cut","Shoring")</f>
        <v>Shoring</v>
      </c>
      <c r="R935" s="27" t="n">
        <f aca="false">IF(Q935="Shoring",D935,0)</f>
        <v>0.371325727169961</v>
      </c>
      <c r="S935" s="27" t="n">
        <f aca="false">MAX(0,GWL-L935)</f>
        <v>2.64999892423358</v>
      </c>
      <c r="T935" s="27" t="n">
        <f aca="false">MAX(0,NG-MAX(L935,GWL))</f>
        <v>0.8</v>
      </c>
      <c r="U935" s="27" t="n">
        <f aca="false">E935+2*WS</f>
        <v>2.99999784846715</v>
      </c>
      <c r="V935" s="27" t="n">
        <f aca="false">IF(Q935="Shoring",D935*M935*U935,0)</f>
        <v>3.84321732155844</v>
      </c>
      <c r="W935" s="27" t="n">
        <f aca="false">IF(Q935="Open cut",D935*(U935*M935+SLOPE_B*S935^2+2*SLOPE_B*S935*T935+SLOPE_A*T935^2),0)</f>
        <v>0</v>
      </c>
      <c r="X935" s="27" t="n">
        <f aca="false">IF(M935&gt;0,D935*(E935+2*SLABOVH)*SLAB,0)</f>
        <v>0.371325327710212</v>
      </c>
      <c r="Y935" s="27" t="n">
        <f aca="false">IF(M935&gt;0,D935*PI()*E935^2/4,0)</f>
        <v>0.291637289203045</v>
      </c>
      <c r="Z935" s="27" t="n">
        <f aca="false">IF(H935-E935&gt;=GWL,99,E935*(MAX(0,GWL-H935)*(GAM_S-GAM_W)+MAX(0,NG-MAX(H935,GWL))*GAM_D)/(GAM_W*PI()*E935^2/4))</f>
        <v>3.09141004721173</v>
      </c>
      <c r="AA935" s="27" t="n">
        <f aca="false">IF(I935-E935&gt;=GWL,99,E935*(MAX(0,GWL-I935)*(GAM_S-GAM_W)+MAX(0,NG-MAX(I935,GWL))*GAM_D)/(GAM_W*PI()*E935^2/4))</f>
        <v>3.09141004721173</v>
      </c>
      <c r="AB935" s="27" t="n">
        <f aca="false">IF(H935-E935&gt;=GWL,99,E935*(MAX(0,GWL-H935)*(GAM_S-GAM_W)+MAX(0,FL-MAX(H935,GWL))*GAM_D)/(GAM_W*PI()*E935^2/4))</f>
        <v>7.0629914840341</v>
      </c>
      <c r="AC935" s="27" t="n">
        <f aca="false">IF(I935-E935&gt;=GWL,99,E935*(MAX(0,GWL-I935)*(GAM_S-GAM_W)+MAX(0,FL-MAX(I935,GWL))*GAM_D)/(GAM_W*PI()*E935^2/4))</f>
        <v>7.0629914840341</v>
      </c>
    </row>
    <row r="936" customFormat="false" ht="15" hidden="false" customHeight="false" outlineLevel="0" collapsed="false">
      <c r="A936" s="25" t="s">
        <v>1502</v>
      </c>
      <c r="B936" s="25" t="s">
        <v>1518</v>
      </c>
      <c r="C936" s="25" t="s">
        <v>1524</v>
      </c>
      <c r="D936" s="26" t="n">
        <v>0.374880000085291</v>
      </c>
      <c r="E936" s="26" t="n">
        <v>0.999993760362291</v>
      </c>
      <c r="F936" s="26" t="n">
        <v>-4.14999688018115</v>
      </c>
      <c r="G936" s="26" t="n">
        <v>-4.14999688018115</v>
      </c>
      <c r="H936" s="26" t="n">
        <v>-2.65000311981885</v>
      </c>
      <c r="I936" s="26" t="n">
        <v>-2.65000311981885</v>
      </c>
      <c r="J936" s="26" t="n">
        <v>3.44</v>
      </c>
      <c r="K936" s="27" t="n">
        <f aca="false">MIN(F936,G936)</f>
        <v>-4.14999688018115</v>
      </c>
      <c r="L936" s="27" t="n">
        <f aca="false">AVERAGE(F936,G936)</f>
        <v>-4.14999688018115</v>
      </c>
      <c r="M936" s="27" t="n">
        <f aca="false">MAX(0,NG-L936)</f>
        <v>3.44999688018115</v>
      </c>
      <c r="N936" s="27" t="n">
        <f aca="false">MAX(0,GWL-K936)</f>
        <v>2.64999688018115</v>
      </c>
      <c r="O936" s="27" t="n">
        <f aca="false">MAX(0,NG-MAX(K936,GWL))</f>
        <v>0.8</v>
      </c>
      <c r="P936" s="27" t="n">
        <f aca="false">E936/2+WS+SLOPE_A*O936+SLOPE_B*N936</f>
        <v>7.99999064054344</v>
      </c>
      <c r="Q936" s="28" t="str">
        <f aca="false">IF(AND(P936&lt;J936,N936&lt;=MAXOC),"Open cut","Shoring")</f>
        <v>Shoring</v>
      </c>
      <c r="R936" s="27" t="n">
        <f aca="false">IF(Q936="Shoring",D936,0)</f>
        <v>0.374880000085291</v>
      </c>
      <c r="S936" s="27" t="n">
        <f aca="false">MAX(0,GWL-L936)</f>
        <v>2.64999688018115</v>
      </c>
      <c r="T936" s="27" t="n">
        <f aca="false">MAX(0,NG-MAX(L936,GWL))</f>
        <v>0.8</v>
      </c>
      <c r="U936" s="27" t="n">
        <f aca="false">E936+2*WS</f>
        <v>2.99999376036229</v>
      </c>
      <c r="V936" s="27" t="n">
        <f aca="false">IF(Q936="Shoring",D936*M936*U936,0)</f>
        <v>3.87999642226891</v>
      </c>
      <c r="W936" s="27" t="n">
        <f aca="false">IF(Q936="Open cut",D936*(U936*M936+SLOPE_B*S936^2+2*SLOPE_B*S936*T936+SLOPE_A*T936^2),0)</f>
        <v>0</v>
      </c>
      <c r="X936" s="27" t="n">
        <f aca="false">IF(M936&gt;0,D936*(E936+2*SLABOVH)*SLAB,0)</f>
        <v>0.374878830527599</v>
      </c>
      <c r="Y936" s="27" t="n">
        <f aca="false">IF(M936&gt;0,D936*PI()*E936^2/4,0)</f>
        <v>0.294426389299032</v>
      </c>
      <c r="Z936" s="27" t="n">
        <f aca="false">IF(H936-E936&gt;=GWL,99,E936*(MAX(0,GWL-H936)*(GAM_S-GAM_W)+MAX(0,NG-MAX(H936,GWL))*GAM_D)/(GAM_W*PI()*E936^2/4))</f>
        <v>3.09142485809904</v>
      </c>
      <c r="AA936" s="27" t="n">
        <f aca="false">IF(I936-E936&gt;=GWL,99,E936*(MAX(0,GWL-I936)*(GAM_S-GAM_W)+MAX(0,NG-MAX(I936,GWL))*GAM_D)/(GAM_W*PI()*E936^2/4))</f>
        <v>3.09142485809904</v>
      </c>
      <c r="AB936" s="27" t="n">
        <f aca="false">IF(H936-E936&gt;=GWL,99,E936*(MAX(0,GWL-H936)*(GAM_S-GAM_W)+MAX(0,FL-MAX(H936,GWL))*GAM_D)/(GAM_W*PI()*E936^2/4))</f>
        <v>7.0630225312641</v>
      </c>
      <c r="AC936" s="27" t="n">
        <f aca="false">IF(I936-E936&gt;=GWL,99,E936*(MAX(0,GWL-I936)*(GAM_S-GAM_W)+MAX(0,FL-MAX(I936,GWL))*GAM_D)/(GAM_W*PI()*E936^2/4))</f>
        <v>7.0630225312641</v>
      </c>
    </row>
    <row r="937" customFormat="false" ht="15" hidden="false" customHeight="false" outlineLevel="0" collapsed="false">
      <c r="A937" s="25" t="s">
        <v>1502</v>
      </c>
      <c r="B937" s="25" t="s">
        <v>1518</v>
      </c>
      <c r="C937" s="25" t="s">
        <v>1525</v>
      </c>
      <c r="D937" s="26" t="n">
        <v>3.17129000019261</v>
      </c>
      <c r="E937" s="26" t="n">
        <v>0.999993760362291</v>
      </c>
      <c r="F937" s="26" t="n">
        <v>-4.14999688018115</v>
      </c>
      <c r="G937" s="26" t="n">
        <v>-4.14999688018115</v>
      </c>
      <c r="H937" s="26" t="n">
        <v>-2.65000311981885</v>
      </c>
      <c r="I937" s="26" t="n">
        <v>-2.65000311981885</v>
      </c>
      <c r="J937" s="26" t="n">
        <v>3.7</v>
      </c>
      <c r="K937" s="27" t="n">
        <f aca="false">MIN(F937,G937)</f>
        <v>-4.14999688018115</v>
      </c>
      <c r="L937" s="27" t="n">
        <f aca="false">AVERAGE(F937,G937)</f>
        <v>-4.14999688018115</v>
      </c>
      <c r="M937" s="27" t="n">
        <f aca="false">MAX(0,NG-L937)</f>
        <v>3.44999688018115</v>
      </c>
      <c r="N937" s="27" t="n">
        <f aca="false">MAX(0,GWL-K937)</f>
        <v>2.64999688018115</v>
      </c>
      <c r="O937" s="27" t="n">
        <f aca="false">MAX(0,NG-MAX(K937,GWL))</f>
        <v>0.8</v>
      </c>
      <c r="P937" s="27" t="n">
        <f aca="false">E937/2+WS+SLOPE_A*O937+SLOPE_B*N937</f>
        <v>7.99999064054344</v>
      </c>
      <c r="Q937" s="28" t="str">
        <f aca="false">IF(AND(P937&lt;J937,N937&lt;=MAXOC),"Open cut","Shoring")</f>
        <v>Shoring</v>
      </c>
      <c r="R937" s="27" t="n">
        <f aca="false">IF(Q937="Shoring",D937,0)</f>
        <v>3.17129000019261</v>
      </c>
      <c r="S937" s="27" t="n">
        <f aca="false">MAX(0,GWL-L937)</f>
        <v>2.64999688018115</v>
      </c>
      <c r="T937" s="27" t="n">
        <f aca="false">MAX(0,NG-MAX(L937,GWL))</f>
        <v>0.8</v>
      </c>
      <c r="U937" s="27" t="n">
        <f aca="false">E937+2*WS</f>
        <v>2.99999376036229</v>
      </c>
      <c r="V937" s="27" t="n">
        <f aca="false">IF(Q937="Shoring",D937*M937*U937,0)</f>
        <v>32.8227535529369</v>
      </c>
      <c r="W937" s="27" t="n">
        <f aca="false">IF(Q937="Open cut",D937*(U937*M937+SLOPE_B*S937^2+2*SLOPE_B*S937*T937+SLOPE_A*T937^2),0)</f>
        <v>0</v>
      </c>
      <c r="X937" s="27" t="n">
        <f aca="false">IF(M937&gt;0,D937*(E937+2*SLABOVH)*SLAB,0)</f>
        <v>3.17128010634227</v>
      </c>
      <c r="Y937" s="27" t="n">
        <f aca="false">IF(M937&gt;0,D937*PI()*E937^2/4,0)</f>
        <v>2.49069425940141</v>
      </c>
      <c r="Z937" s="27" t="n">
        <f aca="false">IF(H937-E937&gt;=GWL,99,E937*(MAX(0,GWL-H937)*(GAM_S-GAM_W)+MAX(0,NG-MAX(H937,GWL))*GAM_D)/(GAM_W*PI()*E937^2/4))</f>
        <v>3.09142485809904</v>
      </c>
      <c r="AA937" s="27" t="n">
        <f aca="false">IF(I937-E937&gt;=GWL,99,E937*(MAX(0,GWL-I937)*(GAM_S-GAM_W)+MAX(0,NG-MAX(I937,GWL))*GAM_D)/(GAM_W*PI()*E937^2/4))</f>
        <v>3.09142485809904</v>
      </c>
      <c r="AB937" s="27" t="n">
        <f aca="false">IF(H937-E937&gt;=GWL,99,E937*(MAX(0,GWL-H937)*(GAM_S-GAM_W)+MAX(0,FL-MAX(H937,GWL))*GAM_D)/(GAM_W*PI()*E937^2/4))</f>
        <v>7.0630225312641</v>
      </c>
      <c r="AC937" s="27" t="n">
        <f aca="false">IF(I937-E937&gt;=GWL,99,E937*(MAX(0,GWL-I937)*(GAM_S-GAM_W)+MAX(0,FL-MAX(I937,GWL))*GAM_D)/(GAM_W*PI()*E937^2/4))</f>
        <v>7.0630225312641</v>
      </c>
    </row>
    <row r="938" customFormat="false" ht="15" hidden="false" customHeight="false" outlineLevel="0" collapsed="false">
      <c r="A938" s="25" t="s">
        <v>1502</v>
      </c>
      <c r="B938" s="25" t="s">
        <v>1518</v>
      </c>
      <c r="C938" s="25" t="s">
        <v>1526</v>
      </c>
      <c r="D938" s="26" t="n">
        <v>0.372800395624413</v>
      </c>
      <c r="E938" s="26" t="n">
        <v>0.999993760362291</v>
      </c>
      <c r="F938" s="26" t="n">
        <v>-4.14999688018115</v>
      </c>
      <c r="G938" s="26" t="n">
        <v>-4.14999688018115</v>
      </c>
      <c r="H938" s="26" t="n">
        <v>-2.65000311981885</v>
      </c>
      <c r="I938" s="26" t="n">
        <v>-2.65000311981885</v>
      </c>
      <c r="J938" s="26" t="n">
        <v>5.84</v>
      </c>
      <c r="K938" s="27" t="n">
        <f aca="false">MIN(F938,G938)</f>
        <v>-4.14999688018115</v>
      </c>
      <c r="L938" s="27" t="n">
        <f aca="false">AVERAGE(F938,G938)</f>
        <v>-4.14999688018115</v>
      </c>
      <c r="M938" s="27" t="n">
        <f aca="false">MAX(0,NG-L938)</f>
        <v>3.44999688018115</v>
      </c>
      <c r="N938" s="27" t="n">
        <f aca="false">MAX(0,GWL-K938)</f>
        <v>2.64999688018115</v>
      </c>
      <c r="O938" s="27" t="n">
        <f aca="false">MAX(0,NG-MAX(K938,GWL))</f>
        <v>0.8</v>
      </c>
      <c r="P938" s="27" t="n">
        <f aca="false">E938/2+WS+SLOPE_A*O938+SLOPE_B*N938</f>
        <v>7.99999064054344</v>
      </c>
      <c r="Q938" s="28" t="str">
        <f aca="false">IF(AND(P938&lt;J938,N938&lt;=MAXOC),"Open cut","Shoring")</f>
        <v>Shoring</v>
      </c>
      <c r="R938" s="27" t="n">
        <f aca="false">IF(Q938="Shoring",D938,0)</f>
        <v>0.372800395624413</v>
      </c>
      <c r="S938" s="27" t="n">
        <f aca="false">MAX(0,GWL-L938)</f>
        <v>2.64999688018115</v>
      </c>
      <c r="T938" s="27" t="n">
        <f aca="false">MAX(0,NG-MAX(L938,GWL))</f>
        <v>0.8</v>
      </c>
      <c r="U938" s="27" t="n">
        <f aca="false">E938+2*WS</f>
        <v>2.99999376036229</v>
      </c>
      <c r="V938" s="27" t="n">
        <f aca="false">IF(Q938="Shoring",D938*M938*U938,0)</f>
        <v>3.85847258032987</v>
      </c>
      <c r="W938" s="27" t="n">
        <f aca="false">IF(Q938="Open cut",D938*(U938*M938+SLOPE_B*S938^2+2*SLOPE_B*S938*T938+SLOPE_A*T938^2),0)</f>
        <v>0</v>
      </c>
      <c r="X938" s="27" t="n">
        <f aca="false">IF(M938&gt;0,D938*(E938+2*SLABOVH)*SLAB,0)</f>
        <v>0.37279923255471</v>
      </c>
      <c r="Y938" s="27" t="n">
        <f aca="false">IF(M938&gt;0,D938*PI()*E938^2/4,0)</f>
        <v>0.29279309215742</v>
      </c>
      <c r="Z938" s="27" t="n">
        <f aca="false">IF(H938-E938&gt;=GWL,99,E938*(MAX(0,GWL-H938)*(GAM_S-GAM_W)+MAX(0,NG-MAX(H938,GWL))*GAM_D)/(GAM_W*PI()*E938^2/4))</f>
        <v>3.09142485809904</v>
      </c>
      <c r="AA938" s="27" t="n">
        <f aca="false">IF(I938-E938&gt;=GWL,99,E938*(MAX(0,GWL-I938)*(GAM_S-GAM_W)+MAX(0,NG-MAX(I938,GWL))*GAM_D)/(GAM_W*PI()*E938^2/4))</f>
        <v>3.09142485809904</v>
      </c>
      <c r="AB938" s="27" t="n">
        <f aca="false">IF(H938-E938&gt;=GWL,99,E938*(MAX(0,GWL-H938)*(GAM_S-GAM_W)+MAX(0,FL-MAX(H938,GWL))*GAM_D)/(GAM_W*PI()*E938^2/4))</f>
        <v>7.0630225312641</v>
      </c>
      <c r="AC938" s="27" t="n">
        <f aca="false">IF(I938-E938&gt;=GWL,99,E938*(MAX(0,GWL-I938)*(GAM_S-GAM_W)+MAX(0,FL-MAX(I938,GWL))*GAM_D)/(GAM_W*PI()*E938^2/4))</f>
        <v>7.0630225312641</v>
      </c>
    </row>
    <row r="939" customFormat="false" ht="15" hidden="false" customHeight="false" outlineLevel="0" collapsed="false">
      <c r="A939" s="25" t="s">
        <v>1502</v>
      </c>
      <c r="B939" s="25" t="s">
        <v>1518</v>
      </c>
      <c r="C939" s="25" t="s">
        <v>1527</v>
      </c>
      <c r="D939" s="26" t="n">
        <v>0.370854636095571</v>
      </c>
      <c r="E939" s="26" t="n">
        <v>0.999993240831479</v>
      </c>
      <c r="F939" s="26" t="n">
        <v>-4.14999662041574</v>
      </c>
      <c r="G939" s="26" t="n">
        <v>-4.14999662041574</v>
      </c>
      <c r="H939" s="26" t="n">
        <v>-2.65000337958426</v>
      </c>
      <c r="I939" s="26" t="n">
        <v>-2.65000337958426</v>
      </c>
      <c r="J939" s="26" t="n">
        <v>5.84</v>
      </c>
      <c r="K939" s="27" t="n">
        <f aca="false">MIN(F939,G939)</f>
        <v>-4.14999662041574</v>
      </c>
      <c r="L939" s="27" t="n">
        <f aca="false">AVERAGE(F939,G939)</f>
        <v>-4.14999662041574</v>
      </c>
      <c r="M939" s="27" t="n">
        <f aca="false">MAX(0,NG-L939)</f>
        <v>3.44999662041574</v>
      </c>
      <c r="N939" s="27" t="n">
        <f aca="false">MAX(0,GWL-K939)</f>
        <v>2.64999662041574</v>
      </c>
      <c r="O939" s="27" t="n">
        <f aca="false">MAX(0,NG-MAX(K939,GWL))</f>
        <v>0.8</v>
      </c>
      <c r="P939" s="27" t="n">
        <f aca="false">E939/2+WS+SLOPE_A*O939+SLOPE_B*N939</f>
        <v>7.99998986124722</v>
      </c>
      <c r="Q939" s="28" t="str">
        <f aca="false">IF(AND(P939&lt;J939,N939&lt;=MAXOC),"Open cut","Shoring")</f>
        <v>Shoring</v>
      </c>
      <c r="R939" s="27" t="n">
        <f aca="false">IF(Q939="Shoring",D939,0)</f>
        <v>0.370854636095571</v>
      </c>
      <c r="S939" s="27" t="n">
        <f aca="false">MAX(0,GWL-L939)</f>
        <v>2.64999662041574</v>
      </c>
      <c r="T939" s="27" t="n">
        <f aca="false">MAX(0,NG-MAX(L939,GWL))</f>
        <v>0.8</v>
      </c>
      <c r="U939" s="27" t="n">
        <f aca="false">E939+2*WS</f>
        <v>2.99999324083148</v>
      </c>
      <c r="V939" s="27" t="n">
        <f aca="false">IF(Q939="Shoring",D939*M939*U939,0)</f>
        <v>3.83833307558617</v>
      </c>
      <c r="W939" s="27" t="n">
        <f aca="false">IF(Q939="Open cut",D939*(U939*M939+SLOPE_B*S939^2+2*SLOPE_B*S939*T939+SLOPE_A*T939^2),0)</f>
        <v>0</v>
      </c>
      <c r="X939" s="27" t="n">
        <f aca="false">IF(M939&gt;0,D939*(E939+2*SLABOVH)*SLAB,0)</f>
        <v>0.37085338276108</v>
      </c>
      <c r="Y939" s="27" t="n">
        <f aca="false">IF(M939&gt;0,D939*PI()*E939^2/4,0)</f>
        <v>0.291264612623768</v>
      </c>
      <c r="Z939" s="27" t="n">
        <f aca="false">IF(H939-E939&gt;=GWL,99,E939*(MAX(0,GWL-H939)*(GAM_S-GAM_W)+MAX(0,NG-MAX(H939,GWL))*GAM_D)/(GAM_W*PI()*E939^2/4))</f>
        <v>3.09142674032761</v>
      </c>
      <c r="AA939" s="27" t="n">
        <f aca="false">IF(I939-E939&gt;=GWL,99,E939*(MAX(0,GWL-I939)*(GAM_S-GAM_W)+MAX(0,NG-MAX(I939,GWL))*GAM_D)/(GAM_W*PI()*E939^2/4))</f>
        <v>3.09142674032761</v>
      </c>
      <c r="AB939" s="27" t="n">
        <f aca="false">IF(H939-E939&gt;=GWL,99,E939*(MAX(0,GWL-H939)*(GAM_S-GAM_W)+MAX(0,FL-MAX(H939,GWL))*GAM_D)/(GAM_W*PI()*E939^2/4))</f>
        <v>7.06302647687398</v>
      </c>
      <c r="AC939" s="27" t="n">
        <f aca="false">IF(I939-E939&gt;=GWL,99,E939*(MAX(0,GWL-I939)*(GAM_S-GAM_W)+MAX(0,FL-MAX(I939,GWL))*GAM_D)/(GAM_W*PI()*E939^2/4))</f>
        <v>7.06302647687398</v>
      </c>
    </row>
    <row r="940" customFormat="false" ht="15" hidden="false" customHeight="false" outlineLevel="0" collapsed="false">
      <c r="A940" s="25" t="s">
        <v>1502</v>
      </c>
      <c r="B940" s="25" t="s">
        <v>1518</v>
      </c>
      <c r="C940" s="25" t="s">
        <v>1528</v>
      </c>
      <c r="D940" s="26" t="n">
        <v>3.37619924029452</v>
      </c>
      <c r="E940" s="26" t="n">
        <v>0.999993240831479</v>
      </c>
      <c r="F940" s="26" t="n">
        <v>-4.14999662041574</v>
      </c>
      <c r="G940" s="26" t="n">
        <v>-4.47993364379042</v>
      </c>
      <c r="H940" s="26" t="n">
        <v>-2.65000337958426</v>
      </c>
      <c r="I940" s="26" t="n">
        <v>-2.97994040295894</v>
      </c>
      <c r="J940" s="26" t="n">
        <v>5.86</v>
      </c>
      <c r="K940" s="27" t="n">
        <f aca="false">MIN(F940,G940)</f>
        <v>-4.47993364379042</v>
      </c>
      <c r="L940" s="27" t="n">
        <f aca="false">AVERAGE(F940,G940)</f>
        <v>-4.31496513210308</v>
      </c>
      <c r="M940" s="27" t="n">
        <f aca="false">MAX(0,NG-L940)</f>
        <v>3.61496513210308</v>
      </c>
      <c r="N940" s="27" t="n">
        <f aca="false">MAX(0,GWL-K940)</f>
        <v>2.97993364379042</v>
      </c>
      <c r="O940" s="27" t="n">
        <f aca="false">MAX(0,NG-MAX(K940,GWL))</f>
        <v>0.8</v>
      </c>
      <c r="P940" s="27" t="n">
        <f aca="false">E940/2+WS+SLOPE_A*O940+SLOPE_B*N940</f>
        <v>8.65986390799658</v>
      </c>
      <c r="Q940" s="28" t="str">
        <f aca="false">IF(AND(P940&lt;J940,N940&lt;=MAXOC),"Open cut","Shoring")</f>
        <v>Shoring</v>
      </c>
      <c r="R940" s="27" t="n">
        <f aca="false">IF(Q940="Shoring",D940,0)</f>
        <v>3.37619924029452</v>
      </c>
      <c r="S940" s="27" t="n">
        <f aca="false">MAX(0,GWL-L940)</f>
        <v>2.81496513210308</v>
      </c>
      <c r="T940" s="27" t="n">
        <f aca="false">MAX(0,NG-MAX(L940,GWL))</f>
        <v>0.8</v>
      </c>
      <c r="U940" s="27" t="n">
        <f aca="false">E940+2*WS</f>
        <v>2.99999324083148</v>
      </c>
      <c r="V940" s="27" t="n">
        <f aca="false">IF(Q940="Shoring",D940*M940*U940,0)</f>
        <v>36.6144451035054</v>
      </c>
      <c r="W940" s="27" t="n">
        <f aca="false">IF(Q940="Open cut",D940*(U940*M940+SLOPE_B*S940^2+2*SLOPE_B*S940*T940+SLOPE_A*T940^2),0)</f>
        <v>0</v>
      </c>
      <c r="X940" s="27" t="n">
        <f aca="false">IF(M940&gt;0,D940*(E940+2*SLABOVH)*SLAB,0)</f>
        <v>3.37618783014471</v>
      </c>
      <c r="Y940" s="27" t="n">
        <f aca="false">IF(M940&gt;0,D940*PI()*E940^2/4,0)</f>
        <v>2.6516248366695</v>
      </c>
      <c r="Z940" s="27" t="n">
        <f aca="false">IF(H940-E940&gt;=GWL,99,E940*(MAX(0,GWL-H940)*(GAM_S-GAM_W)+MAX(0,NG-MAX(H940,GWL))*GAM_D)/(GAM_W*PI()*E940^2/4))</f>
        <v>3.09142674032761</v>
      </c>
      <c r="AA940" s="27" t="n">
        <f aca="false">IF(I940-E940&gt;=GWL,99,E940*(MAX(0,GWL-I940)*(GAM_S-GAM_W)+MAX(0,NG-MAX(I940,GWL))*GAM_D)/(GAM_W*PI()*E940^2/4))</f>
        <v>3.44214550313694</v>
      </c>
      <c r="AB940" s="27" t="n">
        <f aca="false">IF(H940-E940&gt;=GWL,99,E940*(MAX(0,GWL-H940)*(GAM_S-GAM_W)+MAX(0,FL-MAX(H940,GWL))*GAM_D)/(GAM_W*PI()*E940^2/4))</f>
        <v>7.06302647687398</v>
      </c>
      <c r="AC940" s="27" t="n">
        <f aca="false">IF(I940-E940&gt;=GWL,99,E940*(MAX(0,GWL-I940)*(GAM_S-GAM_W)+MAX(0,FL-MAX(I940,GWL))*GAM_D)/(GAM_W*PI()*E940^2/4))</f>
        <v>7.41374523968331</v>
      </c>
    </row>
    <row r="941" customFormat="false" ht="15" hidden="false" customHeight="false" outlineLevel="0" collapsed="false">
      <c r="A941" s="25" t="s">
        <v>1502</v>
      </c>
      <c r="B941" s="25" t="s">
        <v>1518</v>
      </c>
      <c r="C941" s="25" t="s">
        <v>1529</v>
      </c>
      <c r="D941" s="26" t="n">
        <v>4.98333075996828</v>
      </c>
      <c r="E941" s="26" t="n">
        <v>0.999993240831479</v>
      </c>
      <c r="F941" s="26" t="n">
        <v>-4.47993364379042</v>
      </c>
      <c r="G941" s="26" t="n">
        <v>-4.96692662041574</v>
      </c>
      <c r="H941" s="26" t="n">
        <v>-2.97994040295894</v>
      </c>
      <c r="I941" s="26" t="n">
        <v>-3.46693337958426</v>
      </c>
      <c r="J941" s="26" t="n">
        <v>6.24</v>
      </c>
      <c r="K941" s="27" t="n">
        <f aca="false">MIN(F941,G941)</f>
        <v>-4.96692662041574</v>
      </c>
      <c r="L941" s="27" t="n">
        <f aca="false">AVERAGE(F941,G941)</f>
        <v>-4.72343013210308</v>
      </c>
      <c r="M941" s="27" t="n">
        <f aca="false">MAX(0,NG-L941)</f>
        <v>4.02343013210308</v>
      </c>
      <c r="N941" s="27" t="n">
        <f aca="false">MAX(0,GWL-K941)</f>
        <v>3.46692662041574</v>
      </c>
      <c r="O941" s="27" t="n">
        <f aca="false">MAX(0,NG-MAX(K941,GWL))</f>
        <v>0.8</v>
      </c>
      <c r="P941" s="27" t="n">
        <f aca="false">E941/2+WS+SLOPE_A*O941+SLOPE_B*N941</f>
        <v>9.63384986124722</v>
      </c>
      <c r="Q941" s="28" t="str">
        <f aca="false">IF(AND(P941&lt;J941,N941&lt;=MAXOC),"Open cut","Shoring")</f>
        <v>Shoring</v>
      </c>
      <c r="R941" s="27" t="n">
        <f aca="false">IF(Q941="Shoring",D941,0)</f>
        <v>4.98333075996828</v>
      </c>
      <c r="S941" s="27" t="n">
        <f aca="false">MAX(0,GWL-L941)</f>
        <v>3.22343013210308</v>
      </c>
      <c r="T941" s="27" t="n">
        <f aca="false">MAX(0,NG-MAX(L941,GWL))</f>
        <v>0.8</v>
      </c>
      <c r="U941" s="27" t="n">
        <f aca="false">E941+2*WS</f>
        <v>2.99999324083148</v>
      </c>
      <c r="V941" s="27" t="n">
        <f aca="false">IF(Q941="Shoring",D941*M941*U941,0)</f>
        <v>60.1501138917867</v>
      </c>
      <c r="W941" s="27" t="n">
        <f aca="false">IF(Q941="Open cut",D941*(U941*M941+SLOPE_B*S941^2+2*SLOPE_B*S941*T941+SLOPE_A*T941^2),0)</f>
        <v>0</v>
      </c>
      <c r="X941" s="27" t="n">
        <f aca="false">IF(M941&gt;0,D941*(E941+2*SLABOVH)*SLAB,0)</f>
        <v>4.98331391838207</v>
      </c>
      <c r="Y941" s="27" t="n">
        <f aca="false">IF(M941&gt;0,D941*PI()*E941^2/4,0)</f>
        <v>3.91384591725642</v>
      </c>
      <c r="Z941" s="27" t="n">
        <f aca="false">IF(H941-E941&gt;=GWL,99,E941*(MAX(0,GWL-H941)*(GAM_S-GAM_W)+MAX(0,NG-MAX(H941,GWL))*GAM_D)/(GAM_W*PI()*E941^2/4))</f>
        <v>3.44214550313694</v>
      </c>
      <c r="AA941" s="27" t="n">
        <f aca="false">IF(I941-E941&gt;=GWL,99,E941*(MAX(0,GWL-I941)*(GAM_S-GAM_W)+MAX(0,NG-MAX(I941,GWL))*GAM_D)/(GAM_W*PI()*E941^2/4))</f>
        <v>3.95981270068847</v>
      </c>
      <c r="AB941" s="27" t="n">
        <f aca="false">IF(H941-E941&gt;=GWL,99,E941*(MAX(0,GWL-H941)*(GAM_S-GAM_W)+MAX(0,FL-MAX(H941,GWL))*GAM_D)/(GAM_W*PI()*E941^2/4))</f>
        <v>7.41374523968331</v>
      </c>
      <c r="AC941" s="27" t="n">
        <f aca="false">IF(I941-E941&gt;=GWL,99,E941*(MAX(0,GWL-I941)*(GAM_S-GAM_W)+MAX(0,FL-MAX(I941,GWL))*GAM_D)/(GAM_W*PI()*E941^2/4))</f>
        <v>7.93141243723484</v>
      </c>
    </row>
    <row r="942" customFormat="false" ht="15" hidden="false" customHeight="false" outlineLevel="0" collapsed="false">
      <c r="A942" s="25" t="s">
        <v>1502</v>
      </c>
      <c r="B942" s="25" t="s">
        <v>1518</v>
      </c>
      <c r="C942" s="25" t="s">
        <v>1530</v>
      </c>
      <c r="D942" s="26" t="n">
        <v>0.376059999661521</v>
      </c>
      <c r="E942" s="26" t="n">
        <v>0.999993240831479</v>
      </c>
      <c r="F942" s="26" t="n">
        <v>-4.96692662041574</v>
      </c>
      <c r="G942" s="26" t="n">
        <v>-5.00368662041574</v>
      </c>
      <c r="H942" s="26" t="n">
        <v>-3.46693337958426</v>
      </c>
      <c r="I942" s="26" t="n">
        <v>-3.50369337958426</v>
      </c>
      <c r="J942" s="26" t="n">
        <v>7.36</v>
      </c>
      <c r="K942" s="27" t="n">
        <f aca="false">MIN(F942,G942)</f>
        <v>-5.00368662041574</v>
      </c>
      <c r="L942" s="27" t="n">
        <f aca="false">AVERAGE(F942,G942)</f>
        <v>-4.98530662041574</v>
      </c>
      <c r="M942" s="27" t="n">
        <f aca="false">MAX(0,NG-L942)</f>
        <v>4.28530662041574</v>
      </c>
      <c r="N942" s="27" t="n">
        <f aca="false">MAX(0,GWL-K942)</f>
        <v>3.50368662041574</v>
      </c>
      <c r="O942" s="27" t="n">
        <f aca="false">MAX(0,NG-MAX(K942,GWL))</f>
        <v>0.8</v>
      </c>
      <c r="P942" s="27" t="n">
        <f aca="false">E942/2+WS+SLOPE_A*O942+SLOPE_B*N942</f>
        <v>9.70736986124722</v>
      </c>
      <c r="Q942" s="28" t="str">
        <f aca="false">IF(AND(P942&lt;J942,N942&lt;=MAXOC),"Open cut","Shoring")</f>
        <v>Shoring</v>
      </c>
      <c r="R942" s="27" t="n">
        <f aca="false">IF(Q942="Shoring",D942,0)</f>
        <v>0.376059999661521</v>
      </c>
      <c r="S942" s="27" t="n">
        <f aca="false">MAX(0,GWL-L942)</f>
        <v>3.48530662041574</v>
      </c>
      <c r="T942" s="27" t="n">
        <f aca="false">MAX(0,NG-MAX(L942,GWL))</f>
        <v>0.8</v>
      </c>
      <c r="U942" s="27" t="n">
        <f aca="false">E942+2*WS</f>
        <v>2.99999324083148</v>
      </c>
      <c r="V942" s="27" t="n">
        <f aca="false">IF(Q942="Shoring",D942*M942*U942,0)</f>
        <v>4.83458632605006</v>
      </c>
      <c r="W942" s="27" t="n">
        <f aca="false">IF(Q942="Open cut",D942*(U942*M942+SLOPE_B*S942^2+2*SLOPE_B*S942*T942+SLOPE_A*T942^2),0)</f>
        <v>0</v>
      </c>
      <c r="X942" s="27" t="n">
        <f aca="false">IF(M942&gt;0,D942*(E942+2*SLABOVH)*SLAB,0)</f>
        <v>0.376058728735065</v>
      </c>
      <c r="Y942" s="27" t="n">
        <f aca="false">IF(M942&gt;0,D942*PI()*E942^2/4,0)</f>
        <v>0.29535284034168</v>
      </c>
      <c r="Z942" s="27" t="n">
        <f aca="false">IF(H942-E942&gt;=GWL,99,E942*(MAX(0,GWL-H942)*(GAM_S-GAM_W)+MAX(0,NG-MAX(H942,GWL))*GAM_D)/(GAM_W*PI()*E942^2/4))</f>
        <v>3.95981270068847</v>
      </c>
      <c r="AA942" s="27" t="n">
        <f aca="false">IF(I942-E942&gt;=GWL,99,E942*(MAX(0,GWL-I942)*(GAM_S-GAM_W)+MAX(0,NG-MAX(I942,GWL))*GAM_D)/(GAM_W*PI()*E942^2/4))</f>
        <v>3.99888810237878</v>
      </c>
      <c r="AB942" s="27" t="n">
        <f aca="false">IF(H942-E942&gt;=GWL,99,E942*(MAX(0,GWL-H942)*(GAM_S-GAM_W)+MAX(0,FL-MAX(H942,GWL))*GAM_D)/(GAM_W*PI()*E942^2/4))</f>
        <v>7.93141243723484</v>
      </c>
      <c r="AC942" s="27" t="n">
        <f aca="false">IF(I942-E942&gt;=GWL,99,E942*(MAX(0,GWL-I942)*(GAM_S-GAM_W)+MAX(0,FL-MAX(I942,GWL))*GAM_D)/(GAM_W*PI()*E942^2/4))</f>
        <v>7.97048783892515</v>
      </c>
    </row>
    <row r="943" customFormat="false" ht="15" hidden="false" customHeight="false" outlineLevel="0" collapsed="false">
      <c r="A943" s="25" t="s">
        <v>1502</v>
      </c>
      <c r="B943" s="25" t="s">
        <v>1518</v>
      </c>
      <c r="C943" s="25" t="s">
        <v>1531</v>
      </c>
      <c r="D943" s="26" t="n">
        <v>0.365505167030244</v>
      </c>
      <c r="E943" s="26" t="n">
        <v>1.4000025143069</v>
      </c>
      <c r="F943" s="26" t="n">
        <v>-5.20369125715345</v>
      </c>
      <c r="G943" s="26" t="n">
        <v>-5.23940125715345</v>
      </c>
      <c r="H943" s="26" t="n">
        <v>-3.30368874284655</v>
      </c>
      <c r="I943" s="26" t="n">
        <v>-3.33939874284655</v>
      </c>
      <c r="J943" s="26" t="n">
        <v>7.31</v>
      </c>
      <c r="K943" s="27" t="n">
        <f aca="false">MIN(F943,G943)</f>
        <v>-5.23940125715345</v>
      </c>
      <c r="L943" s="27" t="n">
        <f aca="false">AVERAGE(F943,G943)</f>
        <v>-5.22154625715345</v>
      </c>
      <c r="M943" s="27" t="n">
        <f aca="false">MAX(0,NG-L943)</f>
        <v>4.52154625715345</v>
      </c>
      <c r="N943" s="27" t="n">
        <f aca="false">MAX(0,GWL-K943)</f>
        <v>3.73940125715345</v>
      </c>
      <c r="O943" s="27" t="n">
        <f aca="false">MAX(0,NG-MAX(K943,GWL))</f>
        <v>0.8</v>
      </c>
      <c r="P943" s="27" t="n">
        <f aca="false">E943/2+WS+SLOPE_A*O943+SLOPE_B*N943</f>
        <v>10.3788037714604</v>
      </c>
      <c r="Q943" s="28" t="str">
        <f aca="false">IF(AND(P943&lt;J943,N943&lt;=MAXOC),"Open cut","Shoring")</f>
        <v>Shoring</v>
      </c>
      <c r="R943" s="27" t="n">
        <f aca="false">IF(Q943="Shoring",D943,0)</f>
        <v>0.365505167030244</v>
      </c>
      <c r="S943" s="27" t="n">
        <f aca="false">MAX(0,GWL-L943)</f>
        <v>3.72154625715345</v>
      </c>
      <c r="T943" s="27" t="n">
        <f aca="false">MAX(0,NG-MAX(L943,GWL))</f>
        <v>0.8</v>
      </c>
      <c r="U943" s="27" t="n">
        <f aca="false">E943+2*WS</f>
        <v>3.4000025143069</v>
      </c>
      <c r="V943" s="27" t="n">
        <f aca="false">IF(Q943="Shoring",D943*M943*U943,0)</f>
        <v>5.61900912311546</v>
      </c>
      <c r="W943" s="27" t="n">
        <f aca="false">IF(Q943="Open cut",D943*(U943*M943+SLOPE_B*S943^2+2*SLOPE_B*S943*T943+SLOPE_A*T943^2),0)</f>
        <v>0</v>
      </c>
      <c r="X943" s="27" t="n">
        <f aca="false">IF(M943&gt;0,D943*(E943+2*SLABOVH)*SLAB,0)</f>
        <v>0.438606659932375</v>
      </c>
      <c r="Y943" s="27" t="n">
        <f aca="false">IF(M943&gt;0,D943*PI()*E943^2/4,0)</f>
        <v>0.562653511290886</v>
      </c>
      <c r="Z943" s="27" t="n">
        <f aca="false">IF(H943-E943&gt;=GWL,99,E943*(MAX(0,GWL-H943)*(GAM_S-GAM_W)+MAX(0,NG-MAX(H943,GWL))*GAM_D)/(GAM_W*PI()*E943^2/4))</f>
        <v>2.7044667028013</v>
      </c>
      <c r="AA943" s="27" t="n">
        <f aca="false">IF(I943-E943&gt;=GWL,99,E943*(MAX(0,GWL-I943)*(GAM_S-GAM_W)+MAX(0,NG-MAX(I943,GWL))*GAM_D)/(GAM_W*PI()*E943^2/4))</f>
        <v>2.73158023180685</v>
      </c>
      <c r="AB943" s="27" t="n">
        <f aca="false">IF(H943-E943&gt;=GWL,99,E943*(MAX(0,GWL-H943)*(GAM_S-GAM_W)+MAX(0,FL-MAX(H943,GWL))*GAM_D)/(GAM_W*PI()*E943^2/4))</f>
        <v>5.54129938792019</v>
      </c>
      <c r="AC943" s="27" t="n">
        <f aca="false">IF(I943-E943&gt;=GWL,99,E943*(MAX(0,GWL-I943)*(GAM_S-GAM_W)+MAX(0,FL-MAX(I943,GWL))*GAM_D)/(GAM_W*PI()*E943^2/4))</f>
        <v>5.56841291692575</v>
      </c>
    </row>
    <row r="944" customFormat="false" ht="15" hidden="false" customHeight="false" outlineLevel="0" collapsed="false">
      <c r="A944" s="25" t="s">
        <v>1502</v>
      </c>
      <c r="B944" s="25" t="s">
        <v>1518</v>
      </c>
      <c r="C944" s="25" t="s">
        <v>1532</v>
      </c>
      <c r="D944" s="26" t="n">
        <v>0.302299999734472</v>
      </c>
      <c r="E944" s="26" t="n">
        <v>1.4000025143069</v>
      </c>
      <c r="F944" s="26" t="n">
        <v>-5.23940125715345</v>
      </c>
      <c r="G944" s="26" t="n">
        <v>-5.26895125715345</v>
      </c>
      <c r="H944" s="26" t="n">
        <v>-3.33939874284655</v>
      </c>
      <c r="I944" s="26" t="n">
        <v>-3.36894874284655</v>
      </c>
      <c r="J944" s="26" t="n">
        <v>7.17</v>
      </c>
      <c r="K944" s="27" t="n">
        <f aca="false">MIN(F944,G944)</f>
        <v>-5.26895125715345</v>
      </c>
      <c r="L944" s="27" t="n">
        <f aca="false">AVERAGE(F944,G944)</f>
        <v>-5.25417625715345</v>
      </c>
      <c r="M944" s="27" t="n">
        <f aca="false">MAX(0,NG-L944)</f>
        <v>4.55417625715345</v>
      </c>
      <c r="N944" s="27" t="n">
        <f aca="false">MAX(0,GWL-K944)</f>
        <v>3.76895125715345</v>
      </c>
      <c r="O944" s="27" t="n">
        <f aca="false">MAX(0,NG-MAX(K944,GWL))</f>
        <v>0.8</v>
      </c>
      <c r="P944" s="27" t="n">
        <f aca="false">E944/2+WS+SLOPE_A*O944+SLOPE_B*N944</f>
        <v>10.4379037714604</v>
      </c>
      <c r="Q944" s="28" t="str">
        <f aca="false">IF(AND(P944&lt;J944,N944&lt;=MAXOC),"Open cut","Shoring")</f>
        <v>Shoring</v>
      </c>
      <c r="R944" s="27" t="n">
        <f aca="false">IF(Q944="Shoring",D944,0)</f>
        <v>0.302299999734472</v>
      </c>
      <c r="S944" s="27" t="n">
        <f aca="false">MAX(0,GWL-L944)</f>
        <v>3.75417625715345</v>
      </c>
      <c r="T944" s="27" t="n">
        <f aca="false">MAX(0,NG-MAX(L944,GWL))</f>
        <v>0.8</v>
      </c>
      <c r="U944" s="27" t="n">
        <f aca="false">E944+2*WS</f>
        <v>3.4000025143069</v>
      </c>
      <c r="V944" s="27" t="n">
        <f aca="false">IF(Q944="Shoring",D944*M944*U944,0)</f>
        <v>4.68087689803138</v>
      </c>
      <c r="W944" s="27" t="n">
        <f aca="false">IF(Q944="Open cut",D944*(U944*M944+SLOPE_B*S944^2+2*SLOPE_B*S944*T944+SLOPE_A*T944^2),0)</f>
        <v>0</v>
      </c>
      <c r="X944" s="27" t="n">
        <f aca="false">IF(M944&gt;0,D944*(E944+2*SLABOVH)*SLAB,0)</f>
        <v>0.362760379718854</v>
      </c>
      <c r="Y944" s="27" t="n">
        <f aca="false">IF(M944&gt;0,D944*PI()*E944^2/4,0)</f>
        <v>0.46535636608322</v>
      </c>
      <c r="Z944" s="27" t="n">
        <f aca="false">IF(H944-E944&gt;=GWL,99,E944*(MAX(0,GWL-H944)*(GAM_S-GAM_W)+MAX(0,NG-MAX(H944,GWL))*GAM_D)/(GAM_W*PI()*E944^2/4))</f>
        <v>2.73158023180685</v>
      </c>
      <c r="AA944" s="27" t="n">
        <f aca="false">IF(I944-E944&gt;=GWL,99,E944*(MAX(0,GWL-I944)*(GAM_S-GAM_W)+MAX(0,NG-MAX(I944,GWL))*GAM_D)/(GAM_W*PI()*E944^2/4))</f>
        <v>2.7540166580772</v>
      </c>
      <c r="AB944" s="27" t="n">
        <f aca="false">IF(H944-E944&gt;=GWL,99,E944*(MAX(0,GWL-H944)*(GAM_S-GAM_W)+MAX(0,FL-MAX(H944,GWL))*GAM_D)/(GAM_W*PI()*E944^2/4))</f>
        <v>5.56841291692575</v>
      </c>
      <c r="AC944" s="27" t="n">
        <f aca="false">IF(I944-E944&gt;=GWL,99,E944*(MAX(0,GWL-I944)*(GAM_S-GAM_W)+MAX(0,FL-MAX(I944,GWL))*GAM_D)/(GAM_W*PI()*E944^2/4))</f>
        <v>5.5908493431961</v>
      </c>
    </row>
    <row r="945" customFormat="false" ht="15" hidden="false" customHeight="false" outlineLevel="0" collapsed="false">
      <c r="A945" s="25" t="s">
        <v>1502</v>
      </c>
      <c r="B945" s="25" t="s">
        <v>1518</v>
      </c>
      <c r="C945" s="25" t="s">
        <v>1533</v>
      </c>
      <c r="D945" s="26" t="n">
        <v>0.938180000067671</v>
      </c>
      <c r="E945" s="26" t="n">
        <v>1.4000025143069</v>
      </c>
      <c r="F945" s="26" t="n">
        <v>-5.26895125715345</v>
      </c>
      <c r="G945" s="26" t="n">
        <v>-5.36063125715345</v>
      </c>
      <c r="H945" s="26" t="n">
        <v>-3.36894874284655</v>
      </c>
      <c r="I945" s="26" t="n">
        <v>-3.46062874284655</v>
      </c>
      <c r="J945" s="26" t="n">
        <v>6.76</v>
      </c>
      <c r="K945" s="27" t="n">
        <f aca="false">MIN(F945,G945)</f>
        <v>-5.36063125715345</v>
      </c>
      <c r="L945" s="27" t="n">
        <f aca="false">AVERAGE(F945,G945)</f>
        <v>-5.31479125715345</v>
      </c>
      <c r="M945" s="27" t="n">
        <f aca="false">MAX(0,NG-L945)</f>
        <v>4.61479125715345</v>
      </c>
      <c r="N945" s="27" t="n">
        <f aca="false">MAX(0,GWL-K945)</f>
        <v>3.86063125715345</v>
      </c>
      <c r="O945" s="27" t="n">
        <f aca="false">MAX(0,NG-MAX(K945,GWL))</f>
        <v>0.8</v>
      </c>
      <c r="P945" s="27" t="n">
        <f aca="false">E945/2+WS+SLOPE_A*O945+SLOPE_B*N945</f>
        <v>10.6212637714604</v>
      </c>
      <c r="Q945" s="28" t="str">
        <f aca="false">IF(AND(P945&lt;J945,N945&lt;=MAXOC),"Open cut","Shoring")</f>
        <v>Shoring</v>
      </c>
      <c r="R945" s="27" t="n">
        <f aca="false">IF(Q945="Shoring",D945,0)</f>
        <v>0.938180000067671</v>
      </c>
      <c r="S945" s="27" t="n">
        <f aca="false">MAX(0,GWL-L945)</f>
        <v>3.81479125715345</v>
      </c>
      <c r="T945" s="27" t="n">
        <f aca="false">MAX(0,NG-MAX(L945,GWL))</f>
        <v>0.8</v>
      </c>
      <c r="U945" s="27" t="n">
        <f aca="false">E945+2*WS</f>
        <v>3.4000025143069</v>
      </c>
      <c r="V945" s="27" t="n">
        <f aca="false">IF(Q945="Shoring",D945*M945*U945,0)</f>
        <v>14.7203274163289</v>
      </c>
      <c r="W945" s="27" t="n">
        <f aca="false">IF(Q945="Open cut",D945*(U945*M945+SLOPE_B*S945^2+2*SLOPE_B*S945*T945+SLOPE_A*T945^2),0)</f>
        <v>0</v>
      </c>
      <c r="X945" s="27" t="n">
        <f aca="false">IF(M945&gt;0,D945*(E945+2*SLABOVH)*SLAB,0)</f>
        <v>1.12581717951743</v>
      </c>
      <c r="Y945" s="27" t="n">
        <f aca="false">IF(M945&gt;0,D945*PI()*E945^2/4,0)</f>
        <v>1.44422109145527</v>
      </c>
      <c r="Z945" s="27" t="n">
        <f aca="false">IF(H945-E945&gt;=GWL,99,E945*(MAX(0,GWL-H945)*(GAM_S-GAM_W)+MAX(0,NG-MAX(H945,GWL))*GAM_D)/(GAM_W*PI()*E945^2/4))</f>
        <v>2.7540166580772</v>
      </c>
      <c r="AA945" s="27" t="n">
        <f aca="false">IF(I945-E945&gt;=GWL,99,E945*(MAX(0,GWL-I945)*(GAM_S-GAM_W)+MAX(0,NG-MAX(I945,GWL))*GAM_D)/(GAM_W*PI()*E945^2/4))</f>
        <v>2.82362652475963</v>
      </c>
      <c r="AB945" s="27" t="n">
        <f aca="false">IF(H945-E945&gt;=GWL,99,E945*(MAX(0,GWL-H945)*(GAM_S-GAM_W)+MAX(0,FL-MAX(H945,GWL))*GAM_D)/(GAM_W*PI()*E945^2/4))</f>
        <v>5.5908493431961</v>
      </c>
      <c r="AC945" s="27" t="n">
        <f aca="false">IF(I945-E945&gt;=GWL,99,E945*(MAX(0,GWL-I945)*(GAM_S-GAM_W)+MAX(0,FL-MAX(I945,GWL))*GAM_D)/(GAM_W*PI()*E945^2/4))</f>
        <v>5.66045920987852</v>
      </c>
    </row>
    <row r="946" customFormat="false" ht="15" hidden="false" customHeight="false" outlineLevel="0" collapsed="false">
      <c r="A946" s="25" t="s">
        <v>1502</v>
      </c>
      <c r="B946" s="25" t="s">
        <v>1518</v>
      </c>
      <c r="C946" s="25" t="s">
        <v>1534</v>
      </c>
      <c r="D946" s="26" t="n">
        <v>1.24621886603687</v>
      </c>
      <c r="E946" s="26" t="n">
        <v>1.4000025143069</v>
      </c>
      <c r="F946" s="26" t="n">
        <v>-5.36063125715345</v>
      </c>
      <c r="G946" s="26" t="n">
        <v>-5.48242125715345</v>
      </c>
      <c r="H946" s="26" t="n">
        <v>-3.46062874284655</v>
      </c>
      <c r="I946" s="26" t="n">
        <v>-3.58241874284655</v>
      </c>
      <c r="J946" s="26" t="n">
        <v>6.25</v>
      </c>
      <c r="K946" s="27" t="n">
        <f aca="false">MIN(F946,G946)</f>
        <v>-5.48242125715345</v>
      </c>
      <c r="L946" s="27" t="n">
        <f aca="false">AVERAGE(F946,G946)</f>
        <v>-5.42152625715345</v>
      </c>
      <c r="M946" s="27" t="n">
        <f aca="false">MAX(0,NG-L946)</f>
        <v>4.72152625715345</v>
      </c>
      <c r="N946" s="27" t="n">
        <f aca="false">MAX(0,GWL-K946)</f>
        <v>3.98242125715345</v>
      </c>
      <c r="O946" s="27" t="n">
        <f aca="false">MAX(0,NG-MAX(K946,GWL))</f>
        <v>0.8</v>
      </c>
      <c r="P946" s="27" t="n">
        <f aca="false">E946/2+WS+SLOPE_A*O946+SLOPE_B*N946</f>
        <v>10.8648437714604</v>
      </c>
      <c r="Q946" s="28" t="str">
        <f aca="false">IF(AND(P946&lt;J946,N946&lt;=MAXOC),"Open cut","Shoring")</f>
        <v>Shoring</v>
      </c>
      <c r="R946" s="27" t="n">
        <f aca="false">IF(Q946="Shoring",D946,0)</f>
        <v>1.24621886603687</v>
      </c>
      <c r="S946" s="27" t="n">
        <f aca="false">MAX(0,GWL-L946)</f>
        <v>3.92152625715345</v>
      </c>
      <c r="T946" s="27" t="n">
        <f aca="false">MAX(0,NG-MAX(L946,GWL))</f>
        <v>0.8</v>
      </c>
      <c r="U946" s="27" t="n">
        <f aca="false">E946+2*WS</f>
        <v>3.4000025143069</v>
      </c>
      <c r="V946" s="27" t="n">
        <f aca="false">IF(Q946="Shoring",D946*M946*U946,0)</f>
        <v>20.0058021280408</v>
      </c>
      <c r="W946" s="27" t="n">
        <f aca="false">IF(Q946="Open cut",D946*(U946*M946+SLOPE_B*S946^2+2*SLOPE_B*S946*T946+SLOPE_A*T946^2),0)</f>
        <v>0</v>
      </c>
      <c r="X946" s="27" t="n">
        <f aca="false">IF(M946&gt;0,D946*(E946+2*SLABOVH)*SLAB,0)</f>
        <v>1.49546420593259</v>
      </c>
      <c r="Y946" s="27" t="n">
        <f aca="false">IF(M946&gt;0,D946*PI()*E946^2/4,0)</f>
        <v>1.91841178747158</v>
      </c>
      <c r="Z946" s="27" t="n">
        <f aca="false">IF(H946-E946&gt;=GWL,99,E946*(MAX(0,GWL-H946)*(GAM_S-GAM_W)+MAX(0,NG-MAX(H946,GWL))*GAM_D)/(GAM_W*PI()*E946^2/4))</f>
        <v>2.82362652475963</v>
      </c>
      <c r="AA946" s="27" t="n">
        <f aca="false">IF(I946-E946&gt;=GWL,99,E946*(MAX(0,GWL-I946)*(GAM_S-GAM_W)+MAX(0,NG-MAX(I946,GWL))*GAM_D)/(GAM_W*PI()*E946^2/4))</f>
        <v>2.91609800887015</v>
      </c>
      <c r="AB946" s="27" t="n">
        <f aca="false">IF(H946-E946&gt;=GWL,99,E946*(MAX(0,GWL-H946)*(GAM_S-GAM_W)+MAX(0,FL-MAX(H946,GWL))*GAM_D)/(GAM_W*PI()*E946^2/4))</f>
        <v>5.66045920987852</v>
      </c>
      <c r="AC946" s="27" t="n">
        <f aca="false">IF(I946-E946&gt;=GWL,99,E946*(MAX(0,GWL-I946)*(GAM_S-GAM_W)+MAX(0,FL-MAX(I946,GWL))*GAM_D)/(GAM_W*PI()*E946^2/4))</f>
        <v>5.75293069398904</v>
      </c>
    </row>
    <row r="947" customFormat="false" ht="15" hidden="false" customHeight="false" outlineLevel="0" collapsed="false">
      <c r="A947" s="25" t="s">
        <v>1502</v>
      </c>
      <c r="B947" s="25" t="s">
        <v>1535</v>
      </c>
      <c r="C947" s="25" t="s">
        <v>1536</v>
      </c>
      <c r="D947" s="26" t="n">
        <v>1.2537862887907</v>
      </c>
      <c r="E947" s="26" t="n">
        <v>1.4000025143069</v>
      </c>
      <c r="F947" s="26" t="n">
        <v>-5.48242125715345</v>
      </c>
      <c r="G947" s="26" t="n">
        <v>-5.48705125715345</v>
      </c>
      <c r="H947" s="26" t="n">
        <v>-3.58241874284655</v>
      </c>
      <c r="I947" s="26" t="n">
        <v>-3.58704874284655</v>
      </c>
      <c r="J947" s="26" t="n">
        <v>5.77</v>
      </c>
      <c r="K947" s="27" t="n">
        <f aca="false">MIN(F947,G947)</f>
        <v>-5.48705125715345</v>
      </c>
      <c r="L947" s="27" t="n">
        <f aca="false">AVERAGE(F947,G947)</f>
        <v>-5.48473625715345</v>
      </c>
      <c r="M947" s="27" t="n">
        <f aca="false">MAX(0,NG-L947)</f>
        <v>4.78473625715345</v>
      </c>
      <c r="N947" s="27" t="n">
        <f aca="false">MAX(0,GWL-K947)</f>
        <v>3.98705125715345</v>
      </c>
      <c r="O947" s="27" t="n">
        <f aca="false">MAX(0,NG-MAX(K947,GWL))</f>
        <v>0.8</v>
      </c>
      <c r="P947" s="27" t="n">
        <f aca="false">E947/2+WS+SLOPE_A*O947+SLOPE_B*N947</f>
        <v>10.8741037714604</v>
      </c>
      <c r="Q947" s="28" t="str">
        <f aca="false">IF(AND(P947&lt;J947,N947&lt;=MAXOC),"Open cut","Shoring")</f>
        <v>Shoring</v>
      </c>
      <c r="R947" s="27" t="n">
        <f aca="false">IF(Q947="Shoring",D947,0)</f>
        <v>1.2537862887907</v>
      </c>
      <c r="S947" s="27" t="n">
        <f aca="false">MAX(0,GWL-L947)</f>
        <v>3.98473625715345</v>
      </c>
      <c r="T947" s="27" t="n">
        <f aca="false">MAX(0,NG-MAX(L947,GWL))</f>
        <v>0.8</v>
      </c>
      <c r="U947" s="27" t="n">
        <f aca="false">E947+2*WS</f>
        <v>3.4000025143069</v>
      </c>
      <c r="V947" s="27" t="n">
        <f aca="false">IF(Q947="Shoring",D947*M947*U947,0)</f>
        <v>20.3967399133951</v>
      </c>
      <c r="W947" s="27" t="n">
        <f aca="false">IF(Q947="Open cut",D947*(U947*M947+SLOPE_B*S947^2+2*SLOPE_B*S947*T947+SLOPE_A*T947^2),0)</f>
        <v>0</v>
      </c>
      <c r="X947" s="27" t="n">
        <f aca="false">IF(M947&gt;0,D947*(E947+2*SLABOVH)*SLAB,0)</f>
        <v>1.5045451227506</v>
      </c>
      <c r="Y947" s="27" t="n">
        <f aca="false">IF(M947&gt;0,D947*PI()*E947^2/4,0)</f>
        <v>1.93006097158152</v>
      </c>
      <c r="Z947" s="27" t="n">
        <f aca="false">IF(H947-E947&gt;=GWL,99,E947*(MAX(0,GWL-H947)*(GAM_S-GAM_W)+MAX(0,NG-MAX(H947,GWL))*GAM_D)/(GAM_W*PI()*E947^2/4))</f>
        <v>2.91609800887015</v>
      </c>
      <c r="AA947" s="27" t="n">
        <f aca="false">IF(I947-E947&gt;=GWL,99,E947*(MAX(0,GWL-I947)*(GAM_S-GAM_W)+MAX(0,NG-MAX(I947,GWL))*GAM_D)/(GAM_W*PI()*E947^2/4))</f>
        <v>2.9196134286208</v>
      </c>
      <c r="AB947" s="27" t="n">
        <f aca="false">IF(H947-E947&gt;=GWL,99,E947*(MAX(0,GWL-H947)*(GAM_S-GAM_W)+MAX(0,FL-MAX(H947,GWL))*GAM_D)/(GAM_W*PI()*E947^2/4))</f>
        <v>5.75293069398904</v>
      </c>
      <c r="AC947" s="27" t="n">
        <f aca="false">IF(I947-E947&gt;=GWL,99,E947*(MAX(0,GWL-I947)*(GAM_S-GAM_W)+MAX(0,FL-MAX(I947,GWL))*GAM_D)/(GAM_W*PI()*E947^2/4))</f>
        <v>5.75644611373969</v>
      </c>
    </row>
    <row r="948" customFormat="false" ht="15" hidden="false" customHeight="false" outlineLevel="0" collapsed="false">
      <c r="A948" s="25" t="s">
        <v>1502</v>
      </c>
      <c r="B948" s="25" t="s">
        <v>1535</v>
      </c>
      <c r="C948" s="25" t="s">
        <v>1537</v>
      </c>
      <c r="D948" s="26" t="n">
        <v>0.55607000021407</v>
      </c>
      <c r="E948" s="26" t="n">
        <v>1.3999976789983</v>
      </c>
      <c r="F948" s="26" t="n">
        <v>-5.48704883949915</v>
      </c>
      <c r="G948" s="26" t="n">
        <v>-5.48910883949915</v>
      </c>
      <c r="H948" s="26" t="n">
        <v>-3.58705116050085</v>
      </c>
      <c r="I948" s="26" t="n">
        <v>-3.58911116050085</v>
      </c>
      <c r="J948" s="26" t="n">
        <v>5.57</v>
      </c>
      <c r="K948" s="27" t="n">
        <f aca="false">MIN(F948,G948)</f>
        <v>-5.48910883949915</v>
      </c>
      <c r="L948" s="27" t="n">
        <f aca="false">AVERAGE(F948,G948)</f>
        <v>-5.48807883949915</v>
      </c>
      <c r="M948" s="27" t="n">
        <f aca="false">MAX(0,NG-L948)</f>
        <v>4.78807883949915</v>
      </c>
      <c r="N948" s="27" t="n">
        <f aca="false">MAX(0,GWL-K948)</f>
        <v>3.98910883949915</v>
      </c>
      <c r="O948" s="27" t="n">
        <f aca="false">MAX(0,NG-MAX(K948,GWL))</f>
        <v>0.8</v>
      </c>
      <c r="P948" s="27" t="n">
        <f aca="false">E948/2+WS+SLOPE_A*O948+SLOPE_B*N948</f>
        <v>10.8782165184975</v>
      </c>
      <c r="Q948" s="28" t="str">
        <f aca="false">IF(AND(P948&lt;J948,N948&lt;=MAXOC),"Open cut","Shoring")</f>
        <v>Shoring</v>
      </c>
      <c r="R948" s="27" t="n">
        <f aca="false">IF(Q948="Shoring",D948,0)</f>
        <v>0.55607000021407</v>
      </c>
      <c r="S948" s="27" t="n">
        <f aca="false">MAX(0,GWL-L948)</f>
        <v>3.98807883949915</v>
      </c>
      <c r="T948" s="27" t="n">
        <f aca="false">MAX(0,NG-MAX(L948,GWL))</f>
        <v>0.8</v>
      </c>
      <c r="U948" s="27" t="n">
        <f aca="false">E948+2*WS</f>
        <v>3.3999976789983</v>
      </c>
      <c r="V948" s="27" t="n">
        <f aca="false">IF(Q948="Shoring",D948*M948*U948,0)</f>
        <v>9.05251762475467</v>
      </c>
      <c r="W948" s="27" t="n">
        <f aca="false">IF(Q948="Open cut",D948*(U948*M948+SLOPE_B*S948^2+2*SLOPE_B*S948*T948+SLOPE_A*T948^2),0)</f>
        <v>0</v>
      </c>
      <c r="X948" s="27" t="n">
        <f aca="false">IF(M948&gt;0,D948*(E948+2*SLABOVH)*SLAB,0)</f>
        <v>0.667283354937177</v>
      </c>
      <c r="Y948" s="27" t="n">
        <f aca="false">IF(M948&gt;0,D948*PI()*E948^2/4,0)</f>
        <v>0.856000421239595</v>
      </c>
      <c r="Z948" s="27" t="n">
        <f aca="false">IF(H948-E948&gt;=GWL,99,E948*(MAX(0,GWL-H948)*(GAM_S-GAM_W)+MAX(0,NG-MAX(H948,GWL))*GAM_D)/(GAM_W*PI()*E948^2/4))</f>
        <v>2.91962534803314</v>
      </c>
      <c r="AA948" s="27" t="n">
        <f aca="false">IF(I948-E948&gt;=GWL,99,E948*(MAX(0,GWL-I948)*(GAM_S-GAM_W)+MAX(0,NG-MAX(I948,GWL))*GAM_D)/(GAM_W*PI()*E948^2/4))</f>
        <v>2.92118944947978</v>
      </c>
      <c r="AB948" s="27" t="n">
        <f aca="false">IF(H948-E948&gt;=GWL,99,E948*(MAX(0,GWL-H948)*(GAM_S-GAM_W)+MAX(0,FL-MAX(H948,GWL))*GAM_D)/(GAM_W*PI()*E948^2/4))</f>
        <v>5.75646783099792</v>
      </c>
      <c r="AC948" s="27" t="n">
        <f aca="false">IF(I948-E948&gt;=GWL,99,E948*(MAX(0,GWL-I948)*(GAM_S-GAM_W)+MAX(0,FL-MAX(I948,GWL))*GAM_D)/(GAM_W*PI()*E948^2/4))</f>
        <v>5.75803193244455</v>
      </c>
    </row>
    <row r="949" customFormat="false" ht="15" hidden="false" customHeight="false" outlineLevel="0" collapsed="false">
      <c r="A949" s="25" t="s">
        <v>1502</v>
      </c>
      <c r="B949" s="25" t="s">
        <v>1535</v>
      </c>
      <c r="C949" s="25" t="s">
        <v>1538</v>
      </c>
      <c r="D949" s="26" t="n">
        <v>3.37854891827091</v>
      </c>
      <c r="E949" s="26" t="n">
        <v>1.39998995785113</v>
      </c>
      <c r="F949" s="26" t="n">
        <v>-5.48910497892556</v>
      </c>
      <c r="G949" s="26" t="n">
        <v>-5.50159729608297</v>
      </c>
      <c r="H949" s="26" t="n">
        <v>-3.58911502107444</v>
      </c>
      <c r="I949" s="26" t="n">
        <v>-3.60160733823185</v>
      </c>
      <c r="J949" s="26" t="n">
        <v>4.53</v>
      </c>
      <c r="K949" s="27" t="n">
        <f aca="false">MIN(F949,G949)</f>
        <v>-5.50159729608297</v>
      </c>
      <c r="L949" s="27" t="n">
        <f aca="false">AVERAGE(F949,G949)</f>
        <v>-5.49535113750427</v>
      </c>
      <c r="M949" s="27" t="n">
        <f aca="false">MAX(0,NG-L949)</f>
        <v>4.79535113750427</v>
      </c>
      <c r="N949" s="27" t="n">
        <f aca="false">MAX(0,GWL-K949)</f>
        <v>4.00159729608297</v>
      </c>
      <c r="O949" s="27" t="n">
        <f aca="false">MAX(0,NG-MAX(K949,GWL))</f>
        <v>0.8</v>
      </c>
      <c r="P949" s="27" t="n">
        <f aca="false">E949/2+WS+SLOPE_A*O949+SLOPE_B*N949</f>
        <v>10.9031895710915</v>
      </c>
      <c r="Q949" s="28" t="str">
        <f aca="false">IF(AND(P949&lt;J949,N949&lt;=MAXOC),"Open cut","Shoring")</f>
        <v>Shoring</v>
      </c>
      <c r="R949" s="27" t="n">
        <f aca="false">IF(Q949="Shoring",D949,0)</f>
        <v>3.37854891827091</v>
      </c>
      <c r="S949" s="27" t="n">
        <f aca="false">MAX(0,GWL-L949)</f>
        <v>3.99535113750427</v>
      </c>
      <c r="T949" s="27" t="n">
        <f aca="false">MAX(0,NG-MAX(L949,GWL))</f>
        <v>0.8</v>
      </c>
      <c r="U949" s="27" t="n">
        <f aca="false">E949+2*WS</f>
        <v>3.39998995785113</v>
      </c>
      <c r="V949" s="27" t="n">
        <f aca="false">IF(Q949="Shoring",D949*M949*U949,0)</f>
        <v>55.0843538582186</v>
      </c>
      <c r="W949" s="27" t="n">
        <f aca="false">IF(Q949="Open cut",D949*(U949*M949+SLOPE_B*S949^2+2*SLOPE_B*S949*T949+SLOPE_A*T949^2),0)</f>
        <v>0</v>
      </c>
      <c r="X949" s="27" t="n">
        <f aca="false">IF(M949&gt;0,D949*(E949+2*SLABOVH)*SLAB,0)</f>
        <v>4.05424173797949</v>
      </c>
      <c r="Y949" s="27" t="n">
        <f aca="false">IF(M949&gt;0,D949*PI()*E949^2/4,0)</f>
        <v>5.20079737504042</v>
      </c>
      <c r="Z949" s="27" t="n">
        <f aca="false">IF(H949-E949&gt;=GWL,99,E949*(MAX(0,GWL-H949)*(GAM_S-GAM_W)+MAX(0,NG-MAX(H949,GWL))*GAM_D)/(GAM_W*PI()*E949^2/4))</f>
        <v>2.92120849150595</v>
      </c>
      <c r="AA949" s="27" t="n">
        <f aca="false">IF(I949-E949&gt;=GWL,99,E949*(MAX(0,GWL-I949)*(GAM_S-GAM_W)+MAX(0,NG-MAX(I949,GWL))*GAM_D)/(GAM_W*PI()*E949^2/4))</f>
        <v>2.93069361728243</v>
      </c>
      <c r="AB949" s="27" t="n">
        <f aca="false">IF(H949-E949&gt;=GWL,99,E949*(MAX(0,GWL-H949)*(GAM_S-GAM_W)+MAX(0,FL-MAX(H949,GWL))*GAM_D)/(GAM_W*PI()*E949^2/4))</f>
        <v>5.75806662006746</v>
      </c>
      <c r="AC949" s="27" t="n">
        <f aca="false">IF(I949-E949&gt;=GWL,99,E949*(MAX(0,GWL-I949)*(GAM_S-GAM_W)+MAX(0,FL-MAX(I949,GWL))*GAM_D)/(GAM_W*PI()*E949^2/4))</f>
        <v>5.76755174584394</v>
      </c>
    </row>
    <row r="950" customFormat="false" ht="15" hidden="false" customHeight="false" outlineLevel="0" collapsed="false">
      <c r="A950" s="25" t="s">
        <v>1502</v>
      </c>
      <c r="B950" s="25" t="s">
        <v>1539</v>
      </c>
      <c r="C950" s="25" t="s">
        <v>1540</v>
      </c>
      <c r="D950" s="26" t="n">
        <v>6.60000000015197</v>
      </c>
      <c r="E950" s="26" t="n">
        <v>1.39998995785113</v>
      </c>
      <c r="F950" s="26" t="n">
        <v>-5.50159729608297</v>
      </c>
      <c r="G950" s="26" t="n">
        <v>-5.52600105498372</v>
      </c>
      <c r="H950" s="26" t="n">
        <v>-3.60160733823185</v>
      </c>
      <c r="I950" s="26" t="n">
        <v>-3.62601109713259</v>
      </c>
      <c r="J950" s="26" t="n">
        <v>3.43</v>
      </c>
      <c r="K950" s="27" t="n">
        <f aca="false">MIN(F950,G950)</f>
        <v>-5.52600105498372</v>
      </c>
      <c r="L950" s="27" t="n">
        <f aca="false">AVERAGE(F950,G950)</f>
        <v>-5.51379917553335</v>
      </c>
      <c r="M950" s="27" t="n">
        <f aca="false">MAX(0,NG-L950)</f>
        <v>4.81379917553335</v>
      </c>
      <c r="N950" s="27" t="n">
        <f aca="false">MAX(0,GWL-K950)</f>
        <v>4.02600105498372</v>
      </c>
      <c r="O950" s="27" t="n">
        <f aca="false">MAX(0,NG-MAX(K950,GWL))</f>
        <v>0.8</v>
      </c>
      <c r="P950" s="27" t="n">
        <f aca="false">E950/2+WS+SLOPE_A*O950+SLOPE_B*N950</f>
        <v>10.951997088893</v>
      </c>
      <c r="Q950" s="28" t="str">
        <f aca="false">IF(AND(P950&lt;J950,N950&lt;=MAXOC),"Open cut","Shoring")</f>
        <v>Shoring</v>
      </c>
      <c r="R950" s="27" t="n">
        <f aca="false">IF(Q950="Shoring",D950,0)</f>
        <v>6.60000000015197</v>
      </c>
      <c r="S950" s="27" t="n">
        <f aca="false">MAX(0,GWL-L950)</f>
        <v>4.01379917553335</v>
      </c>
      <c r="T950" s="27" t="n">
        <f aca="false">MAX(0,NG-MAX(L950,GWL))</f>
        <v>0.8</v>
      </c>
      <c r="U950" s="27" t="n">
        <f aca="false">E950+2*WS</f>
        <v>3.39998995785113</v>
      </c>
      <c r="V950" s="27" t="n">
        <f aca="false">IF(Q950="Shoring",D950*M950*U950,0)</f>
        <v>108.021334451595</v>
      </c>
      <c r="W950" s="27" t="n">
        <f aca="false">IF(Q950="Open cut",D950*(U950*M950+SLOPE_B*S950^2+2*SLOPE_B*S950*T950+SLOPE_A*T950^2),0)</f>
        <v>0</v>
      </c>
      <c r="X950" s="27" t="n">
        <f aca="false">IF(M950&gt;0,D950*(E950+2*SLABOVH)*SLAB,0)</f>
        <v>7.91996686109108</v>
      </c>
      <c r="Y950" s="27" t="n">
        <f aca="false">IF(M950&gt;0,D950*PI()*E950^2/4,0)</f>
        <v>10.1597648891301</v>
      </c>
      <c r="Z950" s="27" t="n">
        <f aca="false">IF(H950-E950&gt;=GWL,99,E950*(MAX(0,GWL-H950)*(GAM_S-GAM_W)+MAX(0,NG-MAX(H950,GWL))*GAM_D)/(GAM_W*PI()*E950^2/4))</f>
        <v>2.93069361728243</v>
      </c>
      <c r="AA950" s="27" t="n">
        <f aca="false">IF(I950-E950&gt;=GWL,99,E950*(MAX(0,GWL-I950)*(GAM_S-GAM_W)+MAX(0,NG-MAX(I950,GWL))*GAM_D)/(GAM_W*PI()*E950^2/4))</f>
        <v>2.9492228236479</v>
      </c>
      <c r="AB950" s="27" t="n">
        <f aca="false">IF(H950-E950&gt;=GWL,99,E950*(MAX(0,GWL-H950)*(GAM_S-GAM_W)+MAX(0,FL-MAX(H950,GWL))*GAM_D)/(GAM_W*PI()*E950^2/4))</f>
        <v>5.76755174584394</v>
      </c>
      <c r="AC950" s="27" t="n">
        <f aca="false">IF(I950-E950&gt;=GWL,99,E950*(MAX(0,GWL-I950)*(GAM_S-GAM_W)+MAX(0,FL-MAX(I950,GWL))*GAM_D)/(GAM_W*PI()*E950^2/4))</f>
        <v>5.7860809522094</v>
      </c>
    </row>
    <row r="951" customFormat="false" ht="15" hidden="false" customHeight="false" outlineLevel="0" collapsed="false">
      <c r="A951" s="25" t="s">
        <v>1502</v>
      </c>
      <c r="B951" s="25" t="s">
        <v>1539</v>
      </c>
      <c r="C951" s="25" t="s">
        <v>1541</v>
      </c>
      <c r="D951" s="26" t="n">
        <v>9.49999999980974</v>
      </c>
      <c r="E951" s="26" t="n">
        <v>1.39998995785113</v>
      </c>
      <c r="F951" s="26" t="n">
        <v>-5.52600105498372</v>
      </c>
      <c r="G951" s="26" t="n">
        <v>-5.56112767764389</v>
      </c>
      <c r="H951" s="26" t="n">
        <v>-3.62601109713259</v>
      </c>
      <c r="I951" s="26" t="n">
        <v>-3.66113771979276</v>
      </c>
      <c r="J951" s="26" t="n">
        <v>3.35</v>
      </c>
      <c r="K951" s="27" t="n">
        <f aca="false">MIN(F951,G951)</f>
        <v>-5.56112767764389</v>
      </c>
      <c r="L951" s="27" t="n">
        <f aca="false">AVERAGE(F951,G951)</f>
        <v>-5.5435643663138</v>
      </c>
      <c r="M951" s="27" t="n">
        <f aca="false">MAX(0,NG-L951)</f>
        <v>4.8435643663138</v>
      </c>
      <c r="N951" s="27" t="n">
        <f aca="false">MAX(0,GWL-K951)</f>
        <v>4.06112767764389</v>
      </c>
      <c r="O951" s="27" t="n">
        <f aca="false">MAX(0,NG-MAX(K951,GWL))</f>
        <v>0.8</v>
      </c>
      <c r="P951" s="27" t="n">
        <f aca="false">E951/2+WS+SLOPE_A*O951+SLOPE_B*N951</f>
        <v>11.0222503342133</v>
      </c>
      <c r="Q951" s="28" t="str">
        <f aca="false">IF(AND(P951&lt;J951,N951&lt;=MAXOC),"Open cut","Shoring")</f>
        <v>Shoring</v>
      </c>
      <c r="R951" s="27" t="n">
        <f aca="false">IF(Q951="Shoring",D951,0)</f>
        <v>9.49999999980974</v>
      </c>
      <c r="S951" s="27" t="n">
        <f aca="false">MAX(0,GWL-L951)</f>
        <v>4.0435643663138</v>
      </c>
      <c r="T951" s="27" t="n">
        <f aca="false">MAX(0,NG-MAX(L951,GWL))</f>
        <v>0.8</v>
      </c>
      <c r="U951" s="27" t="n">
        <f aca="false">E951+2*WS</f>
        <v>3.39998995785113</v>
      </c>
      <c r="V951" s="27" t="n">
        <f aca="false">IF(Q951="Shoring",D951*M951*U951,0)</f>
        <v>156.446666950755</v>
      </c>
      <c r="W951" s="27" t="n">
        <f aca="false">IF(Q951="Open cut",D951*(U951*M951+SLOPE_B*S951^2+2*SLOPE_B*S951*T951+SLOPE_A*T951^2),0)</f>
        <v>0</v>
      </c>
      <c r="X951" s="27" t="n">
        <f aca="false">IF(M951&gt;0,D951*(E951+2*SLABOVH)*SLAB,0)</f>
        <v>11.3999522995645</v>
      </c>
      <c r="Y951" s="27" t="n">
        <f aca="false">IF(M951&gt;0,D951*PI()*E951^2/4,0)</f>
        <v>14.6239040064516</v>
      </c>
      <c r="Z951" s="27" t="n">
        <f aca="false">IF(H951-E951&gt;=GWL,99,E951*(MAX(0,GWL-H951)*(GAM_S-GAM_W)+MAX(0,NG-MAX(H951,GWL))*GAM_D)/(GAM_W*PI()*E951^2/4))</f>
        <v>2.9492228236479</v>
      </c>
      <c r="AA951" s="27" t="n">
        <f aca="false">IF(I951-E951&gt;=GWL,99,E951*(MAX(0,GWL-I951)*(GAM_S-GAM_W)+MAX(0,NG-MAX(I951,GWL))*GAM_D)/(GAM_W*PI()*E951^2/4))</f>
        <v>2.97589365099213</v>
      </c>
      <c r="AB951" s="27" t="n">
        <f aca="false">IF(H951-E951&gt;=GWL,99,E951*(MAX(0,GWL-H951)*(GAM_S-GAM_W)+MAX(0,FL-MAX(H951,GWL))*GAM_D)/(GAM_W*PI()*E951^2/4))</f>
        <v>5.7860809522094</v>
      </c>
      <c r="AC951" s="27" t="n">
        <f aca="false">IF(I951-E951&gt;=GWL,99,E951*(MAX(0,GWL-I951)*(GAM_S-GAM_W)+MAX(0,FL-MAX(I951,GWL))*GAM_D)/(GAM_W*PI()*E951^2/4))</f>
        <v>5.81275177955363</v>
      </c>
    </row>
    <row r="952" customFormat="false" ht="15" hidden="false" customHeight="false" outlineLevel="0" collapsed="false">
      <c r="A952" s="25" t="s">
        <v>1502</v>
      </c>
      <c r="B952" s="25" t="s">
        <v>1542</v>
      </c>
      <c r="C952" s="25" t="s">
        <v>1543</v>
      </c>
      <c r="D952" s="26" t="n">
        <v>0.499999999897872</v>
      </c>
      <c r="E952" s="26" t="n">
        <v>1.39998995785113</v>
      </c>
      <c r="F952" s="26" t="n">
        <v>-5.56112767764389</v>
      </c>
      <c r="G952" s="26" t="n">
        <v>-5.56297644725758</v>
      </c>
      <c r="H952" s="26" t="n">
        <v>-3.66113771979276</v>
      </c>
      <c r="I952" s="26" t="n">
        <v>-3.66298648940645</v>
      </c>
      <c r="J952" s="26" t="n">
        <v>4.17</v>
      </c>
      <c r="K952" s="27" t="n">
        <f aca="false">MIN(F952,G952)</f>
        <v>-5.56297644725758</v>
      </c>
      <c r="L952" s="27" t="n">
        <f aca="false">AVERAGE(F952,G952)</f>
        <v>-5.56205206245073</v>
      </c>
      <c r="M952" s="27" t="n">
        <f aca="false">MAX(0,NG-L952)</f>
        <v>4.86205206245073</v>
      </c>
      <c r="N952" s="27" t="n">
        <f aca="false">MAX(0,GWL-K952)</f>
        <v>4.06297644725758</v>
      </c>
      <c r="O952" s="27" t="n">
        <f aca="false">MAX(0,NG-MAX(K952,GWL))</f>
        <v>0.8</v>
      </c>
      <c r="P952" s="27" t="n">
        <f aca="false">E952/2+WS+SLOPE_A*O952+SLOPE_B*N952</f>
        <v>11.0259478734407</v>
      </c>
      <c r="Q952" s="28" t="str">
        <f aca="false">IF(AND(P952&lt;J952,N952&lt;=MAXOC),"Open cut","Shoring")</f>
        <v>Shoring</v>
      </c>
      <c r="R952" s="27" t="n">
        <f aca="false">IF(Q952="Shoring",D952,0)</f>
        <v>0.499999999897872</v>
      </c>
      <c r="S952" s="27" t="n">
        <f aca="false">MAX(0,GWL-L952)</f>
        <v>4.06205206245073</v>
      </c>
      <c r="T952" s="27" t="n">
        <f aca="false">MAX(0,NG-MAX(L952,GWL))</f>
        <v>0.8</v>
      </c>
      <c r="U952" s="27" t="n">
        <f aca="false">E952+2*WS</f>
        <v>3.39998995785113</v>
      </c>
      <c r="V952" s="27" t="n">
        <f aca="false">IF(Q952="Shoring",D952*M952*U952,0)</f>
        <v>8.26546409175265</v>
      </c>
      <c r="W952" s="27" t="n">
        <f aca="false">IF(Q952="Open cut",D952*(U952*M952+SLOPE_B*S952^2+2*SLOPE_B*S952*T952+SLOPE_A*T952^2),0)</f>
        <v>0</v>
      </c>
      <c r="X952" s="27" t="n">
        <f aca="false">IF(M952&gt;0,D952*(E952+2*SLABOVH)*SLAB,0)</f>
        <v>0.599997489340228</v>
      </c>
      <c r="Y952" s="27" t="n">
        <f aca="false">IF(M952&gt;0,D952*PI()*E952^2/4,0)</f>
        <v>0.769679158092495</v>
      </c>
      <c r="Z952" s="27" t="n">
        <f aca="false">IF(H952-E952&gt;=GWL,99,E952*(MAX(0,GWL-H952)*(GAM_S-GAM_W)+MAX(0,NG-MAX(H952,GWL))*GAM_D)/(GAM_W*PI()*E952^2/4))</f>
        <v>2.97589365099213</v>
      </c>
      <c r="AA952" s="27" t="n">
        <f aca="false">IF(I952-E952&gt;=GWL,99,E952*(MAX(0,GWL-I952)*(GAM_S-GAM_W)+MAX(0,NG-MAX(I952,GWL))*GAM_D)/(GAM_W*PI()*E952^2/4))</f>
        <v>2.97729737874709</v>
      </c>
      <c r="AB952" s="27" t="n">
        <f aca="false">IF(H952-E952&gt;=GWL,99,E952*(MAX(0,GWL-H952)*(GAM_S-GAM_W)+MAX(0,FL-MAX(H952,GWL))*GAM_D)/(GAM_W*PI()*E952^2/4))</f>
        <v>5.81275177955363</v>
      </c>
      <c r="AC952" s="27" t="n">
        <f aca="false">IF(I952-E952&gt;=GWL,99,E952*(MAX(0,GWL-I952)*(GAM_S-GAM_W)+MAX(0,FL-MAX(I952,GWL))*GAM_D)/(GAM_W*PI()*E952^2/4))</f>
        <v>5.8141555073086</v>
      </c>
    </row>
    <row r="953" customFormat="false" ht="15" hidden="false" customHeight="false" outlineLevel="0" collapsed="false">
      <c r="A953" s="25" t="s">
        <v>1502</v>
      </c>
      <c r="B953" s="25" t="s">
        <v>1542</v>
      </c>
      <c r="C953" s="25" t="s">
        <v>1544</v>
      </c>
      <c r="D953" s="26" t="n">
        <v>8.02115402829586</v>
      </c>
      <c r="E953" s="26" t="n">
        <v>1.39998995785113</v>
      </c>
      <c r="F953" s="26" t="n">
        <v>-5.56297644725758</v>
      </c>
      <c r="G953" s="26" t="n">
        <v>-5.59263497892556</v>
      </c>
      <c r="H953" s="26" t="n">
        <v>-3.66298648940645</v>
      </c>
      <c r="I953" s="26" t="n">
        <v>-3.69264502107444</v>
      </c>
      <c r="J953" s="26" t="n">
        <v>8.58</v>
      </c>
      <c r="K953" s="27" t="n">
        <f aca="false">MIN(F953,G953)</f>
        <v>-5.59263497892556</v>
      </c>
      <c r="L953" s="27" t="n">
        <f aca="false">AVERAGE(F953,G953)</f>
        <v>-5.57780571309157</v>
      </c>
      <c r="M953" s="27" t="n">
        <f aca="false">MAX(0,NG-L953)</f>
        <v>4.87780571309157</v>
      </c>
      <c r="N953" s="27" t="n">
        <f aca="false">MAX(0,GWL-K953)</f>
        <v>4.09263497892556</v>
      </c>
      <c r="O953" s="27" t="n">
        <f aca="false">MAX(0,NG-MAX(K953,GWL))</f>
        <v>0.8</v>
      </c>
      <c r="P953" s="27" t="n">
        <f aca="false">E953/2+WS+SLOPE_A*O953+SLOPE_B*N953</f>
        <v>11.0852649367767</v>
      </c>
      <c r="Q953" s="28" t="str">
        <f aca="false">IF(AND(P953&lt;J953,N953&lt;=MAXOC),"Open cut","Shoring")</f>
        <v>Shoring</v>
      </c>
      <c r="R953" s="27" t="n">
        <f aca="false">IF(Q953="Shoring",D953,0)</f>
        <v>8.02115402829586</v>
      </c>
      <c r="S953" s="27" t="n">
        <f aca="false">MAX(0,GWL-L953)</f>
        <v>4.07780571309157</v>
      </c>
      <c r="T953" s="27" t="n">
        <f aca="false">MAX(0,NG-MAX(L953,GWL))</f>
        <v>0.8</v>
      </c>
      <c r="U953" s="27" t="n">
        <f aca="false">E953+2*WS</f>
        <v>3.39998995785113</v>
      </c>
      <c r="V953" s="27" t="n">
        <f aca="false">IF(Q953="Shoring",D953*M953*U953,0)</f>
        <v>133.02675230694</v>
      </c>
      <c r="W953" s="27" t="n">
        <f aca="false">IF(Q953="Open cut",D953*(U953*M953+SLOPE_B*S953^2+2*SLOPE_B*S953*T953+SLOPE_A*T953^2),0)</f>
        <v>0</v>
      </c>
      <c r="X953" s="27" t="n">
        <f aca="false">IF(M953&gt;0,D953*(E953+2*SLABOVH)*SLAB,0)</f>
        <v>9.62534455914359</v>
      </c>
      <c r="Y953" s="27" t="n">
        <f aca="false">IF(M953&gt;0,D953*PI()*E953^2/4,0)</f>
        <v>12.34743016138</v>
      </c>
      <c r="Z953" s="27" t="n">
        <f aca="false">IF(H953-E953&gt;=GWL,99,E953*(MAX(0,GWL-H953)*(GAM_S-GAM_W)+MAX(0,NG-MAX(H953,GWL))*GAM_D)/(GAM_W*PI()*E953^2/4))</f>
        <v>2.97729737874709</v>
      </c>
      <c r="AA953" s="27" t="n">
        <f aca="false">IF(I953-E953&gt;=GWL,99,E953*(MAX(0,GWL-I953)*(GAM_S-GAM_W)+MAX(0,NG-MAX(I953,GWL))*GAM_D)/(GAM_W*PI()*E953^2/4))</f>
        <v>2.99981641181932</v>
      </c>
      <c r="AB953" s="27" t="n">
        <f aca="false">IF(H953-E953&gt;=GWL,99,E953*(MAX(0,GWL-H953)*(GAM_S-GAM_W)+MAX(0,FL-MAX(H953,GWL))*GAM_D)/(GAM_W*PI()*E953^2/4))</f>
        <v>5.8141555073086</v>
      </c>
      <c r="AC953" s="27" t="n">
        <f aca="false">IF(I953-E953&gt;=GWL,99,E953*(MAX(0,GWL-I953)*(GAM_S-GAM_W)+MAX(0,FL-MAX(I953,GWL))*GAM_D)/(GAM_W*PI()*E953^2/4))</f>
        <v>5.83667454038083</v>
      </c>
    </row>
    <row r="954" customFormat="false" ht="15" hidden="false" customHeight="false" outlineLevel="0" collapsed="false">
      <c r="A954" s="25" t="s">
        <v>1502</v>
      </c>
      <c r="B954" s="25" t="s">
        <v>1542</v>
      </c>
      <c r="C954" s="25" t="s">
        <v>1545</v>
      </c>
      <c r="D954" s="26" t="n">
        <v>1.01325246285255</v>
      </c>
      <c r="E954" s="26" t="n">
        <v>1.39998995785113</v>
      </c>
      <c r="F954" s="26" t="n">
        <v>-5.59263497892556</v>
      </c>
      <c r="G954" s="26" t="n">
        <v>-5.59637497892556</v>
      </c>
      <c r="H954" s="26" t="n">
        <v>-3.69264502107444</v>
      </c>
      <c r="I954" s="26" t="n">
        <v>-3.69638502107444</v>
      </c>
      <c r="J954" s="26" t="n">
        <v>7.69</v>
      </c>
      <c r="K954" s="27" t="n">
        <f aca="false">MIN(F954,G954)</f>
        <v>-5.59637497892556</v>
      </c>
      <c r="L954" s="27" t="n">
        <f aca="false">AVERAGE(F954,G954)</f>
        <v>-5.59450497892556</v>
      </c>
      <c r="M954" s="27" t="n">
        <f aca="false">MAX(0,NG-L954)</f>
        <v>4.89450497892556</v>
      </c>
      <c r="N954" s="27" t="n">
        <f aca="false">MAX(0,GWL-K954)</f>
        <v>4.09637497892556</v>
      </c>
      <c r="O954" s="27" t="n">
        <f aca="false">MAX(0,NG-MAX(K954,GWL))</f>
        <v>0.8</v>
      </c>
      <c r="P954" s="27" t="n">
        <f aca="false">E954/2+WS+SLOPE_A*O954+SLOPE_B*N954</f>
        <v>11.0927449367767</v>
      </c>
      <c r="Q954" s="28" t="str">
        <f aca="false">IF(AND(P954&lt;J954,N954&lt;=MAXOC),"Open cut","Shoring")</f>
        <v>Shoring</v>
      </c>
      <c r="R954" s="27" t="n">
        <f aca="false">IF(Q954="Shoring",D954,0)</f>
        <v>1.01325246285255</v>
      </c>
      <c r="S954" s="27" t="n">
        <f aca="false">MAX(0,GWL-L954)</f>
        <v>4.09450497892556</v>
      </c>
      <c r="T954" s="27" t="n">
        <f aca="false">MAX(0,NG-MAX(L954,GWL))</f>
        <v>0.8</v>
      </c>
      <c r="U954" s="27" t="n">
        <f aca="false">E954+2*WS</f>
        <v>3.39998995785113</v>
      </c>
      <c r="V954" s="27" t="n">
        <f aca="false">IF(Q954="Shoring",D954*M954*U954,0)</f>
        <v>16.8618055600332</v>
      </c>
      <c r="W954" s="27" t="n">
        <f aca="false">IF(Q954="Open cut",D954*(U954*M954+SLOPE_B*S954^2+2*SLOPE_B*S954*T954+SLOPE_A*T954^2),0)</f>
        <v>0</v>
      </c>
      <c r="X954" s="27" t="n">
        <f aca="false">IF(M954&gt;0,D954*(E954+2*SLABOVH)*SLAB,0)</f>
        <v>1.21589786780702</v>
      </c>
      <c r="Y954" s="27" t="n">
        <f aca="false">IF(M954&gt;0,D954*PI()*E954^2/4,0)</f>
        <v>1.55975860540558</v>
      </c>
      <c r="Z954" s="27" t="n">
        <f aca="false">IF(H954-E954&gt;=GWL,99,E954*(MAX(0,GWL-H954)*(GAM_S-GAM_W)+MAX(0,NG-MAX(H954,GWL))*GAM_D)/(GAM_W*PI()*E954^2/4))</f>
        <v>2.99981641181932</v>
      </c>
      <c r="AA954" s="27" t="n">
        <f aca="false">IF(I954-E954&gt;=GWL,99,E954*(MAX(0,GWL-I954)*(GAM_S-GAM_W)+MAX(0,NG-MAX(I954,GWL))*GAM_D)/(GAM_W*PI()*E954^2/4))</f>
        <v>3.00265610680601</v>
      </c>
      <c r="AB954" s="27" t="n">
        <f aca="false">IF(H954-E954&gt;=GWL,99,E954*(MAX(0,GWL-H954)*(GAM_S-GAM_W)+MAX(0,FL-MAX(H954,GWL))*GAM_D)/(GAM_W*PI()*E954^2/4))</f>
        <v>5.83667454038083</v>
      </c>
      <c r="AC954" s="27" t="n">
        <f aca="false">IF(I954-E954&gt;=GWL,99,E954*(MAX(0,GWL-I954)*(GAM_S-GAM_W)+MAX(0,FL-MAX(I954,GWL))*GAM_D)/(GAM_W*PI()*E954^2/4))</f>
        <v>5.83951423536752</v>
      </c>
    </row>
    <row r="955" customFormat="false" ht="15" hidden="false" customHeight="false" outlineLevel="0" collapsed="false">
      <c r="A955" s="25" t="s">
        <v>1502</v>
      </c>
      <c r="B955" s="25" t="s">
        <v>1542</v>
      </c>
      <c r="C955" s="25" t="s">
        <v>1546</v>
      </c>
      <c r="D955" s="26" t="n">
        <v>0.978006960899184</v>
      </c>
      <c r="E955" s="26" t="n">
        <v>1.39999144861691</v>
      </c>
      <c r="F955" s="26" t="n">
        <v>-5.59637572430845</v>
      </c>
      <c r="G955" s="26" t="n">
        <v>-5.59999572430846</v>
      </c>
      <c r="H955" s="26" t="n">
        <v>-3.69638427569155</v>
      </c>
      <c r="I955" s="26" t="n">
        <v>-3.70000427569155</v>
      </c>
      <c r="J955" s="26" t="n">
        <v>7.43</v>
      </c>
      <c r="K955" s="27" t="n">
        <f aca="false">MIN(F955,G955)</f>
        <v>-5.59999572430846</v>
      </c>
      <c r="L955" s="27" t="n">
        <f aca="false">AVERAGE(F955,G955)</f>
        <v>-5.59818572430845</v>
      </c>
      <c r="M955" s="27" t="n">
        <f aca="false">MAX(0,NG-L955)</f>
        <v>4.89818572430845</v>
      </c>
      <c r="N955" s="27" t="n">
        <f aca="false">MAX(0,GWL-K955)</f>
        <v>4.09999572430846</v>
      </c>
      <c r="O955" s="27" t="n">
        <f aca="false">MAX(0,NG-MAX(K955,GWL))</f>
        <v>0.8</v>
      </c>
      <c r="P955" s="27" t="n">
        <f aca="false">E955/2+WS+SLOPE_A*O955+SLOPE_B*N955</f>
        <v>11.0999871729254</v>
      </c>
      <c r="Q955" s="28" t="str">
        <f aca="false">IF(AND(P955&lt;J955,N955&lt;=MAXOC),"Open cut","Shoring")</f>
        <v>Shoring</v>
      </c>
      <c r="R955" s="27" t="n">
        <f aca="false">IF(Q955="Shoring",D955,0)</f>
        <v>0.978006960899184</v>
      </c>
      <c r="S955" s="27" t="n">
        <f aca="false">MAX(0,GWL-L955)</f>
        <v>4.09818572430845</v>
      </c>
      <c r="T955" s="27" t="n">
        <f aca="false">MAX(0,NG-MAX(L955,GWL))</f>
        <v>0.8</v>
      </c>
      <c r="U955" s="27" t="n">
        <f aca="false">E955+2*WS</f>
        <v>3.39999144861691</v>
      </c>
      <c r="V955" s="27" t="n">
        <f aca="false">IF(Q955="Shoring",D955*M955*U955,0)</f>
        <v>16.2875221310559</v>
      </c>
      <c r="W955" s="27" t="n">
        <f aca="false">IF(Q955="Open cut",D955*(U955*M955+SLOPE_B*S955^2+2*SLOPE_B*S955*T955+SLOPE_A*T955^2),0)</f>
        <v>0</v>
      </c>
      <c r="X955" s="27" t="n">
        <f aca="false">IF(M955&gt;0,D955*(E955+2*SLABOVH)*SLAB,0)</f>
        <v>1.17360417142293</v>
      </c>
      <c r="Y955" s="27" t="n">
        <f aca="false">IF(M955&gt;0,D955*PI()*E955^2/4,0)</f>
        <v>1.50550635509715</v>
      </c>
      <c r="Z955" s="27" t="n">
        <f aca="false">IF(H955-E955&gt;=GWL,99,E955*(MAX(0,GWL-H955)*(GAM_S-GAM_W)+MAX(0,NG-MAX(H955,GWL))*GAM_D)/(GAM_W*PI()*E955^2/4))</f>
        <v>3.00265234350879</v>
      </c>
      <c r="AA955" s="27" t="n">
        <f aca="false">IF(I955-E955&gt;=GWL,99,E955*(MAX(0,GWL-I955)*(GAM_S-GAM_W)+MAX(0,NG-MAX(I955,GWL))*GAM_D)/(GAM_W*PI()*E955^2/4))</f>
        <v>3.00540092236055</v>
      </c>
      <c r="AB955" s="27" t="n">
        <f aca="false">IF(H955-E955&gt;=GWL,99,E955*(MAX(0,GWL-H955)*(GAM_S-GAM_W)+MAX(0,FL-MAX(H955,GWL))*GAM_D)/(GAM_W*PI()*E955^2/4))</f>
        <v>5.83950745127254</v>
      </c>
      <c r="AC955" s="27" t="n">
        <f aca="false">IF(I955-E955&gt;=GWL,99,E955*(MAX(0,GWL-I955)*(GAM_S-GAM_W)+MAX(0,FL-MAX(I955,GWL))*GAM_D)/(GAM_W*PI()*E955^2/4))</f>
        <v>5.84225603012431</v>
      </c>
    </row>
    <row r="956" customFormat="false" ht="15" hidden="false" customHeight="false" outlineLevel="0" collapsed="false">
      <c r="A956" s="25" t="s">
        <v>1502</v>
      </c>
      <c r="B956" s="25" t="s">
        <v>1542</v>
      </c>
      <c r="C956" s="25" t="s">
        <v>1547</v>
      </c>
      <c r="D956" s="26" t="n">
        <v>0.0235956437636332</v>
      </c>
      <c r="E956" s="26" t="n">
        <v>1.39999144861691</v>
      </c>
      <c r="F956" s="26" t="n">
        <v>-5.59999572430846</v>
      </c>
      <c r="G956" s="26" t="n">
        <v>-5.59999572430846</v>
      </c>
      <c r="H956" s="26" t="n">
        <v>-3.70000427569155</v>
      </c>
      <c r="I956" s="26" t="n">
        <v>-3.70000427569155</v>
      </c>
      <c r="J956" s="26" t="n">
        <v>7.43</v>
      </c>
      <c r="K956" s="27" t="n">
        <f aca="false">MIN(F956,G956)</f>
        <v>-5.59999572430846</v>
      </c>
      <c r="L956" s="27" t="n">
        <f aca="false">AVERAGE(F956,G956)</f>
        <v>-5.59999572430846</v>
      </c>
      <c r="M956" s="27" t="n">
        <f aca="false">MAX(0,NG-L956)</f>
        <v>4.89999572430846</v>
      </c>
      <c r="N956" s="27" t="n">
        <f aca="false">MAX(0,GWL-K956)</f>
        <v>4.09999572430846</v>
      </c>
      <c r="O956" s="27" t="n">
        <f aca="false">MAX(0,NG-MAX(K956,GWL))</f>
        <v>0.8</v>
      </c>
      <c r="P956" s="27" t="n">
        <f aca="false">E956/2+WS+SLOPE_A*O956+SLOPE_B*N956</f>
        <v>11.0999871729254</v>
      </c>
      <c r="Q956" s="28" t="str">
        <f aca="false">IF(AND(P956&lt;J956,N956&lt;=MAXOC),"Open cut","Shoring")</f>
        <v>Shoring</v>
      </c>
      <c r="R956" s="27" t="n">
        <f aca="false">IF(Q956="Shoring",D956,0)</f>
        <v>0.0235956437636332</v>
      </c>
      <c r="S956" s="27" t="n">
        <f aca="false">MAX(0,GWL-L956)</f>
        <v>4.09999572430846</v>
      </c>
      <c r="T956" s="27" t="n">
        <f aca="false">MAX(0,NG-MAX(L956,GWL))</f>
        <v>0.8</v>
      </c>
      <c r="U956" s="27" t="n">
        <f aca="false">E956+2*WS</f>
        <v>3.39999144861691</v>
      </c>
      <c r="V956" s="27" t="n">
        <f aca="false">IF(Q956="Shoring",D956*M956*U956,0)</f>
        <v>0.393102093385424</v>
      </c>
      <c r="W956" s="27" t="n">
        <f aca="false">IF(Q956="Open cut",D956*(U956*M956+SLOPE_B*S956^2+2*SLOPE_B*S956*T956+SLOPE_A*T956^2),0)</f>
        <v>0</v>
      </c>
      <c r="X956" s="27" t="n">
        <f aca="false">IF(M956&gt;0,D956*(E956+2*SLABOVH)*SLAB,0)</f>
        <v>0.0283146716286653</v>
      </c>
      <c r="Y956" s="27" t="n">
        <f aca="false">IF(M956&gt;0,D956*PI()*E956^2/4,0)</f>
        <v>0.0363222278153295</v>
      </c>
      <c r="Z956" s="27" t="n">
        <f aca="false">IF(H956-E956&gt;=GWL,99,E956*(MAX(0,GWL-H956)*(GAM_S-GAM_W)+MAX(0,NG-MAX(H956,GWL))*GAM_D)/(GAM_W*PI()*E956^2/4))</f>
        <v>3.00540092236055</v>
      </c>
      <c r="AA956" s="27" t="n">
        <f aca="false">IF(I956-E956&gt;=GWL,99,E956*(MAX(0,GWL-I956)*(GAM_S-GAM_W)+MAX(0,NG-MAX(I956,GWL))*GAM_D)/(GAM_W*PI()*E956^2/4))</f>
        <v>3.00540092236055</v>
      </c>
      <c r="AB956" s="27" t="n">
        <f aca="false">IF(H956-E956&gt;=GWL,99,E956*(MAX(0,GWL-H956)*(GAM_S-GAM_W)+MAX(0,FL-MAX(H956,GWL))*GAM_D)/(GAM_W*PI()*E956^2/4))</f>
        <v>5.84225603012431</v>
      </c>
      <c r="AC956" s="27" t="n">
        <f aca="false">IF(I956-E956&gt;=GWL,99,E956*(MAX(0,GWL-I956)*(GAM_S-GAM_W)+MAX(0,FL-MAX(I956,GWL))*GAM_D)/(GAM_W*PI()*E956^2/4))</f>
        <v>5.84225603012431</v>
      </c>
    </row>
    <row r="957" customFormat="false" ht="15" hidden="false" customHeight="false" outlineLevel="0" collapsed="false">
      <c r="A957" s="25" t="s">
        <v>1502</v>
      </c>
      <c r="B957" s="25" t="s">
        <v>1548</v>
      </c>
      <c r="C957" s="25" t="s">
        <v>1549</v>
      </c>
      <c r="D957" s="26" t="n">
        <v>9.96399090420987</v>
      </c>
      <c r="E957" s="26" t="n">
        <v>1.4</v>
      </c>
      <c r="F957" s="26" t="n">
        <v>-5.6</v>
      </c>
      <c r="G957" s="26" t="n">
        <v>-5.6</v>
      </c>
      <c r="H957" s="26" t="n">
        <v>-3.7</v>
      </c>
      <c r="I957" s="26" t="n">
        <v>-3.7</v>
      </c>
      <c r="J957" s="26" t="n">
        <v>6.28</v>
      </c>
      <c r="K957" s="27" t="n">
        <f aca="false">MIN(F957,G957)</f>
        <v>-5.6</v>
      </c>
      <c r="L957" s="27" t="n">
        <f aca="false">AVERAGE(F957,G957)</f>
        <v>-5.6</v>
      </c>
      <c r="M957" s="27" t="n">
        <f aca="false">MAX(0,NG-L957)</f>
        <v>4.9</v>
      </c>
      <c r="N957" s="27" t="n">
        <f aca="false">MAX(0,GWL-K957)</f>
        <v>4.1</v>
      </c>
      <c r="O957" s="27" t="n">
        <f aca="false">MAX(0,NG-MAX(K957,GWL))</f>
        <v>0.8</v>
      </c>
      <c r="P957" s="27" t="n">
        <f aca="false">E957/2+WS+SLOPE_A*O957+SLOPE_B*N957</f>
        <v>11.1</v>
      </c>
      <c r="Q957" s="28" t="str">
        <f aca="false">IF(AND(P957&lt;J957,N957&lt;=MAXOC),"Open cut","Shoring")</f>
        <v>Shoring</v>
      </c>
      <c r="R957" s="27" t="n">
        <f aca="false">IF(Q957="Shoring",D957,0)</f>
        <v>9.96399090420987</v>
      </c>
      <c r="S957" s="27" t="n">
        <f aca="false">MAX(0,GWL-L957)</f>
        <v>4.1</v>
      </c>
      <c r="T957" s="27" t="n">
        <f aca="false">MAX(0,NG-MAX(L957,GWL))</f>
        <v>0.8</v>
      </c>
      <c r="U957" s="27" t="n">
        <f aca="false">E957+2*WS</f>
        <v>3.4</v>
      </c>
      <c r="V957" s="27" t="n">
        <f aca="false">IF(Q957="Shoring",D957*M957*U957,0)</f>
        <v>166.000088464137</v>
      </c>
      <c r="W957" s="27" t="n">
        <f aca="false">IF(Q957="Open cut",D957*(U957*M957+SLOPE_B*S957^2+2*SLOPE_B*S957*T957+SLOPE_A*T957^2),0)</f>
        <v>0</v>
      </c>
      <c r="X957" s="27" t="n">
        <f aca="false">IF(M957&gt;0,D957*(E957+2*SLABOVH)*SLAB,0)</f>
        <v>11.9567890850518</v>
      </c>
      <c r="Y957" s="27" t="n">
        <f aca="false">IF(M957&gt;0,D957*PI()*E957^2/4,0)</f>
        <v>15.3383723062996</v>
      </c>
      <c r="Z957" s="27" t="n">
        <f aca="false">IF(H957-E957&gt;=GWL,99,E957*(MAX(0,GWL-H957)*(GAM_S-GAM_W)+MAX(0,NG-MAX(H957,GWL))*GAM_D)/(GAM_W*PI()*E957^2/4))</f>
        <v>3.00537931856884</v>
      </c>
      <c r="AA957" s="27" t="n">
        <f aca="false">IF(I957-E957&gt;=GWL,99,E957*(MAX(0,GWL-I957)*(GAM_S-GAM_W)+MAX(0,NG-MAX(I957,GWL))*GAM_D)/(GAM_W*PI()*E957^2/4))</f>
        <v>3.00537931856884</v>
      </c>
      <c r="AB957" s="27" t="n">
        <f aca="false">IF(H957-E957&gt;=GWL,99,E957*(MAX(0,GWL-H957)*(GAM_S-GAM_W)+MAX(0,FL-MAX(H957,GWL))*GAM_D)/(GAM_W*PI()*E957^2/4))</f>
        <v>5.8422170984506</v>
      </c>
      <c r="AC957" s="27" t="n">
        <f aca="false">IF(I957-E957&gt;=GWL,99,E957*(MAX(0,GWL-I957)*(GAM_S-GAM_W)+MAX(0,FL-MAX(I957,GWL))*GAM_D)/(GAM_W*PI()*E957^2/4))</f>
        <v>5.8422170984506</v>
      </c>
    </row>
    <row r="958" customFormat="false" ht="15" hidden="false" customHeight="false" outlineLevel="0" collapsed="false">
      <c r="A958" s="25" t="s">
        <v>1502</v>
      </c>
      <c r="B958" s="25" t="s">
        <v>1548</v>
      </c>
      <c r="C958" s="25" t="s">
        <v>1550</v>
      </c>
      <c r="D958" s="26" t="n">
        <v>1.60650466571416</v>
      </c>
      <c r="E958" s="26" t="n">
        <v>1.4</v>
      </c>
      <c r="F958" s="26" t="n">
        <v>-5.6</v>
      </c>
      <c r="G958" s="26" t="n">
        <v>-5.6</v>
      </c>
      <c r="H958" s="26" t="n">
        <v>-3.7</v>
      </c>
      <c r="I958" s="26" t="n">
        <v>-3.7</v>
      </c>
      <c r="J958" s="26" t="n">
        <v>6.29</v>
      </c>
      <c r="K958" s="27" t="n">
        <f aca="false">MIN(F958,G958)</f>
        <v>-5.6</v>
      </c>
      <c r="L958" s="27" t="n">
        <f aca="false">AVERAGE(F958,G958)</f>
        <v>-5.6</v>
      </c>
      <c r="M958" s="27" t="n">
        <f aca="false">MAX(0,NG-L958)</f>
        <v>4.9</v>
      </c>
      <c r="N958" s="27" t="n">
        <f aca="false">MAX(0,GWL-K958)</f>
        <v>4.1</v>
      </c>
      <c r="O958" s="27" t="n">
        <f aca="false">MAX(0,NG-MAX(K958,GWL))</f>
        <v>0.8</v>
      </c>
      <c r="P958" s="27" t="n">
        <f aca="false">E958/2+WS+SLOPE_A*O958+SLOPE_B*N958</f>
        <v>11.1</v>
      </c>
      <c r="Q958" s="28" t="str">
        <f aca="false">IF(AND(P958&lt;J958,N958&lt;=MAXOC),"Open cut","Shoring")</f>
        <v>Shoring</v>
      </c>
      <c r="R958" s="27" t="n">
        <f aca="false">IF(Q958="Shoring",D958,0)</f>
        <v>1.60650466571416</v>
      </c>
      <c r="S958" s="27" t="n">
        <f aca="false">MAX(0,GWL-L958)</f>
        <v>4.1</v>
      </c>
      <c r="T958" s="27" t="n">
        <f aca="false">MAX(0,NG-MAX(L958,GWL))</f>
        <v>0.8</v>
      </c>
      <c r="U958" s="27" t="n">
        <f aca="false">E958+2*WS</f>
        <v>3.4</v>
      </c>
      <c r="V958" s="27" t="n">
        <f aca="false">IF(Q958="Shoring",D958*M958*U958,0)</f>
        <v>26.7643677307979</v>
      </c>
      <c r="W958" s="27" t="n">
        <f aca="false">IF(Q958="Open cut",D958*(U958*M958+SLOPE_B*S958^2+2*SLOPE_B*S958*T958+SLOPE_A*T958^2),0)</f>
        <v>0</v>
      </c>
      <c r="X958" s="27" t="n">
        <f aca="false">IF(M958&gt;0,D958*(E958+2*SLABOVH)*SLAB,0)</f>
        <v>1.92780559885699</v>
      </c>
      <c r="Y958" s="27" t="n">
        <f aca="false">IF(M958&gt;0,D958*PI()*E958^2/4,0)</f>
        <v>2.47302179532502</v>
      </c>
      <c r="Z958" s="27" t="n">
        <f aca="false">IF(H958-E958&gt;=GWL,99,E958*(MAX(0,GWL-H958)*(GAM_S-GAM_W)+MAX(0,NG-MAX(H958,GWL))*GAM_D)/(GAM_W*PI()*E958^2/4))</f>
        <v>3.00537931856884</v>
      </c>
      <c r="AA958" s="27" t="n">
        <f aca="false">IF(I958-E958&gt;=GWL,99,E958*(MAX(0,GWL-I958)*(GAM_S-GAM_W)+MAX(0,NG-MAX(I958,GWL))*GAM_D)/(GAM_W*PI()*E958^2/4))</f>
        <v>3.00537931856884</v>
      </c>
      <c r="AB958" s="27" t="n">
        <f aca="false">IF(H958-E958&gt;=GWL,99,E958*(MAX(0,GWL-H958)*(GAM_S-GAM_W)+MAX(0,FL-MAX(H958,GWL))*GAM_D)/(GAM_W*PI()*E958^2/4))</f>
        <v>5.8422170984506</v>
      </c>
      <c r="AC958" s="27" t="n">
        <f aca="false">IF(I958-E958&gt;=GWL,99,E958*(MAX(0,GWL-I958)*(GAM_S-GAM_W)+MAX(0,FL-MAX(I958,GWL))*GAM_D)/(GAM_W*PI()*E958^2/4))</f>
        <v>5.8422170984506</v>
      </c>
    </row>
    <row r="959" customFormat="false" ht="15" hidden="false" customHeight="false" outlineLevel="0" collapsed="false">
      <c r="A959" s="25" t="s">
        <v>1502</v>
      </c>
      <c r="B959" s="25" t="s">
        <v>1551</v>
      </c>
      <c r="C959" s="25" t="s">
        <v>1552</v>
      </c>
      <c r="D959" s="26" t="n">
        <v>0.636396937728476</v>
      </c>
      <c r="E959" s="26" t="n">
        <v>0.980782715697899</v>
      </c>
      <c r="F959" s="26" t="n">
        <v>-5.39039135784895</v>
      </c>
      <c r="G959" s="26" t="n">
        <v>-5.39039135784895</v>
      </c>
      <c r="H959" s="26" t="n">
        <v>-3.90960864215105</v>
      </c>
      <c r="I959" s="26" t="n">
        <v>-3.90960864215105</v>
      </c>
      <c r="J959" s="26" t="n">
        <v>7.01</v>
      </c>
      <c r="K959" s="27" t="n">
        <f aca="false">MIN(F959,G959)</f>
        <v>-5.39039135784895</v>
      </c>
      <c r="L959" s="27" t="n">
        <f aca="false">AVERAGE(F959,G959)</f>
        <v>-5.39039135784895</v>
      </c>
      <c r="M959" s="27" t="n">
        <f aca="false">MAX(0,NG-L959)</f>
        <v>4.69039135784895</v>
      </c>
      <c r="N959" s="27" t="n">
        <f aca="false">MAX(0,GWL-K959)</f>
        <v>3.89039135784895</v>
      </c>
      <c r="O959" s="27" t="n">
        <f aca="false">MAX(0,NG-MAX(K959,GWL))</f>
        <v>0.8</v>
      </c>
      <c r="P959" s="27" t="n">
        <f aca="false">E959/2+WS+SLOPE_A*O959+SLOPE_B*N959</f>
        <v>10.4711740735468</v>
      </c>
      <c r="Q959" s="28" t="str">
        <f aca="false">IF(AND(P959&lt;J959,N959&lt;=MAXOC),"Open cut","Shoring")</f>
        <v>Shoring</v>
      </c>
      <c r="R959" s="27" t="n">
        <f aca="false">IF(Q959="Shoring",D959,0)</f>
        <v>0.636396937728476</v>
      </c>
      <c r="S959" s="27" t="n">
        <f aca="false">MAX(0,GWL-L959)</f>
        <v>3.89039135784895</v>
      </c>
      <c r="T959" s="27" t="n">
        <f aca="false">MAX(0,NG-MAX(L959,GWL))</f>
        <v>0.8</v>
      </c>
      <c r="U959" s="27" t="n">
        <f aca="false">E959+2*WS</f>
        <v>2.9807827156979</v>
      </c>
      <c r="V959" s="27" t="n">
        <f aca="false">IF(Q959="Shoring",D959*M959*U959,0)</f>
        <v>8.89748944447978</v>
      </c>
      <c r="W959" s="27" t="n">
        <f aca="false">IF(Q959="Open cut",D959*(U959*M959+SLOPE_B*S959^2+2*SLOPE_B*S959*T959+SLOPE_A*T959^2),0)</f>
        <v>0</v>
      </c>
      <c r="X959" s="27" t="n">
        <f aca="false">IF(M959&gt;0,D959*(E959+2*SLABOVH)*SLAB,0)</f>
        <v>0.630282027287819</v>
      </c>
      <c r="Y959" s="27" t="n">
        <f aca="false">IF(M959&gt;0,D959*PI()*E959^2/4,0)</f>
        <v>0.480799015740608</v>
      </c>
      <c r="Z959" s="27" t="n">
        <f aca="false">IF(H959-E959&gt;=GWL,99,E959*(MAX(0,GWL-H959)*(GAM_S-GAM_W)+MAX(0,NG-MAX(H959,GWL))*GAM_D)/(GAM_W*PI()*E959^2/4))</f>
        <v>4.51714811885639</v>
      </c>
      <c r="AA959" s="27" t="n">
        <f aca="false">IF(I959-E959&gt;=GWL,99,E959*(MAX(0,GWL-I959)*(GAM_S-GAM_W)+MAX(0,NG-MAX(I959,GWL))*GAM_D)/(GAM_W*PI()*E959^2/4))</f>
        <v>4.51714811885639</v>
      </c>
      <c r="AB959" s="27" t="n">
        <f aca="false">IF(H959-E959&gt;=GWL,99,E959*(MAX(0,GWL-H959)*(GAM_S-GAM_W)+MAX(0,FL-MAX(H959,GWL))*GAM_D)/(GAM_W*PI()*E959^2/4))</f>
        <v>8.5665393125097</v>
      </c>
      <c r="AC959" s="27" t="n">
        <f aca="false">IF(I959-E959&gt;=GWL,99,E959*(MAX(0,GWL-I959)*(GAM_S-GAM_W)+MAX(0,FL-MAX(I959,GWL))*GAM_D)/(GAM_W*PI()*E959^2/4))</f>
        <v>8.5665393125097</v>
      </c>
    </row>
    <row r="960" customFormat="false" ht="15" hidden="false" customHeight="false" outlineLevel="0" collapsed="false">
      <c r="A960" s="25" t="s">
        <v>1502</v>
      </c>
      <c r="B960" s="25" t="s">
        <v>1553</v>
      </c>
      <c r="C960" s="25" t="s">
        <v>1554</v>
      </c>
      <c r="D960" s="26" t="n">
        <v>9.36360306242786</v>
      </c>
      <c r="E960" s="26" t="n">
        <v>1.00000322768983</v>
      </c>
      <c r="F960" s="26" t="n">
        <v>-5.40000161384492</v>
      </c>
      <c r="G960" s="26" t="n">
        <v>-5.40000161384492</v>
      </c>
      <c r="H960" s="26" t="n">
        <v>-3.89999838615509</v>
      </c>
      <c r="I960" s="26" t="n">
        <v>-3.89999838615509</v>
      </c>
      <c r="J960" s="26" t="n">
        <v>7.02</v>
      </c>
      <c r="K960" s="27" t="n">
        <f aca="false">MIN(F960,G960)</f>
        <v>-5.40000161384492</v>
      </c>
      <c r="L960" s="27" t="n">
        <f aca="false">AVERAGE(F960,G960)</f>
        <v>-5.40000161384492</v>
      </c>
      <c r="M960" s="27" t="n">
        <f aca="false">MAX(0,NG-L960)</f>
        <v>4.70000161384492</v>
      </c>
      <c r="N960" s="27" t="n">
        <f aca="false">MAX(0,GWL-K960)</f>
        <v>3.90000161384492</v>
      </c>
      <c r="O960" s="27" t="n">
        <f aca="false">MAX(0,NG-MAX(K960,GWL))</f>
        <v>0.8</v>
      </c>
      <c r="P960" s="27" t="n">
        <f aca="false">E960/2+WS+SLOPE_A*O960+SLOPE_B*N960</f>
        <v>10.5000048415347</v>
      </c>
      <c r="Q960" s="28" t="str">
        <f aca="false">IF(AND(P960&lt;J960,N960&lt;=MAXOC),"Open cut","Shoring")</f>
        <v>Shoring</v>
      </c>
      <c r="R960" s="27" t="n">
        <f aca="false">IF(Q960="Shoring",D960,0)</f>
        <v>9.36360306242786</v>
      </c>
      <c r="S960" s="27" t="n">
        <f aca="false">MAX(0,GWL-L960)</f>
        <v>3.90000161384492</v>
      </c>
      <c r="T960" s="27" t="n">
        <f aca="false">MAX(0,NG-MAX(L960,GWL))</f>
        <v>0.8</v>
      </c>
      <c r="U960" s="27" t="n">
        <f aca="false">E960+2*WS</f>
        <v>3.00000322768983</v>
      </c>
      <c r="V960" s="27" t="n">
        <f aca="false">IF(Q960="Shoring",D960*M960*U960,0)</f>
        <v>132.026990561681</v>
      </c>
      <c r="W960" s="27" t="n">
        <f aca="false">IF(Q960="Open cut",D960*(U960*M960+SLOPE_B*S960^2+2*SLOPE_B*S960*T960+SLOPE_A*T960^2),0)</f>
        <v>0</v>
      </c>
      <c r="X960" s="27" t="n">
        <f aca="false">IF(M960&gt;0,D960*(E960+2*SLABOVH)*SLAB,0)</f>
        <v>9.36361817383105</v>
      </c>
      <c r="Y960" s="27" t="n">
        <f aca="false">IF(M960&gt;0,D960*PI()*E960^2/4,0)</f>
        <v>7.35420412196341</v>
      </c>
      <c r="Z960" s="27" t="n">
        <f aca="false">IF(H960-E960&gt;=GWL,99,E960*(MAX(0,GWL-H960)*(GAM_S-GAM_W)+MAX(0,NG-MAX(H960,GWL))*GAM_D)/(GAM_W*PI()*E960^2/4))</f>
        <v>4.42011102444499</v>
      </c>
      <c r="AA960" s="27" t="n">
        <f aca="false">IF(I960-E960&gt;=GWL,99,E960*(MAX(0,GWL-I960)*(GAM_S-GAM_W)+MAX(0,NG-MAX(I960,GWL))*GAM_D)/(GAM_W*PI()*E960^2/4))</f>
        <v>4.42011102444499</v>
      </c>
      <c r="AB960" s="27" t="n">
        <f aca="false">IF(H960-E960&gt;=GWL,99,E960*(MAX(0,GWL-H960)*(GAM_S-GAM_W)+MAX(0,FL-MAX(H960,GWL))*GAM_D)/(GAM_W*PI()*E960^2/4))</f>
        <v>8.39167109731539</v>
      </c>
      <c r="AC960" s="27" t="n">
        <f aca="false">IF(I960-E960&gt;=GWL,99,E960*(MAX(0,GWL-I960)*(GAM_S-GAM_W)+MAX(0,FL-MAX(I960,GWL))*GAM_D)/(GAM_W*PI()*E960^2/4))</f>
        <v>8.39167109731539</v>
      </c>
    </row>
    <row r="961" customFormat="false" ht="15" hidden="false" customHeight="false" outlineLevel="0" collapsed="false">
      <c r="A961" s="25" t="s">
        <v>1502</v>
      </c>
      <c r="B961" s="25" t="s">
        <v>1553</v>
      </c>
      <c r="C961" s="25" t="s">
        <v>1555</v>
      </c>
      <c r="D961" s="26" t="n">
        <v>0.698746937694791</v>
      </c>
      <c r="E961" s="26" t="n">
        <v>1.00000322768983</v>
      </c>
      <c r="F961" s="26" t="n">
        <v>-5.40000161384492</v>
      </c>
      <c r="G961" s="26" t="n">
        <v>-5.40000161384492</v>
      </c>
      <c r="H961" s="26" t="n">
        <v>-3.89999838615509</v>
      </c>
      <c r="I961" s="26" t="n">
        <v>-3.89999838615509</v>
      </c>
      <c r="J961" s="26" t="n">
        <v>8.46</v>
      </c>
      <c r="K961" s="27" t="n">
        <f aca="false">MIN(F961,G961)</f>
        <v>-5.40000161384492</v>
      </c>
      <c r="L961" s="27" t="n">
        <f aca="false">AVERAGE(F961,G961)</f>
        <v>-5.40000161384492</v>
      </c>
      <c r="M961" s="27" t="n">
        <f aca="false">MAX(0,NG-L961)</f>
        <v>4.70000161384492</v>
      </c>
      <c r="N961" s="27" t="n">
        <f aca="false">MAX(0,GWL-K961)</f>
        <v>3.90000161384492</v>
      </c>
      <c r="O961" s="27" t="n">
        <f aca="false">MAX(0,NG-MAX(K961,GWL))</f>
        <v>0.8</v>
      </c>
      <c r="P961" s="27" t="n">
        <f aca="false">E961/2+WS+SLOPE_A*O961+SLOPE_B*N961</f>
        <v>10.5000048415347</v>
      </c>
      <c r="Q961" s="28" t="str">
        <f aca="false">IF(AND(P961&lt;J961,N961&lt;=MAXOC),"Open cut","Shoring")</f>
        <v>Shoring</v>
      </c>
      <c r="R961" s="27" t="n">
        <f aca="false">IF(Q961="Shoring",D961,0)</f>
        <v>0.698746937694791</v>
      </c>
      <c r="S961" s="27" t="n">
        <f aca="false">MAX(0,GWL-L961)</f>
        <v>3.90000161384492</v>
      </c>
      <c r="T961" s="27" t="n">
        <f aca="false">MAX(0,NG-MAX(L961,GWL))</f>
        <v>0.8</v>
      </c>
      <c r="U961" s="27" t="n">
        <f aca="false">E961+2*WS</f>
        <v>3.00000322768983</v>
      </c>
      <c r="V961" s="27" t="n">
        <f aca="false">IF(Q961="Shoring",D961*M961*U961,0)</f>
        <v>9.85234580459817</v>
      </c>
      <c r="W961" s="27" t="n">
        <f aca="false">IF(Q961="Open cut",D961*(U961*M961+SLOPE_B*S961^2+2*SLOPE_B*S961*T961+SLOPE_A*T961^2),0)</f>
        <v>0</v>
      </c>
      <c r="X961" s="27" t="n">
        <f aca="false">IF(M961&gt;0,D961*(E961+2*SLABOVH)*SLAB,0)</f>
        <v>0.698748065363983</v>
      </c>
      <c r="Y961" s="27" t="n">
        <f aca="false">IF(M961&gt;0,D961*PI()*E961^2/4,0)</f>
        <v>0.548798104228046</v>
      </c>
      <c r="Z961" s="27" t="n">
        <f aca="false">IF(H961-E961&gt;=GWL,99,E961*(MAX(0,GWL-H961)*(GAM_S-GAM_W)+MAX(0,NG-MAX(H961,GWL))*GAM_D)/(GAM_W*PI()*E961^2/4))</f>
        <v>4.42011102444499</v>
      </c>
      <c r="AA961" s="27" t="n">
        <f aca="false">IF(I961-E961&gt;=GWL,99,E961*(MAX(0,GWL-I961)*(GAM_S-GAM_W)+MAX(0,NG-MAX(I961,GWL))*GAM_D)/(GAM_W*PI()*E961^2/4))</f>
        <v>4.42011102444499</v>
      </c>
      <c r="AB961" s="27" t="n">
        <f aca="false">IF(H961-E961&gt;=GWL,99,E961*(MAX(0,GWL-H961)*(GAM_S-GAM_W)+MAX(0,FL-MAX(H961,GWL))*GAM_D)/(GAM_W*PI()*E961^2/4))</f>
        <v>8.39167109731539</v>
      </c>
      <c r="AC961" s="27" t="n">
        <f aca="false">IF(I961-E961&gt;=GWL,99,E961*(MAX(0,GWL-I961)*(GAM_S-GAM_W)+MAX(0,FL-MAX(I961,GWL))*GAM_D)/(GAM_W*PI()*E961^2/4))</f>
        <v>8.39167109731539</v>
      </c>
    </row>
    <row r="962" customFormat="false" ht="15" hidden="false" customHeight="false" outlineLevel="0" collapsed="false">
      <c r="A962" s="25" t="s">
        <v>1502</v>
      </c>
      <c r="B962" s="25" t="s">
        <v>1553</v>
      </c>
      <c r="C962" s="25" t="s">
        <v>1556</v>
      </c>
      <c r="D962" s="26" t="n">
        <v>0.300185484338615</v>
      </c>
      <c r="E962" s="26" t="n">
        <v>1.00000322768983</v>
      </c>
      <c r="F962" s="26" t="n">
        <v>-5.40000161384492</v>
      </c>
      <c r="G962" s="26" t="n">
        <v>-5.40000161384492</v>
      </c>
      <c r="H962" s="26" t="n">
        <v>-3.89999838615509</v>
      </c>
      <c r="I962" s="26" t="n">
        <v>-3.89999838615509</v>
      </c>
      <c r="J962" s="26" t="n">
        <v>8.66</v>
      </c>
      <c r="K962" s="27" t="n">
        <f aca="false">MIN(F962,G962)</f>
        <v>-5.40000161384492</v>
      </c>
      <c r="L962" s="27" t="n">
        <f aca="false">AVERAGE(F962,G962)</f>
        <v>-5.40000161384492</v>
      </c>
      <c r="M962" s="27" t="n">
        <f aca="false">MAX(0,NG-L962)</f>
        <v>4.70000161384492</v>
      </c>
      <c r="N962" s="27" t="n">
        <f aca="false">MAX(0,GWL-K962)</f>
        <v>3.90000161384492</v>
      </c>
      <c r="O962" s="27" t="n">
        <f aca="false">MAX(0,NG-MAX(K962,GWL))</f>
        <v>0.8</v>
      </c>
      <c r="P962" s="27" t="n">
        <f aca="false">E962/2+WS+SLOPE_A*O962+SLOPE_B*N962</f>
        <v>10.5000048415347</v>
      </c>
      <c r="Q962" s="28" t="str">
        <f aca="false">IF(AND(P962&lt;J962,N962&lt;=MAXOC),"Open cut","Shoring")</f>
        <v>Shoring</v>
      </c>
      <c r="R962" s="27" t="n">
        <f aca="false">IF(Q962="Shoring",D962,0)</f>
        <v>0.300185484338615</v>
      </c>
      <c r="S962" s="27" t="n">
        <f aca="false">MAX(0,GWL-L962)</f>
        <v>3.90000161384492</v>
      </c>
      <c r="T962" s="27" t="n">
        <f aca="false">MAX(0,NG-MAX(L962,GWL))</f>
        <v>0.8</v>
      </c>
      <c r="U962" s="27" t="n">
        <f aca="false">E962+2*WS</f>
        <v>3.00000322768983</v>
      </c>
      <c r="V962" s="27" t="n">
        <f aca="false">IF(Q962="Shoring",D962*M962*U962,0)</f>
        <v>4.23262133639097</v>
      </c>
      <c r="W962" s="27" t="n">
        <f aca="false">IF(Q962="Open cut",D962*(U962*M962+SLOPE_B*S962^2+2*SLOPE_B*S962*T962+SLOPE_A*T962^2),0)</f>
        <v>0</v>
      </c>
      <c r="X962" s="27" t="n">
        <f aca="false">IF(M962&gt;0,D962*(E962+2*SLABOVH)*SLAB,0)</f>
        <v>0.300185968791433</v>
      </c>
      <c r="Y962" s="27" t="n">
        <f aca="false">IF(M962&gt;0,D962*PI()*E962^2/4,0)</f>
        <v>0.23576665003399</v>
      </c>
      <c r="Z962" s="27" t="n">
        <f aca="false">IF(H962-E962&gt;=GWL,99,E962*(MAX(0,GWL-H962)*(GAM_S-GAM_W)+MAX(0,NG-MAX(H962,GWL))*GAM_D)/(GAM_W*PI()*E962^2/4))</f>
        <v>4.42011102444499</v>
      </c>
      <c r="AA962" s="27" t="n">
        <f aca="false">IF(I962-E962&gt;=GWL,99,E962*(MAX(0,GWL-I962)*(GAM_S-GAM_W)+MAX(0,NG-MAX(I962,GWL))*GAM_D)/(GAM_W*PI()*E962^2/4))</f>
        <v>4.42011102444499</v>
      </c>
      <c r="AB962" s="27" t="n">
        <f aca="false">IF(H962-E962&gt;=GWL,99,E962*(MAX(0,GWL-H962)*(GAM_S-GAM_W)+MAX(0,FL-MAX(H962,GWL))*GAM_D)/(GAM_W*PI()*E962^2/4))</f>
        <v>8.39167109731539</v>
      </c>
      <c r="AC962" s="27" t="n">
        <f aca="false">IF(I962-E962&gt;=GWL,99,E962*(MAX(0,GWL-I962)*(GAM_S-GAM_W)+MAX(0,FL-MAX(I962,GWL))*GAM_D)/(GAM_W*PI()*E962^2/4))</f>
        <v>8.39167109731539</v>
      </c>
    </row>
    <row r="963" customFormat="false" ht="15" hidden="false" customHeight="false" outlineLevel="0" collapsed="false">
      <c r="A963" s="25" t="s">
        <v>1502</v>
      </c>
      <c r="B963" s="25" t="s">
        <v>1553</v>
      </c>
      <c r="C963" s="25" t="s">
        <v>1557</v>
      </c>
      <c r="D963" s="26" t="n">
        <v>4.21262999962168</v>
      </c>
      <c r="E963" s="26" t="n">
        <v>1.40012061986027</v>
      </c>
      <c r="F963" s="26" t="n">
        <v>-5.60006030993014</v>
      </c>
      <c r="G963" s="26" t="n">
        <v>-5.60006030993014</v>
      </c>
      <c r="H963" s="26" t="n">
        <v>-3.69993969006987</v>
      </c>
      <c r="I963" s="26" t="n">
        <v>-3.69993969006987</v>
      </c>
      <c r="J963" s="26" t="n">
        <v>7.4</v>
      </c>
      <c r="K963" s="27" t="n">
        <f aca="false">MIN(F963,G963)</f>
        <v>-5.60006030993014</v>
      </c>
      <c r="L963" s="27" t="n">
        <f aca="false">AVERAGE(F963,G963)</f>
        <v>-5.60006030993014</v>
      </c>
      <c r="M963" s="27" t="n">
        <f aca="false">MAX(0,NG-L963)</f>
        <v>4.90006030993014</v>
      </c>
      <c r="N963" s="27" t="n">
        <f aca="false">MAX(0,GWL-K963)</f>
        <v>4.10006030993014</v>
      </c>
      <c r="O963" s="27" t="n">
        <f aca="false">MAX(0,NG-MAX(K963,GWL))</f>
        <v>0.8</v>
      </c>
      <c r="P963" s="27" t="n">
        <f aca="false">E963/2+WS+SLOPE_A*O963+SLOPE_B*N963</f>
        <v>11.1001809297904</v>
      </c>
      <c r="Q963" s="28" t="str">
        <f aca="false">IF(AND(P963&lt;J963,N963&lt;=MAXOC),"Open cut","Shoring")</f>
        <v>Shoring</v>
      </c>
      <c r="R963" s="27" t="n">
        <f aca="false">IF(Q963="Shoring",D963,0)</f>
        <v>4.21262999962168</v>
      </c>
      <c r="S963" s="27" t="n">
        <f aca="false">MAX(0,GWL-L963)</f>
        <v>4.10006030993014</v>
      </c>
      <c r="T963" s="27" t="n">
        <f aca="false">MAX(0,NG-MAX(L963,GWL))</f>
        <v>0.8</v>
      </c>
      <c r="U963" s="27" t="n">
        <f aca="false">E963+2*WS</f>
        <v>3.40012061986027</v>
      </c>
      <c r="V963" s="27" t="n">
        <f aca="false">IF(Q963="Shoring",D963*M963*U963,0)</f>
        <v>70.1857694614989</v>
      </c>
      <c r="W963" s="27" t="n">
        <f aca="false">IF(Q963="Open cut",D963*(U963*M963+SLOPE_B*S963^2+2*SLOPE_B*S963*T963+SLOPE_A*T963^2),0)</f>
        <v>0</v>
      </c>
      <c r="X963" s="27" t="n">
        <f aca="false">IF(M963&gt;0,D963*(E963+2*SLABOVH)*SLAB,0)</f>
        <v>5.05541006296697</v>
      </c>
      <c r="Y963" s="27" t="n">
        <f aca="false">IF(M963&gt;0,D963*PI()*E963^2/4,0)</f>
        <v>6.48595753238545</v>
      </c>
      <c r="Z963" s="27" t="n">
        <f aca="false">IF(H963-E963&gt;=GWL,99,E963*(MAX(0,GWL-H963)*(GAM_S-GAM_W)+MAX(0,NG-MAX(H963,GWL))*GAM_D)/(GAM_W*PI()*E963^2/4))</f>
        <v>3.00507461862722</v>
      </c>
      <c r="AA963" s="27" t="n">
        <f aca="false">IF(I963-E963&gt;=GWL,99,E963*(MAX(0,GWL-I963)*(GAM_S-GAM_W)+MAX(0,NG-MAX(I963,GWL))*GAM_D)/(GAM_W*PI()*E963^2/4))</f>
        <v>3.00507461862722</v>
      </c>
      <c r="AB963" s="27" t="n">
        <f aca="false">IF(H963-E963&gt;=GWL,99,E963*(MAX(0,GWL-H963)*(GAM_S-GAM_W)+MAX(0,FL-MAX(H963,GWL))*GAM_D)/(GAM_W*PI()*E963^2/4))</f>
        <v>5.84166800601038</v>
      </c>
      <c r="AC963" s="27" t="n">
        <f aca="false">IF(I963-E963&gt;=GWL,99,E963*(MAX(0,GWL-I963)*(GAM_S-GAM_W)+MAX(0,FL-MAX(I963,GWL))*GAM_D)/(GAM_W*PI()*E963^2/4))</f>
        <v>5.84166800601038</v>
      </c>
    </row>
    <row r="964" customFormat="false" ht="15" hidden="false" customHeight="false" outlineLevel="0" collapsed="false">
      <c r="A964" s="25" t="s">
        <v>1502</v>
      </c>
      <c r="B964" s="25" t="s">
        <v>1553</v>
      </c>
      <c r="C964" s="25" t="s">
        <v>1558</v>
      </c>
      <c r="D964" s="26" t="n">
        <v>1.25051781003867</v>
      </c>
      <c r="E964" s="26" t="n">
        <v>1.40012061986027</v>
      </c>
      <c r="F964" s="26" t="n">
        <v>-5.60006030993014</v>
      </c>
      <c r="G964" s="26" t="n">
        <v>-5.48248030993014</v>
      </c>
      <c r="H964" s="26" t="n">
        <v>-3.69993969006987</v>
      </c>
      <c r="I964" s="26" t="n">
        <v>-3.58235969006987</v>
      </c>
      <c r="J964" s="26" t="n">
        <v>6.25</v>
      </c>
      <c r="K964" s="27" t="n">
        <f aca="false">MIN(F964,G964)</f>
        <v>-5.60006030993014</v>
      </c>
      <c r="L964" s="27" t="n">
        <f aca="false">AVERAGE(F964,G964)</f>
        <v>-5.54127030993014</v>
      </c>
      <c r="M964" s="27" t="n">
        <f aca="false">MAX(0,NG-L964)</f>
        <v>4.84127030993014</v>
      </c>
      <c r="N964" s="27" t="n">
        <f aca="false">MAX(0,GWL-K964)</f>
        <v>4.10006030993014</v>
      </c>
      <c r="O964" s="27" t="n">
        <f aca="false">MAX(0,NG-MAX(K964,GWL))</f>
        <v>0.8</v>
      </c>
      <c r="P964" s="27" t="n">
        <f aca="false">E964/2+WS+SLOPE_A*O964+SLOPE_B*N964</f>
        <v>11.1001809297904</v>
      </c>
      <c r="Q964" s="28" t="str">
        <f aca="false">IF(AND(P964&lt;J964,N964&lt;=MAXOC),"Open cut","Shoring")</f>
        <v>Shoring</v>
      </c>
      <c r="R964" s="27" t="n">
        <f aca="false">IF(Q964="Shoring",D964,0)</f>
        <v>1.25051781003867</v>
      </c>
      <c r="S964" s="27" t="n">
        <f aca="false">MAX(0,GWL-L964)</f>
        <v>4.04127030993014</v>
      </c>
      <c r="T964" s="27" t="n">
        <f aca="false">MAX(0,NG-MAX(L964,GWL))</f>
        <v>0.8</v>
      </c>
      <c r="U964" s="27" t="n">
        <f aca="false">E964+2*WS</f>
        <v>3.40012061986027</v>
      </c>
      <c r="V964" s="27" t="n">
        <f aca="false">IF(Q964="Shoring",D964*M964*U964,0)</f>
        <v>20.5846523797111</v>
      </c>
      <c r="W964" s="27" t="n">
        <f aca="false">IF(Q964="Open cut",D964*(U964*M964+SLOPE_B*S964^2+2*SLOPE_B*S964*T964+SLOPE_A*T964^2),0)</f>
        <v>0</v>
      </c>
      <c r="X964" s="27" t="n">
        <f aca="false">IF(M964&gt;0,D964*(E964+2*SLABOVH)*SLAB,0)</f>
        <v>1.50069679068816</v>
      </c>
      <c r="Y964" s="27" t="n">
        <f aca="false">IF(M964&gt;0,D964*PI()*E964^2/4,0)</f>
        <v>1.92535432974908</v>
      </c>
      <c r="Z964" s="27" t="n">
        <f aca="false">IF(H964-E964&gt;=GWL,99,E964*(MAX(0,GWL-H964)*(GAM_S-GAM_W)+MAX(0,NG-MAX(H964,GWL))*GAM_D)/(GAM_W*PI()*E964^2/4))</f>
        <v>3.00507461862722</v>
      </c>
      <c r="AA964" s="27" t="n">
        <f aca="false">IF(I964-E964&gt;=GWL,99,E964*(MAX(0,GWL-I964)*(GAM_S-GAM_W)+MAX(0,NG-MAX(I964,GWL))*GAM_D)/(GAM_W*PI()*E964^2/4))</f>
        <v>2.91580719158471</v>
      </c>
      <c r="AB964" s="27" t="n">
        <f aca="false">IF(H964-E964&gt;=GWL,99,E964*(MAX(0,GWL-H964)*(GAM_S-GAM_W)+MAX(0,FL-MAX(H964,GWL))*GAM_D)/(GAM_W*PI()*E964^2/4))</f>
        <v>5.84166800601038</v>
      </c>
      <c r="AC964" s="27" t="n">
        <f aca="false">IF(I964-E964&gt;=GWL,99,E964*(MAX(0,GWL-I964)*(GAM_S-GAM_W)+MAX(0,FL-MAX(I964,GWL))*GAM_D)/(GAM_W*PI()*E964^2/4))</f>
        <v>5.75240057896787</v>
      </c>
    </row>
    <row r="965" customFormat="false" ht="15" hidden="false" customHeight="false" outlineLevel="0" collapsed="false">
      <c r="A965" s="25" t="s">
        <v>1502</v>
      </c>
      <c r="B965" s="25" t="s">
        <v>1559</v>
      </c>
      <c r="C965" s="25" t="s">
        <v>1560</v>
      </c>
      <c r="D965" s="26" t="n">
        <v>6.00000000002508</v>
      </c>
      <c r="E965" s="26" t="n">
        <v>1.39999144861691</v>
      </c>
      <c r="F965" s="26" t="n">
        <v>-5.59999572430846</v>
      </c>
      <c r="G965" s="26" t="n">
        <v>-5.59999572430846</v>
      </c>
      <c r="H965" s="26" t="n">
        <v>-3.70000427569155</v>
      </c>
      <c r="I965" s="26" t="n">
        <v>-3.70000427569155</v>
      </c>
      <c r="J965" s="26" t="n">
        <v>6.28</v>
      </c>
      <c r="K965" s="27" t="n">
        <f aca="false">MIN(F965,G965)</f>
        <v>-5.59999572430846</v>
      </c>
      <c r="L965" s="27" t="n">
        <f aca="false">AVERAGE(F965,G965)</f>
        <v>-5.59999572430846</v>
      </c>
      <c r="M965" s="27" t="n">
        <f aca="false">MAX(0,NG-L965)</f>
        <v>4.89999572430846</v>
      </c>
      <c r="N965" s="27" t="n">
        <f aca="false">MAX(0,GWL-K965)</f>
        <v>4.09999572430846</v>
      </c>
      <c r="O965" s="27" t="n">
        <f aca="false">MAX(0,NG-MAX(K965,GWL))</f>
        <v>0.8</v>
      </c>
      <c r="P965" s="27" t="n">
        <f aca="false">E965/2+WS+SLOPE_A*O965+SLOPE_B*N965</f>
        <v>11.0999871729254</v>
      </c>
      <c r="Q965" s="28" t="str">
        <f aca="false">IF(AND(P965&lt;J965,N965&lt;=MAXOC),"Open cut","Shoring")</f>
        <v>Shoring</v>
      </c>
      <c r="R965" s="27" t="n">
        <f aca="false">IF(Q965="Shoring",D965,0)</f>
        <v>6.00000000002508</v>
      </c>
      <c r="S965" s="27" t="n">
        <f aca="false">MAX(0,GWL-L965)</f>
        <v>4.09999572430846</v>
      </c>
      <c r="T965" s="27" t="n">
        <f aca="false">MAX(0,NG-MAX(L965,GWL))</f>
        <v>0.8</v>
      </c>
      <c r="U965" s="27" t="n">
        <f aca="false">E965+2*WS</f>
        <v>3.39999144861691</v>
      </c>
      <c r="V965" s="27" t="n">
        <f aca="false">IF(Q965="Shoring",D965*M965*U965,0)</f>
        <v>99.9596613658668</v>
      </c>
      <c r="W965" s="27" t="n">
        <f aca="false">IF(Q965="Open cut",D965*(U965*M965+SLOPE_B*S965^2+2*SLOPE_B*S965*T965+SLOPE_A*T965^2),0)</f>
        <v>0</v>
      </c>
      <c r="X965" s="27" t="n">
        <f aca="false">IF(M965&gt;0,D965*(E965+2*SLABOVH)*SLAB,0)</f>
        <v>7.19997434588082</v>
      </c>
      <c r="Y965" s="27" t="n">
        <f aca="false">IF(M965&gt;0,D965*PI()*E965^2/4,0)</f>
        <v>9.23616956909554</v>
      </c>
      <c r="Z965" s="27" t="n">
        <f aca="false">IF(H965-E965&gt;=GWL,99,E965*(MAX(0,GWL-H965)*(GAM_S-GAM_W)+MAX(0,NG-MAX(H965,GWL))*GAM_D)/(GAM_W*PI()*E965^2/4))</f>
        <v>3.00540092236055</v>
      </c>
      <c r="AA965" s="27" t="n">
        <f aca="false">IF(I965-E965&gt;=GWL,99,E965*(MAX(0,GWL-I965)*(GAM_S-GAM_W)+MAX(0,NG-MAX(I965,GWL))*GAM_D)/(GAM_W*PI()*E965^2/4))</f>
        <v>3.00540092236055</v>
      </c>
      <c r="AB965" s="27" t="n">
        <f aca="false">IF(H965-E965&gt;=GWL,99,E965*(MAX(0,GWL-H965)*(GAM_S-GAM_W)+MAX(0,FL-MAX(H965,GWL))*GAM_D)/(GAM_W*PI()*E965^2/4))</f>
        <v>5.84225603012431</v>
      </c>
      <c r="AC965" s="27" t="n">
        <f aca="false">IF(I965-E965&gt;=GWL,99,E965*(MAX(0,GWL-I965)*(GAM_S-GAM_W)+MAX(0,FL-MAX(I965,GWL))*GAM_D)/(GAM_W*PI()*E965^2/4))</f>
        <v>5.84225603012431</v>
      </c>
    </row>
    <row r="966" customFormat="false" ht="15" hidden="false" customHeight="false" outlineLevel="0" collapsed="false">
      <c r="A966" s="25" t="s">
        <v>1502</v>
      </c>
      <c r="B966" s="25" t="s">
        <v>1561</v>
      </c>
      <c r="C966" s="25" t="s">
        <v>1562</v>
      </c>
      <c r="D966" s="26" t="n">
        <v>4.00000000009573</v>
      </c>
      <c r="E966" s="26" t="n">
        <v>1.39999144861691</v>
      </c>
      <c r="F966" s="26" t="n">
        <v>-5.59999572430846</v>
      </c>
      <c r="G966" s="26" t="n">
        <v>-5.59999572430846</v>
      </c>
      <c r="H966" s="26" t="n">
        <v>-3.70000427569155</v>
      </c>
      <c r="I966" s="26" t="n">
        <v>-3.70000427569155</v>
      </c>
      <c r="J966" s="26" t="n">
        <v>6.49</v>
      </c>
      <c r="K966" s="27" t="n">
        <f aca="false">MIN(F966,G966)</f>
        <v>-5.59999572430846</v>
      </c>
      <c r="L966" s="27" t="n">
        <f aca="false">AVERAGE(F966,G966)</f>
        <v>-5.59999572430846</v>
      </c>
      <c r="M966" s="27" t="n">
        <f aca="false">MAX(0,NG-L966)</f>
        <v>4.89999572430846</v>
      </c>
      <c r="N966" s="27" t="n">
        <f aca="false">MAX(0,GWL-K966)</f>
        <v>4.09999572430846</v>
      </c>
      <c r="O966" s="27" t="n">
        <f aca="false">MAX(0,NG-MAX(K966,GWL))</f>
        <v>0.8</v>
      </c>
      <c r="P966" s="27" t="n">
        <f aca="false">E966/2+WS+SLOPE_A*O966+SLOPE_B*N966</f>
        <v>11.0999871729254</v>
      </c>
      <c r="Q966" s="28" t="str">
        <f aca="false">IF(AND(P966&lt;J966,N966&lt;=MAXOC),"Open cut","Shoring")</f>
        <v>Shoring</v>
      </c>
      <c r="R966" s="27" t="n">
        <f aca="false">IF(Q966="Shoring",D966,0)</f>
        <v>4.00000000009573</v>
      </c>
      <c r="S966" s="27" t="n">
        <f aca="false">MAX(0,GWL-L966)</f>
        <v>4.09999572430846</v>
      </c>
      <c r="T966" s="27" t="n">
        <f aca="false">MAX(0,NG-MAX(L966,GWL))</f>
        <v>0.8</v>
      </c>
      <c r="U966" s="27" t="n">
        <f aca="false">E966+2*WS</f>
        <v>3.39999144861691</v>
      </c>
      <c r="V966" s="27" t="n">
        <f aca="false">IF(Q966="Shoring",D966*M966*U966,0)</f>
        <v>66.6397742452275</v>
      </c>
      <c r="W966" s="27" t="n">
        <f aca="false">IF(Q966="Open cut",D966*(U966*M966+SLOPE_B*S966^2+2*SLOPE_B*S966*T966+SLOPE_A*T966^2),0)</f>
        <v>0</v>
      </c>
      <c r="X966" s="27" t="n">
        <f aca="false">IF(M966&gt;0,D966*(E966+2*SLABOVH)*SLAB,0)</f>
        <v>4.7999828973487</v>
      </c>
      <c r="Y966" s="27" t="n">
        <f aca="false">IF(M966&gt;0,D966*PI()*E966^2/4,0)</f>
        <v>6.15744637951866</v>
      </c>
      <c r="Z966" s="27" t="n">
        <f aca="false">IF(H966-E966&gt;=GWL,99,E966*(MAX(0,GWL-H966)*(GAM_S-GAM_W)+MAX(0,NG-MAX(H966,GWL))*GAM_D)/(GAM_W*PI()*E966^2/4))</f>
        <v>3.00540092236055</v>
      </c>
      <c r="AA966" s="27" t="n">
        <f aca="false">IF(I966-E966&gt;=GWL,99,E966*(MAX(0,GWL-I966)*(GAM_S-GAM_W)+MAX(0,NG-MAX(I966,GWL))*GAM_D)/(GAM_W*PI()*E966^2/4))</f>
        <v>3.00540092236055</v>
      </c>
      <c r="AB966" s="27" t="n">
        <f aca="false">IF(H966-E966&gt;=GWL,99,E966*(MAX(0,GWL-H966)*(GAM_S-GAM_W)+MAX(0,FL-MAX(H966,GWL))*GAM_D)/(GAM_W*PI()*E966^2/4))</f>
        <v>5.84225603012431</v>
      </c>
      <c r="AC966" s="27" t="n">
        <f aca="false">IF(I966-E966&gt;=GWL,99,E966*(MAX(0,GWL-I966)*(GAM_S-GAM_W)+MAX(0,FL-MAX(I966,GWL))*GAM_D)/(GAM_W*PI()*E966^2/4))</f>
        <v>5.84225603012431</v>
      </c>
    </row>
    <row r="967" customFormat="false" ht="15" hidden="false" customHeight="false" outlineLevel="0" collapsed="false">
      <c r="A967" s="25" t="s">
        <v>1502</v>
      </c>
      <c r="B967" s="25" t="s">
        <v>1561</v>
      </c>
      <c r="C967" s="25" t="s">
        <v>1563</v>
      </c>
      <c r="D967" s="26" t="n">
        <v>1.2636800001564</v>
      </c>
      <c r="E967" s="26" t="n">
        <v>1.39999144861691</v>
      </c>
      <c r="F967" s="26" t="n">
        <v>-5.59999572430846</v>
      </c>
      <c r="G967" s="26" t="n">
        <v>-5.59999572430846</v>
      </c>
      <c r="H967" s="26" t="n">
        <v>-3.70000427569155</v>
      </c>
      <c r="I967" s="26" t="n">
        <v>-3.70000427569155</v>
      </c>
      <c r="J967" s="26" t="n">
        <v>7.13</v>
      </c>
      <c r="K967" s="27" t="n">
        <f aca="false">MIN(F967,G967)</f>
        <v>-5.59999572430846</v>
      </c>
      <c r="L967" s="27" t="n">
        <f aca="false">AVERAGE(F967,G967)</f>
        <v>-5.59999572430846</v>
      </c>
      <c r="M967" s="27" t="n">
        <f aca="false">MAX(0,NG-L967)</f>
        <v>4.89999572430846</v>
      </c>
      <c r="N967" s="27" t="n">
        <f aca="false">MAX(0,GWL-K967)</f>
        <v>4.09999572430846</v>
      </c>
      <c r="O967" s="27" t="n">
        <f aca="false">MAX(0,NG-MAX(K967,GWL))</f>
        <v>0.8</v>
      </c>
      <c r="P967" s="27" t="n">
        <f aca="false">E967/2+WS+SLOPE_A*O967+SLOPE_B*N967</f>
        <v>11.0999871729254</v>
      </c>
      <c r="Q967" s="28" t="str">
        <f aca="false">IF(AND(P967&lt;J967,N967&lt;=MAXOC),"Open cut","Shoring")</f>
        <v>Shoring</v>
      </c>
      <c r="R967" s="27" t="n">
        <f aca="false">IF(Q967="Shoring",D967,0)</f>
        <v>1.2636800001564</v>
      </c>
      <c r="S967" s="27" t="n">
        <f aca="false">MAX(0,GWL-L967)</f>
        <v>4.09999572430846</v>
      </c>
      <c r="T967" s="27" t="n">
        <f aca="false">MAX(0,NG-MAX(L967,GWL))</f>
        <v>0.8</v>
      </c>
      <c r="U967" s="27" t="n">
        <f aca="false">E967+2*WS</f>
        <v>3.39999144861691</v>
      </c>
      <c r="V967" s="27" t="n">
        <f aca="false">IF(Q967="Shoring",D967*M967*U967,0)</f>
        <v>21.0528374816541</v>
      </c>
      <c r="W967" s="27" t="n">
        <f aca="false">IF(Q967="Open cut",D967*(U967*M967+SLOPE_B*S967^2+2*SLOPE_B*S967*T967+SLOPE_A*T967^2),0)</f>
        <v>0</v>
      </c>
      <c r="X967" s="27" t="n">
        <f aca="false">IF(M967&gt;0,D967*(E967+2*SLABOVH)*SLAB,0)</f>
        <v>1.51641059708179</v>
      </c>
      <c r="Y967" s="27" t="n">
        <f aca="false">IF(M967&gt;0,D967*PI()*E967^2/4,0)</f>
        <v>1.94526046041174</v>
      </c>
      <c r="Z967" s="27" t="n">
        <f aca="false">IF(H967-E967&gt;=GWL,99,E967*(MAX(0,GWL-H967)*(GAM_S-GAM_W)+MAX(0,NG-MAX(H967,GWL))*GAM_D)/(GAM_W*PI()*E967^2/4))</f>
        <v>3.00540092236055</v>
      </c>
      <c r="AA967" s="27" t="n">
        <f aca="false">IF(I967-E967&gt;=GWL,99,E967*(MAX(0,GWL-I967)*(GAM_S-GAM_W)+MAX(0,NG-MAX(I967,GWL))*GAM_D)/(GAM_W*PI()*E967^2/4))</f>
        <v>3.00540092236055</v>
      </c>
      <c r="AB967" s="27" t="n">
        <f aca="false">IF(H967-E967&gt;=GWL,99,E967*(MAX(0,GWL-H967)*(GAM_S-GAM_W)+MAX(0,FL-MAX(H967,GWL))*GAM_D)/(GAM_W*PI()*E967^2/4))</f>
        <v>5.84225603012431</v>
      </c>
      <c r="AC967" s="27" t="n">
        <f aca="false">IF(I967-E967&gt;=GWL,99,E967*(MAX(0,GWL-I967)*(GAM_S-GAM_W)+MAX(0,FL-MAX(I967,GWL))*GAM_D)/(GAM_W*PI()*E967^2/4))</f>
        <v>5.84225603012431</v>
      </c>
    </row>
    <row r="968" customFormat="false" ht="15" hidden="false" customHeight="false" outlineLevel="0" collapsed="false">
      <c r="A968" s="25" t="s">
        <v>1502</v>
      </c>
      <c r="B968" s="25" t="s">
        <v>1564</v>
      </c>
      <c r="C968" s="25" t="s">
        <v>1565</v>
      </c>
      <c r="D968" s="26" t="n">
        <v>10.000000000293</v>
      </c>
      <c r="E968" s="26" t="n">
        <v>0.999998411198069</v>
      </c>
      <c r="F968" s="26" t="n">
        <v>-4.09999920559904</v>
      </c>
      <c r="G968" s="26" t="n">
        <v>-4.09999920559904</v>
      </c>
      <c r="H968" s="26" t="n">
        <v>-2.60000079440097</v>
      </c>
      <c r="I968" s="26" t="n">
        <v>-2.60000079440097</v>
      </c>
      <c r="J968" s="26" t="n">
        <v>31.05</v>
      </c>
      <c r="K968" s="27" t="n">
        <f aca="false">MIN(F968,G968)</f>
        <v>-4.09999920559904</v>
      </c>
      <c r="L968" s="27" t="n">
        <f aca="false">AVERAGE(F968,G968)</f>
        <v>-4.09999920559904</v>
      </c>
      <c r="M968" s="27" t="n">
        <f aca="false">MAX(0,NG-L968)</f>
        <v>3.39999920559904</v>
      </c>
      <c r="N968" s="27" t="n">
        <f aca="false">MAX(0,GWL-K968)</f>
        <v>2.59999920559904</v>
      </c>
      <c r="O968" s="27" t="n">
        <f aca="false">MAX(0,NG-MAX(K968,GWL))</f>
        <v>0.8</v>
      </c>
      <c r="P968" s="27" t="n">
        <f aca="false">E968/2+WS+SLOPE_A*O968+SLOPE_B*N968</f>
        <v>7.89999761679711</v>
      </c>
      <c r="Q968" s="28" t="str">
        <f aca="false">IF(AND(P968&lt;J968,N968&lt;=MAXOC),"Open cut","Shoring")</f>
        <v>Shoring</v>
      </c>
      <c r="R968" s="27" t="n">
        <f aca="false">IF(Q968="Shoring",D968,0)</f>
        <v>10.000000000293</v>
      </c>
      <c r="S968" s="27" t="n">
        <f aca="false">MAX(0,GWL-L968)</f>
        <v>2.59999920559904</v>
      </c>
      <c r="T968" s="27" t="n">
        <f aca="false">MAX(0,NG-MAX(L968,GWL))</f>
        <v>0.8</v>
      </c>
      <c r="U968" s="27" t="n">
        <f aca="false">E968+2*WS</f>
        <v>2.99999841119807</v>
      </c>
      <c r="V968" s="27" t="n">
        <f aca="false">IF(Q968="Shoring",D968*M968*U968,0)</f>
        <v>101.999922151706</v>
      </c>
      <c r="W968" s="27" t="n">
        <f aca="false">IF(Q968="Open cut",D968*(U968*M968+SLOPE_B*S968^2+2*SLOPE_B*S968*T968+SLOPE_A*T968^2),0)</f>
        <v>0</v>
      </c>
      <c r="X968" s="27" t="n">
        <f aca="false">IF(M968&gt;0,D968*(E968+2*SLABOVH)*SLAB,0)</f>
        <v>9.9999920562833</v>
      </c>
      <c r="Y968" s="27" t="n">
        <f aca="false">IF(M968&gt;0,D968*PI()*E968^2/4,0)</f>
        <v>7.85395667738202</v>
      </c>
      <c r="Z968" s="27" t="n">
        <f aca="false">IF(H968-E968&gt;=GWL,99,E968*(MAX(0,GWL-H968)*(GAM_S-GAM_W)+MAX(0,NG-MAX(H968,GWL))*GAM_D)/(GAM_W*PI()*E968^2/4))</f>
        <v>3.0382589338772</v>
      </c>
      <c r="AA968" s="27" t="n">
        <f aca="false">IF(I968-E968&gt;=GWL,99,E968*(MAX(0,GWL-I968)*(GAM_S-GAM_W)+MAX(0,NG-MAX(I968,GWL))*GAM_D)/(GAM_W*PI()*E968^2/4))</f>
        <v>3.0382589338772</v>
      </c>
      <c r="AB968" s="27" t="n">
        <f aca="false">IF(H968-E968&gt;=GWL,99,E968*(MAX(0,GWL-H968)*(GAM_S-GAM_W)+MAX(0,FL-MAX(H968,GWL))*GAM_D)/(GAM_W*PI()*E968^2/4))</f>
        <v>7.00983813576436</v>
      </c>
      <c r="AC968" s="27" t="n">
        <f aca="false">IF(I968-E968&gt;=GWL,99,E968*(MAX(0,GWL-I968)*(GAM_S-GAM_W)+MAX(0,FL-MAX(I968,GWL))*GAM_D)/(GAM_W*PI()*E968^2/4))</f>
        <v>7.00983813576436</v>
      </c>
    </row>
    <row r="969" customFormat="false" ht="15" hidden="false" customHeight="false" outlineLevel="0" collapsed="false">
      <c r="A969" s="25" t="s">
        <v>1502</v>
      </c>
      <c r="B969" s="25" t="s">
        <v>1564</v>
      </c>
      <c r="C969" s="25" t="s">
        <v>1566</v>
      </c>
      <c r="D969" s="26" t="n">
        <v>9.99999999989343</v>
      </c>
      <c r="E969" s="26" t="n">
        <v>0.999998411198069</v>
      </c>
      <c r="F969" s="26" t="n">
        <v>-4.09999920559904</v>
      </c>
      <c r="G969" s="26" t="n">
        <v>-4.09999920559904</v>
      </c>
      <c r="H969" s="26" t="n">
        <v>-2.60000079440097</v>
      </c>
      <c r="I969" s="26" t="n">
        <v>-2.60000079440097</v>
      </c>
      <c r="J969" s="26" t="n">
        <v>21.06</v>
      </c>
      <c r="K969" s="27" t="n">
        <f aca="false">MIN(F969,G969)</f>
        <v>-4.09999920559904</v>
      </c>
      <c r="L969" s="27" t="n">
        <f aca="false">AVERAGE(F969,G969)</f>
        <v>-4.09999920559904</v>
      </c>
      <c r="M969" s="27" t="n">
        <f aca="false">MAX(0,NG-L969)</f>
        <v>3.39999920559904</v>
      </c>
      <c r="N969" s="27" t="n">
        <f aca="false">MAX(0,GWL-K969)</f>
        <v>2.59999920559904</v>
      </c>
      <c r="O969" s="27" t="n">
        <f aca="false">MAX(0,NG-MAX(K969,GWL))</f>
        <v>0.8</v>
      </c>
      <c r="P969" s="27" t="n">
        <f aca="false">E969/2+WS+SLOPE_A*O969+SLOPE_B*N969</f>
        <v>7.89999761679711</v>
      </c>
      <c r="Q969" s="28" t="str">
        <f aca="false">IF(AND(P969&lt;J969,N969&lt;=MAXOC),"Open cut","Shoring")</f>
        <v>Shoring</v>
      </c>
      <c r="R969" s="27" t="n">
        <f aca="false">IF(Q969="Shoring",D969,0)</f>
        <v>9.99999999989343</v>
      </c>
      <c r="S969" s="27" t="n">
        <f aca="false">MAX(0,GWL-L969)</f>
        <v>2.59999920559904</v>
      </c>
      <c r="T969" s="27" t="n">
        <f aca="false">MAX(0,NG-MAX(L969,GWL))</f>
        <v>0.8</v>
      </c>
      <c r="U969" s="27" t="n">
        <f aca="false">E969+2*WS</f>
        <v>2.99999841119807</v>
      </c>
      <c r="V969" s="27" t="n">
        <f aca="false">IF(Q969="Shoring",D969*M969*U969,0)</f>
        <v>101.999922147631</v>
      </c>
      <c r="W969" s="27" t="n">
        <f aca="false">IF(Q969="Open cut",D969*(U969*M969+SLOPE_B*S969^2+2*SLOPE_B*S969*T969+SLOPE_A*T969^2),0)</f>
        <v>0</v>
      </c>
      <c r="X969" s="27" t="n">
        <f aca="false">IF(M969&gt;0,D969*(E969+2*SLABOVH)*SLAB,0)</f>
        <v>9.99999205588377</v>
      </c>
      <c r="Y969" s="27" t="n">
        <f aca="false">IF(M969&gt;0,D969*PI()*E969^2/4,0)</f>
        <v>7.85395667706824</v>
      </c>
      <c r="Z969" s="27" t="n">
        <f aca="false">IF(H969-E969&gt;=GWL,99,E969*(MAX(0,GWL-H969)*(GAM_S-GAM_W)+MAX(0,NG-MAX(H969,GWL))*GAM_D)/(GAM_W*PI()*E969^2/4))</f>
        <v>3.0382589338772</v>
      </c>
      <c r="AA969" s="27" t="n">
        <f aca="false">IF(I969-E969&gt;=GWL,99,E969*(MAX(0,GWL-I969)*(GAM_S-GAM_W)+MAX(0,NG-MAX(I969,GWL))*GAM_D)/(GAM_W*PI()*E969^2/4))</f>
        <v>3.0382589338772</v>
      </c>
      <c r="AB969" s="27" t="n">
        <f aca="false">IF(H969-E969&gt;=GWL,99,E969*(MAX(0,GWL-H969)*(GAM_S-GAM_W)+MAX(0,FL-MAX(H969,GWL))*GAM_D)/(GAM_W*PI()*E969^2/4))</f>
        <v>7.00983813576436</v>
      </c>
      <c r="AC969" s="27" t="n">
        <f aca="false">IF(I969-E969&gt;=GWL,99,E969*(MAX(0,GWL-I969)*(GAM_S-GAM_W)+MAX(0,FL-MAX(I969,GWL))*GAM_D)/(GAM_W*PI()*E969^2/4))</f>
        <v>7.00983813576436</v>
      </c>
    </row>
    <row r="970" customFormat="false" ht="15" hidden="false" customHeight="false" outlineLevel="0" collapsed="false">
      <c r="A970" s="25" t="s">
        <v>1502</v>
      </c>
      <c r="B970" s="25" t="s">
        <v>1564</v>
      </c>
      <c r="C970" s="25" t="s">
        <v>1567</v>
      </c>
      <c r="D970" s="26" t="n">
        <v>9.61704999973405</v>
      </c>
      <c r="E970" s="26" t="n">
        <v>0.999998411198069</v>
      </c>
      <c r="F970" s="26" t="n">
        <v>-4.09999920559904</v>
      </c>
      <c r="G970" s="26" t="n">
        <v>-4.09999920559904</v>
      </c>
      <c r="H970" s="26" t="n">
        <v>-2.60000079440097</v>
      </c>
      <c r="I970" s="26" t="n">
        <v>-2.60000079440097</v>
      </c>
      <c r="J970" s="26" t="n">
        <v>11.45</v>
      </c>
      <c r="K970" s="27" t="n">
        <f aca="false">MIN(F970,G970)</f>
        <v>-4.09999920559904</v>
      </c>
      <c r="L970" s="27" t="n">
        <f aca="false">AVERAGE(F970,G970)</f>
        <v>-4.09999920559904</v>
      </c>
      <c r="M970" s="27" t="n">
        <f aca="false">MAX(0,NG-L970)</f>
        <v>3.39999920559904</v>
      </c>
      <c r="N970" s="27" t="n">
        <f aca="false">MAX(0,GWL-K970)</f>
        <v>2.59999920559904</v>
      </c>
      <c r="O970" s="27" t="n">
        <f aca="false">MAX(0,NG-MAX(K970,GWL))</f>
        <v>0.8</v>
      </c>
      <c r="P970" s="27" t="n">
        <f aca="false">E970/2+WS+SLOPE_A*O970+SLOPE_B*N970</f>
        <v>7.89999761679711</v>
      </c>
      <c r="Q970" s="28" t="str">
        <f aca="false">IF(AND(P970&lt;J970,N970&lt;=MAXOC),"Open cut","Shoring")</f>
        <v>Shoring</v>
      </c>
      <c r="R970" s="27" t="n">
        <f aca="false">IF(Q970="Shoring",D970,0)</f>
        <v>9.61704999973405</v>
      </c>
      <c r="S970" s="27" t="n">
        <f aca="false">MAX(0,GWL-L970)</f>
        <v>2.59999920559904</v>
      </c>
      <c r="T970" s="27" t="n">
        <f aca="false">MAX(0,NG-MAX(L970,GWL))</f>
        <v>0.8</v>
      </c>
      <c r="U970" s="27" t="n">
        <f aca="false">E970+2*WS</f>
        <v>2.99999841119807</v>
      </c>
      <c r="V970" s="27" t="n">
        <f aca="false">IF(Q970="Shoring",D970*M970*U970,0)</f>
        <v>98.0938351273202</v>
      </c>
      <c r="W970" s="27" t="n">
        <f aca="false">IF(Q970="Open cut",D970*(U970*M970+SLOPE_B*S970^2+2*SLOPE_B*S970*T970+SLOPE_A*T970^2),0)</f>
        <v>0</v>
      </c>
      <c r="X970" s="27" t="n">
        <f aca="false">IF(M970&gt;0,D970*(E970+2*SLABOVH)*SLAB,0)</f>
        <v>9.61704235994024</v>
      </c>
      <c r="Y970" s="27" t="n">
        <f aca="false">IF(M970&gt;0,D970*PI()*E970^2/4,0)</f>
        <v>7.55318940599153</v>
      </c>
      <c r="Z970" s="27" t="n">
        <f aca="false">IF(H970-E970&gt;=GWL,99,E970*(MAX(0,GWL-H970)*(GAM_S-GAM_W)+MAX(0,NG-MAX(H970,GWL))*GAM_D)/(GAM_W*PI()*E970^2/4))</f>
        <v>3.0382589338772</v>
      </c>
      <c r="AA970" s="27" t="n">
        <f aca="false">IF(I970-E970&gt;=GWL,99,E970*(MAX(0,GWL-I970)*(GAM_S-GAM_W)+MAX(0,NG-MAX(I970,GWL))*GAM_D)/(GAM_W*PI()*E970^2/4))</f>
        <v>3.0382589338772</v>
      </c>
      <c r="AB970" s="27" t="n">
        <f aca="false">IF(H970-E970&gt;=GWL,99,E970*(MAX(0,GWL-H970)*(GAM_S-GAM_W)+MAX(0,FL-MAX(H970,GWL))*GAM_D)/(GAM_W*PI()*E970^2/4))</f>
        <v>7.00983813576436</v>
      </c>
      <c r="AC970" s="27" t="n">
        <f aca="false">IF(I970-E970&gt;=GWL,99,E970*(MAX(0,GWL-I970)*(GAM_S-GAM_W)+MAX(0,FL-MAX(I970,GWL))*GAM_D)/(GAM_W*PI()*E970^2/4))</f>
        <v>7.00983813576436</v>
      </c>
    </row>
    <row r="971" customFormat="false" ht="15" hidden="false" customHeight="false" outlineLevel="0" collapsed="false">
      <c r="A971" s="25" t="s">
        <v>1502</v>
      </c>
      <c r="B971" s="25" t="s">
        <v>1564</v>
      </c>
      <c r="C971" s="25" t="s">
        <v>1568</v>
      </c>
      <c r="D971" s="26" t="n">
        <v>0.370295799982262</v>
      </c>
      <c r="E971" s="26" t="n">
        <v>0.999998411198069</v>
      </c>
      <c r="F971" s="26" t="n">
        <v>-4.09999920559904</v>
      </c>
      <c r="G971" s="26" t="n">
        <v>-4.09999920559904</v>
      </c>
      <c r="H971" s="26" t="n">
        <v>-2.60000079440097</v>
      </c>
      <c r="I971" s="26" t="n">
        <v>-2.60000079440097</v>
      </c>
      <c r="J971" s="26" t="n">
        <v>11.08</v>
      </c>
      <c r="K971" s="27" t="n">
        <f aca="false">MIN(F971,G971)</f>
        <v>-4.09999920559904</v>
      </c>
      <c r="L971" s="27" t="n">
        <f aca="false">AVERAGE(F971,G971)</f>
        <v>-4.09999920559904</v>
      </c>
      <c r="M971" s="27" t="n">
        <f aca="false">MAX(0,NG-L971)</f>
        <v>3.39999920559904</v>
      </c>
      <c r="N971" s="27" t="n">
        <f aca="false">MAX(0,GWL-K971)</f>
        <v>2.59999920559904</v>
      </c>
      <c r="O971" s="27" t="n">
        <f aca="false">MAX(0,NG-MAX(K971,GWL))</f>
        <v>0.8</v>
      </c>
      <c r="P971" s="27" t="n">
        <f aca="false">E971/2+WS+SLOPE_A*O971+SLOPE_B*N971</f>
        <v>7.89999761679711</v>
      </c>
      <c r="Q971" s="28" t="str">
        <f aca="false">IF(AND(P971&lt;J971,N971&lt;=MAXOC),"Open cut","Shoring")</f>
        <v>Shoring</v>
      </c>
      <c r="R971" s="27" t="n">
        <f aca="false">IF(Q971="Shoring",D971,0)</f>
        <v>0.370295799982262</v>
      </c>
      <c r="S971" s="27" t="n">
        <f aca="false">MAX(0,GWL-L971)</f>
        <v>2.59999920559904</v>
      </c>
      <c r="T971" s="27" t="n">
        <f aca="false">MAX(0,NG-MAX(L971,GWL))</f>
        <v>0.8</v>
      </c>
      <c r="U971" s="27" t="n">
        <f aca="false">E971+2*WS</f>
        <v>2.99999841119807</v>
      </c>
      <c r="V971" s="27" t="n">
        <f aca="false">IF(Q971="Shoring",D971*M971*U971,0)</f>
        <v>3.7770142770188</v>
      </c>
      <c r="W971" s="27" t="n">
        <f aca="false">IF(Q971="Open cut",D971*(U971*M971+SLOPE_B*S971^2+2*SLOPE_B*S971*T971+SLOPE_A*T971^2),0)</f>
        <v>0</v>
      </c>
      <c r="X971" s="27" t="n">
        <f aca="false">IF(M971&gt;0,D971*(E971+2*SLABOVH)*SLAB,0)</f>
        <v>0.370295505818921</v>
      </c>
      <c r="Y971" s="27" t="n">
        <f aca="false">IF(M971&gt;0,D971*PI()*E971^2/4,0)</f>
        <v>0.290828717079201</v>
      </c>
      <c r="Z971" s="27" t="n">
        <f aca="false">IF(H971-E971&gt;=GWL,99,E971*(MAX(0,GWL-H971)*(GAM_S-GAM_W)+MAX(0,NG-MAX(H971,GWL))*GAM_D)/(GAM_W*PI()*E971^2/4))</f>
        <v>3.0382589338772</v>
      </c>
      <c r="AA971" s="27" t="n">
        <f aca="false">IF(I971-E971&gt;=GWL,99,E971*(MAX(0,GWL-I971)*(GAM_S-GAM_W)+MAX(0,NG-MAX(I971,GWL))*GAM_D)/(GAM_W*PI()*E971^2/4))</f>
        <v>3.0382589338772</v>
      </c>
      <c r="AB971" s="27" t="n">
        <f aca="false">IF(H971-E971&gt;=GWL,99,E971*(MAX(0,GWL-H971)*(GAM_S-GAM_W)+MAX(0,FL-MAX(H971,GWL))*GAM_D)/(GAM_W*PI()*E971^2/4))</f>
        <v>7.00983813576436</v>
      </c>
      <c r="AC971" s="27" t="n">
        <f aca="false">IF(I971-E971&gt;=GWL,99,E971*(MAX(0,GWL-I971)*(GAM_S-GAM_W)+MAX(0,FL-MAX(I971,GWL))*GAM_D)/(GAM_W*PI()*E971^2/4))</f>
        <v>7.00983813576436</v>
      </c>
    </row>
    <row r="972" customFormat="false" ht="15" hidden="false" customHeight="false" outlineLevel="0" collapsed="false">
      <c r="A972" s="25" t="s">
        <v>1502</v>
      </c>
      <c r="B972" s="25" t="s">
        <v>1564</v>
      </c>
      <c r="C972" s="25" t="s">
        <v>1569</v>
      </c>
      <c r="D972" s="26" t="n">
        <v>0.379200477403181</v>
      </c>
      <c r="E972" s="26" t="n">
        <v>0.999991253792535</v>
      </c>
      <c r="F972" s="26" t="n">
        <v>-4.09999562689627</v>
      </c>
      <c r="G972" s="26" t="n">
        <v>-4.09999562689627</v>
      </c>
      <c r="H972" s="26" t="n">
        <v>-2.60000437310373</v>
      </c>
      <c r="I972" s="26" t="n">
        <v>-2.60000437310373</v>
      </c>
      <c r="J972" s="26" t="n">
        <v>10.8</v>
      </c>
      <c r="K972" s="27" t="n">
        <f aca="false">MIN(F972,G972)</f>
        <v>-4.09999562689627</v>
      </c>
      <c r="L972" s="27" t="n">
        <f aca="false">AVERAGE(F972,G972)</f>
        <v>-4.09999562689627</v>
      </c>
      <c r="M972" s="27" t="n">
        <f aca="false">MAX(0,NG-L972)</f>
        <v>3.39999562689627</v>
      </c>
      <c r="N972" s="27" t="n">
        <f aca="false">MAX(0,GWL-K972)</f>
        <v>2.59999562689627</v>
      </c>
      <c r="O972" s="27" t="n">
        <f aca="false">MAX(0,NG-MAX(K972,GWL))</f>
        <v>0.8</v>
      </c>
      <c r="P972" s="27" t="n">
        <f aca="false">E972/2+WS+SLOPE_A*O972+SLOPE_B*N972</f>
        <v>7.8999868806888</v>
      </c>
      <c r="Q972" s="28" t="str">
        <f aca="false">IF(AND(P972&lt;J972,N972&lt;=MAXOC),"Open cut","Shoring")</f>
        <v>Shoring</v>
      </c>
      <c r="R972" s="27" t="n">
        <f aca="false">IF(Q972="Shoring",D972,0)</f>
        <v>0.379200477403181</v>
      </c>
      <c r="S972" s="27" t="n">
        <f aca="false">MAX(0,GWL-L972)</f>
        <v>2.59999562689627</v>
      </c>
      <c r="T972" s="27" t="n">
        <f aca="false">MAX(0,NG-MAX(L972,GWL))</f>
        <v>0.8</v>
      </c>
      <c r="U972" s="27" t="n">
        <f aca="false">E972+2*WS</f>
        <v>2.99999125379254</v>
      </c>
      <c r="V972" s="27" t="n">
        <f aca="false">IF(Q972="Shoring",D972*M972*U972,0)</f>
        <v>3.86782861835332</v>
      </c>
      <c r="W972" s="27" t="n">
        <f aca="false">IF(Q972="Open cut",D972*(U972*M972+SLOPE_B*S972^2+2*SLOPE_B*S972*T972+SLOPE_A*T972^2),0)</f>
        <v>0</v>
      </c>
      <c r="X972" s="27" t="n">
        <f aca="false">IF(M972&gt;0,D972*(E972+2*SLABOVH)*SLAB,0)</f>
        <v>0.379198819120158</v>
      </c>
      <c r="Y972" s="27" t="n">
        <f aca="false">IF(M972&gt;0,D972*PI()*E972^2/4,0)</f>
        <v>0.297818148884913</v>
      </c>
      <c r="Z972" s="27" t="n">
        <f aca="false">IF(H972-E972&gt;=GWL,99,E972*(MAX(0,GWL-H972)*(GAM_S-GAM_W)+MAX(0,NG-MAX(H972,GWL))*GAM_D)/(GAM_W*PI()*E972^2/4))</f>
        <v>3.03828448424074</v>
      </c>
      <c r="AA972" s="27" t="n">
        <f aca="false">IF(I972-E972&gt;=GWL,99,E972*(MAX(0,GWL-I972)*(GAM_S-GAM_W)+MAX(0,NG-MAX(I972,GWL))*GAM_D)/(GAM_W*PI()*E972^2/4))</f>
        <v>3.03828448424074</v>
      </c>
      <c r="AB972" s="27" t="n">
        <f aca="false">IF(H972-E972&gt;=GWL,99,E972*(MAX(0,GWL-H972)*(GAM_S-GAM_W)+MAX(0,FL-MAX(H972,GWL))*GAM_D)/(GAM_W*PI()*E972^2/4))</f>
        <v>7.00989211257948</v>
      </c>
      <c r="AC972" s="27" t="n">
        <f aca="false">IF(I972-E972&gt;=GWL,99,E972*(MAX(0,GWL-I972)*(GAM_S-GAM_W)+MAX(0,FL-MAX(I972,GWL))*GAM_D)/(GAM_W*PI()*E972^2/4))</f>
        <v>7.00989211257948</v>
      </c>
    </row>
    <row r="973" customFormat="false" ht="15" hidden="false" customHeight="false" outlineLevel="0" collapsed="false">
      <c r="A973" s="25" t="s">
        <v>1502</v>
      </c>
      <c r="B973" s="25" t="s">
        <v>1570</v>
      </c>
      <c r="C973" s="25" t="s">
        <v>1571</v>
      </c>
      <c r="D973" s="26" t="n">
        <v>1.01211965452099</v>
      </c>
      <c r="E973" s="26" t="n">
        <v>0.999991253792535</v>
      </c>
      <c r="F973" s="26" t="n">
        <v>-4.09999562689627</v>
      </c>
      <c r="G973" s="26" t="n">
        <v>-4.09999562689627</v>
      </c>
      <c r="H973" s="26" t="n">
        <v>-2.60000437310373</v>
      </c>
      <c r="I973" s="26" t="n">
        <v>-2.60000437310373</v>
      </c>
      <c r="J973" s="26" t="n">
        <v>1.2</v>
      </c>
      <c r="K973" s="27" t="n">
        <f aca="false">MIN(F973,G973)</f>
        <v>-4.09999562689627</v>
      </c>
      <c r="L973" s="27" t="n">
        <f aca="false">AVERAGE(F973,G973)</f>
        <v>-4.09999562689627</v>
      </c>
      <c r="M973" s="27" t="n">
        <f aca="false">MAX(0,NG-L973)</f>
        <v>3.39999562689627</v>
      </c>
      <c r="N973" s="27" t="n">
        <f aca="false">MAX(0,GWL-K973)</f>
        <v>2.59999562689627</v>
      </c>
      <c r="O973" s="27" t="n">
        <f aca="false">MAX(0,NG-MAX(K973,GWL))</f>
        <v>0.8</v>
      </c>
      <c r="P973" s="27" t="n">
        <f aca="false">E973/2+WS+SLOPE_A*O973+SLOPE_B*N973</f>
        <v>7.8999868806888</v>
      </c>
      <c r="Q973" s="28" t="str">
        <f aca="false">IF(AND(P973&lt;J973,N973&lt;=MAXOC),"Open cut","Shoring")</f>
        <v>Shoring</v>
      </c>
      <c r="R973" s="27" t="n">
        <f aca="false">IF(Q973="Shoring",D973,0)</f>
        <v>1.01211965452099</v>
      </c>
      <c r="S973" s="27" t="n">
        <f aca="false">MAX(0,GWL-L973)</f>
        <v>2.59999562689627</v>
      </c>
      <c r="T973" s="27" t="n">
        <f aca="false">MAX(0,NG-MAX(L973,GWL))</f>
        <v>0.8</v>
      </c>
      <c r="U973" s="27" t="n">
        <f aca="false">E973+2*WS</f>
        <v>2.99999125379254</v>
      </c>
      <c r="V973" s="27" t="n">
        <f aca="false">IF(Q973="Shoring",D973*M973*U973,0)</f>
        <v>10.3235771003313</v>
      </c>
      <c r="W973" s="27" t="n">
        <f aca="false">IF(Q973="Open cut",D973*(U973*M973+SLOPE_B*S973^2+2*SLOPE_B*S973*T973+SLOPE_A*T973^2),0)</f>
        <v>0</v>
      </c>
      <c r="X973" s="27" t="n">
        <f aca="false">IF(M973&gt;0,D973*(E973+2*SLABOVH)*SLAB,0)</f>
        <v>1.01211522841675</v>
      </c>
      <c r="Y973" s="27" t="n">
        <f aca="false">IF(M973&gt;0,D973*PI()*E973^2/4,0)</f>
        <v>0.794903012843493</v>
      </c>
      <c r="Z973" s="27" t="n">
        <f aca="false">IF(H973-E973&gt;=GWL,99,E973*(MAX(0,GWL-H973)*(GAM_S-GAM_W)+MAX(0,NG-MAX(H973,GWL))*GAM_D)/(GAM_W*PI()*E973^2/4))</f>
        <v>3.03828448424074</v>
      </c>
      <c r="AA973" s="27" t="n">
        <f aca="false">IF(I973-E973&gt;=GWL,99,E973*(MAX(0,GWL-I973)*(GAM_S-GAM_W)+MAX(0,NG-MAX(I973,GWL))*GAM_D)/(GAM_W*PI()*E973^2/4))</f>
        <v>3.03828448424074</v>
      </c>
      <c r="AB973" s="27" t="n">
        <f aca="false">IF(H973-E973&gt;=GWL,99,E973*(MAX(0,GWL-H973)*(GAM_S-GAM_W)+MAX(0,FL-MAX(H973,GWL))*GAM_D)/(GAM_W*PI()*E973^2/4))</f>
        <v>7.00989211257948</v>
      </c>
      <c r="AC973" s="27" t="n">
        <f aca="false">IF(I973-E973&gt;=GWL,99,E973*(MAX(0,GWL-I973)*(GAM_S-GAM_W)+MAX(0,FL-MAX(I973,GWL))*GAM_D)/(GAM_W*PI()*E973^2/4))</f>
        <v>7.00989211257948</v>
      </c>
    </row>
    <row r="974" customFormat="false" ht="15" hidden="false" customHeight="false" outlineLevel="0" collapsed="false">
      <c r="A974" s="25" t="s">
        <v>1502</v>
      </c>
      <c r="B974" s="25" t="s">
        <v>1570</v>
      </c>
      <c r="C974" s="25" t="s">
        <v>1572</v>
      </c>
      <c r="D974" s="26" t="n">
        <v>1.90531000020224</v>
      </c>
      <c r="E974" s="26" t="n">
        <v>0.99999125369828</v>
      </c>
      <c r="F974" s="26" t="n">
        <v>-4.09999562684914</v>
      </c>
      <c r="G974" s="26" t="n">
        <v>-4.09999562684914</v>
      </c>
      <c r="H974" s="26" t="n">
        <v>-2.60000437315086</v>
      </c>
      <c r="I974" s="26" t="n">
        <v>-2.60000437315086</v>
      </c>
      <c r="J974" s="26" t="n">
        <v>1.92</v>
      </c>
      <c r="K974" s="27" t="n">
        <f aca="false">MIN(F974,G974)</f>
        <v>-4.09999562684914</v>
      </c>
      <c r="L974" s="27" t="n">
        <f aca="false">AVERAGE(F974,G974)</f>
        <v>-4.09999562684914</v>
      </c>
      <c r="M974" s="27" t="n">
        <f aca="false">MAX(0,NG-L974)</f>
        <v>3.39999562684914</v>
      </c>
      <c r="N974" s="27" t="n">
        <f aca="false">MAX(0,GWL-K974)</f>
        <v>2.59999562684914</v>
      </c>
      <c r="O974" s="27" t="n">
        <f aca="false">MAX(0,NG-MAX(K974,GWL))</f>
        <v>0.8</v>
      </c>
      <c r="P974" s="27" t="n">
        <f aca="false">E974/2+WS+SLOPE_A*O974+SLOPE_B*N974</f>
        <v>7.89998688054742</v>
      </c>
      <c r="Q974" s="28" t="str">
        <f aca="false">IF(AND(P974&lt;J974,N974&lt;=MAXOC),"Open cut","Shoring")</f>
        <v>Shoring</v>
      </c>
      <c r="R974" s="27" t="n">
        <f aca="false">IF(Q974="Shoring",D974,0)</f>
        <v>1.90531000020224</v>
      </c>
      <c r="S974" s="27" t="n">
        <f aca="false">MAX(0,GWL-L974)</f>
        <v>2.59999562684914</v>
      </c>
      <c r="T974" s="27" t="n">
        <f aca="false">MAX(0,NG-MAX(L974,GWL))</f>
        <v>0.8</v>
      </c>
      <c r="U974" s="27" t="n">
        <f aca="false">E974+2*WS</f>
        <v>2.99999125369828</v>
      </c>
      <c r="V974" s="27" t="n">
        <f aca="false">IF(Q974="Shoring",D974*M974*U974,0)</f>
        <v>19.4340803464967</v>
      </c>
      <c r="W974" s="27" t="n">
        <f aca="false">IF(Q974="Open cut",D974*(U974*M974+SLOPE_B*S974^2+2*SLOPE_B*S974*T974+SLOPE_A*T974^2),0)</f>
        <v>0</v>
      </c>
      <c r="X974" s="27" t="n">
        <f aca="false">IF(M974&gt;0,D974*(E974+2*SLABOVH)*SLAB,0)</f>
        <v>1.90530166799418</v>
      </c>
      <c r="Y974" s="27" t="n">
        <f aca="false">IF(M974&gt;0,D974*PI()*E974^2/4,0)</f>
        <v>1.49640079857246</v>
      </c>
      <c r="Z974" s="27" t="n">
        <f aca="false">IF(H974-E974&gt;=GWL,99,E974*(MAX(0,GWL-H974)*(GAM_S-GAM_W)+MAX(0,NG-MAX(H974,GWL))*GAM_D)/(GAM_W*PI()*E974^2/4))</f>
        <v>3.03828448457721</v>
      </c>
      <c r="AA974" s="27" t="n">
        <f aca="false">IF(I974-E974&gt;=GWL,99,E974*(MAX(0,GWL-I974)*(GAM_S-GAM_W)+MAX(0,NG-MAX(I974,GWL))*GAM_D)/(GAM_W*PI()*E974^2/4))</f>
        <v>3.03828448457721</v>
      </c>
      <c r="AB974" s="27" t="n">
        <f aca="false">IF(H974-E974&gt;=GWL,99,E974*(MAX(0,GWL-H974)*(GAM_S-GAM_W)+MAX(0,FL-MAX(H974,GWL))*GAM_D)/(GAM_W*PI()*E974^2/4))</f>
        <v>7.0098921132903</v>
      </c>
      <c r="AC974" s="27" t="n">
        <f aca="false">IF(I974-E974&gt;=GWL,99,E974*(MAX(0,GWL-I974)*(GAM_S-GAM_W)+MAX(0,FL-MAX(I974,GWL))*GAM_D)/(GAM_W*PI()*E974^2/4))</f>
        <v>7.0098921132903</v>
      </c>
    </row>
    <row r="975" customFormat="false" ht="15" hidden="false" customHeight="false" outlineLevel="0" collapsed="false">
      <c r="A975" s="25" t="s">
        <v>1502</v>
      </c>
      <c r="B975" s="25" t="s">
        <v>1570</v>
      </c>
      <c r="C975" s="25" t="s">
        <v>1573</v>
      </c>
      <c r="D975" s="26" t="n">
        <v>0.368189055971543</v>
      </c>
      <c r="E975" s="26" t="n">
        <v>0.99999125369828</v>
      </c>
      <c r="F975" s="26" t="n">
        <v>-4.09999562684914</v>
      </c>
      <c r="G975" s="26" t="n">
        <v>-4.09999562684914</v>
      </c>
      <c r="H975" s="26" t="n">
        <v>-2.60000437315086</v>
      </c>
      <c r="I975" s="26" t="n">
        <v>-2.60000437315086</v>
      </c>
      <c r="J975" s="26" t="n">
        <v>3.31</v>
      </c>
      <c r="K975" s="27" t="n">
        <f aca="false">MIN(F975,G975)</f>
        <v>-4.09999562684914</v>
      </c>
      <c r="L975" s="27" t="n">
        <f aca="false">AVERAGE(F975,G975)</f>
        <v>-4.09999562684914</v>
      </c>
      <c r="M975" s="27" t="n">
        <f aca="false">MAX(0,NG-L975)</f>
        <v>3.39999562684914</v>
      </c>
      <c r="N975" s="27" t="n">
        <f aca="false">MAX(0,GWL-K975)</f>
        <v>2.59999562684914</v>
      </c>
      <c r="O975" s="27" t="n">
        <f aca="false">MAX(0,NG-MAX(K975,GWL))</f>
        <v>0.8</v>
      </c>
      <c r="P975" s="27" t="n">
        <f aca="false">E975/2+WS+SLOPE_A*O975+SLOPE_B*N975</f>
        <v>7.89998688054742</v>
      </c>
      <c r="Q975" s="28" t="str">
        <f aca="false">IF(AND(P975&lt;J975,N975&lt;=MAXOC),"Open cut","Shoring")</f>
        <v>Shoring</v>
      </c>
      <c r="R975" s="27" t="n">
        <f aca="false">IF(Q975="Shoring",D975,0)</f>
        <v>0.368189055971543</v>
      </c>
      <c r="S975" s="27" t="n">
        <f aca="false">MAX(0,GWL-L975)</f>
        <v>2.59999562684914</v>
      </c>
      <c r="T975" s="27" t="n">
        <f aca="false">MAX(0,NG-MAX(L975,GWL))</f>
        <v>0.8</v>
      </c>
      <c r="U975" s="27" t="n">
        <f aca="false">E975+2*WS</f>
        <v>2.99999125369828</v>
      </c>
      <c r="V975" s="27" t="n">
        <f aca="false">IF(Q975="Shoring",D975*M975*U975,0)</f>
        <v>3.75551259149021</v>
      </c>
      <c r="W975" s="27" t="n">
        <f aca="false">IF(Q975="Open cut",D975*(U975*M975+SLOPE_B*S975^2+2*SLOPE_B*S975*T975+SLOPE_A*T975^2),0)</f>
        <v>0</v>
      </c>
      <c r="X975" s="27" t="n">
        <f aca="false">IF(M975&gt;0,D975*(E975+2*SLABOVH)*SLAB,0)</f>
        <v>0.368187445825256</v>
      </c>
      <c r="Y975" s="27" t="n">
        <f aca="false">IF(M975&gt;0,D975*PI()*E975^2/4,0)</f>
        <v>0.289169949941465</v>
      </c>
      <c r="Z975" s="27" t="n">
        <f aca="false">IF(H975-E975&gt;=GWL,99,E975*(MAX(0,GWL-H975)*(GAM_S-GAM_W)+MAX(0,NG-MAX(H975,GWL))*GAM_D)/(GAM_W*PI()*E975^2/4))</f>
        <v>3.03828448457721</v>
      </c>
      <c r="AA975" s="27" t="n">
        <f aca="false">IF(I975-E975&gt;=GWL,99,E975*(MAX(0,GWL-I975)*(GAM_S-GAM_W)+MAX(0,NG-MAX(I975,GWL))*GAM_D)/(GAM_W*PI()*E975^2/4))</f>
        <v>3.03828448457721</v>
      </c>
      <c r="AB975" s="27" t="n">
        <f aca="false">IF(H975-E975&gt;=GWL,99,E975*(MAX(0,GWL-H975)*(GAM_S-GAM_W)+MAX(0,FL-MAX(H975,GWL))*GAM_D)/(GAM_W*PI()*E975^2/4))</f>
        <v>7.0098921132903</v>
      </c>
      <c r="AC975" s="27" t="n">
        <f aca="false">IF(I975-E975&gt;=GWL,99,E975*(MAX(0,GWL-I975)*(GAM_S-GAM_W)+MAX(0,FL-MAX(I975,GWL))*GAM_D)/(GAM_W*PI()*E975^2/4))</f>
        <v>7.0098921132903</v>
      </c>
    </row>
    <row r="976" customFormat="false" ht="15" hidden="false" customHeight="false" outlineLevel="0" collapsed="false">
      <c r="A976" s="25" t="s">
        <v>1502</v>
      </c>
      <c r="B976" s="25" t="s">
        <v>1570</v>
      </c>
      <c r="C976" s="25" t="s">
        <v>1574</v>
      </c>
      <c r="D976" s="26" t="n">
        <v>0.376068985433978</v>
      </c>
      <c r="E976" s="26" t="n">
        <v>0.999996352933141</v>
      </c>
      <c r="F976" s="26" t="n">
        <v>-4.09999817646657</v>
      </c>
      <c r="G976" s="26" t="n">
        <v>-4.09999817646657</v>
      </c>
      <c r="H976" s="26" t="n">
        <v>-2.60000182353343</v>
      </c>
      <c r="I976" s="26" t="n">
        <v>-2.60000182353343</v>
      </c>
      <c r="J976" s="26" t="n">
        <v>3.59</v>
      </c>
      <c r="K976" s="27" t="n">
        <f aca="false">MIN(F976,G976)</f>
        <v>-4.09999817646657</v>
      </c>
      <c r="L976" s="27" t="n">
        <f aca="false">AVERAGE(F976,G976)</f>
        <v>-4.09999817646657</v>
      </c>
      <c r="M976" s="27" t="n">
        <f aca="false">MAX(0,NG-L976)</f>
        <v>3.39999817646657</v>
      </c>
      <c r="N976" s="27" t="n">
        <f aca="false">MAX(0,GWL-K976)</f>
        <v>2.59999817646657</v>
      </c>
      <c r="O976" s="27" t="n">
        <f aca="false">MAX(0,NG-MAX(K976,GWL))</f>
        <v>0.8</v>
      </c>
      <c r="P976" s="27" t="n">
        <f aca="false">E976/2+WS+SLOPE_A*O976+SLOPE_B*N976</f>
        <v>7.89999452939971</v>
      </c>
      <c r="Q976" s="28" t="str">
        <f aca="false">IF(AND(P976&lt;J976,N976&lt;=MAXOC),"Open cut","Shoring")</f>
        <v>Shoring</v>
      </c>
      <c r="R976" s="27" t="n">
        <f aca="false">IF(Q976="Shoring",D976,0)</f>
        <v>0.376068985433978</v>
      </c>
      <c r="S976" s="27" t="n">
        <f aca="false">MAX(0,GWL-L976)</f>
        <v>2.59999817646657</v>
      </c>
      <c r="T976" s="27" t="n">
        <f aca="false">MAX(0,NG-MAX(L976,GWL))</f>
        <v>0.8</v>
      </c>
      <c r="U976" s="27" t="n">
        <f aca="false">E976+2*WS</f>
        <v>2.99999635293314</v>
      </c>
      <c r="V976" s="27" t="n">
        <f aca="false">IF(Q976="Shoring",D976*M976*U976,0)</f>
        <v>3.83589693084028</v>
      </c>
      <c r="W976" s="27" t="n">
        <f aca="false">IF(Q976="Open cut",D976*(U976*M976+SLOPE_B*S976^2+2*SLOPE_B*S976*T976+SLOPE_A*T976^2),0)</f>
        <v>0</v>
      </c>
      <c r="X976" s="27" t="n">
        <f aca="false">IF(M976&gt;0,D976*(E976+2*SLABOVH)*SLAB,0)</f>
        <v>0.376068299659611</v>
      </c>
      <c r="Y976" s="27" t="n">
        <f aca="false">IF(M976&gt;0,D976*PI()*E976^2/4,0)</f>
        <v>0.295361736050804</v>
      </c>
      <c r="Z976" s="27" t="n">
        <f aca="false">IF(H976-E976&gt;=GWL,99,E976*(MAX(0,GWL-H976)*(GAM_S-GAM_W)+MAX(0,NG-MAX(H976,GWL))*GAM_D)/(GAM_W*PI()*E976^2/4))</f>
        <v>3.03826628139283</v>
      </c>
      <c r="AA976" s="27" t="n">
        <f aca="false">IF(I976-E976&gt;=GWL,99,E976*(MAX(0,GWL-I976)*(GAM_S-GAM_W)+MAX(0,NG-MAX(I976,GWL))*GAM_D)/(GAM_W*PI()*E976^2/4))</f>
        <v>3.03826628139283</v>
      </c>
      <c r="AB976" s="27" t="n">
        <f aca="false">IF(H976-E976&gt;=GWL,99,E976*(MAX(0,GWL-H976)*(GAM_S-GAM_W)+MAX(0,FL-MAX(H976,GWL))*GAM_D)/(GAM_W*PI()*E976^2/4))</f>
        <v>7.00985365787198</v>
      </c>
      <c r="AC976" s="27" t="n">
        <f aca="false">IF(I976-E976&gt;=GWL,99,E976*(MAX(0,GWL-I976)*(GAM_S-GAM_W)+MAX(0,FL-MAX(I976,GWL))*GAM_D)/(GAM_W*PI()*E976^2/4))</f>
        <v>7.00985365787198</v>
      </c>
    </row>
    <row r="977" customFormat="false" ht="15" hidden="false" customHeight="false" outlineLevel="0" collapsed="false">
      <c r="A977" s="25" t="s">
        <v>1502</v>
      </c>
      <c r="B977" s="25" t="s">
        <v>1570</v>
      </c>
      <c r="C977" s="25" t="s">
        <v>1575</v>
      </c>
      <c r="D977" s="26" t="n">
        <v>5.97176602668628</v>
      </c>
      <c r="E977" s="26" t="n">
        <v>0.999996352933141</v>
      </c>
      <c r="F977" s="26" t="n">
        <v>-4.09999817646657</v>
      </c>
      <c r="G977" s="26" t="n">
        <v>-4.09999817646657</v>
      </c>
      <c r="H977" s="26" t="n">
        <v>-2.60000182353343</v>
      </c>
      <c r="I977" s="26" t="n">
        <v>-2.60000182353343</v>
      </c>
      <c r="J977" s="26" t="n">
        <v>3.62</v>
      </c>
      <c r="K977" s="27" t="n">
        <f aca="false">MIN(F977,G977)</f>
        <v>-4.09999817646657</v>
      </c>
      <c r="L977" s="27" t="n">
        <f aca="false">AVERAGE(F977,G977)</f>
        <v>-4.09999817646657</v>
      </c>
      <c r="M977" s="27" t="n">
        <f aca="false">MAX(0,NG-L977)</f>
        <v>3.39999817646657</v>
      </c>
      <c r="N977" s="27" t="n">
        <f aca="false">MAX(0,GWL-K977)</f>
        <v>2.59999817646657</v>
      </c>
      <c r="O977" s="27" t="n">
        <f aca="false">MAX(0,NG-MAX(K977,GWL))</f>
        <v>0.8</v>
      </c>
      <c r="P977" s="27" t="n">
        <f aca="false">E977/2+WS+SLOPE_A*O977+SLOPE_B*N977</f>
        <v>7.89999452939971</v>
      </c>
      <c r="Q977" s="28" t="str">
        <f aca="false">IF(AND(P977&lt;J977,N977&lt;=MAXOC),"Open cut","Shoring")</f>
        <v>Shoring</v>
      </c>
      <c r="R977" s="27" t="n">
        <f aca="false">IF(Q977="Shoring",D977,0)</f>
        <v>5.97176602668628</v>
      </c>
      <c r="S977" s="27" t="n">
        <f aca="false">MAX(0,GWL-L977)</f>
        <v>2.59999817646657</v>
      </c>
      <c r="T977" s="27" t="n">
        <f aca="false">MAX(0,NG-MAX(L977,GWL))</f>
        <v>0.8</v>
      </c>
      <c r="U977" s="27" t="n">
        <f aca="false">E977+2*WS</f>
        <v>2.99999635293314</v>
      </c>
      <c r="V977" s="27" t="n">
        <f aca="false">IF(Q977="Shoring",D977*M977*U977,0)</f>
        <v>60.911906753033</v>
      </c>
      <c r="W977" s="27" t="n">
        <f aca="false">IF(Q977="Open cut",D977*(U977*M977+SLOPE_B*S977^2+2*SLOPE_B*S977*T977+SLOPE_A*T977^2),0)</f>
        <v>0</v>
      </c>
      <c r="X977" s="27" t="n">
        <f aca="false">IF(M977&gt;0,D977*(E977+2*SLABOVH)*SLAB,0)</f>
        <v>5.9717551369713</v>
      </c>
      <c r="Y977" s="27" t="n">
        <f aca="false">IF(M977&gt;0,D977*PI()*E977^2/4,0)</f>
        <v>4.69017985861248</v>
      </c>
      <c r="Z977" s="27" t="n">
        <f aca="false">IF(H977-E977&gt;=GWL,99,E977*(MAX(0,GWL-H977)*(GAM_S-GAM_W)+MAX(0,NG-MAX(H977,GWL))*GAM_D)/(GAM_W*PI()*E977^2/4))</f>
        <v>3.03826628139283</v>
      </c>
      <c r="AA977" s="27" t="n">
        <f aca="false">IF(I977-E977&gt;=GWL,99,E977*(MAX(0,GWL-I977)*(GAM_S-GAM_W)+MAX(0,NG-MAX(I977,GWL))*GAM_D)/(GAM_W*PI()*E977^2/4))</f>
        <v>3.03826628139283</v>
      </c>
      <c r="AB977" s="27" t="n">
        <f aca="false">IF(H977-E977&gt;=GWL,99,E977*(MAX(0,GWL-H977)*(GAM_S-GAM_W)+MAX(0,FL-MAX(H977,GWL))*GAM_D)/(GAM_W*PI()*E977^2/4))</f>
        <v>7.00985365787198</v>
      </c>
      <c r="AC977" s="27" t="n">
        <f aca="false">IF(I977-E977&gt;=GWL,99,E977*(MAX(0,GWL-I977)*(GAM_S-GAM_W)+MAX(0,FL-MAX(I977,GWL))*GAM_D)/(GAM_W*PI()*E977^2/4))</f>
        <v>7.00985365787198</v>
      </c>
    </row>
    <row r="978" customFormat="false" ht="15" hidden="false" customHeight="false" outlineLevel="0" collapsed="false">
      <c r="A978" s="25" t="s">
        <v>1502</v>
      </c>
      <c r="B978" s="25" t="s">
        <v>1570</v>
      </c>
      <c r="C978" s="25" t="s">
        <v>1576</v>
      </c>
      <c r="D978" s="26" t="n">
        <v>5.11386397351678</v>
      </c>
      <c r="E978" s="26" t="n">
        <v>0.999996352933141</v>
      </c>
      <c r="F978" s="26" t="n">
        <v>-4.09999817646657</v>
      </c>
      <c r="G978" s="26" t="n">
        <v>-4.09999817646657</v>
      </c>
      <c r="H978" s="26" t="n">
        <v>-2.60000182353343</v>
      </c>
      <c r="I978" s="26" t="n">
        <v>-2.60000182353343</v>
      </c>
      <c r="J978" s="26" t="n">
        <v>4.65</v>
      </c>
      <c r="K978" s="27" t="n">
        <f aca="false">MIN(F978,G978)</f>
        <v>-4.09999817646657</v>
      </c>
      <c r="L978" s="27" t="n">
        <f aca="false">AVERAGE(F978,G978)</f>
        <v>-4.09999817646657</v>
      </c>
      <c r="M978" s="27" t="n">
        <f aca="false">MAX(0,NG-L978)</f>
        <v>3.39999817646657</v>
      </c>
      <c r="N978" s="27" t="n">
        <f aca="false">MAX(0,GWL-K978)</f>
        <v>2.59999817646657</v>
      </c>
      <c r="O978" s="27" t="n">
        <f aca="false">MAX(0,NG-MAX(K978,GWL))</f>
        <v>0.8</v>
      </c>
      <c r="P978" s="27" t="n">
        <f aca="false">E978/2+WS+SLOPE_A*O978+SLOPE_B*N978</f>
        <v>7.89999452939971</v>
      </c>
      <c r="Q978" s="28" t="str">
        <f aca="false">IF(AND(P978&lt;J978,N978&lt;=MAXOC),"Open cut","Shoring")</f>
        <v>Shoring</v>
      </c>
      <c r="R978" s="27" t="n">
        <f aca="false">IF(Q978="Shoring",D978,0)</f>
        <v>5.11386397351678</v>
      </c>
      <c r="S978" s="27" t="n">
        <f aca="false">MAX(0,GWL-L978)</f>
        <v>2.59999817646657</v>
      </c>
      <c r="T978" s="27" t="n">
        <f aca="false">MAX(0,NG-MAX(L978,GWL))</f>
        <v>0.8</v>
      </c>
      <c r="U978" s="27" t="n">
        <f aca="false">E978+2*WS</f>
        <v>2.99999635293314</v>
      </c>
      <c r="V978" s="27" t="n">
        <f aca="false">IF(Q978="Shoring",D978*M978*U978,0)</f>
        <v>52.1613211419464</v>
      </c>
      <c r="W978" s="27" t="n">
        <f aca="false">IF(Q978="Open cut",D978*(U978*M978+SLOPE_B*S978^2+2*SLOPE_B*S978*T978+SLOPE_A*T978^2),0)</f>
        <v>0</v>
      </c>
      <c r="X978" s="27" t="n">
        <f aca="false">IF(M978&gt;0,D978*(E978+2*SLABOVH)*SLAB,0)</f>
        <v>5.11385464821487</v>
      </c>
      <c r="Y978" s="27" t="n">
        <f aca="false">IF(M978&gt;0,D978*PI()*E978^2/4,0)</f>
        <v>4.01639007641791</v>
      </c>
      <c r="Z978" s="27" t="n">
        <f aca="false">IF(H978-E978&gt;=GWL,99,E978*(MAX(0,GWL-H978)*(GAM_S-GAM_W)+MAX(0,NG-MAX(H978,GWL))*GAM_D)/(GAM_W*PI()*E978^2/4))</f>
        <v>3.03826628139283</v>
      </c>
      <c r="AA978" s="27" t="n">
        <f aca="false">IF(I978-E978&gt;=GWL,99,E978*(MAX(0,GWL-I978)*(GAM_S-GAM_W)+MAX(0,NG-MAX(I978,GWL))*GAM_D)/(GAM_W*PI()*E978^2/4))</f>
        <v>3.03826628139283</v>
      </c>
      <c r="AB978" s="27" t="n">
        <f aca="false">IF(H978-E978&gt;=GWL,99,E978*(MAX(0,GWL-H978)*(GAM_S-GAM_W)+MAX(0,FL-MAX(H978,GWL))*GAM_D)/(GAM_W*PI()*E978^2/4))</f>
        <v>7.00985365787198</v>
      </c>
      <c r="AC978" s="27" t="n">
        <f aca="false">IF(I978-E978&gt;=GWL,99,E978*(MAX(0,GWL-I978)*(GAM_S-GAM_W)+MAX(0,FL-MAX(I978,GWL))*GAM_D)/(GAM_W*PI()*E978^2/4))</f>
        <v>7.00985365787198</v>
      </c>
    </row>
    <row r="979" customFormat="false" ht="15" hidden="false" customHeight="false" outlineLevel="0" collapsed="false">
      <c r="A979" s="25" t="s">
        <v>1502</v>
      </c>
      <c r="B979" s="25" t="s">
        <v>1570</v>
      </c>
      <c r="C979" s="25" t="s">
        <v>1577</v>
      </c>
      <c r="D979" s="26" t="n">
        <v>0.371009011144987</v>
      </c>
      <c r="E979" s="26" t="n">
        <v>0.999996352933141</v>
      </c>
      <c r="F979" s="26" t="n">
        <v>-4.09999817646657</v>
      </c>
      <c r="G979" s="26" t="n">
        <v>-4.09999817646657</v>
      </c>
      <c r="H979" s="26" t="n">
        <v>-2.60000182353343</v>
      </c>
      <c r="I979" s="26" t="n">
        <v>-2.60000182353343</v>
      </c>
      <c r="J979" s="26" t="n">
        <v>6.31</v>
      </c>
      <c r="K979" s="27" t="n">
        <f aca="false">MIN(F979,G979)</f>
        <v>-4.09999817646657</v>
      </c>
      <c r="L979" s="27" t="n">
        <f aca="false">AVERAGE(F979,G979)</f>
        <v>-4.09999817646657</v>
      </c>
      <c r="M979" s="27" t="n">
        <f aca="false">MAX(0,NG-L979)</f>
        <v>3.39999817646657</v>
      </c>
      <c r="N979" s="27" t="n">
        <f aca="false">MAX(0,GWL-K979)</f>
        <v>2.59999817646657</v>
      </c>
      <c r="O979" s="27" t="n">
        <f aca="false">MAX(0,NG-MAX(K979,GWL))</f>
        <v>0.8</v>
      </c>
      <c r="P979" s="27" t="n">
        <f aca="false">E979/2+WS+SLOPE_A*O979+SLOPE_B*N979</f>
        <v>7.89999452939971</v>
      </c>
      <c r="Q979" s="28" t="str">
        <f aca="false">IF(AND(P979&lt;J979,N979&lt;=MAXOC),"Open cut","Shoring")</f>
        <v>Shoring</v>
      </c>
      <c r="R979" s="27" t="n">
        <f aca="false">IF(Q979="Shoring",D979,0)</f>
        <v>0.371009011144987</v>
      </c>
      <c r="S979" s="27" t="n">
        <f aca="false">MAX(0,GWL-L979)</f>
        <v>2.59999817646657</v>
      </c>
      <c r="T979" s="27" t="n">
        <f aca="false">MAX(0,NG-MAX(L979,GWL))</f>
        <v>0.8</v>
      </c>
      <c r="U979" s="27" t="n">
        <f aca="false">E979+2*WS</f>
        <v>2.99999635293314</v>
      </c>
      <c r="V979" s="27" t="n">
        <f aca="false">IF(Q979="Shoring",D979*M979*U979,0)</f>
        <v>3.78428528351745</v>
      </c>
      <c r="W979" s="27" t="n">
        <f aca="false">IF(Q979="Open cut",D979*(U979*M979+SLOPE_B*S979^2+2*SLOPE_B*S979*T979+SLOPE_A*T979^2),0)</f>
        <v>0</v>
      </c>
      <c r="X979" s="27" t="n">
        <f aca="false">IF(M979&gt;0,D979*(E979+2*SLABOVH)*SLAB,0)</f>
        <v>0.371008334597652</v>
      </c>
      <c r="Y979" s="27" t="n">
        <f aca="false">IF(M979&gt;0,D979*PI()*E979^2/4,0)</f>
        <v>0.291387670524916</v>
      </c>
      <c r="Z979" s="27" t="n">
        <f aca="false">IF(H979-E979&gt;=GWL,99,E979*(MAX(0,GWL-H979)*(GAM_S-GAM_W)+MAX(0,NG-MAX(H979,GWL))*GAM_D)/(GAM_W*PI()*E979^2/4))</f>
        <v>3.03826628139283</v>
      </c>
      <c r="AA979" s="27" t="n">
        <f aca="false">IF(I979-E979&gt;=GWL,99,E979*(MAX(0,GWL-I979)*(GAM_S-GAM_W)+MAX(0,NG-MAX(I979,GWL))*GAM_D)/(GAM_W*PI()*E979^2/4))</f>
        <v>3.03826628139283</v>
      </c>
      <c r="AB979" s="27" t="n">
        <f aca="false">IF(H979-E979&gt;=GWL,99,E979*(MAX(0,GWL-H979)*(GAM_S-GAM_W)+MAX(0,FL-MAX(H979,GWL))*GAM_D)/(GAM_W*PI()*E979^2/4))</f>
        <v>7.00985365787198</v>
      </c>
      <c r="AC979" s="27" t="n">
        <f aca="false">IF(I979-E979&gt;=GWL,99,E979*(MAX(0,GWL-I979)*(GAM_S-GAM_W)+MAX(0,FL-MAX(I979,GWL))*GAM_D)/(GAM_W*PI()*E979^2/4))</f>
        <v>7.00985365787198</v>
      </c>
    </row>
    <row r="980" customFormat="false" ht="15" hidden="false" customHeight="false" outlineLevel="0" collapsed="false">
      <c r="A980" s="25" t="s">
        <v>1502</v>
      </c>
      <c r="B980" s="25" t="s">
        <v>1570</v>
      </c>
      <c r="C980" s="25" t="s">
        <v>1578</v>
      </c>
      <c r="D980" s="26" t="n">
        <v>0.369759999538715</v>
      </c>
      <c r="E980" s="26" t="n">
        <v>0.999995860518062</v>
      </c>
      <c r="F980" s="26" t="n">
        <v>-4.09999793025903</v>
      </c>
      <c r="G980" s="26" t="n">
        <v>-4.09999793025903</v>
      </c>
      <c r="H980" s="26" t="n">
        <v>-2.60000206974097</v>
      </c>
      <c r="I980" s="26" t="n">
        <v>-2.60000206974097</v>
      </c>
      <c r="J980" s="26" t="n">
        <v>6.46</v>
      </c>
      <c r="K980" s="27" t="n">
        <f aca="false">MIN(F980,G980)</f>
        <v>-4.09999793025903</v>
      </c>
      <c r="L980" s="27" t="n">
        <f aca="false">AVERAGE(F980,G980)</f>
        <v>-4.09999793025903</v>
      </c>
      <c r="M980" s="27" t="n">
        <f aca="false">MAX(0,NG-L980)</f>
        <v>3.39999793025903</v>
      </c>
      <c r="N980" s="27" t="n">
        <f aca="false">MAX(0,GWL-K980)</f>
        <v>2.59999793025903</v>
      </c>
      <c r="O980" s="27" t="n">
        <f aca="false">MAX(0,NG-MAX(K980,GWL))</f>
        <v>0.8</v>
      </c>
      <c r="P980" s="27" t="n">
        <f aca="false">E980/2+WS+SLOPE_A*O980+SLOPE_B*N980</f>
        <v>7.89999379077709</v>
      </c>
      <c r="Q980" s="28" t="str">
        <f aca="false">IF(AND(P980&lt;J980,N980&lt;=MAXOC),"Open cut","Shoring")</f>
        <v>Shoring</v>
      </c>
      <c r="R980" s="27" t="n">
        <f aca="false">IF(Q980="Shoring",D980,0)</f>
        <v>0.369759999538715</v>
      </c>
      <c r="S980" s="27" t="n">
        <f aca="false">MAX(0,GWL-L980)</f>
        <v>2.59999793025903</v>
      </c>
      <c r="T980" s="27" t="n">
        <f aca="false">MAX(0,NG-MAX(L980,GWL))</f>
        <v>0.8</v>
      </c>
      <c r="U980" s="27" t="n">
        <f aca="false">E980+2*WS</f>
        <v>2.99999586051806</v>
      </c>
      <c r="V980" s="27" t="n">
        <f aca="false">IF(Q980="Shoring",D980*M980*U980,0)</f>
        <v>3.77154449528535</v>
      </c>
      <c r="W980" s="27" t="n">
        <f aca="false">IF(Q980="Open cut",D980*(U980*M980+SLOPE_B*S980^2+2*SLOPE_B*S980*T980+SLOPE_A*T980^2),0)</f>
        <v>0</v>
      </c>
      <c r="X980" s="27" t="n">
        <f aca="false">IF(M980&gt;0,D980*(E980+2*SLABOVH)*SLAB,0)</f>
        <v>0.369759234231296</v>
      </c>
      <c r="Y980" s="27" t="n">
        <f aca="false">IF(M980&gt;0,D980*PI()*E980^2/4,0)</f>
        <v>0.290406420256357</v>
      </c>
      <c r="Z980" s="27" t="n">
        <f aca="false">IF(H980-E980&gt;=GWL,99,E980*(MAX(0,GWL-H980)*(GAM_S-GAM_W)+MAX(0,NG-MAX(H980,GWL))*GAM_D)/(GAM_W*PI()*E980^2/4))</f>
        <v>3.03826803920187</v>
      </c>
      <c r="AA980" s="27" t="n">
        <f aca="false">IF(I980-E980&gt;=GWL,99,E980*(MAX(0,GWL-I980)*(GAM_S-GAM_W)+MAX(0,NG-MAX(I980,GWL))*GAM_D)/(GAM_W*PI()*E980^2/4))</f>
        <v>3.03826803920187</v>
      </c>
      <c r="AB980" s="27" t="n">
        <f aca="false">IF(H980-E980&gt;=GWL,99,E980*(MAX(0,GWL-H980)*(GAM_S-GAM_W)+MAX(0,FL-MAX(H980,GWL))*GAM_D)/(GAM_W*PI()*E980^2/4))</f>
        <v>7.00985737135863</v>
      </c>
      <c r="AC980" s="27" t="n">
        <f aca="false">IF(I980-E980&gt;=GWL,99,E980*(MAX(0,GWL-I980)*(GAM_S-GAM_W)+MAX(0,FL-MAX(I980,GWL))*GAM_D)/(GAM_W*PI()*E980^2/4))</f>
        <v>7.00985737135863</v>
      </c>
    </row>
    <row r="981" customFormat="false" ht="15" hidden="false" customHeight="false" outlineLevel="0" collapsed="false">
      <c r="A981" s="25" t="s">
        <v>1502</v>
      </c>
      <c r="B981" s="25" t="s">
        <v>1570</v>
      </c>
      <c r="C981" s="25" t="s">
        <v>1579</v>
      </c>
      <c r="D981" s="26" t="n">
        <v>4.14536701576724</v>
      </c>
      <c r="E981" s="26" t="n">
        <v>0.999995860518062</v>
      </c>
      <c r="F981" s="26" t="n">
        <v>-4.09999793025903</v>
      </c>
      <c r="G981" s="26" t="n">
        <v>-4.09999793025903</v>
      </c>
      <c r="H981" s="26" t="n">
        <v>-2.60000206974097</v>
      </c>
      <c r="I981" s="26" t="n">
        <v>-2.60000206974097</v>
      </c>
      <c r="J981" s="26" t="n">
        <v>6.8</v>
      </c>
      <c r="K981" s="27" t="n">
        <f aca="false">MIN(F981,G981)</f>
        <v>-4.09999793025903</v>
      </c>
      <c r="L981" s="27" t="n">
        <f aca="false">AVERAGE(F981,G981)</f>
        <v>-4.09999793025903</v>
      </c>
      <c r="M981" s="27" t="n">
        <f aca="false">MAX(0,NG-L981)</f>
        <v>3.39999793025903</v>
      </c>
      <c r="N981" s="27" t="n">
        <f aca="false">MAX(0,GWL-K981)</f>
        <v>2.59999793025903</v>
      </c>
      <c r="O981" s="27" t="n">
        <f aca="false">MAX(0,NG-MAX(K981,GWL))</f>
        <v>0.8</v>
      </c>
      <c r="P981" s="27" t="n">
        <f aca="false">E981/2+WS+SLOPE_A*O981+SLOPE_B*N981</f>
        <v>7.89999379077709</v>
      </c>
      <c r="Q981" s="28" t="str">
        <f aca="false">IF(AND(P981&lt;J981,N981&lt;=MAXOC),"Open cut","Shoring")</f>
        <v>Shoring</v>
      </c>
      <c r="R981" s="27" t="n">
        <f aca="false">IF(Q981="Shoring",D981,0)</f>
        <v>4.14536701576724</v>
      </c>
      <c r="S981" s="27" t="n">
        <f aca="false">MAX(0,GWL-L981)</f>
        <v>2.59999793025903</v>
      </c>
      <c r="T981" s="27" t="n">
        <f aca="false">MAX(0,NG-MAX(L981,GWL))</f>
        <v>0.8</v>
      </c>
      <c r="U981" s="27" t="n">
        <f aca="false">E981+2*WS</f>
        <v>2.99999586051806</v>
      </c>
      <c r="V981" s="27" t="n">
        <f aca="false">IF(Q981="Shoring",D981*M981*U981,0)</f>
        <v>42.2826594784692</v>
      </c>
      <c r="W981" s="27" t="n">
        <f aca="false">IF(Q981="Open cut",D981*(U981*M981+SLOPE_B*S981^2+2*SLOPE_B*S981*T981+SLOPE_A*T981^2),0)</f>
        <v>0</v>
      </c>
      <c r="X981" s="27" t="n">
        <f aca="false">IF(M981&gt;0,D981*(E981+2*SLABOVH)*SLAB,0)</f>
        <v>4.1453584359313</v>
      </c>
      <c r="Y981" s="27" t="n">
        <f aca="false">IF(M981&gt;0,D981*PI()*E981^2/4,0)</f>
        <v>3.25573668649817</v>
      </c>
      <c r="Z981" s="27" t="n">
        <f aca="false">IF(H981-E981&gt;=GWL,99,E981*(MAX(0,GWL-H981)*(GAM_S-GAM_W)+MAX(0,NG-MAX(H981,GWL))*GAM_D)/(GAM_W*PI()*E981^2/4))</f>
        <v>3.03826803920187</v>
      </c>
      <c r="AA981" s="27" t="n">
        <f aca="false">IF(I981-E981&gt;=GWL,99,E981*(MAX(0,GWL-I981)*(GAM_S-GAM_W)+MAX(0,NG-MAX(I981,GWL))*GAM_D)/(GAM_W*PI()*E981^2/4))</f>
        <v>3.03826803920187</v>
      </c>
      <c r="AB981" s="27" t="n">
        <f aca="false">IF(H981-E981&gt;=GWL,99,E981*(MAX(0,GWL-H981)*(GAM_S-GAM_W)+MAX(0,FL-MAX(H981,GWL))*GAM_D)/(GAM_W*PI()*E981^2/4))</f>
        <v>7.00985737135863</v>
      </c>
      <c r="AC981" s="27" t="n">
        <f aca="false">IF(I981-E981&gt;=GWL,99,E981*(MAX(0,GWL-I981)*(GAM_S-GAM_W)+MAX(0,FL-MAX(I981,GWL))*GAM_D)/(GAM_W*PI()*E981^2/4))</f>
        <v>7.00985737135863</v>
      </c>
    </row>
    <row r="982" customFormat="false" ht="15" hidden="false" customHeight="false" outlineLevel="0" collapsed="false">
      <c r="A982" s="25" t="s">
        <v>1502</v>
      </c>
      <c r="B982" s="25" t="s">
        <v>1570</v>
      </c>
      <c r="C982" s="25" t="s">
        <v>1580</v>
      </c>
      <c r="D982" s="26" t="n">
        <v>10.0000000001519</v>
      </c>
      <c r="E982" s="26" t="n">
        <v>0.999995860518062</v>
      </c>
      <c r="F982" s="26" t="n">
        <v>-4.09999793025903</v>
      </c>
      <c r="G982" s="26" t="n">
        <v>-4.09999793025903</v>
      </c>
      <c r="H982" s="26" t="n">
        <v>-2.60000206974097</v>
      </c>
      <c r="I982" s="26" t="n">
        <v>-2.60000206974097</v>
      </c>
      <c r="J982" s="26" t="n">
        <v>7.08</v>
      </c>
      <c r="K982" s="27" t="n">
        <f aca="false">MIN(F982,G982)</f>
        <v>-4.09999793025903</v>
      </c>
      <c r="L982" s="27" t="n">
        <f aca="false">AVERAGE(F982,G982)</f>
        <v>-4.09999793025903</v>
      </c>
      <c r="M982" s="27" t="n">
        <f aca="false">MAX(0,NG-L982)</f>
        <v>3.39999793025903</v>
      </c>
      <c r="N982" s="27" t="n">
        <f aca="false">MAX(0,GWL-K982)</f>
        <v>2.59999793025903</v>
      </c>
      <c r="O982" s="27" t="n">
        <f aca="false">MAX(0,NG-MAX(K982,GWL))</f>
        <v>0.8</v>
      </c>
      <c r="P982" s="27" t="n">
        <f aca="false">E982/2+WS+SLOPE_A*O982+SLOPE_B*N982</f>
        <v>7.89999379077709</v>
      </c>
      <c r="Q982" s="28" t="str">
        <f aca="false">IF(AND(P982&lt;J982,N982&lt;=MAXOC),"Open cut","Shoring")</f>
        <v>Shoring</v>
      </c>
      <c r="R982" s="27" t="n">
        <f aca="false">IF(Q982="Shoring",D982,0)</f>
        <v>10.0000000001519</v>
      </c>
      <c r="S982" s="27" t="n">
        <f aca="false">MAX(0,GWL-L982)</f>
        <v>2.59999793025903</v>
      </c>
      <c r="T982" s="27" t="n">
        <f aca="false">MAX(0,NG-MAX(L982,GWL))</f>
        <v>0.8</v>
      </c>
      <c r="U982" s="27" t="n">
        <f aca="false">E982+2*WS</f>
        <v>2.99999586051806</v>
      </c>
      <c r="V982" s="27" t="n">
        <f aca="false">IF(Q982="Shoring",D982*M982*U982,0)</f>
        <v>101.99979716702</v>
      </c>
      <c r="W982" s="27" t="n">
        <f aca="false">IF(Q982="Open cut",D982*(U982*M982+SLOPE_B*S982^2+2*SLOPE_B*S982*T982+SLOPE_A*T982^2),0)</f>
        <v>0</v>
      </c>
      <c r="X982" s="27" t="n">
        <f aca="false">IF(M982&gt;0,D982*(E982+2*SLABOVH)*SLAB,0)</f>
        <v>9.99997930274217</v>
      </c>
      <c r="Y982" s="27" t="n">
        <f aca="false">IF(M982&gt;0,D982*PI()*E982^2/4,0)</f>
        <v>7.85391661139811</v>
      </c>
      <c r="Z982" s="27" t="n">
        <f aca="false">IF(H982-E982&gt;=GWL,99,E982*(MAX(0,GWL-H982)*(GAM_S-GAM_W)+MAX(0,NG-MAX(H982,GWL))*GAM_D)/(GAM_W*PI()*E982^2/4))</f>
        <v>3.03826803920187</v>
      </c>
      <c r="AA982" s="27" t="n">
        <f aca="false">IF(I982-E982&gt;=GWL,99,E982*(MAX(0,GWL-I982)*(GAM_S-GAM_W)+MAX(0,NG-MAX(I982,GWL))*GAM_D)/(GAM_W*PI()*E982^2/4))</f>
        <v>3.03826803920187</v>
      </c>
      <c r="AB982" s="27" t="n">
        <f aca="false">IF(H982-E982&gt;=GWL,99,E982*(MAX(0,GWL-H982)*(GAM_S-GAM_W)+MAX(0,FL-MAX(H982,GWL))*GAM_D)/(GAM_W*PI()*E982^2/4))</f>
        <v>7.00985737135863</v>
      </c>
      <c r="AC982" s="27" t="n">
        <f aca="false">IF(I982-E982&gt;=GWL,99,E982*(MAX(0,GWL-I982)*(GAM_S-GAM_W)+MAX(0,FL-MAX(I982,GWL))*GAM_D)/(GAM_W*PI()*E982^2/4))</f>
        <v>7.00985737135863</v>
      </c>
    </row>
    <row r="983" customFormat="false" ht="15" hidden="false" customHeight="false" outlineLevel="0" collapsed="false">
      <c r="A983" s="25" t="s">
        <v>1502</v>
      </c>
      <c r="B983" s="25" t="s">
        <v>1570</v>
      </c>
      <c r="C983" s="25" t="s">
        <v>1581</v>
      </c>
      <c r="D983" s="26" t="n">
        <v>1.22783298408355</v>
      </c>
      <c r="E983" s="26" t="n">
        <v>0.999995860518062</v>
      </c>
      <c r="F983" s="26" t="n">
        <v>-4.09999793025903</v>
      </c>
      <c r="G983" s="26" t="n">
        <v>-4.09999793025903</v>
      </c>
      <c r="H983" s="26" t="n">
        <v>-2.60000206974097</v>
      </c>
      <c r="I983" s="26" t="n">
        <v>-2.60000206974097</v>
      </c>
      <c r="J983" s="26" t="n">
        <v>7.02</v>
      </c>
      <c r="K983" s="27" t="n">
        <f aca="false">MIN(F983,G983)</f>
        <v>-4.09999793025903</v>
      </c>
      <c r="L983" s="27" t="n">
        <f aca="false">AVERAGE(F983,G983)</f>
        <v>-4.09999793025903</v>
      </c>
      <c r="M983" s="27" t="n">
        <f aca="false">MAX(0,NG-L983)</f>
        <v>3.39999793025903</v>
      </c>
      <c r="N983" s="27" t="n">
        <f aca="false">MAX(0,GWL-K983)</f>
        <v>2.59999793025903</v>
      </c>
      <c r="O983" s="27" t="n">
        <f aca="false">MAX(0,NG-MAX(K983,GWL))</f>
        <v>0.8</v>
      </c>
      <c r="P983" s="27" t="n">
        <f aca="false">E983/2+WS+SLOPE_A*O983+SLOPE_B*N983</f>
        <v>7.89999379077709</v>
      </c>
      <c r="Q983" s="28" t="str">
        <f aca="false">IF(AND(P983&lt;J983,N983&lt;=MAXOC),"Open cut","Shoring")</f>
        <v>Shoring</v>
      </c>
      <c r="R983" s="27" t="n">
        <f aca="false">IF(Q983="Shoring",D983,0)</f>
        <v>1.22783298408355</v>
      </c>
      <c r="S983" s="27" t="n">
        <f aca="false">MAX(0,GWL-L983)</f>
        <v>2.59999793025903</v>
      </c>
      <c r="T983" s="27" t="n">
        <f aca="false">MAX(0,NG-MAX(L983,GWL))</f>
        <v>0.8</v>
      </c>
      <c r="U983" s="27" t="n">
        <f aca="false">E983+2*WS</f>
        <v>2.99999586051806</v>
      </c>
      <c r="V983" s="27" t="n">
        <f aca="false">IF(Q983="Shoring",D983*M983*U983,0)</f>
        <v>12.5238715329597</v>
      </c>
      <c r="W983" s="27" t="n">
        <f aca="false">IF(Q983="Open cut",D983*(U983*M983+SLOPE_B*S983^2+2*SLOPE_B*S983*T983+SLOPE_A*T983^2),0)</f>
        <v>0</v>
      </c>
      <c r="X983" s="27" t="n">
        <f aca="false">IF(M983&gt;0,D983*(E983+2*SLABOVH)*SLAB,0)</f>
        <v>1.22783044278732</v>
      </c>
      <c r="Y983" s="27" t="n">
        <f aca="false">IF(M983&gt;0,D983*PI()*E983^2/4,0)</f>
        <v>0.964329786956987</v>
      </c>
      <c r="Z983" s="27" t="n">
        <f aca="false">IF(H983-E983&gt;=GWL,99,E983*(MAX(0,GWL-H983)*(GAM_S-GAM_W)+MAX(0,NG-MAX(H983,GWL))*GAM_D)/(GAM_W*PI()*E983^2/4))</f>
        <v>3.03826803920187</v>
      </c>
      <c r="AA983" s="27" t="n">
        <f aca="false">IF(I983-E983&gt;=GWL,99,E983*(MAX(0,GWL-I983)*(GAM_S-GAM_W)+MAX(0,NG-MAX(I983,GWL))*GAM_D)/(GAM_W*PI()*E983^2/4))</f>
        <v>3.03826803920187</v>
      </c>
      <c r="AB983" s="27" t="n">
        <f aca="false">IF(H983-E983&gt;=GWL,99,E983*(MAX(0,GWL-H983)*(GAM_S-GAM_W)+MAX(0,FL-MAX(H983,GWL))*GAM_D)/(GAM_W*PI()*E983^2/4))</f>
        <v>7.00985737135863</v>
      </c>
      <c r="AC983" s="27" t="n">
        <f aca="false">IF(I983-E983&gt;=GWL,99,E983*(MAX(0,GWL-I983)*(GAM_S-GAM_W)+MAX(0,FL-MAX(I983,GWL))*GAM_D)/(GAM_W*PI()*E983^2/4))</f>
        <v>7.00985737135863</v>
      </c>
    </row>
    <row r="984" customFormat="false" ht="15" hidden="false" customHeight="false" outlineLevel="0" collapsed="false">
      <c r="A984" s="25" t="s">
        <v>1502</v>
      </c>
      <c r="B984" s="25" t="s">
        <v>1570</v>
      </c>
      <c r="C984" s="25" t="s">
        <v>1582</v>
      </c>
      <c r="D984" s="26" t="n">
        <v>0.63639931639372</v>
      </c>
      <c r="E984" s="26" t="n">
        <v>0.980785326103681</v>
      </c>
      <c r="F984" s="26" t="n">
        <v>-4.09039266305184</v>
      </c>
      <c r="G984" s="26" t="n">
        <v>-4.09039266305184</v>
      </c>
      <c r="H984" s="26" t="n">
        <v>-2.60960733694816</v>
      </c>
      <c r="I984" s="26" t="n">
        <v>-2.60960733694816</v>
      </c>
      <c r="J984" s="26" t="n">
        <v>7.01</v>
      </c>
      <c r="K984" s="27" t="n">
        <f aca="false">MIN(F984,G984)</f>
        <v>-4.09039266305184</v>
      </c>
      <c r="L984" s="27" t="n">
        <f aca="false">AVERAGE(F984,G984)</f>
        <v>-4.09039266305184</v>
      </c>
      <c r="M984" s="27" t="n">
        <f aca="false">MAX(0,NG-L984)</f>
        <v>3.39039266305184</v>
      </c>
      <c r="N984" s="27" t="n">
        <f aca="false">MAX(0,GWL-K984)</f>
        <v>2.59039266305184</v>
      </c>
      <c r="O984" s="27" t="n">
        <f aca="false">MAX(0,NG-MAX(K984,GWL))</f>
        <v>0.8</v>
      </c>
      <c r="P984" s="27" t="n">
        <f aca="false">E984/2+WS+SLOPE_A*O984+SLOPE_B*N984</f>
        <v>7.87117798915552</v>
      </c>
      <c r="Q984" s="28" t="str">
        <f aca="false">IF(AND(P984&lt;J984,N984&lt;=MAXOC),"Open cut","Shoring")</f>
        <v>Shoring</v>
      </c>
      <c r="R984" s="27" t="n">
        <f aca="false">IF(Q984="Shoring",D984,0)</f>
        <v>0.63639931639372</v>
      </c>
      <c r="S984" s="27" t="n">
        <f aca="false">MAX(0,GWL-L984)</f>
        <v>2.59039266305184</v>
      </c>
      <c r="T984" s="27" t="n">
        <f aca="false">MAX(0,NG-MAX(L984,GWL))</f>
        <v>0.8</v>
      </c>
      <c r="U984" s="27" t="n">
        <f aca="false">E984+2*WS</f>
        <v>2.98078532610368</v>
      </c>
      <c r="V984" s="27" t="n">
        <f aca="false">IF(Q984="Shoring",D984*M984*U984,0)</f>
        <v>6.43147230157635</v>
      </c>
      <c r="W984" s="27" t="n">
        <f aca="false">IF(Q984="Open cut",D984*(U984*M984+SLOPE_B*S984^2+2*SLOPE_B*S984*T984+SLOPE_A*T984^2),0)</f>
        <v>0</v>
      </c>
      <c r="X984" s="27" t="n">
        <f aca="false">IF(M984&gt;0,D984*(E984+2*SLABOVH)*SLAB,0)</f>
        <v>0.630285213727547</v>
      </c>
      <c r="Y984" s="27" t="n">
        <f aca="false">IF(M984&gt;0,D984*PI()*E984^2/4,0)</f>
        <v>0.48080337218411</v>
      </c>
      <c r="Z984" s="27" t="n">
        <f aca="false">IF(H984-E984&gt;=GWL,99,E984*(MAX(0,GWL-H984)*(GAM_S-GAM_W)+MAX(0,NG-MAX(H984,GWL))*GAM_D)/(GAM_W*PI()*E984^2/4))</f>
        <v>3.10818849574782</v>
      </c>
      <c r="AA984" s="27" t="n">
        <f aca="false">IF(I984-E984&gt;=GWL,99,E984*(MAX(0,GWL-I984)*(GAM_S-GAM_W)+MAX(0,NG-MAX(I984,GWL))*GAM_D)/(GAM_W*PI()*E984^2/4))</f>
        <v>3.10818849574782</v>
      </c>
      <c r="AB984" s="27" t="n">
        <f aca="false">IF(H984-E984&gt;=GWL,99,E984*(MAX(0,GWL-H984)*(GAM_S-GAM_W)+MAX(0,FL-MAX(H984,GWL))*GAM_D)/(GAM_W*PI()*E984^2/4))</f>
        <v>7.15756891175805</v>
      </c>
      <c r="AC984" s="27" t="n">
        <f aca="false">IF(I984-E984&gt;=GWL,99,E984*(MAX(0,GWL-I984)*(GAM_S-GAM_W)+MAX(0,FL-MAX(I984,GWL))*GAM_D)/(GAM_W*PI()*E984^2/4))</f>
        <v>7.15756891175805</v>
      </c>
    </row>
    <row r="985" customFormat="false" ht="15" hidden="false" customHeight="false" outlineLevel="0" collapsed="false">
      <c r="A985" s="25" t="s">
        <v>1502</v>
      </c>
      <c r="B985" s="25" t="s">
        <v>1583</v>
      </c>
      <c r="C985" s="25" t="s">
        <v>1584</v>
      </c>
      <c r="D985" s="26" t="n">
        <v>9.99999999967786</v>
      </c>
      <c r="E985" s="26" t="n">
        <v>0.99999828601514</v>
      </c>
      <c r="F985" s="26" t="n">
        <v>-5.39999914300757</v>
      </c>
      <c r="G985" s="26" t="n">
        <v>-5.39999914300757</v>
      </c>
      <c r="H985" s="26" t="n">
        <v>-3.90000085699243</v>
      </c>
      <c r="I985" s="26" t="n">
        <v>-3.90000085699243</v>
      </c>
      <c r="J985" s="26" t="n">
        <v>99</v>
      </c>
      <c r="K985" s="27" t="n">
        <f aca="false">MIN(F985,G985)</f>
        <v>-5.39999914300757</v>
      </c>
      <c r="L985" s="27" t="n">
        <f aca="false">AVERAGE(F985,G985)</f>
        <v>-5.39999914300757</v>
      </c>
      <c r="M985" s="27" t="n">
        <f aca="false">MAX(0,NG-L985)</f>
        <v>4.69999914300757</v>
      </c>
      <c r="N985" s="27" t="n">
        <f aca="false">MAX(0,GWL-K985)</f>
        <v>3.89999914300757</v>
      </c>
      <c r="O985" s="27" t="n">
        <f aca="false">MAX(0,NG-MAX(K985,GWL))</f>
        <v>0.8</v>
      </c>
      <c r="P985" s="27" t="n">
        <f aca="false">E985/2+WS+SLOPE_A*O985+SLOPE_B*N985</f>
        <v>10.4999974290227</v>
      </c>
      <c r="Q985" s="28" t="str">
        <f aca="false">IF(AND(P985&lt;J985,N985&lt;=MAXOC),"Open cut","Shoring")</f>
        <v>Shoring</v>
      </c>
      <c r="R985" s="27" t="n">
        <f aca="false">IF(Q985="Shoring",D985,0)</f>
        <v>9.99999999967786</v>
      </c>
      <c r="S985" s="27" t="n">
        <f aca="false">MAX(0,GWL-L985)</f>
        <v>3.89999914300757</v>
      </c>
      <c r="T985" s="27" t="n">
        <f aca="false">MAX(0,NG-MAX(L985,GWL))</f>
        <v>0.8</v>
      </c>
      <c r="U985" s="27" t="n">
        <f aca="false">E985+2*WS</f>
        <v>2.99999828601514</v>
      </c>
      <c r="V985" s="27" t="n">
        <f aca="false">IF(Q985="Shoring",D985*M985*U985,0)</f>
        <v>140.999893728411</v>
      </c>
      <c r="W985" s="27" t="n">
        <f aca="false">IF(Q985="Open cut",D985*(U985*M985+SLOPE_B*S985^2+2*SLOPE_B*S985*T985+SLOPE_A*T985^2),0)</f>
        <v>0</v>
      </c>
      <c r="X985" s="27" t="n">
        <f aca="false">IF(M985&gt;0,D985*(E985+2*SLABOVH)*SLAB,0)</f>
        <v>9.99999142975356</v>
      </c>
      <c r="Y985" s="27" t="n">
        <f aca="false">IF(M985&gt;0,D985*PI()*E985^2/4,0)</f>
        <v>7.85395471053333</v>
      </c>
      <c r="Z985" s="27" t="n">
        <f aca="false">IF(H985-E985&gt;=GWL,99,E985*(MAX(0,GWL-H985)*(GAM_S-GAM_W)+MAX(0,NG-MAX(H985,GWL))*GAM_D)/(GAM_W*PI()*E985^2/4))</f>
        <v>4.42013549368789</v>
      </c>
      <c r="AA985" s="27" t="n">
        <f aca="false">IF(I985-E985&gt;=GWL,99,E985*(MAX(0,GWL-I985)*(GAM_S-GAM_W)+MAX(0,NG-MAX(I985,GWL))*GAM_D)/(GAM_W*PI()*E985^2/4))</f>
        <v>4.42013549368789</v>
      </c>
      <c r="AB985" s="27" t="n">
        <f aca="false">IF(H985-E985&gt;=GWL,99,E985*(MAX(0,GWL-H985)*(GAM_S-GAM_W)+MAX(0,FL-MAX(H985,GWL))*GAM_D)/(GAM_W*PI()*E985^2/4))</f>
        <v>8.39171519274982</v>
      </c>
      <c r="AC985" s="27" t="n">
        <f aca="false">IF(I985-E985&gt;=GWL,99,E985*(MAX(0,GWL-I985)*(GAM_S-GAM_W)+MAX(0,FL-MAX(I985,GWL))*GAM_D)/(GAM_W*PI()*E985^2/4))</f>
        <v>8.39171519274982</v>
      </c>
    </row>
    <row r="986" customFormat="false" ht="15" hidden="false" customHeight="false" outlineLevel="0" collapsed="false">
      <c r="A986" s="25" t="s">
        <v>1502</v>
      </c>
      <c r="B986" s="25" t="s">
        <v>1583</v>
      </c>
      <c r="C986" s="25" t="s">
        <v>1585</v>
      </c>
      <c r="D986" s="26" t="n">
        <v>10.000000000385</v>
      </c>
      <c r="E986" s="26" t="n">
        <v>0.99999828601514</v>
      </c>
      <c r="F986" s="26" t="n">
        <v>-5.39999914300757</v>
      </c>
      <c r="G986" s="26" t="n">
        <v>-5.39999914300757</v>
      </c>
      <c r="H986" s="26" t="n">
        <v>-3.90000085699243</v>
      </c>
      <c r="I986" s="26" t="n">
        <v>-3.90000085699243</v>
      </c>
      <c r="J986" s="26" t="n">
        <v>24.6</v>
      </c>
      <c r="K986" s="27" t="n">
        <f aca="false">MIN(F986,G986)</f>
        <v>-5.39999914300757</v>
      </c>
      <c r="L986" s="27" t="n">
        <f aca="false">AVERAGE(F986,G986)</f>
        <v>-5.39999914300757</v>
      </c>
      <c r="M986" s="27" t="n">
        <f aca="false">MAX(0,NG-L986)</f>
        <v>4.69999914300757</v>
      </c>
      <c r="N986" s="27" t="n">
        <f aca="false">MAX(0,GWL-K986)</f>
        <v>3.89999914300757</v>
      </c>
      <c r="O986" s="27" t="n">
        <f aca="false">MAX(0,NG-MAX(K986,GWL))</f>
        <v>0.8</v>
      </c>
      <c r="P986" s="27" t="n">
        <f aca="false">E986/2+WS+SLOPE_A*O986+SLOPE_B*N986</f>
        <v>10.4999974290227</v>
      </c>
      <c r="Q986" s="28" t="str">
        <f aca="false">IF(AND(P986&lt;J986,N986&lt;=MAXOC),"Open cut","Shoring")</f>
        <v>Shoring</v>
      </c>
      <c r="R986" s="27" t="n">
        <f aca="false">IF(Q986="Shoring",D986,0)</f>
        <v>10.000000000385</v>
      </c>
      <c r="S986" s="27" t="n">
        <f aca="false">MAX(0,GWL-L986)</f>
        <v>3.89999914300757</v>
      </c>
      <c r="T986" s="27" t="n">
        <f aca="false">MAX(0,NG-MAX(L986,GWL))</f>
        <v>0.8</v>
      </c>
      <c r="U986" s="27" t="n">
        <f aca="false">E986+2*WS</f>
        <v>2.99999828601514</v>
      </c>
      <c r="V986" s="27" t="n">
        <f aca="false">IF(Q986="Shoring",D986*M986*U986,0)</f>
        <v>140.999893738382</v>
      </c>
      <c r="W986" s="27" t="n">
        <f aca="false">IF(Q986="Open cut",D986*(U986*M986+SLOPE_B*S986^2+2*SLOPE_B*S986*T986+SLOPE_A*T986^2),0)</f>
        <v>0</v>
      </c>
      <c r="X986" s="27" t="n">
        <f aca="false">IF(M986&gt;0,D986*(E986+2*SLABOVH)*SLAB,0)</f>
        <v>9.9999914304607</v>
      </c>
      <c r="Y986" s="27" t="n">
        <f aca="false">IF(M986&gt;0,D986*PI()*E986^2/4,0)</f>
        <v>7.85395471108871</v>
      </c>
      <c r="Z986" s="27" t="n">
        <f aca="false">IF(H986-E986&gt;=GWL,99,E986*(MAX(0,GWL-H986)*(GAM_S-GAM_W)+MAX(0,NG-MAX(H986,GWL))*GAM_D)/(GAM_W*PI()*E986^2/4))</f>
        <v>4.42013549368789</v>
      </c>
      <c r="AA986" s="27" t="n">
        <f aca="false">IF(I986-E986&gt;=GWL,99,E986*(MAX(0,GWL-I986)*(GAM_S-GAM_W)+MAX(0,NG-MAX(I986,GWL))*GAM_D)/(GAM_W*PI()*E986^2/4))</f>
        <v>4.42013549368789</v>
      </c>
      <c r="AB986" s="27" t="n">
        <f aca="false">IF(H986-E986&gt;=GWL,99,E986*(MAX(0,GWL-H986)*(GAM_S-GAM_W)+MAX(0,FL-MAX(H986,GWL))*GAM_D)/(GAM_W*PI()*E986^2/4))</f>
        <v>8.39171519274982</v>
      </c>
      <c r="AC986" s="27" t="n">
        <f aca="false">IF(I986-E986&gt;=GWL,99,E986*(MAX(0,GWL-I986)*(GAM_S-GAM_W)+MAX(0,FL-MAX(I986,GWL))*GAM_D)/(GAM_W*PI()*E986^2/4))</f>
        <v>8.39171519274982</v>
      </c>
    </row>
    <row r="987" customFormat="false" ht="15" hidden="false" customHeight="false" outlineLevel="0" collapsed="false">
      <c r="A987" s="25" t="s">
        <v>1502</v>
      </c>
      <c r="B987" s="25" t="s">
        <v>1583</v>
      </c>
      <c r="C987" s="25" t="s">
        <v>1586</v>
      </c>
      <c r="D987" s="26" t="n">
        <v>8.69079999981673</v>
      </c>
      <c r="E987" s="26" t="n">
        <v>0.99999828601514</v>
      </c>
      <c r="F987" s="26" t="n">
        <v>-5.39999914300757</v>
      </c>
      <c r="G987" s="26" t="n">
        <v>-5.39999914300757</v>
      </c>
      <c r="H987" s="26" t="n">
        <v>-3.90000085699243</v>
      </c>
      <c r="I987" s="26" t="n">
        <v>-3.90000085699243</v>
      </c>
      <c r="J987" s="26" t="n">
        <v>18.35</v>
      </c>
      <c r="K987" s="27" t="n">
        <f aca="false">MIN(F987,G987)</f>
        <v>-5.39999914300757</v>
      </c>
      <c r="L987" s="27" t="n">
        <f aca="false">AVERAGE(F987,G987)</f>
        <v>-5.39999914300757</v>
      </c>
      <c r="M987" s="27" t="n">
        <f aca="false">MAX(0,NG-L987)</f>
        <v>4.69999914300757</v>
      </c>
      <c r="N987" s="27" t="n">
        <f aca="false">MAX(0,GWL-K987)</f>
        <v>3.89999914300757</v>
      </c>
      <c r="O987" s="27" t="n">
        <f aca="false">MAX(0,NG-MAX(K987,GWL))</f>
        <v>0.8</v>
      </c>
      <c r="P987" s="27" t="n">
        <f aca="false">E987/2+WS+SLOPE_A*O987+SLOPE_B*N987</f>
        <v>10.4999974290227</v>
      </c>
      <c r="Q987" s="28" t="str">
        <f aca="false">IF(AND(P987&lt;J987,N987&lt;=MAXOC),"Open cut","Shoring")</f>
        <v>Shoring</v>
      </c>
      <c r="R987" s="27" t="n">
        <f aca="false">IF(Q987="Shoring",D987,0)</f>
        <v>8.69079999981673</v>
      </c>
      <c r="S987" s="27" t="n">
        <f aca="false">MAX(0,GWL-L987)</f>
        <v>3.89999914300757</v>
      </c>
      <c r="T987" s="27" t="n">
        <f aca="false">MAX(0,NG-MAX(L987,GWL))</f>
        <v>0.8</v>
      </c>
      <c r="U987" s="27" t="n">
        <f aca="false">E987+2*WS</f>
        <v>2.99999828601514</v>
      </c>
      <c r="V987" s="27" t="n">
        <f aca="false">IF(Q987="Shoring",D987*M987*U987,0)</f>
        <v>122.540187642851</v>
      </c>
      <c r="W987" s="27" t="n">
        <f aca="false">IF(Q987="Open cut",D987*(U987*M987+SLOPE_B*S987^2+2*SLOPE_B*S987*T987+SLOPE_A*T987^2),0)</f>
        <v>0</v>
      </c>
      <c r="X987" s="27" t="n">
        <f aca="false">IF(M987&gt;0,D987*(E987+2*SLABOVH)*SLAB,0)</f>
        <v>8.69079255186693</v>
      </c>
      <c r="Y987" s="27" t="n">
        <f aca="false">IF(M987&gt;0,D987*PI()*E987^2/4,0)</f>
        <v>6.82571495990625</v>
      </c>
      <c r="Z987" s="27" t="n">
        <f aca="false">IF(H987-E987&gt;=GWL,99,E987*(MAX(0,GWL-H987)*(GAM_S-GAM_W)+MAX(0,NG-MAX(H987,GWL))*GAM_D)/(GAM_W*PI()*E987^2/4))</f>
        <v>4.42013549368789</v>
      </c>
      <c r="AA987" s="27" t="n">
        <f aca="false">IF(I987-E987&gt;=GWL,99,E987*(MAX(0,GWL-I987)*(GAM_S-GAM_W)+MAX(0,NG-MAX(I987,GWL))*GAM_D)/(GAM_W*PI()*E987^2/4))</f>
        <v>4.42013549368789</v>
      </c>
      <c r="AB987" s="27" t="n">
        <f aca="false">IF(H987-E987&gt;=GWL,99,E987*(MAX(0,GWL-H987)*(GAM_S-GAM_W)+MAX(0,FL-MAX(H987,GWL))*GAM_D)/(GAM_W*PI()*E987^2/4))</f>
        <v>8.39171519274982</v>
      </c>
      <c r="AC987" s="27" t="n">
        <f aca="false">IF(I987-E987&gt;=GWL,99,E987*(MAX(0,GWL-I987)*(GAM_S-GAM_W)+MAX(0,FL-MAX(I987,GWL))*GAM_D)/(GAM_W*PI()*E987^2/4))</f>
        <v>8.39171519274982</v>
      </c>
    </row>
    <row r="988" customFormat="false" ht="15" hidden="false" customHeight="false" outlineLevel="0" collapsed="false">
      <c r="A988" s="25" t="s">
        <v>1502</v>
      </c>
      <c r="B988" s="25" t="s">
        <v>1583</v>
      </c>
      <c r="C988" s="25" t="s">
        <v>1587</v>
      </c>
      <c r="D988" s="26" t="n">
        <v>0.262841694574083</v>
      </c>
      <c r="E988" s="26" t="n">
        <v>0.99999828601514</v>
      </c>
      <c r="F988" s="26" t="n">
        <v>-5.39999914300757</v>
      </c>
      <c r="G988" s="26" t="n">
        <v>-5.39999914300757</v>
      </c>
      <c r="H988" s="26" t="n">
        <v>-3.90000085699243</v>
      </c>
      <c r="I988" s="26" t="n">
        <v>-3.90000085699243</v>
      </c>
      <c r="J988" s="26" t="n">
        <v>18.17</v>
      </c>
      <c r="K988" s="27" t="n">
        <f aca="false">MIN(F988,G988)</f>
        <v>-5.39999914300757</v>
      </c>
      <c r="L988" s="27" t="n">
        <f aca="false">AVERAGE(F988,G988)</f>
        <v>-5.39999914300757</v>
      </c>
      <c r="M988" s="27" t="n">
        <f aca="false">MAX(0,NG-L988)</f>
        <v>4.69999914300757</v>
      </c>
      <c r="N988" s="27" t="n">
        <f aca="false">MAX(0,GWL-K988)</f>
        <v>3.89999914300757</v>
      </c>
      <c r="O988" s="27" t="n">
        <f aca="false">MAX(0,NG-MAX(K988,GWL))</f>
        <v>0.8</v>
      </c>
      <c r="P988" s="27" t="n">
        <f aca="false">E988/2+WS+SLOPE_A*O988+SLOPE_B*N988</f>
        <v>10.4999974290227</v>
      </c>
      <c r="Q988" s="28" t="str">
        <f aca="false">IF(AND(P988&lt;J988,N988&lt;=MAXOC),"Open cut","Shoring")</f>
        <v>Shoring</v>
      </c>
      <c r="R988" s="27" t="n">
        <f aca="false">IF(Q988="Shoring",D988,0)</f>
        <v>0.262841694574083</v>
      </c>
      <c r="S988" s="27" t="n">
        <f aca="false">MAX(0,GWL-L988)</f>
        <v>3.89999914300757</v>
      </c>
      <c r="T988" s="27" t="n">
        <f aca="false">MAX(0,NG-MAX(L988,GWL))</f>
        <v>0.8</v>
      </c>
      <c r="U988" s="27" t="n">
        <f aca="false">E988+2*WS</f>
        <v>2.99999828601514</v>
      </c>
      <c r="V988" s="27" t="n">
        <f aca="false">IF(Q988="Shoring",D988*M988*U988,0)</f>
        <v>3.70606510035351</v>
      </c>
      <c r="W988" s="27" t="n">
        <f aca="false">IF(Q988="Open cut",D988*(U988*M988+SLOPE_B*S988^2+2*SLOPE_B*S988*T988+SLOPE_A*T988^2),0)</f>
        <v>0</v>
      </c>
      <c r="X988" s="27" t="n">
        <f aca="false">IF(M988&gt;0,D988*(E988+2*SLABOVH)*SLAB,0)</f>
        <v>0.26284146932074</v>
      </c>
      <c r="Y988" s="27" t="n">
        <f aca="false">IF(M988&gt;0,D988*PI()*E988^2/4,0)</f>
        <v>0.206434676529118</v>
      </c>
      <c r="Z988" s="27" t="n">
        <f aca="false">IF(H988-E988&gt;=GWL,99,E988*(MAX(0,GWL-H988)*(GAM_S-GAM_W)+MAX(0,NG-MAX(H988,GWL))*GAM_D)/(GAM_W*PI()*E988^2/4))</f>
        <v>4.42013549368789</v>
      </c>
      <c r="AA988" s="27" t="n">
        <f aca="false">IF(I988-E988&gt;=GWL,99,E988*(MAX(0,GWL-I988)*(GAM_S-GAM_W)+MAX(0,NG-MAX(I988,GWL))*GAM_D)/(GAM_W*PI()*E988^2/4))</f>
        <v>4.42013549368789</v>
      </c>
      <c r="AB988" s="27" t="n">
        <f aca="false">IF(H988-E988&gt;=GWL,99,E988*(MAX(0,GWL-H988)*(GAM_S-GAM_W)+MAX(0,FL-MAX(H988,GWL))*GAM_D)/(GAM_W*PI()*E988^2/4))</f>
        <v>8.39171519274982</v>
      </c>
      <c r="AC988" s="27" t="n">
        <f aca="false">IF(I988-E988&gt;=GWL,99,E988*(MAX(0,GWL-I988)*(GAM_S-GAM_W)+MAX(0,FL-MAX(I988,GWL))*GAM_D)/(GAM_W*PI()*E988^2/4))</f>
        <v>8.39171519274982</v>
      </c>
    </row>
    <row r="989" customFormat="false" ht="15" hidden="false" customHeight="false" outlineLevel="0" collapsed="false">
      <c r="A989" s="25" t="s">
        <v>1502</v>
      </c>
      <c r="B989" s="25" t="s">
        <v>1583</v>
      </c>
      <c r="C989" s="25" t="s">
        <v>1588</v>
      </c>
      <c r="D989" s="26" t="n">
        <v>0.242187441979852</v>
      </c>
      <c r="E989" s="26" t="n">
        <v>0.999994964205257</v>
      </c>
      <c r="F989" s="26" t="n">
        <v>-5.39999748210263</v>
      </c>
      <c r="G989" s="26" t="n">
        <v>-5.39999748210263</v>
      </c>
      <c r="H989" s="26" t="n">
        <v>-3.90000251789737</v>
      </c>
      <c r="I989" s="26" t="n">
        <v>-3.90000251789737</v>
      </c>
      <c r="J989" s="26" t="n">
        <v>17.94</v>
      </c>
      <c r="K989" s="27" t="n">
        <f aca="false">MIN(F989,G989)</f>
        <v>-5.39999748210263</v>
      </c>
      <c r="L989" s="27" t="n">
        <f aca="false">AVERAGE(F989,G989)</f>
        <v>-5.39999748210263</v>
      </c>
      <c r="M989" s="27" t="n">
        <f aca="false">MAX(0,NG-L989)</f>
        <v>4.69999748210263</v>
      </c>
      <c r="N989" s="27" t="n">
        <f aca="false">MAX(0,GWL-K989)</f>
        <v>3.89999748210263</v>
      </c>
      <c r="O989" s="27" t="n">
        <f aca="false">MAX(0,NG-MAX(K989,GWL))</f>
        <v>0.8</v>
      </c>
      <c r="P989" s="27" t="n">
        <f aca="false">E989/2+WS+SLOPE_A*O989+SLOPE_B*N989</f>
        <v>10.4999924463079</v>
      </c>
      <c r="Q989" s="28" t="str">
        <f aca="false">IF(AND(P989&lt;J989,N989&lt;=MAXOC),"Open cut","Shoring")</f>
        <v>Shoring</v>
      </c>
      <c r="R989" s="27" t="n">
        <f aca="false">IF(Q989="Shoring",D989,0)</f>
        <v>0.242187441979852</v>
      </c>
      <c r="S989" s="27" t="n">
        <f aca="false">MAX(0,GWL-L989)</f>
        <v>3.89999748210263</v>
      </c>
      <c r="T989" s="27" t="n">
        <f aca="false">MAX(0,NG-MAX(L989,GWL))</f>
        <v>0.8</v>
      </c>
      <c r="U989" s="27" t="n">
        <f aca="false">E989+2*WS</f>
        <v>2.99999496420526</v>
      </c>
      <c r="V989" s="27" t="n">
        <f aca="false">IF(Q989="Shoring",D989*M989*U989,0)</f>
        <v>3.41483537036025</v>
      </c>
      <c r="W989" s="27" t="n">
        <f aca="false">IF(Q989="Open cut",D989*(U989*M989+SLOPE_B*S989^2+2*SLOPE_B*S989*T989+SLOPE_A*T989^2),0)</f>
        <v>0</v>
      </c>
      <c r="X989" s="27" t="n">
        <f aca="false">IF(M989&gt;0,D989*(E989+2*SLABOVH)*SLAB,0)</f>
        <v>0.242186832176728</v>
      </c>
      <c r="Y989" s="27" t="n">
        <f aca="false">IF(M989&gt;0,D989*PI()*E989^2/4,0)</f>
        <v>0.190211656380712</v>
      </c>
      <c r="Z989" s="27" t="n">
        <f aca="false">IF(H989-E989&gt;=GWL,99,E989*(MAX(0,GWL-H989)*(GAM_S-GAM_W)+MAX(0,NG-MAX(H989,GWL))*GAM_D)/(GAM_W*PI()*E989^2/4))</f>
        <v>4.4201519421289</v>
      </c>
      <c r="AA989" s="27" t="n">
        <f aca="false">IF(I989-E989&gt;=GWL,99,E989*(MAX(0,GWL-I989)*(GAM_S-GAM_W)+MAX(0,NG-MAX(I989,GWL))*GAM_D)/(GAM_W*PI()*E989^2/4))</f>
        <v>4.4201519421289</v>
      </c>
      <c r="AB989" s="27" t="n">
        <f aca="false">IF(H989-E989&gt;=GWL,99,E989*(MAX(0,GWL-H989)*(GAM_S-GAM_W)+MAX(0,FL-MAX(H989,GWL))*GAM_D)/(GAM_W*PI()*E989^2/4))</f>
        <v>8.39174483408996</v>
      </c>
      <c r="AC989" s="27" t="n">
        <f aca="false">IF(I989-E989&gt;=GWL,99,E989*(MAX(0,GWL-I989)*(GAM_S-GAM_W)+MAX(0,FL-MAX(I989,GWL))*GAM_D)/(GAM_W*PI()*E989^2/4))</f>
        <v>8.39174483408996</v>
      </c>
    </row>
    <row r="990" customFormat="false" ht="15" hidden="false" customHeight="false" outlineLevel="0" collapsed="false">
      <c r="A990" s="25" t="s">
        <v>1502</v>
      </c>
      <c r="B990" s="25" t="s">
        <v>1589</v>
      </c>
      <c r="C990" s="25" t="s">
        <v>1590</v>
      </c>
      <c r="D990" s="26" t="n">
        <v>0.804170863064316</v>
      </c>
      <c r="E990" s="26" t="n">
        <v>0.999994964205257</v>
      </c>
      <c r="F990" s="26" t="n">
        <v>-5.39999748210263</v>
      </c>
      <c r="G990" s="26" t="n">
        <v>-5.39999748210263</v>
      </c>
      <c r="H990" s="26" t="n">
        <v>-3.90000251789737</v>
      </c>
      <c r="I990" s="26" t="n">
        <v>-3.90000251789737</v>
      </c>
      <c r="J990" s="26" t="n">
        <v>0.16</v>
      </c>
      <c r="K990" s="27" t="n">
        <f aca="false">MIN(F990,G990)</f>
        <v>-5.39999748210263</v>
      </c>
      <c r="L990" s="27" t="n">
        <f aca="false">AVERAGE(F990,G990)</f>
        <v>-5.39999748210263</v>
      </c>
      <c r="M990" s="27" t="n">
        <f aca="false">MAX(0,NG-L990)</f>
        <v>4.69999748210263</v>
      </c>
      <c r="N990" s="27" t="n">
        <f aca="false">MAX(0,GWL-K990)</f>
        <v>3.89999748210263</v>
      </c>
      <c r="O990" s="27" t="n">
        <f aca="false">MAX(0,NG-MAX(K990,GWL))</f>
        <v>0.8</v>
      </c>
      <c r="P990" s="27" t="n">
        <f aca="false">E990/2+WS+SLOPE_A*O990+SLOPE_B*N990</f>
        <v>10.4999924463079</v>
      </c>
      <c r="Q990" s="28" t="str">
        <f aca="false">IF(AND(P990&lt;J990,N990&lt;=MAXOC),"Open cut","Shoring")</f>
        <v>Shoring</v>
      </c>
      <c r="R990" s="27" t="n">
        <f aca="false">IF(Q990="Shoring",D990,0)</f>
        <v>0.804170863064316</v>
      </c>
      <c r="S990" s="27" t="n">
        <f aca="false">MAX(0,GWL-L990)</f>
        <v>3.89999748210263</v>
      </c>
      <c r="T990" s="27" t="n">
        <f aca="false">MAX(0,NG-MAX(L990,GWL))</f>
        <v>0.8</v>
      </c>
      <c r="U990" s="27" t="n">
        <f aca="false">E990+2*WS</f>
        <v>2.99999496420526</v>
      </c>
      <c r="V990" s="27" t="n">
        <f aca="false">IF(Q990="Shoring",D990*M990*U990,0)</f>
        <v>11.3387840614527</v>
      </c>
      <c r="W990" s="27" t="n">
        <f aca="false">IF(Q990="Open cut",D990*(U990*M990+SLOPE_B*S990^2+2*SLOPE_B*S990*T990+SLOPE_A*T990^2),0)</f>
        <v>0</v>
      </c>
      <c r="X990" s="27" t="n">
        <f aca="false">IF(M990&gt;0,D990*(E990+2*SLABOVH)*SLAB,0)</f>
        <v>0.804168838244614</v>
      </c>
      <c r="Y990" s="27" t="n">
        <f aca="false">IF(M990&gt;0,D990*PI()*E990^2/4,0)</f>
        <v>0.63158795776577</v>
      </c>
      <c r="Z990" s="27" t="n">
        <f aca="false">IF(H990-E990&gt;=GWL,99,E990*(MAX(0,GWL-H990)*(GAM_S-GAM_W)+MAX(0,NG-MAX(H990,GWL))*GAM_D)/(GAM_W*PI()*E990^2/4))</f>
        <v>4.4201519421289</v>
      </c>
      <c r="AA990" s="27" t="n">
        <f aca="false">IF(I990-E990&gt;=GWL,99,E990*(MAX(0,GWL-I990)*(GAM_S-GAM_W)+MAX(0,NG-MAX(I990,GWL))*GAM_D)/(GAM_W*PI()*E990^2/4))</f>
        <v>4.4201519421289</v>
      </c>
      <c r="AB990" s="27" t="n">
        <f aca="false">IF(H990-E990&gt;=GWL,99,E990*(MAX(0,GWL-H990)*(GAM_S-GAM_W)+MAX(0,FL-MAX(H990,GWL))*GAM_D)/(GAM_W*PI()*E990^2/4))</f>
        <v>8.39174483408996</v>
      </c>
      <c r="AC990" s="27" t="n">
        <f aca="false">IF(I990-E990&gt;=GWL,99,E990*(MAX(0,GWL-I990)*(GAM_S-GAM_W)+MAX(0,FL-MAX(I990,GWL))*GAM_D)/(GAM_W*PI()*E990^2/4))</f>
        <v>8.39174483408996</v>
      </c>
    </row>
    <row r="991" customFormat="false" ht="15" hidden="false" customHeight="false" outlineLevel="0" collapsed="false">
      <c r="A991" s="25" t="s">
        <v>1502</v>
      </c>
      <c r="B991" s="25" t="s">
        <v>1589</v>
      </c>
      <c r="C991" s="25" t="s">
        <v>1591</v>
      </c>
      <c r="D991" s="26" t="n">
        <v>6.13154913672075</v>
      </c>
      <c r="E991" s="26" t="n">
        <v>0.999994964205257</v>
      </c>
      <c r="F991" s="26" t="n">
        <v>-5.39999748210263</v>
      </c>
      <c r="G991" s="26" t="n">
        <v>-5.39999748210263</v>
      </c>
      <c r="H991" s="26" t="n">
        <v>-3.90000251789737</v>
      </c>
      <c r="I991" s="26" t="n">
        <v>-3.90000251789737</v>
      </c>
      <c r="J991" s="26" t="n">
        <v>0.87</v>
      </c>
      <c r="K991" s="27" t="n">
        <f aca="false">MIN(F991,G991)</f>
        <v>-5.39999748210263</v>
      </c>
      <c r="L991" s="27" t="n">
        <f aca="false">AVERAGE(F991,G991)</f>
        <v>-5.39999748210263</v>
      </c>
      <c r="M991" s="27" t="n">
        <f aca="false">MAX(0,NG-L991)</f>
        <v>4.69999748210263</v>
      </c>
      <c r="N991" s="27" t="n">
        <f aca="false">MAX(0,GWL-K991)</f>
        <v>3.89999748210263</v>
      </c>
      <c r="O991" s="27" t="n">
        <f aca="false">MAX(0,NG-MAX(K991,GWL))</f>
        <v>0.8</v>
      </c>
      <c r="P991" s="27" t="n">
        <f aca="false">E991/2+WS+SLOPE_A*O991+SLOPE_B*N991</f>
        <v>10.4999924463079</v>
      </c>
      <c r="Q991" s="28" t="str">
        <f aca="false">IF(AND(P991&lt;J991,N991&lt;=MAXOC),"Open cut","Shoring")</f>
        <v>Shoring</v>
      </c>
      <c r="R991" s="27" t="n">
        <f aca="false">IF(Q991="Shoring",D991,0)</f>
        <v>6.13154913672075</v>
      </c>
      <c r="S991" s="27" t="n">
        <f aca="false">MAX(0,GWL-L991)</f>
        <v>3.89999748210263</v>
      </c>
      <c r="T991" s="27" t="n">
        <f aca="false">MAX(0,NG-MAX(L991,GWL))</f>
        <v>0.8</v>
      </c>
      <c r="U991" s="27" t="n">
        <f aca="false">E991+2*WS</f>
        <v>2.99999496420526</v>
      </c>
      <c r="V991" s="27" t="n">
        <f aca="false">IF(Q991="Shoring",D991*M991*U991,0)</f>
        <v>86.4546513890583</v>
      </c>
      <c r="W991" s="27" t="n">
        <f aca="false">IF(Q991="Open cut",D991*(U991*M991+SLOPE_B*S991^2+2*SLOPE_B*S991*T991+SLOPE_A*T991^2),0)</f>
        <v>0</v>
      </c>
      <c r="X991" s="27" t="n">
        <f aca="false">IF(M991&gt;0,D991*(E991+2*SLABOVH)*SLAB,0)</f>
        <v>6.1315336981093</v>
      </c>
      <c r="Y991" s="27" t="n">
        <f aca="false">IF(M991&gt;0,D991*PI()*E991^2/4,0)</f>
        <v>4.81565892905548</v>
      </c>
      <c r="Z991" s="27" t="n">
        <f aca="false">IF(H991-E991&gt;=GWL,99,E991*(MAX(0,GWL-H991)*(GAM_S-GAM_W)+MAX(0,NG-MAX(H991,GWL))*GAM_D)/(GAM_W*PI()*E991^2/4))</f>
        <v>4.4201519421289</v>
      </c>
      <c r="AA991" s="27" t="n">
        <f aca="false">IF(I991-E991&gt;=GWL,99,E991*(MAX(0,GWL-I991)*(GAM_S-GAM_W)+MAX(0,NG-MAX(I991,GWL))*GAM_D)/(GAM_W*PI()*E991^2/4))</f>
        <v>4.4201519421289</v>
      </c>
      <c r="AB991" s="27" t="n">
        <f aca="false">IF(H991-E991&gt;=GWL,99,E991*(MAX(0,GWL-H991)*(GAM_S-GAM_W)+MAX(0,FL-MAX(H991,GWL))*GAM_D)/(GAM_W*PI()*E991^2/4))</f>
        <v>8.39174483408996</v>
      </c>
      <c r="AC991" s="27" t="n">
        <f aca="false">IF(I991-E991&gt;=GWL,99,E991*(MAX(0,GWL-I991)*(GAM_S-GAM_W)+MAX(0,FL-MAX(I991,GWL))*GAM_D)/(GAM_W*PI()*E991^2/4))</f>
        <v>8.39174483408996</v>
      </c>
    </row>
    <row r="992" customFormat="false" ht="15" hidden="false" customHeight="false" outlineLevel="0" collapsed="false">
      <c r="A992" s="25" t="s">
        <v>1502</v>
      </c>
      <c r="B992" s="25" t="s">
        <v>1589</v>
      </c>
      <c r="C992" s="25" t="s">
        <v>1592</v>
      </c>
      <c r="D992" s="26" t="n">
        <v>0.273471986935411</v>
      </c>
      <c r="E992" s="26" t="n">
        <v>0.999994964205257</v>
      </c>
      <c r="F992" s="26" t="n">
        <v>-5.39999748210263</v>
      </c>
      <c r="G992" s="26" t="n">
        <v>-5.39999748210263</v>
      </c>
      <c r="H992" s="26" t="n">
        <v>-3.90000251789737</v>
      </c>
      <c r="I992" s="26" t="n">
        <v>-3.90000251789737</v>
      </c>
      <c r="J992" s="26" t="n">
        <v>6.37</v>
      </c>
      <c r="K992" s="27" t="n">
        <f aca="false">MIN(F992,G992)</f>
        <v>-5.39999748210263</v>
      </c>
      <c r="L992" s="27" t="n">
        <f aca="false">AVERAGE(F992,G992)</f>
        <v>-5.39999748210263</v>
      </c>
      <c r="M992" s="27" t="n">
        <f aca="false">MAX(0,NG-L992)</f>
        <v>4.69999748210263</v>
      </c>
      <c r="N992" s="27" t="n">
        <f aca="false">MAX(0,GWL-K992)</f>
        <v>3.89999748210263</v>
      </c>
      <c r="O992" s="27" t="n">
        <f aca="false">MAX(0,NG-MAX(K992,GWL))</f>
        <v>0.8</v>
      </c>
      <c r="P992" s="27" t="n">
        <f aca="false">E992/2+WS+SLOPE_A*O992+SLOPE_B*N992</f>
        <v>10.4999924463079</v>
      </c>
      <c r="Q992" s="28" t="str">
        <f aca="false">IF(AND(P992&lt;J992,N992&lt;=MAXOC),"Open cut","Shoring")</f>
        <v>Shoring</v>
      </c>
      <c r="R992" s="27" t="n">
        <f aca="false">IF(Q992="Shoring",D992,0)</f>
        <v>0.273471986935411</v>
      </c>
      <c r="S992" s="27" t="n">
        <f aca="false">MAX(0,GWL-L992)</f>
        <v>3.89999748210263</v>
      </c>
      <c r="T992" s="27" t="n">
        <f aca="false">MAX(0,NG-MAX(L992,GWL))</f>
        <v>0.8</v>
      </c>
      <c r="U992" s="27" t="n">
        <f aca="false">E992+2*WS</f>
        <v>2.99999496420526</v>
      </c>
      <c r="V992" s="27" t="n">
        <f aca="false">IF(Q992="Shoring",D992*M992*U992,0)</f>
        <v>3.85594647747024</v>
      </c>
      <c r="W992" s="27" t="n">
        <f aca="false">IF(Q992="Open cut",D992*(U992*M992+SLOPE_B*S992^2+2*SLOPE_B*S992*T992+SLOPE_A*T992^2),0)</f>
        <v>0</v>
      </c>
      <c r="X992" s="27" t="n">
        <f aca="false">IF(M992&gt;0,D992*(E992+2*SLABOVH)*SLAB,0)</f>
        <v>0.273471298361014</v>
      </c>
      <c r="Y992" s="27" t="n">
        <f aca="false">IF(M992&gt;0,D992*PI()*E992^2/4,0)</f>
        <v>0.214782233064902</v>
      </c>
      <c r="Z992" s="27" t="n">
        <f aca="false">IF(H992-E992&gt;=GWL,99,E992*(MAX(0,GWL-H992)*(GAM_S-GAM_W)+MAX(0,NG-MAX(H992,GWL))*GAM_D)/(GAM_W*PI()*E992^2/4))</f>
        <v>4.4201519421289</v>
      </c>
      <c r="AA992" s="27" t="n">
        <f aca="false">IF(I992-E992&gt;=GWL,99,E992*(MAX(0,GWL-I992)*(GAM_S-GAM_W)+MAX(0,NG-MAX(I992,GWL))*GAM_D)/(GAM_W*PI()*E992^2/4))</f>
        <v>4.4201519421289</v>
      </c>
      <c r="AB992" s="27" t="n">
        <f aca="false">IF(H992-E992&gt;=GWL,99,E992*(MAX(0,GWL-H992)*(GAM_S-GAM_W)+MAX(0,FL-MAX(H992,GWL))*GAM_D)/(GAM_W*PI()*E992^2/4))</f>
        <v>8.39174483408996</v>
      </c>
      <c r="AC992" s="27" t="n">
        <f aca="false">IF(I992-E992&gt;=GWL,99,E992*(MAX(0,GWL-I992)*(GAM_S-GAM_W)+MAX(0,FL-MAX(I992,GWL))*GAM_D)/(GAM_W*PI()*E992^2/4))</f>
        <v>8.39174483408996</v>
      </c>
    </row>
    <row r="993" customFormat="false" ht="15" hidden="false" customHeight="false" outlineLevel="0" collapsed="false">
      <c r="A993" s="25" t="s">
        <v>1502</v>
      </c>
      <c r="B993" s="25" t="s">
        <v>1589</v>
      </c>
      <c r="C993" s="25" t="s">
        <v>1593</v>
      </c>
      <c r="D993" s="26" t="n">
        <v>2.06518318734972</v>
      </c>
      <c r="E993" s="26" t="n">
        <v>1.02206454763033</v>
      </c>
      <c r="F993" s="26" t="n">
        <v>-5.41103227381517</v>
      </c>
      <c r="G993" s="26" t="n">
        <v>-5.41103227381517</v>
      </c>
      <c r="H993" s="26" t="n">
        <v>-3.88896772618484</v>
      </c>
      <c r="I993" s="26" t="n">
        <v>-3.88896772618484</v>
      </c>
      <c r="J993" s="26" t="n">
        <v>6.62</v>
      </c>
      <c r="K993" s="27" t="n">
        <f aca="false">MIN(F993,G993)</f>
        <v>-5.41103227381517</v>
      </c>
      <c r="L993" s="27" t="n">
        <f aca="false">AVERAGE(F993,G993)</f>
        <v>-5.41103227381517</v>
      </c>
      <c r="M993" s="27" t="n">
        <f aca="false">MAX(0,NG-L993)</f>
        <v>4.71103227381517</v>
      </c>
      <c r="N993" s="27" t="n">
        <f aca="false">MAX(0,GWL-K993)</f>
        <v>3.91103227381517</v>
      </c>
      <c r="O993" s="27" t="n">
        <f aca="false">MAX(0,NG-MAX(K993,GWL))</f>
        <v>0.8</v>
      </c>
      <c r="P993" s="27" t="n">
        <f aca="false">E993/2+WS+SLOPE_A*O993+SLOPE_B*N993</f>
        <v>10.5330968214455</v>
      </c>
      <c r="Q993" s="28" t="str">
        <f aca="false">IF(AND(P993&lt;J993,N993&lt;=MAXOC),"Open cut","Shoring")</f>
        <v>Shoring</v>
      </c>
      <c r="R993" s="27" t="n">
        <f aca="false">IF(Q993="Shoring",D993,0)</f>
        <v>2.06518318734972</v>
      </c>
      <c r="S993" s="27" t="n">
        <f aca="false">MAX(0,GWL-L993)</f>
        <v>3.91103227381517</v>
      </c>
      <c r="T993" s="27" t="n">
        <f aca="false">MAX(0,NG-MAX(L993,GWL))</f>
        <v>0.8</v>
      </c>
      <c r="U993" s="27" t="n">
        <f aca="false">E993+2*WS</f>
        <v>3.02206454763033</v>
      </c>
      <c r="V993" s="27" t="n">
        <f aca="false">IF(Q993="Shoring",D993*M993*U993,0)</f>
        <v>29.4021031162998</v>
      </c>
      <c r="W993" s="27" t="n">
        <f aca="false">IF(Q993="Open cut",D993*(U993*M993+SLOPE_B*S993^2+2*SLOPE_B*S993*T993+SLOPE_A*T993^2),0)</f>
        <v>0</v>
      </c>
      <c r="X993" s="27" t="n">
        <f aca="false">IF(M993&gt;0,D993*(E993+2*SLABOVH)*SLAB,0)</f>
        <v>2.08796685375103</v>
      </c>
      <c r="Y993" s="27" t="n">
        <f aca="false">IF(M993&gt;0,D993*PI()*E993^2/4,0)</f>
        <v>1.69435773846367</v>
      </c>
      <c r="Z993" s="27" t="n">
        <f aca="false">IF(H993-E993&gt;=GWL,99,E993*(MAX(0,GWL-H993)*(GAM_S-GAM_W)+MAX(0,NG-MAX(H993,GWL))*GAM_D)/(GAM_W*PI()*E993^2/4))</f>
        <v>4.31323044385675</v>
      </c>
      <c r="AA993" s="27" t="n">
        <f aca="false">IF(I993-E993&gt;=GWL,99,E993*(MAX(0,GWL-I993)*(GAM_S-GAM_W)+MAX(0,NG-MAX(I993,GWL))*GAM_D)/(GAM_W*PI()*E993^2/4))</f>
        <v>4.31323044385675</v>
      </c>
      <c r="AB993" s="27" t="n">
        <f aca="false">IF(H993-E993&gt;=GWL,99,E993*(MAX(0,GWL-H993)*(GAM_S-GAM_W)+MAX(0,FL-MAX(H993,GWL))*GAM_D)/(GAM_W*PI()*E993^2/4))</f>
        <v>8.19906417230629</v>
      </c>
      <c r="AC993" s="27" t="n">
        <f aca="false">IF(I993-E993&gt;=GWL,99,E993*(MAX(0,GWL-I993)*(GAM_S-GAM_W)+MAX(0,FL-MAX(I993,GWL))*GAM_D)/(GAM_W*PI()*E993^2/4))</f>
        <v>8.19906417230629</v>
      </c>
    </row>
    <row r="994" customFormat="false" ht="15" hidden="false" customHeight="false" outlineLevel="0" collapsed="false">
      <c r="A994" s="25" t="s">
        <v>1594</v>
      </c>
      <c r="B994" s="25" t="s">
        <v>1595</v>
      </c>
      <c r="C994" s="25" t="s">
        <v>1596</v>
      </c>
      <c r="D994" s="26" t="n">
        <v>9.99999999986153</v>
      </c>
      <c r="E994" s="26" t="n">
        <v>0.999994414723192</v>
      </c>
      <c r="F994" s="26" t="n">
        <v>-4.0999972073616</v>
      </c>
      <c r="G994" s="26" t="n">
        <v>-4.0999972073616</v>
      </c>
      <c r="H994" s="26" t="n">
        <v>-2.6000027926384</v>
      </c>
      <c r="I994" s="26" t="n">
        <v>-2.6000027926384</v>
      </c>
      <c r="J994" s="26" t="n">
        <v>9.86</v>
      </c>
      <c r="K994" s="27" t="n">
        <f aca="false">MIN(F994,G994)</f>
        <v>-4.0999972073616</v>
      </c>
      <c r="L994" s="27" t="n">
        <f aca="false">AVERAGE(F994,G994)</f>
        <v>-4.0999972073616</v>
      </c>
      <c r="M994" s="27" t="n">
        <f aca="false">MAX(0,NG-L994)</f>
        <v>3.3999972073616</v>
      </c>
      <c r="N994" s="27" t="n">
        <f aca="false">MAX(0,GWL-K994)</f>
        <v>2.5999972073616</v>
      </c>
      <c r="O994" s="27" t="n">
        <f aca="false">MAX(0,NG-MAX(K994,GWL))</f>
        <v>0.8</v>
      </c>
      <c r="P994" s="27" t="n">
        <f aca="false">E994/2+WS+SLOPE_A*O994+SLOPE_B*N994</f>
        <v>7.89999162208479</v>
      </c>
      <c r="Q994" s="28" t="str">
        <f aca="false">IF(AND(P994&lt;J994,N994&lt;=MAXOC),"Open cut","Shoring")</f>
        <v>Shoring</v>
      </c>
      <c r="R994" s="27" t="n">
        <f aca="false">IF(Q994="Shoring",D994,0)</f>
        <v>9.99999999986153</v>
      </c>
      <c r="S994" s="27" t="n">
        <f aca="false">MAX(0,GWL-L994)</f>
        <v>2.5999972073616</v>
      </c>
      <c r="T994" s="27" t="n">
        <f aca="false">MAX(0,NG-MAX(L994,GWL))</f>
        <v>0.8</v>
      </c>
      <c r="U994" s="27" t="n">
        <f aca="false">E994+2*WS</f>
        <v>2.99999441472319</v>
      </c>
      <c r="V994" s="27" t="n">
        <f aca="false">IF(Q994="Shoring",D994*M994*U994,0)</f>
        <v>101.99972632018</v>
      </c>
      <c r="W994" s="27" t="n">
        <f aca="false">IF(Q994="Open cut",D994*(U994*M994+SLOPE_B*S994^2+2*SLOPE_B*S994*T994+SLOPE_A*T994^2),0)</f>
        <v>0</v>
      </c>
      <c r="X994" s="27" t="n">
        <f aca="false">IF(M994&gt;0,D994*(E994+2*SLABOVH)*SLAB,0)</f>
        <v>9.99997207347749</v>
      </c>
      <c r="Y994" s="27" t="n">
        <f aca="false">IF(M994&gt;0,D994*PI()*E994^2/4,0)</f>
        <v>7.8538939007878</v>
      </c>
      <c r="Z994" s="27" t="n">
        <f aca="false">IF(H994-E994&gt;=GWL,99,E994*(MAX(0,GWL-H994)*(GAM_S-GAM_W)+MAX(0,NG-MAX(H994,GWL))*GAM_D)/(GAM_W*PI()*E994^2/4))</f>
        <v>3.03827320036842</v>
      </c>
      <c r="AA994" s="27" t="n">
        <f aca="false">IF(I994-E994&gt;=GWL,99,E994*(MAX(0,GWL-I994)*(GAM_S-GAM_W)+MAX(0,NG-MAX(I994,GWL))*GAM_D)/(GAM_W*PI()*E994^2/4))</f>
        <v>3.03827320036842</v>
      </c>
      <c r="AB994" s="27" t="n">
        <f aca="false">IF(H994-E994&gt;=GWL,99,E994*(MAX(0,GWL-H994)*(GAM_S-GAM_W)+MAX(0,FL-MAX(H994,GWL))*GAM_D)/(GAM_W*PI()*E994^2/4))</f>
        <v>7.00986827466073</v>
      </c>
      <c r="AC994" s="27" t="n">
        <f aca="false">IF(I994-E994&gt;=GWL,99,E994*(MAX(0,GWL-I994)*(GAM_S-GAM_W)+MAX(0,FL-MAX(I994,GWL))*GAM_D)/(GAM_W*PI()*E994^2/4))</f>
        <v>7.00986827466073</v>
      </c>
    </row>
    <row r="995" customFormat="false" ht="15" hidden="false" customHeight="false" outlineLevel="0" collapsed="false">
      <c r="A995" s="25" t="s">
        <v>1594</v>
      </c>
      <c r="B995" s="25" t="s">
        <v>1595</v>
      </c>
      <c r="C995" s="25" t="s">
        <v>1597</v>
      </c>
      <c r="D995" s="26" t="n">
        <v>10.0000000007105</v>
      </c>
      <c r="E995" s="26" t="n">
        <v>0.999994414723192</v>
      </c>
      <c r="F995" s="26" t="n">
        <v>-4.0999972073616</v>
      </c>
      <c r="G995" s="26" t="n">
        <v>-4.0999972073616</v>
      </c>
      <c r="H995" s="26" t="n">
        <v>-2.6000027926384</v>
      </c>
      <c r="I995" s="26" t="n">
        <v>-2.6000027926384</v>
      </c>
      <c r="J995" s="26" t="n">
        <v>4.05</v>
      </c>
      <c r="K995" s="27" t="n">
        <f aca="false">MIN(F995,G995)</f>
        <v>-4.0999972073616</v>
      </c>
      <c r="L995" s="27" t="n">
        <f aca="false">AVERAGE(F995,G995)</f>
        <v>-4.0999972073616</v>
      </c>
      <c r="M995" s="27" t="n">
        <f aca="false">MAX(0,NG-L995)</f>
        <v>3.3999972073616</v>
      </c>
      <c r="N995" s="27" t="n">
        <f aca="false">MAX(0,GWL-K995)</f>
        <v>2.5999972073616</v>
      </c>
      <c r="O995" s="27" t="n">
        <f aca="false">MAX(0,NG-MAX(K995,GWL))</f>
        <v>0.8</v>
      </c>
      <c r="P995" s="27" t="n">
        <f aca="false">E995/2+WS+SLOPE_A*O995+SLOPE_B*N995</f>
        <v>7.89999162208479</v>
      </c>
      <c r="Q995" s="28" t="str">
        <f aca="false">IF(AND(P995&lt;J995,N995&lt;=MAXOC),"Open cut","Shoring")</f>
        <v>Shoring</v>
      </c>
      <c r="R995" s="27" t="n">
        <f aca="false">IF(Q995="Shoring",D995,0)</f>
        <v>10.0000000007105</v>
      </c>
      <c r="S995" s="27" t="n">
        <f aca="false">MAX(0,GWL-L995)</f>
        <v>2.5999972073616</v>
      </c>
      <c r="T995" s="27" t="n">
        <f aca="false">MAX(0,NG-MAX(L995,GWL))</f>
        <v>0.8</v>
      </c>
      <c r="U995" s="27" t="n">
        <f aca="false">E995+2*WS</f>
        <v>2.99999441472319</v>
      </c>
      <c r="V995" s="27" t="n">
        <f aca="false">IF(Q995="Shoring",D995*M995*U995,0)</f>
        <v>101.999726328839</v>
      </c>
      <c r="W995" s="27" t="n">
        <f aca="false">IF(Q995="Open cut",D995*(U995*M995+SLOPE_B*S995^2+2*SLOPE_B*S995*T995+SLOPE_A*T995^2),0)</f>
        <v>0</v>
      </c>
      <c r="X995" s="27" t="n">
        <f aca="false">IF(M995&gt;0,D995*(E995+2*SLABOVH)*SLAB,0)</f>
        <v>9.99997207432643</v>
      </c>
      <c r="Y995" s="27" t="n">
        <f aca="false">IF(M995&gt;0,D995*PI()*E995^2/4,0)</f>
        <v>7.85389390145454</v>
      </c>
      <c r="Z995" s="27" t="n">
        <f aca="false">IF(H995-E995&gt;=GWL,99,E995*(MAX(0,GWL-H995)*(GAM_S-GAM_W)+MAX(0,NG-MAX(H995,GWL))*GAM_D)/(GAM_W*PI()*E995^2/4))</f>
        <v>3.03827320036842</v>
      </c>
      <c r="AA995" s="27" t="n">
        <f aca="false">IF(I995-E995&gt;=GWL,99,E995*(MAX(0,GWL-I995)*(GAM_S-GAM_W)+MAX(0,NG-MAX(I995,GWL))*GAM_D)/(GAM_W*PI()*E995^2/4))</f>
        <v>3.03827320036842</v>
      </c>
      <c r="AB995" s="27" t="n">
        <f aca="false">IF(H995-E995&gt;=GWL,99,E995*(MAX(0,GWL-H995)*(GAM_S-GAM_W)+MAX(0,FL-MAX(H995,GWL))*GAM_D)/(GAM_W*PI()*E995^2/4))</f>
        <v>7.00986827466073</v>
      </c>
      <c r="AC995" s="27" t="n">
        <f aca="false">IF(I995-E995&gt;=GWL,99,E995*(MAX(0,GWL-I995)*(GAM_S-GAM_W)+MAX(0,FL-MAX(I995,GWL))*GAM_D)/(GAM_W*PI()*E995^2/4))</f>
        <v>7.00986827466073</v>
      </c>
    </row>
    <row r="996" customFormat="false" ht="15" hidden="false" customHeight="false" outlineLevel="0" collapsed="false">
      <c r="A996" s="25" t="s">
        <v>1594</v>
      </c>
      <c r="B996" s="25" t="s">
        <v>1595</v>
      </c>
      <c r="C996" s="25" t="s">
        <v>1598</v>
      </c>
      <c r="D996" s="26" t="n">
        <v>9.96237999920072</v>
      </c>
      <c r="E996" s="26" t="n">
        <v>0.999994414723192</v>
      </c>
      <c r="F996" s="26" t="n">
        <v>-4.0999972073616</v>
      </c>
      <c r="G996" s="26" t="n">
        <v>-4.0999972073616</v>
      </c>
      <c r="H996" s="26" t="n">
        <v>-2.6000027926384</v>
      </c>
      <c r="I996" s="26" t="n">
        <v>-2.6000027926384</v>
      </c>
      <c r="J996" s="26" t="n">
        <v>4.05</v>
      </c>
      <c r="K996" s="27" t="n">
        <f aca="false">MIN(F996,G996)</f>
        <v>-4.0999972073616</v>
      </c>
      <c r="L996" s="27" t="n">
        <f aca="false">AVERAGE(F996,G996)</f>
        <v>-4.0999972073616</v>
      </c>
      <c r="M996" s="27" t="n">
        <f aca="false">MAX(0,NG-L996)</f>
        <v>3.3999972073616</v>
      </c>
      <c r="N996" s="27" t="n">
        <f aca="false">MAX(0,GWL-K996)</f>
        <v>2.5999972073616</v>
      </c>
      <c r="O996" s="27" t="n">
        <f aca="false">MAX(0,NG-MAX(K996,GWL))</f>
        <v>0.8</v>
      </c>
      <c r="P996" s="27" t="n">
        <f aca="false">E996/2+WS+SLOPE_A*O996+SLOPE_B*N996</f>
        <v>7.89999162208479</v>
      </c>
      <c r="Q996" s="28" t="str">
        <f aca="false">IF(AND(P996&lt;J996,N996&lt;=MAXOC),"Open cut","Shoring")</f>
        <v>Shoring</v>
      </c>
      <c r="R996" s="27" t="n">
        <f aca="false">IF(Q996="Shoring",D996,0)</f>
        <v>9.96237999920072</v>
      </c>
      <c r="S996" s="27" t="n">
        <f aca="false">MAX(0,GWL-L996)</f>
        <v>2.5999972073616</v>
      </c>
      <c r="T996" s="27" t="n">
        <f aca="false">MAX(0,NG-MAX(L996,GWL))</f>
        <v>0.8</v>
      </c>
      <c r="U996" s="27" t="n">
        <f aca="false">E996+2*WS</f>
        <v>2.99999441472319</v>
      </c>
      <c r="V996" s="27" t="n">
        <f aca="false">IF(Q996="Shoring",D996*M996*U996,0)</f>
        <v>101.616003343018</v>
      </c>
      <c r="W996" s="27" t="n">
        <f aca="false">IF(Q996="Open cut",D996*(U996*M996+SLOPE_B*S996^2+2*SLOPE_B*S996*T996+SLOPE_A*T996^2),0)</f>
        <v>0</v>
      </c>
      <c r="X996" s="27" t="n">
        <f aca="false">IF(M996&gt;0,D996*(E996+2*SLABOVH)*SLAB,0)</f>
        <v>9.96235217787573</v>
      </c>
      <c r="Y996" s="27" t="n">
        <f aca="false">IF(M996&gt;0,D996*PI()*E996^2/4,0)</f>
        <v>7.82434755141362</v>
      </c>
      <c r="Z996" s="27" t="n">
        <f aca="false">IF(H996-E996&gt;=GWL,99,E996*(MAX(0,GWL-H996)*(GAM_S-GAM_W)+MAX(0,NG-MAX(H996,GWL))*GAM_D)/(GAM_W*PI()*E996^2/4))</f>
        <v>3.03827320036842</v>
      </c>
      <c r="AA996" s="27" t="n">
        <f aca="false">IF(I996-E996&gt;=GWL,99,E996*(MAX(0,GWL-I996)*(GAM_S-GAM_W)+MAX(0,NG-MAX(I996,GWL))*GAM_D)/(GAM_W*PI()*E996^2/4))</f>
        <v>3.03827320036842</v>
      </c>
      <c r="AB996" s="27" t="n">
        <f aca="false">IF(H996-E996&gt;=GWL,99,E996*(MAX(0,GWL-H996)*(GAM_S-GAM_W)+MAX(0,FL-MAX(H996,GWL))*GAM_D)/(GAM_W*PI()*E996^2/4))</f>
        <v>7.00986827466073</v>
      </c>
      <c r="AC996" s="27" t="n">
        <f aca="false">IF(I996-E996&gt;=GWL,99,E996*(MAX(0,GWL-I996)*(GAM_S-GAM_W)+MAX(0,FL-MAX(I996,GWL))*GAM_D)/(GAM_W*PI()*E996^2/4))</f>
        <v>7.00986827466073</v>
      </c>
    </row>
    <row r="997" customFormat="false" ht="15" hidden="false" customHeight="false" outlineLevel="0" collapsed="false">
      <c r="A997" s="25" t="s">
        <v>1594</v>
      </c>
      <c r="B997" s="25" t="s">
        <v>1595</v>
      </c>
      <c r="C997" s="25" t="s">
        <v>1599</v>
      </c>
      <c r="D997" s="26" t="n">
        <v>0.0366600000249248</v>
      </c>
      <c r="E997" s="26" t="n">
        <v>0.999994414723192</v>
      </c>
      <c r="F997" s="26" t="n">
        <v>-4.0999972073616</v>
      </c>
      <c r="G997" s="26" t="n">
        <v>-4.0999972073616</v>
      </c>
      <c r="H997" s="26" t="n">
        <v>-2.6000027926384</v>
      </c>
      <c r="I997" s="26" t="n">
        <v>-2.6000027926384</v>
      </c>
      <c r="J997" s="26" t="n">
        <v>4.33</v>
      </c>
      <c r="K997" s="27" t="n">
        <f aca="false">MIN(F997,G997)</f>
        <v>-4.0999972073616</v>
      </c>
      <c r="L997" s="27" t="n">
        <f aca="false">AVERAGE(F997,G997)</f>
        <v>-4.0999972073616</v>
      </c>
      <c r="M997" s="27" t="n">
        <f aca="false">MAX(0,NG-L997)</f>
        <v>3.3999972073616</v>
      </c>
      <c r="N997" s="27" t="n">
        <f aca="false">MAX(0,GWL-K997)</f>
        <v>2.5999972073616</v>
      </c>
      <c r="O997" s="27" t="n">
        <f aca="false">MAX(0,NG-MAX(K997,GWL))</f>
        <v>0.8</v>
      </c>
      <c r="P997" s="27" t="n">
        <f aca="false">E997/2+WS+SLOPE_A*O997+SLOPE_B*N997</f>
        <v>7.89999162208479</v>
      </c>
      <c r="Q997" s="28" t="str">
        <f aca="false">IF(AND(P997&lt;J997,N997&lt;=MAXOC),"Open cut","Shoring")</f>
        <v>Shoring</v>
      </c>
      <c r="R997" s="27" t="n">
        <f aca="false">IF(Q997="Shoring",D997,0)</f>
        <v>0.0366600000249248</v>
      </c>
      <c r="S997" s="27" t="n">
        <f aca="false">MAX(0,GWL-L997)</f>
        <v>2.5999972073616</v>
      </c>
      <c r="T997" s="27" t="n">
        <f aca="false">MAX(0,NG-MAX(L997,GWL))</f>
        <v>0.8</v>
      </c>
      <c r="U997" s="27" t="n">
        <f aca="false">E997+2*WS</f>
        <v>2.99999441472319</v>
      </c>
      <c r="V997" s="27" t="n">
        <f aca="false">IF(Q997="Shoring",D997*M997*U997,0)</f>
        <v>0.373930996949189</v>
      </c>
      <c r="W997" s="27" t="n">
        <f aca="false">IF(Q997="Open cut",D997*(U997*M997+SLOPE_B*S997^2+2*SLOPE_B*S997*T997+SLOPE_A*T997^2),0)</f>
        <v>0</v>
      </c>
      <c r="X997" s="27" t="n">
        <f aca="false">IF(M997&gt;0,D997*(E997+2*SLABOVH)*SLAB,0)</f>
        <v>0.0366598976468008</v>
      </c>
      <c r="Y997" s="27" t="n">
        <f aca="false">IF(M997&gt;0,D997*PI()*E997^2/4,0)</f>
        <v>0.0287923750602624</v>
      </c>
      <c r="Z997" s="27" t="n">
        <f aca="false">IF(H997-E997&gt;=GWL,99,E997*(MAX(0,GWL-H997)*(GAM_S-GAM_W)+MAX(0,NG-MAX(H997,GWL))*GAM_D)/(GAM_W*PI()*E997^2/4))</f>
        <v>3.03827320036842</v>
      </c>
      <c r="AA997" s="27" t="n">
        <f aca="false">IF(I997-E997&gt;=GWL,99,E997*(MAX(0,GWL-I997)*(GAM_S-GAM_W)+MAX(0,NG-MAX(I997,GWL))*GAM_D)/(GAM_W*PI()*E997^2/4))</f>
        <v>3.03827320036842</v>
      </c>
      <c r="AB997" s="27" t="n">
        <f aca="false">IF(H997-E997&gt;=GWL,99,E997*(MAX(0,GWL-H997)*(GAM_S-GAM_W)+MAX(0,FL-MAX(H997,GWL))*GAM_D)/(GAM_W*PI()*E997^2/4))</f>
        <v>7.00986827466073</v>
      </c>
      <c r="AC997" s="27" t="n">
        <f aca="false">IF(I997-E997&gt;=GWL,99,E997*(MAX(0,GWL-I997)*(GAM_S-GAM_W)+MAX(0,FL-MAX(I997,GWL))*GAM_D)/(GAM_W*PI()*E997^2/4))</f>
        <v>7.00986827466073</v>
      </c>
    </row>
    <row r="998" customFormat="false" ht="15" hidden="false" customHeight="false" outlineLevel="0" collapsed="false">
      <c r="A998" s="25" t="s">
        <v>1594</v>
      </c>
      <c r="B998" s="25" t="s">
        <v>1595</v>
      </c>
      <c r="C998" s="25" t="s">
        <v>1600</v>
      </c>
      <c r="D998" s="26" t="n">
        <v>0.376375873566574</v>
      </c>
      <c r="E998" s="26" t="n">
        <v>0.999994414723192</v>
      </c>
      <c r="F998" s="26" t="n">
        <v>-4.0999972073616</v>
      </c>
      <c r="G998" s="26" t="n">
        <v>-4.0999972073616</v>
      </c>
      <c r="H998" s="26" t="n">
        <v>-2.6000027926384</v>
      </c>
      <c r="I998" s="26" t="n">
        <v>-2.6000027926384</v>
      </c>
      <c r="J998" s="26" t="n">
        <v>4.01</v>
      </c>
      <c r="K998" s="27" t="n">
        <f aca="false">MIN(F998,G998)</f>
        <v>-4.0999972073616</v>
      </c>
      <c r="L998" s="27" t="n">
        <f aca="false">AVERAGE(F998,G998)</f>
        <v>-4.0999972073616</v>
      </c>
      <c r="M998" s="27" t="n">
        <f aca="false">MAX(0,NG-L998)</f>
        <v>3.3999972073616</v>
      </c>
      <c r="N998" s="27" t="n">
        <f aca="false">MAX(0,GWL-K998)</f>
        <v>2.5999972073616</v>
      </c>
      <c r="O998" s="27" t="n">
        <f aca="false">MAX(0,NG-MAX(K998,GWL))</f>
        <v>0.8</v>
      </c>
      <c r="P998" s="27" t="n">
        <f aca="false">E998/2+WS+SLOPE_A*O998+SLOPE_B*N998</f>
        <v>7.89999162208479</v>
      </c>
      <c r="Q998" s="28" t="str">
        <f aca="false">IF(AND(P998&lt;J998,N998&lt;=MAXOC),"Open cut","Shoring")</f>
        <v>Shoring</v>
      </c>
      <c r="R998" s="27" t="n">
        <f aca="false">IF(Q998="Shoring",D998,0)</f>
        <v>0.376375873566574</v>
      </c>
      <c r="S998" s="27" t="n">
        <f aca="false">MAX(0,GWL-L998)</f>
        <v>2.5999972073616</v>
      </c>
      <c r="T998" s="27" t="n">
        <f aca="false">MAX(0,NG-MAX(L998,GWL))</f>
        <v>0.8</v>
      </c>
      <c r="U998" s="27" t="n">
        <f aca="false">E998+2*WS</f>
        <v>2.99999441472319</v>
      </c>
      <c r="V998" s="27" t="n">
        <f aca="false">IF(Q998="Shoring",D998*M998*U998,0)</f>
        <v>3.83902360978408</v>
      </c>
      <c r="W998" s="27" t="n">
        <f aca="false">IF(Q998="Open cut",D998*(U998*M998+SLOPE_B*S998^2+2*SLOPE_B*S998*T998+SLOPE_A*T998^2),0)</f>
        <v>0</v>
      </c>
      <c r="X998" s="27" t="n">
        <f aca="false">IF(M998&gt;0,D998*(E998+2*SLABOVH)*SLAB,0)</f>
        <v>0.376374822484855</v>
      </c>
      <c r="Y998" s="27" t="n">
        <f aca="false">IF(M998&gt;0,D998*PI()*E998^2/4,0)</f>
        <v>0.295601617784912</v>
      </c>
      <c r="Z998" s="27" t="n">
        <f aca="false">IF(H998-E998&gt;=GWL,99,E998*(MAX(0,GWL-H998)*(GAM_S-GAM_W)+MAX(0,NG-MAX(H998,GWL))*GAM_D)/(GAM_W*PI()*E998^2/4))</f>
        <v>3.03827320036842</v>
      </c>
      <c r="AA998" s="27" t="n">
        <f aca="false">IF(I998-E998&gt;=GWL,99,E998*(MAX(0,GWL-I998)*(GAM_S-GAM_W)+MAX(0,NG-MAX(I998,GWL))*GAM_D)/(GAM_W*PI()*E998^2/4))</f>
        <v>3.03827320036842</v>
      </c>
      <c r="AB998" s="27" t="n">
        <f aca="false">IF(H998-E998&gt;=GWL,99,E998*(MAX(0,GWL-H998)*(GAM_S-GAM_W)+MAX(0,FL-MAX(H998,GWL))*GAM_D)/(GAM_W*PI()*E998^2/4))</f>
        <v>7.00986827466073</v>
      </c>
      <c r="AC998" s="27" t="n">
        <f aca="false">IF(I998-E998&gt;=GWL,99,E998*(MAX(0,GWL-I998)*(GAM_S-GAM_W)+MAX(0,FL-MAX(I998,GWL))*GAM_D)/(GAM_W*PI()*E998^2/4))</f>
        <v>7.00986827466073</v>
      </c>
    </row>
    <row r="999" customFormat="false" ht="15" hidden="false" customHeight="false" outlineLevel="0" collapsed="false">
      <c r="A999" s="25" t="s">
        <v>1594</v>
      </c>
      <c r="B999" s="25" t="s">
        <v>1595</v>
      </c>
      <c r="C999" s="25" t="s">
        <v>1601</v>
      </c>
      <c r="D999" s="26" t="n">
        <v>0.367759999882208</v>
      </c>
      <c r="E999" s="26" t="n">
        <v>1.00000271397922</v>
      </c>
      <c r="F999" s="26" t="n">
        <v>-4.10000135698961</v>
      </c>
      <c r="G999" s="26" t="n">
        <v>-4.10000135698961</v>
      </c>
      <c r="H999" s="26" t="n">
        <v>-2.59999864301039</v>
      </c>
      <c r="I999" s="26" t="n">
        <v>-2.59999864301039</v>
      </c>
      <c r="J999" s="26" t="n">
        <v>3.96</v>
      </c>
      <c r="K999" s="27" t="n">
        <f aca="false">MIN(F999,G999)</f>
        <v>-4.10000135698961</v>
      </c>
      <c r="L999" s="27" t="n">
        <f aca="false">AVERAGE(F999,G999)</f>
        <v>-4.10000135698961</v>
      </c>
      <c r="M999" s="27" t="n">
        <f aca="false">MAX(0,NG-L999)</f>
        <v>3.40000135698961</v>
      </c>
      <c r="N999" s="27" t="n">
        <f aca="false">MAX(0,GWL-K999)</f>
        <v>2.60000135698961</v>
      </c>
      <c r="O999" s="27" t="n">
        <f aca="false">MAX(0,NG-MAX(K999,GWL))</f>
        <v>0.8</v>
      </c>
      <c r="P999" s="27" t="n">
        <f aca="false">E999/2+WS+SLOPE_A*O999+SLOPE_B*N999</f>
        <v>7.90000407096884</v>
      </c>
      <c r="Q999" s="28" t="str">
        <f aca="false">IF(AND(P999&lt;J999,N999&lt;=MAXOC),"Open cut","Shoring")</f>
        <v>Shoring</v>
      </c>
      <c r="R999" s="27" t="n">
        <f aca="false">IF(Q999="Shoring",D999,0)</f>
        <v>0.367759999882208</v>
      </c>
      <c r="S999" s="27" t="n">
        <f aca="false">MAX(0,GWL-L999)</f>
        <v>2.60000135698961</v>
      </c>
      <c r="T999" s="27" t="n">
        <f aca="false">MAX(0,NG-MAX(L999,GWL))</f>
        <v>0.8</v>
      </c>
      <c r="U999" s="27" t="n">
        <f aca="false">E999+2*WS</f>
        <v>3.00000271397922</v>
      </c>
      <c r="V999" s="27" t="n">
        <f aca="false">IF(Q999="Shoring",D999*M999*U999,0)</f>
        <v>3.75115688945557</v>
      </c>
      <c r="W999" s="27" t="n">
        <f aca="false">IF(Q999="Open cut",D999*(U999*M999+SLOPE_B*S999^2+2*SLOPE_B*S999*T999+SLOPE_A*T999^2),0)</f>
        <v>0</v>
      </c>
      <c r="X999" s="27" t="n">
        <f aca="false">IF(M999&gt;0,D999*(E999+2*SLABOVH)*SLAB,0)</f>
        <v>0.367760498928708</v>
      </c>
      <c r="Y999" s="27" t="n">
        <f aca="false">IF(M999&gt;0,D999*PI()*E999^2/4,0)</f>
        <v>0.288839596281477</v>
      </c>
      <c r="Z999" s="27" t="n">
        <f aca="false">IF(H999-E999&gt;=GWL,99,E999*(MAX(0,GWL-H999)*(GAM_S-GAM_W)+MAX(0,NG-MAX(H999,GWL))*GAM_D)/(GAM_W*PI()*E999^2/4))</f>
        <v>3.03824357407087</v>
      </c>
      <c r="AA999" s="27" t="n">
        <f aca="false">IF(I999-E999&gt;=GWL,99,E999*(MAX(0,GWL-I999)*(GAM_S-GAM_W)+MAX(0,NG-MAX(I999,GWL))*GAM_D)/(GAM_W*PI()*E999^2/4))</f>
        <v>3.03824357407087</v>
      </c>
      <c r="AB999" s="27" t="n">
        <f aca="false">IF(H999-E999&gt;=GWL,99,E999*(MAX(0,GWL-H999)*(GAM_S-GAM_W)+MAX(0,FL-MAX(H999,GWL))*GAM_D)/(GAM_W*PI()*E999^2/4))</f>
        <v>7.00980568716826</v>
      </c>
      <c r="AC999" s="27" t="n">
        <f aca="false">IF(I999-E999&gt;=GWL,99,E999*(MAX(0,GWL-I999)*(GAM_S-GAM_W)+MAX(0,FL-MAX(I999,GWL))*GAM_D)/(GAM_W*PI()*E999^2/4))</f>
        <v>7.00980568716826</v>
      </c>
    </row>
    <row r="1000" customFormat="false" ht="15" hidden="false" customHeight="false" outlineLevel="0" collapsed="false">
      <c r="A1000" s="25" t="s">
        <v>1594</v>
      </c>
      <c r="B1000" s="25" t="s">
        <v>1602</v>
      </c>
      <c r="C1000" s="25" t="s">
        <v>1603</v>
      </c>
      <c r="D1000" s="26" t="n">
        <v>2.86276000024741</v>
      </c>
      <c r="E1000" s="26" t="n">
        <v>1.00000271397922</v>
      </c>
      <c r="F1000" s="26" t="n">
        <v>-4.10000135698961</v>
      </c>
      <c r="G1000" s="26" t="n">
        <v>-4.10000135698961</v>
      </c>
      <c r="H1000" s="26" t="n">
        <v>-2.59999864301039</v>
      </c>
      <c r="I1000" s="26" t="n">
        <v>-2.59999864301039</v>
      </c>
      <c r="J1000" s="26" t="n">
        <v>1.65</v>
      </c>
      <c r="K1000" s="27" t="n">
        <f aca="false">MIN(F1000,G1000)</f>
        <v>-4.10000135698961</v>
      </c>
      <c r="L1000" s="27" t="n">
        <f aca="false">AVERAGE(F1000,G1000)</f>
        <v>-4.10000135698961</v>
      </c>
      <c r="M1000" s="27" t="n">
        <f aca="false">MAX(0,NG-L1000)</f>
        <v>3.40000135698961</v>
      </c>
      <c r="N1000" s="27" t="n">
        <f aca="false">MAX(0,GWL-K1000)</f>
        <v>2.60000135698961</v>
      </c>
      <c r="O1000" s="27" t="n">
        <f aca="false">MAX(0,NG-MAX(K1000,GWL))</f>
        <v>0.8</v>
      </c>
      <c r="P1000" s="27" t="n">
        <f aca="false">E1000/2+WS+SLOPE_A*O1000+SLOPE_B*N1000</f>
        <v>7.90000407096884</v>
      </c>
      <c r="Q1000" s="28" t="str">
        <f aca="false">IF(AND(P1000&lt;J1000,N1000&lt;=MAXOC),"Open cut","Shoring")</f>
        <v>Shoring</v>
      </c>
      <c r="R1000" s="27" t="n">
        <f aca="false">IF(Q1000="Shoring",D1000,0)</f>
        <v>2.86276000024741</v>
      </c>
      <c r="S1000" s="27" t="n">
        <f aca="false">MAX(0,GWL-L1000)</f>
        <v>2.60000135698961</v>
      </c>
      <c r="T1000" s="27" t="n">
        <f aca="false">MAX(0,NG-MAX(L1000,GWL))</f>
        <v>0.8</v>
      </c>
      <c r="U1000" s="27" t="n">
        <f aca="false">E1000+2*WS</f>
        <v>3.00000271397922</v>
      </c>
      <c r="V1000" s="27" t="n">
        <f aca="false">IF(Q1000="Shoring",D1000*M1000*U1000,0)</f>
        <v>29.2001900729428</v>
      </c>
      <c r="W1000" s="27" t="n">
        <f aca="false">IF(Q1000="Open cut",D1000*(U1000*M1000+SLOPE_B*S1000^2+2*SLOPE_B*S1000*T1000+SLOPE_A*T1000^2),0)</f>
        <v>0</v>
      </c>
      <c r="X1000" s="27" t="n">
        <f aca="false">IF(M1000&gt;0,D1000*(E1000+2*SLABOVH)*SLAB,0)</f>
        <v>2.86276388498299</v>
      </c>
      <c r="Y1000" s="27" t="n">
        <f aca="false">IF(M1000&gt;0,D1000*PI()*E1000^2/4,0)</f>
        <v>2.24841865071532</v>
      </c>
      <c r="Z1000" s="27" t="n">
        <f aca="false">IF(H1000-E1000&gt;=GWL,99,E1000*(MAX(0,GWL-H1000)*(GAM_S-GAM_W)+MAX(0,NG-MAX(H1000,GWL))*GAM_D)/(GAM_W*PI()*E1000^2/4))</f>
        <v>3.03824357407087</v>
      </c>
      <c r="AA1000" s="27" t="n">
        <f aca="false">IF(I1000-E1000&gt;=GWL,99,E1000*(MAX(0,GWL-I1000)*(GAM_S-GAM_W)+MAX(0,NG-MAX(I1000,GWL))*GAM_D)/(GAM_W*PI()*E1000^2/4))</f>
        <v>3.03824357407087</v>
      </c>
      <c r="AB1000" s="27" t="n">
        <f aca="false">IF(H1000-E1000&gt;=GWL,99,E1000*(MAX(0,GWL-H1000)*(GAM_S-GAM_W)+MAX(0,FL-MAX(H1000,GWL))*GAM_D)/(GAM_W*PI()*E1000^2/4))</f>
        <v>7.00980568716826</v>
      </c>
      <c r="AC1000" s="27" t="n">
        <f aca="false">IF(I1000-E1000&gt;=GWL,99,E1000*(MAX(0,GWL-I1000)*(GAM_S-GAM_W)+MAX(0,FL-MAX(I1000,GWL))*GAM_D)/(GAM_W*PI()*E1000^2/4))</f>
        <v>7.00980568716826</v>
      </c>
    </row>
    <row r="1001" customFormat="false" ht="15" hidden="false" customHeight="false" outlineLevel="0" collapsed="false">
      <c r="A1001" s="25" t="s">
        <v>1594</v>
      </c>
      <c r="B1001" s="25" t="s">
        <v>1602</v>
      </c>
      <c r="C1001" s="25" t="s">
        <v>1604</v>
      </c>
      <c r="D1001" s="26" t="n">
        <v>0.35190372396727</v>
      </c>
      <c r="E1001" s="26" t="n">
        <v>1.00000271397922</v>
      </c>
      <c r="F1001" s="26" t="n">
        <v>-4.10000135698961</v>
      </c>
      <c r="G1001" s="26" t="n">
        <v>-4.10000135698961</v>
      </c>
      <c r="H1001" s="26" t="n">
        <v>-2.59999864301039</v>
      </c>
      <c r="I1001" s="26" t="n">
        <v>-2.59999864301039</v>
      </c>
      <c r="J1001" s="26" t="n">
        <v>3.77</v>
      </c>
      <c r="K1001" s="27" t="n">
        <f aca="false">MIN(F1001,G1001)</f>
        <v>-4.10000135698961</v>
      </c>
      <c r="L1001" s="27" t="n">
        <f aca="false">AVERAGE(F1001,G1001)</f>
        <v>-4.10000135698961</v>
      </c>
      <c r="M1001" s="27" t="n">
        <f aca="false">MAX(0,NG-L1001)</f>
        <v>3.40000135698961</v>
      </c>
      <c r="N1001" s="27" t="n">
        <f aca="false">MAX(0,GWL-K1001)</f>
        <v>2.60000135698961</v>
      </c>
      <c r="O1001" s="27" t="n">
        <f aca="false">MAX(0,NG-MAX(K1001,GWL))</f>
        <v>0.8</v>
      </c>
      <c r="P1001" s="27" t="n">
        <f aca="false">E1001/2+WS+SLOPE_A*O1001+SLOPE_B*N1001</f>
        <v>7.90000407096884</v>
      </c>
      <c r="Q1001" s="28" t="str">
        <f aca="false">IF(AND(P1001&lt;J1001,N1001&lt;=MAXOC),"Open cut","Shoring")</f>
        <v>Shoring</v>
      </c>
      <c r="R1001" s="27" t="n">
        <f aca="false">IF(Q1001="Shoring",D1001,0)</f>
        <v>0.35190372396727</v>
      </c>
      <c r="S1001" s="27" t="n">
        <f aca="false">MAX(0,GWL-L1001)</f>
        <v>2.60000135698961</v>
      </c>
      <c r="T1001" s="27" t="n">
        <f aca="false">MAX(0,NG-MAX(L1001,GWL))</f>
        <v>0.8</v>
      </c>
      <c r="U1001" s="27" t="n">
        <f aca="false">E1001+2*WS</f>
        <v>3.00000271397922</v>
      </c>
      <c r="V1001" s="27" t="n">
        <f aca="false">IF(Q1001="Shoring",D1001*M1001*U1001,0)</f>
        <v>3.58942266425849</v>
      </c>
      <c r="W1001" s="27" t="n">
        <f aca="false">IF(Q1001="Open cut",D1001*(U1001*M1001+SLOPE_B*S1001^2+2*SLOPE_B*S1001*T1001+SLOPE_A*T1001^2),0)</f>
        <v>0</v>
      </c>
      <c r="X1001" s="27" t="n">
        <f aca="false">IF(M1001&gt;0,D1001*(E1001+2*SLABOVH)*SLAB,0)</f>
        <v>0.351904201496968</v>
      </c>
      <c r="Y1001" s="27" t="n">
        <f aca="false">IF(M1001&gt;0,D1001*PI()*E1001^2/4,0)</f>
        <v>0.276386038702443</v>
      </c>
      <c r="Z1001" s="27" t="n">
        <f aca="false">IF(H1001-E1001&gt;=GWL,99,E1001*(MAX(0,GWL-H1001)*(GAM_S-GAM_W)+MAX(0,NG-MAX(H1001,GWL))*GAM_D)/(GAM_W*PI()*E1001^2/4))</f>
        <v>3.03824357407087</v>
      </c>
      <c r="AA1001" s="27" t="n">
        <f aca="false">IF(I1001-E1001&gt;=GWL,99,E1001*(MAX(0,GWL-I1001)*(GAM_S-GAM_W)+MAX(0,NG-MAX(I1001,GWL))*GAM_D)/(GAM_W*PI()*E1001^2/4))</f>
        <v>3.03824357407087</v>
      </c>
      <c r="AB1001" s="27" t="n">
        <f aca="false">IF(H1001-E1001&gt;=GWL,99,E1001*(MAX(0,GWL-H1001)*(GAM_S-GAM_W)+MAX(0,FL-MAX(H1001,GWL))*GAM_D)/(GAM_W*PI()*E1001^2/4))</f>
        <v>7.00980568716826</v>
      </c>
      <c r="AC1001" s="27" t="n">
        <f aca="false">IF(I1001-E1001&gt;=GWL,99,E1001*(MAX(0,GWL-I1001)*(GAM_S-GAM_W)+MAX(0,FL-MAX(I1001,GWL))*GAM_D)/(GAM_W*PI()*E1001^2/4))</f>
        <v>7.00980568716826</v>
      </c>
    </row>
    <row r="1002" customFormat="false" ht="15" hidden="false" customHeight="false" outlineLevel="0" collapsed="false">
      <c r="A1002" s="25" t="s">
        <v>1594</v>
      </c>
      <c r="B1002" s="25" t="s">
        <v>1602</v>
      </c>
      <c r="C1002" s="25" t="s">
        <v>1605</v>
      </c>
      <c r="D1002" s="26" t="n">
        <v>0.387839672501085</v>
      </c>
      <c r="E1002" s="26" t="n">
        <v>0.99999718189537</v>
      </c>
      <c r="F1002" s="26" t="n">
        <v>-4.09999859094769</v>
      </c>
      <c r="G1002" s="26" t="n">
        <v>-4.09999859094769</v>
      </c>
      <c r="H1002" s="26" t="n">
        <v>-2.60000140905232</v>
      </c>
      <c r="I1002" s="26" t="n">
        <v>-2.60000140905232</v>
      </c>
      <c r="J1002" s="26" t="n">
        <v>4.04</v>
      </c>
      <c r="K1002" s="27" t="n">
        <f aca="false">MIN(F1002,G1002)</f>
        <v>-4.09999859094769</v>
      </c>
      <c r="L1002" s="27" t="n">
        <f aca="false">AVERAGE(F1002,G1002)</f>
        <v>-4.09999859094769</v>
      </c>
      <c r="M1002" s="27" t="n">
        <f aca="false">MAX(0,NG-L1002)</f>
        <v>3.39999859094768</v>
      </c>
      <c r="N1002" s="27" t="n">
        <f aca="false">MAX(0,GWL-K1002)</f>
        <v>2.59999859094769</v>
      </c>
      <c r="O1002" s="27" t="n">
        <f aca="false">MAX(0,NG-MAX(K1002,GWL))</f>
        <v>0.8</v>
      </c>
      <c r="P1002" s="27" t="n">
        <f aca="false">E1002/2+WS+SLOPE_A*O1002+SLOPE_B*N1002</f>
        <v>7.89999577284306</v>
      </c>
      <c r="Q1002" s="28" t="str">
        <f aca="false">IF(AND(P1002&lt;J1002,N1002&lt;=MAXOC),"Open cut","Shoring")</f>
        <v>Shoring</v>
      </c>
      <c r="R1002" s="27" t="n">
        <f aca="false">IF(Q1002="Shoring",D1002,0)</f>
        <v>0.387839672501085</v>
      </c>
      <c r="S1002" s="27" t="n">
        <f aca="false">MAX(0,GWL-L1002)</f>
        <v>2.59999859094769</v>
      </c>
      <c r="T1002" s="27" t="n">
        <f aca="false">MAX(0,NG-MAX(L1002,GWL))</f>
        <v>0.8</v>
      </c>
      <c r="U1002" s="27" t="n">
        <f aca="false">E1002+2*WS</f>
        <v>2.99999718189537</v>
      </c>
      <c r="V1002" s="27" t="n">
        <f aca="false">IF(Q1002="Shoring",D1002*M1002*U1002,0)</f>
        <v>3.955959303946</v>
      </c>
      <c r="W1002" s="27" t="n">
        <f aca="false">IF(Q1002="Open cut",D1002*(U1002*M1002+SLOPE_B*S1002^2+2*SLOPE_B*S1002*T1002+SLOPE_A*T1002^2),0)</f>
        <v>0</v>
      </c>
      <c r="X1002" s="27" t="n">
        <f aca="false">IF(M1002&gt;0,D1002*(E1002+2*SLABOVH)*SLAB,0)</f>
        <v>0.387839126014697</v>
      </c>
      <c r="Y1002" s="27" t="n">
        <f aca="false">IF(M1002&gt;0,D1002*PI()*E1002^2/4,0)</f>
        <v>0.304606849639816</v>
      </c>
      <c r="Z1002" s="27" t="n">
        <f aca="false">IF(H1002-E1002&gt;=GWL,99,E1002*(MAX(0,GWL-H1002)*(GAM_S-GAM_W)+MAX(0,NG-MAX(H1002,GWL))*GAM_D)/(GAM_W*PI()*E1002^2/4))</f>
        <v>3.03826332219144</v>
      </c>
      <c r="AA1002" s="27" t="n">
        <f aca="false">IF(I1002-E1002&gt;=GWL,99,E1002*(MAX(0,GWL-I1002)*(GAM_S-GAM_W)+MAX(0,NG-MAX(I1002,GWL))*GAM_D)/(GAM_W*PI()*E1002^2/4))</f>
        <v>3.03826332219144</v>
      </c>
      <c r="AB1002" s="27" t="n">
        <f aca="false">IF(H1002-E1002&gt;=GWL,99,E1002*(MAX(0,GWL-H1002)*(GAM_S-GAM_W)+MAX(0,FL-MAX(H1002,GWL))*GAM_D)/(GAM_W*PI()*E1002^2/4))</f>
        <v>7.00984740636539</v>
      </c>
      <c r="AC1002" s="27" t="n">
        <f aca="false">IF(I1002-E1002&gt;=GWL,99,E1002*(MAX(0,GWL-I1002)*(GAM_S-GAM_W)+MAX(0,FL-MAX(I1002,GWL))*GAM_D)/(GAM_W*PI()*E1002^2/4))</f>
        <v>7.00984740636539</v>
      </c>
    </row>
    <row r="1003" customFormat="false" ht="15" hidden="false" customHeight="false" outlineLevel="0" collapsed="false">
      <c r="A1003" s="25" t="s">
        <v>1594</v>
      </c>
      <c r="B1003" s="25" t="s">
        <v>1602</v>
      </c>
      <c r="C1003" s="25" t="s">
        <v>1606</v>
      </c>
      <c r="D1003" s="26" t="n">
        <v>5.6543207297789</v>
      </c>
      <c r="E1003" s="26" t="n">
        <v>0.99999718189537</v>
      </c>
      <c r="F1003" s="26" t="n">
        <v>-4.09999859094769</v>
      </c>
      <c r="G1003" s="26" t="n">
        <v>-4.09999859094769</v>
      </c>
      <c r="H1003" s="26" t="n">
        <v>-2.60000140905232</v>
      </c>
      <c r="I1003" s="26" t="n">
        <v>-2.60000140905232</v>
      </c>
      <c r="J1003" s="26" t="n">
        <v>4.09</v>
      </c>
      <c r="K1003" s="27" t="n">
        <f aca="false">MIN(F1003,G1003)</f>
        <v>-4.09999859094769</v>
      </c>
      <c r="L1003" s="27" t="n">
        <f aca="false">AVERAGE(F1003,G1003)</f>
        <v>-4.09999859094769</v>
      </c>
      <c r="M1003" s="27" t="n">
        <f aca="false">MAX(0,NG-L1003)</f>
        <v>3.39999859094768</v>
      </c>
      <c r="N1003" s="27" t="n">
        <f aca="false">MAX(0,GWL-K1003)</f>
        <v>2.59999859094769</v>
      </c>
      <c r="O1003" s="27" t="n">
        <f aca="false">MAX(0,NG-MAX(K1003,GWL))</f>
        <v>0.8</v>
      </c>
      <c r="P1003" s="27" t="n">
        <f aca="false">E1003/2+WS+SLOPE_A*O1003+SLOPE_B*N1003</f>
        <v>7.89999577284306</v>
      </c>
      <c r="Q1003" s="28" t="str">
        <f aca="false">IF(AND(P1003&lt;J1003,N1003&lt;=MAXOC),"Open cut","Shoring")</f>
        <v>Shoring</v>
      </c>
      <c r="R1003" s="27" t="n">
        <f aca="false">IF(Q1003="Shoring",D1003,0)</f>
        <v>5.6543207297789</v>
      </c>
      <c r="S1003" s="27" t="n">
        <f aca="false">MAX(0,GWL-L1003)</f>
        <v>2.59999859094769</v>
      </c>
      <c r="T1003" s="27" t="n">
        <f aca="false">MAX(0,NG-MAX(L1003,GWL))</f>
        <v>0.8</v>
      </c>
      <c r="U1003" s="27" t="n">
        <f aca="false">E1003+2*WS</f>
        <v>2.99999718189537</v>
      </c>
      <c r="V1003" s="27" t="n">
        <f aca="false">IF(Q1003="Shoring",D1003*M1003*U1003,0)</f>
        <v>57.6739933648769</v>
      </c>
      <c r="W1003" s="27" t="n">
        <f aca="false">IF(Q1003="Open cut",D1003*(U1003*M1003+SLOPE_B*S1003^2+2*SLOPE_B*S1003*T1003+SLOPE_A*T1003^2),0)</f>
        <v>0</v>
      </c>
      <c r="X1003" s="27" t="n">
        <f aca="false">IF(M1003&gt;0,D1003*(E1003+2*SLABOVH)*SLAB,0)</f>
        <v>5.65431276254519</v>
      </c>
      <c r="Y1003" s="27" t="n">
        <f aca="false">IF(M1003&gt;0,D1003*PI()*E1003^2/4,0)</f>
        <v>4.44086808666084</v>
      </c>
      <c r="Z1003" s="27" t="n">
        <f aca="false">IF(H1003-E1003&gt;=GWL,99,E1003*(MAX(0,GWL-H1003)*(GAM_S-GAM_W)+MAX(0,NG-MAX(H1003,GWL))*GAM_D)/(GAM_W*PI()*E1003^2/4))</f>
        <v>3.03826332219144</v>
      </c>
      <c r="AA1003" s="27" t="n">
        <f aca="false">IF(I1003-E1003&gt;=GWL,99,E1003*(MAX(0,GWL-I1003)*(GAM_S-GAM_W)+MAX(0,NG-MAX(I1003,GWL))*GAM_D)/(GAM_W*PI()*E1003^2/4))</f>
        <v>3.03826332219144</v>
      </c>
      <c r="AB1003" s="27" t="n">
        <f aca="false">IF(H1003-E1003&gt;=GWL,99,E1003*(MAX(0,GWL-H1003)*(GAM_S-GAM_W)+MAX(0,FL-MAX(H1003,GWL))*GAM_D)/(GAM_W*PI()*E1003^2/4))</f>
        <v>7.00984740636539</v>
      </c>
      <c r="AC1003" s="27" t="n">
        <f aca="false">IF(I1003-E1003&gt;=GWL,99,E1003*(MAX(0,GWL-I1003)*(GAM_S-GAM_W)+MAX(0,FL-MAX(I1003,GWL))*GAM_D)/(GAM_W*PI()*E1003^2/4))</f>
        <v>7.00984740636539</v>
      </c>
    </row>
    <row r="1004" customFormat="false" ht="15" hidden="false" customHeight="false" outlineLevel="0" collapsed="false">
      <c r="A1004" s="25" t="s">
        <v>1594</v>
      </c>
      <c r="B1004" s="25" t="s">
        <v>1602</v>
      </c>
      <c r="C1004" s="25" t="s">
        <v>1607</v>
      </c>
      <c r="D1004" s="26" t="n">
        <v>9.09494927042449</v>
      </c>
      <c r="E1004" s="26" t="n">
        <v>0.99999718189537</v>
      </c>
      <c r="F1004" s="26" t="n">
        <v>-4.09999859094769</v>
      </c>
      <c r="G1004" s="26" t="n">
        <v>-4.09999859094769</v>
      </c>
      <c r="H1004" s="26" t="n">
        <v>-2.60000140905232</v>
      </c>
      <c r="I1004" s="26" t="n">
        <v>-2.60000140905232</v>
      </c>
      <c r="J1004" s="26" t="n">
        <v>5.31</v>
      </c>
      <c r="K1004" s="27" t="n">
        <f aca="false">MIN(F1004,G1004)</f>
        <v>-4.09999859094769</v>
      </c>
      <c r="L1004" s="27" t="n">
        <f aca="false">AVERAGE(F1004,G1004)</f>
        <v>-4.09999859094769</v>
      </c>
      <c r="M1004" s="27" t="n">
        <f aca="false">MAX(0,NG-L1004)</f>
        <v>3.39999859094768</v>
      </c>
      <c r="N1004" s="27" t="n">
        <f aca="false">MAX(0,GWL-K1004)</f>
        <v>2.59999859094769</v>
      </c>
      <c r="O1004" s="27" t="n">
        <f aca="false">MAX(0,NG-MAX(K1004,GWL))</f>
        <v>0.8</v>
      </c>
      <c r="P1004" s="27" t="n">
        <f aca="false">E1004/2+WS+SLOPE_A*O1004+SLOPE_B*N1004</f>
        <v>7.89999577284306</v>
      </c>
      <c r="Q1004" s="28" t="str">
        <f aca="false">IF(AND(P1004&lt;J1004,N1004&lt;=MAXOC),"Open cut","Shoring")</f>
        <v>Shoring</v>
      </c>
      <c r="R1004" s="27" t="n">
        <f aca="false">IF(Q1004="Shoring",D1004,0)</f>
        <v>9.09494927042449</v>
      </c>
      <c r="S1004" s="27" t="n">
        <f aca="false">MAX(0,GWL-L1004)</f>
        <v>2.59999859094769</v>
      </c>
      <c r="T1004" s="27" t="n">
        <f aca="false">MAX(0,NG-MAX(L1004,GWL))</f>
        <v>0.8</v>
      </c>
      <c r="U1004" s="27" t="n">
        <f aca="false">E1004+2*WS</f>
        <v>2.99999718189537</v>
      </c>
      <c r="V1004" s="27" t="n">
        <f aca="false">IF(Q1004="Shoring",D1004*M1004*U1004,0)</f>
        <v>92.7683569688245</v>
      </c>
      <c r="W1004" s="27" t="n">
        <f aca="false">IF(Q1004="Open cut",D1004*(U1004*M1004+SLOPE_B*S1004^2+2*SLOPE_B*S1004*T1004+SLOPE_A*T1004^2),0)</f>
        <v>0</v>
      </c>
      <c r="X1004" s="27" t="n">
        <f aca="false">IF(M1004&gt;0,D1004*(E1004+2*SLABOVH)*SLAB,0)</f>
        <v>9.09493645516517</v>
      </c>
      <c r="Y1004" s="27" t="n">
        <f aca="false">IF(M1004&gt;0,D1004*PI()*E1004^2/4,0)</f>
        <v>7.14311619291654</v>
      </c>
      <c r="Z1004" s="27" t="n">
        <f aca="false">IF(H1004-E1004&gt;=GWL,99,E1004*(MAX(0,GWL-H1004)*(GAM_S-GAM_W)+MAX(0,NG-MAX(H1004,GWL))*GAM_D)/(GAM_W*PI()*E1004^2/4))</f>
        <v>3.03826332219144</v>
      </c>
      <c r="AA1004" s="27" t="n">
        <f aca="false">IF(I1004-E1004&gt;=GWL,99,E1004*(MAX(0,GWL-I1004)*(GAM_S-GAM_W)+MAX(0,NG-MAX(I1004,GWL))*GAM_D)/(GAM_W*PI()*E1004^2/4))</f>
        <v>3.03826332219144</v>
      </c>
      <c r="AB1004" s="27" t="n">
        <f aca="false">IF(H1004-E1004&gt;=GWL,99,E1004*(MAX(0,GWL-H1004)*(GAM_S-GAM_W)+MAX(0,FL-MAX(H1004,GWL))*GAM_D)/(GAM_W*PI()*E1004^2/4))</f>
        <v>7.00984740636539</v>
      </c>
      <c r="AC1004" s="27" t="n">
        <f aca="false">IF(I1004-E1004&gt;=GWL,99,E1004*(MAX(0,GWL-I1004)*(GAM_S-GAM_W)+MAX(0,FL-MAX(I1004,GWL))*GAM_D)/(GAM_W*PI()*E1004^2/4))</f>
        <v>7.00984740636539</v>
      </c>
    </row>
    <row r="1005" customFormat="false" ht="15" hidden="false" customHeight="false" outlineLevel="0" collapsed="false">
      <c r="A1005" s="25" t="s">
        <v>1594</v>
      </c>
      <c r="B1005" s="25" t="s">
        <v>1602</v>
      </c>
      <c r="C1005" s="25" t="s">
        <v>1608</v>
      </c>
      <c r="D1005" s="26" t="n">
        <v>0.329435157586124</v>
      </c>
      <c r="E1005" s="26" t="n">
        <v>0.99999718189537</v>
      </c>
      <c r="F1005" s="26" t="n">
        <v>-4.09999859094769</v>
      </c>
      <c r="G1005" s="26" t="n">
        <v>-4.09999859094769</v>
      </c>
      <c r="H1005" s="26" t="n">
        <v>-2.60000140905232</v>
      </c>
      <c r="I1005" s="26" t="n">
        <v>-2.60000140905232</v>
      </c>
      <c r="J1005" s="26" t="n">
        <v>8.69</v>
      </c>
      <c r="K1005" s="27" t="n">
        <f aca="false">MIN(F1005,G1005)</f>
        <v>-4.09999859094769</v>
      </c>
      <c r="L1005" s="27" t="n">
        <f aca="false">AVERAGE(F1005,G1005)</f>
        <v>-4.09999859094769</v>
      </c>
      <c r="M1005" s="27" t="n">
        <f aca="false">MAX(0,NG-L1005)</f>
        <v>3.39999859094768</v>
      </c>
      <c r="N1005" s="27" t="n">
        <f aca="false">MAX(0,GWL-K1005)</f>
        <v>2.59999859094769</v>
      </c>
      <c r="O1005" s="27" t="n">
        <f aca="false">MAX(0,NG-MAX(K1005,GWL))</f>
        <v>0.8</v>
      </c>
      <c r="P1005" s="27" t="n">
        <f aca="false">E1005/2+WS+SLOPE_A*O1005+SLOPE_B*N1005</f>
        <v>7.89999577284306</v>
      </c>
      <c r="Q1005" s="28" t="str">
        <f aca="false">IF(AND(P1005&lt;J1005,N1005&lt;=MAXOC),"Open cut","Shoring")</f>
        <v>Shoring</v>
      </c>
      <c r="R1005" s="27" t="n">
        <f aca="false">IF(Q1005="Shoring",D1005,0)</f>
        <v>0.329435157586124</v>
      </c>
      <c r="S1005" s="27" t="n">
        <f aca="false">MAX(0,GWL-L1005)</f>
        <v>2.59999859094769</v>
      </c>
      <c r="T1005" s="27" t="n">
        <f aca="false">MAX(0,NG-MAX(L1005,GWL))</f>
        <v>0.8</v>
      </c>
      <c r="U1005" s="27" t="n">
        <f aca="false">E1005+2*WS</f>
        <v>2.99999718189537</v>
      </c>
      <c r="V1005" s="27" t="n">
        <f aca="false">IF(Q1005="Shoring",D1005*M1005*U1005,0)</f>
        <v>3.36023405830433</v>
      </c>
      <c r="W1005" s="27" t="n">
        <f aca="false">IF(Q1005="Open cut",D1005*(U1005*M1005+SLOPE_B*S1005^2+2*SLOPE_B*S1005*T1005+SLOPE_A*T1005^2),0)</f>
        <v>0</v>
      </c>
      <c r="X1005" s="27" t="n">
        <f aca="false">IF(M1005&gt;0,D1005*(E1005+2*SLABOVH)*SLAB,0)</f>
        <v>0.329434693394752</v>
      </c>
      <c r="Y1005" s="27" t="n">
        <f aca="false">IF(M1005&gt;0,D1005*PI()*E1005^2/4,0)</f>
        <v>0.258736309428543</v>
      </c>
      <c r="Z1005" s="27" t="n">
        <f aca="false">IF(H1005-E1005&gt;=GWL,99,E1005*(MAX(0,GWL-H1005)*(GAM_S-GAM_W)+MAX(0,NG-MAX(H1005,GWL))*GAM_D)/(GAM_W*PI()*E1005^2/4))</f>
        <v>3.03826332219144</v>
      </c>
      <c r="AA1005" s="27" t="n">
        <f aca="false">IF(I1005-E1005&gt;=GWL,99,E1005*(MAX(0,GWL-I1005)*(GAM_S-GAM_W)+MAX(0,NG-MAX(I1005,GWL))*GAM_D)/(GAM_W*PI()*E1005^2/4))</f>
        <v>3.03826332219144</v>
      </c>
      <c r="AB1005" s="27" t="n">
        <f aca="false">IF(H1005-E1005&gt;=GWL,99,E1005*(MAX(0,GWL-H1005)*(GAM_S-GAM_W)+MAX(0,FL-MAX(H1005,GWL))*GAM_D)/(GAM_W*PI()*E1005^2/4))</f>
        <v>7.00984740636539</v>
      </c>
      <c r="AC1005" s="27" t="n">
        <f aca="false">IF(I1005-E1005&gt;=GWL,99,E1005*(MAX(0,GWL-I1005)*(GAM_S-GAM_W)+MAX(0,FL-MAX(I1005,GWL))*GAM_D)/(GAM_W*PI()*E1005^2/4))</f>
        <v>7.00984740636539</v>
      </c>
    </row>
    <row r="1006" customFormat="false" ht="15" hidden="false" customHeight="false" outlineLevel="0" collapsed="false">
      <c r="A1006" s="25" t="s">
        <v>1594</v>
      </c>
      <c r="B1006" s="25" t="s">
        <v>1602</v>
      </c>
      <c r="C1006" s="25" t="s">
        <v>1609</v>
      </c>
      <c r="D1006" s="26" t="n">
        <v>0.261023701237319</v>
      </c>
      <c r="E1006" s="26" t="n">
        <v>1.0017712329487</v>
      </c>
      <c r="F1006" s="26" t="n">
        <v>-4.10088561647435</v>
      </c>
      <c r="G1006" s="26" t="n">
        <v>-4.10088561647435</v>
      </c>
      <c r="H1006" s="26" t="n">
        <v>-2.59911438352565</v>
      </c>
      <c r="I1006" s="26" t="n">
        <v>-2.59911438352565</v>
      </c>
      <c r="J1006" s="26" t="n">
        <v>8.67</v>
      </c>
      <c r="K1006" s="27" t="n">
        <f aca="false">MIN(F1006,G1006)</f>
        <v>-4.10088561647435</v>
      </c>
      <c r="L1006" s="27" t="n">
        <f aca="false">AVERAGE(F1006,G1006)</f>
        <v>-4.10088561647435</v>
      </c>
      <c r="M1006" s="27" t="n">
        <f aca="false">MAX(0,NG-L1006)</f>
        <v>3.40088561647435</v>
      </c>
      <c r="N1006" s="27" t="n">
        <f aca="false">MAX(0,GWL-K1006)</f>
        <v>2.60088561647435</v>
      </c>
      <c r="O1006" s="27" t="n">
        <f aca="false">MAX(0,NG-MAX(K1006,GWL))</f>
        <v>0.8</v>
      </c>
      <c r="P1006" s="27" t="n">
        <f aca="false">E1006/2+WS+SLOPE_A*O1006+SLOPE_B*N1006</f>
        <v>7.90265684942305</v>
      </c>
      <c r="Q1006" s="28" t="str">
        <f aca="false">IF(AND(P1006&lt;J1006,N1006&lt;=MAXOC),"Open cut","Shoring")</f>
        <v>Shoring</v>
      </c>
      <c r="R1006" s="27" t="n">
        <f aca="false">IF(Q1006="Shoring",D1006,0)</f>
        <v>0.261023701237319</v>
      </c>
      <c r="S1006" s="27" t="n">
        <f aca="false">MAX(0,GWL-L1006)</f>
        <v>2.60088561647435</v>
      </c>
      <c r="T1006" s="27" t="n">
        <f aca="false">MAX(0,NG-MAX(L1006,GWL))</f>
        <v>0.8</v>
      </c>
      <c r="U1006" s="27" t="n">
        <f aca="false">E1006+2*WS</f>
        <v>3.0017712329487</v>
      </c>
      <c r="V1006" s="27" t="n">
        <f aca="false">IF(Q1006="Shoring",D1006*M1006*U1006,0)</f>
        <v>2.66470759759318</v>
      </c>
      <c r="W1006" s="27" t="n">
        <f aca="false">IF(Q1006="Open cut",D1006*(U1006*M1006+SLOPE_B*S1006^2+2*SLOPE_B*S1006*T1006+SLOPE_A*T1006^2),0)</f>
        <v>0</v>
      </c>
      <c r="X1006" s="27" t="n">
        <f aca="false">IF(M1006&gt;0,D1006*(E1006+2*SLABOVH)*SLAB,0)</f>
        <v>0.26125486812733</v>
      </c>
      <c r="Y1006" s="27" t="n">
        <f aca="false">IF(M1006&gt;0,D1006*PI()*E1006^2/4,0)</f>
        <v>0.205734410921611</v>
      </c>
      <c r="Z1006" s="27" t="n">
        <f aca="false">IF(H1006-E1006&gt;=GWL,99,E1006*(MAX(0,GWL-H1006)*(GAM_S-GAM_W)+MAX(0,NG-MAX(H1006,GWL))*GAM_D)/(GAM_W*PI()*E1006^2/4))</f>
        <v>3.03194159497601</v>
      </c>
      <c r="AA1006" s="27" t="n">
        <f aca="false">IF(I1006-E1006&gt;=GWL,99,E1006*(MAX(0,GWL-I1006)*(GAM_S-GAM_W)+MAX(0,NG-MAX(I1006,GWL))*GAM_D)/(GAM_W*PI()*E1006^2/4))</f>
        <v>3.03194159497601</v>
      </c>
      <c r="AB1006" s="27" t="n">
        <f aca="false">IF(H1006-E1006&gt;=GWL,99,E1006*(MAX(0,GWL-H1006)*(GAM_S-GAM_W)+MAX(0,FL-MAX(H1006,GWL))*GAM_D)/(GAM_W*PI()*E1006^2/4))</f>
        <v>6.99649234389718</v>
      </c>
      <c r="AC1006" s="27" t="n">
        <f aca="false">IF(I1006-E1006&gt;=GWL,99,E1006*(MAX(0,GWL-I1006)*(GAM_S-GAM_W)+MAX(0,FL-MAX(I1006,GWL))*GAM_D)/(GAM_W*PI()*E1006^2/4))</f>
        <v>6.99649234389718</v>
      </c>
    </row>
    <row r="1007" customFormat="false" ht="15" hidden="false" customHeight="false" outlineLevel="0" collapsed="false">
      <c r="A1007" s="25" t="s">
        <v>1594</v>
      </c>
      <c r="B1007" s="25" t="s">
        <v>1602</v>
      </c>
      <c r="C1007" s="25" t="s">
        <v>1610</v>
      </c>
      <c r="D1007" s="26" t="n">
        <v>0.314591870758844</v>
      </c>
      <c r="E1007" s="26" t="n">
        <v>1.0017712329487</v>
      </c>
      <c r="F1007" s="26" t="n">
        <v>-4.10088561647435</v>
      </c>
      <c r="G1007" s="26" t="n">
        <v>-4.10088561647435</v>
      </c>
      <c r="H1007" s="26" t="n">
        <v>-2.59911438352565</v>
      </c>
      <c r="I1007" s="26" t="n">
        <v>-2.59911438352565</v>
      </c>
      <c r="J1007" s="26" t="n">
        <v>8.56</v>
      </c>
      <c r="K1007" s="27" t="n">
        <f aca="false">MIN(F1007,G1007)</f>
        <v>-4.10088561647435</v>
      </c>
      <c r="L1007" s="27" t="n">
        <f aca="false">AVERAGE(F1007,G1007)</f>
        <v>-4.10088561647435</v>
      </c>
      <c r="M1007" s="27" t="n">
        <f aca="false">MAX(0,NG-L1007)</f>
        <v>3.40088561647435</v>
      </c>
      <c r="N1007" s="27" t="n">
        <f aca="false">MAX(0,GWL-K1007)</f>
        <v>2.60088561647435</v>
      </c>
      <c r="O1007" s="27" t="n">
        <f aca="false">MAX(0,NG-MAX(K1007,GWL))</f>
        <v>0.8</v>
      </c>
      <c r="P1007" s="27" t="n">
        <f aca="false">E1007/2+WS+SLOPE_A*O1007+SLOPE_B*N1007</f>
        <v>7.90265684942305</v>
      </c>
      <c r="Q1007" s="28" t="str">
        <f aca="false">IF(AND(P1007&lt;J1007,N1007&lt;=MAXOC),"Open cut","Shoring")</f>
        <v>Shoring</v>
      </c>
      <c r="R1007" s="27" t="n">
        <f aca="false">IF(Q1007="Shoring",D1007,0)</f>
        <v>0.314591870758844</v>
      </c>
      <c r="S1007" s="27" t="n">
        <f aca="false">MAX(0,GWL-L1007)</f>
        <v>2.60088561647435</v>
      </c>
      <c r="T1007" s="27" t="n">
        <f aca="false">MAX(0,NG-MAX(L1007,GWL))</f>
        <v>0.8</v>
      </c>
      <c r="U1007" s="27" t="n">
        <f aca="false">E1007+2*WS</f>
        <v>3.0017712329487</v>
      </c>
      <c r="V1007" s="27" t="n">
        <f aca="false">IF(Q1007="Shoring",D1007*M1007*U1007,0)</f>
        <v>3.21156793110514</v>
      </c>
      <c r="W1007" s="27" t="n">
        <f aca="false">IF(Q1007="Open cut",D1007*(U1007*M1007+SLOPE_B*S1007^2+2*SLOPE_B*S1007*T1007+SLOPE_A*T1007^2),0)</f>
        <v>0</v>
      </c>
      <c r="X1007" s="27" t="n">
        <f aca="false">IF(M1007&gt;0,D1007*(E1007+2*SLABOVH)*SLAB,0)</f>
        <v>0.314870478502285</v>
      </c>
      <c r="Y1007" s="27" t="n">
        <f aca="false">IF(M1007&gt;0,D1007*PI()*E1007^2/4,0)</f>
        <v>0.247955924709128</v>
      </c>
      <c r="Z1007" s="27" t="n">
        <f aca="false">IF(H1007-E1007&gt;=GWL,99,E1007*(MAX(0,GWL-H1007)*(GAM_S-GAM_W)+MAX(0,NG-MAX(H1007,GWL))*GAM_D)/(GAM_W*PI()*E1007^2/4))</f>
        <v>3.03194159497601</v>
      </c>
      <c r="AA1007" s="27" t="n">
        <f aca="false">IF(I1007-E1007&gt;=GWL,99,E1007*(MAX(0,GWL-I1007)*(GAM_S-GAM_W)+MAX(0,NG-MAX(I1007,GWL))*GAM_D)/(GAM_W*PI()*E1007^2/4))</f>
        <v>3.03194159497601</v>
      </c>
      <c r="AB1007" s="27" t="n">
        <f aca="false">IF(H1007-E1007&gt;=GWL,99,E1007*(MAX(0,GWL-H1007)*(GAM_S-GAM_W)+MAX(0,FL-MAX(H1007,GWL))*GAM_D)/(GAM_W*PI()*E1007^2/4))</f>
        <v>6.99649234389718</v>
      </c>
      <c r="AC1007" s="27" t="n">
        <f aca="false">IF(I1007-E1007&gt;=GWL,99,E1007*(MAX(0,GWL-I1007)*(GAM_S-GAM_W)+MAX(0,FL-MAX(I1007,GWL))*GAM_D)/(GAM_W*PI()*E1007^2/4))</f>
        <v>6.99649234389718</v>
      </c>
    </row>
    <row r="1008" customFormat="false" ht="15" hidden="false" customHeight="false" outlineLevel="0" collapsed="false">
      <c r="A1008" s="25" t="s">
        <v>1594</v>
      </c>
      <c r="B1008" s="25" t="s">
        <v>1602</v>
      </c>
      <c r="C1008" s="25" t="s">
        <v>1611</v>
      </c>
      <c r="D1008" s="26" t="n">
        <v>7.00000000004449</v>
      </c>
      <c r="E1008" s="26" t="n">
        <v>1.0017712329487</v>
      </c>
      <c r="F1008" s="26" t="n">
        <v>-4.10088561647435</v>
      </c>
      <c r="G1008" s="26" t="n">
        <v>-4.10088561647435</v>
      </c>
      <c r="H1008" s="26" t="n">
        <v>-2.59911438352565</v>
      </c>
      <c r="I1008" s="26" t="n">
        <v>-2.59911438352565</v>
      </c>
      <c r="J1008" s="26" t="n">
        <v>5.4</v>
      </c>
      <c r="K1008" s="27" t="n">
        <f aca="false">MIN(F1008,G1008)</f>
        <v>-4.10088561647435</v>
      </c>
      <c r="L1008" s="27" t="n">
        <f aca="false">AVERAGE(F1008,G1008)</f>
        <v>-4.10088561647435</v>
      </c>
      <c r="M1008" s="27" t="n">
        <f aca="false">MAX(0,NG-L1008)</f>
        <v>3.40088561647435</v>
      </c>
      <c r="N1008" s="27" t="n">
        <f aca="false">MAX(0,GWL-K1008)</f>
        <v>2.60088561647435</v>
      </c>
      <c r="O1008" s="27" t="n">
        <f aca="false">MAX(0,NG-MAX(K1008,GWL))</f>
        <v>0.8</v>
      </c>
      <c r="P1008" s="27" t="n">
        <f aca="false">E1008/2+WS+SLOPE_A*O1008+SLOPE_B*N1008</f>
        <v>7.90265684942305</v>
      </c>
      <c r="Q1008" s="28" t="str">
        <f aca="false">IF(AND(P1008&lt;J1008,N1008&lt;=MAXOC),"Open cut","Shoring")</f>
        <v>Shoring</v>
      </c>
      <c r="R1008" s="27" t="n">
        <f aca="false">IF(Q1008="Shoring",D1008,0)</f>
        <v>7.00000000004449</v>
      </c>
      <c r="S1008" s="27" t="n">
        <f aca="false">MAX(0,GWL-L1008)</f>
        <v>2.60088561647435</v>
      </c>
      <c r="T1008" s="27" t="n">
        <f aca="false">MAX(0,NG-MAX(L1008,GWL))</f>
        <v>0.8</v>
      </c>
      <c r="U1008" s="27" t="n">
        <f aca="false">E1008+2*WS</f>
        <v>3.0017712329487</v>
      </c>
      <c r="V1008" s="27" t="n">
        <f aca="false">IF(Q1008="Shoring",D1008*M1008*U1008,0)</f>
        <v>71.4607642710261</v>
      </c>
      <c r="W1008" s="27" t="n">
        <f aca="false">IF(Q1008="Open cut",D1008*(U1008*M1008+SLOPE_B*S1008^2+2*SLOPE_B*S1008*T1008+SLOPE_A*T1008^2),0)</f>
        <v>0</v>
      </c>
      <c r="X1008" s="27" t="n">
        <f aca="false">IF(M1008&gt;0,D1008*(E1008+2*SLABOVH)*SLAB,0)</f>
        <v>7.00619931536498</v>
      </c>
      <c r="Y1008" s="27" t="n">
        <f aca="false">IF(M1008&gt;0,D1008*PI()*E1008^2/4,0)</f>
        <v>5.51728011530676</v>
      </c>
      <c r="Z1008" s="27" t="n">
        <f aca="false">IF(H1008-E1008&gt;=GWL,99,E1008*(MAX(0,GWL-H1008)*(GAM_S-GAM_W)+MAX(0,NG-MAX(H1008,GWL))*GAM_D)/(GAM_W*PI()*E1008^2/4))</f>
        <v>3.03194159497601</v>
      </c>
      <c r="AA1008" s="27" t="n">
        <f aca="false">IF(I1008-E1008&gt;=GWL,99,E1008*(MAX(0,GWL-I1008)*(GAM_S-GAM_W)+MAX(0,NG-MAX(I1008,GWL))*GAM_D)/(GAM_W*PI()*E1008^2/4))</f>
        <v>3.03194159497601</v>
      </c>
      <c r="AB1008" s="27" t="n">
        <f aca="false">IF(H1008-E1008&gt;=GWL,99,E1008*(MAX(0,GWL-H1008)*(GAM_S-GAM_W)+MAX(0,FL-MAX(H1008,GWL))*GAM_D)/(GAM_W*PI()*E1008^2/4))</f>
        <v>6.99649234389718</v>
      </c>
      <c r="AC1008" s="27" t="n">
        <f aca="false">IF(I1008-E1008&gt;=GWL,99,E1008*(MAX(0,GWL-I1008)*(GAM_S-GAM_W)+MAX(0,FL-MAX(I1008,GWL))*GAM_D)/(GAM_W*PI()*E1008^2/4))</f>
        <v>6.99649234389718</v>
      </c>
    </row>
    <row r="1009" customFormat="false" ht="15" hidden="false" customHeight="false" outlineLevel="0" collapsed="false">
      <c r="A1009" s="25" t="s">
        <v>1594</v>
      </c>
      <c r="B1009" s="25" t="s">
        <v>1612</v>
      </c>
      <c r="C1009" s="25" t="s">
        <v>1613</v>
      </c>
      <c r="D1009" s="26" t="n">
        <v>3.00000000003693</v>
      </c>
      <c r="E1009" s="26" t="n">
        <v>1.0017712329487</v>
      </c>
      <c r="F1009" s="26" t="n">
        <v>-4.10088561647435</v>
      </c>
      <c r="G1009" s="26" t="n">
        <v>-4.10088561647435</v>
      </c>
      <c r="H1009" s="26" t="n">
        <v>-2.59911438352565</v>
      </c>
      <c r="I1009" s="26" t="n">
        <v>-2.59911438352565</v>
      </c>
      <c r="J1009" s="26" t="n">
        <v>3.29</v>
      </c>
      <c r="K1009" s="27" t="n">
        <f aca="false">MIN(F1009,G1009)</f>
        <v>-4.10088561647435</v>
      </c>
      <c r="L1009" s="27" t="n">
        <f aca="false">AVERAGE(F1009,G1009)</f>
        <v>-4.10088561647435</v>
      </c>
      <c r="M1009" s="27" t="n">
        <f aca="false">MAX(0,NG-L1009)</f>
        <v>3.40088561647435</v>
      </c>
      <c r="N1009" s="27" t="n">
        <f aca="false">MAX(0,GWL-K1009)</f>
        <v>2.60088561647435</v>
      </c>
      <c r="O1009" s="27" t="n">
        <f aca="false">MAX(0,NG-MAX(K1009,GWL))</f>
        <v>0.8</v>
      </c>
      <c r="P1009" s="27" t="n">
        <f aca="false">E1009/2+WS+SLOPE_A*O1009+SLOPE_B*N1009</f>
        <v>7.90265684942305</v>
      </c>
      <c r="Q1009" s="28" t="str">
        <f aca="false">IF(AND(P1009&lt;J1009,N1009&lt;=MAXOC),"Open cut","Shoring")</f>
        <v>Shoring</v>
      </c>
      <c r="R1009" s="27" t="n">
        <f aca="false">IF(Q1009="Shoring",D1009,0)</f>
        <v>3.00000000003693</v>
      </c>
      <c r="S1009" s="27" t="n">
        <f aca="false">MAX(0,GWL-L1009)</f>
        <v>2.60088561647435</v>
      </c>
      <c r="T1009" s="27" t="n">
        <f aca="false">MAX(0,NG-MAX(L1009,GWL))</f>
        <v>0.8</v>
      </c>
      <c r="U1009" s="27" t="n">
        <f aca="false">E1009+2*WS</f>
        <v>3.0017712329487</v>
      </c>
      <c r="V1009" s="27" t="n">
        <f aca="false">IF(Q1009="Shoring",D1009*M1009*U1009,0)</f>
        <v>30.6260418306221</v>
      </c>
      <c r="W1009" s="27" t="n">
        <f aca="false">IF(Q1009="Open cut",D1009*(U1009*M1009+SLOPE_B*S1009^2+2*SLOPE_B*S1009*T1009+SLOPE_A*T1009^2),0)</f>
        <v>0</v>
      </c>
      <c r="X1009" s="27" t="n">
        <f aca="false">IF(M1009&gt;0,D1009*(E1009+2*SLABOVH)*SLAB,0)</f>
        <v>3.00265684946001</v>
      </c>
      <c r="Y1009" s="27" t="n">
        <f aca="false">IF(M1009&gt;0,D1009*PI()*E1009^2/4,0)</f>
        <v>2.36454862085983</v>
      </c>
      <c r="Z1009" s="27" t="n">
        <f aca="false">IF(H1009-E1009&gt;=GWL,99,E1009*(MAX(0,GWL-H1009)*(GAM_S-GAM_W)+MAX(0,NG-MAX(H1009,GWL))*GAM_D)/(GAM_W*PI()*E1009^2/4))</f>
        <v>3.03194159497601</v>
      </c>
      <c r="AA1009" s="27" t="n">
        <f aca="false">IF(I1009-E1009&gt;=GWL,99,E1009*(MAX(0,GWL-I1009)*(GAM_S-GAM_W)+MAX(0,NG-MAX(I1009,GWL))*GAM_D)/(GAM_W*PI()*E1009^2/4))</f>
        <v>3.03194159497601</v>
      </c>
      <c r="AB1009" s="27" t="n">
        <f aca="false">IF(H1009-E1009&gt;=GWL,99,E1009*(MAX(0,GWL-H1009)*(GAM_S-GAM_W)+MAX(0,FL-MAX(H1009,GWL))*GAM_D)/(GAM_W*PI()*E1009^2/4))</f>
        <v>6.99649234389718</v>
      </c>
      <c r="AC1009" s="27" t="n">
        <f aca="false">IF(I1009-E1009&gt;=GWL,99,E1009*(MAX(0,GWL-I1009)*(GAM_S-GAM_W)+MAX(0,FL-MAX(I1009,GWL))*GAM_D)/(GAM_W*PI()*E1009^2/4))</f>
        <v>6.99649234389718</v>
      </c>
    </row>
    <row r="1010" customFormat="false" ht="15" hidden="false" customHeight="false" outlineLevel="0" collapsed="false">
      <c r="A1010" s="25" t="s">
        <v>1594</v>
      </c>
      <c r="B1010" s="25" t="s">
        <v>1612</v>
      </c>
      <c r="C1010" s="25" t="s">
        <v>1614</v>
      </c>
      <c r="D1010" s="26" t="n">
        <v>10.0000000000814</v>
      </c>
      <c r="E1010" s="26" t="n">
        <v>1.0017712329487</v>
      </c>
      <c r="F1010" s="26" t="n">
        <v>-4.10088561647435</v>
      </c>
      <c r="G1010" s="26" t="n">
        <v>-4.10088561647435</v>
      </c>
      <c r="H1010" s="26" t="n">
        <v>-2.59911438352565</v>
      </c>
      <c r="I1010" s="26" t="n">
        <v>-2.59911438352565</v>
      </c>
      <c r="J1010" s="26" t="n">
        <v>2.28</v>
      </c>
      <c r="K1010" s="27" t="n">
        <f aca="false">MIN(F1010,G1010)</f>
        <v>-4.10088561647435</v>
      </c>
      <c r="L1010" s="27" t="n">
        <f aca="false">AVERAGE(F1010,G1010)</f>
        <v>-4.10088561647435</v>
      </c>
      <c r="M1010" s="27" t="n">
        <f aca="false">MAX(0,NG-L1010)</f>
        <v>3.40088561647435</v>
      </c>
      <c r="N1010" s="27" t="n">
        <f aca="false">MAX(0,GWL-K1010)</f>
        <v>2.60088561647435</v>
      </c>
      <c r="O1010" s="27" t="n">
        <f aca="false">MAX(0,NG-MAX(K1010,GWL))</f>
        <v>0.8</v>
      </c>
      <c r="P1010" s="27" t="n">
        <f aca="false">E1010/2+WS+SLOPE_A*O1010+SLOPE_B*N1010</f>
        <v>7.90265684942305</v>
      </c>
      <c r="Q1010" s="28" t="str">
        <f aca="false">IF(AND(P1010&lt;J1010,N1010&lt;=MAXOC),"Open cut","Shoring")</f>
        <v>Shoring</v>
      </c>
      <c r="R1010" s="27" t="n">
        <f aca="false">IF(Q1010="Shoring",D1010,0)</f>
        <v>10.0000000000814</v>
      </c>
      <c r="S1010" s="27" t="n">
        <f aca="false">MAX(0,GWL-L1010)</f>
        <v>2.60088561647435</v>
      </c>
      <c r="T1010" s="27" t="n">
        <f aca="false">MAX(0,NG-MAX(L1010,GWL))</f>
        <v>0.8</v>
      </c>
      <c r="U1010" s="27" t="n">
        <f aca="false">E1010+2*WS</f>
        <v>3.0017712329487</v>
      </c>
      <c r="V1010" s="27" t="n">
        <f aca="false">IF(Q1010="Shoring",D1010*M1010*U1010,0)</f>
        <v>102.086806101648</v>
      </c>
      <c r="W1010" s="27" t="n">
        <f aca="false">IF(Q1010="Open cut",D1010*(U1010*M1010+SLOPE_B*S1010^2+2*SLOPE_B*S1010*T1010+SLOPE_A*T1010^2),0)</f>
        <v>0</v>
      </c>
      <c r="X1010" s="27" t="n">
        <f aca="false">IF(M1010&gt;0,D1010*(E1010+2*SLABOVH)*SLAB,0)</f>
        <v>10.008856164825</v>
      </c>
      <c r="Y1010" s="27" t="n">
        <f aca="false">IF(M1010&gt;0,D1010*PI()*E1010^2/4,0)</f>
        <v>7.88182873616659</v>
      </c>
      <c r="Z1010" s="27" t="n">
        <f aca="false">IF(H1010-E1010&gt;=GWL,99,E1010*(MAX(0,GWL-H1010)*(GAM_S-GAM_W)+MAX(0,NG-MAX(H1010,GWL))*GAM_D)/(GAM_W*PI()*E1010^2/4))</f>
        <v>3.03194159497601</v>
      </c>
      <c r="AA1010" s="27" t="n">
        <f aca="false">IF(I1010-E1010&gt;=GWL,99,E1010*(MAX(0,GWL-I1010)*(GAM_S-GAM_W)+MAX(0,NG-MAX(I1010,GWL))*GAM_D)/(GAM_W*PI()*E1010^2/4))</f>
        <v>3.03194159497601</v>
      </c>
      <c r="AB1010" s="27" t="n">
        <f aca="false">IF(H1010-E1010&gt;=GWL,99,E1010*(MAX(0,GWL-H1010)*(GAM_S-GAM_W)+MAX(0,FL-MAX(H1010,GWL))*GAM_D)/(GAM_W*PI()*E1010^2/4))</f>
        <v>6.99649234389718</v>
      </c>
      <c r="AC1010" s="27" t="n">
        <f aca="false">IF(I1010-E1010&gt;=GWL,99,E1010*(MAX(0,GWL-I1010)*(GAM_S-GAM_W)+MAX(0,FL-MAX(I1010,GWL))*GAM_D)/(GAM_W*PI()*E1010^2/4))</f>
        <v>6.99649234389718</v>
      </c>
    </row>
    <row r="1011" customFormat="false" ht="15" hidden="false" customHeight="false" outlineLevel="0" collapsed="false">
      <c r="A1011" s="25" t="s">
        <v>1594</v>
      </c>
      <c r="B1011" s="25" t="s">
        <v>1612</v>
      </c>
      <c r="C1011" s="25" t="s">
        <v>1615</v>
      </c>
      <c r="D1011" s="26" t="n">
        <v>1.9999999997099</v>
      </c>
      <c r="E1011" s="26" t="n">
        <v>1.0017712329487</v>
      </c>
      <c r="F1011" s="26" t="n">
        <v>-4.10088561647435</v>
      </c>
      <c r="G1011" s="26" t="n">
        <v>-4.10088561647435</v>
      </c>
      <c r="H1011" s="26" t="n">
        <v>-2.59911438352565</v>
      </c>
      <c r="I1011" s="26" t="n">
        <v>-2.59911438352565</v>
      </c>
      <c r="J1011" s="26" t="n">
        <v>6.11</v>
      </c>
      <c r="K1011" s="27" t="n">
        <f aca="false">MIN(F1011,G1011)</f>
        <v>-4.10088561647435</v>
      </c>
      <c r="L1011" s="27" t="n">
        <f aca="false">AVERAGE(F1011,G1011)</f>
        <v>-4.10088561647435</v>
      </c>
      <c r="M1011" s="27" t="n">
        <f aca="false">MAX(0,NG-L1011)</f>
        <v>3.40088561647435</v>
      </c>
      <c r="N1011" s="27" t="n">
        <f aca="false">MAX(0,GWL-K1011)</f>
        <v>2.60088561647435</v>
      </c>
      <c r="O1011" s="27" t="n">
        <f aca="false">MAX(0,NG-MAX(K1011,GWL))</f>
        <v>0.8</v>
      </c>
      <c r="P1011" s="27" t="n">
        <f aca="false">E1011/2+WS+SLOPE_A*O1011+SLOPE_B*N1011</f>
        <v>7.90265684942305</v>
      </c>
      <c r="Q1011" s="28" t="str">
        <f aca="false">IF(AND(P1011&lt;J1011,N1011&lt;=MAXOC),"Open cut","Shoring")</f>
        <v>Shoring</v>
      </c>
      <c r="R1011" s="27" t="n">
        <f aca="false">IF(Q1011="Shoring",D1011,0)</f>
        <v>1.9999999997099</v>
      </c>
      <c r="S1011" s="27" t="n">
        <f aca="false">MAX(0,GWL-L1011)</f>
        <v>2.60088561647435</v>
      </c>
      <c r="T1011" s="27" t="n">
        <f aca="false">MAX(0,NG-MAX(L1011,GWL))</f>
        <v>0.8</v>
      </c>
      <c r="U1011" s="27" t="n">
        <f aca="false">E1011+2*WS</f>
        <v>3.0017712329487</v>
      </c>
      <c r="V1011" s="27" t="n">
        <f aca="false">IF(Q1011="Shoring",D1011*M1011*U1011,0)</f>
        <v>20.4173612172019</v>
      </c>
      <c r="W1011" s="27" t="n">
        <f aca="false">IF(Q1011="Open cut",D1011*(U1011*M1011+SLOPE_B*S1011^2+2*SLOPE_B*S1011*T1011+SLOPE_A*T1011^2),0)</f>
        <v>0</v>
      </c>
      <c r="X1011" s="27" t="n">
        <f aca="false">IF(M1011&gt;0,D1011*(E1011+2*SLABOVH)*SLAB,0)</f>
        <v>2.00177123265835</v>
      </c>
      <c r="Y1011" s="27" t="n">
        <f aca="false">IF(M1011&gt;0,D1011*PI()*E1011^2/4,0)</f>
        <v>1.57636574699183</v>
      </c>
      <c r="Z1011" s="27" t="n">
        <f aca="false">IF(H1011-E1011&gt;=GWL,99,E1011*(MAX(0,GWL-H1011)*(GAM_S-GAM_W)+MAX(0,NG-MAX(H1011,GWL))*GAM_D)/(GAM_W*PI()*E1011^2/4))</f>
        <v>3.03194159497601</v>
      </c>
      <c r="AA1011" s="27" t="n">
        <f aca="false">IF(I1011-E1011&gt;=GWL,99,E1011*(MAX(0,GWL-I1011)*(GAM_S-GAM_W)+MAX(0,NG-MAX(I1011,GWL))*GAM_D)/(GAM_W*PI()*E1011^2/4))</f>
        <v>3.03194159497601</v>
      </c>
      <c r="AB1011" s="27" t="n">
        <f aca="false">IF(H1011-E1011&gt;=GWL,99,E1011*(MAX(0,GWL-H1011)*(GAM_S-GAM_W)+MAX(0,FL-MAX(H1011,GWL))*GAM_D)/(GAM_W*PI()*E1011^2/4))</f>
        <v>6.99649234389718</v>
      </c>
      <c r="AC1011" s="27" t="n">
        <f aca="false">IF(I1011-E1011&gt;=GWL,99,E1011*(MAX(0,GWL-I1011)*(GAM_S-GAM_W)+MAX(0,FL-MAX(I1011,GWL))*GAM_D)/(GAM_W*PI()*E1011^2/4))</f>
        <v>6.99649234389718</v>
      </c>
    </row>
    <row r="1012" customFormat="false" ht="15" hidden="false" customHeight="false" outlineLevel="0" collapsed="false">
      <c r="A1012" s="25" t="s">
        <v>1594</v>
      </c>
      <c r="B1012" s="25" t="s">
        <v>1616</v>
      </c>
      <c r="C1012" s="25" t="s">
        <v>1617</v>
      </c>
      <c r="D1012" s="26" t="n">
        <v>0.23453812964658</v>
      </c>
      <c r="E1012" s="26" t="n">
        <v>1.0017712329487</v>
      </c>
      <c r="F1012" s="26" t="n">
        <v>-4.10088561647435</v>
      </c>
      <c r="G1012" s="26" t="n">
        <v>-4.10088561647435</v>
      </c>
      <c r="H1012" s="26" t="n">
        <v>-2.59911438352565</v>
      </c>
      <c r="I1012" s="26" t="n">
        <v>-2.59911438352565</v>
      </c>
      <c r="J1012" s="26" t="n">
        <v>7.21</v>
      </c>
      <c r="K1012" s="27" t="n">
        <f aca="false">MIN(F1012,G1012)</f>
        <v>-4.10088561647435</v>
      </c>
      <c r="L1012" s="27" t="n">
        <f aca="false">AVERAGE(F1012,G1012)</f>
        <v>-4.10088561647435</v>
      </c>
      <c r="M1012" s="27" t="n">
        <f aca="false">MAX(0,NG-L1012)</f>
        <v>3.40088561647435</v>
      </c>
      <c r="N1012" s="27" t="n">
        <f aca="false">MAX(0,GWL-K1012)</f>
        <v>2.60088561647435</v>
      </c>
      <c r="O1012" s="27" t="n">
        <f aca="false">MAX(0,NG-MAX(K1012,GWL))</f>
        <v>0.8</v>
      </c>
      <c r="P1012" s="27" t="n">
        <f aca="false">E1012/2+WS+SLOPE_A*O1012+SLOPE_B*N1012</f>
        <v>7.90265684942305</v>
      </c>
      <c r="Q1012" s="28" t="str">
        <f aca="false">IF(AND(P1012&lt;J1012,N1012&lt;=MAXOC),"Open cut","Shoring")</f>
        <v>Shoring</v>
      </c>
      <c r="R1012" s="27" t="n">
        <f aca="false">IF(Q1012="Shoring",D1012,0)</f>
        <v>0.23453812964658</v>
      </c>
      <c r="S1012" s="27" t="n">
        <f aca="false">MAX(0,GWL-L1012)</f>
        <v>2.60088561647435</v>
      </c>
      <c r="T1012" s="27" t="n">
        <f aca="false">MAX(0,NG-MAX(L1012,GWL))</f>
        <v>0.8</v>
      </c>
      <c r="U1012" s="27" t="n">
        <f aca="false">E1012+2*WS</f>
        <v>3.0017712329487</v>
      </c>
      <c r="V1012" s="27" t="n">
        <f aca="false">IF(Q1012="Shoring",D1012*M1012*U1012,0)</f>
        <v>2.39432485644787</v>
      </c>
      <c r="W1012" s="27" t="n">
        <f aca="false">IF(Q1012="Open cut",D1012*(U1012*M1012+SLOPE_B*S1012^2+2*SLOPE_B*S1012*T1012+SLOPE_A*T1012^2),0)</f>
        <v>0</v>
      </c>
      <c r="X1012" s="27" t="n">
        <f aca="false">IF(M1012&gt;0,D1012*(E1012+2*SLABOVH)*SLAB,0)</f>
        <v>0.234745840478058</v>
      </c>
      <c r="Y1012" s="27" t="n">
        <f aca="false">IF(M1012&gt;0,D1012*PI()*E1012^2/4,0)</f>
        <v>0.184858936996013</v>
      </c>
      <c r="Z1012" s="27" t="n">
        <f aca="false">IF(H1012-E1012&gt;=GWL,99,E1012*(MAX(0,GWL-H1012)*(GAM_S-GAM_W)+MAX(0,NG-MAX(H1012,GWL))*GAM_D)/(GAM_W*PI()*E1012^2/4))</f>
        <v>3.03194159497601</v>
      </c>
      <c r="AA1012" s="27" t="n">
        <f aca="false">IF(I1012-E1012&gt;=GWL,99,E1012*(MAX(0,GWL-I1012)*(GAM_S-GAM_W)+MAX(0,NG-MAX(I1012,GWL))*GAM_D)/(GAM_W*PI()*E1012^2/4))</f>
        <v>3.03194159497601</v>
      </c>
      <c r="AB1012" s="27" t="n">
        <f aca="false">IF(H1012-E1012&gt;=GWL,99,E1012*(MAX(0,GWL-H1012)*(GAM_S-GAM_W)+MAX(0,FL-MAX(H1012,GWL))*GAM_D)/(GAM_W*PI()*E1012^2/4))</f>
        <v>6.99649234389718</v>
      </c>
      <c r="AC1012" s="27" t="n">
        <f aca="false">IF(I1012-E1012&gt;=GWL,99,E1012*(MAX(0,GWL-I1012)*(GAM_S-GAM_W)+MAX(0,FL-MAX(I1012,GWL))*GAM_D)/(GAM_W*PI()*E1012^2/4))</f>
        <v>6.99649234389718</v>
      </c>
    </row>
    <row r="1013" customFormat="false" ht="15" hidden="false" customHeight="false" outlineLevel="0" collapsed="false">
      <c r="A1013" s="25" t="s">
        <v>1594</v>
      </c>
      <c r="B1013" s="25" t="s">
        <v>1616</v>
      </c>
      <c r="C1013" s="25" t="s">
        <v>1618</v>
      </c>
      <c r="D1013" s="26" t="n">
        <v>0.371821869693694</v>
      </c>
      <c r="E1013" s="26" t="n">
        <v>1.0017712329487</v>
      </c>
      <c r="F1013" s="26" t="n">
        <v>-4.10088561647435</v>
      </c>
      <c r="G1013" s="26" t="n">
        <v>-4.10088561647435</v>
      </c>
      <c r="H1013" s="26" t="n">
        <v>-2.59911438352565</v>
      </c>
      <c r="I1013" s="26" t="n">
        <v>-2.59911438352565</v>
      </c>
      <c r="J1013" s="26" t="n">
        <v>7.27</v>
      </c>
      <c r="K1013" s="27" t="n">
        <f aca="false">MIN(F1013,G1013)</f>
        <v>-4.10088561647435</v>
      </c>
      <c r="L1013" s="27" t="n">
        <f aca="false">AVERAGE(F1013,G1013)</f>
        <v>-4.10088561647435</v>
      </c>
      <c r="M1013" s="27" t="n">
        <f aca="false">MAX(0,NG-L1013)</f>
        <v>3.40088561647435</v>
      </c>
      <c r="N1013" s="27" t="n">
        <f aca="false">MAX(0,GWL-K1013)</f>
        <v>2.60088561647435</v>
      </c>
      <c r="O1013" s="27" t="n">
        <f aca="false">MAX(0,NG-MAX(K1013,GWL))</f>
        <v>0.8</v>
      </c>
      <c r="P1013" s="27" t="n">
        <f aca="false">E1013/2+WS+SLOPE_A*O1013+SLOPE_B*N1013</f>
        <v>7.90265684942305</v>
      </c>
      <c r="Q1013" s="28" t="str">
        <f aca="false">IF(AND(P1013&lt;J1013,N1013&lt;=MAXOC),"Open cut","Shoring")</f>
        <v>Shoring</v>
      </c>
      <c r="R1013" s="27" t="n">
        <f aca="false">IF(Q1013="Shoring",D1013,0)</f>
        <v>0.371821869693694</v>
      </c>
      <c r="S1013" s="27" t="n">
        <f aca="false">MAX(0,GWL-L1013)</f>
        <v>2.60088561647435</v>
      </c>
      <c r="T1013" s="27" t="n">
        <f aca="false">MAX(0,NG-MAX(L1013,GWL))</f>
        <v>0.8</v>
      </c>
      <c r="U1013" s="27" t="n">
        <f aca="false">E1013+2*WS</f>
        <v>3.0017712329487</v>
      </c>
      <c r="V1013" s="27" t="n">
        <f aca="false">IF(Q1013="Shoring",D1013*M1013*U1013,0)</f>
        <v>3.79581071154634</v>
      </c>
      <c r="W1013" s="27" t="n">
        <f aca="false">IF(Q1013="Open cut",D1013*(U1013*M1013+SLOPE_B*S1013^2+2*SLOPE_B*S1013*T1013+SLOPE_A*T1013^2),0)</f>
        <v>0</v>
      </c>
      <c r="X1013" s="27" t="n">
        <f aca="false">IF(M1013&gt;0,D1013*(E1013+2*SLABOVH)*SLAB,0)</f>
        <v>0.372151161267018</v>
      </c>
      <c r="Y1013" s="27" t="n">
        <f aca="false">IF(M1013&gt;0,D1013*PI()*E1013^2/4,0)</f>
        <v>0.293063629726309</v>
      </c>
      <c r="Z1013" s="27" t="n">
        <f aca="false">IF(H1013-E1013&gt;=GWL,99,E1013*(MAX(0,GWL-H1013)*(GAM_S-GAM_W)+MAX(0,NG-MAX(H1013,GWL))*GAM_D)/(GAM_W*PI()*E1013^2/4))</f>
        <v>3.03194159497601</v>
      </c>
      <c r="AA1013" s="27" t="n">
        <f aca="false">IF(I1013-E1013&gt;=GWL,99,E1013*(MAX(0,GWL-I1013)*(GAM_S-GAM_W)+MAX(0,NG-MAX(I1013,GWL))*GAM_D)/(GAM_W*PI()*E1013^2/4))</f>
        <v>3.03194159497601</v>
      </c>
      <c r="AB1013" s="27" t="n">
        <f aca="false">IF(H1013-E1013&gt;=GWL,99,E1013*(MAX(0,GWL-H1013)*(GAM_S-GAM_W)+MAX(0,FL-MAX(H1013,GWL))*GAM_D)/(GAM_W*PI()*E1013^2/4))</f>
        <v>6.99649234389718</v>
      </c>
      <c r="AC1013" s="27" t="n">
        <f aca="false">IF(I1013-E1013&gt;=GWL,99,E1013*(MAX(0,GWL-I1013)*(GAM_S-GAM_W)+MAX(0,FL-MAX(I1013,GWL))*GAM_D)/(GAM_W*PI()*E1013^2/4))</f>
        <v>6.99649234389718</v>
      </c>
    </row>
    <row r="1014" customFormat="false" ht="15" hidden="false" customHeight="false" outlineLevel="0" collapsed="false">
      <c r="A1014" s="25" t="s">
        <v>1594</v>
      </c>
      <c r="B1014" s="25" t="s">
        <v>1616</v>
      </c>
      <c r="C1014" s="25" t="s">
        <v>1619</v>
      </c>
      <c r="D1014" s="26" t="n">
        <v>0.374330000249411</v>
      </c>
      <c r="E1014" s="26" t="n">
        <v>0.999993240590749</v>
      </c>
      <c r="F1014" s="26" t="n">
        <v>-4.09999662029538</v>
      </c>
      <c r="G1014" s="26" t="n">
        <v>-4.09999662029538</v>
      </c>
      <c r="H1014" s="26" t="n">
        <v>-2.60000337970463</v>
      </c>
      <c r="I1014" s="26" t="n">
        <v>-2.60000337970463</v>
      </c>
      <c r="J1014" s="26" t="n">
        <v>7.36</v>
      </c>
      <c r="K1014" s="27" t="n">
        <f aca="false">MIN(F1014,G1014)</f>
        <v>-4.09999662029538</v>
      </c>
      <c r="L1014" s="27" t="n">
        <f aca="false">AVERAGE(F1014,G1014)</f>
        <v>-4.09999662029538</v>
      </c>
      <c r="M1014" s="27" t="n">
        <f aca="false">MAX(0,NG-L1014)</f>
        <v>3.39999662029538</v>
      </c>
      <c r="N1014" s="27" t="n">
        <f aca="false">MAX(0,GWL-K1014)</f>
        <v>2.59999662029538</v>
      </c>
      <c r="O1014" s="27" t="n">
        <f aca="false">MAX(0,NG-MAX(K1014,GWL))</f>
        <v>0.8</v>
      </c>
      <c r="P1014" s="27" t="n">
        <f aca="false">E1014/2+WS+SLOPE_A*O1014+SLOPE_B*N1014</f>
        <v>7.89998986088613</v>
      </c>
      <c r="Q1014" s="28" t="str">
        <f aca="false">IF(AND(P1014&lt;J1014,N1014&lt;=MAXOC),"Open cut","Shoring")</f>
        <v>Shoring</v>
      </c>
      <c r="R1014" s="27" t="n">
        <f aca="false">IF(Q1014="Shoring",D1014,0)</f>
        <v>0.374330000249411</v>
      </c>
      <c r="S1014" s="27" t="n">
        <f aca="false">MAX(0,GWL-L1014)</f>
        <v>2.59999662029538</v>
      </c>
      <c r="T1014" s="27" t="n">
        <f aca="false">MAX(0,NG-MAX(L1014,GWL))</f>
        <v>0.8</v>
      </c>
      <c r="U1014" s="27" t="n">
        <f aca="false">E1014+2*WS</f>
        <v>2.99999324059075</v>
      </c>
      <c r="V1014" s="27" t="n">
        <f aca="false">IF(Q1014="Shoring",D1014*M1014*U1014,0)</f>
        <v>3.81815360432918</v>
      </c>
      <c r="W1014" s="27" t="n">
        <f aca="false">IF(Q1014="Open cut",D1014*(U1014*M1014+SLOPE_B*S1014^2+2*SLOPE_B*S1014*T1014+SLOPE_A*T1014^2),0)</f>
        <v>0</v>
      </c>
      <c r="X1014" s="27" t="n">
        <f aca="false">IF(M1014&gt;0,D1014*(E1014+2*SLABOVH)*SLAB,0)</f>
        <v>0.374328735124578</v>
      </c>
      <c r="Y1014" s="27" t="n">
        <f aca="false">IF(M1014&gt;0,D1014*PI()*E1014^2/4,0)</f>
        <v>0.293994120207005</v>
      </c>
      <c r="Z1014" s="27" t="n">
        <f aca="false">IF(H1014-E1014&gt;=GWL,99,E1014*(MAX(0,GWL-H1014)*(GAM_S-GAM_W)+MAX(0,NG-MAX(H1014,GWL))*GAM_D)/(GAM_W*PI()*E1014^2/4))</f>
        <v>3.03827739177142</v>
      </c>
      <c r="AA1014" s="27" t="n">
        <f aca="false">IF(I1014-E1014&gt;=GWL,99,E1014*(MAX(0,GWL-I1014)*(GAM_S-GAM_W)+MAX(0,NG-MAX(I1014,GWL))*GAM_D)/(GAM_W*PI()*E1014^2/4))</f>
        <v>3.03827739177142</v>
      </c>
      <c r="AB1014" s="27" t="n">
        <f aca="false">IF(H1014-E1014&gt;=GWL,99,E1014*(MAX(0,GWL-H1014)*(GAM_S-GAM_W)+MAX(0,FL-MAX(H1014,GWL))*GAM_D)/(GAM_W*PI()*E1014^2/4))</f>
        <v>7.00987712927388</v>
      </c>
      <c r="AC1014" s="27" t="n">
        <f aca="false">IF(I1014-E1014&gt;=GWL,99,E1014*(MAX(0,GWL-I1014)*(GAM_S-GAM_W)+MAX(0,FL-MAX(I1014,GWL))*GAM_D)/(GAM_W*PI()*E1014^2/4))</f>
        <v>7.00987712927388</v>
      </c>
    </row>
    <row r="1015" customFormat="false" ht="15" hidden="false" customHeight="false" outlineLevel="0" collapsed="false">
      <c r="A1015" s="25" t="s">
        <v>1594</v>
      </c>
      <c r="B1015" s="25" t="s">
        <v>1616</v>
      </c>
      <c r="C1015" s="25" t="s">
        <v>1620</v>
      </c>
      <c r="D1015" s="26" t="n">
        <v>2.24855000018963</v>
      </c>
      <c r="E1015" s="26" t="n">
        <v>0.999993240590749</v>
      </c>
      <c r="F1015" s="26" t="n">
        <v>-4.09999662029538</v>
      </c>
      <c r="G1015" s="26" t="n">
        <v>-4.09999662029538</v>
      </c>
      <c r="H1015" s="26" t="n">
        <v>-2.60000337970463</v>
      </c>
      <c r="I1015" s="26" t="n">
        <v>-2.60000337970463</v>
      </c>
      <c r="J1015" s="26" t="n">
        <v>7.68</v>
      </c>
      <c r="K1015" s="27" t="n">
        <f aca="false">MIN(F1015,G1015)</f>
        <v>-4.09999662029538</v>
      </c>
      <c r="L1015" s="27" t="n">
        <f aca="false">AVERAGE(F1015,G1015)</f>
        <v>-4.09999662029538</v>
      </c>
      <c r="M1015" s="27" t="n">
        <f aca="false">MAX(0,NG-L1015)</f>
        <v>3.39999662029538</v>
      </c>
      <c r="N1015" s="27" t="n">
        <f aca="false">MAX(0,GWL-K1015)</f>
        <v>2.59999662029538</v>
      </c>
      <c r="O1015" s="27" t="n">
        <f aca="false">MAX(0,NG-MAX(K1015,GWL))</f>
        <v>0.8</v>
      </c>
      <c r="P1015" s="27" t="n">
        <f aca="false">E1015/2+WS+SLOPE_A*O1015+SLOPE_B*N1015</f>
        <v>7.89998986088613</v>
      </c>
      <c r="Q1015" s="28" t="str">
        <f aca="false">IF(AND(P1015&lt;J1015,N1015&lt;=MAXOC),"Open cut","Shoring")</f>
        <v>Shoring</v>
      </c>
      <c r="R1015" s="27" t="n">
        <f aca="false">IF(Q1015="Shoring",D1015,0)</f>
        <v>2.24855000018963</v>
      </c>
      <c r="S1015" s="27" t="n">
        <f aca="false">MAX(0,GWL-L1015)</f>
        <v>2.59999662029538</v>
      </c>
      <c r="T1015" s="27" t="n">
        <f aca="false">MAX(0,NG-MAX(L1015,GWL))</f>
        <v>0.8</v>
      </c>
      <c r="U1015" s="27" t="n">
        <f aca="false">E1015+2*WS</f>
        <v>2.99999324059075</v>
      </c>
      <c r="V1015" s="27" t="n">
        <f aca="false">IF(Q1015="Shoring",D1015*M1015*U1015,0)</f>
        <v>22.9351355275242</v>
      </c>
      <c r="W1015" s="27" t="n">
        <f aca="false">IF(Q1015="Open cut",D1015*(U1015*M1015+SLOPE_B*S1015^2+2*SLOPE_B*S1015*T1015+SLOPE_A*T1015^2),0)</f>
        <v>0</v>
      </c>
      <c r="X1015" s="27" t="n">
        <f aca="false">IF(M1015&gt;0,D1015*(E1015+2*SLABOVH)*SLAB,0)</f>
        <v>2.24854240075479</v>
      </c>
      <c r="Y1015" s="27" t="n">
        <f aca="false">IF(M1015&gt;0,D1015*PI()*E1015^2/4,0)</f>
        <v>1.7659831662083</v>
      </c>
      <c r="Z1015" s="27" t="n">
        <f aca="false">IF(H1015-E1015&gt;=GWL,99,E1015*(MAX(0,GWL-H1015)*(GAM_S-GAM_W)+MAX(0,NG-MAX(H1015,GWL))*GAM_D)/(GAM_W*PI()*E1015^2/4))</f>
        <v>3.03827739177142</v>
      </c>
      <c r="AA1015" s="27" t="n">
        <f aca="false">IF(I1015-E1015&gt;=GWL,99,E1015*(MAX(0,GWL-I1015)*(GAM_S-GAM_W)+MAX(0,NG-MAX(I1015,GWL))*GAM_D)/(GAM_W*PI()*E1015^2/4))</f>
        <v>3.03827739177142</v>
      </c>
      <c r="AB1015" s="27" t="n">
        <f aca="false">IF(H1015-E1015&gt;=GWL,99,E1015*(MAX(0,GWL-H1015)*(GAM_S-GAM_W)+MAX(0,FL-MAX(H1015,GWL))*GAM_D)/(GAM_W*PI()*E1015^2/4))</f>
        <v>7.00987712927388</v>
      </c>
      <c r="AC1015" s="27" t="n">
        <f aca="false">IF(I1015-E1015&gt;=GWL,99,E1015*(MAX(0,GWL-I1015)*(GAM_S-GAM_W)+MAX(0,FL-MAX(I1015,GWL))*GAM_D)/(GAM_W*PI()*E1015^2/4))</f>
        <v>7.00987712927388</v>
      </c>
    </row>
    <row r="1016" customFormat="false" ht="15" hidden="false" customHeight="false" outlineLevel="0" collapsed="false">
      <c r="A1016" s="25" t="s">
        <v>1594</v>
      </c>
      <c r="B1016" s="25" t="s">
        <v>1616</v>
      </c>
      <c r="C1016" s="25" t="s">
        <v>1621</v>
      </c>
      <c r="D1016" s="26" t="n">
        <v>0.372791818556628</v>
      </c>
      <c r="E1016" s="26" t="n">
        <v>0.999993240590749</v>
      </c>
      <c r="F1016" s="26" t="n">
        <v>-4.09999662029538</v>
      </c>
      <c r="G1016" s="26" t="n">
        <v>-4.09999662029538</v>
      </c>
      <c r="H1016" s="26" t="n">
        <v>-2.60000337970463</v>
      </c>
      <c r="I1016" s="26" t="n">
        <v>-2.60000337970463</v>
      </c>
      <c r="J1016" s="26" t="n">
        <v>7.82</v>
      </c>
      <c r="K1016" s="27" t="n">
        <f aca="false">MIN(F1016,G1016)</f>
        <v>-4.09999662029538</v>
      </c>
      <c r="L1016" s="27" t="n">
        <f aca="false">AVERAGE(F1016,G1016)</f>
        <v>-4.09999662029538</v>
      </c>
      <c r="M1016" s="27" t="n">
        <f aca="false">MAX(0,NG-L1016)</f>
        <v>3.39999662029538</v>
      </c>
      <c r="N1016" s="27" t="n">
        <f aca="false">MAX(0,GWL-K1016)</f>
        <v>2.59999662029538</v>
      </c>
      <c r="O1016" s="27" t="n">
        <f aca="false">MAX(0,NG-MAX(K1016,GWL))</f>
        <v>0.8</v>
      </c>
      <c r="P1016" s="27" t="n">
        <f aca="false">E1016/2+WS+SLOPE_A*O1016+SLOPE_B*N1016</f>
        <v>7.89998986088613</v>
      </c>
      <c r="Q1016" s="28" t="str">
        <f aca="false">IF(AND(P1016&lt;J1016,N1016&lt;=MAXOC),"Open cut","Shoring")</f>
        <v>Shoring</v>
      </c>
      <c r="R1016" s="27" t="n">
        <f aca="false">IF(Q1016="Shoring",D1016,0)</f>
        <v>0.372791818556628</v>
      </c>
      <c r="S1016" s="27" t="n">
        <f aca="false">MAX(0,GWL-L1016)</f>
        <v>2.59999662029538</v>
      </c>
      <c r="T1016" s="27" t="n">
        <f aca="false">MAX(0,NG-MAX(L1016,GWL))</f>
        <v>0.8</v>
      </c>
      <c r="U1016" s="27" t="n">
        <f aca="false">E1016+2*WS</f>
        <v>2.99999324059075</v>
      </c>
      <c r="V1016" s="27" t="n">
        <f aca="false">IF(Q1016="Shoring",D1016*M1016*U1016,0)</f>
        <v>3.80246420200904</v>
      </c>
      <c r="W1016" s="27" t="n">
        <f aca="false">IF(Q1016="Open cut",D1016*(U1016*M1016+SLOPE_B*S1016^2+2*SLOPE_B*S1016*T1016+SLOPE_A*T1016^2),0)</f>
        <v>0</v>
      </c>
      <c r="X1016" s="27" t="n">
        <f aca="false">IF(M1016&gt;0,D1016*(E1016+2*SLABOVH)*SLAB,0)</f>
        <v>0.372790558630395</v>
      </c>
      <c r="Y1016" s="27" t="n">
        <f aca="false">IF(M1016&gt;0,D1016*PI()*E1016^2/4,0)</f>
        <v>0.292786051462349</v>
      </c>
      <c r="Z1016" s="27" t="n">
        <f aca="false">IF(H1016-E1016&gt;=GWL,99,E1016*(MAX(0,GWL-H1016)*(GAM_S-GAM_W)+MAX(0,NG-MAX(H1016,GWL))*GAM_D)/(GAM_W*PI()*E1016^2/4))</f>
        <v>3.03827739177142</v>
      </c>
      <c r="AA1016" s="27" t="n">
        <f aca="false">IF(I1016-E1016&gt;=GWL,99,E1016*(MAX(0,GWL-I1016)*(GAM_S-GAM_W)+MAX(0,NG-MAX(I1016,GWL))*GAM_D)/(GAM_W*PI()*E1016^2/4))</f>
        <v>3.03827739177142</v>
      </c>
      <c r="AB1016" s="27" t="n">
        <f aca="false">IF(H1016-E1016&gt;=GWL,99,E1016*(MAX(0,GWL-H1016)*(GAM_S-GAM_W)+MAX(0,FL-MAX(H1016,GWL))*GAM_D)/(GAM_W*PI()*E1016^2/4))</f>
        <v>7.00987712927388</v>
      </c>
      <c r="AC1016" s="27" t="n">
        <f aca="false">IF(I1016-E1016&gt;=GWL,99,E1016*(MAX(0,GWL-I1016)*(GAM_S-GAM_W)+MAX(0,FL-MAX(I1016,GWL))*GAM_D)/(GAM_W*PI()*E1016^2/4))</f>
        <v>7.00987712927388</v>
      </c>
    </row>
    <row r="1017" customFormat="false" ht="15" hidden="false" customHeight="false" outlineLevel="0" collapsed="false">
      <c r="A1017" s="25" t="s">
        <v>1594</v>
      </c>
      <c r="B1017" s="25" t="s">
        <v>1616</v>
      </c>
      <c r="C1017" s="25" t="s">
        <v>1622</v>
      </c>
      <c r="D1017" s="26" t="n">
        <v>0.337368290726025</v>
      </c>
      <c r="E1017" s="26" t="n">
        <v>0.996234130863251</v>
      </c>
      <c r="F1017" s="26" t="n">
        <v>-4.09811706543163</v>
      </c>
      <c r="G1017" s="26" t="n">
        <v>-4.09811706543163</v>
      </c>
      <c r="H1017" s="26" t="n">
        <v>-2.60188293456837</v>
      </c>
      <c r="I1017" s="26" t="n">
        <v>-2.60188293456837</v>
      </c>
      <c r="J1017" s="26" t="n">
        <v>7.58</v>
      </c>
      <c r="K1017" s="27" t="n">
        <f aca="false">MIN(F1017,G1017)</f>
        <v>-4.09811706543163</v>
      </c>
      <c r="L1017" s="27" t="n">
        <f aca="false">AVERAGE(F1017,G1017)</f>
        <v>-4.09811706543163</v>
      </c>
      <c r="M1017" s="27" t="n">
        <f aca="false">MAX(0,NG-L1017)</f>
        <v>3.39811706543163</v>
      </c>
      <c r="N1017" s="27" t="n">
        <f aca="false">MAX(0,GWL-K1017)</f>
        <v>2.59811706543163</v>
      </c>
      <c r="O1017" s="27" t="n">
        <f aca="false">MAX(0,NG-MAX(K1017,GWL))</f>
        <v>0.8</v>
      </c>
      <c r="P1017" s="27" t="n">
        <f aca="false">E1017/2+WS+SLOPE_A*O1017+SLOPE_B*N1017</f>
        <v>7.89435119629488</v>
      </c>
      <c r="Q1017" s="28" t="str">
        <f aca="false">IF(AND(P1017&lt;J1017,N1017&lt;=MAXOC),"Open cut","Shoring")</f>
        <v>Shoring</v>
      </c>
      <c r="R1017" s="27" t="n">
        <f aca="false">IF(Q1017="Shoring",D1017,0)</f>
        <v>0.337368290726025</v>
      </c>
      <c r="S1017" s="27" t="n">
        <f aca="false">MAX(0,GWL-L1017)</f>
        <v>2.59811706543163</v>
      </c>
      <c r="T1017" s="27" t="n">
        <f aca="false">MAX(0,NG-MAX(L1017,GWL))</f>
        <v>0.8</v>
      </c>
      <c r="U1017" s="27" t="n">
        <f aca="false">E1017+2*WS</f>
        <v>2.99623413086325</v>
      </c>
      <c r="V1017" s="27" t="n">
        <f aca="false">IF(Q1017="Shoring",D1017*M1017*U1017,0)</f>
        <v>3.43493358195983</v>
      </c>
      <c r="W1017" s="27" t="n">
        <f aca="false">IF(Q1017="Open cut",D1017*(U1017*M1017+SLOPE_B*S1017^2+2*SLOPE_B*S1017*T1017+SLOPE_A*T1017^2),0)</f>
        <v>0</v>
      </c>
      <c r="X1017" s="27" t="n">
        <f aca="false">IF(M1017&gt;0,D1017*(E1017+2*SLABOVH)*SLAB,0)</f>
        <v>0.336733048309144</v>
      </c>
      <c r="Y1017" s="27" t="n">
        <f aca="false">IF(M1017&gt;0,D1017*PI()*E1017^2/4,0)</f>
        <v>0.262976520736143</v>
      </c>
      <c r="Z1017" s="27" t="n">
        <f aca="false">IF(H1017-E1017&gt;=GWL,99,E1017*(MAX(0,GWL-H1017)*(GAM_S-GAM_W)+MAX(0,NG-MAX(H1017,GWL))*GAM_D)/(GAM_W*PI()*E1017^2/4))</f>
        <v>3.05174726450723</v>
      </c>
      <c r="AA1017" s="27" t="n">
        <f aca="false">IF(I1017-E1017&gt;=GWL,99,E1017*(MAX(0,GWL-I1017)*(GAM_S-GAM_W)+MAX(0,NG-MAX(I1017,GWL))*GAM_D)/(GAM_W*PI()*E1017^2/4))</f>
        <v>3.05174726450723</v>
      </c>
      <c r="AB1017" s="27" t="n">
        <f aca="false">IF(H1017-E1017&gt;=GWL,99,E1017*(MAX(0,GWL-H1017)*(GAM_S-GAM_W)+MAX(0,FL-MAX(H1017,GWL))*GAM_D)/(GAM_W*PI()*E1017^2/4))</f>
        <v>7.03833311696445</v>
      </c>
      <c r="AC1017" s="27" t="n">
        <f aca="false">IF(I1017-E1017&gt;=GWL,99,E1017*(MAX(0,GWL-I1017)*(GAM_S-GAM_W)+MAX(0,FL-MAX(I1017,GWL))*GAM_D)/(GAM_W*PI()*E1017^2/4))</f>
        <v>7.03833311696445</v>
      </c>
    </row>
    <row r="1018" customFormat="false" ht="15" hidden="false" customHeight="false" outlineLevel="0" collapsed="false">
      <c r="A1018" s="25" t="s">
        <v>1594</v>
      </c>
      <c r="B1018" s="25" t="s">
        <v>1616</v>
      </c>
      <c r="C1018" s="25" t="s">
        <v>1623</v>
      </c>
      <c r="D1018" s="26" t="n">
        <v>0.0354146538579032</v>
      </c>
      <c r="E1018" s="26" t="n">
        <v>0.996234130863251</v>
      </c>
      <c r="F1018" s="26" t="n">
        <v>-4.09811706543163</v>
      </c>
      <c r="G1018" s="26" t="n">
        <v>-4.09811706543163</v>
      </c>
      <c r="H1018" s="26" t="n">
        <v>-2.60188293456837</v>
      </c>
      <c r="I1018" s="26" t="n">
        <v>-2.60188293456837</v>
      </c>
      <c r="J1018" s="26" t="n">
        <v>7.56</v>
      </c>
      <c r="K1018" s="27" t="n">
        <f aca="false">MIN(F1018,G1018)</f>
        <v>-4.09811706543163</v>
      </c>
      <c r="L1018" s="27" t="n">
        <f aca="false">AVERAGE(F1018,G1018)</f>
        <v>-4.09811706543163</v>
      </c>
      <c r="M1018" s="27" t="n">
        <f aca="false">MAX(0,NG-L1018)</f>
        <v>3.39811706543163</v>
      </c>
      <c r="N1018" s="27" t="n">
        <f aca="false">MAX(0,GWL-K1018)</f>
        <v>2.59811706543163</v>
      </c>
      <c r="O1018" s="27" t="n">
        <f aca="false">MAX(0,NG-MAX(K1018,GWL))</f>
        <v>0.8</v>
      </c>
      <c r="P1018" s="27" t="n">
        <f aca="false">E1018/2+WS+SLOPE_A*O1018+SLOPE_B*N1018</f>
        <v>7.89435119629488</v>
      </c>
      <c r="Q1018" s="28" t="str">
        <f aca="false">IF(AND(P1018&lt;J1018,N1018&lt;=MAXOC),"Open cut","Shoring")</f>
        <v>Shoring</v>
      </c>
      <c r="R1018" s="27" t="n">
        <f aca="false">IF(Q1018="Shoring",D1018,0)</f>
        <v>0.0354146538579032</v>
      </c>
      <c r="S1018" s="27" t="n">
        <f aca="false">MAX(0,GWL-L1018)</f>
        <v>2.59811706543163</v>
      </c>
      <c r="T1018" s="27" t="n">
        <f aca="false">MAX(0,NG-MAX(L1018,GWL))</f>
        <v>0.8</v>
      </c>
      <c r="U1018" s="27" t="n">
        <f aca="false">E1018+2*WS</f>
        <v>2.99623413086325</v>
      </c>
      <c r="V1018" s="27" t="n">
        <f aca="false">IF(Q1018="Shoring",D1018*M1018*U1018,0)</f>
        <v>0.360576222407291</v>
      </c>
      <c r="W1018" s="27" t="n">
        <f aca="false">IF(Q1018="Open cut",D1018*(U1018*M1018+SLOPE_B*S1018^2+2*SLOPE_B*S1018*T1018+SLOPE_A*T1018^2),0)</f>
        <v>0</v>
      </c>
      <c r="X1018" s="27" t="n">
        <f aca="false">IF(M1018&gt;0,D1018*(E1018+2*SLABOVH)*SLAB,0)</f>
        <v>0.0353479703819271</v>
      </c>
      <c r="Y1018" s="27" t="n">
        <f aca="false">IF(M1018&gt;0,D1018*PI()*E1018^2/4,0)</f>
        <v>0.0276055062394391</v>
      </c>
      <c r="Z1018" s="27" t="n">
        <f aca="false">IF(H1018-E1018&gt;=GWL,99,E1018*(MAX(0,GWL-H1018)*(GAM_S-GAM_W)+MAX(0,NG-MAX(H1018,GWL))*GAM_D)/(GAM_W*PI()*E1018^2/4))</f>
        <v>3.05174726450723</v>
      </c>
      <c r="AA1018" s="27" t="n">
        <f aca="false">IF(I1018-E1018&gt;=GWL,99,E1018*(MAX(0,GWL-I1018)*(GAM_S-GAM_W)+MAX(0,NG-MAX(I1018,GWL))*GAM_D)/(GAM_W*PI()*E1018^2/4))</f>
        <v>3.05174726450723</v>
      </c>
      <c r="AB1018" s="27" t="n">
        <f aca="false">IF(H1018-E1018&gt;=GWL,99,E1018*(MAX(0,GWL-H1018)*(GAM_S-GAM_W)+MAX(0,FL-MAX(H1018,GWL))*GAM_D)/(GAM_W*PI()*E1018^2/4))</f>
        <v>7.03833311696445</v>
      </c>
      <c r="AC1018" s="27" t="n">
        <f aca="false">IF(I1018-E1018&gt;=GWL,99,E1018*(MAX(0,GWL-I1018)*(GAM_S-GAM_W)+MAX(0,FL-MAX(I1018,GWL))*GAM_D)/(GAM_W*PI()*E1018^2/4))</f>
        <v>7.03833311696445</v>
      </c>
    </row>
    <row r="1019" customFormat="false" ht="15" hidden="false" customHeight="false" outlineLevel="0" collapsed="false">
      <c r="A1019" s="25" t="s">
        <v>1594</v>
      </c>
      <c r="B1019" s="25" t="s">
        <v>1616</v>
      </c>
      <c r="C1019" s="25" t="s">
        <v>1624</v>
      </c>
      <c r="D1019" s="26" t="n">
        <v>4.02518523782737</v>
      </c>
      <c r="E1019" s="26" t="n">
        <v>0.996234130863251</v>
      </c>
      <c r="F1019" s="26" t="n">
        <v>-4.09811706543163</v>
      </c>
      <c r="G1019" s="26" t="n">
        <v>-4.09989281331511</v>
      </c>
      <c r="H1019" s="26" t="n">
        <v>-2.60188293456837</v>
      </c>
      <c r="I1019" s="26" t="n">
        <v>-2.60365868245185</v>
      </c>
      <c r="J1019" s="26" t="n">
        <v>4.72</v>
      </c>
      <c r="K1019" s="27" t="n">
        <f aca="false">MIN(F1019,G1019)</f>
        <v>-4.09989281331511</v>
      </c>
      <c r="L1019" s="27" t="n">
        <f aca="false">AVERAGE(F1019,G1019)</f>
        <v>-4.09900493937337</v>
      </c>
      <c r="M1019" s="27" t="n">
        <f aca="false">MAX(0,NG-L1019)</f>
        <v>3.39900493937337</v>
      </c>
      <c r="N1019" s="27" t="n">
        <f aca="false">MAX(0,GWL-K1019)</f>
        <v>2.59989281331511</v>
      </c>
      <c r="O1019" s="27" t="n">
        <f aca="false">MAX(0,NG-MAX(K1019,GWL))</f>
        <v>0.8</v>
      </c>
      <c r="P1019" s="27" t="n">
        <f aca="false">E1019/2+WS+SLOPE_A*O1019+SLOPE_B*N1019</f>
        <v>7.89790269206184</v>
      </c>
      <c r="Q1019" s="28" t="str">
        <f aca="false">IF(AND(P1019&lt;J1019,N1019&lt;=MAXOC),"Open cut","Shoring")</f>
        <v>Shoring</v>
      </c>
      <c r="R1019" s="27" t="n">
        <f aca="false">IF(Q1019="Shoring",D1019,0)</f>
        <v>4.02518523782737</v>
      </c>
      <c r="S1019" s="27" t="n">
        <f aca="false">MAX(0,GWL-L1019)</f>
        <v>2.59900493937337</v>
      </c>
      <c r="T1019" s="27" t="n">
        <f aca="false">MAX(0,NG-MAX(L1019,GWL))</f>
        <v>0.8</v>
      </c>
      <c r="U1019" s="27" t="n">
        <f aca="false">E1019+2*WS</f>
        <v>2.99623413086325</v>
      </c>
      <c r="V1019" s="27" t="n">
        <f aca="false">IF(Q1019="Shoring",D1019*M1019*U1019,0)</f>
        <v>40.9933503083389</v>
      </c>
      <c r="W1019" s="27" t="n">
        <f aca="false">IF(Q1019="Open cut",D1019*(U1019*M1019+SLOPE_B*S1019^2+2*SLOPE_B*S1019*T1019+SLOPE_A*T1019^2),0)</f>
        <v>0</v>
      </c>
      <c r="X1019" s="27" t="n">
        <f aca="false">IF(M1019&gt;0,D1019*(E1019+2*SLABOVH)*SLAB,0)</f>
        <v>4.01760607739895</v>
      </c>
      <c r="Y1019" s="27" t="n">
        <f aca="false">IF(M1019&gt;0,D1019*PI()*E1019^2/4,0)</f>
        <v>3.13760729226906</v>
      </c>
      <c r="Z1019" s="27" t="n">
        <f aca="false">IF(H1019-E1019&gt;=GWL,99,E1019*(MAX(0,GWL-H1019)*(GAM_S-GAM_W)+MAX(0,NG-MAX(H1019,GWL))*GAM_D)/(GAM_W*PI()*E1019^2/4))</f>
        <v>3.05174726450723</v>
      </c>
      <c r="AA1019" s="27" t="n">
        <f aca="false">IF(I1019-E1019&gt;=GWL,99,E1019*(MAX(0,GWL-I1019)*(GAM_S-GAM_W)+MAX(0,NG-MAX(I1019,GWL))*GAM_D)/(GAM_W*PI()*E1019^2/4))</f>
        <v>3.05364198390862</v>
      </c>
      <c r="AB1019" s="27" t="n">
        <f aca="false">IF(H1019-E1019&gt;=GWL,99,E1019*(MAX(0,GWL-H1019)*(GAM_S-GAM_W)+MAX(0,FL-MAX(H1019,GWL))*GAM_D)/(GAM_W*PI()*E1019^2/4))</f>
        <v>7.03833311696445</v>
      </c>
      <c r="AC1019" s="27" t="n">
        <f aca="false">IF(I1019-E1019&gt;=GWL,99,E1019*(MAX(0,GWL-I1019)*(GAM_S-GAM_W)+MAX(0,FL-MAX(I1019,GWL))*GAM_D)/(GAM_W*PI()*E1019^2/4))</f>
        <v>7.04022783636584</v>
      </c>
    </row>
    <row r="1020" customFormat="false" ht="15" hidden="false" customHeight="false" outlineLevel="0" collapsed="false">
      <c r="A1020" s="25" t="s">
        <v>1594</v>
      </c>
      <c r="B1020" s="25" t="s">
        <v>1616</v>
      </c>
      <c r="C1020" s="25" t="s">
        <v>1625</v>
      </c>
      <c r="D1020" s="26" t="n">
        <v>9.99999999958252</v>
      </c>
      <c r="E1020" s="26" t="n">
        <v>0.996234130863251</v>
      </c>
      <c r="F1020" s="26" t="n">
        <v>-4.09989281331511</v>
      </c>
      <c r="G1020" s="26" t="n">
        <v>-4.1043044062697</v>
      </c>
      <c r="H1020" s="26" t="n">
        <v>-2.60365868245185</v>
      </c>
      <c r="I1020" s="26" t="n">
        <v>-2.60807027540645</v>
      </c>
      <c r="J1020" s="26" t="n">
        <v>1.75</v>
      </c>
      <c r="K1020" s="27" t="n">
        <f aca="false">MIN(F1020,G1020)</f>
        <v>-4.1043044062697</v>
      </c>
      <c r="L1020" s="27" t="n">
        <f aca="false">AVERAGE(F1020,G1020)</f>
        <v>-4.1020986097924</v>
      </c>
      <c r="M1020" s="27" t="n">
        <f aca="false">MAX(0,NG-L1020)</f>
        <v>3.4020986097924</v>
      </c>
      <c r="N1020" s="27" t="n">
        <f aca="false">MAX(0,GWL-K1020)</f>
        <v>2.6043044062697</v>
      </c>
      <c r="O1020" s="27" t="n">
        <f aca="false">MAX(0,NG-MAX(K1020,GWL))</f>
        <v>0.8</v>
      </c>
      <c r="P1020" s="27" t="n">
        <f aca="false">E1020/2+WS+SLOPE_A*O1020+SLOPE_B*N1020</f>
        <v>7.90672587797103</v>
      </c>
      <c r="Q1020" s="28" t="str">
        <f aca="false">IF(AND(P1020&lt;J1020,N1020&lt;=MAXOC),"Open cut","Shoring")</f>
        <v>Shoring</v>
      </c>
      <c r="R1020" s="27" t="n">
        <f aca="false">IF(Q1020="Shoring",D1020,0)</f>
        <v>9.99999999958252</v>
      </c>
      <c r="S1020" s="27" t="n">
        <f aca="false">MAX(0,GWL-L1020)</f>
        <v>2.6020986097924</v>
      </c>
      <c r="T1020" s="27" t="n">
        <f aca="false">MAX(0,NG-MAX(L1020,GWL))</f>
        <v>0.8</v>
      </c>
      <c r="U1020" s="27" t="n">
        <f aca="false">E1020+2*WS</f>
        <v>2.99623413086325</v>
      </c>
      <c r="V1020" s="27" t="n">
        <f aca="false">IF(Q1020="Shoring",D1020*M1020*U1020,0)</f>
        <v>101.934839707969</v>
      </c>
      <c r="W1020" s="27" t="n">
        <f aca="false">IF(Q1020="Open cut",D1020*(U1020*M1020+SLOPE_B*S1020^2+2*SLOPE_B*S1020*T1020+SLOPE_A*T1020^2),0)</f>
        <v>0</v>
      </c>
      <c r="X1020" s="27" t="n">
        <f aca="false">IF(M1020&gt;0,D1020*(E1020+2*SLABOVH)*SLAB,0)</f>
        <v>9.98117065389956</v>
      </c>
      <c r="Y1020" s="27" t="n">
        <f aca="false">IF(M1020&gt;0,D1020*PI()*E1020^2/4,0)</f>
        <v>7.79493888294101</v>
      </c>
      <c r="Z1020" s="27" t="n">
        <f aca="false">IF(H1020-E1020&gt;=GWL,99,E1020*(MAX(0,GWL-H1020)*(GAM_S-GAM_W)+MAX(0,NG-MAX(H1020,GWL))*GAM_D)/(GAM_W*PI()*E1020^2/4))</f>
        <v>3.05364198390862</v>
      </c>
      <c r="AA1020" s="27" t="n">
        <f aca="false">IF(I1020-E1020&gt;=GWL,99,E1020*(MAX(0,GWL-I1020)*(GAM_S-GAM_W)+MAX(0,NG-MAX(I1020,GWL))*GAM_D)/(GAM_W*PI()*E1020^2/4))</f>
        <v>3.05834914467163</v>
      </c>
      <c r="AB1020" s="27" t="n">
        <f aca="false">IF(H1020-E1020&gt;=GWL,99,E1020*(MAX(0,GWL-H1020)*(GAM_S-GAM_W)+MAX(0,FL-MAX(H1020,GWL))*GAM_D)/(GAM_W*PI()*E1020^2/4))</f>
        <v>7.04022783636584</v>
      </c>
      <c r="AC1020" s="27" t="n">
        <f aca="false">IF(I1020-E1020&gt;=GWL,99,E1020*(MAX(0,GWL-I1020)*(GAM_S-GAM_W)+MAX(0,FL-MAX(I1020,GWL))*GAM_D)/(GAM_W*PI()*E1020^2/4))</f>
        <v>7.04493499712885</v>
      </c>
    </row>
    <row r="1021" customFormat="false" ht="15" hidden="false" customHeight="false" outlineLevel="0" collapsed="false">
      <c r="A1021" s="25" t="s">
        <v>1594</v>
      </c>
      <c r="B1021" s="25" t="s">
        <v>1616</v>
      </c>
      <c r="C1021" s="25" t="s">
        <v>1626</v>
      </c>
      <c r="D1021" s="26" t="n">
        <v>6.00000000008605</v>
      </c>
      <c r="E1021" s="26" t="n">
        <v>0.996234130863251</v>
      </c>
      <c r="F1021" s="26" t="n">
        <v>-4.1043044062697</v>
      </c>
      <c r="G1021" s="26" t="n">
        <v>-4.10695136204246</v>
      </c>
      <c r="H1021" s="26" t="n">
        <v>-2.60807027540645</v>
      </c>
      <c r="I1021" s="26" t="n">
        <v>-2.61071723117921</v>
      </c>
      <c r="J1021" s="26" t="n">
        <v>1.77</v>
      </c>
      <c r="K1021" s="27" t="n">
        <f aca="false">MIN(F1021,G1021)</f>
        <v>-4.10695136204246</v>
      </c>
      <c r="L1021" s="27" t="n">
        <f aca="false">AVERAGE(F1021,G1021)</f>
        <v>-4.10562788415608</v>
      </c>
      <c r="M1021" s="27" t="n">
        <f aca="false">MAX(0,NG-L1021)</f>
        <v>3.40562788415608</v>
      </c>
      <c r="N1021" s="27" t="n">
        <f aca="false">MAX(0,GWL-K1021)</f>
        <v>2.60695136204246</v>
      </c>
      <c r="O1021" s="27" t="n">
        <f aca="false">MAX(0,NG-MAX(K1021,GWL))</f>
        <v>0.8</v>
      </c>
      <c r="P1021" s="27" t="n">
        <f aca="false">E1021/2+WS+SLOPE_A*O1021+SLOPE_B*N1021</f>
        <v>7.91201978951654</v>
      </c>
      <c r="Q1021" s="28" t="str">
        <f aca="false">IF(AND(P1021&lt;J1021,N1021&lt;=MAXOC),"Open cut","Shoring")</f>
        <v>Shoring</v>
      </c>
      <c r="R1021" s="27" t="n">
        <f aca="false">IF(Q1021="Shoring",D1021,0)</f>
        <v>6.00000000008605</v>
      </c>
      <c r="S1021" s="27" t="n">
        <f aca="false">MAX(0,GWL-L1021)</f>
        <v>2.60562788415608</v>
      </c>
      <c r="T1021" s="27" t="n">
        <f aca="false">MAX(0,NG-MAX(L1021,GWL))</f>
        <v>0.8</v>
      </c>
      <c r="U1021" s="27" t="n">
        <f aca="false">E1021+2*WS</f>
        <v>2.99623413086325</v>
      </c>
      <c r="V1021" s="27" t="n">
        <f aca="false">IF(Q1021="Shoring",D1021*M1021*U1021,0)</f>
        <v>61.2243510220463</v>
      </c>
      <c r="W1021" s="27" t="n">
        <f aca="false">IF(Q1021="Open cut",D1021*(U1021*M1021+SLOPE_B*S1021^2+2*SLOPE_B*S1021*T1021+SLOPE_A*T1021^2),0)</f>
        <v>0</v>
      </c>
      <c r="X1021" s="27" t="n">
        <f aca="false">IF(M1021&gt;0,D1021*(E1021+2*SLABOVH)*SLAB,0)</f>
        <v>5.98870239267564</v>
      </c>
      <c r="Y1021" s="27" t="n">
        <f aca="false">IF(M1021&gt;0,D1021*PI()*E1021^2/4,0)</f>
        <v>4.67696333002694</v>
      </c>
      <c r="Z1021" s="27" t="n">
        <f aca="false">IF(H1021-E1021&gt;=GWL,99,E1021*(MAX(0,GWL-H1021)*(GAM_S-GAM_W)+MAX(0,NG-MAX(H1021,GWL))*GAM_D)/(GAM_W*PI()*E1021^2/4))</f>
        <v>3.05834914467163</v>
      </c>
      <c r="AA1021" s="27" t="n">
        <f aca="false">IF(I1021-E1021&gt;=GWL,99,E1021*(MAX(0,GWL-I1021)*(GAM_S-GAM_W)+MAX(0,NG-MAX(I1021,GWL))*GAM_D)/(GAM_W*PI()*E1021^2/4))</f>
        <v>3.06117344112943</v>
      </c>
      <c r="AB1021" s="27" t="n">
        <f aca="false">IF(H1021-E1021&gt;=GWL,99,E1021*(MAX(0,GWL-H1021)*(GAM_S-GAM_W)+MAX(0,FL-MAX(H1021,GWL))*GAM_D)/(GAM_W*PI()*E1021^2/4))</f>
        <v>7.04493499712885</v>
      </c>
      <c r="AC1021" s="27" t="n">
        <f aca="false">IF(I1021-E1021&gt;=GWL,99,E1021*(MAX(0,GWL-I1021)*(GAM_S-GAM_W)+MAX(0,FL-MAX(I1021,GWL))*GAM_D)/(GAM_W*PI()*E1021^2/4))</f>
        <v>7.04775929358665</v>
      </c>
    </row>
    <row r="1022" customFormat="false" ht="15" hidden="false" customHeight="false" outlineLevel="0" collapsed="false">
      <c r="A1022" s="25" t="s">
        <v>1594</v>
      </c>
      <c r="B1022" s="25" t="s">
        <v>1627</v>
      </c>
      <c r="C1022" s="25" t="s">
        <v>1628</v>
      </c>
      <c r="D1022" s="26" t="n">
        <v>1.89433476248065</v>
      </c>
      <c r="E1022" s="26" t="n">
        <v>0.996234130863251</v>
      </c>
      <c r="F1022" s="26" t="n">
        <v>-4.10695136204246</v>
      </c>
      <c r="G1022" s="26" t="n">
        <v>-4.10778706543163</v>
      </c>
      <c r="H1022" s="26" t="n">
        <v>-2.61071723117921</v>
      </c>
      <c r="I1022" s="26" t="n">
        <v>-2.61155293456837</v>
      </c>
      <c r="J1022" s="26" t="n">
        <v>4.96</v>
      </c>
      <c r="K1022" s="27" t="n">
        <f aca="false">MIN(F1022,G1022)</f>
        <v>-4.10778706543163</v>
      </c>
      <c r="L1022" s="27" t="n">
        <f aca="false">AVERAGE(F1022,G1022)</f>
        <v>-4.10736921373704</v>
      </c>
      <c r="M1022" s="27" t="n">
        <f aca="false">MAX(0,NG-L1022)</f>
        <v>3.40736921373704</v>
      </c>
      <c r="N1022" s="27" t="n">
        <f aca="false">MAX(0,GWL-K1022)</f>
        <v>2.60778706543163</v>
      </c>
      <c r="O1022" s="27" t="n">
        <f aca="false">MAX(0,NG-MAX(K1022,GWL))</f>
        <v>0.8</v>
      </c>
      <c r="P1022" s="27" t="n">
        <f aca="false">E1022/2+WS+SLOPE_A*O1022+SLOPE_B*N1022</f>
        <v>7.91369119629488</v>
      </c>
      <c r="Q1022" s="28" t="str">
        <f aca="false">IF(AND(P1022&lt;J1022,N1022&lt;=MAXOC),"Open cut","Shoring")</f>
        <v>Shoring</v>
      </c>
      <c r="R1022" s="27" t="n">
        <f aca="false">IF(Q1022="Shoring",D1022,0)</f>
        <v>1.89433476248065</v>
      </c>
      <c r="S1022" s="27" t="n">
        <f aca="false">MAX(0,GWL-L1022)</f>
        <v>2.60736921373704</v>
      </c>
      <c r="T1022" s="27" t="n">
        <f aca="false">MAX(0,NG-MAX(L1022,GWL))</f>
        <v>0.8</v>
      </c>
      <c r="U1022" s="27" t="n">
        <f aca="false">E1022+2*WS</f>
        <v>2.99623413086325</v>
      </c>
      <c r="V1022" s="27" t="n">
        <f aca="false">IF(Q1022="Shoring",D1022*M1022*U1022,0)</f>
        <v>19.3397863027677</v>
      </c>
      <c r="W1022" s="27" t="n">
        <f aca="false">IF(Q1022="Open cut",D1022*(U1022*M1022+SLOPE_B*S1022^2+2*SLOPE_B*S1022*T1022+SLOPE_A*T1022^2),0)</f>
        <v>0</v>
      </c>
      <c r="X1022" s="27" t="n">
        <f aca="false">IF(M1022&gt;0,D1022*(E1022+2*SLABOVH)*SLAB,0)</f>
        <v>1.8907678540723</v>
      </c>
      <c r="Y1022" s="27" t="n">
        <f aca="false">IF(M1022&gt;0,D1022*PI()*E1022^2/4,0)</f>
        <v>1.47662236979837</v>
      </c>
      <c r="Z1022" s="27" t="n">
        <f aca="false">IF(H1022-E1022&gt;=GWL,99,E1022*(MAX(0,GWL-H1022)*(GAM_S-GAM_W)+MAX(0,NG-MAX(H1022,GWL))*GAM_D)/(GAM_W*PI()*E1022^2/4))</f>
        <v>3.06117344112943</v>
      </c>
      <c r="AA1022" s="27" t="n">
        <f aca="false">IF(I1022-E1022&gt;=GWL,99,E1022*(MAX(0,GWL-I1022)*(GAM_S-GAM_W)+MAX(0,NG-MAX(I1022,GWL))*GAM_D)/(GAM_W*PI()*E1022^2/4))</f>
        <v>3.06206513495602</v>
      </c>
      <c r="AB1022" s="27" t="n">
        <f aca="false">IF(H1022-E1022&gt;=GWL,99,E1022*(MAX(0,GWL-H1022)*(GAM_S-GAM_W)+MAX(0,FL-MAX(H1022,GWL))*GAM_D)/(GAM_W*PI()*E1022^2/4))</f>
        <v>7.04775929358665</v>
      </c>
      <c r="AC1022" s="27" t="n">
        <f aca="false">IF(I1022-E1022&gt;=GWL,99,E1022*(MAX(0,GWL-I1022)*(GAM_S-GAM_W)+MAX(0,FL-MAX(I1022,GWL))*GAM_D)/(GAM_W*PI()*E1022^2/4))</f>
        <v>7.04865098741324</v>
      </c>
    </row>
    <row r="1023" customFormat="false" ht="15" hidden="false" customHeight="false" outlineLevel="0" collapsed="false">
      <c r="A1023" s="25" t="s">
        <v>1594</v>
      </c>
      <c r="B1023" s="25" t="s">
        <v>1627</v>
      </c>
      <c r="C1023" s="25" t="s">
        <v>1629</v>
      </c>
      <c r="D1023" s="26" t="n">
        <v>0.371346366202775</v>
      </c>
      <c r="E1023" s="26" t="n">
        <v>0.996234130863251</v>
      </c>
      <c r="F1023" s="26" t="n">
        <v>-4.10778706543163</v>
      </c>
      <c r="G1023" s="26" t="n">
        <v>-4.10794706543163</v>
      </c>
      <c r="H1023" s="26" t="n">
        <v>-2.61155293456837</v>
      </c>
      <c r="I1023" s="26" t="n">
        <v>-2.61171293456838</v>
      </c>
      <c r="J1023" s="26" t="n">
        <v>6.31</v>
      </c>
      <c r="K1023" s="27" t="n">
        <f aca="false">MIN(F1023,G1023)</f>
        <v>-4.10794706543163</v>
      </c>
      <c r="L1023" s="27" t="n">
        <f aca="false">AVERAGE(F1023,G1023)</f>
        <v>-4.10786706543163</v>
      </c>
      <c r="M1023" s="27" t="n">
        <f aca="false">MAX(0,NG-L1023)</f>
        <v>3.40786706543163</v>
      </c>
      <c r="N1023" s="27" t="n">
        <f aca="false">MAX(0,GWL-K1023)</f>
        <v>2.60794706543163</v>
      </c>
      <c r="O1023" s="27" t="n">
        <f aca="false">MAX(0,NG-MAX(K1023,GWL))</f>
        <v>0.8</v>
      </c>
      <c r="P1023" s="27" t="n">
        <f aca="false">E1023/2+WS+SLOPE_A*O1023+SLOPE_B*N1023</f>
        <v>7.91401119629488</v>
      </c>
      <c r="Q1023" s="28" t="str">
        <f aca="false">IF(AND(P1023&lt;J1023,N1023&lt;=MAXOC),"Open cut","Shoring")</f>
        <v>Shoring</v>
      </c>
      <c r="R1023" s="27" t="n">
        <f aca="false">IF(Q1023="Shoring",D1023,0)</f>
        <v>0.371346366202775</v>
      </c>
      <c r="S1023" s="27" t="n">
        <f aca="false">MAX(0,GWL-L1023)</f>
        <v>2.60786706543163</v>
      </c>
      <c r="T1023" s="27" t="n">
        <f aca="false">MAX(0,NG-MAX(L1023,GWL))</f>
        <v>0.8</v>
      </c>
      <c r="U1023" s="27" t="n">
        <f aca="false">E1023+2*WS</f>
        <v>2.99623413086325</v>
      </c>
      <c r="V1023" s="27" t="n">
        <f aca="false">IF(Q1023="Shoring",D1023*M1023*U1023,0)</f>
        <v>3.79173144993076</v>
      </c>
      <c r="W1023" s="27" t="n">
        <f aca="false">IF(Q1023="Open cut",D1023*(U1023*M1023+SLOPE_B*S1023^2+2*SLOPE_B*S1023*T1023+SLOPE_A*T1023^2),0)</f>
        <v>0</v>
      </c>
      <c r="X1023" s="27" t="n">
        <f aca="false">IF(M1023&gt;0,D1023*(E1023+2*SLABOVH)*SLAB,0)</f>
        <v>0.370647145293012</v>
      </c>
      <c r="Y1023" s="27" t="n">
        <f aca="false">IF(M1023&gt;0,D1023*PI()*E1023^2/4,0)</f>
        <v>0.289462222907371</v>
      </c>
      <c r="Z1023" s="27" t="n">
        <f aca="false">IF(H1023-E1023&gt;=GWL,99,E1023*(MAX(0,GWL-H1023)*(GAM_S-GAM_W)+MAX(0,NG-MAX(H1023,GWL))*GAM_D)/(GAM_W*PI()*E1023^2/4))</f>
        <v>3.06206513495602</v>
      </c>
      <c r="AA1023" s="27" t="n">
        <f aca="false">IF(I1023-E1023&gt;=GWL,99,E1023*(MAX(0,GWL-I1023)*(GAM_S-GAM_W)+MAX(0,NG-MAX(I1023,GWL))*GAM_D)/(GAM_W*PI()*E1023^2/4))</f>
        <v>3.06223585463252</v>
      </c>
      <c r="AB1023" s="27" t="n">
        <f aca="false">IF(H1023-E1023&gt;=GWL,99,E1023*(MAX(0,GWL-H1023)*(GAM_S-GAM_W)+MAX(0,FL-MAX(H1023,GWL))*GAM_D)/(GAM_W*PI()*E1023^2/4))</f>
        <v>7.04865098741324</v>
      </c>
      <c r="AC1023" s="27" t="n">
        <f aca="false">IF(I1023-E1023&gt;=GWL,99,E1023*(MAX(0,GWL-I1023)*(GAM_S-GAM_W)+MAX(0,FL-MAX(I1023,GWL))*GAM_D)/(GAM_W*PI()*E1023^2/4))</f>
        <v>7.04882170708974</v>
      </c>
    </row>
    <row r="1024" customFormat="false" ht="15" hidden="false" customHeight="false" outlineLevel="0" collapsed="false">
      <c r="A1024" s="25" t="s">
        <v>1594</v>
      </c>
      <c r="B1024" s="25" t="s">
        <v>1627</v>
      </c>
      <c r="C1024" s="25" t="s">
        <v>1630</v>
      </c>
      <c r="D1024" s="26" t="n">
        <v>0.374940000313965</v>
      </c>
      <c r="E1024" s="26" t="n">
        <v>0.999999697752163</v>
      </c>
      <c r="F1024" s="26" t="n">
        <v>-4.10982984887608</v>
      </c>
      <c r="G1024" s="26" t="n">
        <v>-4.10999984887608</v>
      </c>
      <c r="H1024" s="26" t="n">
        <v>-2.60983015112392</v>
      </c>
      <c r="I1024" s="26" t="n">
        <v>-2.61000015112392</v>
      </c>
      <c r="J1024" s="26" t="n">
        <v>6.57</v>
      </c>
      <c r="K1024" s="27" t="n">
        <f aca="false">MIN(F1024,G1024)</f>
        <v>-4.10999984887608</v>
      </c>
      <c r="L1024" s="27" t="n">
        <f aca="false">AVERAGE(F1024,G1024)</f>
        <v>-4.10991484887608</v>
      </c>
      <c r="M1024" s="27" t="n">
        <f aca="false">MAX(0,NG-L1024)</f>
        <v>3.40991484887608</v>
      </c>
      <c r="N1024" s="27" t="n">
        <f aca="false">MAX(0,GWL-K1024)</f>
        <v>2.60999984887608</v>
      </c>
      <c r="O1024" s="27" t="n">
        <f aca="false">MAX(0,NG-MAX(K1024,GWL))</f>
        <v>0.8</v>
      </c>
      <c r="P1024" s="27" t="n">
        <f aca="false">E1024/2+WS+SLOPE_A*O1024+SLOPE_B*N1024</f>
        <v>7.91999954662824</v>
      </c>
      <c r="Q1024" s="28" t="str">
        <f aca="false">IF(AND(P1024&lt;J1024,N1024&lt;=MAXOC),"Open cut","Shoring")</f>
        <v>Shoring</v>
      </c>
      <c r="R1024" s="27" t="n">
        <f aca="false">IF(Q1024="Shoring",D1024,0)</f>
        <v>0.374940000313965</v>
      </c>
      <c r="S1024" s="27" t="n">
        <f aca="false">MAX(0,GWL-L1024)</f>
        <v>2.60991484887608</v>
      </c>
      <c r="T1024" s="27" t="n">
        <f aca="false">MAX(0,NG-MAX(L1024,GWL))</f>
        <v>0.8</v>
      </c>
      <c r="U1024" s="27" t="n">
        <f aca="false">E1024+2*WS</f>
        <v>2.99999969775216</v>
      </c>
      <c r="V1024" s="27" t="n">
        <f aca="false">IF(Q1024="Shoring",D1024*M1024*U1024,0)</f>
        <v>3.83554003709664</v>
      </c>
      <c r="W1024" s="27" t="n">
        <f aca="false">IF(Q1024="Open cut",D1024*(U1024*M1024+SLOPE_B*S1024^2+2*SLOPE_B*S1024*T1024+SLOPE_A*T1024^2),0)</f>
        <v>0</v>
      </c>
      <c r="X1024" s="27" t="n">
        <f aca="false">IF(M1024&gt;0,D1024*(E1024+2*SLABOVH)*SLAB,0)</f>
        <v>0.374939943651563</v>
      </c>
      <c r="Y1024" s="27" t="n">
        <f aca="false">IF(M1024&gt;0,D1024*PI()*E1024^2/4,0)</f>
        <v>0.294477009620668</v>
      </c>
      <c r="Z1024" s="27" t="n">
        <f aca="false">IF(H1024-E1024&gt;=GWL,99,E1024*(MAX(0,GWL-H1024)*(GAM_S-GAM_W)+MAX(0,NG-MAX(H1024,GWL))*GAM_D)/(GAM_W*PI()*E1024^2/4))</f>
        <v>3.0487034358265</v>
      </c>
      <c r="AA1024" s="27" t="n">
        <f aca="false">IF(I1024-E1024&gt;=GWL,99,E1024*(MAX(0,GWL-I1024)*(GAM_S-GAM_W)+MAX(0,NG-MAX(I1024,GWL))*GAM_D)/(GAM_W*PI()*E1024^2/4))</f>
        <v>3.0488841424477</v>
      </c>
      <c r="AB1024" s="27" t="n">
        <f aca="false">IF(H1024-E1024&gt;=GWL,99,E1024*(MAX(0,GWL-H1024)*(GAM_S-GAM_W)+MAX(0,FL-MAX(H1024,GWL))*GAM_D)/(GAM_W*PI()*E1024^2/4))</f>
        <v>7.02027752806063</v>
      </c>
      <c r="AC1024" s="27" t="n">
        <f aca="false">IF(I1024-E1024&gt;=GWL,99,E1024*(MAX(0,GWL-I1024)*(GAM_S-GAM_W)+MAX(0,FL-MAX(I1024,GWL))*GAM_D)/(GAM_W*PI()*E1024^2/4))</f>
        <v>7.02045823468183</v>
      </c>
    </row>
    <row r="1025" customFormat="false" ht="15" hidden="false" customHeight="false" outlineLevel="0" collapsed="false">
      <c r="A1025" s="25" t="s">
        <v>1594</v>
      </c>
      <c r="B1025" s="25" t="s">
        <v>1627</v>
      </c>
      <c r="C1025" s="25" t="s">
        <v>1631</v>
      </c>
      <c r="D1025" s="26" t="n">
        <v>1.35937887097135</v>
      </c>
      <c r="E1025" s="26" t="n">
        <v>0.999999697752163</v>
      </c>
      <c r="F1025" s="26" t="n">
        <v>-4.10999984887608</v>
      </c>
      <c r="G1025" s="26" t="n">
        <v>-4.14296946187323</v>
      </c>
      <c r="H1025" s="26" t="n">
        <v>-2.61000015112392</v>
      </c>
      <c r="I1025" s="26" t="n">
        <v>-2.64296976412107</v>
      </c>
      <c r="J1025" s="26" t="n">
        <v>6.95</v>
      </c>
      <c r="K1025" s="27" t="n">
        <f aca="false">MIN(F1025,G1025)</f>
        <v>-4.14296946187323</v>
      </c>
      <c r="L1025" s="27" t="n">
        <f aca="false">AVERAGE(F1025,G1025)</f>
        <v>-4.12648465537465</v>
      </c>
      <c r="M1025" s="27" t="n">
        <f aca="false">MAX(0,NG-L1025)</f>
        <v>3.42648465537465</v>
      </c>
      <c r="N1025" s="27" t="n">
        <f aca="false">MAX(0,GWL-K1025)</f>
        <v>2.64296946187323</v>
      </c>
      <c r="O1025" s="27" t="n">
        <f aca="false">MAX(0,NG-MAX(K1025,GWL))</f>
        <v>0.8</v>
      </c>
      <c r="P1025" s="27" t="n">
        <f aca="false">E1025/2+WS+SLOPE_A*O1025+SLOPE_B*N1025</f>
        <v>7.98593877262254</v>
      </c>
      <c r="Q1025" s="28" t="str">
        <f aca="false">IF(AND(P1025&lt;J1025,N1025&lt;=MAXOC),"Open cut","Shoring")</f>
        <v>Shoring</v>
      </c>
      <c r="R1025" s="27" t="n">
        <f aca="false">IF(Q1025="Shoring",D1025,0)</f>
        <v>1.35937887097135</v>
      </c>
      <c r="S1025" s="27" t="n">
        <f aca="false">MAX(0,GWL-L1025)</f>
        <v>2.62648465537465</v>
      </c>
      <c r="T1025" s="27" t="n">
        <f aca="false">MAX(0,NG-MAX(L1025,GWL))</f>
        <v>0.8</v>
      </c>
      <c r="U1025" s="27" t="n">
        <f aca="false">E1025+2*WS</f>
        <v>2.99999969775216</v>
      </c>
      <c r="V1025" s="27" t="n">
        <f aca="false">IF(Q1025="Shoring",D1025*M1025*U1025,0)</f>
        <v>13.9736711188341</v>
      </c>
      <c r="W1025" s="27" t="n">
        <f aca="false">IF(Q1025="Open cut",D1025*(U1025*M1025+SLOPE_B*S1025^2+2*SLOPE_B*S1025*T1025+SLOPE_A*T1025^2),0)</f>
        <v>0</v>
      </c>
      <c r="X1025" s="27" t="n">
        <f aca="false">IF(M1025&gt;0,D1025*(E1025+2*SLABOVH)*SLAB,0)</f>
        <v>1.35937866553668</v>
      </c>
      <c r="Y1025" s="27" t="n">
        <f aca="false">IF(M1025&gt;0,D1025*PI()*E1025^2/4,0)</f>
        <v>1.06765302323027</v>
      </c>
      <c r="Z1025" s="27" t="n">
        <f aca="false">IF(H1025-E1025&gt;=GWL,99,E1025*(MAX(0,GWL-H1025)*(GAM_S-GAM_W)+MAX(0,NG-MAX(H1025,GWL))*GAM_D)/(GAM_W*PI()*E1025^2/4))</f>
        <v>3.0488841424477</v>
      </c>
      <c r="AA1025" s="27" t="n">
        <f aca="false">IF(I1025-E1025&gt;=GWL,99,E1025*(MAX(0,GWL-I1025)*(GAM_S-GAM_W)+MAX(0,NG-MAX(I1025,GWL))*GAM_D)/(GAM_W*PI()*E1025^2/4))</f>
        <v>3.08393018578226</v>
      </c>
      <c r="AB1025" s="27" t="n">
        <f aca="false">IF(H1025-E1025&gt;=GWL,99,E1025*(MAX(0,GWL-H1025)*(GAM_S-GAM_W)+MAX(0,FL-MAX(H1025,GWL))*GAM_D)/(GAM_W*PI()*E1025^2/4))</f>
        <v>7.02045823468183</v>
      </c>
      <c r="AC1025" s="27" t="n">
        <f aca="false">IF(I1025-E1025&gt;=GWL,99,E1025*(MAX(0,GWL-I1025)*(GAM_S-GAM_W)+MAX(0,FL-MAX(I1025,GWL))*GAM_D)/(GAM_W*PI()*E1025^2/4))</f>
        <v>7.05550427801639</v>
      </c>
    </row>
    <row r="1026" customFormat="false" ht="15" hidden="false" customHeight="false" outlineLevel="0" collapsed="false">
      <c r="A1026" s="25" t="s">
        <v>1594</v>
      </c>
      <c r="B1026" s="25" t="s">
        <v>1627</v>
      </c>
      <c r="C1026" s="25" t="s">
        <v>1632</v>
      </c>
      <c r="D1026" s="26" t="n">
        <v>9.99999999976243</v>
      </c>
      <c r="E1026" s="26" t="n">
        <v>0.999999697752163</v>
      </c>
      <c r="F1026" s="26" t="n">
        <v>-4.14296946187323</v>
      </c>
      <c r="G1026" s="26" t="n">
        <v>-4.38550385533338</v>
      </c>
      <c r="H1026" s="26" t="n">
        <v>-2.64296976412107</v>
      </c>
      <c r="I1026" s="26" t="n">
        <v>-2.88550415758121</v>
      </c>
      <c r="J1026" s="26" t="n">
        <v>6.85</v>
      </c>
      <c r="K1026" s="27" t="n">
        <f aca="false">MIN(F1026,G1026)</f>
        <v>-4.38550385533338</v>
      </c>
      <c r="L1026" s="27" t="n">
        <f aca="false">AVERAGE(F1026,G1026)</f>
        <v>-4.2642366586033</v>
      </c>
      <c r="M1026" s="27" t="n">
        <f aca="false">MAX(0,NG-L1026)</f>
        <v>3.5642366586033</v>
      </c>
      <c r="N1026" s="27" t="n">
        <f aca="false">MAX(0,GWL-K1026)</f>
        <v>2.88550385533338</v>
      </c>
      <c r="O1026" s="27" t="n">
        <f aca="false">MAX(0,NG-MAX(K1026,GWL))</f>
        <v>0.8</v>
      </c>
      <c r="P1026" s="27" t="n">
        <f aca="false">E1026/2+WS+SLOPE_A*O1026+SLOPE_B*N1026</f>
        <v>8.47100755954283</v>
      </c>
      <c r="Q1026" s="28" t="str">
        <f aca="false">IF(AND(P1026&lt;J1026,N1026&lt;=MAXOC),"Open cut","Shoring")</f>
        <v>Shoring</v>
      </c>
      <c r="R1026" s="27" t="n">
        <f aca="false">IF(Q1026="Shoring",D1026,0)</f>
        <v>9.99999999976243</v>
      </c>
      <c r="S1026" s="27" t="n">
        <f aca="false">MAX(0,GWL-L1026)</f>
        <v>2.7642366586033</v>
      </c>
      <c r="T1026" s="27" t="n">
        <f aca="false">MAX(0,NG-MAX(L1026,GWL))</f>
        <v>0.8</v>
      </c>
      <c r="U1026" s="27" t="n">
        <f aca="false">E1026+2*WS</f>
        <v>2.99999969775216</v>
      </c>
      <c r="V1026" s="27" t="n">
        <f aca="false">IF(Q1026="Shoring",D1026*M1026*U1026,0)</f>
        <v>106.927088982731</v>
      </c>
      <c r="W1026" s="27" t="n">
        <f aca="false">IF(Q1026="Open cut",D1026*(U1026*M1026+SLOPE_B*S1026^2+2*SLOPE_B*S1026*T1026+SLOPE_A*T1026^2),0)</f>
        <v>0</v>
      </c>
      <c r="X1026" s="27" t="n">
        <f aca="false">IF(M1026&gt;0,D1026*(E1026+2*SLABOVH)*SLAB,0)</f>
        <v>9.99999848852324</v>
      </c>
      <c r="Y1026" s="27" t="n">
        <f aca="false">IF(M1026&gt;0,D1026*PI()*E1026^2/4,0)</f>
        <v>7.85397688609069</v>
      </c>
      <c r="Z1026" s="27" t="n">
        <f aca="false">IF(H1026-E1026&gt;=GWL,99,E1026*(MAX(0,GWL-H1026)*(GAM_S-GAM_W)+MAX(0,NG-MAX(H1026,GWL))*GAM_D)/(GAM_W*PI()*E1026^2/4))</f>
        <v>3.08393018578226</v>
      </c>
      <c r="AA1026" s="27" t="n">
        <f aca="false">IF(I1026-E1026&gt;=GWL,99,E1026*(MAX(0,GWL-I1026)*(GAM_S-GAM_W)+MAX(0,NG-MAX(I1026,GWL))*GAM_D)/(GAM_W*PI()*E1026^2/4))</f>
        <v>3.34173942558322</v>
      </c>
      <c r="AB1026" s="27" t="n">
        <f aca="false">IF(H1026-E1026&gt;=GWL,99,E1026*(MAX(0,GWL-H1026)*(GAM_S-GAM_W)+MAX(0,FL-MAX(H1026,GWL))*GAM_D)/(GAM_W*PI()*E1026^2/4))</f>
        <v>7.05550427801639</v>
      </c>
      <c r="AC1026" s="27" t="n">
        <f aca="false">IF(I1026-E1026&gt;=GWL,99,E1026*(MAX(0,GWL-I1026)*(GAM_S-GAM_W)+MAX(0,FL-MAX(I1026,GWL))*GAM_D)/(GAM_W*PI()*E1026^2/4))</f>
        <v>7.31331351781735</v>
      </c>
    </row>
    <row r="1027" customFormat="false" ht="15" hidden="false" customHeight="false" outlineLevel="0" collapsed="false">
      <c r="A1027" s="25" t="s">
        <v>1594</v>
      </c>
      <c r="B1027" s="25" t="s">
        <v>1627</v>
      </c>
      <c r="C1027" s="25" t="s">
        <v>1633</v>
      </c>
      <c r="D1027" s="26" t="n">
        <v>10.0000000003289</v>
      </c>
      <c r="E1027" s="26" t="n">
        <v>0.999999697752163</v>
      </c>
      <c r="F1027" s="26" t="n">
        <v>-4.38550385533338</v>
      </c>
      <c r="G1027" s="26" t="n">
        <v>-4.62803824879353</v>
      </c>
      <c r="H1027" s="26" t="n">
        <v>-2.88550415758121</v>
      </c>
      <c r="I1027" s="26" t="n">
        <v>-3.12803855104136</v>
      </c>
      <c r="J1027" s="26" t="n">
        <v>5.96</v>
      </c>
      <c r="K1027" s="27" t="n">
        <f aca="false">MIN(F1027,G1027)</f>
        <v>-4.62803824879353</v>
      </c>
      <c r="L1027" s="27" t="n">
        <f aca="false">AVERAGE(F1027,G1027)</f>
        <v>-4.50677105206345</v>
      </c>
      <c r="M1027" s="27" t="n">
        <f aca="false">MAX(0,NG-L1027)</f>
        <v>3.80677105206345</v>
      </c>
      <c r="N1027" s="27" t="n">
        <f aca="false">MAX(0,GWL-K1027)</f>
        <v>3.12803824879353</v>
      </c>
      <c r="O1027" s="27" t="n">
        <f aca="false">MAX(0,NG-MAX(K1027,GWL))</f>
        <v>0.8</v>
      </c>
      <c r="P1027" s="27" t="n">
        <f aca="false">E1027/2+WS+SLOPE_A*O1027+SLOPE_B*N1027</f>
        <v>8.95607634646313</v>
      </c>
      <c r="Q1027" s="28" t="str">
        <f aca="false">IF(AND(P1027&lt;J1027,N1027&lt;=MAXOC),"Open cut","Shoring")</f>
        <v>Shoring</v>
      </c>
      <c r="R1027" s="27" t="n">
        <f aca="false">IF(Q1027="Shoring",D1027,0)</f>
        <v>10.0000000003289</v>
      </c>
      <c r="S1027" s="27" t="n">
        <f aca="false">MAX(0,GWL-L1027)</f>
        <v>3.00677105206345</v>
      </c>
      <c r="T1027" s="27" t="n">
        <f aca="false">MAX(0,NG-MAX(L1027,GWL))</f>
        <v>0.8</v>
      </c>
      <c r="U1027" s="27" t="n">
        <f aca="false">E1027+2*WS</f>
        <v>2.99999969775216</v>
      </c>
      <c r="V1027" s="27" t="n">
        <f aca="false">IF(Q1027="Shoring",D1027*M1027*U1027,0)</f>
        <v>114.203120059776</v>
      </c>
      <c r="W1027" s="27" t="n">
        <f aca="false">IF(Q1027="Open cut",D1027*(U1027*M1027+SLOPE_B*S1027^2+2*SLOPE_B*S1027*T1027+SLOPE_A*T1027^2),0)</f>
        <v>0</v>
      </c>
      <c r="X1027" s="27" t="n">
        <f aca="false">IF(M1027&gt;0,D1027*(E1027+2*SLABOVH)*SLAB,0)</f>
        <v>9.99999848908971</v>
      </c>
      <c r="Y1027" s="27" t="n">
        <f aca="false">IF(M1027&gt;0,D1027*PI()*E1027^2/4,0)</f>
        <v>7.85397688653559</v>
      </c>
      <c r="Z1027" s="27" t="n">
        <f aca="false">IF(H1027-E1027&gt;=GWL,99,E1027*(MAX(0,GWL-H1027)*(GAM_S-GAM_W)+MAX(0,NG-MAX(H1027,GWL))*GAM_D)/(GAM_W*PI()*E1027^2/4))</f>
        <v>3.34173942558322</v>
      </c>
      <c r="AA1027" s="27" t="n">
        <f aca="false">IF(I1027-E1027&gt;=GWL,99,E1027*(MAX(0,GWL-I1027)*(GAM_S-GAM_W)+MAX(0,NG-MAX(I1027,GWL))*GAM_D)/(GAM_W*PI()*E1027^2/4))</f>
        <v>3.59954866538418</v>
      </c>
      <c r="AB1027" s="27" t="n">
        <f aca="false">IF(H1027-E1027&gt;=GWL,99,E1027*(MAX(0,GWL-H1027)*(GAM_S-GAM_W)+MAX(0,FL-MAX(H1027,GWL))*GAM_D)/(GAM_W*PI()*E1027^2/4))</f>
        <v>7.31331351781735</v>
      </c>
      <c r="AC1027" s="27" t="n">
        <f aca="false">IF(I1027-E1027&gt;=GWL,99,E1027*(MAX(0,GWL-I1027)*(GAM_S-GAM_W)+MAX(0,FL-MAX(I1027,GWL))*GAM_D)/(GAM_W*PI()*E1027^2/4))</f>
        <v>7.57112275761831</v>
      </c>
    </row>
    <row r="1028" customFormat="false" ht="15" hidden="false" customHeight="false" outlineLevel="0" collapsed="false">
      <c r="A1028" s="25" t="s">
        <v>1594</v>
      </c>
      <c r="B1028" s="25" t="s">
        <v>1627</v>
      </c>
      <c r="C1028" s="25" t="s">
        <v>1634</v>
      </c>
      <c r="D1028" s="26" t="n">
        <v>9.99999999986325</v>
      </c>
      <c r="E1028" s="26" t="n">
        <v>0.999999697752163</v>
      </c>
      <c r="F1028" s="26" t="n">
        <v>-4.62803824879353</v>
      </c>
      <c r="G1028" s="26" t="n">
        <v>-4.87057264225368</v>
      </c>
      <c r="H1028" s="26" t="n">
        <v>-3.12803855104136</v>
      </c>
      <c r="I1028" s="26" t="n">
        <v>-3.37057294450151</v>
      </c>
      <c r="J1028" s="26" t="n">
        <v>6.02</v>
      </c>
      <c r="K1028" s="27" t="n">
        <f aca="false">MIN(F1028,G1028)</f>
        <v>-4.87057264225368</v>
      </c>
      <c r="L1028" s="27" t="n">
        <f aca="false">AVERAGE(F1028,G1028)</f>
        <v>-4.7493054455236</v>
      </c>
      <c r="M1028" s="27" t="n">
        <f aca="false">MAX(0,NG-L1028)</f>
        <v>4.0493054455236</v>
      </c>
      <c r="N1028" s="27" t="n">
        <f aca="false">MAX(0,GWL-K1028)</f>
        <v>3.37057264225368</v>
      </c>
      <c r="O1028" s="27" t="n">
        <f aca="false">MAX(0,NG-MAX(K1028,GWL))</f>
        <v>0.8</v>
      </c>
      <c r="P1028" s="27" t="n">
        <f aca="false">E1028/2+WS+SLOPE_A*O1028+SLOPE_B*N1028</f>
        <v>9.44114513338343</v>
      </c>
      <c r="Q1028" s="28" t="str">
        <f aca="false">IF(AND(P1028&lt;J1028,N1028&lt;=MAXOC),"Open cut","Shoring")</f>
        <v>Shoring</v>
      </c>
      <c r="R1028" s="27" t="n">
        <f aca="false">IF(Q1028="Shoring",D1028,0)</f>
        <v>9.99999999986325</v>
      </c>
      <c r="S1028" s="27" t="n">
        <f aca="false">MAX(0,GWL-L1028)</f>
        <v>3.2493054455236</v>
      </c>
      <c r="T1028" s="27" t="n">
        <f aca="false">MAX(0,NG-MAX(L1028,GWL))</f>
        <v>0.8</v>
      </c>
      <c r="U1028" s="27" t="n">
        <f aca="false">E1028+2*WS</f>
        <v>2.99999969775216</v>
      </c>
      <c r="V1028" s="27" t="n">
        <f aca="false">IF(Q1028="Shoring",D1028*M1028*U1028,0)</f>
        <v>121.479151125109</v>
      </c>
      <c r="W1028" s="27" t="n">
        <f aca="false">IF(Q1028="Open cut",D1028*(U1028*M1028+SLOPE_B*S1028^2+2*SLOPE_B*S1028*T1028+SLOPE_A*T1028^2),0)</f>
        <v>0</v>
      </c>
      <c r="X1028" s="27" t="n">
        <f aca="false">IF(M1028&gt;0,D1028*(E1028+2*SLABOVH)*SLAB,0)</f>
        <v>9.99999848862406</v>
      </c>
      <c r="Y1028" s="27" t="n">
        <f aca="false">IF(M1028&gt;0,D1028*PI()*E1028^2/4,0)</f>
        <v>7.85397688616987</v>
      </c>
      <c r="Z1028" s="27" t="n">
        <f aca="false">IF(H1028-E1028&gt;=GWL,99,E1028*(MAX(0,GWL-H1028)*(GAM_S-GAM_W)+MAX(0,NG-MAX(H1028,GWL))*GAM_D)/(GAM_W*PI()*E1028^2/4))</f>
        <v>3.59954866538418</v>
      </c>
      <c r="AA1028" s="27" t="n">
        <f aca="false">IF(I1028-E1028&gt;=GWL,99,E1028*(MAX(0,GWL-I1028)*(GAM_S-GAM_W)+MAX(0,NG-MAX(I1028,GWL))*GAM_D)/(GAM_W*PI()*E1028^2/4))</f>
        <v>3.85735790518514</v>
      </c>
      <c r="AB1028" s="27" t="n">
        <f aca="false">IF(H1028-E1028&gt;=GWL,99,E1028*(MAX(0,GWL-H1028)*(GAM_S-GAM_W)+MAX(0,FL-MAX(H1028,GWL))*GAM_D)/(GAM_W*PI()*E1028^2/4))</f>
        <v>7.57112275761831</v>
      </c>
      <c r="AC1028" s="27" t="n">
        <f aca="false">IF(I1028-E1028&gt;=GWL,99,E1028*(MAX(0,GWL-I1028)*(GAM_S-GAM_W)+MAX(0,FL-MAX(I1028,GWL))*GAM_D)/(GAM_W*PI()*E1028^2/4))</f>
        <v>7.82893199741927</v>
      </c>
    </row>
    <row r="1029" customFormat="false" ht="15" hidden="false" customHeight="false" outlineLevel="0" collapsed="false">
      <c r="A1029" s="25" t="s">
        <v>1594</v>
      </c>
      <c r="B1029" s="25" t="s">
        <v>1627</v>
      </c>
      <c r="C1029" s="25" t="s">
        <v>1635</v>
      </c>
      <c r="D1029" s="26" t="n">
        <v>9.99999999976243</v>
      </c>
      <c r="E1029" s="26" t="n">
        <v>0.999999697752163</v>
      </c>
      <c r="F1029" s="26" t="n">
        <v>-4.87057264225368</v>
      </c>
      <c r="G1029" s="26" t="n">
        <v>-5.11310703571382</v>
      </c>
      <c r="H1029" s="26" t="n">
        <v>-3.37057294450151</v>
      </c>
      <c r="I1029" s="26" t="n">
        <v>-3.61310733796166</v>
      </c>
      <c r="J1029" s="26" t="n">
        <v>7.93</v>
      </c>
      <c r="K1029" s="27" t="n">
        <f aca="false">MIN(F1029,G1029)</f>
        <v>-5.11310703571382</v>
      </c>
      <c r="L1029" s="27" t="n">
        <f aca="false">AVERAGE(F1029,G1029)</f>
        <v>-4.99183983898375</v>
      </c>
      <c r="M1029" s="27" t="n">
        <f aca="false">MAX(0,NG-L1029)</f>
        <v>4.29183983898375</v>
      </c>
      <c r="N1029" s="27" t="n">
        <f aca="false">MAX(0,GWL-K1029)</f>
        <v>3.61310703571382</v>
      </c>
      <c r="O1029" s="27" t="n">
        <f aca="false">MAX(0,NG-MAX(K1029,GWL))</f>
        <v>0.8</v>
      </c>
      <c r="P1029" s="27" t="n">
        <f aca="false">E1029/2+WS+SLOPE_A*O1029+SLOPE_B*N1029</f>
        <v>9.92621392030373</v>
      </c>
      <c r="Q1029" s="28" t="str">
        <f aca="false">IF(AND(P1029&lt;J1029,N1029&lt;=MAXOC),"Open cut","Shoring")</f>
        <v>Shoring</v>
      </c>
      <c r="R1029" s="27" t="n">
        <f aca="false">IF(Q1029="Shoring",D1029,0)</f>
        <v>9.99999999976243</v>
      </c>
      <c r="S1029" s="27" t="n">
        <f aca="false">MAX(0,GWL-L1029)</f>
        <v>3.49183983898375</v>
      </c>
      <c r="T1029" s="27" t="n">
        <f aca="false">MAX(0,NG-MAX(L1029,GWL))</f>
        <v>0.8</v>
      </c>
      <c r="U1029" s="27" t="n">
        <f aca="false">E1029+2*WS</f>
        <v>2.99999969775216</v>
      </c>
      <c r="V1029" s="27" t="n">
        <f aca="false">IF(Q1029="Shoring",D1029*M1029*U1029,0)</f>
        <v>128.755182194461</v>
      </c>
      <c r="W1029" s="27" t="n">
        <f aca="false">IF(Q1029="Open cut",D1029*(U1029*M1029+SLOPE_B*S1029^2+2*SLOPE_B*S1029*T1029+SLOPE_A*T1029^2),0)</f>
        <v>0</v>
      </c>
      <c r="X1029" s="27" t="n">
        <f aca="false">IF(M1029&gt;0,D1029*(E1029+2*SLABOVH)*SLAB,0)</f>
        <v>9.99999848852324</v>
      </c>
      <c r="Y1029" s="27" t="n">
        <f aca="false">IF(M1029&gt;0,D1029*PI()*E1029^2/4,0)</f>
        <v>7.85397688609069</v>
      </c>
      <c r="Z1029" s="27" t="n">
        <f aca="false">IF(H1029-E1029&gt;=GWL,99,E1029*(MAX(0,GWL-H1029)*(GAM_S-GAM_W)+MAX(0,NG-MAX(H1029,GWL))*GAM_D)/(GAM_W*PI()*E1029^2/4))</f>
        <v>3.85735790518514</v>
      </c>
      <c r="AA1029" s="27" t="n">
        <f aca="false">IF(I1029-E1029&gt;=GWL,99,E1029*(MAX(0,GWL-I1029)*(GAM_S-GAM_W)+MAX(0,NG-MAX(I1029,GWL))*GAM_D)/(GAM_W*PI()*E1029^2/4))</f>
        <v>4.1151671449861</v>
      </c>
      <c r="AB1029" s="27" t="n">
        <f aca="false">IF(H1029-E1029&gt;=GWL,99,E1029*(MAX(0,GWL-H1029)*(GAM_S-GAM_W)+MAX(0,FL-MAX(H1029,GWL))*GAM_D)/(GAM_W*PI()*E1029^2/4))</f>
        <v>7.82893199741927</v>
      </c>
      <c r="AC1029" s="27" t="n">
        <f aca="false">IF(I1029-E1029&gt;=GWL,99,E1029*(MAX(0,GWL-I1029)*(GAM_S-GAM_W)+MAX(0,FL-MAX(I1029,GWL))*GAM_D)/(GAM_W*PI()*E1029^2/4))</f>
        <v>8.08674123722023</v>
      </c>
    </row>
    <row r="1030" customFormat="false" ht="15" hidden="false" customHeight="false" outlineLevel="0" collapsed="false">
      <c r="A1030" s="25" t="s">
        <v>1594</v>
      </c>
      <c r="B1030" s="25" t="s">
        <v>1627</v>
      </c>
      <c r="C1030" s="25" t="s">
        <v>1636</v>
      </c>
      <c r="D1030" s="26" t="n">
        <v>10.0000000003289</v>
      </c>
      <c r="E1030" s="26" t="n">
        <v>0.999999697752163</v>
      </c>
      <c r="F1030" s="26" t="n">
        <v>-5.11310703571382</v>
      </c>
      <c r="G1030" s="26" t="n">
        <v>-5.35564142917397</v>
      </c>
      <c r="H1030" s="26" t="n">
        <v>-3.61310733796166</v>
      </c>
      <c r="I1030" s="26" t="n">
        <v>-3.85564173142181</v>
      </c>
      <c r="J1030" s="26" t="n">
        <v>9.28</v>
      </c>
      <c r="K1030" s="27" t="n">
        <f aca="false">MIN(F1030,G1030)</f>
        <v>-5.35564142917397</v>
      </c>
      <c r="L1030" s="27" t="n">
        <f aca="false">AVERAGE(F1030,G1030)</f>
        <v>-5.2343742324439</v>
      </c>
      <c r="M1030" s="27" t="n">
        <f aca="false">MAX(0,NG-L1030)</f>
        <v>4.5343742324439</v>
      </c>
      <c r="N1030" s="27" t="n">
        <f aca="false">MAX(0,GWL-K1030)</f>
        <v>3.85564142917397</v>
      </c>
      <c r="O1030" s="27" t="n">
        <f aca="false">MAX(0,NG-MAX(K1030,GWL))</f>
        <v>0.8</v>
      </c>
      <c r="P1030" s="27" t="n">
        <f aca="false">E1030/2+WS+SLOPE_A*O1030+SLOPE_B*N1030</f>
        <v>10.411282707224</v>
      </c>
      <c r="Q1030" s="28" t="str">
        <f aca="false">IF(AND(P1030&lt;J1030,N1030&lt;=MAXOC),"Open cut","Shoring")</f>
        <v>Shoring</v>
      </c>
      <c r="R1030" s="27" t="n">
        <f aca="false">IF(Q1030="Shoring",D1030,0)</f>
        <v>10.0000000003289</v>
      </c>
      <c r="S1030" s="27" t="n">
        <f aca="false">MAX(0,GWL-L1030)</f>
        <v>3.7343742324439</v>
      </c>
      <c r="T1030" s="27" t="n">
        <f aca="false">MAX(0,NG-MAX(L1030,GWL))</f>
        <v>0.8</v>
      </c>
      <c r="U1030" s="27" t="n">
        <f aca="false">E1030+2*WS</f>
        <v>2.99999969775216</v>
      </c>
      <c r="V1030" s="27" t="n">
        <f aca="false">IF(Q1030="Shoring",D1030*M1030*U1030,0)</f>
        <v>136.031213272743</v>
      </c>
      <c r="W1030" s="27" t="n">
        <f aca="false">IF(Q1030="Open cut",D1030*(U1030*M1030+SLOPE_B*S1030^2+2*SLOPE_B*S1030*T1030+SLOPE_A*T1030^2),0)</f>
        <v>0</v>
      </c>
      <c r="X1030" s="27" t="n">
        <f aca="false">IF(M1030&gt;0,D1030*(E1030+2*SLABOVH)*SLAB,0)</f>
        <v>9.99999848908971</v>
      </c>
      <c r="Y1030" s="27" t="n">
        <f aca="false">IF(M1030&gt;0,D1030*PI()*E1030^2/4,0)</f>
        <v>7.85397688653559</v>
      </c>
      <c r="Z1030" s="27" t="n">
        <f aca="false">IF(H1030-E1030&gt;=GWL,99,E1030*(MAX(0,GWL-H1030)*(GAM_S-GAM_W)+MAX(0,NG-MAX(H1030,GWL))*GAM_D)/(GAM_W*PI()*E1030^2/4))</f>
        <v>4.1151671449861</v>
      </c>
      <c r="AA1030" s="27" t="n">
        <f aca="false">IF(I1030-E1030&gt;=GWL,99,E1030*(MAX(0,GWL-I1030)*(GAM_S-GAM_W)+MAX(0,NG-MAX(I1030,GWL))*GAM_D)/(GAM_W*PI()*E1030^2/4))</f>
        <v>4.37297638478706</v>
      </c>
      <c r="AB1030" s="27" t="n">
        <f aca="false">IF(H1030-E1030&gt;=GWL,99,E1030*(MAX(0,GWL-H1030)*(GAM_S-GAM_W)+MAX(0,FL-MAX(H1030,GWL))*GAM_D)/(GAM_W*PI()*E1030^2/4))</f>
        <v>8.08674123722023</v>
      </c>
      <c r="AC1030" s="27" t="n">
        <f aca="false">IF(I1030-E1030&gt;=GWL,99,E1030*(MAX(0,GWL-I1030)*(GAM_S-GAM_W)+MAX(0,FL-MAX(I1030,GWL))*GAM_D)/(GAM_W*PI()*E1030^2/4))</f>
        <v>8.34455047702119</v>
      </c>
    </row>
    <row r="1031" customFormat="false" ht="15" hidden="false" customHeight="false" outlineLevel="0" collapsed="false">
      <c r="A1031" s="25" t="s">
        <v>1594</v>
      </c>
      <c r="B1031" s="25" t="s">
        <v>1627</v>
      </c>
      <c r="C1031" s="25" t="s">
        <v>1637</v>
      </c>
      <c r="D1031" s="26" t="n">
        <v>1.41664112876156</v>
      </c>
      <c r="E1031" s="26" t="n">
        <v>0.999999697752163</v>
      </c>
      <c r="F1031" s="26" t="n">
        <v>-5.35564142917397</v>
      </c>
      <c r="G1031" s="26" t="n">
        <v>-5.38999984887608</v>
      </c>
      <c r="H1031" s="26" t="n">
        <v>-3.85564173142181</v>
      </c>
      <c r="I1031" s="26" t="n">
        <v>-3.89000015112392</v>
      </c>
      <c r="J1031" s="26" t="n">
        <v>7.96</v>
      </c>
      <c r="K1031" s="27" t="n">
        <f aca="false">MIN(F1031,G1031)</f>
        <v>-5.38999984887608</v>
      </c>
      <c r="L1031" s="27" t="n">
        <f aca="false">AVERAGE(F1031,G1031)</f>
        <v>-5.37282063902503</v>
      </c>
      <c r="M1031" s="27" t="n">
        <f aca="false">MAX(0,NG-L1031)</f>
        <v>4.67282063902503</v>
      </c>
      <c r="N1031" s="27" t="n">
        <f aca="false">MAX(0,GWL-K1031)</f>
        <v>3.88999984887608</v>
      </c>
      <c r="O1031" s="27" t="n">
        <f aca="false">MAX(0,NG-MAX(K1031,GWL))</f>
        <v>0.8</v>
      </c>
      <c r="P1031" s="27" t="n">
        <f aca="false">E1031/2+WS+SLOPE_A*O1031+SLOPE_B*N1031</f>
        <v>10.4799995466282</v>
      </c>
      <c r="Q1031" s="28" t="str">
        <f aca="false">IF(AND(P1031&lt;J1031,N1031&lt;=MAXOC),"Open cut","Shoring")</f>
        <v>Shoring</v>
      </c>
      <c r="R1031" s="27" t="n">
        <f aca="false">IF(Q1031="Shoring",D1031,0)</f>
        <v>1.41664112876156</v>
      </c>
      <c r="S1031" s="27" t="n">
        <f aca="false">MAX(0,GWL-L1031)</f>
        <v>3.87282063902503</v>
      </c>
      <c r="T1031" s="27" t="n">
        <f aca="false">MAX(0,NG-MAX(L1031,GWL))</f>
        <v>0.8</v>
      </c>
      <c r="U1031" s="27" t="n">
        <f aca="false">E1031+2*WS</f>
        <v>2.99999969775216</v>
      </c>
      <c r="V1031" s="27" t="n">
        <f aca="false">IF(Q1031="Shoring",D1031*M1031*U1031,0)</f>
        <v>19.8591277129132</v>
      </c>
      <c r="W1031" s="27" t="n">
        <f aca="false">IF(Q1031="Open cut",D1031*(U1031*M1031+SLOPE_B*S1031^2+2*SLOPE_B*S1031*T1031+SLOPE_A*T1031^2),0)</f>
        <v>0</v>
      </c>
      <c r="X1031" s="27" t="n">
        <f aca="false">IF(M1031&gt;0,D1031*(E1031+2*SLABOVH)*SLAB,0)</f>
        <v>1.4166409146732</v>
      </c>
      <c r="Y1031" s="27" t="n">
        <f aca="false">IF(M1031&gt;0,D1031*PI()*E1031^2/4,0)</f>
        <v>1.11262666814431</v>
      </c>
      <c r="Z1031" s="27" t="n">
        <f aca="false">IF(H1031-E1031&gt;=GWL,99,E1031*(MAX(0,GWL-H1031)*(GAM_S-GAM_W)+MAX(0,NG-MAX(H1031,GWL))*GAM_D)/(GAM_W*PI()*E1031^2/4))</f>
        <v>4.37297638478706</v>
      </c>
      <c r="AA1031" s="27" t="n">
        <f aca="false">IF(I1031-E1031&gt;=GWL,99,E1031*(MAX(0,GWL-I1031)*(GAM_S-GAM_W)+MAX(0,NG-MAX(I1031,GWL))*GAM_D)/(GAM_W*PI()*E1031^2/4))</f>
        <v>4.40949870204602</v>
      </c>
      <c r="AB1031" s="27" t="n">
        <f aca="false">IF(H1031-E1031&gt;=GWL,99,E1031*(MAX(0,GWL-H1031)*(GAM_S-GAM_W)+MAX(0,FL-MAX(H1031,GWL))*GAM_D)/(GAM_W*PI()*E1031^2/4))</f>
        <v>8.34455047702119</v>
      </c>
      <c r="AC1031" s="27" t="n">
        <f aca="false">IF(I1031-E1031&gt;=GWL,99,E1031*(MAX(0,GWL-I1031)*(GAM_S-GAM_W)+MAX(0,FL-MAX(I1031,GWL))*GAM_D)/(GAM_W*PI()*E1031^2/4))</f>
        <v>8.38107279428015</v>
      </c>
    </row>
    <row r="1032" customFormat="false" ht="15" hidden="false" customHeight="false" outlineLevel="0" collapsed="false">
      <c r="A1032" s="25" t="s">
        <v>1594</v>
      </c>
      <c r="B1032" s="25" t="s">
        <v>1627</v>
      </c>
      <c r="C1032" s="25" t="s">
        <v>1638</v>
      </c>
      <c r="D1032" s="26" t="n">
        <v>0.372635599047876</v>
      </c>
      <c r="E1032" s="26" t="n">
        <v>0.999999697752163</v>
      </c>
      <c r="F1032" s="26" t="n">
        <v>-5.38999984887608</v>
      </c>
      <c r="G1032" s="26" t="n">
        <v>-5.39035984887608</v>
      </c>
      <c r="H1032" s="26" t="n">
        <v>-3.89000015112392</v>
      </c>
      <c r="I1032" s="26" t="n">
        <v>-3.89036015112392</v>
      </c>
      <c r="J1032" s="26" t="n">
        <v>7.61</v>
      </c>
      <c r="K1032" s="27" t="n">
        <f aca="false">MIN(F1032,G1032)</f>
        <v>-5.39035984887608</v>
      </c>
      <c r="L1032" s="27" t="n">
        <f aca="false">AVERAGE(F1032,G1032)</f>
        <v>-5.39017984887608</v>
      </c>
      <c r="M1032" s="27" t="n">
        <f aca="false">MAX(0,NG-L1032)</f>
        <v>4.69017984887608</v>
      </c>
      <c r="N1032" s="27" t="n">
        <f aca="false">MAX(0,GWL-K1032)</f>
        <v>3.89035984887608</v>
      </c>
      <c r="O1032" s="27" t="n">
        <f aca="false">MAX(0,NG-MAX(K1032,GWL))</f>
        <v>0.8</v>
      </c>
      <c r="P1032" s="27" t="n">
        <f aca="false">E1032/2+WS+SLOPE_A*O1032+SLOPE_B*N1032</f>
        <v>10.4807195466282</v>
      </c>
      <c r="Q1032" s="28" t="str">
        <f aca="false">IF(AND(P1032&lt;J1032,N1032&lt;=MAXOC),"Open cut","Shoring")</f>
        <v>Shoring</v>
      </c>
      <c r="R1032" s="27" t="n">
        <f aca="false">IF(Q1032="Shoring",D1032,0)</f>
        <v>0.372635599047876</v>
      </c>
      <c r="S1032" s="27" t="n">
        <f aca="false">MAX(0,GWL-L1032)</f>
        <v>3.89017984887608</v>
      </c>
      <c r="T1032" s="27" t="n">
        <f aca="false">MAX(0,NG-MAX(L1032,GWL))</f>
        <v>0.8</v>
      </c>
      <c r="U1032" s="27" t="n">
        <f aca="false">E1032+2*WS</f>
        <v>2.99999969775216</v>
      </c>
      <c r="V1032" s="27" t="n">
        <f aca="false">IF(Q1032="Shoring",D1032*M1032*U1032,0)</f>
        <v>5.24318340463765</v>
      </c>
      <c r="W1032" s="27" t="n">
        <f aca="false">IF(Q1032="Open cut",D1032*(U1032*M1032+SLOPE_B*S1032^2+2*SLOPE_B*S1032*T1032+SLOPE_A*T1032^2),0)</f>
        <v>0</v>
      </c>
      <c r="X1032" s="27" t="n">
        <f aca="false">IF(M1032&gt;0,D1032*(E1032+2*SLABOVH)*SLAB,0)</f>
        <v>0.372635542733724</v>
      </c>
      <c r="Y1032" s="27" t="n">
        <f aca="false">IF(M1032&gt;0,D1032*PI()*E1032^2/4,0)</f>
        <v>0.292667138192611</v>
      </c>
      <c r="Z1032" s="27" t="n">
        <f aca="false">IF(H1032-E1032&gt;=GWL,99,E1032*(MAX(0,GWL-H1032)*(GAM_S-GAM_W)+MAX(0,NG-MAX(H1032,GWL))*GAM_D)/(GAM_W*PI()*E1032^2/4))</f>
        <v>4.40949870204602</v>
      </c>
      <c r="AA1032" s="27" t="n">
        <f aca="false">IF(I1032-E1032&gt;=GWL,99,E1032*(MAX(0,GWL-I1032)*(GAM_S-GAM_W)+MAX(0,NG-MAX(I1032,GWL))*GAM_D)/(GAM_W*PI()*E1032^2/4))</f>
        <v>4.40988137489091</v>
      </c>
      <c r="AB1032" s="27" t="n">
        <f aca="false">IF(H1032-E1032&gt;=GWL,99,E1032*(MAX(0,GWL-H1032)*(GAM_S-GAM_W)+MAX(0,FL-MAX(H1032,GWL))*GAM_D)/(GAM_W*PI()*E1032^2/4))</f>
        <v>8.38107279428015</v>
      </c>
      <c r="AC1032" s="27" t="n">
        <f aca="false">IF(I1032-E1032&gt;=GWL,99,E1032*(MAX(0,GWL-I1032)*(GAM_S-GAM_W)+MAX(0,FL-MAX(I1032,GWL))*GAM_D)/(GAM_W*PI()*E1032^2/4))</f>
        <v>8.38145546712504</v>
      </c>
    </row>
    <row r="1033" customFormat="false" ht="15" hidden="false" customHeight="false" outlineLevel="0" collapsed="false">
      <c r="A1033" s="25" t="s">
        <v>1594</v>
      </c>
      <c r="B1033" s="25" t="s">
        <v>1627</v>
      </c>
      <c r="C1033" s="25" t="s">
        <v>1639</v>
      </c>
      <c r="D1033" s="26" t="n">
        <v>0.372949999782984</v>
      </c>
      <c r="E1033" s="26" t="n">
        <v>0.999994619165094</v>
      </c>
      <c r="F1033" s="26" t="n">
        <v>-5.39035730958255</v>
      </c>
      <c r="G1033" s="26" t="n">
        <v>-5.39071730958255</v>
      </c>
      <c r="H1033" s="26" t="n">
        <v>-3.89036269041745</v>
      </c>
      <c r="I1033" s="26" t="n">
        <v>-3.89072269041745</v>
      </c>
      <c r="J1033" s="26" t="n">
        <v>7.27</v>
      </c>
      <c r="K1033" s="27" t="n">
        <f aca="false">MIN(F1033,G1033)</f>
        <v>-5.39071730958255</v>
      </c>
      <c r="L1033" s="27" t="n">
        <f aca="false">AVERAGE(F1033,G1033)</f>
        <v>-5.39053730958255</v>
      </c>
      <c r="M1033" s="27" t="n">
        <f aca="false">MAX(0,NG-L1033)</f>
        <v>4.69053730958255</v>
      </c>
      <c r="N1033" s="27" t="n">
        <f aca="false">MAX(0,GWL-K1033)</f>
        <v>3.89071730958255</v>
      </c>
      <c r="O1033" s="27" t="n">
        <f aca="false">MAX(0,NG-MAX(K1033,GWL))</f>
        <v>0.8</v>
      </c>
      <c r="P1033" s="27" t="n">
        <f aca="false">E1033/2+WS+SLOPE_A*O1033+SLOPE_B*N1033</f>
        <v>10.4814319287476</v>
      </c>
      <c r="Q1033" s="28" t="str">
        <f aca="false">IF(AND(P1033&lt;J1033,N1033&lt;=MAXOC),"Open cut","Shoring")</f>
        <v>Shoring</v>
      </c>
      <c r="R1033" s="27" t="n">
        <f aca="false">IF(Q1033="Shoring",D1033,0)</f>
        <v>0.372949999782984</v>
      </c>
      <c r="S1033" s="27" t="n">
        <f aca="false">MAX(0,GWL-L1033)</f>
        <v>3.89053730958255</v>
      </c>
      <c r="T1033" s="27" t="n">
        <f aca="false">MAX(0,NG-MAX(L1033,GWL))</f>
        <v>0.8</v>
      </c>
      <c r="U1033" s="27" t="n">
        <f aca="false">E1033+2*WS</f>
        <v>2.99999461916509</v>
      </c>
      <c r="V1033" s="27" t="n">
        <f aca="false">IF(Q1033="Shoring",D1033*M1033*U1033,0)</f>
        <v>5.24799825288506</v>
      </c>
      <c r="W1033" s="27" t="n">
        <f aca="false">IF(Q1033="Open cut",D1033*(U1033*M1033+SLOPE_B*S1033^2+2*SLOPE_B*S1033*T1033+SLOPE_A*T1033^2),0)</f>
        <v>0</v>
      </c>
      <c r="X1033" s="27" t="n">
        <f aca="false">IF(M1033&gt;0,D1033*(E1033+2*SLABOVH)*SLAB,0)</f>
        <v>0.372948996391796</v>
      </c>
      <c r="Y1033" s="27" t="n">
        <f aca="false">IF(M1033&gt;0,D1033*PI()*E1033^2/4,0)</f>
        <v>0.292911092630729</v>
      </c>
      <c r="Z1033" s="27" t="n">
        <f aca="false">IF(H1033-E1033&gt;=GWL,99,E1033*(MAX(0,GWL-H1033)*(GAM_S-GAM_W)+MAX(0,NG-MAX(H1033,GWL))*GAM_D)/(GAM_W*PI()*E1033^2/4))</f>
        <v>4.40990647021021</v>
      </c>
      <c r="AA1033" s="27" t="n">
        <f aca="false">IF(I1033-E1033&gt;=GWL,99,E1033*(MAX(0,GWL-I1033)*(GAM_S-GAM_W)+MAX(0,NG-MAX(I1033,GWL))*GAM_D)/(GAM_W*PI()*E1033^2/4))</f>
        <v>4.41028914499855</v>
      </c>
      <c r="AB1033" s="27" t="n">
        <f aca="false">IF(H1033-E1033&gt;=GWL,99,E1033*(MAX(0,GWL-H1033)*(GAM_S-GAM_W)+MAX(0,FL-MAX(H1033,GWL))*GAM_D)/(GAM_W*PI()*E1033^2/4))</f>
        <v>8.3815007325377</v>
      </c>
      <c r="AC1033" s="27" t="n">
        <f aca="false">IF(I1033-E1033&gt;=GWL,99,E1033*(MAX(0,GWL-I1033)*(GAM_S-GAM_W)+MAX(0,FL-MAX(I1033,GWL))*GAM_D)/(GAM_W*PI()*E1033^2/4))</f>
        <v>8.38188340732604</v>
      </c>
    </row>
    <row r="1034" customFormat="false" ht="15" hidden="false" customHeight="false" outlineLevel="0" collapsed="false">
      <c r="A1034" s="25" t="s">
        <v>1594</v>
      </c>
      <c r="B1034" s="25" t="s">
        <v>1627</v>
      </c>
      <c r="C1034" s="25" t="s">
        <v>1640</v>
      </c>
      <c r="D1034" s="26" t="n">
        <v>7.83777327264968</v>
      </c>
      <c r="E1034" s="26" t="n">
        <v>0.999994619165094</v>
      </c>
      <c r="F1034" s="26" t="n">
        <v>-5.39071730958255</v>
      </c>
      <c r="G1034" s="26" t="n">
        <v>-5.39827686302834</v>
      </c>
      <c r="H1034" s="26" t="n">
        <v>-3.89072269041745</v>
      </c>
      <c r="I1034" s="26" t="n">
        <v>-3.89828224386324</v>
      </c>
      <c r="J1034" s="26" t="n">
        <v>2.8</v>
      </c>
      <c r="K1034" s="27" t="n">
        <f aca="false">MIN(F1034,G1034)</f>
        <v>-5.39827686302834</v>
      </c>
      <c r="L1034" s="27" t="n">
        <f aca="false">AVERAGE(F1034,G1034)</f>
        <v>-5.39449708630544</v>
      </c>
      <c r="M1034" s="27" t="n">
        <f aca="false">MAX(0,NG-L1034)</f>
        <v>4.69449708630544</v>
      </c>
      <c r="N1034" s="27" t="n">
        <f aca="false">MAX(0,GWL-K1034)</f>
        <v>3.89827686302834</v>
      </c>
      <c r="O1034" s="27" t="n">
        <f aca="false">MAX(0,NG-MAX(K1034,GWL))</f>
        <v>0.8</v>
      </c>
      <c r="P1034" s="27" t="n">
        <f aca="false">E1034/2+WS+SLOPE_A*O1034+SLOPE_B*N1034</f>
        <v>10.4965510356392</v>
      </c>
      <c r="Q1034" s="28" t="str">
        <f aca="false">IF(AND(P1034&lt;J1034,N1034&lt;=MAXOC),"Open cut","Shoring")</f>
        <v>Shoring</v>
      </c>
      <c r="R1034" s="27" t="n">
        <f aca="false">IF(Q1034="Shoring",D1034,0)</f>
        <v>7.83777327264968</v>
      </c>
      <c r="S1034" s="27" t="n">
        <f aca="false">MAX(0,GWL-L1034)</f>
        <v>3.89449708630544</v>
      </c>
      <c r="T1034" s="27" t="n">
        <f aca="false">MAX(0,NG-MAX(L1034,GWL))</f>
        <v>0.8</v>
      </c>
      <c r="U1034" s="27" t="n">
        <f aca="false">E1034+2*WS</f>
        <v>2.99999461916509</v>
      </c>
      <c r="V1034" s="27" t="n">
        <f aca="false">IF(Q1034="Shoring",D1034*M1034*U1034,0)</f>
        <v>110.383013390117</v>
      </c>
      <c r="W1034" s="27" t="n">
        <f aca="false">IF(Q1034="Open cut",D1034*(U1034*M1034+SLOPE_B*S1034^2+2*SLOPE_B*S1034*T1034+SLOPE_A*T1034^2),0)</f>
        <v>0</v>
      </c>
      <c r="X1034" s="27" t="n">
        <f aca="false">IF(M1034&gt;0,D1034*(E1034+2*SLABOVH)*SLAB,0)</f>
        <v>7.83775218576767</v>
      </c>
      <c r="Y1034" s="27" t="n">
        <f aca="false">IF(M1034&gt;0,D1034*PI()*E1034^2/4,0)</f>
        <v>6.1557064872493</v>
      </c>
      <c r="Z1034" s="27" t="n">
        <f aca="false">IF(H1034-E1034&gt;=GWL,99,E1034*(MAX(0,GWL-H1034)*(GAM_S-GAM_W)+MAX(0,NG-MAX(H1034,GWL))*GAM_D)/(GAM_W*PI()*E1034^2/4))</f>
        <v>4.41028914499855</v>
      </c>
      <c r="AA1034" s="27" t="n">
        <f aca="false">IF(I1034-E1034&gt;=GWL,99,E1034*(MAX(0,GWL-I1034)*(GAM_S-GAM_W)+MAX(0,NG-MAX(I1034,GWL))*GAM_D)/(GAM_W*PI()*E1034^2/4))</f>
        <v>4.41832484087292</v>
      </c>
      <c r="AB1034" s="27" t="n">
        <f aca="false">IF(H1034-E1034&gt;=GWL,99,E1034*(MAX(0,GWL-H1034)*(GAM_S-GAM_W)+MAX(0,FL-MAX(H1034,GWL))*GAM_D)/(GAM_W*PI()*E1034^2/4))</f>
        <v>8.38188340732604</v>
      </c>
      <c r="AC1034" s="27" t="n">
        <f aca="false">IF(I1034-E1034&gt;=GWL,99,E1034*(MAX(0,GWL-I1034)*(GAM_S-GAM_W)+MAX(0,FL-MAX(I1034,GWL))*GAM_D)/(GAM_W*PI()*E1034^2/4))</f>
        <v>8.38991910320041</v>
      </c>
    </row>
    <row r="1035" customFormat="false" ht="15" hidden="false" customHeight="false" outlineLevel="0" collapsed="false">
      <c r="A1035" s="25" t="s">
        <v>1594</v>
      </c>
      <c r="B1035" s="25" t="s">
        <v>1627</v>
      </c>
      <c r="C1035" s="25" t="s">
        <v>1641</v>
      </c>
      <c r="D1035" s="26" t="n">
        <v>0.0999999993626129</v>
      </c>
      <c r="E1035" s="26" t="n">
        <v>0.999994619165094</v>
      </c>
      <c r="F1035" s="26" t="n">
        <v>-5.39827686302834</v>
      </c>
      <c r="G1035" s="26" t="n">
        <v>-5.39837331329786</v>
      </c>
      <c r="H1035" s="26" t="n">
        <v>-3.89828224386324</v>
      </c>
      <c r="I1035" s="26" t="n">
        <v>-3.89837869413277</v>
      </c>
      <c r="J1035" s="26" t="n">
        <v>2.86</v>
      </c>
      <c r="K1035" s="27" t="n">
        <f aca="false">MIN(F1035,G1035)</f>
        <v>-5.39837331329786</v>
      </c>
      <c r="L1035" s="27" t="n">
        <f aca="false">AVERAGE(F1035,G1035)</f>
        <v>-5.3983250881631</v>
      </c>
      <c r="M1035" s="27" t="n">
        <f aca="false">MAX(0,NG-L1035)</f>
        <v>4.6983250881631</v>
      </c>
      <c r="N1035" s="27" t="n">
        <f aca="false">MAX(0,GWL-K1035)</f>
        <v>3.89837331329786</v>
      </c>
      <c r="O1035" s="27" t="n">
        <f aca="false">MAX(0,NG-MAX(K1035,GWL))</f>
        <v>0.8</v>
      </c>
      <c r="P1035" s="27" t="n">
        <f aca="false">E1035/2+WS+SLOPE_A*O1035+SLOPE_B*N1035</f>
        <v>10.4967439361783</v>
      </c>
      <c r="Q1035" s="28" t="str">
        <f aca="false">IF(AND(P1035&lt;J1035,N1035&lt;=MAXOC),"Open cut","Shoring")</f>
        <v>Shoring</v>
      </c>
      <c r="R1035" s="27" t="n">
        <f aca="false">IF(Q1035="Shoring",D1035,0)</f>
        <v>0.0999999993626129</v>
      </c>
      <c r="S1035" s="27" t="n">
        <f aca="false">MAX(0,GWL-L1035)</f>
        <v>3.8983250881631</v>
      </c>
      <c r="T1035" s="27" t="n">
        <f aca="false">MAX(0,NG-MAX(L1035,GWL))</f>
        <v>0.8</v>
      </c>
      <c r="U1035" s="27" t="n">
        <f aca="false">E1035+2*WS</f>
        <v>2.99999461916509</v>
      </c>
      <c r="V1035" s="27" t="n">
        <f aca="false">IF(Q1035="Shoring",D1035*M1035*U1035,0)</f>
        <v>1.40949498937383</v>
      </c>
      <c r="W1035" s="27" t="n">
        <f aca="false">IF(Q1035="Open cut",D1035*(U1035*M1035+SLOPE_B*S1035^2+2*SLOPE_B*S1035*T1035+SLOPE_A*T1035^2),0)</f>
        <v>0</v>
      </c>
      <c r="X1035" s="27" t="n">
        <f aca="false">IF(M1035&gt;0,D1035*(E1035+2*SLABOVH)*SLAB,0)</f>
        <v>0.0999997303208693</v>
      </c>
      <c r="Y1035" s="27" t="n">
        <f aca="false">IF(M1035&gt;0,D1035*PI()*E1035^2/4,0)</f>
        <v>0.078538970621851</v>
      </c>
      <c r="Z1035" s="27" t="n">
        <f aca="false">IF(H1035-E1035&gt;=GWL,99,E1035*(MAX(0,GWL-H1035)*(GAM_S-GAM_W)+MAX(0,NG-MAX(H1035,GWL))*GAM_D)/(GAM_W*PI()*E1035^2/4))</f>
        <v>4.41832484087292</v>
      </c>
      <c r="AA1035" s="27" t="n">
        <f aca="false">IF(I1035-E1035&gt;=GWL,99,E1035*(MAX(0,GWL-I1035)*(GAM_S-GAM_W)+MAX(0,NG-MAX(I1035,GWL))*GAM_D)/(GAM_W*PI()*E1035^2/4))</f>
        <v>4.41842736611313</v>
      </c>
      <c r="AB1035" s="27" t="n">
        <f aca="false">IF(H1035-E1035&gt;=GWL,99,E1035*(MAX(0,GWL-H1035)*(GAM_S-GAM_W)+MAX(0,FL-MAX(H1035,GWL))*GAM_D)/(GAM_W*PI()*E1035^2/4))</f>
        <v>8.38991910320041</v>
      </c>
      <c r="AC1035" s="27" t="n">
        <f aca="false">IF(I1035-E1035&gt;=GWL,99,E1035*(MAX(0,GWL-I1035)*(GAM_S-GAM_W)+MAX(0,FL-MAX(I1035,GWL))*GAM_D)/(GAM_W*PI()*E1035^2/4))</f>
        <v>8.39002162844062</v>
      </c>
    </row>
    <row r="1036" customFormat="false" ht="15" hidden="false" customHeight="false" outlineLevel="0" collapsed="false">
      <c r="A1036" s="25" t="s">
        <v>1594</v>
      </c>
      <c r="B1036" s="25" t="s">
        <v>1642</v>
      </c>
      <c r="C1036" s="25" t="s">
        <v>1643</v>
      </c>
      <c r="D1036" s="26" t="n">
        <v>0.937266726891604</v>
      </c>
      <c r="E1036" s="26" t="n">
        <v>0.999994619165094</v>
      </c>
      <c r="F1036" s="26" t="n">
        <v>-5.39837331329786</v>
      </c>
      <c r="G1036" s="26" t="n">
        <v>-5.39927730958255</v>
      </c>
      <c r="H1036" s="26" t="n">
        <v>-3.89837869413277</v>
      </c>
      <c r="I1036" s="26" t="n">
        <v>-3.89928269041745</v>
      </c>
      <c r="J1036" s="26" t="n">
        <v>2.87</v>
      </c>
      <c r="K1036" s="27" t="n">
        <f aca="false">MIN(F1036,G1036)</f>
        <v>-5.39927730958255</v>
      </c>
      <c r="L1036" s="27" t="n">
        <f aca="false">AVERAGE(F1036,G1036)</f>
        <v>-5.3988253114402</v>
      </c>
      <c r="M1036" s="27" t="n">
        <f aca="false">MAX(0,NG-L1036)</f>
        <v>4.6988253114402</v>
      </c>
      <c r="N1036" s="27" t="n">
        <f aca="false">MAX(0,GWL-K1036)</f>
        <v>3.89927730958255</v>
      </c>
      <c r="O1036" s="27" t="n">
        <f aca="false">MAX(0,NG-MAX(K1036,GWL))</f>
        <v>0.8</v>
      </c>
      <c r="P1036" s="27" t="n">
        <f aca="false">E1036/2+WS+SLOPE_A*O1036+SLOPE_B*N1036</f>
        <v>10.4985519287476</v>
      </c>
      <c r="Q1036" s="28" t="str">
        <f aca="false">IF(AND(P1036&lt;J1036,N1036&lt;=MAXOC),"Open cut","Shoring")</f>
        <v>Shoring</v>
      </c>
      <c r="R1036" s="27" t="n">
        <f aca="false">IF(Q1036="Shoring",D1036,0)</f>
        <v>0.937266726891604</v>
      </c>
      <c r="S1036" s="27" t="n">
        <f aca="false">MAX(0,GWL-L1036)</f>
        <v>3.8988253114402</v>
      </c>
      <c r="T1036" s="27" t="n">
        <f aca="false">MAX(0,NG-MAX(L1036,GWL))</f>
        <v>0.8</v>
      </c>
      <c r="U1036" s="27" t="n">
        <f aca="false">E1036+2*WS</f>
        <v>2.99999461916509</v>
      </c>
      <c r="V1036" s="27" t="n">
        <f aca="false">IF(Q1036="Shoring",D1036*M1036*U1036,0)</f>
        <v>13.2121341621869</v>
      </c>
      <c r="W1036" s="27" t="n">
        <f aca="false">IF(Q1036="Open cut",D1036*(U1036*M1036+SLOPE_B*S1036^2+2*SLOPE_B*S1036*T1036+SLOPE_A*T1036^2),0)</f>
        <v>0</v>
      </c>
      <c r="X1036" s="27" t="n">
        <f aca="false">IF(M1036&gt;0,D1036*(E1036+2*SLABOVH)*SLAB,0)</f>
        <v>0.937264205252844</v>
      </c>
      <c r="Y1036" s="27" t="n">
        <f aca="false">IF(M1036&gt;0,D1036*PI()*E1036^2/4,0)</f>
        <v>0.736119643973713</v>
      </c>
      <c r="Z1036" s="27" t="n">
        <f aca="false">IF(H1036-E1036&gt;=GWL,99,E1036*(MAX(0,GWL-H1036)*(GAM_S-GAM_W)+MAX(0,NG-MAX(H1036,GWL))*GAM_D)/(GAM_W*PI()*E1036^2/4))</f>
        <v>4.41842736611313</v>
      </c>
      <c r="AA1036" s="27" t="n">
        <f aca="false">IF(I1036-E1036&gt;=GWL,99,E1036*(MAX(0,GWL-I1036)*(GAM_S-GAM_W)+MAX(0,NG-MAX(I1036,GWL))*GAM_D)/(GAM_W*PI()*E1036^2/4))</f>
        <v>4.41938830107673</v>
      </c>
      <c r="AB1036" s="27" t="n">
        <f aca="false">IF(H1036-E1036&gt;=GWL,99,E1036*(MAX(0,GWL-H1036)*(GAM_S-GAM_W)+MAX(0,FL-MAX(H1036,GWL))*GAM_D)/(GAM_W*PI()*E1036^2/4))</f>
        <v>8.39002162844062</v>
      </c>
      <c r="AC1036" s="27" t="n">
        <f aca="false">IF(I1036-E1036&gt;=GWL,99,E1036*(MAX(0,GWL-I1036)*(GAM_S-GAM_W)+MAX(0,FL-MAX(I1036,GWL))*GAM_D)/(GAM_W*PI()*E1036^2/4))</f>
        <v>8.39098256340422</v>
      </c>
    </row>
    <row r="1037" customFormat="false" ht="15" hidden="false" customHeight="false" outlineLevel="0" collapsed="false">
      <c r="A1037" s="25" t="s">
        <v>1594</v>
      </c>
      <c r="B1037" s="25" t="s">
        <v>1642</v>
      </c>
      <c r="C1037" s="25" t="s">
        <v>1644</v>
      </c>
      <c r="D1037" s="26" t="n">
        <v>0.372759828974228</v>
      </c>
      <c r="E1037" s="26" t="n">
        <v>0.999994619165094</v>
      </c>
      <c r="F1037" s="26" t="n">
        <v>-5.39927730958255</v>
      </c>
      <c r="G1037" s="26" t="n">
        <v>-5.39963730958255</v>
      </c>
      <c r="H1037" s="26" t="n">
        <v>-3.89928269041745</v>
      </c>
      <c r="I1037" s="26" t="n">
        <v>-3.89964269041745</v>
      </c>
      <c r="J1037" s="26" t="n">
        <v>2.96</v>
      </c>
      <c r="K1037" s="27" t="n">
        <f aca="false">MIN(F1037,G1037)</f>
        <v>-5.39963730958255</v>
      </c>
      <c r="L1037" s="27" t="n">
        <f aca="false">AVERAGE(F1037,G1037)</f>
        <v>-5.39945730958255</v>
      </c>
      <c r="M1037" s="27" t="n">
        <f aca="false">MAX(0,NG-L1037)</f>
        <v>4.69945730958255</v>
      </c>
      <c r="N1037" s="27" t="n">
        <f aca="false">MAX(0,GWL-K1037)</f>
        <v>3.89963730958255</v>
      </c>
      <c r="O1037" s="27" t="n">
        <f aca="false">MAX(0,NG-MAX(K1037,GWL))</f>
        <v>0.8</v>
      </c>
      <c r="P1037" s="27" t="n">
        <f aca="false">E1037/2+WS+SLOPE_A*O1037+SLOPE_B*N1037</f>
        <v>10.4992719287476</v>
      </c>
      <c r="Q1037" s="28" t="str">
        <f aca="false">IF(AND(P1037&lt;J1037,N1037&lt;=MAXOC),"Open cut","Shoring")</f>
        <v>Shoring</v>
      </c>
      <c r="R1037" s="27" t="n">
        <f aca="false">IF(Q1037="Shoring",D1037,0)</f>
        <v>0.372759828974228</v>
      </c>
      <c r="S1037" s="27" t="n">
        <f aca="false">MAX(0,GWL-L1037)</f>
        <v>3.89945730958255</v>
      </c>
      <c r="T1037" s="27" t="n">
        <f aca="false">MAX(0,NG-MAX(L1037,GWL))</f>
        <v>0.8</v>
      </c>
      <c r="U1037" s="27" t="n">
        <f aca="false">E1037+2*WS</f>
        <v>2.99999461916509</v>
      </c>
      <c r="V1037" s="27" t="n">
        <f aca="false">IF(Q1037="Shoring",D1037*M1037*U1037,0)</f>
        <v>5.25529728299576</v>
      </c>
      <c r="W1037" s="27" t="n">
        <f aca="false">IF(Q1037="Open cut",D1037*(U1037*M1037+SLOPE_B*S1037^2+2*SLOPE_B*S1037*T1037+SLOPE_A*T1037^2),0)</f>
        <v>0</v>
      </c>
      <c r="X1037" s="27" t="n">
        <f aca="false">IF(M1037&gt;0,D1037*(E1037+2*SLABOVH)*SLAB,0)</f>
        <v>0.372758826094678</v>
      </c>
      <c r="Y1037" s="27" t="n">
        <f aca="false">IF(M1037&gt;0,D1037*PI()*E1037^2/4,0)</f>
        <v>0.292761734434156</v>
      </c>
      <c r="Z1037" s="27" t="n">
        <f aca="false">IF(H1037-E1037&gt;=GWL,99,E1037*(MAX(0,GWL-H1037)*(GAM_S-GAM_W)+MAX(0,NG-MAX(H1037,GWL))*GAM_D)/(GAM_W*PI()*E1037^2/4))</f>
        <v>4.41938830107673</v>
      </c>
      <c r="AA1037" s="27" t="n">
        <f aca="false">IF(I1037-E1037&gt;=GWL,99,E1037*(MAX(0,GWL-I1037)*(GAM_S-GAM_W)+MAX(0,NG-MAX(I1037,GWL))*GAM_D)/(GAM_W*PI()*E1037^2/4))</f>
        <v>4.41977097586507</v>
      </c>
      <c r="AB1037" s="27" t="n">
        <f aca="false">IF(H1037-E1037&gt;=GWL,99,E1037*(MAX(0,GWL-H1037)*(GAM_S-GAM_W)+MAX(0,FL-MAX(H1037,GWL))*GAM_D)/(GAM_W*PI()*E1037^2/4))</f>
        <v>8.39098256340422</v>
      </c>
      <c r="AC1037" s="27" t="n">
        <f aca="false">IF(I1037-E1037&gt;=GWL,99,E1037*(MAX(0,GWL-I1037)*(GAM_S-GAM_W)+MAX(0,FL-MAX(I1037,GWL))*GAM_D)/(GAM_W*PI()*E1037^2/4))</f>
        <v>8.39136523819256</v>
      </c>
    </row>
    <row r="1038" customFormat="false" ht="15" hidden="false" customHeight="false" outlineLevel="0" collapsed="false">
      <c r="A1038" s="25" t="s">
        <v>1594</v>
      </c>
      <c r="B1038" s="25" t="s">
        <v>1642</v>
      </c>
      <c r="C1038" s="25" t="s">
        <v>1645</v>
      </c>
      <c r="D1038" s="26" t="n">
        <v>0.372821747891874</v>
      </c>
      <c r="E1038" s="26" t="n">
        <v>0.999999963579439</v>
      </c>
      <c r="F1038" s="26" t="n">
        <v>-5.39963998178972</v>
      </c>
      <c r="G1038" s="26" t="n">
        <v>-5.39999998178972</v>
      </c>
      <c r="H1038" s="26" t="n">
        <v>-3.89964001821028</v>
      </c>
      <c r="I1038" s="26" t="n">
        <v>-3.90000001821028</v>
      </c>
      <c r="J1038" s="26" t="n">
        <v>3</v>
      </c>
      <c r="K1038" s="27" t="n">
        <f aca="false">MIN(F1038,G1038)</f>
        <v>-5.39999998178972</v>
      </c>
      <c r="L1038" s="27" t="n">
        <f aca="false">AVERAGE(F1038,G1038)</f>
        <v>-5.39981998178972</v>
      </c>
      <c r="M1038" s="27" t="n">
        <f aca="false">MAX(0,NG-L1038)</f>
        <v>4.69981998178972</v>
      </c>
      <c r="N1038" s="27" t="n">
        <f aca="false">MAX(0,GWL-K1038)</f>
        <v>3.89999998178972</v>
      </c>
      <c r="O1038" s="27" t="n">
        <f aca="false">MAX(0,NG-MAX(K1038,GWL))</f>
        <v>0.8</v>
      </c>
      <c r="P1038" s="27" t="n">
        <f aca="false">E1038/2+WS+SLOPE_A*O1038+SLOPE_B*N1038</f>
        <v>10.4999999453692</v>
      </c>
      <c r="Q1038" s="28" t="str">
        <f aca="false">IF(AND(P1038&lt;J1038,N1038&lt;=MAXOC),"Open cut","Shoring")</f>
        <v>Shoring</v>
      </c>
      <c r="R1038" s="27" t="n">
        <f aca="false">IF(Q1038="Shoring",D1038,0)</f>
        <v>0.372821747891874</v>
      </c>
      <c r="S1038" s="27" t="n">
        <f aca="false">MAX(0,GWL-L1038)</f>
        <v>3.89981998178972</v>
      </c>
      <c r="T1038" s="27" t="n">
        <f aca="false">MAX(0,NG-MAX(L1038,GWL))</f>
        <v>0.8</v>
      </c>
      <c r="U1038" s="27" t="n">
        <f aca="false">E1038+2*WS</f>
        <v>2.99999996357944</v>
      </c>
      <c r="V1038" s="27" t="n">
        <f aca="false">IF(Q1038="Shoring",D1038*M1038*U1038,0)</f>
        <v>5.25658523734806</v>
      </c>
      <c r="W1038" s="27" t="n">
        <f aca="false">IF(Q1038="Open cut",D1038*(U1038*M1038+SLOPE_B*S1038^2+2*SLOPE_B*S1038*T1038+SLOPE_A*T1038^2),0)</f>
        <v>0</v>
      </c>
      <c r="X1038" s="27" t="n">
        <f aca="false">IF(M1038&gt;0,D1038*(E1038+2*SLABOVH)*SLAB,0)</f>
        <v>0.372821741102685</v>
      </c>
      <c r="Y1038" s="27" t="n">
        <f aca="false">IF(M1038&gt;0,D1038*PI()*E1038^2/4,0)</f>
        <v>0.292813494740039</v>
      </c>
      <c r="Z1038" s="27" t="n">
        <f aca="false">IF(H1038-E1038&gt;=GWL,99,E1038*(MAX(0,GWL-H1038)*(GAM_S-GAM_W)+MAX(0,NG-MAX(H1038,GWL))*GAM_D)/(GAM_W*PI()*E1038^2/4))</f>
        <v>4.41974451427444</v>
      </c>
      <c r="AA1038" s="27" t="n">
        <f aca="false">IF(I1038-E1038&gt;=GWL,99,E1038*(MAX(0,GWL-I1038)*(GAM_S-GAM_W)+MAX(0,NG-MAX(I1038,GWL))*GAM_D)/(GAM_W*PI()*E1038^2/4))</f>
        <v>4.4201271870176</v>
      </c>
      <c r="AB1038" s="27" t="n">
        <f aca="false">IF(H1038-E1038&gt;=GWL,99,E1038*(MAX(0,GWL-H1038)*(GAM_S-GAM_W)+MAX(0,FL-MAX(H1038,GWL))*GAM_D)/(GAM_W*PI()*E1038^2/4))</f>
        <v>8.39131755075581</v>
      </c>
      <c r="AC1038" s="27" t="n">
        <f aca="false">IF(I1038-E1038&gt;=GWL,99,E1038*(MAX(0,GWL-I1038)*(GAM_S-GAM_W)+MAX(0,FL-MAX(I1038,GWL))*GAM_D)/(GAM_W*PI()*E1038^2/4))</f>
        <v>8.39170022349897</v>
      </c>
    </row>
    <row r="1039" customFormat="false" ht="15" hidden="false" customHeight="false" outlineLevel="0" collapsed="false">
      <c r="A1039" s="25" t="s">
        <v>1594</v>
      </c>
      <c r="B1039" s="25" t="s">
        <v>1642</v>
      </c>
      <c r="C1039" s="25" t="s">
        <v>1646</v>
      </c>
      <c r="D1039" s="26" t="n">
        <v>8.21715169609974</v>
      </c>
      <c r="E1039" s="26" t="n">
        <v>0.999999963579439</v>
      </c>
      <c r="F1039" s="26" t="n">
        <v>-5.39999998178972</v>
      </c>
      <c r="G1039" s="26" t="n">
        <v>-5.39999998178972</v>
      </c>
      <c r="H1039" s="26" t="n">
        <v>-3.90000001821028</v>
      </c>
      <c r="I1039" s="26" t="n">
        <v>-3.90000001821028</v>
      </c>
      <c r="J1039" s="26" t="n">
        <v>3.3</v>
      </c>
      <c r="K1039" s="27" t="n">
        <f aca="false">MIN(F1039,G1039)</f>
        <v>-5.39999998178972</v>
      </c>
      <c r="L1039" s="27" t="n">
        <f aca="false">AVERAGE(F1039,G1039)</f>
        <v>-5.39999998178972</v>
      </c>
      <c r="M1039" s="27" t="n">
        <f aca="false">MAX(0,NG-L1039)</f>
        <v>4.69999998178972</v>
      </c>
      <c r="N1039" s="27" t="n">
        <f aca="false">MAX(0,GWL-K1039)</f>
        <v>3.89999998178972</v>
      </c>
      <c r="O1039" s="27" t="n">
        <f aca="false">MAX(0,NG-MAX(K1039,GWL))</f>
        <v>0.8</v>
      </c>
      <c r="P1039" s="27" t="n">
        <f aca="false">E1039/2+WS+SLOPE_A*O1039+SLOPE_B*N1039</f>
        <v>10.4999999453692</v>
      </c>
      <c r="Q1039" s="28" t="str">
        <f aca="false">IF(AND(P1039&lt;J1039,N1039&lt;=MAXOC),"Open cut","Shoring")</f>
        <v>Shoring</v>
      </c>
      <c r="R1039" s="27" t="n">
        <f aca="false">IF(Q1039="Shoring",D1039,0)</f>
        <v>8.21715169609974</v>
      </c>
      <c r="S1039" s="27" t="n">
        <f aca="false">MAX(0,GWL-L1039)</f>
        <v>3.89999998178972</v>
      </c>
      <c r="T1039" s="27" t="n">
        <f aca="false">MAX(0,NG-MAX(L1039,GWL))</f>
        <v>0.8</v>
      </c>
      <c r="U1039" s="27" t="n">
        <f aca="false">E1039+2*WS</f>
        <v>2.99999996357944</v>
      </c>
      <c r="V1039" s="27" t="n">
        <f aca="false">IF(Q1039="Shoring",D1039*M1039*U1039,0)</f>
        <v>115.861837059512</v>
      </c>
      <c r="W1039" s="27" t="n">
        <f aca="false">IF(Q1039="Open cut",D1039*(U1039*M1039+SLOPE_B*S1039^2+2*SLOPE_B*S1039*T1039+SLOPE_A*T1039^2),0)</f>
        <v>0</v>
      </c>
      <c r="X1039" s="27" t="n">
        <f aca="false">IF(M1039&gt;0,D1039*(E1039+2*SLABOVH)*SLAB,0)</f>
        <v>8.21715154646311</v>
      </c>
      <c r="Y1039" s="27" t="n">
        <f aca="false">IF(M1039&gt;0,D1039*PI()*E1039^2/4,0)</f>
        <v>6.45373538037761</v>
      </c>
      <c r="Z1039" s="27" t="n">
        <f aca="false">IF(H1039-E1039&gt;=GWL,99,E1039*(MAX(0,GWL-H1039)*(GAM_S-GAM_W)+MAX(0,NG-MAX(H1039,GWL))*GAM_D)/(GAM_W*PI()*E1039^2/4))</f>
        <v>4.4201271870176</v>
      </c>
      <c r="AA1039" s="27" t="n">
        <f aca="false">IF(I1039-E1039&gt;=GWL,99,E1039*(MAX(0,GWL-I1039)*(GAM_S-GAM_W)+MAX(0,NG-MAX(I1039,GWL))*GAM_D)/(GAM_W*PI()*E1039^2/4))</f>
        <v>4.4201271870176</v>
      </c>
      <c r="AB1039" s="27" t="n">
        <f aca="false">IF(H1039-E1039&gt;=GWL,99,E1039*(MAX(0,GWL-H1039)*(GAM_S-GAM_W)+MAX(0,FL-MAX(H1039,GWL))*GAM_D)/(GAM_W*PI()*E1039^2/4))</f>
        <v>8.39170022349897</v>
      </c>
      <c r="AC1039" s="27" t="n">
        <f aca="false">IF(I1039-E1039&gt;=GWL,99,E1039*(MAX(0,GWL-I1039)*(GAM_S-GAM_W)+MAX(0,FL-MAX(I1039,GWL))*GAM_D)/(GAM_W*PI()*E1039^2/4))</f>
        <v>8.39170022349897</v>
      </c>
    </row>
    <row r="1040" customFormat="false" ht="15" hidden="false" customHeight="false" outlineLevel="0" collapsed="false">
      <c r="A1040" s="25" t="s">
        <v>1594</v>
      </c>
      <c r="B1040" s="25" t="s">
        <v>1642</v>
      </c>
      <c r="C1040" s="25" t="s">
        <v>1647</v>
      </c>
      <c r="D1040" s="26" t="n">
        <v>10.0000000003516</v>
      </c>
      <c r="E1040" s="26" t="n">
        <v>0.999999963579439</v>
      </c>
      <c r="F1040" s="26" t="n">
        <v>-5.39999998178972</v>
      </c>
      <c r="G1040" s="26" t="n">
        <v>-5.39999998178972</v>
      </c>
      <c r="H1040" s="26" t="n">
        <v>-3.90000001821028</v>
      </c>
      <c r="I1040" s="26" t="n">
        <v>-3.90000001821028</v>
      </c>
      <c r="J1040" s="26" t="n">
        <v>10.11</v>
      </c>
      <c r="K1040" s="27" t="n">
        <f aca="false">MIN(F1040,G1040)</f>
        <v>-5.39999998178972</v>
      </c>
      <c r="L1040" s="27" t="n">
        <f aca="false">AVERAGE(F1040,G1040)</f>
        <v>-5.39999998178972</v>
      </c>
      <c r="M1040" s="27" t="n">
        <f aca="false">MAX(0,NG-L1040)</f>
        <v>4.69999998178972</v>
      </c>
      <c r="N1040" s="27" t="n">
        <f aca="false">MAX(0,GWL-K1040)</f>
        <v>3.89999998178972</v>
      </c>
      <c r="O1040" s="27" t="n">
        <f aca="false">MAX(0,NG-MAX(K1040,GWL))</f>
        <v>0.8</v>
      </c>
      <c r="P1040" s="27" t="n">
        <f aca="false">E1040/2+WS+SLOPE_A*O1040+SLOPE_B*N1040</f>
        <v>10.4999999453692</v>
      </c>
      <c r="Q1040" s="28" t="str">
        <f aca="false">IF(AND(P1040&lt;J1040,N1040&lt;=MAXOC),"Open cut","Shoring")</f>
        <v>Shoring</v>
      </c>
      <c r="R1040" s="27" t="n">
        <f aca="false">IF(Q1040="Shoring",D1040,0)</f>
        <v>10.0000000003516</v>
      </c>
      <c r="S1040" s="27" t="n">
        <f aca="false">MAX(0,GWL-L1040)</f>
        <v>3.89999998178972</v>
      </c>
      <c r="T1040" s="27" t="n">
        <f aca="false">MAX(0,NG-MAX(L1040,GWL))</f>
        <v>0.8</v>
      </c>
      <c r="U1040" s="27" t="n">
        <f aca="false">E1040+2*WS</f>
        <v>2.99999996357944</v>
      </c>
      <c r="V1040" s="27" t="n">
        <f aca="false">IF(Q1040="Shoring",D1040*M1040*U1040,0)</f>
        <v>140.999997746883</v>
      </c>
      <c r="W1040" s="27" t="n">
        <f aca="false">IF(Q1040="Open cut",D1040*(U1040*M1040+SLOPE_B*S1040^2+2*SLOPE_B*S1040*T1040+SLOPE_A*T1040^2),0)</f>
        <v>0</v>
      </c>
      <c r="X1040" s="27" t="n">
        <f aca="false">IF(M1040&gt;0,D1040*(E1040+2*SLABOVH)*SLAB,0)</f>
        <v>9.99999981824877</v>
      </c>
      <c r="Y1040" s="27" t="n">
        <f aca="false">IF(M1040&gt;0,D1040*PI()*E1040^2/4,0)</f>
        <v>7.85398106215779</v>
      </c>
      <c r="Z1040" s="27" t="n">
        <f aca="false">IF(H1040-E1040&gt;=GWL,99,E1040*(MAX(0,GWL-H1040)*(GAM_S-GAM_W)+MAX(0,NG-MAX(H1040,GWL))*GAM_D)/(GAM_W*PI()*E1040^2/4))</f>
        <v>4.4201271870176</v>
      </c>
      <c r="AA1040" s="27" t="n">
        <f aca="false">IF(I1040-E1040&gt;=GWL,99,E1040*(MAX(0,GWL-I1040)*(GAM_S-GAM_W)+MAX(0,NG-MAX(I1040,GWL))*GAM_D)/(GAM_W*PI()*E1040^2/4))</f>
        <v>4.4201271870176</v>
      </c>
      <c r="AB1040" s="27" t="n">
        <f aca="false">IF(H1040-E1040&gt;=GWL,99,E1040*(MAX(0,GWL-H1040)*(GAM_S-GAM_W)+MAX(0,FL-MAX(H1040,GWL))*GAM_D)/(GAM_W*PI()*E1040^2/4))</f>
        <v>8.39170022349897</v>
      </c>
      <c r="AC1040" s="27" t="n">
        <f aca="false">IF(I1040-E1040&gt;=GWL,99,E1040*(MAX(0,GWL-I1040)*(GAM_S-GAM_W)+MAX(0,FL-MAX(I1040,GWL))*GAM_D)/(GAM_W*PI()*E1040^2/4))</f>
        <v>8.39170022349897</v>
      </c>
    </row>
    <row r="1041" customFormat="false" ht="15" hidden="false" customHeight="false" outlineLevel="0" collapsed="false">
      <c r="A1041" s="25" t="s">
        <v>1594</v>
      </c>
      <c r="B1041" s="25" t="s">
        <v>1642</v>
      </c>
      <c r="C1041" s="25" t="s">
        <v>1648</v>
      </c>
      <c r="D1041" s="26" t="n">
        <v>9.99999999994829</v>
      </c>
      <c r="E1041" s="26" t="n">
        <v>0.999999963579439</v>
      </c>
      <c r="F1041" s="26" t="n">
        <v>-5.39999998178972</v>
      </c>
      <c r="G1041" s="26" t="n">
        <v>-5.39999998178972</v>
      </c>
      <c r="H1041" s="26" t="n">
        <v>-3.90000001821028</v>
      </c>
      <c r="I1041" s="26" t="n">
        <v>-3.90000001821028</v>
      </c>
      <c r="J1041" s="26" t="n">
        <v>11.25</v>
      </c>
      <c r="K1041" s="27" t="n">
        <f aca="false">MIN(F1041,G1041)</f>
        <v>-5.39999998178972</v>
      </c>
      <c r="L1041" s="27" t="n">
        <f aca="false">AVERAGE(F1041,G1041)</f>
        <v>-5.39999998178972</v>
      </c>
      <c r="M1041" s="27" t="n">
        <f aca="false">MAX(0,NG-L1041)</f>
        <v>4.69999998178972</v>
      </c>
      <c r="N1041" s="27" t="n">
        <f aca="false">MAX(0,GWL-K1041)</f>
        <v>3.89999998178972</v>
      </c>
      <c r="O1041" s="27" t="n">
        <f aca="false">MAX(0,NG-MAX(K1041,GWL))</f>
        <v>0.8</v>
      </c>
      <c r="P1041" s="27" t="n">
        <f aca="false">E1041/2+WS+SLOPE_A*O1041+SLOPE_B*N1041</f>
        <v>10.4999999453692</v>
      </c>
      <c r="Q1041" s="28" t="str">
        <f aca="false">IF(AND(P1041&lt;J1041,N1041&lt;=MAXOC),"Open cut","Shoring")</f>
        <v>Shoring</v>
      </c>
      <c r="R1041" s="27" t="n">
        <f aca="false">IF(Q1041="Shoring",D1041,0)</f>
        <v>9.99999999994829</v>
      </c>
      <c r="S1041" s="27" t="n">
        <f aca="false">MAX(0,GWL-L1041)</f>
        <v>3.89999998178972</v>
      </c>
      <c r="T1041" s="27" t="n">
        <f aca="false">MAX(0,NG-MAX(L1041,GWL))</f>
        <v>0.8</v>
      </c>
      <c r="U1041" s="27" t="n">
        <f aca="false">E1041+2*WS</f>
        <v>2.99999996357944</v>
      </c>
      <c r="V1041" s="27" t="n">
        <f aca="false">IF(Q1041="Shoring",D1041*M1041*U1041,0)</f>
        <v>140.999997741196</v>
      </c>
      <c r="W1041" s="27" t="n">
        <f aca="false">IF(Q1041="Open cut",D1041*(U1041*M1041+SLOPE_B*S1041^2+2*SLOPE_B*S1041*T1041+SLOPE_A*T1041^2),0)</f>
        <v>0</v>
      </c>
      <c r="X1041" s="27" t="n">
        <f aca="false">IF(M1041&gt;0,D1041*(E1041+2*SLABOVH)*SLAB,0)</f>
        <v>9.99999981784548</v>
      </c>
      <c r="Y1041" s="27" t="n">
        <f aca="false">IF(M1041&gt;0,D1041*PI()*E1041^2/4,0)</f>
        <v>7.85398106184104</v>
      </c>
      <c r="Z1041" s="27" t="n">
        <f aca="false">IF(H1041-E1041&gt;=GWL,99,E1041*(MAX(0,GWL-H1041)*(GAM_S-GAM_W)+MAX(0,NG-MAX(H1041,GWL))*GAM_D)/(GAM_W*PI()*E1041^2/4))</f>
        <v>4.4201271870176</v>
      </c>
      <c r="AA1041" s="27" t="n">
        <f aca="false">IF(I1041-E1041&gt;=GWL,99,E1041*(MAX(0,GWL-I1041)*(GAM_S-GAM_W)+MAX(0,NG-MAX(I1041,GWL))*GAM_D)/(GAM_W*PI()*E1041^2/4))</f>
        <v>4.4201271870176</v>
      </c>
      <c r="AB1041" s="27" t="n">
        <f aca="false">IF(H1041-E1041&gt;=GWL,99,E1041*(MAX(0,GWL-H1041)*(GAM_S-GAM_W)+MAX(0,FL-MAX(H1041,GWL))*GAM_D)/(GAM_W*PI()*E1041^2/4))</f>
        <v>8.39170022349897</v>
      </c>
      <c r="AC1041" s="27" t="n">
        <f aca="false">IF(I1041-E1041&gt;=GWL,99,E1041*(MAX(0,GWL-I1041)*(GAM_S-GAM_W)+MAX(0,FL-MAX(I1041,GWL))*GAM_D)/(GAM_W*PI()*E1041^2/4))</f>
        <v>8.39170022349897</v>
      </c>
    </row>
    <row r="1042" customFormat="false" ht="15" hidden="false" customHeight="false" outlineLevel="0" collapsed="false">
      <c r="A1042" s="25" t="s">
        <v>1594</v>
      </c>
      <c r="B1042" s="25" t="s">
        <v>1642</v>
      </c>
      <c r="C1042" s="25" t="s">
        <v>1649</v>
      </c>
      <c r="D1042" s="26" t="n">
        <v>7.09999999967482</v>
      </c>
      <c r="E1042" s="26" t="n">
        <v>0.999999963579439</v>
      </c>
      <c r="F1042" s="26" t="n">
        <v>-5.39999998178972</v>
      </c>
      <c r="G1042" s="26" t="n">
        <v>-5.39999998178972</v>
      </c>
      <c r="H1042" s="26" t="n">
        <v>-3.90000001821028</v>
      </c>
      <c r="I1042" s="26" t="n">
        <v>-3.90000001821028</v>
      </c>
      <c r="J1042" s="26" t="n">
        <v>11.25</v>
      </c>
      <c r="K1042" s="27" t="n">
        <f aca="false">MIN(F1042,G1042)</f>
        <v>-5.39999998178972</v>
      </c>
      <c r="L1042" s="27" t="n">
        <f aca="false">AVERAGE(F1042,G1042)</f>
        <v>-5.39999998178972</v>
      </c>
      <c r="M1042" s="27" t="n">
        <f aca="false">MAX(0,NG-L1042)</f>
        <v>4.69999998178972</v>
      </c>
      <c r="N1042" s="27" t="n">
        <f aca="false">MAX(0,GWL-K1042)</f>
        <v>3.89999998178972</v>
      </c>
      <c r="O1042" s="27" t="n">
        <f aca="false">MAX(0,NG-MAX(K1042,GWL))</f>
        <v>0.8</v>
      </c>
      <c r="P1042" s="27" t="n">
        <f aca="false">E1042/2+WS+SLOPE_A*O1042+SLOPE_B*N1042</f>
        <v>10.4999999453692</v>
      </c>
      <c r="Q1042" s="28" t="str">
        <f aca="false">IF(AND(P1042&lt;J1042,N1042&lt;=MAXOC),"Open cut","Shoring")</f>
        <v>Shoring</v>
      </c>
      <c r="R1042" s="27" t="n">
        <f aca="false">IF(Q1042="Shoring",D1042,0)</f>
        <v>7.09999999967482</v>
      </c>
      <c r="S1042" s="27" t="n">
        <f aca="false">MAX(0,GWL-L1042)</f>
        <v>3.89999998178972</v>
      </c>
      <c r="T1042" s="27" t="n">
        <f aca="false">MAX(0,NG-MAX(L1042,GWL))</f>
        <v>0.8</v>
      </c>
      <c r="U1042" s="27" t="n">
        <f aca="false">E1042+2*WS</f>
        <v>2.99999996357944</v>
      </c>
      <c r="V1042" s="27" t="n">
        <f aca="false">IF(Q1042="Shoring",D1042*M1042*U1042,0)</f>
        <v>100.109998392182</v>
      </c>
      <c r="W1042" s="27" t="n">
        <f aca="false">IF(Q1042="Open cut",D1042*(U1042*M1042+SLOPE_B*S1042^2+2*SLOPE_B*S1042*T1042+SLOPE_A*T1042^2),0)</f>
        <v>0</v>
      </c>
      <c r="X1042" s="27" t="n">
        <f aca="false">IF(M1042&gt;0,D1042*(E1042+2*SLABOVH)*SLAB,0)</f>
        <v>7.09999987038183</v>
      </c>
      <c r="Y1042" s="27" t="n">
        <f aca="false">IF(M1042&gt;0,D1042*PI()*E1042^2/4,0)</f>
        <v>5.57632655368058</v>
      </c>
      <c r="Z1042" s="27" t="n">
        <f aca="false">IF(H1042-E1042&gt;=GWL,99,E1042*(MAX(0,GWL-H1042)*(GAM_S-GAM_W)+MAX(0,NG-MAX(H1042,GWL))*GAM_D)/(GAM_W*PI()*E1042^2/4))</f>
        <v>4.4201271870176</v>
      </c>
      <c r="AA1042" s="27" t="n">
        <f aca="false">IF(I1042-E1042&gt;=GWL,99,E1042*(MAX(0,GWL-I1042)*(GAM_S-GAM_W)+MAX(0,NG-MAX(I1042,GWL))*GAM_D)/(GAM_W*PI()*E1042^2/4))</f>
        <v>4.4201271870176</v>
      </c>
      <c r="AB1042" s="27" t="n">
        <f aca="false">IF(H1042-E1042&gt;=GWL,99,E1042*(MAX(0,GWL-H1042)*(GAM_S-GAM_W)+MAX(0,FL-MAX(H1042,GWL))*GAM_D)/(GAM_W*PI()*E1042^2/4))</f>
        <v>8.39170022349897</v>
      </c>
      <c r="AC1042" s="27" t="n">
        <f aca="false">IF(I1042-E1042&gt;=GWL,99,E1042*(MAX(0,GWL-I1042)*(GAM_S-GAM_W)+MAX(0,FL-MAX(I1042,GWL))*GAM_D)/(GAM_W*PI()*E1042^2/4))</f>
        <v>8.39170022349897</v>
      </c>
    </row>
    <row r="1043" customFormat="false" ht="15" hidden="false" customHeight="false" outlineLevel="0" collapsed="false">
      <c r="A1043" s="25" t="s">
        <v>1594</v>
      </c>
      <c r="B1043" s="25" t="s">
        <v>1650</v>
      </c>
      <c r="C1043" s="25" t="s">
        <v>1651</v>
      </c>
      <c r="D1043" s="26" t="n">
        <v>2.90000000073496</v>
      </c>
      <c r="E1043" s="26" t="n">
        <v>0.999999963579439</v>
      </c>
      <c r="F1043" s="26" t="n">
        <v>-5.39999998178972</v>
      </c>
      <c r="G1043" s="26" t="n">
        <v>-5.39999998178972</v>
      </c>
      <c r="H1043" s="26" t="n">
        <v>-3.90000001821028</v>
      </c>
      <c r="I1043" s="26" t="n">
        <v>-3.90000001821028</v>
      </c>
      <c r="J1043" s="26" t="n">
        <v>11.94</v>
      </c>
      <c r="K1043" s="27" t="n">
        <f aca="false">MIN(F1043,G1043)</f>
        <v>-5.39999998178972</v>
      </c>
      <c r="L1043" s="27" t="n">
        <f aca="false">AVERAGE(F1043,G1043)</f>
        <v>-5.39999998178972</v>
      </c>
      <c r="M1043" s="27" t="n">
        <f aca="false">MAX(0,NG-L1043)</f>
        <v>4.69999998178972</v>
      </c>
      <c r="N1043" s="27" t="n">
        <f aca="false">MAX(0,GWL-K1043)</f>
        <v>3.89999998178972</v>
      </c>
      <c r="O1043" s="27" t="n">
        <f aca="false">MAX(0,NG-MAX(K1043,GWL))</f>
        <v>0.8</v>
      </c>
      <c r="P1043" s="27" t="n">
        <f aca="false">E1043/2+WS+SLOPE_A*O1043+SLOPE_B*N1043</f>
        <v>10.4999999453692</v>
      </c>
      <c r="Q1043" s="28" t="str">
        <f aca="false">IF(AND(P1043&lt;J1043,N1043&lt;=MAXOC),"Open cut","Shoring")</f>
        <v>Shoring</v>
      </c>
      <c r="R1043" s="27" t="n">
        <f aca="false">IF(Q1043="Shoring",D1043,0)</f>
        <v>2.90000000073496</v>
      </c>
      <c r="S1043" s="27" t="n">
        <f aca="false">MAX(0,GWL-L1043)</f>
        <v>3.89999998178972</v>
      </c>
      <c r="T1043" s="27" t="n">
        <f aca="false">MAX(0,NG-MAX(L1043,GWL))</f>
        <v>0.8</v>
      </c>
      <c r="U1043" s="27" t="n">
        <f aca="false">E1043+2*WS</f>
        <v>2.99999996357944</v>
      </c>
      <c r="V1043" s="27" t="n">
        <f aca="false">IF(Q1043="Shoring",D1043*M1043*U1043,0)</f>
        <v>40.8899993555213</v>
      </c>
      <c r="W1043" s="27" t="n">
        <f aca="false">IF(Q1043="Open cut",D1043*(U1043*M1043+SLOPE_B*S1043^2+2*SLOPE_B*S1043*T1043+SLOPE_A*T1043^2),0)</f>
        <v>0</v>
      </c>
      <c r="X1043" s="27" t="n">
        <f aca="false">IF(M1043&gt;0,D1043*(E1043+2*SLABOVH)*SLAB,0)</f>
        <v>2.89999994792515</v>
      </c>
      <c r="Y1043" s="27" t="n">
        <f aca="false">IF(M1043&gt;0,D1043*PI()*E1043^2/4,0)</f>
        <v>2.27765450852292</v>
      </c>
      <c r="Z1043" s="27" t="n">
        <f aca="false">IF(H1043-E1043&gt;=GWL,99,E1043*(MAX(0,GWL-H1043)*(GAM_S-GAM_W)+MAX(0,NG-MAX(H1043,GWL))*GAM_D)/(GAM_W*PI()*E1043^2/4))</f>
        <v>4.4201271870176</v>
      </c>
      <c r="AA1043" s="27" t="n">
        <f aca="false">IF(I1043-E1043&gt;=GWL,99,E1043*(MAX(0,GWL-I1043)*(GAM_S-GAM_W)+MAX(0,NG-MAX(I1043,GWL))*GAM_D)/(GAM_W*PI()*E1043^2/4))</f>
        <v>4.4201271870176</v>
      </c>
      <c r="AB1043" s="27" t="n">
        <f aca="false">IF(H1043-E1043&gt;=GWL,99,E1043*(MAX(0,GWL-H1043)*(GAM_S-GAM_W)+MAX(0,FL-MAX(H1043,GWL))*GAM_D)/(GAM_W*PI()*E1043^2/4))</f>
        <v>8.39170022349897</v>
      </c>
      <c r="AC1043" s="27" t="n">
        <f aca="false">IF(I1043-E1043&gt;=GWL,99,E1043*(MAX(0,GWL-I1043)*(GAM_S-GAM_W)+MAX(0,FL-MAX(I1043,GWL))*GAM_D)/(GAM_W*PI()*E1043^2/4))</f>
        <v>8.39170022349897</v>
      </c>
    </row>
    <row r="1044" customFormat="false" ht="15" hidden="false" customHeight="false" outlineLevel="0" collapsed="false">
      <c r="A1044" s="25" t="s">
        <v>1594</v>
      </c>
      <c r="B1044" s="25" t="s">
        <v>1650</v>
      </c>
      <c r="C1044" s="25" t="s">
        <v>1652</v>
      </c>
      <c r="D1044" s="26" t="n">
        <v>9.9999999991417</v>
      </c>
      <c r="E1044" s="26" t="n">
        <v>0.999999963579439</v>
      </c>
      <c r="F1044" s="26" t="n">
        <v>-5.39999998178972</v>
      </c>
      <c r="G1044" s="26" t="n">
        <v>-5.39999998178972</v>
      </c>
      <c r="H1044" s="26" t="n">
        <v>-3.90000001821028</v>
      </c>
      <c r="I1044" s="26" t="n">
        <v>-3.90000001821028</v>
      </c>
      <c r="J1044" s="26" t="n">
        <v>12.56</v>
      </c>
      <c r="K1044" s="27" t="n">
        <f aca="false">MIN(F1044,G1044)</f>
        <v>-5.39999998178972</v>
      </c>
      <c r="L1044" s="27" t="n">
        <f aca="false">AVERAGE(F1044,G1044)</f>
        <v>-5.39999998178972</v>
      </c>
      <c r="M1044" s="27" t="n">
        <f aca="false">MAX(0,NG-L1044)</f>
        <v>4.69999998178972</v>
      </c>
      <c r="N1044" s="27" t="n">
        <f aca="false">MAX(0,GWL-K1044)</f>
        <v>3.89999998178972</v>
      </c>
      <c r="O1044" s="27" t="n">
        <f aca="false">MAX(0,NG-MAX(K1044,GWL))</f>
        <v>0.8</v>
      </c>
      <c r="P1044" s="27" t="n">
        <f aca="false">E1044/2+WS+SLOPE_A*O1044+SLOPE_B*N1044</f>
        <v>10.4999999453692</v>
      </c>
      <c r="Q1044" s="28" t="str">
        <f aca="false">IF(AND(P1044&lt;J1044,N1044&lt;=MAXOC),"Open cut","Shoring")</f>
        <v>Shoring</v>
      </c>
      <c r="R1044" s="27" t="n">
        <f aca="false">IF(Q1044="Shoring",D1044,0)</f>
        <v>9.9999999991417</v>
      </c>
      <c r="S1044" s="27" t="n">
        <f aca="false">MAX(0,GWL-L1044)</f>
        <v>3.89999998178972</v>
      </c>
      <c r="T1044" s="27" t="n">
        <f aca="false">MAX(0,NG-MAX(L1044,GWL))</f>
        <v>0.8</v>
      </c>
      <c r="U1044" s="27" t="n">
        <f aca="false">E1044+2*WS</f>
        <v>2.99999996357944</v>
      </c>
      <c r="V1044" s="27" t="n">
        <f aca="false">IF(Q1044="Shoring",D1044*M1044*U1044,0)</f>
        <v>140.999997729823</v>
      </c>
      <c r="W1044" s="27" t="n">
        <f aca="false">IF(Q1044="Open cut",D1044*(U1044*M1044+SLOPE_B*S1044^2+2*SLOPE_B*S1044*T1044+SLOPE_A*T1044^2),0)</f>
        <v>0</v>
      </c>
      <c r="X1044" s="27" t="n">
        <f aca="false">IF(M1044&gt;0,D1044*(E1044+2*SLABOVH)*SLAB,0)</f>
        <v>9.9999998170389</v>
      </c>
      <c r="Y1044" s="27" t="n">
        <f aca="false">IF(M1044&gt;0,D1044*PI()*E1044^2/4,0)</f>
        <v>7.85398106120756</v>
      </c>
      <c r="Z1044" s="27" t="n">
        <f aca="false">IF(H1044-E1044&gt;=GWL,99,E1044*(MAX(0,GWL-H1044)*(GAM_S-GAM_W)+MAX(0,NG-MAX(H1044,GWL))*GAM_D)/(GAM_W*PI()*E1044^2/4))</f>
        <v>4.4201271870176</v>
      </c>
      <c r="AA1044" s="27" t="n">
        <f aca="false">IF(I1044-E1044&gt;=GWL,99,E1044*(MAX(0,GWL-I1044)*(GAM_S-GAM_W)+MAX(0,NG-MAX(I1044,GWL))*GAM_D)/(GAM_W*PI()*E1044^2/4))</f>
        <v>4.4201271870176</v>
      </c>
      <c r="AB1044" s="27" t="n">
        <f aca="false">IF(H1044-E1044&gt;=GWL,99,E1044*(MAX(0,GWL-H1044)*(GAM_S-GAM_W)+MAX(0,FL-MAX(H1044,GWL))*GAM_D)/(GAM_W*PI()*E1044^2/4))</f>
        <v>8.39170022349897</v>
      </c>
      <c r="AC1044" s="27" t="n">
        <f aca="false">IF(I1044-E1044&gt;=GWL,99,E1044*(MAX(0,GWL-I1044)*(GAM_S-GAM_W)+MAX(0,FL-MAX(I1044,GWL))*GAM_D)/(GAM_W*PI()*E1044^2/4))</f>
        <v>8.39170022349897</v>
      </c>
    </row>
    <row r="1045" customFormat="false" ht="15" hidden="false" customHeight="false" outlineLevel="0" collapsed="false">
      <c r="A1045" s="25" t="s">
        <v>1594</v>
      </c>
      <c r="B1045" s="25" t="s">
        <v>1650</v>
      </c>
      <c r="C1045" s="25" t="s">
        <v>1653</v>
      </c>
      <c r="D1045" s="26" t="n">
        <v>8.5405417040687</v>
      </c>
      <c r="E1045" s="26" t="n">
        <v>0.999999963579439</v>
      </c>
      <c r="F1045" s="26" t="n">
        <v>-5.39999998178972</v>
      </c>
      <c r="G1045" s="26" t="n">
        <v>-5.39999998178972</v>
      </c>
      <c r="H1045" s="26" t="n">
        <v>-3.90000001821028</v>
      </c>
      <c r="I1045" s="26" t="n">
        <v>-3.90000001821028</v>
      </c>
      <c r="J1045" s="26" t="n">
        <v>16.11</v>
      </c>
      <c r="K1045" s="27" t="n">
        <f aca="false">MIN(F1045,G1045)</f>
        <v>-5.39999998178972</v>
      </c>
      <c r="L1045" s="27" t="n">
        <f aca="false">AVERAGE(F1045,G1045)</f>
        <v>-5.39999998178972</v>
      </c>
      <c r="M1045" s="27" t="n">
        <f aca="false">MAX(0,NG-L1045)</f>
        <v>4.69999998178972</v>
      </c>
      <c r="N1045" s="27" t="n">
        <f aca="false">MAX(0,GWL-K1045)</f>
        <v>3.89999998178972</v>
      </c>
      <c r="O1045" s="27" t="n">
        <f aca="false">MAX(0,NG-MAX(K1045,GWL))</f>
        <v>0.8</v>
      </c>
      <c r="P1045" s="27" t="n">
        <f aca="false">E1045/2+WS+SLOPE_A*O1045+SLOPE_B*N1045</f>
        <v>10.4999999453692</v>
      </c>
      <c r="Q1045" s="28" t="str">
        <f aca="false">IF(AND(P1045&lt;J1045,N1045&lt;=MAXOC),"Open cut","Shoring")</f>
        <v>Shoring</v>
      </c>
      <c r="R1045" s="27" t="n">
        <f aca="false">IF(Q1045="Shoring",D1045,0)</f>
        <v>8.5405417040687</v>
      </c>
      <c r="S1045" s="27" t="n">
        <f aca="false">MAX(0,GWL-L1045)</f>
        <v>3.89999998178972</v>
      </c>
      <c r="T1045" s="27" t="n">
        <f aca="false">MAX(0,NG-MAX(L1045,GWL))</f>
        <v>0.8</v>
      </c>
      <c r="U1045" s="27" t="n">
        <f aca="false">E1045+2*WS</f>
        <v>2.99999996357944</v>
      </c>
      <c r="V1045" s="27" t="n">
        <f aca="false">IF(Q1045="Shoring",D1045*M1045*U1045,0)</f>
        <v>120.42163609885</v>
      </c>
      <c r="W1045" s="27" t="n">
        <f aca="false">IF(Q1045="Open cut",D1045*(U1045*M1045+SLOPE_B*S1045^2+2*SLOPE_B*S1045*T1045+SLOPE_A*T1045^2),0)</f>
        <v>0</v>
      </c>
      <c r="X1045" s="27" t="n">
        <f aca="false">IF(M1045&gt;0,D1045*(E1045+2*SLABOVH)*SLAB,0)</f>
        <v>8.54054154854304</v>
      </c>
      <c r="Y1045" s="27" t="n">
        <f aca="false">IF(M1045&gt;0,D1045*PI()*E1045^2/4,0)</f>
        <v>6.70772528019661</v>
      </c>
      <c r="Z1045" s="27" t="n">
        <f aca="false">IF(H1045-E1045&gt;=GWL,99,E1045*(MAX(0,GWL-H1045)*(GAM_S-GAM_W)+MAX(0,NG-MAX(H1045,GWL))*GAM_D)/(GAM_W*PI()*E1045^2/4))</f>
        <v>4.4201271870176</v>
      </c>
      <c r="AA1045" s="27" t="n">
        <f aca="false">IF(I1045-E1045&gt;=GWL,99,E1045*(MAX(0,GWL-I1045)*(GAM_S-GAM_W)+MAX(0,NG-MAX(I1045,GWL))*GAM_D)/(GAM_W*PI()*E1045^2/4))</f>
        <v>4.4201271870176</v>
      </c>
      <c r="AB1045" s="27" t="n">
        <f aca="false">IF(H1045-E1045&gt;=GWL,99,E1045*(MAX(0,GWL-H1045)*(GAM_S-GAM_W)+MAX(0,FL-MAX(H1045,GWL))*GAM_D)/(GAM_W*PI()*E1045^2/4))</f>
        <v>8.39170022349897</v>
      </c>
      <c r="AC1045" s="27" t="n">
        <f aca="false">IF(I1045-E1045&gt;=GWL,99,E1045*(MAX(0,GWL-I1045)*(GAM_S-GAM_W)+MAX(0,FL-MAX(I1045,GWL))*GAM_D)/(GAM_W*PI()*E1045^2/4))</f>
        <v>8.39170022349897</v>
      </c>
    </row>
    <row r="1046" customFormat="false" ht="15" hidden="false" customHeight="false" outlineLevel="0" collapsed="false">
      <c r="A1046" s="25" t="s">
        <v>1594</v>
      </c>
      <c r="B1046" s="25" t="s">
        <v>1650</v>
      </c>
      <c r="C1046" s="25" t="s">
        <v>1654</v>
      </c>
      <c r="D1046" s="26" t="n">
        <v>0.300000000026758</v>
      </c>
      <c r="E1046" s="26" t="n">
        <v>0.99999865337797</v>
      </c>
      <c r="F1046" s="26" t="n">
        <v>-5.39999932668899</v>
      </c>
      <c r="G1046" s="26" t="n">
        <v>-5.39999932668899</v>
      </c>
      <c r="H1046" s="26" t="n">
        <v>-3.90000067331102</v>
      </c>
      <c r="I1046" s="26" t="n">
        <v>-3.90000067331102</v>
      </c>
      <c r="J1046" s="26" t="n">
        <v>20.55</v>
      </c>
      <c r="K1046" s="27" t="n">
        <f aca="false">MIN(F1046,G1046)</f>
        <v>-5.39999932668899</v>
      </c>
      <c r="L1046" s="27" t="n">
        <f aca="false">AVERAGE(F1046,G1046)</f>
        <v>-5.39999932668899</v>
      </c>
      <c r="M1046" s="27" t="n">
        <f aca="false">MAX(0,NG-L1046)</f>
        <v>4.69999932668899</v>
      </c>
      <c r="N1046" s="27" t="n">
        <f aca="false">MAX(0,GWL-K1046)</f>
        <v>3.89999932668899</v>
      </c>
      <c r="O1046" s="27" t="n">
        <f aca="false">MAX(0,NG-MAX(K1046,GWL))</f>
        <v>0.8</v>
      </c>
      <c r="P1046" s="27" t="n">
        <f aca="false">E1046/2+WS+SLOPE_A*O1046+SLOPE_B*N1046</f>
        <v>10.499997980067</v>
      </c>
      <c r="Q1046" s="28" t="str">
        <f aca="false">IF(AND(P1046&lt;J1046,N1046&lt;=MAXOC),"Open cut","Shoring")</f>
        <v>Shoring</v>
      </c>
      <c r="R1046" s="27" t="n">
        <f aca="false">IF(Q1046="Shoring",D1046,0)</f>
        <v>0.300000000026758</v>
      </c>
      <c r="S1046" s="27" t="n">
        <f aca="false">MAX(0,GWL-L1046)</f>
        <v>3.89999932668899</v>
      </c>
      <c r="T1046" s="27" t="n">
        <f aca="false">MAX(0,NG-MAX(L1046,GWL))</f>
        <v>0.8</v>
      </c>
      <c r="U1046" s="27" t="n">
        <f aca="false">E1046+2*WS</f>
        <v>2.99999865337797</v>
      </c>
      <c r="V1046" s="27" t="n">
        <f aca="false">IF(Q1046="Shoring",D1046*M1046*U1046,0)</f>
        <v>4.22999749566058</v>
      </c>
      <c r="W1046" s="27" t="n">
        <f aca="false">IF(Q1046="Open cut",D1046*(U1046*M1046+SLOPE_B*S1046^2+2*SLOPE_B*S1046*T1046+SLOPE_A*T1046^2),0)</f>
        <v>0</v>
      </c>
      <c r="X1046" s="27" t="n">
        <f aca="false">IF(M1046&gt;0,D1046*(E1046+2*SLABOVH)*SLAB,0)</f>
        <v>0.299999798033453</v>
      </c>
      <c r="Y1046" s="27" t="n">
        <f aca="false">IF(M1046&gt;0,D1046*PI()*E1046^2/4,0)</f>
        <v>0.235618814459995</v>
      </c>
      <c r="Z1046" s="27" t="n">
        <f aca="false">IF(H1046-E1046&gt;=GWL,99,E1046*(MAX(0,GWL-H1046)*(GAM_S-GAM_W)+MAX(0,NG-MAX(H1046,GWL))*GAM_D)/(GAM_W*PI()*E1046^2/4))</f>
        <v>4.42013367464232</v>
      </c>
      <c r="AA1046" s="27" t="n">
        <f aca="false">IF(I1046-E1046&gt;=GWL,99,E1046*(MAX(0,GWL-I1046)*(GAM_S-GAM_W)+MAX(0,NG-MAX(I1046,GWL))*GAM_D)/(GAM_W*PI()*E1046^2/4))</f>
        <v>4.42013367464232</v>
      </c>
      <c r="AB1046" s="27" t="n">
        <f aca="false">IF(H1046-E1046&gt;=GWL,99,E1046*(MAX(0,GWL-H1046)*(GAM_S-GAM_W)+MAX(0,FL-MAX(H1046,GWL))*GAM_D)/(GAM_W*PI()*E1046^2/4))</f>
        <v>8.39171191469153</v>
      </c>
      <c r="AC1046" s="27" t="n">
        <f aca="false">IF(I1046-E1046&gt;=GWL,99,E1046*(MAX(0,GWL-I1046)*(GAM_S-GAM_W)+MAX(0,FL-MAX(I1046,GWL))*GAM_D)/(GAM_W*PI()*E1046^2/4))</f>
        <v>8.39171191469153</v>
      </c>
    </row>
    <row r="1047" customFormat="false" ht="15" hidden="false" customHeight="false" outlineLevel="0" collapsed="false">
      <c r="A1047" s="25" t="s">
        <v>1594</v>
      </c>
      <c r="B1047" s="25" t="s">
        <v>1650</v>
      </c>
      <c r="C1047" s="25" t="s">
        <v>1655</v>
      </c>
      <c r="D1047" s="26" t="n">
        <v>1.15945829637905</v>
      </c>
      <c r="E1047" s="26" t="n">
        <v>1.39999518013111</v>
      </c>
      <c r="F1047" s="26" t="n">
        <v>-5.59999759006555</v>
      </c>
      <c r="G1047" s="26" t="n">
        <v>-5.59999759006555</v>
      </c>
      <c r="H1047" s="26" t="n">
        <v>-3.70000240993445</v>
      </c>
      <c r="I1047" s="26" t="n">
        <v>-3.70000240993445</v>
      </c>
      <c r="J1047" s="26" t="n">
        <v>20.73</v>
      </c>
      <c r="K1047" s="27" t="n">
        <f aca="false">MIN(F1047,G1047)</f>
        <v>-5.59999759006555</v>
      </c>
      <c r="L1047" s="27" t="n">
        <f aca="false">AVERAGE(F1047,G1047)</f>
        <v>-5.59999759006555</v>
      </c>
      <c r="M1047" s="27" t="n">
        <f aca="false">MAX(0,NG-L1047)</f>
        <v>4.89999759006555</v>
      </c>
      <c r="N1047" s="27" t="n">
        <f aca="false">MAX(0,GWL-K1047)</f>
        <v>4.09999759006555</v>
      </c>
      <c r="O1047" s="27" t="n">
        <f aca="false">MAX(0,NG-MAX(K1047,GWL))</f>
        <v>0.8</v>
      </c>
      <c r="P1047" s="27" t="n">
        <f aca="false">E1047/2+WS+SLOPE_A*O1047+SLOPE_B*N1047</f>
        <v>11.0999927701967</v>
      </c>
      <c r="Q1047" s="28" t="str">
        <f aca="false">IF(AND(P1047&lt;J1047,N1047&lt;=MAXOC),"Open cut","Shoring")</f>
        <v>Shoring</v>
      </c>
      <c r="R1047" s="27" t="n">
        <f aca="false">IF(Q1047="Shoring",D1047,0)</f>
        <v>1.15945829637905</v>
      </c>
      <c r="S1047" s="27" t="n">
        <f aca="false">MAX(0,GWL-L1047)</f>
        <v>4.09999759006555</v>
      </c>
      <c r="T1047" s="27" t="n">
        <f aca="false">MAX(0,NG-MAX(L1047,GWL))</f>
        <v>0.8</v>
      </c>
      <c r="U1047" s="27" t="n">
        <f aca="false">E1047+2*WS</f>
        <v>3.39999518013111</v>
      </c>
      <c r="V1047" s="27" t="n">
        <f aca="false">IF(Q1047="Shoring",D1047*M1047*U1047,0)</f>
        <v>19.3165383340044</v>
      </c>
      <c r="W1047" s="27" t="n">
        <f aca="false">IF(Q1047="Open cut",D1047*(U1047*M1047+SLOPE_B*S1047^2+2*SLOPE_B*S1047*T1047+SLOPE_A*T1047^2),0)</f>
        <v>0</v>
      </c>
      <c r="X1047" s="27" t="n">
        <f aca="false">IF(M1047&gt;0,D1047*(E1047+2*SLABOVH)*SLAB,0)</f>
        <v>1.39134716143637</v>
      </c>
      <c r="Y1047" s="27" t="n">
        <f aca="false">IF(M1047&gt;0,D1047*PI()*E1047^2/4,0)</f>
        <v>1.78483508676997</v>
      </c>
      <c r="Z1047" s="27" t="n">
        <f aca="false">IF(H1047-E1047&gt;=GWL,99,E1047*(MAX(0,GWL-H1047)*(GAM_S-GAM_W)+MAX(0,NG-MAX(H1047,GWL))*GAM_D)/(GAM_W*PI()*E1047^2/4))</f>
        <v>3.00539149521501</v>
      </c>
      <c r="AA1047" s="27" t="n">
        <f aca="false">IF(I1047-E1047&gt;=GWL,99,E1047*(MAX(0,GWL-I1047)*(GAM_S-GAM_W)+MAX(0,NG-MAX(I1047,GWL))*GAM_D)/(GAM_W*PI()*E1047^2/4))</f>
        <v>3.00539149521501</v>
      </c>
      <c r="AB1047" s="27" t="n">
        <f aca="false">IF(H1047-E1047&gt;=GWL,99,E1047*(MAX(0,GWL-H1047)*(GAM_S-GAM_W)+MAX(0,FL-MAX(H1047,GWL))*GAM_D)/(GAM_W*PI()*E1047^2/4))</f>
        <v>5.84223904169194</v>
      </c>
      <c r="AC1047" s="27" t="n">
        <f aca="false">IF(I1047-E1047&gt;=GWL,99,E1047*(MAX(0,GWL-I1047)*(GAM_S-GAM_W)+MAX(0,FL-MAX(I1047,GWL))*GAM_D)/(GAM_W*PI()*E1047^2/4))</f>
        <v>5.84223904169194</v>
      </c>
    </row>
    <row r="1048" customFormat="false" ht="15" hidden="false" customHeight="false" outlineLevel="0" collapsed="false">
      <c r="A1048" s="25" t="s">
        <v>1594</v>
      </c>
      <c r="B1048" s="25" t="s">
        <v>1650</v>
      </c>
      <c r="C1048" s="25" t="s">
        <v>1656</v>
      </c>
      <c r="D1048" s="26" t="n">
        <v>0.0803121991635303</v>
      </c>
      <c r="E1048" s="26" t="n">
        <v>1.39999518013111</v>
      </c>
      <c r="F1048" s="26" t="n">
        <v>-5.59999759006555</v>
      </c>
      <c r="G1048" s="26" t="n">
        <v>-5.59999759006555</v>
      </c>
      <c r="H1048" s="26" t="n">
        <v>-3.70000240993445</v>
      </c>
      <c r="I1048" s="26" t="n">
        <v>-3.70000240993445</v>
      </c>
      <c r="J1048" s="26" t="n">
        <v>21.42</v>
      </c>
      <c r="K1048" s="27" t="n">
        <f aca="false">MIN(F1048,G1048)</f>
        <v>-5.59999759006555</v>
      </c>
      <c r="L1048" s="27" t="n">
        <f aca="false">AVERAGE(F1048,G1048)</f>
        <v>-5.59999759006555</v>
      </c>
      <c r="M1048" s="27" t="n">
        <f aca="false">MAX(0,NG-L1048)</f>
        <v>4.89999759006555</v>
      </c>
      <c r="N1048" s="27" t="n">
        <f aca="false">MAX(0,GWL-K1048)</f>
        <v>4.09999759006555</v>
      </c>
      <c r="O1048" s="27" t="n">
        <f aca="false">MAX(0,NG-MAX(K1048,GWL))</f>
        <v>0.8</v>
      </c>
      <c r="P1048" s="27" t="n">
        <f aca="false">E1048/2+WS+SLOPE_A*O1048+SLOPE_B*N1048</f>
        <v>11.0999927701967</v>
      </c>
      <c r="Q1048" s="28" t="str">
        <f aca="false">IF(AND(P1048&lt;J1048,N1048&lt;=MAXOC),"Open cut","Shoring")</f>
        <v>Shoring</v>
      </c>
      <c r="R1048" s="27" t="n">
        <f aca="false">IF(Q1048="Shoring",D1048,0)</f>
        <v>0.0803121991635303</v>
      </c>
      <c r="S1048" s="27" t="n">
        <f aca="false">MAX(0,GWL-L1048)</f>
        <v>4.09999759006555</v>
      </c>
      <c r="T1048" s="27" t="n">
        <f aca="false">MAX(0,NG-MAX(L1048,GWL))</f>
        <v>0.8</v>
      </c>
      <c r="U1048" s="27" t="n">
        <f aca="false">E1048+2*WS</f>
        <v>3.39999518013111</v>
      </c>
      <c r="V1048" s="27" t="n">
        <f aca="false">IF(Q1048="Shoring",D1048*M1048*U1048,0)</f>
        <v>1.33799868324316</v>
      </c>
      <c r="W1048" s="27" t="n">
        <f aca="false">IF(Q1048="Open cut",D1048*(U1048*M1048+SLOPE_B*S1048^2+2*SLOPE_B*S1048*T1048+SLOPE_A*T1048^2),0)</f>
        <v>0</v>
      </c>
      <c r="X1048" s="27" t="n">
        <f aca="false">IF(M1048&gt;0,D1048*(E1048+2*SLABOVH)*SLAB,0)</f>
        <v>0.0963744454491011</v>
      </c>
      <c r="Y1048" s="27" t="n">
        <f aca="false">IF(M1048&gt;0,D1048*PI()*E1048^2/4,0)</f>
        <v>0.123630174030739</v>
      </c>
      <c r="Z1048" s="27" t="n">
        <f aca="false">IF(H1048-E1048&gt;=GWL,99,E1048*(MAX(0,GWL-H1048)*(GAM_S-GAM_W)+MAX(0,NG-MAX(H1048,GWL))*GAM_D)/(GAM_W*PI()*E1048^2/4))</f>
        <v>3.00539149521501</v>
      </c>
      <c r="AA1048" s="27" t="n">
        <f aca="false">IF(I1048-E1048&gt;=GWL,99,E1048*(MAX(0,GWL-I1048)*(GAM_S-GAM_W)+MAX(0,NG-MAX(I1048,GWL))*GAM_D)/(GAM_W*PI()*E1048^2/4))</f>
        <v>3.00539149521501</v>
      </c>
      <c r="AB1048" s="27" t="n">
        <f aca="false">IF(H1048-E1048&gt;=GWL,99,E1048*(MAX(0,GWL-H1048)*(GAM_S-GAM_W)+MAX(0,FL-MAX(H1048,GWL))*GAM_D)/(GAM_W*PI()*E1048^2/4))</f>
        <v>5.84223904169194</v>
      </c>
      <c r="AC1048" s="27" t="n">
        <f aca="false">IF(I1048-E1048&gt;=GWL,99,E1048*(MAX(0,GWL-I1048)*(GAM_S-GAM_W)+MAX(0,FL-MAX(I1048,GWL))*GAM_D)/(GAM_W*PI()*E1048^2/4))</f>
        <v>5.84223904169194</v>
      </c>
    </row>
    <row r="1049" customFormat="false" ht="15" hidden="false" customHeight="false" outlineLevel="0" collapsed="false">
      <c r="A1049" s="25" t="s">
        <v>1594</v>
      </c>
      <c r="B1049" s="25" t="s">
        <v>1650</v>
      </c>
      <c r="C1049" s="25" t="s">
        <v>1657</v>
      </c>
      <c r="D1049" s="26" t="n">
        <v>1.01199000006768</v>
      </c>
      <c r="E1049" s="26" t="n">
        <v>1.39999518013111</v>
      </c>
      <c r="F1049" s="26" t="n">
        <v>-5.59999759006555</v>
      </c>
      <c r="G1049" s="26" t="n">
        <v>-5.59999759006555</v>
      </c>
      <c r="H1049" s="26" t="n">
        <v>-3.70000240993445</v>
      </c>
      <c r="I1049" s="26" t="n">
        <v>-3.70000240993445</v>
      </c>
      <c r="J1049" s="26" t="n">
        <v>21.46</v>
      </c>
      <c r="K1049" s="27" t="n">
        <f aca="false">MIN(F1049,G1049)</f>
        <v>-5.59999759006555</v>
      </c>
      <c r="L1049" s="27" t="n">
        <f aca="false">AVERAGE(F1049,G1049)</f>
        <v>-5.59999759006555</v>
      </c>
      <c r="M1049" s="27" t="n">
        <f aca="false">MAX(0,NG-L1049)</f>
        <v>4.89999759006555</v>
      </c>
      <c r="N1049" s="27" t="n">
        <f aca="false">MAX(0,GWL-K1049)</f>
        <v>4.09999759006555</v>
      </c>
      <c r="O1049" s="27" t="n">
        <f aca="false">MAX(0,NG-MAX(K1049,GWL))</f>
        <v>0.8</v>
      </c>
      <c r="P1049" s="27" t="n">
        <f aca="false">E1049/2+WS+SLOPE_A*O1049+SLOPE_B*N1049</f>
        <v>11.0999927701967</v>
      </c>
      <c r="Q1049" s="28" t="str">
        <f aca="false">IF(AND(P1049&lt;J1049,N1049&lt;=MAXOC),"Open cut","Shoring")</f>
        <v>Shoring</v>
      </c>
      <c r="R1049" s="27" t="n">
        <f aca="false">IF(Q1049="Shoring",D1049,0)</f>
        <v>1.01199000006768</v>
      </c>
      <c r="S1049" s="27" t="n">
        <f aca="false">MAX(0,GWL-L1049)</f>
        <v>4.09999759006555</v>
      </c>
      <c r="T1049" s="27" t="n">
        <f aca="false">MAX(0,NG-MAX(L1049,GWL))</f>
        <v>0.8</v>
      </c>
      <c r="U1049" s="27" t="n">
        <f aca="false">E1049+2*WS</f>
        <v>3.39999518013111</v>
      </c>
      <c r="V1049" s="27" t="n">
        <f aca="false">IF(Q1049="Shoring",D1049*M1049*U1049,0)</f>
        <v>16.859721208589</v>
      </c>
      <c r="W1049" s="27" t="n">
        <f aca="false">IF(Q1049="Open cut",D1049*(U1049*M1049+SLOPE_B*S1049^2+2*SLOPE_B*S1049*T1049+SLOPE_A*T1049^2),0)</f>
        <v>0</v>
      </c>
      <c r="X1049" s="27" t="n">
        <f aca="false">IF(M1049&gt;0,D1049*(E1049+2*SLABOVH)*SLAB,0)</f>
        <v>1.21438556125165</v>
      </c>
      <c r="Y1049" s="27" t="n">
        <f aca="false">IF(M1049&gt;0,D1049*PI()*E1049^2/4,0)</f>
        <v>1.5578268448481</v>
      </c>
      <c r="Z1049" s="27" t="n">
        <f aca="false">IF(H1049-E1049&gt;=GWL,99,E1049*(MAX(0,GWL-H1049)*(GAM_S-GAM_W)+MAX(0,NG-MAX(H1049,GWL))*GAM_D)/(GAM_W*PI()*E1049^2/4))</f>
        <v>3.00539149521501</v>
      </c>
      <c r="AA1049" s="27" t="n">
        <f aca="false">IF(I1049-E1049&gt;=GWL,99,E1049*(MAX(0,GWL-I1049)*(GAM_S-GAM_W)+MAX(0,NG-MAX(I1049,GWL))*GAM_D)/(GAM_W*PI()*E1049^2/4))</f>
        <v>3.00539149521501</v>
      </c>
      <c r="AB1049" s="27" t="n">
        <f aca="false">IF(H1049-E1049&gt;=GWL,99,E1049*(MAX(0,GWL-H1049)*(GAM_S-GAM_W)+MAX(0,FL-MAX(H1049,GWL))*GAM_D)/(GAM_W*PI()*E1049^2/4))</f>
        <v>5.84223904169194</v>
      </c>
      <c r="AC1049" s="27" t="n">
        <f aca="false">IF(I1049-E1049&gt;=GWL,99,E1049*(MAX(0,GWL-I1049)*(GAM_S-GAM_W)+MAX(0,FL-MAX(I1049,GWL))*GAM_D)/(GAM_W*PI()*E1049^2/4))</f>
        <v>5.84223904169194</v>
      </c>
    </row>
    <row r="1050" customFormat="false" ht="15" hidden="false" customHeight="false" outlineLevel="0" collapsed="false">
      <c r="A1050" s="25" t="s">
        <v>1594</v>
      </c>
      <c r="B1050" s="25" t="s">
        <v>1650</v>
      </c>
      <c r="C1050" s="25" t="s">
        <v>1658</v>
      </c>
      <c r="D1050" s="26" t="n">
        <v>1.67278636062795</v>
      </c>
      <c r="E1050" s="26" t="n">
        <v>0.999995320065</v>
      </c>
      <c r="F1050" s="26" t="n">
        <v>-5.3999976600325</v>
      </c>
      <c r="G1050" s="26" t="n">
        <v>-5.3999976600325</v>
      </c>
      <c r="H1050" s="26" t="n">
        <v>-3.9000023399675</v>
      </c>
      <c r="I1050" s="26" t="n">
        <v>-3.9000023399675</v>
      </c>
      <c r="J1050" s="26" t="n">
        <v>20.77</v>
      </c>
      <c r="K1050" s="27" t="n">
        <f aca="false">MIN(F1050,G1050)</f>
        <v>-5.3999976600325</v>
      </c>
      <c r="L1050" s="27" t="n">
        <f aca="false">AVERAGE(F1050,G1050)</f>
        <v>-5.3999976600325</v>
      </c>
      <c r="M1050" s="27" t="n">
        <f aca="false">MAX(0,NG-L1050)</f>
        <v>4.6999976600325</v>
      </c>
      <c r="N1050" s="27" t="n">
        <f aca="false">MAX(0,GWL-K1050)</f>
        <v>3.8999976600325</v>
      </c>
      <c r="O1050" s="27" t="n">
        <f aca="false">MAX(0,NG-MAX(K1050,GWL))</f>
        <v>0.8</v>
      </c>
      <c r="P1050" s="27" t="n">
        <f aca="false">E1050/2+WS+SLOPE_A*O1050+SLOPE_B*N1050</f>
        <v>10.4999929800975</v>
      </c>
      <c r="Q1050" s="28" t="str">
        <f aca="false">IF(AND(P1050&lt;J1050,N1050&lt;=MAXOC),"Open cut","Shoring")</f>
        <v>Shoring</v>
      </c>
      <c r="R1050" s="27" t="n">
        <f aca="false">IF(Q1050="Shoring",D1050,0)</f>
        <v>1.67278636062795</v>
      </c>
      <c r="S1050" s="27" t="n">
        <f aca="false">MAX(0,GWL-L1050)</f>
        <v>3.8999976600325</v>
      </c>
      <c r="T1050" s="27" t="n">
        <f aca="false">MAX(0,NG-MAX(L1050,GWL))</f>
        <v>0.8</v>
      </c>
      <c r="U1050" s="27" t="n">
        <f aca="false">E1050+2*WS</f>
        <v>2.999995320065</v>
      </c>
      <c r="V1050" s="27" t="n">
        <f aca="false">IF(Q1050="Shoring",D1050*M1050*U1050,0)</f>
        <v>23.5862391479776</v>
      </c>
      <c r="W1050" s="27" t="n">
        <f aca="false">IF(Q1050="Open cut",D1050*(U1050*M1050+SLOPE_B*S1050^2+2*SLOPE_B*S1050*T1050+SLOPE_A*T1050^2),0)</f>
        <v>0</v>
      </c>
      <c r="X1050" s="27" t="n">
        <f aca="false">IF(M1050&gt;0,D1050*(E1050+2*SLABOVH)*SLAB,0)</f>
        <v>1.67278244636224</v>
      </c>
      <c r="Y1050" s="27" t="n">
        <f aca="false">IF(M1050&gt;0,D1050*PI()*E1050^2/4,0)</f>
        <v>1.31379103839385</v>
      </c>
      <c r="Z1050" s="27" t="n">
        <f aca="false">IF(H1050-E1050&gt;=GWL,99,E1050*(MAX(0,GWL-H1050)*(GAM_S-GAM_W)+MAX(0,NG-MAX(H1050,GWL))*GAM_D)/(GAM_W*PI()*E1050^2/4))</f>
        <v>4.42015018003066</v>
      </c>
      <c r="AA1050" s="27" t="n">
        <f aca="false">IF(I1050-E1050&gt;=GWL,99,E1050*(MAX(0,GWL-I1050)*(GAM_S-GAM_W)+MAX(0,NG-MAX(I1050,GWL))*GAM_D)/(GAM_W*PI()*E1050^2/4))</f>
        <v>4.42015018003066</v>
      </c>
      <c r="AB1050" s="27" t="n">
        <f aca="false">IF(H1050-E1050&gt;=GWL,99,E1050*(MAX(0,GWL-H1050)*(GAM_S-GAM_W)+MAX(0,FL-MAX(H1050,GWL))*GAM_D)/(GAM_W*PI()*E1050^2/4))</f>
        <v>8.39174165865508</v>
      </c>
      <c r="AC1050" s="27" t="n">
        <f aca="false">IF(I1050-E1050&gt;=GWL,99,E1050*(MAX(0,GWL-I1050)*(GAM_S-GAM_W)+MAX(0,FL-MAX(I1050,GWL))*GAM_D)/(GAM_W*PI()*E1050^2/4))</f>
        <v>8.39174165865508</v>
      </c>
    </row>
    <row r="1051" customFormat="false" ht="15" hidden="false" customHeight="false" outlineLevel="0" collapsed="false">
      <c r="A1051" s="25" t="s">
        <v>1594</v>
      </c>
      <c r="B1051" s="25" t="s">
        <v>1659</v>
      </c>
      <c r="C1051" s="25" t="s">
        <v>1660</v>
      </c>
      <c r="D1051" s="26" t="n">
        <v>6.38641999977957</v>
      </c>
      <c r="E1051" s="26" t="n">
        <v>0.999995320249939</v>
      </c>
      <c r="F1051" s="26" t="n">
        <v>-5.39999766012497</v>
      </c>
      <c r="G1051" s="26" t="n">
        <v>-5.39999766012497</v>
      </c>
      <c r="H1051" s="26" t="n">
        <v>-3.90000233987503</v>
      </c>
      <c r="I1051" s="26" t="n">
        <v>-3.90000233987503</v>
      </c>
      <c r="J1051" s="26" t="n">
        <v>16</v>
      </c>
      <c r="K1051" s="27" t="n">
        <f aca="false">MIN(F1051,G1051)</f>
        <v>-5.39999766012497</v>
      </c>
      <c r="L1051" s="27" t="n">
        <f aca="false">AVERAGE(F1051,G1051)</f>
        <v>-5.39999766012497</v>
      </c>
      <c r="M1051" s="27" t="n">
        <f aca="false">MAX(0,NG-L1051)</f>
        <v>4.69999766012497</v>
      </c>
      <c r="N1051" s="27" t="n">
        <f aca="false">MAX(0,GWL-K1051)</f>
        <v>3.89999766012497</v>
      </c>
      <c r="O1051" s="27" t="n">
        <f aca="false">MAX(0,NG-MAX(K1051,GWL))</f>
        <v>0.8</v>
      </c>
      <c r="P1051" s="27" t="n">
        <f aca="false">E1051/2+WS+SLOPE_A*O1051+SLOPE_B*N1051</f>
        <v>10.4999929803749</v>
      </c>
      <c r="Q1051" s="28" t="str">
        <f aca="false">IF(AND(P1051&lt;J1051,N1051&lt;=MAXOC),"Open cut","Shoring")</f>
        <v>Shoring</v>
      </c>
      <c r="R1051" s="27" t="n">
        <f aca="false">IF(Q1051="Shoring",D1051,0)</f>
        <v>6.38641999977957</v>
      </c>
      <c r="S1051" s="27" t="n">
        <f aca="false">MAX(0,GWL-L1051)</f>
        <v>3.89999766012497</v>
      </c>
      <c r="T1051" s="27" t="n">
        <f aca="false">MAX(0,NG-MAX(L1051,GWL))</f>
        <v>0.8</v>
      </c>
      <c r="U1051" s="27" t="n">
        <f aca="false">E1051+2*WS</f>
        <v>2.99999532024994</v>
      </c>
      <c r="V1051" s="27" t="n">
        <f aca="false">IF(Q1051="Shoring",D1051*M1051*U1051,0)</f>
        <v>90.0483366984957</v>
      </c>
      <c r="W1051" s="27" t="n">
        <f aca="false">IF(Q1051="Open cut",D1051*(U1051*M1051+SLOPE_B*S1051^2+2*SLOPE_B*S1051*T1051+SLOPE_A*T1051^2),0)</f>
        <v>0</v>
      </c>
      <c r="X1051" s="27" t="n">
        <f aca="false">IF(M1051&gt;0,D1051*(E1051+2*SLABOVH)*SLAB,0)</f>
        <v>6.38640505635488</v>
      </c>
      <c r="Y1051" s="27" t="n">
        <f aca="false">IF(M1051&gt;0,D1051*PI()*E1051^2/4,0)</f>
        <v>5.01583559246822</v>
      </c>
      <c r="Z1051" s="27" t="n">
        <f aca="false">IF(H1051-E1051&gt;=GWL,99,E1051*(MAX(0,GWL-H1051)*(GAM_S-GAM_W)+MAX(0,NG-MAX(H1051,GWL))*GAM_D)/(GAM_W*PI()*E1051^2/4))</f>
        <v>4.4201501791149</v>
      </c>
      <c r="AA1051" s="27" t="n">
        <f aca="false">IF(I1051-E1051&gt;=GWL,99,E1051*(MAX(0,GWL-I1051)*(GAM_S-GAM_W)+MAX(0,NG-MAX(I1051,GWL))*GAM_D)/(GAM_W*PI()*E1051^2/4))</f>
        <v>4.4201501791149</v>
      </c>
      <c r="AB1051" s="27" t="n">
        <f aca="false">IF(H1051-E1051&gt;=GWL,99,E1051*(MAX(0,GWL-H1051)*(GAM_S-GAM_W)+MAX(0,FL-MAX(H1051,GWL))*GAM_D)/(GAM_W*PI()*E1051^2/4))</f>
        <v>8.39174165700482</v>
      </c>
      <c r="AC1051" s="27" t="n">
        <f aca="false">IF(I1051-E1051&gt;=GWL,99,E1051*(MAX(0,GWL-I1051)*(GAM_S-GAM_W)+MAX(0,FL-MAX(I1051,GWL))*GAM_D)/(GAM_W*PI()*E1051^2/4))</f>
        <v>8.39174165700482</v>
      </c>
    </row>
    <row r="1052" customFormat="false" ht="15" hidden="false" customHeight="false" outlineLevel="0" collapsed="false">
      <c r="A1052" s="25" t="s">
        <v>1594</v>
      </c>
      <c r="B1052" s="25" t="s">
        <v>1659</v>
      </c>
      <c r="C1052" s="25" t="s">
        <v>1661</v>
      </c>
      <c r="D1052" s="26" t="n">
        <v>0.369650000059222</v>
      </c>
      <c r="E1052" s="26" t="n">
        <v>0.999995320249939</v>
      </c>
      <c r="F1052" s="26" t="n">
        <v>-5.39999766012497</v>
      </c>
      <c r="G1052" s="26" t="n">
        <v>-5.39999766012497</v>
      </c>
      <c r="H1052" s="26" t="n">
        <v>-3.90000233987503</v>
      </c>
      <c r="I1052" s="26" t="n">
        <v>-3.90000233987503</v>
      </c>
      <c r="J1052" s="26" t="n">
        <v>15.74</v>
      </c>
      <c r="K1052" s="27" t="n">
        <f aca="false">MIN(F1052,G1052)</f>
        <v>-5.39999766012497</v>
      </c>
      <c r="L1052" s="27" t="n">
        <f aca="false">AVERAGE(F1052,G1052)</f>
        <v>-5.39999766012497</v>
      </c>
      <c r="M1052" s="27" t="n">
        <f aca="false">MAX(0,NG-L1052)</f>
        <v>4.69999766012497</v>
      </c>
      <c r="N1052" s="27" t="n">
        <f aca="false">MAX(0,GWL-K1052)</f>
        <v>3.89999766012497</v>
      </c>
      <c r="O1052" s="27" t="n">
        <f aca="false">MAX(0,NG-MAX(K1052,GWL))</f>
        <v>0.8</v>
      </c>
      <c r="P1052" s="27" t="n">
        <f aca="false">E1052/2+WS+SLOPE_A*O1052+SLOPE_B*N1052</f>
        <v>10.4999929803749</v>
      </c>
      <c r="Q1052" s="28" t="str">
        <f aca="false">IF(AND(P1052&lt;J1052,N1052&lt;=MAXOC),"Open cut","Shoring")</f>
        <v>Shoring</v>
      </c>
      <c r="R1052" s="27" t="n">
        <f aca="false">IF(Q1052="Shoring",D1052,0)</f>
        <v>0.369650000059222</v>
      </c>
      <c r="S1052" s="27" t="n">
        <f aca="false">MAX(0,GWL-L1052)</f>
        <v>3.89999766012497</v>
      </c>
      <c r="T1052" s="27" t="n">
        <f aca="false">MAX(0,NG-MAX(L1052,GWL))</f>
        <v>0.8</v>
      </c>
      <c r="U1052" s="27" t="n">
        <f aca="false">E1052+2*WS</f>
        <v>2.99999532024994</v>
      </c>
      <c r="V1052" s="27" t="n">
        <f aca="false">IF(Q1052="Shoring",D1052*M1052*U1052,0)</f>
        <v>5.21205427564749</v>
      </c>
      <c r="W1052" s="27" t="n">
        <f aca="false">IF(Q1052="Open cut",D1052*(U1052*M1052+SLOPE_B*S1052^2+2*SLOPE_B*S1052*T1052+SLOPE_A*T1052^2),0)</f>
        <v>0</v>
      </c>
      <c r="X1052" s="27" t="n">
        <f aca="false">IF(M1052&gt;0,D1052*(E1052+2*SLABOVH)*SLAB,0)</f>
        <v>0.369649135124417</v>
      </c>
      <c r="Y1052" s="27" t="n">
        <f aca="false">IF(M1052&gt;0,D1052*PI()*E1052^2/4,0)</f>
        <v>0.290319713879908</v>
      </c>
      <c r="Z1052" s="27" t="n">
        <f aca="false">IF(H1052-E1052&gt;=GWL,99,E1052*(MAX(0,GWL-H1052)*(GAM_S-GAM_W)+MAX(0,NG-MAX(H1052,GWL))*GAM_D)/(GAM_W*PI()*E1052^2/4))</f>
        <v>4.4201501791149</v>
      </c>
      <c r="AA1052" s="27" t="n">
        <f aca="false">IF(I1052-E1052&gt;=GWL,99,E1052*(MAX(0,GWL-I1052)*(GAM_S-GAM_W)+MAX(0,NG-MAX(I1052,GWL))*GAM_D)/(GAM_W*PI()*E1052^2/4))</f>
        <v>4.4201501791149</v>
      </c>
      <c r="AB1052" s="27" t="n">
        <f aca="false">IF(H1052-E1052&gt;=GWL,99,E1052*(MAX(0,GWL-H1052)*(GAM_S-GAM_W)+MAX(0,FL-MAX(H1052,GWL))*GAM_D)/(GAM_W*PI()*E1052^2/4))</f>
        <v>8.39174165700482</v>
      </c>
      <c r="AC1052" s="27" t="n">
        <f aca="false">IF(I1052-E1052&gt;=GWL,99,E1052*(MAX(0,GWL-I1052)*(GAM_S-GAM_W)+MAX(0,FL-MAX(I1052,GWL))*GAM_D)/(GAM_W*PI()*E1052^2/4))</f>
        <v>8.39174165700482</v>
      </c>
    </row>
    <row r="1053" customFormat="false" ht="15" hidden="false" customHeight="false" outlineLevel="0" collapsed="false">
      <c r="A1053" s="25" t="s">
        <v>1594</v>
      </c>
      <c r="B1053" s="25" t="s">
        <v>1659</v>
      </c>
      <c r="C1053" s="25" t="s">
        <v>1662</v>
      </c>
      <c r="D1053" s="26" t="n">
        <v>0.375014246411233</v>
      </c>
      <c r="E1053" s="26" t="n">
        <v>0.999999807337149</v>
      </c>
      <c r="F1053" s="26" t="n">
        <v>-5.39999990366858</v>
      </c>
      <c r="G1053" s="26" t="n">
        <v>-5.39999990366858</v>
      </c>
      <c r="H1053" s="26" t="n">
        <v>-3.90000009633143</v>
      </c>
      <c r="I1053" s="26" t="n">
        <v>-3.90000009633143</v>
      </c>
      <c r="J1053" s="26" t="n">
        <v>15.37</v>
      </c>
      <c r="K1053" s="27" t="n">
        <f aca="false">MIN(F1053,G1053)</f>
        <v>-5.39999990366858</v>
      </c>
      <c r="L1053" s="27" t="n">
        <f aca="false">AVERAGE(F1053,G1053)</f>
        <v>-5.39999990366858</v>
      </c>
      <c r="M1053" s="27" t="n">
        <f aca="false">MAX(0,NG-L1053)</f>
        <v>4.69999990366858</v>
      </c>
      <c r="N1053" s="27" t="n">
        <f aca="false">MAX(0,GWL-K1053)</f>
        <v>3.89999990366858</v>
      </c>
      <c r="O1053" s="27" t="n">
        <f aca="false">MAX(0,NG-MAX(K1053,GWL))</f>
        <v>0.8</v>
      </c>
      <c r="P1053" s="27" t="n">
        <f aca="false">E1053/2+WS+SLOPE_A*O1053+SLOPE_B*N1053</f>
        <v>10.4999997110057</v>
      </c>
      <c r="Q1053" s="28" t="str">
        <f aca="false">IF(AND(P1053&lt;J1053,N1053&lt;=MAXOC),"Open cut","Shoring")</f>
        <v>Shoring</v>
      </c>
      <c r="R1053" s="27" t="n">
        <f aca="false">IF(Q1053="Shoring",D1053,0)</f>
        <v>0.375014246411233</v>
      </c>
      <c r="S1053" s="27" t="n">
        <f aca="false">MAX(0,GWL-L1053)</f>
        <v>3.89999990366858</v>
      </c>
      <c r="T1053" s="27" t="n">
        <f aca="false">MAX(0,NG-MAX(L1053,GWL))</f>
        <v>0.8</v>
      </c>
      <c r="U1053" s="27" t="n">
        <f aca="false">E1053+2*WS</f>
        <v>2.99999980733715</v>
      </c>
      <c r="V1053" s="27" t="n">
        <f aca="false">IF(Q1053="Shoring",D1053*M1053*U1053,0)</f>
        <v>5.28770042644024</v>
      </c>
      <c r="W1053" s="27" t="n">
        <f aca="false">IF(Q1053="Open cut",D1053*(U1053*M1053+SLOPE_B*S1053^2+2*SLOPE_B*S1053*T1053+SLOPE_A*T1053^2),0)</f>
        <v>0</v>
      </c>
      <c r="X1053" s="27" t="n">
        <f aca="false">IF(M1053&gt;0,D1053*(E1053+2*SLABOVH)*SLAB,0)</f>
        <v>0.375014210285576</v>
      </c>
      <c r="Y1053" s="27" t="n">
        <f aca="false">IF(M1053&gt;0,D1053*PI()*E1053^2/4,0)</f>
        <v>0.294535386887173</v>
      </c>
      <c r="Z1053" s="27" t="n">
        <f aca="false">IF(H1053-E1053&gt;=GWL,99,E1053*(MAX(0,GWL-H1053)*(GAM_S-GAM_W)+MAX(0,NG-MAX(H1053,GWL))*GAM_D)/(GAM_W*PI()*E1053^2/4))</f>
        <v>4.42012796066975</v>
      </c>
      <c r="AA1053" s="27" t="n">
        <f aca="false">IF(I1053-E1053&gt;=GWL,99,E1053*(MAX(0,GWL-I1053)*(GAM_S-GAM_W)+MAX(0,NG-MAX(I1053,GWL))*GAM_D)/(GAM_W*PI()*E1053^2/4))</f>
        <v>4.42012796066975</v>
      </c>
      <c r="AB1053" s="27" t="n">
        <f aca="false">IF(H1053-E1053&gt;=GWL,99,E1053*(MAX(0,GWL-H1053)*(GAM_S-GAM_W)+MAX(0,FL-MAX(H1053,GWL))*GAM_D)/(GAM_W*PI()*E1053^2/4))</f>
        <v>8.3917016176789</v>
      </c>
      <c r="AC1053" s="27" t="n">
        <f aca="false">IF(I1053-E1053&gt;=GWL,99,E1053*(MAX(0,GWL-I1053)*(GAM_S-GAM_W)+MAX(0,FL-MAX(I1053,GWL))*GAM_D)/(GAM_W*PI()*E1053^2/4))</f>
        <v>8.3917016176789</v>
      </c>
    </row>
    <row r="1054" customFormat="false" ht="15" hidden="false" customHeight="false" outlineLevel="0" collapsed="false">
      <c r="A1054" s="25" t="s">
        <v>1594</v>
      </c>
      <c r="B1054" s="25" t="s">
        <v>1659</v>
      </c>
      <c r="C1054" s="25" t="s">
        <v>1663</v>
      </c>
      <c r="D1054" s="26" t="n">
        <v>0.103827194377864</v>
      </c>
      <c r="E1054" s="26" t="n">
        <v>0.999999807337149</v>
      </c>
      <c r="F1054" s="26" t="n">
        <v>-5.39999990366858</v>
      </c>
      <c r="G1054" s="26" t="n">
        <v>-5.39999990366858</v>
      </c>
      <c r="H1054" s="26" t="n">
        <v>-3.90000009633143</v>
      </c>
      <c r="I1054" s="26" t="n">
        <v>-3.90000009633143</v>
      </c>
      <c r="J1054" s="26" t="n">
        <v>15.26</v>
      </c>
      <c r="K1054" s="27" t="n">
        <f aca="false">MIN(F1054,G1054)</f>
        <v>-5.39999990366858</v>
      </c>
      <c r="L1054" s="27" t="n">
        <f aca="false">AVERAGE(F1054,G1054)</f>
        <v>-5.39999990366858</v>
      </c>
      <c r="M1054" s="27" t="n">
        <f aca="false">MAX(0,NG-L1054)</f>
        <v>4.69999990366858</v>
      </c>
      <c r="N1054" s="27" t="n">
        <f aca="false">MAX(0,GWL-K1054)</f>
        <v>3.89999990366858</v>
      </c>
      <c r="O1054" s="27" t="n">
        <f aca="false">MAX(0,NG-MAX(K1054,GWL))</f>
        <v>0.8</v>
      </c>
      <c r="P1054" s="27" t="n">
        <f aca="false">E1054/2+WS+SLOPE_A*O1054+SLOPE_B*N1054</f>
        <v>10.4999997110057</v>
      </c>
      <c r="Q1054" s="28" t="str">
        <f aca="false">IF(AND(P1054&lt;J1054,N1054&lt;=MAXOC),"Open cut","Shoring")</f>
        <v>Shoring</v>
      </c>
      <c r="R1054" s="27" t="n">
        <f aca="false">IF(Q1054="Shoring",D1054,0)</f>
        <v>0.103827194377864</v>
      </c>
      <c r="S1054" s="27" t="n">
        <f aca="false">MAX(0,GWL-L1054)</f>
        <v>3.89999990366858</v>
      </c>
      <c r="T1054" s="27" t="n">
        <f aca="false">MAX(0,NG-MAX(L1054,GWL))</f>
        <v>0.8</v>
      </c>
      <c r="U1054" s="27" t="n">
        <f aca="false">E1054+2*WS</f>
        <v>2.99999980733715</v>
      </c>
      <c r="V1054" s="27" t="n">
        <f aca="false">IF(Q1054="Shoring",D1054*M1054*U1054,0)</f>
        <v>1.4639633167053</v>
      </c>
      <c r="W1054" s="27" t="n">
        <f aca="false">IF(Q1054="Open cut",D1054*(U1054*M1054+SLOPE_B*S1054^2+2*SLOPE_B*S1054*T1054+SLOPE_A*T1054^2),0)</f>
        <v>0</v>
      </c>
      <c r="X1054" s="27" t="n">
        <f aca="false">IF(M1054&gt;0,D1054*(E1054+2*SLABOVH)*SLAB,0)</f>
        <v>0.103827184376042</v>
      </c>
      <c r="Y1054" s="27" t="n">
        <f aca="false">IF(M1054&gt;0,D1054*PI()*E1054^2/4,0)</f>
        <v>0.081545656353438</v>
      </c>
      <c r="Z1054" s="27" t="n">
        <f aca="false">IF(H1054-E1054&gt;=GWL,99,E1054*(MAX(0,GWL-H1054)*(GAM_S-GAM_W)+MAX(0,NG-MAX(H1054,GWL))*GAM_D)/(GAM_W*PI()*E1054^2/4))</f>
        <v>4.42012796066975</v>
      </c>
      <c r="AA1054" s="27" t="n">
        <f aca="false">IF(I1054-E1054&gt;=GWL,99,E1054*(MAX(0,GWL-I1054)*(GAM_S-GAM_W)+MAX(0,NG-MAX(I1054,GWL))*GAM_D)/(GAM_W*PI()*E1054^2/4))</f>
        <v>4.42012796066975</v>
      </c>
      <c r="AB1054" s="27" t="n">
        <f aca="false">IF(H1054-E1054&gt;=GWL,99,E1054*(MAX(0,GWL-H1054)*(GAM_S-GAM_W)+MAX(0,FL-MAX(H1054,GWL))*GAM_D)/(GAM_W*PI()*E1054^2/4))</f>
        <v>8.3917016176789</v>
      </c>
      <c r="AC1054" s="27" t="n">
        <f aca="false">IF(I1054-E1054&gt;=GWL,99,E1054*(MAX(0,GWL-I1054)*(GAM_S-GAM_W)+MAX(0,FL-MAX(I1054,GWL))*GAM_D)/(GAM_W*PI()*E1054^2/4))</f>
        <v>8.3917016176789</v>
      </c>
    </row>
    <row r="1055" customFormat="false" ht="15" hidden="false" customHeight="false" outlineLevel="0" collapsed="false">
      <c r="A1055" s="25" t="s">
        <v>1594</v>
      </c>
      <c r="B1055" s="25" t="s">
        <v>1659</v>
      </c>
      <c r="C1055" s="25" t="s">
        <v>1664</v>
      </c>
      <c r="D1055" s="26" t="n">
        <v>8.09999999886854</v>
      </c>
      <c r="E1055" s="26" t="n">
        <v>0.999999807337149</v>
      </c>
      <c r="F1055" s="26" t="n">
        <v>-5.39999990366858</v>
      </c>
      <c r="G1055" s="26" t="n">
        <v>-5.39999990366858</v>
      </c>
      <c r="H1055" s="26" t="n">
        <v>-3.90000009633143</v>
      </c>
      <c r="I1055" s="26" t="n">
        <v>-3.90000009633143</v>
      </c>
      <c r="J1055" s="26" t="n">
        <v>7.16</v>
      </c>
      <c r="K1055" s="27" t="n">
        <f aca="false">MIN(F1055,G1055)</f>
        <v>-5.39999990366858</v>
      </c>
      <c r="L1055" s="27" t="n">
        <f aca="false">AVERAGE(F1055,G1055)</f>
        <v>-5.39999990366858</v>
      </c>
      <c r="M1055" s="27" t="n">
        <f aca="false">MAX(0,NG-L1055)</f>
        <v>4.69999990366858</v>
      </c>
      <c r="N1055" s="27" t="n">
        <f aca="false">MAX(0,GWL-K1055)</f>
        <v>3.89999990366858</v>
      </c>
      <c r="O1055" s="27" t="n">
        <f aca="false">MAX(0,NG-MAX(K1055,GWL))</f>
        <v>0.8</v>
      </c>
      <c r="P1055" s="27" t="n">
        <f aca="false">E1055/2+WS+SLOPE_A*O1055+SLOPE_B*N1055</f>
        <v>10.4999997110057</v>
      </c>
      <c r="Q1055" s="28" t="str">
        <f aca="false">IF(AND(P1055&lt;J1055,N1055&lt;=MAXOC),"Open cut","Shoring")</f>
        <v>Shoring</v>
      </c>
      <c r="R1055" s="27" t="n">
        <f aca="false">IF(Q1055="Shoring",D1055,0)</f>
        <v>8.09999999886854</v>
      </c>
      <c r="S1055" s="27" t="n">
        <f aca="false">MAX(0,GWL-L1055)</f>
        <v>3.89999990366858</v>
      </c>
      <c r="T1055" s="27" t="n">
        <f aca="false">MAX(0,NG-MAX(L1055,GWL))</f>
        <v>0.8</v>
      </c>
      <c r="U1055" s="27" t="n">
        <f aca="false">E1055+2*WS</f>
        <v>2.99999980733715</v>
      </c>
      <c r="V1055" s="27" t="n">
        <f aca="false">IF(Q1055="Shoring",D1055*M1055*U1055,0)</f>
        <v>114.209990308518</v>
      </c>
      <c r="W1055" s="27" t="n">
        <f aca="false">IF(Q1055="Open cut",D1055*(U1055*M1055+SLOPE_B*S1055^2+2*SLOPE_B*S1055*T1055+SLOPE_A*T1055^2),0)</f>
        <v>0</v>
      </c>
      <c r="X1055" s="27" t="n">
        <f aca="false">IF(M1055&gt;0,D1055*(E1055+2*SLABOVH)*SLAB,0)</f>
        <v>8.099999218584</v>
      </c>
      <c r="Y1055" s="27" t="n">
        <f aca="false">IF(M1055&gt;0,D1055*PI()*E1055^2/4,0)</f>
        <v>6.36172267129472</v>
      </c>
      <c r="Z1055" s="27" t="n">
        <f aca="false">IF(H1055-E1055&gt;=GWL,99,E1055*(MAX(0,GWL-H1055)*(GAM_S-GAM_W)+MAX(0,NG-MAX(H1055,GWL))*GAM_D)/(GAM_W*PI()*E1055^2/4))</f>
        <v>4.42012796066975</v>
      </c>
      <c r="AA1055" s="27" t="n">
        <f aca="false">IF(I1055-E1055&gt;=GWL,99,E1055*(MAX(0,GWL-I1055)*(GAM_S-GAM_W)+MAX(0,NG-MAX(I1055,GWL))*GAM_D)/(GAM_W*PI()*E1055^2/4))</f>
        <v>4.42012796066975</v>
      </c>
      <c r="AB1055" s="27" t="n">
        <f aca="false">IF(H1055-E1055&gt;=GWL,99,E1055*(MAX(0,GWL-H1055)*(GAM_S-GAM_W)+MAX(0,FL-MAX(H1055,GWL))*GAM_D)/(GAM_W*PI()*E1055^2/4))</f>
        <v>8.3917016176789</v>
      </c>
      <c r="AC1055" s="27" t="n">
        <f aca="false">IF(I1055-E1055&gt;=GWL,99,E1055*(MAX(0,GWL-I1055)*(GAM_S-GAM_W)+MAX(0,FL-MAX(I1055,GWL))*GAM_D)/(GAM_W*PI()*E1055^2/4))</f>
        <v>8.3917016176789</v>
      </c>
    </row>
    <row r="1056" customFormat="false" ht="15" hidden="false" customHeight="false" outlineLevel="0" collapsed="false">
      <c r="A1056" s="25" t="s">
        <v>1594</v>
      </c>
      <c r="B1056" s="25" t="s">
        <v>1665</v>
      </c>
      <c r="C1056" s="25" t="s">
        <v>1666</v>
      </c>
      <c r="D1056" s="26" t="n">
        <v>1.90000000089097</v>
      </c>
      <c r="E1056" s="26" t="n">
        <v>0.999999807337149</v>
      </c>
      <c r="F1056" s="26" t="n">
        <v>-5.39999990366858</v>
      </c>
      <c r="G1056" s="26" t="n">
        <v>-5.39999990366858</v>
      </c>
      <c r="H1056" s="26" t="n">
        <v>-3.90000009633143</v>
      </c>
      <c r="I1056" s="26" t="n">
        <v>-3.90000009633143</v>
      </c>
      <c r="J1056" s="26" t="n">
        <v>5.26</v>
      </c>
      <c r="K1056" s="27" t="n">
        <f aca="false">MIN(F1056,G1056)</f>
        <v>-5.39999990366858</v>
      </c>
      <c r="L1056" s="27" t="n">
        <f aca="false">AVERAGE(F1056,G1056)</f>
        <v>-5.39999990366858</v>
      </c>
      <c r="M1056" s="27" t="n">
        <f aca="false">MAX(0,NG-L1056)</f>
        <v>4.69999990366858</v>
      </c>
      <c r="N1056" s="27" t="n">
        <f aca="false">MAX(0,GWL-K1056)</f>
        <v>3.89999990366858</v>
      </c>
      <c r="O1056" s="27" t="n">
        <f aca="false">MAX(0,NG-MAX(K1056,GWL))</f>
        <v>0.8</v>
      </c>
      <c r="P1056" s="27" t="n">
        <f aca="false">E1056/2+WS+SLOPE_A*O1056+SLOPE_B*N1056</f>
        <v>10.4999997110057</v>
      </c>
      <c r="Q1056" s="28" t="str">
        <f aca="false">IF(AND(P1056&lt;J1056,N1056&lt;=MAXOC),"Open cut","Shoring")</f>
        <v>Shoring</v>
      </c>
      <c r="R1056" s="27" t="n">
        <f aca="false">IF(Q1056="Shoring",D1056,0)</f>
        <v>1.90000000089097</v>
      </c>
      <c r="S1056" s="27" t="n">
        <f aca="false">MAX(0,GWL-L1056)</f>
        <v>3.89999990366858</v>
      </c>
      <c r="T1056" s="27" t="n">
        <f aca="false">MAX(0,NG-MAX(L1056,GWL))</f>
        <v>0.8</v>
      </c>
      <c r="U1056" s="27" t="n">
        <f aca="false">E1056+2*WS</f>
        <v>2.99999980733715</v>
      </c>
      <c r="V1056" s="27" t="n">
        <f aca="false">IF(Q1056="Shoring",D1056*M1056*U1056,0)</f>
        <v>26.7899977429944</v>
      </c>
      <c r="W1056" s="27" t="n">
        <f aca="false">IF(Q1056="Open cut",D1056*(U1056*M1056+SLOPE_B*S1056^2+2*SLOPE_B*S1056*T1056+SLOPE_A*T1056^2),0)</f>
        <v>0</v>
      </c>
      <c r="X1056" s="27" t="n">
        <f aca="false">IF(M1056&gt;0,D1056*(E1056+2*SLABOVH)*SLAB,0)</f>
        <v>1.89999981786127</v>
      </c>
      <c r="Y1056" s="27" t="n">
        <f aca="false">IF(M1056&gt;0,D1056*PI()*E1056^2/4,0)</f>
        <v>1.49225593615019</v>
      </c>
      <c r="Z1056" s="27" t="n">
        <f aca="false">IF(H1056-E1056&gt;=GWL,99,E1056*(MAX(0,GWL-H1056)*(GAM_S-GAM_W)+MAX(0,NG-MAX(H1056,GWL))*GAM_D)/(GAM_W*PI()*E1056^2/4))</f>
        <v>4.42012796066975</v>
      </c>
      <c r="AA1056" s="27" t="n">
        <f aca="false">IF(I1056-E1056&gt;=GWL,99,E1056*(MAX(0,GWL-I1056)*(GAM_S-GAM_W)+MAX(0,NG-MAX(I1056,GWL))*GAM_D)/(GAM_W*PI()*E1056^2/4))</f>
        <v>4.42012796066975</v>
      </c>
      <c r="AB1056" s="27" t="n">
        <f aca="false">IF(H1056-E1056&gt;=GWL,99,E1056*(MAX(0,GWL-H1056)*(GAM_S-GAM_W)+MAX(0,FL-MAX(H1056,GWL))*GAM_D)/(GAM_W*PI()*E1056^2/4))</f>
        <v>8.3917016176789</v>
      </c>
      <c r="AC1056" s="27" t="n">
        <f aca="false">IF(I1056-E1056&gt;=GWL,99,E1056*(MAX(0,GWL-I1056)*(GAM_S-GAM_W)+MAX(0,FL-MAX(I1056,GWL))*GAM_D)/(GAM_W*PI()*E1056^2/4))</f>
        <v>8.3917016176789</v>
      </c>
    </row>
    <row r="1057" customFormat="false" ht="15" hidden="false" customHeight="false" outlineLevel="0" collapsed="false">
      <c r="A1057" s="25" t="s">
        <v>1594</v>
      </c>
      <c r="B1057" s="25" t="s">
        <v>1665</v>
      </c>
      <c r="C1057" s="25" t="s">
        <v>1667</v>
      </c>
      <c r="D1057" s="26" t="n">
        <v>9.99999999975952</v>
      </c>
      <c r="E1057" s="26" t="n">
        <v>0.999999807337149</v>
      </c>
      <c r="F1057" s="26" t="n">
        <v>-5.39999990366858</v>
      </c>
      <c r="G1057" s="26" t="n">
        <v>-5.39999990366858</v>
      </c>
      <c r="H1057" s="26" t="n">
        <v>-3.90000009633143</v>
      </c>
      <c r="I1057" s="26" t="n">
        <v>-3.90000009633143</v>
      </c>
      <c r="J1057" s="26" t="n">
        <v>0</v>
      </c>
      <c r="K1057" s="27" t="n">
        <f aca="false">MIN(F1057,G1057)</f>
        <v>-5.39999990366858</v>
      </c>
      <c r="L1057" s="27" t="n">
        <f aca="false">AVERAGE(F1057,G1057)</f>
        <v>-5.39999990366858</v>
      </c>
      <c r="M1057" s="27" t="n">
        <f aca="false">MAX(0,NG-L1057)</f>
        <v>4.69999990366858</v>
      </c>
      <c r="N1057" s="27" t="n">
        <f aca="false">MAX(0,GWL-K1057)</f>
        <v>3.89999990366858</v>
      </c>
      <c r="O1057" s="27" t="n">
        <f aca="false">MAX(0,NG-MAX(K1057,GWL))</f>
        <v>0.8</v>
      </c>
      <c r="P1057" s="27" t="n">
        <f aca="false">E1057/2+WS+SLOPE_A*O1057+SLOPE_B*N1057</f>
        <v>10.4999997110057</v>
      </c>
      <c r="Q1057" s="28" t="str">
        <f aca="false">IF(AND(P1057&lt;J1057,N1057&lt;=MAXOC),"Open cut","Shoring")</f>
        <v>Shoring</v>
      </c>
      <c r="R1057" s="27" t="n">
        <f aca="false">IF(Q1057="Shoring",D1057,0)</f>
        <v>9.99999999975952</v>
      </c>
      <c r="S1057" s="27" t="n">
        <f aca="false">MAX(0,GWL-L1057)</f>
        <v>3.89999990366858</v>
      </c>
      <c r="T1057" s="27" t="n">
        <f aca="false">MAX(0,NG-MAX(L1057,GWL))</f>
        <v>0.8</v>
      </c>
      <c r="U1057" s="27" t="n">
        <f aca="false">E1057+2*WS</f>
        <v>2.99999980733715</v>
      </c>
      <c r="V1057" s="27" t="n">
        <f aca="false">IF(Q1057="Shoring",D1057*M1057*U1057,0)</f>
        <v>140.999988051513</v>
      </c>
      <c r="W1057" s="27" t="n">
        <f aca="false">IF(Q1057="Open cut",D1057*(U1057*M1057+SLOPE_B*S1057^2+2*SLOPE_B*S1057*T1057+SLOPE_A*T1057^2),0)</f>
        <v>0</v>
      </c>
      <c r="X1057" s="27" t="n">
        <f aca="false">IF(M1057&gt;0,D1057*(E1057+2*SLABOVH)*SLAB,0)</f>
        <v>9.99999903644526</v>
      </c>
      <c r="Y1057" s="27" t="n">
        <f aca="false">IF(M1057&gt;0,D1057*PI()*E1057^2/4,0)</f>
        <v>7.85397860744491</v>
      </c>
      <c r="Z1057" s="27" t="n">
        <f aca="false">IF(H1057-E1057&gt;=GWL,99,E1057*(MAX(0,GWL-H1057)*(GAM_S-GAM_W)+MAX(0,NG-MAX(H1057,GWL))*GAM_D)/(GAM_W*PI()*E1057^2/4))</f>
        <v>4.42012796066975</v>
      </c>
      <c r="AA1057" s="27" t="n">
        <f aca="false">IF(I1057-E1057&gt;=GWL,99,E1057*(MAX(0,GWL-I1057)*(GAM_S-GAM_W)+MAX(0,NG-MAX(I1057,GWL))*GAM_D)/(GAM_W*PI()*E1057^2/4))</f>
        <v>4.42012796066975</v>
      </c>
      <c r="AB1057" s="27" t="n">
        <f aca="false">IF(H1057-E1057&gt;=GWL,99,E1057*(MAX(0,GWL-H1057)*(GAM_S-GAM_W)+MAX(0,FL-MAX(H1057,GWL))*GAM_D)/(GAM_W*PI()*E1057^2/4))</f>
        <v>8.3917016176789</v>
      </c>
      <c r="AC1057" s="27" t="n">
        <f aca="false">IF(I1057-E1057&gt;=GWL,99,E1057*(MAX(0,GWL-I1057)*(GAM_S-GAM_W)+MAX(0,FL-MAX(I1057,GWL))*GAM_D)/(GAM_W*PI()*E1057^2/4))</f>
        <v>8.3917016176789</v>
      </c>
    </row>
    <row r="1058" customFormat="false" ht="15" hidden="false" customHeight="false" outlineLevel="0" collapsed="false">
      <c r="A1058" s="25" t="s">
        <v>1594</v>
      </c>
      <c r="B1058" s="25" t="s">
        <v>1665</v>
      </c>
      <c r="C1058" s="25" t="s">
        <v>1668</v>
      </c>
      <c r="D1058" s="26" t="n">
        <v>10.0000000002394</v>
      </c>
      <c r="E1058" s="26" t="n">
        <v>0.999999807337149</v>
      </c>
      <c r="F1058" s="26" t="n">
        <v>-5.39999990366858</v>
      </c>
      <c r="G1058" s="26" t="n">
        <v>-5.39999990366858</v>
      </c>
      <c r="H1058" s="26" t="n">
        <v>-3.90000009633143</v>
      </c>
      <c r="I1058" s="26" t="n">
        <v>-3.90000009633143</v>
      </c>
      <c r="J1058" s="26" t="n">
        <v>26.56</v>
      </c>
      <c r="K1058" s="27" t="n">
        <f aca="false">MIN(F1058,G1058)</f>
        <v>-5.39999990366858</v>
      </c>
      <c r="L1058" s="27" t="n">
        <f aca="false">AVERAGE(F1058,G1058)</f>
        <v>-5.39999990366858</v>
      </c>
      <c r="M1058" s="27" t="n">
        <f aca="false">MAX(0,NG-L1058)</f>
        <v>4.69999990366858</v>
      </c>
      <c r="N1058" s="27" t="n">
        <f aca="false">MAX(0,GWL-K1058)</f>
        <v>3.89999990366858</v>
      </c>
      <c r="O1058" s="27" t="n">
        <f aca="false">MAX(0,NG-MAX(K1058,GWL))</f>
        <v>0.8</v>
      </c>
      <c r="P1058" s="27" t="n">
        <f aca="false">E1058/2+WS+SLOPE_A*O1058+SLOPE_B*N1058</f>
        <v>10.4999997110057</v>
      </c>
      <c r="Q1058" s="28" t="str">
        <f aca="false">IF(AND(P1058&lt;J1058,N1058&lt;=MAXOC),"Open cut","Shoring")</f>
        <v>Shoring</v>
      </c>
      <c r="R1058" s="27" t="n">
        <f aca="false">IF(Q1058="Shoring",D1058,0)</f>
        <v>10.0000000002394</v>
      </c>
      <c r="S1058" s="27" t="n">
        <f aca="false">MAX(0,GWL-L1058)</f>
        <v>3.89999990366858</v>
      </c>
      <c r="T1058" s="27" t="n">
        <f aca="false">MAX(0,NG-MAX(L1058,GWL))</f>
        <v>0.8</v>
      </c>
      <c r="U1058" s="27" t="n">
        <f aca="false">E1058+2*WS</f>
        <v>2.99999980733715</v>
      </c>
      <c r="V1058" s="27" t="n">
        <f aca="false">IF(Q1058="Shoring",D1058*M1058*U1058,0)</f>
        <v>140.999988058279</v>
      </c>
      <c r="W1058" s="27" t="n">
        <f aca="false">IF(Q1058="Open cut",D1058*(U1058*M1058+SLOPE_B*S1058^2+2*SLOPE_B*S1058*T1058+SLOPE_A*T1058^2),0)</f>
        <v>0</v>
      </c>
      <c r="X1058" s="27" t="n">
        <f aca="false">IF(M1058&gt;0,D1058*(E1058+2*SLABOVH)*SLAB,0)</f>
        <v>9.99999903692514</v>
      </c>
      <c r="Y1058" s="27" t="n">
        <f aca="false">IF(M1058&gt;0,D1058*PI()*E1058^2/4,0)</f>
        <v>7.8539786078218</v>
      </c>
      <c r="Z1058" s="27" t="n">
        <f aca="false">IF(H1058-E1058&gt;=GWL,99,E1058*(MAX(0,GWL-H1058)*(GAM_S-GAM_W)+MAX(0,NG-MAX(H1058,GWL))*GAM_D)/(GAM_W*PI()*E1058^2/4))</f>
        <v>4.42012796066975</v>
      </c>
      <c r="AA1058" s="27" t="n">
        <f aca="false">IF(I1058-E1058&gt;=GWL,99,E1058*(MAX(0,GWL-I1058)*(GAM_S-GAM_W)+MAX(0,NG-MAX(I1058,GWL))*GAM_D)/(GAM_W*PI()*E1058^2/4))</f>
        <v>4.42012796066975</v>
      </c>
      <c r="AB1058" s="27" t="n">
        <f aca="false">IF(H1058-E1058&gt;=GWL,99,E1058*(MAX(0,GWL-H1058)*(GAM_S-GAM_W)+MAX(0,FL-MAX(H1058,GWL))*GAM_D)/(GAM_W*PI()*E1058^2/4))</f>
        <v>8.3917016176789</v>
      </c>
      <c r="AC1058" s="27" t="n">
        <f aca="false">IF(I1058-E1058&gt;=GWL,99,E1058*(MAX(0,GWL-I1058)*(GAM_S-GAM_W)+MAX(0,FL-MAX(I1058,GWL))*GAM_D)/(GAM_W*PI()*E1058^2/4))</f>
        <v>8.3917016176789</v>
      </c>
    </row>
    <row r="1059" customFormat="false" ht="15" hidden="false" customHeight="false" outlineLevel="0" collapsed="false">
      <c r="A1059" s="25" t="s">
        <v>1594</v>
      </c>
      <c r="B1059" s="25" t="s">
        <v>1665</v>
      </c>
      <c r="C1059" s="25" t="s">
        <v>1669</v>
      </c>
      <c r="D1059" s="26" t="n">
        <v>8.13799999917941</v>
      </c>
      <c r="E1059" s="26" t="n">
        <v>0.999999807337149</v>
      </c>
      <c r="F1059" s="26" t="n">
        <v>-5.39999990366858</v>
      </c>
      <c r="G1059" s="26" t="n">
        <v>-5.39999990366858</v>
      </c>
      <c r="H1059" s="26" t="n">
        <v>-3.90000009633143</v>
      </c>
      <c r="I1059" s="26" t="n">
        <v>-3.90000009633143</v>
      </c>
      <c r="J1059" s="26" t="n">
        <v>31.76</v>
      </c>
      <c r="K1059" s="27" t="n">
        <f aca="false">MIN(F1059,G1059)</f>
        <v>-5.39999990366858</v>
      </c>
      <c r="L1059" s="27" t="n">
        <f aca="false">AVERAGE(F1059,G1059)</f>
        <v>-5.39999990366858</v>
      </c>
      <c r="M1059" s="27" t="n">
        <f aca="false">MAX(0,NG-L1059)</f>
        <v>4.69999990366858</v>
      </c>
      <c r="N1059" s="27" t="n">
        <f aca="false">MAX(0,GWL-K1059)</f>
        <v>3.89999990366858</v>
      </c>
      <c r="O1059" s="27" t="n">
        <f aca="false">MAX(0,NG-MAX(K1059,GWL))</f>
        <v>0.8</v>
      </c>
      <c r="P1059" s="27" t="n">
        <f aca="false">E1059/2+WS+SLOPE_A*O1059+SLOPE_B*N1059</f>
        <v>10.4999997110057</v>
      </c>
      <c r="Q1059" s="28" t="str">
        <f aca="false">IF(AND(P1059&lt;J1059,N1059&lt;=MAXOC),"Open cut","Shoring")</f>
        <v>Shoring</v>
      </c>
      <c r="R1059" s="27" t="n">
        <f aca="false">IF(Q1059="Shoring",D1059,0)</f>
        <v>8.13799999917941</v>
      </c>
      <c r="S1059" s="27" t="n">
        <f aca="false">MAX(0,GWL-L1059)</f>
        <v>3.89999990366858</v>
      </c>
      <c r="T1059" s="27" t="n">
        <f aca="false">MAX(0,NG-MAX(L1059,GWL))</f>
        <v>0.8</v>
      </c>
      <c r="U1059" s="27" t="n">
        <f aca="false">E1059+2*WS</f>
        <v>2.99999980733715</v>
      </c>
      <c r="V1059" s="27" t="n">
        <f aca="false">IF(Q1059="Shoring",D1059*M1059*U1059,0)</f>
        <v>114.74579026751</v>
      </c>
      <c r="W1059" s="27" t="n">
        <f aca="false">IF(Q1059="Open cut",D1059*(U1059*M1059+SLOPE_B*S1059^2+2*SLOPE_B*S1059*T1059+SLOPE_A*T1059^2),0)</f>
        <v>0</v>
      </c>
      <c r="X1059" s="27" t="n">
        <f aca="false">IF(M1059&gt;0,D1059*(E1059+2*SLABOVH)*SLAB,0)</f>
        <v>8.13799921523427</v>
      </c>
      <c r="Y1059" s="27" t="n">
        <f aca="false">IF(M1059&gt;0,D1059*PI()*E1059^2/4,0)</f>
        <v>6.39156779024789</v>
      </c>
      <c r="Z1059" s="27" t="n">
        <f aca="false">IF(H1059-E1059&gt;=GWL,99,E1059*(MAX(0,GWL-H1059)*(GAM_S-GAM_W)+MAX(0,NG-MAX(H1059,GWL))*GAM_D)/(GAM_W*PI()*E1059^2/4))</f>
        <v>4.42012796066975</v>
      </c>
      <c r="AA1059" s="27" t="n">
        <f aca="false">IF(I1059-E1059&gt;=GWL,99,E1059*(MAX(0,GWL-I1059)*(GAM_S-GAM_W)+MAX(0,NG-MAX(I1059,GWL))*GAM_D)/(GAM_W*PI()*E1059^2/4))</f>
        <v>4.42012796066975</v>
      </c>
      <c r="AB1059" s="27" t="n">
        <f aca="false">IF(H1059-E1059&gt;=GWL,99,E1059*(MAX(0,GWL-H1059)*(GAM_S-GAM_W)+MAX(0,FL-MAX(H1059,GWL))*GAM_D)/(GAM_W*PI()*E1059^2/4))</f>
        <v>8.3917016176789</v>
      </c>
      <c r="AC1059" s="27" t="n">
        <f aca="false">IF(I1059-E1059&gt;=GWL,99,E1059*(MAX(0,GWL-I1059)*(GAM_S-GAM_W)+MAX(0,FL-MAX(I1059,GWL))*GAM_D)/(GAM_W*PI()*E1059^2/4))</f>
        <v>8.3917016176789</v>
      </c>
    </row>
    <row r="1060" customFormat="false" ht="15" hidden="false" customHeight="false" outlineLevel="0" collapsed="false">
      <c r="A1060" s="25" t="s">
        <v>1594</v>
      </c>
      <c r="B1060" s="25" t="s">
        <v>1670</v>
      </c>
      <c r="C1060" s="25" t="s">
        <v>1671</v>
      </c>
      <c r="D1060" s="26" t="n">
        <v>1.8620000005801</v>
      </c>
      <c r="E1060" s="26" t="n">
        <v>0.999999807337149</v>
      </c>
      <c r="F1060" s="26" t="n">
        <v>-5.39999990366858</v>
      </c>
      <c r="G1060" s="26" t="n">
        <v>-5.39999990366858</v>
      </c>
      <c r="H1060" s="26" t="n">
        <v>-3.90000009633143</v>
      </c>
      <c r="I1060" s="26" t="n">
        <v>-3.90000009633143</v>
      </c>
      <c r="J1060" s="26" t="n">
        <v>99</v>
      </c>
      <c r="K1060" s="27" t="n">
        <f aca="false">MIN(F1060,G1060)</f>
        <v>-5.39999990366858</v>
      </c>
      <c r="L1060" s="27" t="n">
        <f aca="false">AVERAGE(F1060,G1060)</f>
        <v>-5.39999990366858</v>
      </c>
      <c r="M1060" s="27" t="n">
        <f aca="false">MAX(0,NG-L1060)</f>
        <v>4.69999990366858</v>
      </c>
      <c r="N1060" s="27" t="n">
        <f aca="false">MAX(0,GWL-K1060)</f>
        <v>3.89999990366858</v>
      </c>
      <c r="O1060" s="27" t="n">
        <f aca="false">MAX(0,NG-MAX(K1060,GWL))</f>
        <v>0.8</v>
      </c>
      <c r="P1060" s="27" t="n">
        <f aca="false">E1060/2+WS+SLOPE_A*O1060+SLOPE_B*N1060</f>
        <v>10.4999997110057</v>
      </c>
      <c r="Q1060" s="28" t="str">
        <f aca="false">IF(AND(P1060&lt;J1060,N1060&lt;=MAXOC),"Open cut","Shoring")</f>
        <v>Shoring</v>
      </c>
      <c r="R1060" s="27" t="n">
        <f aca="false">IF(Q1060="Shoring",D1060,0)</f>
        <v>1.8620000005801</v>
      </c>
      <c r="S1060" s="27" t="n">
        <f aca="false">MAX(0,GWL-L1060)</f>
        <v>3.89999990366858</v>
      </c>
      <c r="T1060" s="27" t="n">
        <f aca="false">MAX(0,NG-MAX(L1060,GWL))</f>
        <v>0.8</v>
      </c>
      <c r="U1060" s="27" t="n">
        <f aca="false">E1060+2*WS</f>
        <v>2.99999980733715</v>
      </c>
      <c r="V1060" s="27" t="n">
        <f aca="false">IF(Q1060="Shoring",D1060*M1060*U1060,0)</f>
        <v>26.2541977840025</v>
      </c>
      <c r="W1060" s="27" t="n">
        <f aca="false">IF(Q1060="Open cut",D1060*(U1060*M1060+SLOPE_B*S1060^2+2*SLOPE_B*S1060*T1060+SLOPE_A*T1060^2),0)</f>
        <v>0</v>
      </c>
      <c r="X1060" s="27" t="n">
        <f aca="false">IF(M1060&gt;0,D1060*(E1060+2*SLABOVH)*SLAB,0)</f>
        <v>1.86199982121099</v>
      </c>
      <c r="Y1060" s="27" t="n">
        <f aca="false">IF(M1060&gt;0,D1060*PI()*E1060^2/4,0)</f>
        <v>1.46241081719702</v>
      </c>
      <c r="Z1060" s="27" t="n">
        <f aca="false">IF(H1060-E1060&gt;=GWL,99,E1060*(MAX(0,GWL-H1060)*(GAM_S-GAM_W)+MAX(0,NG-MAX(H1060,GWL))*GAM_D)/(GAM_W*PI()*E1060^2/4))</f>
        <v>4.42012796066975</v>
      </c>
      <c r="AA1060" s="27" t="n">
        <f aca="false">IF(I1060-E1060&gt;=GWL,99,E1060*(MAX(0,GWL-I1060)*(GAM_S-GAM_W)+MAX(0,NG-MAX(I1060,GWL))*GAM_D)/(GAM_W*PI()*E1060^2/4))</f>
        <v>4.42012796066975</v>
      </c>
      <c r="AB1060" s="27" t="n">
        <f aca="false">IF(H1060-E1060&gt;=GWL,99,E1060*(MAX(0,GWL-H1060)*(GAM_S-GAM_W)+MAX(0,FL-MAX(H1060,GWL))*GAM_D)/(GAM_W*PI()*E1060^2/4))</f>
        <v>8.3917016176789</v>
      </c>
      <c r="AC1060" s="27" t="n">
        <f aca="false">IF(I1060-E1060&gt;=GWL,99,E1060*(MAX(0,GWL-I1060)*(GAM_S-GAM_W)+MAX(0,FL-MAX(I1060,GWL))*GAM_D)/(GAM_W*PI()*E1060^2/4))</f>
        <v>8.3917016176789</v>
      </c>
    </row>
    <row r="1061" customFormat="false" ht="15" hidden="false" customHeight="false" outlineLevel="0" collapsed="false">
      <c r="A1061" s="25" t="s">
        <v>1594</v>
      </c>
      <c r="B1061" s="25" t="s">
        <v>1670</v>
      </c>
      <c r="C1061" s="25" t="s">
        <v>1672</v>
      </c>
      <c r="D1061" s="26" t="n">
        <v>4.13805280632303</v>
      </c>
      <c r="E1061" s="26" t="n">
        <v>0.999999807337149</v>
      </c>
      <c r="F1061" s="26" t="n">
        <v>-5.39999990366858</v>
      </c>
      <c r="G1061" s="26" t="n">
        <v>-5.39999990366858</v>
      </c>
      <c r="H1061" s="26" t="n">
        <v>-3.90000009633143</v>
      </c>
      <c r="I1061" s="26" t="n">
        <v>-3.90000009633143</v>
      </c>
      <c r="J1061" s="26" t="n">
        <v>99</v>
      </c>
      <c r="K1061" s="27" t="n">
        <f aca="false">MIN(F1061,G1061)</f>
        <v>-5.39999990366858</v>
      </c>
      <c r="L1061" s="27" t="n">
        <f aca="false">AVERAGE(F1061,G1061)</f>
        <v>-5.39999990366858</v>
      </c>
      <c r="M1061" s="27" t="n">
        <f aca="false">MAX(0,NG-L1061)</f>
        <v>4.69999990366858</v>
      </c>
      <c r="N1061" s="27" t="n">
        <f aca="false">MAX(0,GWL-K1061)</f>
        <v>3.89999990366858</v>
      </c>
      <c r="O1061" s="27" t="n">
        <f aca="false">MAX(0,NG-MAX(K1061,GWL))</f>
        <v>0.8</v>
      </c>
      <c r="P1061" s="27" t="n">
        <f aca="false">E1061/2+WS+SLOPE_A*O1061+SLOPE_B*N1061</f>
        <v>10.4999997110057</v>
      </c>
      <c r="Q1061" s="28" t="str">
        <f aca="false">IF(AND(P1061&lt;J1061,N1061&lt;=MAXOC),"Open cut","Shoring")</f>
        <v>Shoring</v>
      </c>
      <c r="R1061" s="27" t="n">
        <f aca="false">IF(Q1061="Shoring",D1061,0)</f>
        <v>4.13805280632303</v>
      </c>
      <c r="S1061" s="27" t="n">
        <f aca="false">MAX(0,GWL-L1061)</f>
        <v>3.89999990366858</v>
      </c>
      <c r="T1061" s="27" t="n">
        <f aca="false">MAX(0,NG-MAX(L1061,GWL))</f>
        <v>0.8</v>
      </c>
      <c r="U1061" s="27" t="n">
        <f aca="false">E1061+2*WS</f>
        <v>2.99999980733715</v>
      </c>
      <c r="V1061" s="27" t="n">
        <f aca="false">IF(Q1061="Shoring",D1061*M1061*U1061,0)</f>
        <v>58.3465396262106</v>
      </c>
      <c r="W1061" s="27" t="n">
        <f aca="false">IF(Q1061="Open cut",D1061*(U1061*M1061+SLOPE_B*S1061^2+2*SLOPE_B*S1061*T1061+SLOPE_A*T1061^2),0)</f>
        <v>0</v>
      </c>
      <c r="X1061" s="27" t="n">
        <f aca="false">IF(M1061&gt;0,D1061*(E1061+2*SLABOVH)*SLAB,0)</f>
        <v>4.1380524076985</v>
      </c>
      <c r="Y1061" s="27" t="n">
        <f aca="false">IF(M1061&gt;0,D1061*PI()*E1061^2/4,0)</f>
        <v>3.250017821812</v>
      </c>
      <c r="Z1061" s="27" t="n">
        <f aca="false">IF(H1061-E1061&gt;=GWL,99,E1061*(MAX(0,GWL-H1061)*(GAM_S-GAM_W)+MAX(0,NG-MAX(H1061,GWL))*GAM_D)/(GAM_W*PI()*E1061^2/4))</f>
        <v>4.42012796066975</v>
      </c>
      <c r="AA1061" s="27" t="n">
        <f aca="false">IF(I1061-E1061&gt;=GWL,99,E1061*(MAX(0,GWL-I1061)*(GAM_S-GAM_W)+MAX(0,NG-MAX(I1061,GWL))*GAM_D)/(GAM_W*PI()*E1061^2/4))</f>
        <v>4.42012796066975</v>
      </c>
      <c r="AB1061" s="27" t="n">
        <f aca="false">IF(H1061-E1061&gt;=GWL,99,E1061*(MAX(0,GWL-H1061)*(GAM_S-GAM_W)+MAX(0,FL-MAX(H1061,GWL))*GAM_D)/(GAM_W*PI()*E1061^2/4))</f>
        <v>8.3917016176789</v>
      </c>
      <c r="AC1061" s="27" t="n">
        <f aca="false">IF(I1061-E1061&gt;=GWL,99,E1061*(MAX(0,GWL-I1061)*(GAM_S-GAM_W)+MAX(0,FL-MAX(I1061,GWL))*GAM_D)/(GAM_W*PI()*E1061^2/4))</f>
        <v>8.3917016176789</v>
      </c>
    </row>
    <row r="1062" customFormat="false" ht="15" hidden="false" customHeight="false" outlineLevel="0" collapsed="false">
      <c r="A1062" s="25" t="s">
        <v>1594</v>
      </c>
      <c r="B1062" s="25" t="s">
        <v>1673</v>
      </c>
      <c r="C1062" s="25" t="s">
        <v>1674</v>
      </c>
      <c r="D1062" s="26" t="n">
        <v>1.01200616738023</v>
      </c>
      <c r="E1062" s="26" t="n">
        <v>1.39999518013111</v>
      </c>
      <c r="F1062" s="26" t="n">
        <v>-5.59999759006555</v>
      </c>
      <c r="G1062" s="26" t="n">
        <v>-5.59999759006555</v>
      </c>
      <c r="H1062" s="26" t="n">
        <v>-3.70000240993445</v>
      </c>
      <c r="I1062" s="26" t="n">
        <v>-3.70000240993445</v>
      </c>
      <c r="J1062" s="26" t="n">
        <v>22.08</v>
      </c>
      <c r="K1062" s="27" t="n">
        <f aca="false">MIN(F1062,G1062)</f>
        <v>-5.59999759006555</v>
      </c>
      <c r="L1062" s="27" t="n">
        <f aca="false">AVERAGE(F1062,G1062)</f>
        <v>-5.59999759006555</v>
      </c>
      <c r="M1062" s="27" t="n">
        <f aca="false">MAX(0,NG-L1062)</f>
        <v>4.89999759006555</v>
      </c>
      <c r="N1062" s="27" t="n">
        <f aca="false">MAX(0,GWL-K1062)</f>
        <v>4.09999759006555</v>
      </c>
      <c r="O1062" s="27" t="n">
        <f aca="false">MAX(0,NG-MAX(K1062,GWL))</f>
        <v>0.8</v>
      </c>
      <c r="P1062" s="27" t="n">
        <f aca="false">E1062/2+WS+SLOPE_A*O1062+SLOPE_B*N1062</f>
        <v>11.0999927701967</v>
      </c>
      <c r="Q1062" s="28" t="str">
        <f aca="false">IF(AND(P1062&lt;J1062,N1062&lt;=MAXOC),"Open cut","Shoring")</f>
        <v>Shoring</v>
      </c>
      <c r="R1062" s="27" t="n">
        <f aca="false">IF(Q1062="Shoring",D1062,0)</f>
        <v>1.01200616738023</v>
      </c>
      <c r="S1062" s="27" t="n">
        <f aca="false">MAX(0,GWL-L1062)</f>
        <v>4.09999759006555</v>
      </c>
      <c r="T1062" s="27" t="n">
        <f aca="false">MAX(0,NG-MAX(L1062,GWL))</f>
        <v>0.8</v>
      </c>
      <c r="U1062" s="27" t="n">
        <f aca="false">E1062+2*WS</f>
        <v>3.39999518013111</v>
      </c>
      <c r="V1062" s="27" t="n">
        <f aca="false">IF(Q1062="Shoring",D1062*M1062*U1062,0)</f>
        <v>16.8599905555019</v>
      </c>
      <c r="W1062" s="27" t="n">
        <f aca="false">IF(Q1062="Open cut",D1062*(U1062*M1062+SLOPE_B*S1062^2+2*SLOPE_B*S1062*T1062+SLOPE_A*T1062^2),0)</f>
        <v>0</v>
      </c>
      <c r="X1062" s="27" t="n">
        <f aca="false">IF(M1062&gt;0,D1062*(E1062+2*SLABOVH)*SLAB,0)</f>
        <v>1.21440496198775</v>
      </c>
      <c r="Y1062" s="27" t="n">
        <f aca="false">IF(M1062&gt;0,D1062*PI()*E1062^2/4,0)</f>
        <v>1.5578517323208</v>
      </c>
      <c r="Z1062" s="27" t="n">
        <f aca="false">IF(H1062-E1062&gt;=GWL,99,E1062*(MAX(0,GWL-H1062)*(GAM_S-GAM_W)+MAX(0,NG-MAX(H1062,GWL))*GAM_D)/(GAM_W*PI()*E1062^2/4))</f>
        <v>3.00539149521501</v>
      </c>
      <c r="AA1062" s="27" t="n">
        <f aca="false">IF(I1062-E1062&gt;=GWL,99,E1062*(MAX(0,GWL-I1062)*(GAM_S-GAM_W)+MAX(0,NG-MAX(I1062,GWL))*GAM_D)/(GAM_W*PI()*E1062^2/4))</f>
        <v>3.00539149521501</v>
      </c>
      <c r="AB1062" s="27" t="n">
        <f aca="false">IF(H1062-E1062&gt;=GWL,99,E1062*(MAX(0,GWL-H1062)*(GAM_S-GAM_W)+MAX(0,FL-MAX(H1062,GWL))*GAM_D)/(GAM_W*PI()*E1062^2/4))</f>
        <v>5.84223904169194</v>
      </c>
      <c r="AC1062" s="27" t="n">
        <f aca="false">IF(I1062-E1062&gt;=GWL,99,E1062*(MAX(0,GWL-I1062)*(GAM_S-GAM_W)+MAX(0,FL-MAX(I1062,GWL))*GAM_D)/(GAM_W*PI()*E1062^2/4))</f>
        <v>5.84223904169194</v>
      </c>
    </row>
    <row r="1063" customFormat="false" ht="15" hidden="false" customHeight="false" outlineLevel="0" collapsed="false">
      <c r="A1063" s="25" t="s">
        <v>1594</v>
      </c>
      <c r="B1063" s="25" t="s">
        <v>1673</v>
      </c>
      <c r="C1063" s="25" t="s">
        <v>1675</v>
      </c>
      <c r="D1063" s="26" t="n">
        <v>2.55899999992469</v>
      </c>
      <c r="E1063" s="26" t="n">
        <v>1.39998652014464</v>
      </c>
      <c r="F1063" s="26" t="n">
        <v>-5.59999326007232</v>
      </c>
      <c r="G1063" s="26" t="n">
        <v>-5.59999326007232</v>
      </c>
      <c r="H1063" s="26" t="n">
        <v>-3.70000673992768</v>
      </c>
      <c r="I1063" s="26" t="n">
        <v>-3.70000673992768</v>
      </c>
      <c r="J1063" s="26" t="n">
        <v>22.71</v>
      </c>
      <c r="K1063" s="27" t="n">
        <f aca="false">MIN(F1063,G1063)</f>
        <v>-5.59999326007232</v>
      </c>
      <c r="L1063" s="27" t="n">
        <f aca="false">AVERAGE(F1063,G1063)</f>
        <v>-5.59999326007232</v>
      </c>
      <c r="M1063" s="27" t="n">
        <f aca="false">MAX(0,NG-L1063)</f>
        <v>4.89999326007232</v>
      </c>
      <c r="N1063" s="27" t="n">
        <f aca="false">MAX(0,GWL-K1063)</f>
        <v>4.09999326007232</v>
      </c>
      <c r="O1063" s="27" t="n">
        <f aca="false">MAX(0,NG-MAX(K1063,GWL))</f>
        <v>0.8</v>
      </c>
      <c r="P1063" s="27" t="n">
        <f aca="false">E1063/2+WS+SLOPE_A*O1063+SLOPE_B*N1063</f>
        <v>11.099979780217</v>
      </c>
      <c r="Q1063" s="28" t="str">
        <f aca="false">IF(AND(P1063&lt;J1063,N1063&lt;=MAXOC),"Open cut","Shoring")</f>
        <v>Shoring</v>
      </c>
      <c r="R1063" s="27" t="n">
        <f aca="false">IF(Q1063="Shoring",D1063,0)</f>
        <v>2.55899999992469</v>
      </c>
      <c r="S1063" s="27" t="n">
        <f aca="false">MAX(0,GWL-L1063)</f>
        <v>4.09999326007232</v>
      </c>
      <c r="T1063" s="27" t="n">
        <f aca="false">MAX(0,NG-MAX(L1063,GWL))</f>
        <v>0.8</v>
      </c>
      <c r="U1063" s="27" t="n">
        <f aca="false">E1063+2*WS</f>
        <v>3.39998652014464</v>
      </c>
      <c r="V1063" s="27" t="n">
        <f aca="false">IF(Q1063="Shoring",D1063*M1063*U1063,0)</f>
        <v>42.6327123323087</v>
      </c>
      <c r="W1063" s="27" t="n">
        <f aca="false">IF(Q1063="Open cut",D1063*(U1063*M1063+SLOPE_B*S1063^2+2*SLOPE_B*S1063*T1063+SLOPE_A*T1063^2),0)</f>
        <v>0</v>
      </c>
      <c r="X1063" s="27" t="n">
        <f aca="false">IF(M1063&gt;0,D1063*(E1063+2*SLABOVH)*SLAB,0)</f>
        <v>3.07078275243469</v>
      </c>
      <c r="Y1063" s="27" t="n">
        <f aca="false">IF(M1063&gt;0,D1063*PI()*E1063^2/4,0)</f>
        <v>3.93919858615527</v>
      </c>
      <c r="Z1063" s="27" t="n">
        <f aca="false">IF(H1063-E1063&gt;=GWL,99,E1063*(MAX(0,GWL-H1063)*(GAM_S-GAM_W)+MAX(0,NG-MAX(H1063,GWL))*GAM_D)/(GAM_W*PI()*E1063^2/4))</f>
        <v>3.00541337352926</v>
      </c>
      <c r="AA1063" s="27" t="n">
        <f aca="false">IF(I1063-E1063&gt;=GWL,99,E1063*(MAX(0,GWL-I1063)*(GAM_S-GAM_W)+MAX(0,NG-MAX(I1063,GWL))*GAM_D)/(GAM_W*PI()*E1063^2/4))</f>
        <v>3.00541337352926</v>
      </c>
      <c r="AB1063" s="27" t="n">
        <f aca="false">IF(H1063-E1063&gt;=GWL,99,E1063*(MAX(0,GWL-H1063)*(GAM_S-GAM_W)+MAX(0,FL-MAX(H1063,GWL))*GAM_D)/(GAM_W*PI()*E1063^2/4))</f>
        <v>5.84227846807613</v>
      </c>
      <c r="AC1063" s="27" t="n">
        <f aca="false">IF(I1063-E1063&gt;=GWL,99,E1063*(MAX(0,GWL-I1063)*(GAM_S-GAM_W)+MAX(0,FL-MAX(I1063,GWL))*GAM_D)/(GAM_W*PI()*E1063^2/4))</f>
        <v>5.84227846807613</v>
      </c>
    </row>
    <row r="1064" customFormat="false" ht="15" hidden="false" customHeight="false" outlineLevel="0" collapsed="false">
      <c r="A1064" s="25" t="s">
        <v>1594</v>
      </c>
      <c r="B1064" s="25" t="s">
        <v>1673</v>
      </c>
      <c r="C1064" s="25" t="s">
        <v>1676</v>
      </c>
      <c r="D1064" s="26" t="n">
        <v>6.4289938328847</v>
      </c>
      <c r="E1064" s="26" t="n">
        <v>1.40000152046147</v>
      </c>
      <c r="F1064" s="26" t="n">
        <v>-5.60000076023074</v>
      </c>
      <c r="G1064" s="26" t="n">
        <v>-5.60000076023074</v>
      </c>
      <c r="H1064" s="26" t="n">
        <v>-3.69999923976927</v>
      </c>
      <c r="I1064" s="26" t="n">
        <v>-3.69999923976927</v>
      </c>
      <c r="J1064" s="26" t="n">
        <v>20.01</v>
      </c>
      <c r="K1064" s="27" t="n">
        <f aca="false">MIN(F1064,G1064)</f>
        <v>-5.60000076023074</v>
      </c>
      <c r="L1064" s="27" t="n">
        <f aca="false">AVERAGE(F1064,G1064)</f>
        <v>-5.60000076023074</v>
      </c>
      <c r="M1064" s="27" t="n">
        <f aca="false">MAX(0,NG-L1064)</f>
        <v>4.90000076023074</v>
      </c>
      <c r="N1064" s="27" t="n">
        <f aca="false">MAX(0,GWL-K1064)</f>
        <v>4.10000076023074</v>
      </c>
      <c r="O1064" s="27" t="n">
        <f aca="false">MAX(0,NG-MAX(K1064,GWL))</f>
        <v>0.8</v>
      </c>
      <c r="P1064" s="27" t="n">
        <f aca="false">E1064/2+WS+SLOPE_A*O1064+SLOPE_B*N1064</f>
        <v>11.1000022806922</v>
      </c>
      <c r="Q1064" s="28" t="str">
        <f aca="false">IF(AND(P1064&lt;J1064,N1064&lt;=MAXOC),"Open cut","Shoring")</f>
        <v>Shoring</v>
      </c>
      <c r="R1064" s="27" t="n">
        <f aca="false">IF(Q1064="Shoring",D1064,0)</f>
        <v>6.4289938328847</v>
      </c>
      <c r="S1064" s="27" t="n">
        <f aca="false">MAX(0,GWL-L1064)</f>
        <v>4.10000076023074</v>
      </c>
      <c r="T1064" s="27" t="n">
        <f aca="false">MAX(0,NG-MAX(L1064,GWL))</f>
        <v>0.8</v>
      </c>
      <c r="U1064" s="27" t="n">
        <f aca="false">E1064+2*WS</f>
        <v>3.40000152046147</v>
      </c>
      <c r="V1064" s="27" t="n">
        <f aca="false">IF(Q1064="Shoring",D1064*M1064*U1064,0)</f>
        <v>107.107101771113</v>
      </c>
      <c r="W1064" s="27" t="n">
        <f aca="false">IF(Q1064="Open cut",D1064*(U1064*M1064+SLOPE_B*S1064^2+2*SLOPE_B*S1064*T1064+SLOPE_A*T1064^2),0)</f>
        <v>0</v>
      </c>
      <c r="X1064" s="27" t="n">
        <f aca="false">IF(M1064&gt;0,D1064*(E1064+2*SLABOVH)*SLAB,0)</f>
        <v>7.71479748698034</v>
      </c>
      <c r="Y1064" s="27" t="n">
        <f aca="false">IF(M1064&gt;0,D1064*PI()*E1064^2/4,0)</f>
        <v>9.89668859617036</v>
      </c>
      <c r="Z1064" s="27" t="n">
        <f aca="false">IF(H1064-E1064&gt;=GWL,99,E1064*(MAX(0,GWL-H1064)*(GAM_S-GAM_W)+MAX(0,NG-MAX(H1064,GWL))*GAM_D)/(GAM_W*PI()*E1064^2/4))</f>
        <v>3.00537547737775</v>
      </c>
      <c r="AA1064" s="27" t="n">
        <f aca="false">IF(I1064-E1064&gt;=GWL,99,E1064*(MAX(0,GWL-I1064)*(GAM_S-GAM_W)+MAX(0,NG-MAX(I1064,GWL))*GAM_D)/(GAM_W*PI()*E1064^2/4))</f>
        <v>3.00537547737775</v>
      </c>
      <c r="AB1064" s="27" t="n">
        <f aca="false">IF(H1064-E1064&gt;=GWL,99,E1064*(MAX(0,GWL-H1064)*(GAM_S-GAM_W)+MAX(0,FL-MAX(H1064,GWL))*GAM_D)/(GAM_W*PI()*E1064^2/4))</f>
        <v>5.84221017633246</v>
      </c>
      <c r="AC1064" s="27" t="n">
        <f aca="false">IF(I1064-E1064&gt;=GWL,99,E1064*(MAX(0,GWL-I1064)*(GAM_S-GAM_W)+MAX(0,FL-MAX(I1064,GWL))*GAM_D)/(GAM_W*PI()*E1064^2/4))</f>
        <v>5.84221017633246</v>
      </c>
    </row>
    <row r="1065" customFormat="false" ht="15" hidden="false" customHeight="false" outlineLevel="0" collapsed="false">
      <c r="A1065" s="25" t="s">
        <v>1594</v>
      </c>
      <c r="B1065" s="25" t="s">
        <v>1673</v>
      </c>
      <c r="C1065" s="25" t="s">
        <v>1677</v>
      </c>
      <c r="D1065" s="26" t="n">
        <v>4.53048157883765</v>
      </c>
      <c r="E1065" s="26" t="n">
        <v>1.40000152046147</v>
      </c>
      <c r="F1065" s="26" t="n">
        <v>-5.60000076023074</v>
      </c>
      <c r="G1065" s="26" t="n">
        <v>-5.60000076023074</v>
      </c>
      <c r="H1065" s="26" t="n">
        <v>-3.69999923976927</v>
      </c>
      <c r="I1065" s="26" t="n">
        <v>-3.69999923976927</v>
      </c>
      <c r="J1065" s="26" t="n">
        <v>17.52</v>
      </c>
      <c r="K1065" s="27" t="n">
        <f aca="false">MIN(F1065,G1065)</f>
        <v>-5.60000076023074</v>
      </c>
      <c r="L1065" s="27" t="n">
        <f aca="false">AVERAGE(F1065,G1065)</f>
        <v>-5.60000076023074</v>
      </c>
      <c r="M1065" s="27" t="n">
        <f aca="false">MAX(0,NG-L1065)</f>
        <v>4.90000076023074</v>
      </c>
      <c r="N1065" s="27" t="n">
        <f aca="false">MAX(0,GWL-K1065)</f>
        <v>4.10000076023074</v>
      </c>
      <c r="O1065" s="27" t="n">
        <f aca="false">MAX(0,NG-MAX(K1065,GWL))</f>
        <v>0.8</v>
      </c>
      <c r="P1065" s="27" t="n">
        <f aca="false">E1065/2+WS+SLOPE_A*O1065+SLOPE_B*N1065</f>
        <v>11.1000022806922</v>
      </c>
      <c r="Q1065" s="28" t="str">
        <f aca="false">IF(AND(P1065&lt;J1065,N1065&lt;=MAXOC),"Open cut","Shoring")</f>
        <v>Shoring</v>
      </c>
      <c r="R1065" s="27" t="n">
        <f aca="false">IF(Q1065="Shoring",D1065,0)</f>
        <v>4.53048157883765</v>
      </c>
      <c r="S1065" s="27" t="n">
        <f aca="false">MAX(0,GWL-L1065)</f>
        <v>4.10000076023074</v>
      </c>
      <c r="T1065" s="27" t="n">
        <f aca="false">MAX(0,NG-MAX(L1065,GWL))</f>
        <v>0.8</v>
      </c>
      <c r="U1065" s="27" t="n">
        <f aca="false">E1065+2*WS</f>
        <v>3.40000152046147</v>
      </c>
      <c r="V1065" s="27" t="n">
        <f aca="false">IF(Q1065="Shoring",D1065*M1065*U1065,0)</f>
        <v>75.4778685670303</v>
      </c>
      <c r="W1065" s="27" t="n">
        <f aca="false">IF(Q1065="Open cut",D1065*(U1065*M1065+SLOPE_B*S1065^2+2*SLOPE_B*S1065*T1065+SLOPE_A*T1065^2),0)</f>
        <v>0</v>
      </c>
      <c r="X1065" s="27" t="n">
        <f aca="false">IF(M1065&gt;0,D1065*(E1065+2*SLABOVH)*SLAB,0)</f>
        <v>5.43658133881653</v>
      </c>
      <c r="Y1065" s="27" t="n">
        <f aca="false">IF(M1065&gt;0,D1065*PI()*E1065^2/4,0)</f>
        <v>6.97414969463802</v>
      </c>
      <c r="Z1065" s="27" t="n">
        <f aca="false">IF(H1065-E1065&gt;=GWL,99,E1065*(MAX(0,GWL-H1065)*(GAM_S-GAM_W)+MAX(0,NG-MAX(H1065,GWL))*GAM_D)/(GAM_W*PI()*E1065^2/4))</f>
        <v>3.00537547737775</v>
      </c>
      <c r="AA1065" s="27" t="n">
        <f aca="false">IF(I1065-E1065&gt;=GWL,99,E1065*(MAX(0,GWL-I1065)*(GAM_S-GAM_W)+MAX(0,NG-MAX(I1065,GWL))*GAM_D)/(GAM_W*PI()*E1065^2/4))</f>
        <v>3.00537547737775</v>
      </c>
      <c r="AB1065" s="27" t="n">
        <f aca="false">IF(H1065-E1065&gt;=GWL,99,E1065*(MAX(0,GWL-H1065)*(GAM_S-GAM_W)+MAX(0,FL-MAX(H1065,GWL))*GAM_D)/(GAM_W*PI()*E1065^2/4))</f>
        <v>5.84221017633246</v>
      </c>
      <c r="AC1065" s="27" t="n">
        <f aca="false">IF(I1065-E1065&gt;=GWL,99,E1065*(MAX(0,GWL-I1065)*(GAM_S-GAM_W)+MAX(0,FL-MAX(I1065,GWL))*GAM_D)/(GAM_W*PI()*E1065^2/4))</f>
        <v>5.84221017633246</v>
      </c>
    </row>
    <row r="1066" customFormat="false" ht="15" hidden="false" customHeight="false" outlineLevel="0" collapsed="false">
      <c r="A1066" s="25" t="s">
        <v>1594</v>
      </c>
      <c r="B1066" s="25" t="s">
        <v>1659</v>
      </c>
      <c r="C1066" s="25" t="s">
        <v>1678</v>
      </c>
      <c r="D1066" s="26" t="n">
        <v>0.636389368308715</v>
      </c>
      <c r="E1066" s="26" t="n">
        <v>0.980784657259668</v>
      </c>
      <c r="F1066" s="26" t="n">
        <v>-5.39039232862983</v>
      </c>
      <c r="G1066" s="26" t="n">
        <v>-5.39039232862983</v>
      </c>
      <c r="H1066" s="26" t="n">
        <v>-3.90960767137017</v>
      </c>
      <c r="I1066" s="26" t="n">
        <v>-3.90960767137017</v>
      </c>
      <c r="J1066" s="26" t="n">
        <v>20.77</v>
      </c>
      <c r="K1066" s="27" t="n">
        <f aca="false">MIN(F1066,G1066)</f>
        <v>-5.39039232862983</v>
      </c>
      <c r="L1066" s="27" t="n">
        <f aca="false">AVERAGE(F1066,G1066)</f>
        <v>-5.39039232862983</v>
      </c>
      <c r="M1066" s="27" t="n">
        <f aca="false">MAX(0,NG-L1066)</f>
        <v>4.69039232862983</v>
      </c>
      <c r="N1066" s="27" t="n">
        <f aca="false">MAX(0,GWL-K1066)</f>
        <v>3.89039232862983</v>
      </c>
      <c r="O1066" s="27" t="n">
        <f aca="false">MAX(0,NG-MAX(K1066,GWL))</f>
        <v>0.8</v>
      </c>
      <c r="P1066" s="27" t="n">
        <f aca="false">E1066/2+WS+SLOPE_A*O1066+SLOPE_B*N1066</f>
        <v>10.4711769858895</v>
      </c>
      <c r="Q1066" s="28" t="str">
        <f aca="false">IF(AND(P1066&lt;J1066,N1066&lt;=MAXOC),"Open cut","Shoring")</f>
        <v>Shoring</v>
      </c>
      <c r="R1066" s="27" t="n">
        <f aca="false">IF(Q1066="Shoring",D1066,0)</f>
        <v>0.636389368308715</v>
      </c>
      <c r="S1066" s="27" t="n">
        <f aca="false">MAX(0,GWL-L1066)</f>
        <v>3.89039232862983</v>
      </c>
      <c r="T1066" s="27" t="n">
        <f aca="false">MAX(0,NG-MAX(L1066,GWL))</f>
        <v>0.8</v>
      </c>
      <c r="U1066" s="27" t="n">
        <f aca="false">E1066+2*WS</f>
        <v>2.98078465725967</v>
      </c>
      <c r="V1066" s="27" t="n">
        <f aca="false">IF(Q1066="Shoring",D1066*M1066*U1066,0)</f>
        <v>8.89739125304832</v>
      </c>
      <c r="W1066" s="27" t="n">
        <f aca="false">IF(Q1066="Open cut",D1066*(U1066*M1066+SLOPE_B*S1066^2+2*SLOPE_B*S1066*T1066+SLOPE_A*T1066^2),0)</f>
        <v>0</v>
      </c>
      <c r="X1066" s="27" t="n">
        <f aca="false">IF(M1066&gt;0,D1066*(E1066+2*SLABOVH)*SLAB,0)</f>
        <v>0.630275148394538</v>
      </c>
      <c r="Y1066" s="27" t="n">
        <f aca="false">IF(M1066&gt;0,D1066*PI()*E1066^2/4,0)</f>
        <v>0.480795200593474</v>
      </c>
      <c r="Z1066" s="27" t="n">
        <f aca="false">IF(H1066-E1066&gt;=GWL,99,E1066*(MAX(0,GWL-H1066)*(GAM_S-GAM_W)+MAX(0,NG-MAX(H1066,GWL))*GAM_D)/(GAM_W*PI()*E1066^2/4))</f>
        <v>4.51713812457019</v>
      </c>
      <c r="AA1066" s="27" t="n">
        <f aca="false">IF(I1066-E1066&gt;=GWL,99,E1066*(MAX(0,GWL-I1066)*(GAM_S-GAM_W)+MAX(0,NG-MAX(I1066,GWL))*GAM_D)/(GAM_W*PI()*E1066^2/4))</f>
        <v>4.51713812457019</v>
      </c>
      <c r="AB1066" s="27" t="n">
        <f aca="false">IF(H1066-E1066&gt;=GWL,99,E1066*(MAX(0,GWL-H1066)*(GAM_S-GAM_W)+MAX(0,FL-MAX(H1066,GWL))*GAM_D)/(GAM_W*PI()*E1066^2/4))</f>
        <v>8.56652130204679</v>
      </c>
      <c r="AC1066" s="27" t="n">
        <f aca="false">IF(I1066-E1066&gt;=GWL,99,E1066*(MAX(0,GWL-I1066)*(GAM_S-GAM_W)+MAX(0,FL-MAX(I1066,GWL))*GAM_D)/(GAM_W*PI()*E1066^2/4))</f>
        <v>8.56652130204679</v>
      </c>
    </row>
    <row r="1067" customFormat="false" ht="15" hidden="false" customHeight="false" outlineLevel="0" collapsed="false">
      <c r="A1067" s="25" t="s">
        <v>1594</v>
      </c>
      <c r="B1067" s="25" t="s">
        <v>1659</v>
      </c>
      <c r="C1067" s="25" t="s">
        <v>1679</v>
      </c>
      <c r="D1067" s="26" t="n">
        <v>0.170190000244321</v>
      </c>
      <c r="E1067" s="26" t="n">
        <v>0.999995320065</v>
      </c>
      <c r="F1067" s="26" t="n">
        <v>-5.3999976600325</v>
      </c>
      <c r="G1067" s="26" t="n">
        <v>-5.3999976600325</v>
      </c>
      <c r="H1067" s="26" t="n">
        <v>-3.9000023399675</v>
      </c>
      <c r="I1067" s="26" t="n">
        <v>-3.9000023399675</v>
      </c>
      <c r="J1067" s="26" t="n">
        <v>21.27</v>
      </c>
      <c r="K1067" s="27" t="n">
        <f aca="false">MIN(F1067,G1067)</f>
        <v>-5.3999976600325</v>
      </c>
      <c r="L1067" s="27" t="n">
        <f aca="false">AVERAGE(F1067,G1067)</f>
        <v>-5.3999976600325</v>
      </c>
      <c r="M1067" s="27" t="n">
        <f aca="false">MAX(0,NG-L1067)</f>
        <v>4.6999976600325</v>
      </c>
      <c r="N1067" s="27" t="n">
        <f aca="false">MAX(0,GWL-K1067)</f>
        <v>3.8999976600325</v>
      </c>
      <c r="O1067" s="27" t="n">
        <f aca="false">MAX(0,NG-MAX(K1067,GWL))</f>
        <v>0.8</v>
      </c>
      <c r="P1067" s="27" t="n">
        <f aca="false">E1067/2+WS+SLOPE_A*O1067+SLOPE_B*N1067</f>
        <v>10.4999929800975</v>
      </c>
      <c r="Q1067" s="28" t="str">
        <f aca="false">IF(AND(P1067&lt;J1067,N1067&lt;=MAXOC),"Open cut","Shoring")</f>
        <v>Shoring</v>
      </c>
      <c r="R1067" s="27" t="n">
        <f aca="false">IF(Q1067="Shoring",D1067,0)</f>
        <v>0.170190000244321</v>
      </c>
      <c r="S1067" s="27" t="n">
        <f aca="false">MAX(0,GWL-L1067)</f>
        <v>3.8999976600325</v>
      </c>
      <c r="T1067" s="27" t="n">
        <f aca="false">MAX(0,NG-MAX(L1067,GWL))</f>
        <v>0.8</v>
      </c>
      <c r="U1067" s="27" t="n">
        <f aca="false">E1067+2*WS</f>
        <v>2.999995320065</v>
      </c>
      <c r="V1067" s="27" t="n">
        <f aca="false">IF(Q1067="Shoring",D1067*M1067*U1067,0)</f>
        <v>2.39967406528233</v>
      </c>
      <c r="W1067" s="27" t="n">
        <f aca="false">IF(Q1067="Open cut",D1067*(U1067*M1067+SLOPE_B*S1067^2+2*SLOPE_B*S1067*T1067+SLOPE_A*T1067^2),0)</f>
        <v>0</v>
      </c>
      <c r="X1067" s="27" t="n">
        <f aca="false">IF(M1067&gt;0,D1067*(E1067+2*SLABOVH)*SLAB,0)</f>
        <v>0.170189602005252</v>
      </c>
      <c r="Y1067" s="27" t="n">
        <f aca="false">IF(M1067&gt;0,D1067*PI()*E1067^2/4,0)</f>
        <v>0.133665662518494</v>
      </c>
      <c r="Z1067" s="27" t="n">
        <f aca="false">IF(H1067-E1067&gt;=GWL,99,E1067*(MAX(0,GWL-H1067)*(GAM_S-GAM_W)+MAX(0,NG-MAX(H1067,GWL))*GAM_D)/(GAM_W*PI()*E1067^2/4))</f>
        <v>4.42015018003066</v>
      </c>
      <c r="AA1067" s="27" t="n">
        <f aca="false">IF(I1067-E1067&gt;=GWL,99,E1067*(MAX(0,GWL-I1067)*(GAM_S-GAM_W)+MAX(0,NG-MAX(I1067,GWL))*GAM_D)/(GAM_W*PI()*E1067^2/4))</f>
        <v>4.42015018003066</v>
      </c>
      <c r="AB1067" s="27" t="n">
        <f aca="false">IF(H1067-E1067&gt;=GWL,99,E1067*(MAX(0,GWL-H1067)*(GAM_S-GAM_W)+MAX(0,FL-MAX(H1067,GWL))*GAM_D)/(GAM_W*PI()*E1067^2/4))</f>
        <v>8.39174165865508</v>
      </c>
      <c r="AC1067" s="27" t="n">
        <f aca="false">IF(I1067-E1067&gt;=GWL,99,E1067*(MAX(0,GWL-I1067)*(GAM_S-GAM_W)+MAX(0,FL-MAX(I1067,GWL))*GAM_D)/(GAM_W*PI()*E1067^2/4))</f>
        <v>8.39174165865508</v>
      </c>
    </row>
    <row r="1068" customFormat="false" ht="15" hidden="false" customHeight="false" outlineLevel="0" collapsed="false">
      <c r="A1068" s="25" t="s">
        <v>1594</v>
      </c>
      <c r="B1068" s="25" t="s">
        <v>1680</v>
      </c>
      <c r="C1068" s="25" t="s">
        <v>1681</v>
      </c>
      <c r="D1068" s="26" t="n">
        <v>4.83191999950131</v>
      </c>
      <c r="E1068" s="26" t="n">
        <v>2.06960331171637</v>
      </c>
      <c r="F1068" s="26" t="n">
        <v>-5.93480165585819</v>
      </c>
      <c r="G1068" s="26" t="n">
        <v>-5.93480165585819</v>
      </c>
      <c r="H1068" s="26" t="n">
        <v>-3.36519834414182</v>
      </c>
      <c r="I1068" s="26" t="n">
        <v>-3.36519834414182</v>
      </c>
      <c r="J1068" s="26" t="n">
        <v>16.91</v>
      </c>
      <c r="K1068" s="27" t="n">
        <f aca="false">MIN(F1068,G1068)</f>
        <v>-5.93480165585819</v>
      </c>
      <c r="L1068" s="27" t="n">
        <f aca="false">AVERAGE(F1068,G1068)</f>
        <v>-5.93480165585819</v>
      </c>
      <c r="M1068" s="27" t="n">
        <f aca="false">MAX(0,NG-L1068)</f>
        <v>5.23480165585819</v>
      </c>
      <c r="N1068" s="27" t="n">
        <f aca="false">MAX(0,GWL-K1068)</f>
        <v>4.43480165585819</v>
      </c>
      <c r="O1068" s="27" t="n">
        <f aca="false">MAX(0,NG-MAX(K1068,GWL))</f>
        <v>0.8</v>
      </c>
      <c r="P1068" s="27" t="n">
        <f aca="false">E1068/2+WS+SLOPE_A*O1068+SLOPE_B*N1068</f>
        <v>12.1044049675746</v>
      </c>
      <c r="Q1068" s="28" t="str">
        <f aca="false">IF(AND(P1068&lt;J1068,N1068&lt;=MAXOC),"Open cut","Shoring")</f>
        <v>Shoring</v>
      </c>
      <c r="R1068" s="27" t="n">
        <f aca="false">IF(Q1068="Shoring",D1068,0)</f>
        <v>4.83191999950131</v>
      </c>
      <c r="S1068" s="27" t="n">
        <f aca="false">MAX(0,GWL-L1068)</f>
        <v>4.43480165585819</v>
      </c>
      <c r="T1068" s="27" t="n">
        <f aca="false">MAX(0,NG-MAX(L1068,GWL))</f>
        <v>0.8</v>
      </c>
      <c r="U1068" s="27" t="n">
        <f aca="false">E1068+2*WS</f>
        <v>4.06960331171637</v>
      </c>
      <c r="V1068" s="27" t="n">
        <f aca="false">IF(Q1068="Shoring",D1068*M1068*U1068,0)</f>
        <v>102.937127364362</v>
      </c>
      <c r="W1068" s="27" t="n">
        <f aca="false">IF(Q1068="Open cut",D1068*(U1068*M1068+SLOPE_B*S1068^2+2*SLOPE_B*S1068*T1068+SLOPE_A*T1068^2),0)</f>
        <v>0</v>
      </c>
      <c r="X1068" s="27" t="n">
        <f aca="false">IF(M1068&gt;0,D1068*(E1068+2*SLABOVH)*SLAB,0)</f>
        <v>7.41603881620889</v>
      </c>
      <c r="Y1068" s="27" t="n">
        <f aca="false">IF(M1068&gt;0,D1068*PI()*E1068^2/4,0)</f>
        <v>16.2548826262497</v>
      </c>
      <c r="Z1068" s="27" t="n">
        <f aca="false">IF(H1068-E1068&gt;=GWL,99,E1068*(MAX(0,GWL-H1068)*(GAM_S-GAM_W)+MAX(0,NG-MAX(H1068,GWL))*GAM_D)/(GAM_W*PI()*E1068^2/4))</f>
        <v>1.86105406087656</v>
      </c>
      <c r="AA1068" s="27" t="n">
        <f aca="false">IF(I1068-E1068&gt;=GWL,99,E1068*(MAX(0,GWL-I1068)*(GAM_S-GAM_W)+MAX(0,NG-MAX(I1068,GWL))*GAM_D)/(GAM_W*PI()*E1068^2/4))</f>
        <v>1.86105406087656</v>
      </c>
      <c r="AB1068" s="27" t="n">
        <f aca="false">IF(H1068-E1068&gt;=GWL,99,E1068*(MAX(0,GWL-H1068)*(GAM_S-GAM_W)+MAX(0,FL-MAX(H1068,GWL))*GAM_D)/(GAM_W*PI()*E1068^2/4))</f>
        <v>3.7800560596416</v>
      </c>
      <c r="AC1068" s="27" t="n">
        <f aca="false">IF(I1068-E1068&gt;=GWL,99,E1068*(MAX(0,GWL-I1068)*(GAM_S-GAM_W)+MAX(0,FL-MAX(I1068,GWL))*GAM_D)/(GAM_W*PI()*E1068^2/4))</f>
        <v>3.7800560596416</v>
      </c>
    </row>
    <row r="1069" customFormat="false" ht="15" hidden="false" customHeight="false" outlineLevel="0" collapsed="false">
      <c r="A1069" s="25" t="s">
        <v>1594</v>
      </c>
      <c r="B1069" s="25" t="s">
        <v>1680</v>
      </c>
      <c r="C1069" s="25" t="s">
        <v>1682</v>
      </c>
      <c r="D1069" s="26" t="n">
        <v>0.0908700004338238</v>
      </c>
      <c r="E1069" s="26" t="n">
        <v>2.06960331171637</v>
      </c>
      <c r="F1069" s="26" t="n">
        <v>-5.93480165585819</v>
      </c>
      <c r="G1069" s="26" t="n">
        <v>-5.93480165585819</v>
      </c>
      <c r="H1069" s="26" t="n">
        <v>-3.36519834414182</v>
      </c>
      <c r="I1069" s="26" t="n">
        <v>-3.36519834414182</v>
      </c>
      <c r="J1069" s="26" t="n">
        <v>21.74</v>
      </c>
      <c r="K1069" s="27" t="n">
        <f aca="false">MIN(F1069,G1069)</f>
        <v>-5.93480165585819</v>
      </c>
      <c r="L1069" s="27" t="n">
        <f aca="false">AVERAGE(F1069,G1069)</f>
        <v>-5.93480165585819</v>
      </c>
      <c r="M1069" s="27" t="n">
        <f aca="false">MAX(0,NG-L1069)</f>
        <v>5.23480165585819</v>
      </c>
      <c r="N1069" s="27" t="n">
        <f aca="false">MAX(0,GWL-K1069)</f>
        <v>4.43480165585819</v>
      </c>
      <c r="O1069" s="27" t="n">
        <f aca="false">MAX(0,NG-MAX(K1069,GWL))</f>
        <v>0.8</v>
      </c>
      <c r="P1069" s="27" t="n">
        <f aca="false">E1069/2+WS+SLOPE_A*O1069+SLOPE_B*N1069</f>
        <v>12.1044049675746</v>
      </c>
      <c r="Q1069" s="28" t="str">
        <f aca="false">IF(AND(P1069&lt;J1069,N1069&lt;=MAXOC),"Open cut","Shoring")</f>
        <v>Shoring</v>
      </c>
      <c r="R1069" s="27" t="n">
        <f aca="false">IF(Q1069="Shoring",D1069,0)</f>
        <v>0.0908700004338238</v>
      </c>
      <c r="S1069" s="27" t="n">
        <f aca="false">MAX(0,GWL-L1069)</f>
        <v>4.43480165585819</v>
      </c>
      <c r="T1069" s="27" t="n">
        <f aca="false">MAX(0,NG-MAX(L1069,GWL))</f>
        <v>0.8</v>
      </c>
      <c r="U1069" s="27" t="n">
        <f aca="false">E1069+2*WS</f>
        <v>4.06960331171637</v>
      </c>
      <c r="V1069" s="27" t="n">
        <f aca="false">IF(Q1069="Shoring",D1069*M1069*U1069,0)</f>
        <v>1.93585506573401</v>
      </c>
      <c r="W1069" s="27" t="n">
        <f aca="false">IF(Q1069="Open cut",D1069*(U1069*M1069+SLOPE_B*S1069^2+2*SLOPE_B*S1069*T1069+SLOPE_A*T1069^2),0)</f>
        <v>0</v>
      </c>
      <c r="X1069" s="27" t="n">
        <f aca="false">IF(M1069&gt;0,D1069*(E1069+2*SLABOVH)*SLAB,0)</f>
        <v>0.139467427133667</v>
      </c>
      <c r="Y1069" s="27" t="n">
        <f aca="false">IF(M1069&gt;0,D1069*PI()*E1069^2/4,0)</f>
        <v>0.305692393800293</v>
      </c>
      <c r="Z1069" s="27" t="n">
        <f aca="false">IF(H1069-E1069&gt;=GWL,99,E1069*(MAX(0,GWL-H1069)*(GAM_S-GAM_W)+MAX(0,NG-MAX(H1069,GWL))*GAM_D)/(GAM_W*PI()*E1069^2/4))</f>
        <v>1.86105406087656</v>
      </c>
      <c r="AA1069" s="27" t="n">
        <f aca="false">IF(I1069-E1069&gt;=GWL,99,E1069*(MAX(0,GWL-I1069)*(GAM_S-GAM_W)+MAX(0,NG-MAX(I1069,GWL))*GAM_D)/(GAM_W*PI()*E1069^2/4))</f>
        <v>1.86105406087656</v>
      </c>
      <c r="AB1069" s="27" t="n">
        <f aca="false">IF(H1069-E1069&gt;=GWL,99,E1069*(MAX(0,GWL-H1069)*(GAM_S-GAM_W)+MAX(0,FL-MAX(H1069,GWL))*GAM_D)/(GAM_W*PI()*E1069^2/4))</f>
        <v>3.7800560596416</v>
      </c>
      <c r="AC1069" s="27" t="n">
        <f aca="false">IF(I1069-E1069&gt;=GWL,99,E1069*(MAX(0,GWL-I1069)*(GAM_S-GAM_W)+MAX(0,FL-MAX(I1069,GWL))*GAM_D)/(GAM_W*PI()*E1069^2/4))</f>
        <v>3.7800560596416</v>
      </c>
    </row>
    <row r="1070" customFormat="false" ht="15" hidden="false" customHeight="false" outlineLevel="0" collapsed="false">
      <c r="A1070" s="25" t="s">
        <v>1683</v>
      </c>
      <c r="B1070" s="25" t="s">
        <v>1684</v>
      </c>
      <c r="C1070" s="25" t="s">
        <v>1685</v>
      </c>
      <c r="D1070" s="26" t="n">
        <v>0.0500100000797759</v>
      </c>
      <c r="E1070" s="26" t="n">
        <v>1.60000165127176</v>
      </c>
      <c r="F1070" s="26" t="n">
        <v>0.79999917436412</v>
      </c>
      <c r="G1070" s="26" t="n">
        <v>0.77619917436412</v>
      </c>
      <c r="H1070" s="26" t="n">
        <v>2.90000082563588</v>
      </c>
      <c r="I1070" s="26" t="n">
        <v>2.87620082563588</v>
      </c>
      <c r="J1070" s="26" t="n">
        <v>21.38</v>
      </c>
      <c r="K1070" s="27" t="n">
        <f aca="false">MIN(F1070,G1070)</f>
        <v>0.77619917436412</v>
      </c>
      <c r="L1070" s="27" t="n">
        <f aca="false">AVERAGE(F1070,G1070)</f>
        <v>0.78809917436412</v>
      </c>
      <c r="M1070" s="27" t="n">
        <f aca="false">MAX(0,NG-L1070)</f>
        <v>0</v>
      </c>
      <c r="N1070" s="27" t="n">
        <f aca="false">MAX(0,GWL-K1070)</f>
        <v>0</v>
      </c>
      <c r="O1070" s="27" t="n">
        <f aca="false">MAX(0,NG-MAX(K1070,GWL))</f>
        <v>0</v>
      </c>
      <c r="P1070" s="27" t="n">
        <f aca="false">E1070/2+WS+SLOPE_A*O1070+SLOPE_B*N1070</f>
        <v>1.80000082563588</v>
      </c>
      <c r="Q1070" s="28" t="str">
        <f aca="false">IF(AND(P1070&lt;J1070,N1070&lt;=MAXOC),"Open cut","Shoring")</f>
        <v>Open cut</v>
      </c>
      <c r="R1070" s="27" t="n">
        <f aca="false">IF(Q1070="Shoring",D1070,0)</f>
        <v>0</v>
      </c>
      <c r="S1070" s="27" t="n">
        <f aca="false">MAX(0,GWL-L1070)</f>
        <v>0</v>
      </c>
      <c r="T1070" s="27" t="n">
        <f aca="false">MAX(0,NG-MAX(L1070,GWL))</f>
        <v>0</v>
      </c>
      <c r="U1070" s="27" t="n">
        <f aca="false">E1070+2*WS</f>
        <v>3.60000165127176</v>
      </c>
      <c r="V1070" s="27" t="n">
        <f aca="false">IF(Q1070="Shoring",D1070*M1070*U1070,0)</f>
        <v>0</v>
      </c>
      <c r="W1070" s="27" t="n">
        <f aca="false">IF(Q1070="Open cut",D1070*(U1070*M1070+SLOPE_B*S1070^2+2*SLOPE_B*S1070*T1070+SLOPE_A*T1070^2),0)</f>
        <v>0</v>
      </c>
      <c r="X1070" s="27" t="n">
        <f aca="false">IF(M1070&gt;0,D1070*(E1070+2*SLABOVH)*SLAB,0)</f>
        <v>0</v>
      </c>
      <c r="Y1070" s="27" t="n">
        <f aca="false">IF(M1070&gt;0,D1070*PI()*E1070^2/4,0)</f>
        <v>0</v>
      </c>
      <c r="Z1070" s="27" t="n">
        <f aca="false">IF(H1070-E1070&gt;=GWL,99,E1070*(MAX(0,GWL-H1070)*(GAM_S-GAM_W)+MAX(0,NG-MAX(H1070,GWL))*GAM_D)/(GAM_W*PI()*E1070^2/4))</f>
        <v>99</v>
      </c>
      <c r="AA1070" s="27" t="n">
        <f aca="false">IF(I1070-E1070&gt;=GWL,99,E1070*(MAX(0,GWL-I1070)*(GAM_S-GAM_W)+MAX(0,NG-MAX(I1070,GWL))*GAM_D)/(GAM_W*PI()*E1070^2/4))</f>
        <v>99</v>
      </c>
      <c r="AB1070" s="27" t="n">
        <f aca="false">IF(H1070-E1070&gt;=GWL,99,E1070*(MAX(0,GWL-H1070)*(GAM_S-GAM_W)+MAX(0,FL-MAX(H1070,GWL))*GAM_D)/(GAM_W*PI()*E1070^2/4))</f>
        <v>99</v>
      </c>
      <c r="AC1070" s="27" t="n">
        <f aca="false">IF(I1070-E1070&gt;=GWL,99,E1070*(MAX(0,GWL-I1070)*(GAM_S-GAM_W)+MAX(0,FL-MAX(I1070,GWL))*GAM_D)/(GAM_W*PI()*E1070^2/4))</f>
        <v>99</v>
      </c>
    </row>
    <row r="1071" customFormat="false" ht="15" hidden="false" customHeight="false" outlineLevel="0" collapsed="false">
      <c r="A1071" s="25" t="s">
        <v>1683</v>
      </c>
      <c r="B1071" s="25" t="s">
        <v>1684</v>
      </c>
      <c r="C1071" s="25" t="s">
        <v>1686</v>
      </c>
      <c r="D1071" s="26" t="n">
        <v>0.203988840447224</v>
      </c>
      <c r="E1071" s="26" t="n">
        <v>1.60000165127176</v>
      </c>
      <c r="F1071" s="26" t="n">
        <v>0.77619917436412</v>
      </c>
      <c r="G1071" s="26" t="n">
        <v>0.67911917436412</v>
      </c>
      <c r="H1071" s="26" t="n">
        <v>2.87620082563588</v>
      </c>
      <c r="I1071" s="26" t="n">
        <v>2.77912082563588</v>
      </c>
      <c r="J1071" s="26" t="n">
        <v>21.39</v>
      </c>
      <c r="K1071" s="27" t="n">
        <f aca="false">MIN(F1071,G1071)</f>
        <v>0.67911917436412</v>
      </c>
      <c r="L1071" s="27" t="n">
        <f aca="false">AVERAGE(F1071,G1071)</f>
        <v>0.72765917436412</v>
      </c>
      <c r="M1071" s="27" t="n">
        <f aca="false">MAX(0,NG-L1071)</f>
        <v>0</v>
      </c>
      <c r="N1071" s="27" t="n">
        <f aca="false">MAX(0,GWL-K1071)</f>
        <v>0</v>
      </c>
      <c r="O1071" s="27" t="n">
        <f aca="false">MAX(0,NG-MAX(K1071,GWL))</f>
        <v>0</v>
      </c>
      <c r="P1071" s="27" t="n">
        <f aca="false">E1071/2+WS+SLOPE_A*O1071+SLOPE_B*N1071</f>
        <v>1.80000082563588</v>
      </c>
      <c r="Q1071" s="28" t="str">
        <f aca="false">IF(AND(P1071&lt;J1071,N1071&lt;=MAXOC),"Open cut","Shoring")</f>
        <v>Open cut</v>
      </c>
      <c r="R1071" s="27" t="n">
        <f aca="false">IF(Q1071="Shoring",D1071,0)</f>
        <v>0</v>
      </c>
      <c r="S1071" s="27" t="n">
        <f aca="false">MAX(0,GWL-L1071)</f>
        <v>0</v>
      </c>
      <c r="T1071" s="27" t="n">
        <f aca="false">MAX(0,NG-MAX(L1071,GWL))</f>
        <v>0</v>
      </c>
      <c r="U1071" s="27" t="n">
        <f aca="false">E1071+2*WS</f>
        <v>3.60000165127176</v>
      </c>
      <c r="V1071" s="27" t="n">
        <f aca="false">IF(Q1071="Shoring",D1071*M1071*U1071,0)</f>
        <v>0</v>
      </c>
      <c r="W1071" s="27" t="n">
        <f aca="false">IF(Q1071="Open cut",D1071*(U1071*M1071+SLOPE_B*S1071^2+2*SLOPE_B*S1071*T1071+SLOPE_A*T1071^2),0)</f>
        <v>0</v>
      </c>
      <c r="X1071" s="27" t="n">
        <f aca="false">IF(M1071&gt;0,D1071*(E1071+2*SLABOVH)*SLAB,0)</f>
        <v>0</v>
      </c>
      <c r="Y1071" s="27" t="n">
        <f aca="false">IF(M1071&gt;0,D1071*PI()*E1071^2/4,0)</f>
        <v>0</v>
      </c>
      <c r="Z1071" s="27" t="n">
        <f aca="false">IF(H1071-E1071&gt;=GWL,99,E1071*(MAX(0,GWL-H1071)*(GAM_S-GAM_W)+MAX(0,NG-MAX(H1071,GWL))*GAM_D)/(GAM_W*PI()*E1071^2/4))</f>
        <v>99</v>
      </c>
      <c r="AA1071" s="27" t="n">
        <f aca="false">IF(I1071-E1071&gt;=GWL,99,E1071*(MAX(0,GWL-I1071)*(GAM_S-GAM_W)+MAX(0,NG-MAX(I1071,GWL))*GAM_D)/(GAM_W*PI()*E1071^2/4))</f>
        <v>99</v>
      </c>
      <c r="AB1071" s="27" t="n">
        <f aca="false">IF(H1071-E1071&gt;=GWL,99,E1071*(MAX(0,GWL-H1071)*(GAM_S-GAM_W)+MAX(0,FL-MAX(H1071,GWL))*GAM_D)/(GAM_W*PI()*E1071^2/4))</f>
        <v>99</v>
      </c>
      <c r="AC1071" s="27" t="n">
        <f aca="false">IF(I1071-E1071&gt;=GWL,99,E1071*(MAX(0,GWL-I1071)*(GAM_S-GAM_W)+MAX(0,FL-MAX(I1071,GWL))*GAM_D)/(GAM_W*PI()*E1071^2/4))</f>
        <v>99</v>
      </c>
    </row>
    <row r="1072" customFormat="false" ht="15" hidden="false" customHeight="false" outlineLevel="0" collapsed="false">
      <c r="A1072" s="25" t="s">
        <v>1683</v>
      </c>
      <c r="B1072" s="25" t="s">
        <v>1684</v>
      </c>
      <c r="C1072" s="25" t="s">
        <v>1687</v>
      </c>
      <c r="D1072" s="26" t="n">
        <v>1.15511999993454</v>
      </c>
      <c r="E1072" s="26" t="n">
        <v>1.60000165127176</v>
      </c>
      <c r="F1072" s="26" t="n">
        <v>0.67911917436412</v>
      </c>
      <c r="G1072" s="26" t="n">
        <v>0.12937917436412</v>
      </c>
      <c r="H1072" s="26" t="n">
        <v>2.77912082563588</v>
      </c>
      <c r="I1072" s="26" t="n">
        <v>2.22938082563588</v>
      </c>
      <c r="J1072" s="26" t="n">
        <v>21.42</v>
      </c>
      <c r="K1072" s="27" t="n">
        <f aca="false">MIN(F1072,G1072)</f>
        <v>0.12937917436412</v>
      </c>
      <c r="L1072" s="27" t="n">
        <f aca="false">AVERAGE(F1072,G1072)</f>
        <v>0.40424917436412</v>
      </c>
      <c r="M1072" s="27" t="n">
        <f aca="false">MAX(0,NG-L1072)</f>
        <v>0</v>
      </c>
      <c r="N1072" s="27" t="n">
        <f aca="false">MAX(0,GWL-K1072)</f>
        <v>0</v>
      </c>
      <c r="O1072" s="27" t="n">
        <f aca="false">MAX(0,NG-MAX(K1072,GWL))</f>
        <v>0</v>
      </c>
      <c r="P1072" s="27" t="n">
        <f aca="false">E1072/2+WS+SLOPE_A*O1072+SLOPE_B*N1072</f>
        <v>1.80000082563588</v>
      </c>
      <c r="Q1072" s="28" t="str">
        <f aca="false">IF(AND(P1072&lt;J1072,N1072&lt;=MAXOC),"Open cut","Shoring")</f>
        <v>Open cut</v>
      </c>
      <c r="R1072" s="27" t="n">
        <f aca="false">IF(Q1072="Shoring",D1072,0)</f>
        <v>0</v>
      </c>
      <c r="S1072" s="27" t="n">
        <f aca="false">MAX(0,GWL-L1072)</f>
        <v>0</v>
      </c>
      <c r="T1072" s="27" t="n">
        <f aca="false">MAX(0,NG-MAX(L1072,GWL))</f>
        <v>0</v>
      </c>
      <c r="U1072" s="27" t="n">
        <f aca="false">E1072+2*WS</f>
        <v>3.60000165127176</v>
      </c>
      <c r="V1072" s="27" t="n">
        <f aca="false">IF(Q1072="Shoring",D1072*M1072*U1072,0)</f>
        <v>0</v>
      </c>
      <c r="W1072" s="27" t="n">
        <f aca="false">IF(Q1072="Open cut",D1072*(U1072*M1072+SLOPE_B*S1072^2+2*SLOPE_B*S1072*T1072+SLOPE_A*T1072^2),0)</f>
        <v>0</v>
      </c>
      <c r="X1072" s="27" t="n">
        <f aca="false">IF(M1072&gt;0,D1072*(E1072+2*SLABOVH)*SLAB,0)</f>
        <v>0</v>
      </c>
      <c r="Y1072" s="27" t="n">
        <f aca="false">IF(M1072&gt;0,D1072*PI()*E1072^2/4,0)</f>
        <v>0</v>
      </c>
      <c r="Z1072" s="27" t="n">
        <f aca="false">IF(H1072-E1072&gt;=GWL,99,E1072*(MAX(0,GWL-H1072)*(GAM_S-GAM_W)+MAX(0,NG-MAX(H1072,GWL))*GAM_D)/(GAM_W*PI()*E1072^2/4))</f>
        <v>99</v>
      </c>
      <c r="AA1072" s="27" t="n">
        <f aca="false">IF(I1072-E1072&gt;=GWL,99,E1072*(MAX(0,GWL-I1072)*(GAM_S-GAM_W)+MAX(0,NG-MAX(I1072,GWL))*GAM_D)/(GAM_W*PI()*E1072^2/4))</f>
        <v>99</v>
      </c>
      <c r="AB1072" s="27" t="n">
        <f aca="false">IF(H1072-E1072&gt;=GWL,99,E1072*(MAX(0,GWL-H1072)*(GAM_S-GAM_W)+MAX(0,FL-MAX(H1072,GWL))*GAM_D)/(GAM_W*PI()*E1072^2/4))</f>
        <v>99</v>
      </c>
      <c r="AC1072" s="27" t="n">
        <f aca="false">IF(I1072-E1072&gt;=GWL,99,E1072*(MAX(0,GWL-I1072)*(GAM_S-GAM_W)+MAX(0,FL-MAX(I1072,GWL))*GAM_D)/(GAM_W*PI()*E1072^2/4))</f>
        <v>99</v>
      </c>
    </row>
    <row r="1073" customFormat="false" ht="15" hidden="false" customHeight="false" outlineLevel="0" collapsed="false">
      <c r="A1073" s="25" t="s">
        <v>1683</v>
      </c>
      <c r="B1073" s="25" t="s">
        <v>1684</v>
      </c>
      <c r="C1073" s="25" t="s">
        <v>1688</v>
      </c>
      <c r="D1073" s="26" t="n">
        <v>0.84309971800642</v>
      </c>
      <c r="E1073" s="26" t="n">
        <v>1.60000165127207</v>
      </c>
      <c r="F1073" s="26" t="n">
        <v>0.129379174363967</v>
      </c>
      <c r="G1073" s="26" t="n">
        <v>-0.271860825636033</v>
      </c>
      <c r="H1073" s="26" t="n">
        <v>2.22938082563603</v>
      </c>
      <c r="I1073" s="26" t="n">
        <v>1.82814082563603</v>
      </c>
      <c r="J1073" s="26" t="n">
        <v>21.63</v>
      </c>
      <c r="K1073" s="27" t="n">
        <f aca="false">MIN(F1073,G1073)</f>
        <v>-0.271860825636033</v>
      </c>
      <c r="L1073" s="27" t="n">
        <f aca="false">AVERAGE(F1073,G1073)</f>
        <v>-0.0712408256360329</v>
      </c>
      <c r="M1073" s="27" t="n">
        <f aca="false">MAX(0,NG-L1073)</f>
        <v>0</v>
      </c>
      <c r="N1073" s="27" t="n">
        <f aca="false">MAX(0,GWL-K1073)</f>
        <v>0</v>
      </c>
      <c r="O1073" s="27" t="n">
        <f aca="false">MAX(0,NG-MAX(K1073,GWL))</f>
        <v>0</v>
      </c>
      <c r="P1073" s="27" t="n">
        <f aca="false">E1073/2+WS+SLOPE_A*O1073+SLOPE_B*N1073</f>
        <v>1.80000082563603</v>
      </c>
      <c r="Q1073" s="28" t="str">
        <f aca="false">IF(AND(P1073&lt;J1073,N1073&lt;=MAXOC),"Open cut","Shoring")</f>
        <v>Open cut</v>
      </c>
      <c r="R1073" s="27" t="n">
        <f aca="false">IF(Q1073="Shoring",D1073,0)</f>
        <v>0</v>
      </c>
      <c r="S1073" s="27" t="n">
        <f aca="false">MAX(0,GWL-L1073)</f>
        <v>0</v>
      </c>
      <c r="T1073" s="27" t="n">
        <f aca="false">MAX(0,NG-MAX(L1073,GWL))</f>
        <v>0</v>
      </c>
      <c r="U1073" s="27" t="n">
        <f aca="false">E1073+2*WS</f>
        <v>3.60000165127207</v>
      </c>
      <c r="V1073" s="27" t="n">
        <f aca="false">IF(Q1073="Shoring",D1073*M1073*U1073,0)</f>
        <v>0</v>
      </c>
      <c r="W1073" s="27" t="n">
        <f aca="false">IF(Q1073="Open cut",D1073*(U1073*M1073+SLOPE_B*S1073^2+2*SLOPE_B*S1073*T1073+SLOPE_A*T1073^2),0)</f>
        <v>0</v>
      </c>
      <c r="X1073" s="27" t="n">
        <f aca="false">IF(M1073&gt;0,D1073*(E1073+2*SLABOVH)*SLAB,0)</f>
        <v>0</v>
      </c>
      <c r="Y1073" s="27" t="n">
        <f aca="false">IF(M1073&gt;0,D1073*PI()*E1073^2/4,0)</f>
        <v>0</v>
      </c>
      <c r="Z1073" s="27" t="n">
        <f aca="false">IF(H1073-E1073&gt;=GWL,99,E1073*(MAX(0,GWL-H1073)*(GAM_S-GAM_W)+MAX(0,NG-MAX(H1073,GWL))*GAM_D)/(GAM_W*PI()*E1073^2/4))</f>
        <v>99</v>
      </c>
      <c r="AA1073" s="27" t="n">
        <f aca="false">IF(I1073-E1073&gt;=GWL,99,E1073*(MAX(0,GWL-I1073)*(GAM_S-GAM_W)+MAX(0,NG-MAX(I1073,GWL))*GAM_D)/(GAM_W*PI()*E1073^2/4))</f>
        <v>99</v>
      </c>
      <c r="AB1073" s="27" t="n">
        <f aca="false">IF(H1073-E1073&gt;=GWL,99,E1073*(MAX(0,GWL-H1073)*(GAM_S-GAM_W)+MAX(0,FL-MAX(H1073,GWL))*GAM_D)/(GAM_W*PI()*E1073^2/4))</f>
        <v>99</v>
      </c>
      <c r="AC1073" s="27" t="n">
        <f aca="false">IF(I1073-E1073&gt;=GWL,99,E1073*(MAX(0,GWL-I1073)*(GAM_S-GAM_W)+MAX(0,FL-MAX(I1073,GWL))*GAM_D)/(GAM_W*PI()*E1073^2/4))</f>
        <v>99</v>
      </c>
    </row>
    <row r="1074" customFormat="false" ht="15" hidden="false" customHeight="false" outlineLevel="0" collapsed="false">
      <c r="A1074" s="25" t="s">
        <v>1683</v>
      </c>
      <c r="B1074" s="25" t="s">
        <v>1684</v>
      </c>
      <c r="C1074" s="25" t="s">
        <v>1689</v>
      </c>
      <c r="D1074" s="26" t="n">
        <v>0.239932810592422</v>
      </c>
      <c r="E1074" s="26" t="n">
        <v>1.60000615124115</v>
      </c>
      <c r="F1074" s="26" t="n">
        <v>-0.271863075620576</v>
      </c>
      <c r="G1074" s="26" t="n">
        <v>-0.386053075620576</v>
      </c>
      <c r="H1074" s="26" t="n">
        <v>1.82814307562058</v>
      </c>
      <c r="I1074" s="26" t="n">
        <v>1.71395307562058</v>
      </c>
      <c r="J1074" s="26" t="n">
        <v>21.79</v>
      </c>
      <c r="K1074" s="27" t="n">
        <f aca="false">MIN(F1074,G1074)</f>
        <v>-0.386053075620576</v>
      </c>
      <c r="L1074" s="27" t="n">
        <f aca="false">AVERAGE(F1074,G1074)</f>
        <v>-0.328958075620576</v>
      </c>
      <c r="M1074" s="27" t="n">
        <f aca="false">MAX(0,NG-L1074)</f>
        <v>0</v>
      </c>
      <c r="N1074" s="27" t="n">
        <f aca="false">MAX(0,GWL-K1074)</f>
        <v>0</v>
      </c>
      <c r="O1074" s="27" t="n">
        <f aca="false">MAX(0,NG-MAX(K1074,GWL))</f>
        <v>0</v>
      </c>
      <c r="P1074" s="27" t="n">
        <f aca="false">E1074/2+WS+SLOPE_A*O1074+SLOPE_B*N1074</f>
        <v>1.80000307562058</v>
      </c>
      <c r="Q1074" s="28" t="str">
        <f aca="false">IF(AND(P1074&lt;J1074,N1074&lt;=MAXOC),"Open cut","Shoring")</f>
        <v>Open cut</v>
      </c>
      <c r="R1074" s="27" t="n">
        <f aca="false">IF(Q1074="Shoring",D1074,0)</f>
        <v>0</v>
      </c>
      <c r="S1074" s="27" t="n">
        <f aca="false">MAX(0,GWL-L1074)</f>
        <v>0</v>
      </c>
      <c r="T1074" s="27" t="n">
        <f aca="false">MAX(0,NG-MAX(L1074,GWL))</f>
        <v>0</v>
      </c>
      <c r="U1074" s="27" t="n">
        <f aca="false">E1074+2*WS</f>
        <v>3.60000615124115</v>
      </c>
      <c r="V1074" s="27" t="n">
        <f aca="false">IF(Q1074="Shoring",D1074*M1074*U1074,0)</f>
        <v>0</v>
      </c>
      <c r="W1074" s="27" t="n">
        <f aca="false">IF(Q1074="Open cut",D1074*(U1074*M1074+SLOPE_B*S1074^2+2*SLOPE_B*S1074*T1074+SLOPE_A*T1074^2),0)</f>
        <v>0</v>
      </c>
      <c r="X1074" s="27" t="n">
        <f aca="false">IF(M1074&gt;0,D1074*(E1074+2*SLABOVH)*SLAB,0)</f>
        <v>0</v>
      </c>
      <c r="Y1074" s="27" t="n">
        <f aca="false">IF(M1074&gt;0,D1074*PI()*E1074^2/4,0)</f>
        <v>0</v>
      </c>
      <c r="Z1074" s="27" t="n">
        <f aca="false">IF(H1074-E1074&gt;=GWL,99,E1074*(MAX(0,GWL-H1074)*(GAM_S-GAM_W)+MAX(0,NG-MAX(H1074,GWL))*GAM_D)/(GAM_W*PI()*E1074^2/4))</f>
        <v>99</v>
      </c>
      <c r="AA1074" s="27" t="n">
        <f aca="false">IF(I1074-E1074&gt;=GWL,99,E1074*(MAX(0,GWL-I1074)*(GAM_S-GAM_W)+MAX(0,NG-MAX(I1074,GWL))*GAM_D)/(GAM_W*PI()*E1074^2/4))</f>
        <v>99</v>
      </c>
      <c r="AB1074" s="27" t="n">
        <f aca="false">IF(H1074-E1074&gt;=GWL,99,E1074*(MAX(0,GWL-H1074)*(GAM_S-GAM_W)+MAX(0,FL-MAX(H1074,GWL))*GAM_D)/(GAM_W*PI()*E1074^2/4))</f>
        <v>99</v>
      </c>
      <c r="AC1074" s="27" t="n">
        <f aca="false">IF(I1074-E1074&gt;=GWL,99,E1074*(MAX(0,GWL-I1074)*(GAM_S-GAM_W)+MAX(0,FL-MAX(I1074,GWL))*GAM_D)/(GAM_W*PI()*E1074^2/4))</f>
        <v>99</v>
      </c>
    </row>
    <row r="1075" customFormat="false" ht="15" hidden="false" customHeight="false" outlineLevel="0" collapsed="false">
      <c r="A1075" s="25" t="s">
        <v>1683</v>
      </c>
      <c r="B1075" s="25" t="s">
        <v>1684</v>
      </c>
      <c r="C1075" s="25" t="s">
        <v>1690</v>
      </c>
      <c r="D1075" s="26" t="n">
        <v>0.69043424710165</v>
      </c>
      <c r="E1075" s="26" t="n">
        <v>1.60000407718693</v>
      </c>
      <c r="F1075" s="26" t="n">
        <v>-0.386052038593467</v>
      </c>
      <c r="G1075" s="26" t="n">
        <v>-0.714642038593467</v>
      </c>
      <c r="H1075" s="26" t="n">
        <v>1.71395203859347</v>
      </c>
      <c r="I1075" s="26" t="n">
        <v>1.38536203859347</v>
      </c>
      <c r="J1075" s="26" t="n">
        <v>21.85</v>
      </c>
      <c r="K1075" s="27" t="n">
        <f aca="false">MIN(F1075,G1075)</f>
        <v>-0.714642038593467</v>
      </c>
      <c r="L1075" s="27" t="n">
        <f aca="false">AVERAGE(F1075,G1075)</f>
        <v>-0.550347038593467</v>
      </c>
      <c r="M1075" s="27" t="n">
        <f aca="false">MAX(0,NG-L1075)</f>
        <v>0</v>
      </c>
      <c r="N1075" s="27" t="n">
        <f aca="false">MAX(0,GWL-K1075)</f>
        <v>0</v>
      </c>
      <c r="O1075" s="27" t="n">
        <f aca="false">MAX(0,NG-MAX(K1075,GWL))</f>
        <v>0.014642038593467</v>
      </c>
      <c r="P1075" s="27" t="n">
        <f aca="false">E1075/2+WS+SLOPE_A*O1075+SLOPE_B*N1075</f>
        <v>1.82196509648367</v>
      </c>
      <c r="Q1075" s="28" t="str">
        <f aca="false">IF(AND(P1075&lt;J1075,N1075&lt;=MAXOC),"Open cut","Shoring")</f>
        <v>Open cut</v>
      </c>
      <c r="R1075" s="27" t="n">
        <f aca="false">IF(Q1075="Shoring",D1075,0)</f>
        <v>0</v>
      </c>
      <c r="S1075" s="27" t="n">
        <f aca="false">MAX(0,GWL-L1075)</f>
        <v>0</v>
      </c>
      <c r="T1075" s="27" t="n">
        <f aca="false">MAX(0,NG-MAX(L1075,GWL))</f>
        <v>0</v>
      </c>
      <c r="U1075" s="27" t="n">
        <f aca="false">E1075+2*WS</f>
        <v>3.60000407718693</v>
      </c>
      <c r="V1075" s="27" t="n">
        <f aca="false">IF(Q1075="Shoring",D1075*M1075*U1075,0)</f>
        <v>0</v>
      </c>
      <c r="W1075" s="27" t="n">
        <f aca="false">IF(Q1075="Open cut",D1075*(U1075*M1075+SLOPE_B*S1075^2+2*SLOPE_B*S1075*T1075+SLOPE_A*T1075^2),0)</f>
        <v>0</v>
      </c>
      <c r="X1075" s="27" t="n">
        <f aca="false">IF(M1075&gt;0,D1075*(E1075+2*SLABOVH)*SLAB,0)</f>
        <v>0</v>
      </c>
      <c r="Y1075" s="27" t="n">
        <f aca="false">IF(M1075&gt;0,D1075*PI()*E1075^2/4,0)</f>
        <v>0</v>
      </c>
      <c r="Z1075" s="27" t="n">
        <f aca="false">IF(H1075-E1075&gt;=GWL,99,E1075*(MAX(0,GWL-H1075)*(GAM_S-GAM_W)+MAX(0,NG-MAX(H1075,GWL))*GAM_D)/(GAM_W*PI()*E1075^2/4))</f>
        <v>99</v>
      </c>
      <c r="AA1075" s="27" t="n">
        <f aca="false">IF(I1075-E1075&gt;=GWL,99,E1075*(MAX(0,GWL-I1075)*(GAM_S-GAM_W)+MAX(0,NG-MAX(I1075,GWL))*GAM_D)/(GAM_W*PI()*E1075^2/4))</f>
        <v>99</v>
      </c>
      <c r="AB1075" s="27" t="n">
        <f aca="false">IF(H1075-E1075&gt;=GWL,99,E1075*(MAX(0,GWL-H1075)*(GAM_S-GAM_W)+MAX(0,FL-MAX(H1075,GWL))*GAM_D)/(GAM_W*PI()*E1075^2/4))</f>
        <v>99</v>
      </c>
      <c r="AC1075" s="27" t="n">
        <f aca="false">IF(I1075-E1075&gt;=GWL,99,E1075*(MAX(0,GWL-I1075)*(GAM_S-GAM_W)+MAX(0,FL-MAX(I1075,GWL))*GAM_D)/(GAM_W*PI()*E1075^2/4))</f>
        <v>99</v>
      </c>
    </row>
    <row r="1076" customFormat="false" ht="15" hidden="false" customHeight="false" outlineLevel="0" collapsed="false">
      <c r="A1076" s="25" t="s">
        <v>1683</v>
      </c>
      <c r="B1076" s="25" t="s">
        <v>1684</v>
      </c>
      <c r="C1076" s="25" t="s">
        <v>1691</v>
      </c>
      <c r="D1076" s="26" t="n">
        <v>5.14157999999531</v>
      </c>
      <c r="E1076" s="26" t="n">
        <v>1.60000694401201</v>
      </c>
      <c r="F1076" s="26" t="n">
        <v>-0.714643472006006</v>
      </c>
      <c r="G1076" s="26" t="n">
        <v>-3.16160347200601</v>
      </c>
      <c r="H1076" s="26" t="n">
        <v>1.38536347200601</v>
      </c>
      <c r="I1076" s="26" t="n">
        <v>-1.061596527994</v>
      </c>
      <c r="J1076" s="26" t="n">
        <v>22.02</v>
      </c>
      <c r="K1076" s="27" t="n">
        <f aca="false">MIN(F1076,G1076)</f>
        <v>-3.16160347200601</v>
      </c>
      <c r="L1076" s="27" t="n">
        <f aca="false">AVERAGE(F1076,G1076)</f>
        <v>-1.93812347200601</v>
      </c>
      <c r="M1076" s="27" t="n">
        <f aca="false">MAX(0,NG-L1076)</f>
        <v>1.23812347200601</v>
      </c>
      <c r="N1076" s="27" t="n">
        <f aca="false">MAX(0,GWL-K1076)</f>
        <v>1.66160347200601</v>
      </c>
      <c r="O1076" s="27" t="n">
        <f aca="false">MAX(0,NG-MAX(K1076,GWL))</f>
        <v>0.8</v>
      </c>
      <c r="P1076" s="27" t="n">
        <f aca="false">E1076/2+WS+SLOPE_A*O1076+SLOPE_B*N1076</f>
        <v>6.32321041601802</v>
      </c>
      <c r="Q1076" s="28" t="str">
        <f aca="false">IF(AND(P1076&lt;J1076,N1076&lt;=MAXOC),"Open cut","Shoring")</f>
        <v>Open cut</v>
      </c>
      <c r="R1076" s="27" t="n">
        <f aca="false">IF(Q1076="Shoring",D1076,0)</f>
        <v>0</v>
      </c>
      <c r="S1076" s="27" t="n">
        <f aca="false">MAX(0,GWL-L1076)</f>
        <v>0.438123472006005</v>
      </c>
      <c r="T1076" s="27" t="n">
        <f aca="false">MAX(0,NG-MAX(L1076,GWL))</f>
        <v>0.8</v>
      </c>
      <c r="U1076" s="27" t="n">
        <f aca="false">E1076+2*WS</f>
        <v>3.60000694401201</v>
      </c>
      <c r="V1076" s="27" t="n">
        <f aca="false">IF(Q1076="Shoring",D1076*M1076*U1076,0)</f>
        <v>0</v>
      </c>
      <c r="W1076" s="27" t="n">
        <f aca="false">IF(Q1076="Open cut",D1076*(U1076*M1076+SLOPE_B*S1076^2+2*SLOPE_B*S1076*T1076+SLOPE_A*T1076^2),0)</f>
        <v>37.0355851426517</v>
      </c>
      <c r="X1076" s="27" t="n">
        <f aca="false">IF(M1076&gt;0,D1076*(E1076+2*SLABOVH)*SLAB,0)</f>
        <v>6.68407185159054</v>
      </c>
      <c r="Y1076" s="27" t="n">
        <f aca="false">IF(M1076&gt;0,D1076*PI()*E1076^2/4,0)</f>
        <v>10.3378497038373</v>
      </c>
      <c r="Z1076" s="27" t="n">
        <f aca="false">IF(H1076-E1076&gt;=GWL,99,E1076*(MAX(0,GWL-H1076)*(GAM_S-GAM_W)+MAX(0,NG-MAX(H1076,GWL))*GAM_D)/(GAM_W*PI()*E1076^2/4))</f>
        <v>99</v>
      </c>
      <c r="AA1076" s="27" t="n">
        <f aca="false">IF(I1076-E1076&gt;=GWL,99,E1076*(MAX(0,GWL-I1076)*(GAM_S-GAM_W)+MAX(0,NG-MAX(I1076,GWL))*GAM_D)/(GAM_W*PI()*E1076^2/4))</f>
        <v>0.527978211645013</v>
      </c>
      <c r="AB1076" s="27" t="n">
        <f aca="false">IF(H1076-E1076&gt;=GWL,99,E1076*(MAX(0,GWL-H1076)*(GAM_S-GAM_W)+MAX(0,FL-MAX(H1076,GWL))*GAM_D)/(GAM_W*PI()*E1076^2/4))</f>
        <v>99</v>
      </c>
      <c r="AC1076" s="27" t="n">
        <f aca="false">IF(I1076-E1076&gt;=GWL,99,E1076*(MAX(0,GWL-I1076)*(GAM_S-GAM_W)+MAX(0,FL-MAX(I1076,GWL))*GAM_D)/(GAM_W*PI()*E1076^2/4))</f>
        <v>3.0102004961782</v>
      </c>
    </row>
    <row r="1077" customFormat="false" ht="15" hidden="false" customHeight="false" outlineLevel="0" collapsed="false">
      <c r="A1077" s="25" t="s">
        <v>1683</v>
      </c>
      <c r="B1077" s="25" t="s">
        <v>1684</v>
      </c>
      <c r="C1077" s="25" t="s">
        <v>1692</v>
      </c>
      <c r="D1077" s="26" t="n">
        <v>0.678180053411084</v>
      </c>
      <c r="E1077" s="26" t="n">
        <v>1.59999473056595</v>
      </c>
      <c r="F1077" s="26" t="n">
        <v>-3.16159736528298</v>
      </c>
      <c r="G1077" s="26" t="n">
        <v>-3.48434736528298</v>
      </c>
      <c r="H1077" s="26" t="n">
        <v>-1.06160263471702</v>
      </c>
      <c r="I1077" s="26" t="n">
        <v>-1.38435263471702</v>
      </c>
      <c r="J1077" s="26" t="n">
        <v>23.53</v>
      </c>
      <c r="K1077" s="27" t="n">
        <f aca="false">MIN(F1077,G1077)</f>
        <v>-3.48434736528298</v>
      </c>
      <c r="L1077" s="27" t="n">
        <f aca="false">AVERAGE(F1077,G1077)</f>
        <v>-3.32297236528298</v>
      </c>
      <c r="M1077" s="27" t="n">
        <f aca="false">MAX(0,NG-L1077)</f>
        <v>2.62297236528298</v>
      </c>
      <c r="N1077" s="27" t="n">
        <f aca="false">MAX(0,GWL-K1077)</f>
        <v>1.98434736528298</v>
      </c>
      <c r="O1077" s="27" t="n">
        <f aca="false">MAX(0,NG-MAX(K1077,GWL))</f>
        <v>0.8</v>
      </c>
      <c r="P1077" s="27" t="n">
        <f aca="false">E1077/2+WS+SLOPE_A*O1077+SLOPE_B*N1077</f>
        <v>6.96869209584893</v>
      </c>
      <c r="Q1077" s="28" t="str">
        <f aca="false">IF(AND(P1077&lt;J1077,N1077&lt;=MAXOC),"Open cut","Shoring")</f>
        <v>Open cut</v>
      </c>
      <c r="R1077" s="27" t="n">
        <f aca="false">IF(Q1077="Shoring",D1077,0)</f>
        <v>0</v>
      </c>
      <c r="S1077" s="27" t="n">
        <f aca="false">MAX(0,GWL-L1077)</f>
        <v>1.82297236528298</v>
      </c>
      <c r="T1077" s="27" t="n">
        <f aca="false">MAX(0,NG-MAX(L1077,GWL))</f>
        <v>0.8</v>
      </c>
      <c r="U1077" s="27" t="n">
        <f aca="false">E1077+2*WS</f>
        <v>3.59999473056595</v>
      </c>
      <c r="V1077" s="27" t="n">
        <f aca="false">IF(Q1077="Shoring",D1077*M1077*U1077,0)</f>
        <v>0</v>
      </c>
      <c r="W1077" s="27" t="n">
        <f aca="false">IF(Q1077="Open cut",D1077*(U1077*M1077+SLOPE_B*S1077^2+2*SLOPE_B*S1077*T1077+SLOPE_A*T1077^2),0)</f>
        <v>15.51856002157</v>
      </c>
      <c r="X1077" s="27" t="n">
        <f aca="false">IF(M1077&gt;0,D1077*(E1077+2*SLABOVH)*SLAB,0)</f>
        <v>0.881632282621878</v>
      </c>
      <c r="Y1077" s="27" t="n">
        <f aca="false">IF(M1077&gt;0,D1077*PI()*E1077^2/4,0)</f>
        <v>1.36355292162413</v>
      </c>
      <c r="Z1077" s="27" t="n">
        <f aca="false">IF(H1077-E1077&gt;=GWL,99,E1077*(MAX(0,GWL-H1077)*(GAM_S-GAM_W)+MAX(0,NG-MAX(H1077,GWL))*GAM_D)/(GAM_W*PI()*E1077^2/4))</f>
        <v>0.527991158611341</v>
      </c>
      <c r="AA1077" s="27" t="n">
        <f aca="false">IF(I1077-E1077&gt;=GWL,99,E1077*(MAX(0,GWL-I1077)*(GAM_S-GAM_W)+MAX(0,NG-MAX(I1077,GWL))*GAM_D)/(GAM_W*PI()*E1077^2/4))</f>
        <v>0.999251957292095</v>
      </c>
      <c r="AB1077" s="27" t="n">
        <f aca="false">IF(H1077-E1077&gt;=GWL,99,E1077*(MAX(0,GWL-H1077)*(GAM_S-GAM_W)+MAX(0,FL-MAX(H1077,GWL))*GAM_D)/(GAM_W*PI()*E1077^2/4))</f>
        <v>3.01023239101191</v>
      </c>
      <c r="AC1077" s="27" t="n">
        <f aca="false">IF(I1077-E1077&gt;=GWL,99,E1077*(MAX(0,GWL-I1077)*(GAM_S-GAM_W)+MAX(0,FL-MAX(I1077,GWL))*GAM_D)/(GAM_W*PI()*E1077^2/4))</f>
        <v>3.48149318969267</v>
      </c>
    </row>
    <row r="1078" customFormat="false" ht="15" hidden="false" customHeight="false" outlineLevel="0" collapsed="false">
      <c r="A1078" s="25" t="s">
        <v>1683</v>
      </c>
      <c r="B1078" s="25" t="s">
        <v>1684</v>
      </c>
      <c r="C1078" s="25" t="s">
        <v>1693</v>
      </c>
      <c r="D1078" s="26" t="n">
        <v>0.243457616093338</v>
      </c>
      <c r="E1078" s="26" t="n">
        <v>1.59999781373603</v>
      </c>
      <c r="F1078" s="26" t="n">
        <v>-3.48434890686801</v>
      </c>
      <c r="G1078" s="26" t="n">
        <v>-3.60021890686801</v>
      </c>
      <c r="H1078" s="26" t="n">
        <v>-1.38435109313199</v>
      </c>
      <c r="I1078" s="26" t="n">
        <v>-1.50022109313199</v>
      </c>
      <c r="J1078" s="26" t="n">
        <v>23.78</v>
      </c>
      <c r="K1078" s="27" t="n">
        <f aca="false">MIN(F1078,G1078)</f>
        <v>-3.60021890686801</v>
      </c>
      <c r="L1078" s="27" t="n">
        <f aca="false">AVERAGE(F1078,G1078)</f>
        <v>-3.54228390686801</v>
      </c>
      <c r="M1078" s="27" t="n">
        <f aca="false">MAX(0,NG-L1078)</f>
        <v>2.84228390686801</v>
      </c>
      <c r="N1078" s="27" t="n">
        <f aca="false">MAX(0,GWL-K1078)</f>
        <v>2.10021890686801</v>
      </c>
      <c r="O1078" s="27" t="n">
        <f aca="false">MAX(0,NG-MAX(K1078,GWL))</f>
        <v>0.8</v>
      </c>
      <c r="P1078" s="27" t="n">
        <f aca="false">E1078/2+WS+SLOPE_A*O1078+SLOPE_B*N1078</f>
        <v>7.20043672060404</v>
      </c>
      <c r="Q1078" s="28" t="str">
        <f aca="false">IF(AND(P1078&lt;J1078,N1078&lt;=MAXOC),"Open cut","Shoring")</f>
        <v>Open cut</v>
      </c>
      <c r="R1078" s="27" t="n">
        <f aca="false">IF(Q1078="Shoring",D1078,0)</f>
        <v>0</v>
      </c>
      <c r="S1078" s="27" t="n">
        <f aca="false">MAX(0,GWL-L1078)</f>
        <v>2.04228390686801</v>
      </c>
      <c r="T1078" s="27" t="n">
        <f aca="false">MAX(0,NG-MAX(L1078,GWL))</f>
        <v>0.8</v>
      </c>
      <c r="U1078" s="27" t="n">
        <f aca="false">E1078+2*WS</f>
        <v>3.59999781373603</v>
      </c>
      <c r="V1078" s="27" t="n">
        <f aca="false">IF(Q1078="Shoring",D1078*M1078*U1078,0)</f>
        <v>0</v>
      </c>
      <c r="W1078" s="27" t="n">
        <f aca="false">IF(Q1078="Open cut",D1078*(U1078*M1078+SLOPE_B*S1078^2+2*SLOPE_B*S1078*T1078+SLOPE_A*T1078^2),0)</f>
        <v>6.34678702997505</v>
      </c>
      <c r="X1078" s="27" t="n">
        <f aca="false">IF(M1078&gt;0,D1078*(E1078+2*SLABOVH)*SLAB,0)</f>
        <v>0.316494634790031</v>
      </c>
      <c r="Y1078" s="27" t="n">
        <f aca="false">IF(M1078&gt;0,D1078*PI()*E1078^2/4,0)</f>
        <v>0.489499243513817</v>
      </c>
      <c r="Z1078" s="27" t="n">
        <f aca="false">IF(H1078-E1078&gt;=GWL,99,E1078*(MAX(0,GWL-H1078)*(GAM_S-GAM_W)+MAX(0,NG-MAX(H1078,GWL))*GAM_D)/(GAM_W*PI()*E1078^2/4))</f>
        <v>0.999247780821065</v>
      </c>
      <c r="AA1078" s="27" t="n">
        <f aca="false">IF(I1078-E1078&gt;=GWL,99,E1078*(MAX(0,GWL-I1078)*(GAM_S-GAM_W)+MAX(0,NG-MAX(I1078,GWL))*GAM_D)/(GAM_W*PI()*E1078^2/4))</f>
        <v>1.16825815635314</v>
      </c>
      <c r="AB1078" s="27" t="n">
        <f aca="false">IF(H1078-E1078&gt;=GWL,99,E1078*(MAX(0,GWL-H1078)*(GAM_S-GAM_W)+MAX(0,FL-MAX(H1078,GWL))*GAM_D)/(GAM_W*PI()*E1078^2/4))</f>
        <v>3.48148422998268</v>
      </c>
      <c r="AC1078" s="27" t="n">
        <f aca="false">IF(I1078-E1078&gt;=GWL,99,E1078*(MAX(0,GWL-I1078)*(GAM_S-GAM_W)+MAX(0,FL-MAX(I1078,GWL))*GAM_D)/(GAM_W*PI()*E1078^2/4))</f>
        <v>3.65049460551475</v>
      </c>
    </row>
    <row r="1079" customFormat="false" ht="15" hidden="false" customHeight="false" outlineLevel="0" collapsed="false">
      <c r="A1079" s="25" t="s">
        <v>1683</v>
      </c>
      <c r="B1079" s="25" t="s">
        <v>1684</v>
      </c>
      <c r="C1079" s="25" t="s">
        <v>1694</v>
      </c>
      <c r="D1079" s="26" t="n">
        <v>0.754196714323718</v>
      </c>
      <c r="E1079" s="26" t="n">
        <v>1.59999921269319</v>
      </c>
      <c r="F1079" s="26" t="n">
        <v>-3.60021960634659</v>
      </c>
      <c r="G1079" s="26" t="n">
        <v>-3.95915055216081</v>
      </c>
      <c r="H1079" s="26" t="n">
        <v>-1.50022039365341</v>
      </c>
      <c r="I1079" s="26" t="n">
        <v>-1.85915133946762</v>
      </c>
      <c r="J1079" s="26" t="n">
        <v>23.87</v>
      </c>
      <c r="K1079" s="27" t="n">
        <f aca="false">MIN(F1079,G1079)</f>
        <v>-3.95915055216081</v>
      </c>
      <c r="L1079" s="27" t="n">
        <f aca="false">AVERAGE(F1079,G1079)</f>
        <v>-3.7796850792537</v>
      </c>
      <c r="M1079" s="27" t="n">
        <f aca="false">MAX(0,NG-L1079)</f>
        <v>3.0796850792537</v>
      </c>
      <c r="N1079" s="27" t="n">
        <f aca="false">MAX(0,GWL-K1079)</f>
        <v>2.45915055216081</v>
      </c>
      <c r="O1079" s="27" t="n">
        <f aca="false">MAX(0,NG-MAX(K1079,GWL))</f>
        <v>0.8</v>
      </c>
      <c r="P1079" s="27" t="n">
        <f aca="false">E1079/2+WS+SLOPE_A*O1079+SLOPE_B*N1079</f>
        <v>7.91830071066822</v>
      </c>
      <c r="Q1079" s="28" t="str">
        <f aca="false">IF(AND(P1079&lt;J1079,N1079&lt;=MAXOC),"Open cut","Shoring")</f>
        <v>Open cut</v>
      </c>
      <c r="R1079" s="27" t="n">
        <f aca="false">IF(Q1079="Shoring",D1079,0)</f>
        <v>0</v>
      </c>
      <c r="S1079" s="27" t="n">
        <f aca="false">MAX(0,GWL-L1079)</f>
        <v>2.2796850792537</v>
      </c>
      <c r="T1079" s="27" t="n">
        <f aca="false">MAX(0,NG-MAX(L1079,GWL))</f>
        <v>0.8</v>
      </c>
      <c r="U1079" s="27" t="n">
        <f aca="false">E1079+2*WS</f>
        <v>3.59999921269319</v>
      </c>
      <c r="V1079" s="27" t="n">
        <f aca="false">IF(Q1079="Shoring",D1079*M1079*U1079,0)</f>
        <v>0</v>
      </c>
      <c r="W1079" s="27" t="n">
        <f aca="false">IF(Q1079="Open cut",D1079*(U1079*M1079+SLOPE_B*S1079^2+2*SLOPE_B*S1079*T1079+SLOPE_A*T1079^2),0)</f>
        <v>22.4266307681868</v>
      </c>
      <c r="X1079" s="27" t="n">
        <f aca="false">IF(M1079&gt;0,D1079*(E1079+2*SLABOVH)*SLAB,0)</f>
        <v>0.980455431728727</v>
      </c>
      <c r="Y1079" s="27" t="n">
        <f aca="false">IF(M1079&gt;0,D1079*PI()*E1079^2/4,0)</f>
        <v>1.51640097618968</v>
      </c>
      <c r="Z1079" s="27" t="n">
        <f aca="false">IF(H1079-E1079&gt;=GWL,99,E1079*(MAX(0,GWL-H1079)*(GAM_S-GAM_W)+MAX(0,NG-MAX(H1079,GWL))*GAM_D)/(GAM_W*PI()*E1079^2/4))</f>
        <v>1.16825667018071</v>
      </c>
      <c r="AA1079" s="27" t="n">
        <f aca="false">IF(I1079-E1079&gt;=GWL,99,E1079*(MAX(0,GWL-I1079)*(GAM_S-GAM_W)+MAX(0,NG-MAX(I1079,GWL))*GAM_D)/(GAM_W*PI()*E1079^2/4))</f>
        <v>1.40671700390459</v>
      </c>
      <c r="AB1079" s="27" t="n">
        <f aca="false">IF(H1079-E1079&gt;=GWL,99,E1079*(MAX(0,GWL-H1079)*(GAM_S-GAM_W)+MAX(0,FL-MAX(H1079,GWL))*GAM_D)/(GAM_W*PI()*E1079^2/4))</f>
        <v>3.65049094900222</v>
      </c>
      <c r="AC1079" s="27" t="n">
        <f aca="false">IF(I1079-E1079&gt;=GWL,99,E1079*(MAX(0,GWL-I1079)*(GAM_S-GAM_W)+MAX(0,FL-MAX(I1079,GWL))*GAM_D)/(GAM_W*PI()*E1079^2/4))</f>
        <v>3.8889512827261</v>
      </c>
    </row>
    <row r="1080" customFormat="false" ht="15" hidden="false" customHeight="false" outlineLevel="0" collapsed="false">
      <c r="A1080" s="25" t="s">
        <v>1683</v>
      </c>
      <c r="B1080" s="25" t="s">
        <v>1684</v>
      </c>
      <c r="C1080" s="25" t="s">
        <v>1695</v>
      </c>
      <c r="D1080" s="26" t="n">
        <v>0.085833285792508</v>
      </c>
      <c r="E1080" s="26" t="n">
        <v>1.59999921269319</v>
      </c>
      <c r="F1080" s="26" t="n">
        <v>-3.95915055216081</v>
      </c>
      <c r="G1080" s="26" t="n">
        <v>-3.99999960634659</v>
      </c>
      <c r="H1080" s="26" t="n">
        <v>-1.85915133946762</v>
      </c>
      <c r="I1080" s="26" t="n">
        <v>-1.90000039365341</v>
      </c>
      <c r="J1080" s="26" t="n">
        <v>24.14</v>
      </c>
      <c r="K1080" s="27" t="n">
        <f aca="false">MIN(F1080,G1080)</f>
        <v>-3.99999960634659</v>
      </c>
      <c r="L1080" s="27" t="n">
        <f aca="false">AVERAGE(F1080,G1080)</f>
        <v>-3.9795750792537</v>
      </c>
      <c r="M1080" s="27" t="n">
        <f aca="false">MAX(0,NG-L1080)</f>
        <v>3.2795750792537</v>
      </c>
      <c r="N1080" s="27" t="n">
        <f aca="false">MAX(0,GWL-K1080)</f>
        <v>2.49999960634659</v>
      </c>
      <c r="O1080" s="27" t="n">
        <f aca="false">MAX(0,NG-MAX(K1080,GWL))</f>
        <v>0.8</v>
      </c>
      <c r="P1080" s="27" t="n">
        <f aca="false">E1080/2+WS+SLOPE_A*O1080+SLOPE_B*N1080</f>
        <v>7.99999881903978</v>
      </c>
      <c r="Q1080" s="28" t="str">
        <f aca="false">IF(AND(P1080&lt;J1080,N1080&lt;=MAXOC),"Open cut","Shoring")</f>
        <v>Open cut</v>
      </c>
      <c r="R1080" s="27" t="n">
        <f aca="false">IF(Q1080="Shoring",D1080,0)</f>
        <v>0</v>
      </c>
      <c r="S1080" s="27" t="n">
        <f aca="false">MAX(0,GWL-L1080)</f>
        <v>2.4795750792537</v>
      </c>
      <c r="T1080" s="27" t="n">
        <f aca="false">MAX(0,NG-MAX(L1080,GWL))</f>
        <v>0.8</v>
      </c>
      <c r="U1080" s="27" t="n">
        <f aca="false">E1080+2*WS</f>
        <v>3.59999921269319</v>
      </c>
      <c r="V1080" s="27" t="n">
        <f aca="false">IF(Q1080="Shoring",D1080*M1080*U1080,0)</f>
        <v>0</v>
      </c>
      <c r="W1080" s="27" t="n">
        <f aca="false">IF(Q1080="Open cut",D1080*(U1080*M1080+SLOPE_B*S1080^2+2*SLOPE_B*S1080*T1080+SLOPE_A*T1080^2),0)</f>
        <v>2.83230042270673</v>
      </c>
      <c r="X1080" s="27" t="n">
        <f aca="false">IF(M1080&gt;0,D1080*(E1080+2*SLABOVH)*SLAB,0)</f>
        <v>0.111583237741695</v>
      </c>
      <c r="Y1080" s="27" t="n">
        <f aca="false">IF(M1080&gt;0,D1080*PI()*E1080^2/4,0)</f>
        <v>0.172577891010886</v>
      </c>
      <c r="Z1080" s="27" t="n">
        <f aca="false">IF(H1080-E1080&gt;=GWL,99,E1080*(MAX(0,GWL-H1080)*(GAM_S-GAM_W)+MAX(0,NG-MAX(H1080,GWL))*GAM_D)/(GAM_W*PI()*E1080^2/4))</f>
        <v>1.40671700390459</v>
      </c>
      <c r="AA1080" s="27" t="n">
        <f aca="false">IF(I1080-E1080&gt;=GWL,99,E1080*(MAX(0,GWL-I1080)*(GAM_S-GAM_W)+MAX(0,NG-MAX(I1080,GWL))*GAM_D)/(GAM_W*PI()*E1080^2/4))</f>
        <v>1.43385559200083</v>
      </c>
      <c r="AB1080" s="27" t="n">
        <f aca="false">IF(H1080-E1080&gt;=GWL,99,E1080*(MAX(0,GWL-H1080)*(GAM_S-GAM_W)+MAX(0,FL-MAX(H1080,GWL))*GAM_D)/(GAM_W*PI()*E1080^2/4))</f>
        <v>3.8889512827261</v>
      </c>
      <c r="AC1080" s="27" t="n">
        <f aca="false">IF(I1080-E1080&gt;=GWL,99,E1080*(MAX(0,GWL-I1080)*(GAM_S-GAM_W)+MAX(0,FL-MAX(I1080,GWL))*GAM_D)/(GAM_W*PI()*E1080^2/4))</f>
        <v>3.91608987082234</v>
      </c>
    </row>
    <row r="1081" customFormat="false" ht="15" hidden="false" customHeight="false" outlineLevel="0" collapsed="false">
      <c r="A1081" s="25" t="s">
        <v>1683</v>
      </c>
      <c r="B1081" s="25" t="s">
        <v>1684</v>
      </c>
      <c r="C1081" s="25" t="s">
        <v>1696</v>
      </c>
      <c r="D1081" s="26" t="n">
        <v>9.91416671418154</v>
      </c>
      <c r="E1081" s="26" t="n">
        <v>1.59999921227579</v>
      </c>
      <c r="F1081" s="26" t="n">
        <v>-3.9999996061379</v>
      </c>
      <c r="G1081" s="26" t="n">
        <v>-3.9999996061379</v>
      </c>
      <c r="H1081" s="26" t="n">
        <v>-1.9000003938621</v>
      </c>
      <c r="I1081" s="26" t="n">
        <v>-1.9000003938621</v>
      </c>
      <c r="J1081" s="26" t="n">
        <v>20.41</v>
      </c>
      <c r="K1081" s="27" t="n">
        <f aca="false">MIN(F1081,G1081)</f>
        <v>-3.9999996061379</v>
      </c>
      <c r="L1081" s="27" t="n">
        <f aca="false">AVERAGE(F1081,G1081)</f>
        <v>-3.9999996061379</v>
      </c>
      <c r="M1081" s="27" t="n">
        <f aca="false">MAX(0,NG-L1081)</f>
        <v>3.2999996061379</v>
      </c>
      <c r="N1081" s="27" t="n">
        <f aca="false">MAX(0,GWL-K1081)</f>
        <v>2.4999996061379</v>
      </c>
      <c r="O1081" s="27" t="n">
        <f aca="false">MAX(0,NG-MAX(K1081,GWL))</f>
        <v>0.8</v>
      </c>
      <c r="P1081" s="27" t="n">
        <f aca="false">E1081/2+WS+SLOPE_A*O1081+SLOPE_B*N1081</f>
        <v>7.99999881841369</v>
      </c>
      <c r="Q1081" s="28" t="str">
        <f aca="false">IF(AND(P1081&lt;J1081,N1081&lt;=MAXOC),"Open cut","Shoring")</f>
        <v>Open cut</v>
      </c>
      <c r="R1081" s="27" t="n">
        <f aca="false">IF(Q1081="Shoring",D1081,0)</f>
        <v>0</v>
      </c>
      <c r="S1081" s="27" t="n">
        <f aca="false">MAX(0,GWL-L1081)</f>
        <v>2.4999996061379</v>
      </c>
      <c r="T1081" s="27" t="n">
        <f aca="false">MAX(0,NG-MAX(L1081,GWL))</f>
        <v>0.8</v>
      </c>
      <c r="U1081" s="27" t="n">
        <f aca="false">E1081+2*WS</f>
        <v>3.59999921227579</v>
      </c>
      <c r="V1081" s="27" t="n">
        <f aca="false">IF(Q1081="Shoring",D1081*M1081*U1081,0)</f>
        <v>0</v>
      </c>
      <c r="W1081" s="27" t="n">
        <f aca="false">IF(Q1081="Open cut",D1081*(U1081*M1081+SLOPE_B*S1081^2+2*SLOPE_B*S1081*T1081+SLOPE_A*T1081^2),0)</f>
        <v>330.538226878158</v>
      </c>
      <c r="X1081" s="27" t="n">
        <f aca="false">IF(M1081&gt;0,D1081*(E1081+2*SLABOVH)*SLAB,0)</f>
        <v>12.8884128236214</v>
      </c>
      <c r="Y1081" s="27" t="n">
        <f aca="false">IF(M1081&gt;0,D1081*PI()*E1081^2/4,0)</f>
        <v>19.9335952943379</v>
      </c>
      <c r="Z1081" s="27" t="n">
        <f aca="false">IF(H1081-E1081&gt;=GWL,99,E1081*(MAX(0,GWL-H1081)*(GAM_S-GAM_W)+MAX(0,NG-MAX(H1081,GWL))*GAM_D)/(GAM_W*PI()*E1081^2/4))</f>
        <v>1.43385559251353</v>
      </c>
      <c r="AA1081" s="27" t="n">
        <f aca="false">IF(I1081-E1081&gt;=GWL,99,E1081*(MAX(0,GWL-I1081)*(GAM_S-GAM_W)+MAX(0,NG-MAX(I1081,GWL))*GAM_D)/(GAM_W*PI()*E1081^2/4))</f>
        <v>1.43385559251353</v>
      </c>
      <c r="AB1081" s="27" t="n">
        <f aca="false">IF(H1081-E1081&gt;=GWL,99,E1081*(MAX(0,GWL-H1081)*(GAM_S-GAM_W)+MAX(0,FL-MAX(H1081,GWL))*GAM_D)/(GAM_W*PI()*E1081^2/4))</f>
        <v>3.91608987198258</v>
      </c>
      <c r="AC1081" s="27" t="n">
        <f aca="false">IF(I1081-E1081&gt;=GWL,99,E1081*(MAX(0,GWL-I1081)*(GAM_S-GAM_W)+MAX(0,FL-MAX(I1081,GWL))*GAM_D)/(GAM_W*PI()*E1081^2/4))</f>
        <v>3.91608987198258</v>
      </c>
    </row>
    <row r="1082" customFormat="false" ht="15" hidden="false" customHeight="false" outlineLevel="0" collapsed="false">
      <c r="A1082" s="25" t="s">
        <v>1683</v>
      </c>
      <c r="B1082" s="25" t="s">
        <v>1684</v>
      </c>
      <c r="C1082" s="25" t="s">
        <v>1697</v>
      </c>
      <c r="D1082" s="26" t="n">
        <v>10.0000000000956</v>
      </c>
      <c r="E1082" s="26" t="n">
        <v>1.59999921227579</v>
      </c>
      <c r="F1082" s="26" t="n">
        <v>-3.9999996061379</v>
      </c>
      <c r="G1082" s="26" t="n">
        <v>-3.9999996061379</v>
      </c>
      <c r="H1082" s="26" t="n">
        <v>-1.9000003938621</v>
      </c>
      <c r="I1082" s="26" t="n">
        <v>-1.9000003938621</v>
      </c>
      <c r="J1082" s="26" t="n">
        <v>17.32</v>
      </c>
      <c r="K1082" s="27" t="n">
        <f aca="false">MIN(F1082,G1082)</f>
        <v>-3.9999996061379</v>
      </c>
      <c r="L1082" s="27" t="n">
        <f aca="false">AVERAGE(F1082,G1082)</f>
        <v>-3.9999996061379</v>
      </c>
      <c r="M1082" s="27" t="n">
        <f aca="false">MAX(0,NG-L1082)</f>
        <v>3.2999996061379</v>
      </c>
      <c r="N1082" s="27" t="n">
        <f aca="false">MAX(0,GWL-K1082)</f>
        <v>2.4999996061379</v>
      </c>
      <c r="O1082" s="27" t="n">
        <f aca="false">MAX(0,NG-MAX(K1082,GWL))</f>
        <v>0.8</v>
      </c>
      <c r="P1082" s="27" t="n">
        <f aca="false">E1082/2+WS+SLOPE_A*O1082+SLOPE_B*N1082</f>
        <v>7.99999881841369</v>
      </c>
      <c r="Q1082" s="28" t="str">
        <f aca="false">IF(AND(P1082&lt;J1082,N1082&lt;=MAXOC),"Open cut","Shoring")</f>
        <v>Open cut</v>
      </c>
      <c r="R1082" s="27" t="n">
        <f aca="false">IF(Q1082="Shoring",D1082,0)</f>
        <v>0</v>
      </c>
      <c r="S1082" s="27" t="n">
        <f aca="false">MAX(0,GWL-L1082)</f>
        <v>2.4999996061379</v>
      </c>
      <c r="T1082" s="27" t="n">
        <f aca="false">MAX(0,NG-MAX(L1082,GWL))</f>
        <v>0.8</v>
      </c>
      <c r="U1082" s="27" t="n">
        <f aca="false">E1082+2*WS</f>
        <v>3.59999921227579</v>
      </c>
      <c r="V1082" s="27" t="n">
        <f aca="false">IF(Q1082="Shoring",D1082*M1082*U1082,0)</f>
        <v>0</v>
      </c>
      <c r="W1082" s="27" t="n">
        <f aca="false">IF(Q1082="Open cut",D1082*(U1082*M1082+SLOPE_B*S1082^2+2*SLOPE_B*S1082*T1082+SLOPE_A*T1082^2),0)</f>
        <v>333.399907839461</v>
      </c>
      <c r="X1082" s="27" t="n">
        <f aca="false">IF(M1082&gt;0,D1082*(E1082+2*SLABOVH)*SLAB,0)</f>
        <v>12.9999960615032</v>
      </c>
      <c r="Y1082" s="27" t="n">
        <f aca="false">IF(M1082&gt;0,D1082*PI()*E1082^2/4,0)</f>
        <v>20.1061731855031</v>
      </c>
      <c r="Z1082" s="27" t="n">
        <f aca="false">IF(H1082-E1082&gt;=GWL,99,E1082*(MAX(0,GWL-H1082)*(GAM_S-GAM_W)+MAX(0,NG-MAX(H1082,GWL))*GAM_D)/(GAM_W*PI()*E1082^2/4))</f>
        <v>1.43385559251353</v>
      </c>
      <c r="AA1082" s="27" t="n">
        <f aca="false">IF(I1082-E1082&gt;=GWL,99,E1082*(MAX(0,GWL-I1082)*(GAM_S-GAM_W)+MAX(0,NG-MAX(I1082,GWL))*GAM_D)/(GAM_W*PI()*E1082^2/4))</f>
        <v>1.43385559251353</v>
      </c>
      <c r="AB1082" s="27" t="n">
        <f aca="false">IF(H1082-E1082&gt;=GWL,99,E1082*(MAX(0,GWL-H1082)*(GAM_S-GAM_W)+MAX(0,FL-MAX(H1082,GWL))*GAM_D)/(GAM_W*PI()*E1082^2/4))</f>
        <v>3.91608987198258</v>
      </c>
      <c r="AC1082" s="27" t="n">
        <f aca="false">IF(I1082-E1082&gt;=GWL,99,E1082*(MAX(0,GWL-I1082)*(GAM_S-GAM_W)+MAX(0,FL-MAX(I1082,GWL))*GAM_D)/(GAM_W*PI()*E1082^2/4))</f>
        <v>3.91608987198258</v>
      </c>
    </row>
    <row r="1083" customFormat="false" ht="15" hidden="false" customHeight="false" outlineLevel="0" collapsed="false">
      <c r="A1083" s="25" t="s">
        <v>1683</v>
      </c>
      <c r="B1083" s="25" t="s">
        <v>1684</v>
      </c>
      <c r="C1083" s="25" t="s">
        <v>1698</v>
      </c>
      <c r="D1083" s="26" t="n">
        <v>7.58757328567856</v>
      </c>
      <c r="E1083" s="26" t="n">
        <v>1.59999921227579</v>
      </c>
      <c r="F1083" s="26" t="n">
        <v>-3.9999996061379</v>
      </c>
      <c r="G1083" s="26" t="n">
        <v>-3.9999996061379</v>
      </c>
      <c r="H1083" s="26" t="n">
        <v>-1.9000003938621</v>
      </c>
      <c r="I1083" s="26" t="n">
        <v>-1.9000003938621</v>
      </c>
      <c r="J1083" s="26" t="n">
        <v>17.3</v>
      </c>
      <c r="K1083" s="27" t="n">
        <f aca="false">MIN(F1083,G1083)</f>
        <v>-3.9999996061379</v>
      </c>
      <c r="L1083" s="27" t="n">
        <f aca="false">AVERAGE(F1083,G1083)</f>
        <v>-3.9999996061379</v>
      </c>
      <c r="M1083" s="27" t="n">
        <f aca="false">MAX(0,NG-L1083)</f>
        <v>3.2999996061379</v>
      </c>
      <c r="N1083" s="27" t="n">
        <f aca="false">MAX(0,GWL-K1083)</f>
        <v>2.4999996061379</v>
      </c>
      <c r="O1083" s="27" t="n">
        <f aca="false">MAX(0,NG-MAX(K1083,GWL))</f>
        <v>0.8</v>
      </c>
      <c r="P1083" s="27" t="n">
        <f aca="false">E1083/2+WS+SLOPE_A*O1083+SLOPE_B*N1083</f>
        <v>7.99999881841369</v>
      </c>
      <c r="Q1083" s="28" t="str">
        <f aca="false">IF(AND(P1083&lt;J1083,N1083&lt;=MAXOC),"Open cut","Shoring")</f>
        <v>Open cut</v>
      </c>
      <c r="R1083" s="27" t="n">
        <f aca="false">IF(Q1083="Shoring",D1083,0)</f>
        <v>0</v>
      </c>
      <c r="S1083" s="27" t="n">
        <f aca="false">MAX(0,GWL-L1083)</f>
        <v>2.4999996061379</v>
      </c>
      <c r="T1083" s="27" t="n">
        <f aca="false">MAX(0,NG-MAX(L1083,GWL))</f>
        <v>0.8</v>
      </c>
      <c r="U1083" s="27" t="n">
        <f aca="false">E1083+2*WS</f>
        <v>3.59999921227579</v>
      </c>
      <c r="V1083" s="27" t="n">
        <f aca="false">IF(Q1083="Shoring",D1083*M1083*U1083,0)</f>
        <v>0</v>
      </c>
      <c r="W1083" s="27" t="n">
        <f aca="false">IF(Q1083="Open cut",D1083*(U1083*M1083+SLOPE_B*S1083^2+2*SLOPE_B*S1083*T1083+SLOPE_A*T1083^2),0)</f>
        <v>252.969623414621</v>
      </c>
      <c r="X1083" s="27" t="n">
        <f aca="false">IF(M1083&gt;0,D1083*(E1083+2*SLABOVH)*SLAB,0)</f>
        <v>9.86384228292456</v>
      </c>
      <c r="Y1083" s="27" t="n">
        <f aca="false">IF(M1083&gt;0,D1083*PI()*E1083^2/4,0)</f>
        <v>15.2557062538092</v>
      </c>
      <c r="Z1083" s="27" t="n">
        <f aca="false">IF(H1083-E1083&gt;=GWL,99,E1083*(MAX(0,GWL-H1083)*(GAM_S-GAM_W)+MAX(0,NG-MAX(H1083,GWL))*GAM_D)/(GAM_W*PI()*E1083^2/4))</f>
        <v>1.43385559251353</v>
      </c>
      <c r="AA1083" s="27" t="n">
        <f aca="false">IF(I1083-E1083&gt;=GWL,99,E1083*(MAX(0,GWL-I1083)*(GAM_S-GAM_W)+MAX(0,NG-MAX(I1083,GWL))*GAM_D)/(GAM_W*PI()*E1083^2/4))</f>
        <v>1.43385559251353</v>
      </c>
      <c r="AB1083" s="27" t="n">
        <f aca="false">IF(H1083-E1083&gt;=GWL,99,E1083*(MAX(0,GWL-H1083)*(GAM_S-GAM_W)+MAX(0,FL-MAX(H1083,GWL))*GAM_D)/(GAM_W*PI()*E1083^2/4))</f>
        <v>3.91608987198258</v>
      </c>
      <c r="AC1083" s="27" t="n">
        <f aca="false">IF(I1083-E1083&gt;=GWL,99,E1083*(MAX(0,GWL-I1083)*(GAM_S-GAM_W)+MAX(0,FL-MAX(I1083,GWL))*GAM_D)/(GAM_W*PI()*E1083^2/4))</f>
        <v>3.91608987198258</v>
      </c>
    </row>
    <row r="1084" customFormat="false" ht="15" hidden="false" customHeight="false" outlineLevel="0" collapsed="false">
      <c r="A1084" s="25" t="s">
        <v>1699</v>
      </c>
      <c r="B1084" s="25" t="s">
        <v>1700</v>
      </c>
      <c r="C1084" s="25" t="s">
        <v>1701</v>
      </c>
      <c r="D1084" s="26" t="n">
        <v>0.0500099995474368</v>
      </c>
      <c r="E1084" s="26" t="n">
        <v>1.59999792926466</v>
      </c>
      <c r="F1084" s="26" t="n">
        <v>0.80000103536767</v>
      </c>
      <c r="G1084" s="26" t="n">
        <v>0.77612103536767</v>
      </c>
      <c r="H1084" s="26" t="n">
        <v>2.89999896463233</v>
      </c>
      <c r="I1084" s="26" t="n">
        <v>2.87611896463233</v>
      </c>
      <c r="J1084" s="26" t="n">
        <v>21.27</v>
      </c>
      <c r="K1084" s="27" t="n">
        <f aca="false">MIN(F1084,G1084)</f>
        <v>0.77612103536767</v>
      </c>
      <c r="L1084" s="27" t="n">
        <f aca="false">AVERAGE(F1084,G1084)</f>
        <v>0.78806103536767</v>
      </c>
      <c r="M1084" s="27" t="n">
        <f aca="false">MAX(0,NG-L1084)</f>
        <v>0</v>
      </c>
      <c r="N1084" s="27" t="n">
        <f aca="false">MAX(0,GWL-K1084)</f>
        <v>0</v>
      </c>
      <c r="O1084" s="27" t="n">
        <f aca="false">MAX(0,NG-MAX(K1084,GWL))</f>
        <v>0</v>
      </c>
      <c r="P1084" s="27" t="n">
        <f aca="false">E1084/2+WS+SLOPE_A*O1084+SLOPE_B*N1084</f>
        <v>1.79999896463233</v>
      </c>
      <c r="Q1084" s="28" t="str">
        <f aca="false">IF(AND(P1084&lt;J1084,N1084&lt;=MAXOC),"Open cut","Shoring")</f>
        <v>Open cut</v>
      </c>
      <c r="R1084" s="27" t="n">
        <f aca="false">IF(Q1084="Shoring",D1084,0)</f>
        <v>0</v>
      </c>
      <c r="S1084" s="27" t="n">
        <f aca="false">MAX(0,GWL-L1084)</f>
        <v>0</v>
      </c>
      <c r="T1084" s="27" t="n">
        <f aca="false">MAX(0,NG-MAX(L1084,GWL))</f>
        <v>0</v>
      </c>
      <c r="U1084" s="27" t="n">
        <f aca="false">E1084+2*WS</f>
        <v>3.59999792926466</v>
      </c>
      <c r="V1084" s="27" t="n">
        <f aca="false">IF(Q1084="Shoring",D1084*M1084*U1084,0)</f>
        <v>0</v>
      </c>
      <c r="W1084" s="27" t="n">
        <f aca="false">IF(Q1084="Open cut",D1084*(U1084*M1084+SLOPE_B*S1084^2+2*SLOPE_B*S1084*T1084+SLOPE_A*T1084^2),0)</f>
        <v>0</v>
      </c>
      <c r="X1084" s="27" t="n">
        <f aca="false">IF(M1084&gt;0,D1084*(E1084+2*SLABOVH)*SLAB,0)</f>
        <v>0</v>
      </c>
      <c r="Y1084" s="27" t="n">
        <f aca="false">IF(M1084&gt;0,D1084*PI()*E1084^2/4,0)</f>
        <v>0</v>
      </c>
      <c r="Z1084" s="27" t="n">
        <f aca="false">IF(H1084-E1084&gt;=GWL,99,E1084*(MAX(0,GWL-H1084)*(GAM_S-GAM_W)+MAX(0,NG-MAX(H1084,GWL))*GAM_D)/(GAM_W*PI()*E1084^2/4))</f>
        <v>99</v>
      </c>
      <c r="AA1084" s="27" t="n">
        <f aca="false">IF(I1084-E1084&gt;=GWL,99,E1084*(MAX(0,GWL-I1084)*(GAM_S-GAM_W)+MAX(0,NG-MAX(I1084,GWL))*GAM_D)/(GAM_W*PI()*E1084^2/4))</f>
        <v>99</v>
      </c>
      <c r="AB1084" s="27" t="n">
        <f aca="false">IF(H1084-E1084&gt;=GWL,99,E1084*(MAX(0,GWL-H1084)*(GAM_S-GAM_W)+MAX(0,FL-MAX(H1084,GWL))*GAM_D)/(GAM_W*PI()*E1084^2/4))</f>
        <v>99</v>
      </c>
      <c r="AC1084" s="27" t="n">
        <f aca="false">IF(I1084-E1084&gt;=GWL,99,E1084*(MAX(0,GWL-I1084)*(GAM_S-GAM_W)+MAX(0,FL-MAX(I1084,GWL))*GAM_D)/(GAM_W*PI()*E1084^2/4))</f>
        <v>99</v>
      </c>
    </row>
    <row r="1085" customFormat="false" ht="15" hidden="false" customHeight="false" outlineLevel="0" collapsed="false">
      <c r="A1085" s="25" t="s">
        <v>1699</v>
      </c>
      <c r="B1085" s="25" t="s">
        <v>1700</v>
      </c>
      <c r="C1085" s="25" t="s">
        <v>1702</v>
      </c>
      <c r="D1085" s="26" t="n">
        <v>0.203994445426117</v>
      </c>
      <c r="E1085" s="26" t="n">
        <v>1.59999792926466</v>
      </c>
      <c r="F1085" s="26" t="n">
        <v>0.77612103536767</v>
      </c>
      <c r="G1085" s="26" t="n">
        <v>0.67870103536767</v>
      </c>
      <c r="H1085" s="26" t="n">
        <v>2.87611896463233</v>
      </c>
      <c r="I1085" s="26" t="n">
        <v>2.77869896463233</v>
      </c>
      <c r="J1085" s="26" t="n">
        <v>21.27</v>
      </c>
      <c r="K1085" s="27" t="n">
        <f aca="false">MIN(F1085,G1085)</f>
        <v>0.67870103536767</v>
      </c>
      <c r="L1085" s="27" t="n">
        <f aca="false">AVERAGE(F1085,G1085)</f>
        <v>0.72741103536767</v>
      </c>
      <c r="M1085" s="27" t="n">
        <f aca="false">MAX(0,NG-L1085)</f>
        <v>0</v>
      </c>
      <c r="N1085" s="27" t="n">
        <f aca="false">MAX(0,GWL-K1085)</f>
        <v>0</v>
      </c>
      <c r="O1085" s="27" t="n">
        <f aca="false">MAX(0,NG-MAX(K1085,GWL))</f>
        <v>0</v>
      </c>
      <c r="P1085" s="27" t="n">
        <f aca="false">E1085/2+WS+SLOPE_A*O1085+SLOPE_B*N1085</f>
        <v>1.79999896463233</v>
      </c>
      <c r="Q1085" s="28" t="str">
        <f aca="false">IF(AND(P1085&lt;J1085,N1085&lt;=MAXOC),"Open cut","Shoring")</f>
        <v>Open cut</v>
      </c>
      <c r="R1085" s="27" t="n">
        <f aca="false">IF(Q1085="Shoring",D1085,0)</f>
        <v>0</v>
      </c>
      <c r="S1085" s="27" t="n">
        <f aca="false">MAX(0,GWL-L1085)</f>
        <v>0</v>
      </c>
      <c r="T1085" s="27" t="n">
        <f aca="false">MAX(0,NG-MAX(L1085,GWL))</f>
        <v>0</v>
      </c>
      <c r="U1085" s="27" t="n">
        <f aca="false">E1085+2*WS</f>
        <v>3.59999792926466</v>
      </c>
      <c r="V1085" s="27" t="n">
        <f aca="false">IF(Q1085="Shoring",D1085*M1085*U1085,0)</f>
        <v>0</v>
      </c>
      <c r="W1085" s="27" t="n">
        <f aca="false">IF(Q1085="Open cut",D1085*(U1085*M1085+SLOPE_B*S1085^2+2*SLOPE_B*S1085*T1085+SLOPE_A*T1085^2),0)</f>
        <v>0</v>
      </c>
      <c r="X1085" s="27" t="n">
        <f aca="false">IF(M1085&gt;0,D1085*(E1085+2*SLABOVH)*SLAB,0)</f>
        <v>0</v>
      </c>
      <c r="Y1085" s="27" t="n">
        <f aca="false">IF(M1085&gt;0,D1085*PI()*E1085^2/4,0)</f>
        <v>0</v>
      </c>
      <c r="Z1085" s="27" t="n">
        <f aca="false">IF(H1085-E1085&gt;=GWL,99,E1085*(MAX(0,GWL-H1085)*(GAM_S-GAM_W)+MAX(0,NG-MAX(H1085,GWL))*GAM_D)/(GAM_W*PI()*E1085^2/4))</f>
        <v>99</v>
      </c>
      <c r="AA1085" s="27" t="n">
        <f aca="false">IF(I1085-E1085&gt;=GWL,99,E1085*(MAX(0,GWL-I1085)*(GAM_S-GAM_W)+MAX(0,NG-MAX(I1085,GWL))*GAM_D)/(GAM_W*PI()*E1085^2/4))</f>
        <v>99</v>
      </c>
      <c r="AB1085" s="27" t="n">
        <f aca="false">IF(H1085-E1085&gt;=GWL,99,E1085*(MAX(0,GWL-H1085)*(GAM_S-GAM_W)+MAX(0,FL-MAX(H1085,GWL))*GAM_D)/(GAM_W*PI()*E1085^2/4))</f>
        <v>99</v>
      </c>
      <c r="AC1085" s="27" t="n">
        <f aca="false">IF(I1085-E1085&gt;=GWL,99,E1085*(MAX(0,GWL-I1085)*(GAM_S-GAM_W)+MAX(0,FL-MAX(I1085,GWL))*GAM_D)/(GAM_W*PI()*E1085^2/4))</f>
        <v>99</v>
      </c>
    </row>
    <row r="1086" customFormat="false" ht="15" hidden="false" customHeight="false" outlineLevel="0" collapsed="false">
      <c r="A1086" s="25" t="s">
        <v>1699</v>
      </c>
      <c r="B1086" s="25" t="s">
        <v>1700</v>
      </c>
      <c r="C1086" s="25" t="s">
        <v>1703</v>
      </c>
      <c r="D1086" s="26" t="n">
        <v>1.37073000106254</v>
      </c>
      <c r="E1086" s="26" t="n">
        <v>1.59999792926466</v>
      </c>
      <c r="F1086" s="26" t="n">
        <v>0.67870103536767</v>
      </c>
      <c r="G1086" s="26" t="n">
        <v>0.0240810353676695</v>
      </c>
      <c r="H1086" s="26" t="n">
        <v>2.77869896463233</v>
      </c>
      <c r="I1086" s="26" t="n">
        <v>2.12407896463233</v>
      </c>
      <c r="J1086" s="26" t="n">
        <v>21.32</v>
      </c>
      <c r="K1086" s="27" t="n">
        <f aca="false">MIN(F1086,G1086)</f>
        <v>0.0240810353676695</v>
      </c>
      <c r="L1086" s="27" t="n">
        <f aca="false">AVERAGE(F1086,G1086)</f>
        <v>0.351391035367669</v>
      </c>
      <c r="M1086" s="27" t="n">
        <f aca="false">MAX(0,NG-L1086)</f>
        <v>0</v>
      </c>
      <c r="N1086" s="27" t="n">
        <f aca="false">MAX(0,GWL-K1086)</f>
        <v>0</v>
      </c>
      <c r="O1086" s="27" t="n">
        <f aca="false">MAX(0,NG-MAX(K1086,GWL))</f>
        <v>0</v>
      </c>
      <c r="P1086" s="27" t="n">
        <f aca="false">E1086/2+WS+SLOPE_A*O1086+SLOPE_B*N1086</f>
        <v>1.79999896463233</v>
      </c>
      <c r="Q1086" s="28" t="str">
        <f aca="false">IF(AND(P1086&lt;J1086,N1086&lt;=MAXOC),"Open cut","Shoring")</f>
        <v>Open cut</v>
      </c>
      <c r="R1086" s="27" t="n">
        <f aca="false">IF(Q1086="Shoring",D1086,0)</f>
        <v>0</v>
      </c>
      <c r="S1086" s="27" t="n">
        <f aca="false">MAX(0,GWL-L1086)</f>
        <v>0</v>
      </c>
      <c r="T1086" s="27" t="n">
        <f aca="false">MAX(0,NG-MAX(L1086,GWL))</f>
        <v>0</v>
      </c>
      <c r="U1086" s="27" t="n">
        <f aca="false">E1086+2*WS</f>
        <v>3.59999792926466</v>
      </c>
      <c r="V1086" s="27" t="n">
        <f aca="false">IF(Q1086="Shoring",D1086*M1086*U1086,0)</f>
        <v>0</v>
      </c>
      <c r="W1086" s="27" t="n">
        <f aca="false">IF(Q1086="Open cut",D1086*(U1086*M1086+SLOPE_B*S1086^2+2*SLOPE_B*S1086*T1086+SLOPE_A*T1086^2),0)</f>
        <v>0</v>
      </c>
      <c r="X1086" s="27" t="n">
        <f aca="false">IF(M1086&gt;0,D1086*(E1086+2*SLABOVH)*SLAB,0)</f>
        <v>0</v>
      </c>
      <c r="Y1086" s="27" t="n">
        <f aca="false">IF(M1086&gt;0,D1086*PI()*E1086^2/4,0)</f>
        <v>0</v>
      </c>
      <c r="Z1086" s="27" t="n">
        <f aca="false">IF(H1086-E1086&gt;=GWL,99,E1086*(MAX(0,GWL-H1086)*(GAM_S-GAM_W)+MAX(0,NG-MAX(H1086,GWL))*GAM_D)/(GAM_W*PI()*E1086^2/4))</f>
        <v>99</v>
      </c>
      <c r="AA1086" s="27" t="n">
        <f aca="false">IF(I1086-E1086&gt;=GWL,99,E1086*(MAX(0,GWL-I1086)*(GAM_S-GAM_W)+MAX(0,NG-MAX(I1086,GWL))*GAM_D)/(GAM_W*PI()*E1086^2/4))</f>
        <v>99</v>
      </c>
      <c r="AB1086" s="27" t="n">
        <f aca="false">IF(H1086-E1086&gt;=GWL,99,E1086*(MAX(0,GWL-H1086)*(GAM_S-GAM_W)+MAX(0,FL-MAX(H1086,GWL))*GAM_D)/(GAM_W*PI()*E1086^2/4))</f>
        <v>99</v>
      </c>
      <c r="AC1086" s="27" t="n">
        <f aca="false">IF(I1086-E1086&gt;=GWL,99,E1086*(MAX(0,GWL-I1086)*(GAM_S-GAM_W)+MAX(0,FL-MAX(I1086,GWL))*GAM_D)/(GAM_W*PI()*E1086^2/4))</f>
        <v>99</v>
      </c>
    </row>
    <row r="1087" customFormat="false" ht="15" hidden="false" customHeight="false" outlineLevel="0" collapsed="false">
      <c r="A1087" s="25" t="s">
        <v>1699</v>
      </c>
      <c r="B1087" s="25" t="s">
        <v>1700</v>
      </c>
      <c r="C1087" s="25" t="s">
        <v>1704</v>
      </c>
      <c r="D1087" s="26" t="n">
        <v>0.838639998926527</v>
      </c>
      <c r="E1087" s="26" t="n">
        <v>1.59999792926165</v>
      </c>
      <c r="F1087" s="26" t="n">
        <v>0.0240810353691744</v>
      </c>
      <c r="G1087" s="26" t="n">
        <v>-0.376418964630826</v>
      </c>
      <c r="H1087" s="26" t="n">
        <v>2.12407896463083</v>
      </c>
      <c r="I1087" s="26" t="n">
        <v>1.72357896463083</v>
      </c>
      <c r="J1087" s="26" t="n">
        <v>21.6</v>
      </c>
      <c r="K1087" s="27" t="n">
        <f aca="false">MIN(F1087,G1087)</f>
        <v>-0.376418964630826</v>
      </c>
      <c r="L1087" s="27" t="n">
        <f aca="false">AVERAGE(F1087,G1087)</f>
        <v>-0.176168964630826</v>
      </c>
      <c r="M1087" s="27" t="n">
        <f aca="false">MAX(0,NG-L1087)</f>
        <v>0</v>
      </c>
      <c r="N1087" s="27" t="n">
        <f aca="false">MAX(0,GWL-K1087)</f>
        <v>0</v>
      </c>
      <c r="O1087" s="27" t="n">
        <f aca="false">MAX(0,NG-MAX(K1087,GWL))</f>
        <v>0</v>
      </c>
      <c r="P1087" s="27" t="n">
        <f aca="false">E1087/2+WS+SLOPE_A*O1087+SLOPE_B*N1087</f>
        <v>1.79999896463083</v>
      </c>
      <c r="Q1087" s="28" t="str">
        <f aca="false">IF(AND(P1087&lt;J1087,N1087&lt;=MAXOC),"Open cut","Shoring")</f>
        <v>Open cut</v>
      </c>
      <c r="R1087" s="27" t="n">
        <f aca="false">IF(Q1087="Shoring",D1087,0)</f>
        <v>0</v>
      </c>
      <c r="S1087" s="27" t="n">
        <f aca="false">MAX(0,GWL-L1087)</f>
        <v>0</v>
      </c>
      <c r="T1087" s="27" t="n">
        <f aca="false">MAX(0,NG-MAX(L1087,GWL))</f>
        <v>0</v>
      </c>
      <c r="U1087" s="27" t="n">
        <f aca="false">E1087+2*WS</f>
        <v>3.59999792926165</v>
      </c>
      <c r="V1087" s="27" t="n">
        <f aca="false">IF(Q1087="Shoring",D1087*M1087*U1087,0)</f>
        <v>0</v>
      </c>
      <c r="W1087" s="27" t="n">
        <f aca="false">IF(Q1087="Open cut",D1087*(U1087*M1087+SLOPE_B*S1087^2+2*SLOPE_B*S1087*T1087+SLOPE_A*T1087^2),0)</f>
        <v>0</v>
      </c>
      <c r="X1087" s="27" t="n">
        <f aca="false">IF(M1087&gt;0,D1087*(E1087+2*SLABOVH)*SLAB,0)</f>
        <v>0</v>
      </c>
      <c r="Y1087" s="27" t="n">
        <f aca="false">IF(M1087&gt;0,D1087*PI()*E1087^2/4,0)</f>
        <v>0</v>
      </c>
      <c r="Z1087" s="27" t="n">
        <f aca="false">IF(H1087-E1087&gt;=GWL,99,E1087*(MAX(0,GWL-H1087)*(GAM_S-GAM_W)+MAX(0,NG-MAX(H1087,GWL))*GAM_D)/(GAM_W*PI()*E1087^2/4))</f>
        <v>99</v>
      </c>
      <c r="AA1087" s="27" t="n">
        <f aca="false">IF(I1087-E1087&gt;=GWL,99,E1087*(MAX(0,GWL-I1087)*(GAM_S-GAM_W)+MAX(0,NG-MAX(I1087,GWL))*GAM_D)/(GAM_W*PI()*E1087^2/4))</f>
        <v>99</v>
      </c>
      <c r="AB1087" s="27" t="n">
        <f aca="false">IF(H1087-E1087&gt;=GWL,99,E1087*(MAX(0,GWL-H1087)*(GAM_S-GAM_W)+MAX(0,FL-MAX(H1087,GWL))*GAM_D)/(GAM_W*PI()*E1087^2/4))</f>
        <v>99</v>
      </c>
      <c r="AC1087" s="27" t="n">
        <f aca="false">IF(I1087-E1087&gt;=GWL,99,E1087*(MAX(0,GWL-I1087)*(GAM_S-GAM_W)+MAX(0,FL-MAX(I1087,GWL))*GAM_D)/(GAM_W*PI()*E1087^2/4))</f>
        <v>99</v>
      </c>
    </row>
    <row r="1088" customFormat="false" ht="15" hidden="false" customHeight="false" outlineLevel="0" collapsed="false">
      <c r="A1088" s="25" t="s">
        <v>1699</v>
      </c>
      <c r="B1088" s="25" t="s">
        <v>1700</v>
      </c>
      <c r="C1088" s="25" t="s">
        <v>1705</v>
      </c>
      <c r="D1088" s="26" t="n">
        <v>0.246010546105075</v>
      </c>
      <c r="E1088" s="26" t="n">
        <v>1.59999944352108</v>
      </c>
      <c r="F1088" s="26" t="n">
        <v>-0.376419721760539</v>
      </c>
      <c r="G1088" s="26" t="n">
        <v>-0.493909721760539</v>
      </c>
      <c r="H1088" s="26" t="n">
        <v>1.72357972176054</v>
      </c>
      <c r="I1088" s="26" t="n">
        <v>1.60608972176054</v>
      </c>
      <c r="J1088" s="26" t="n">
        <v>21.8</v>
      </c>
      <c r="K1088" s="27" t="n">
        <f aca="false">MIN(F1088,G1088)</f>
        <v>-0.493909721760539</v>
      </c>
      <c r="L1088" s="27" t="n">
        <f aca="false">AVERAGE(F1088,G1088)</f>
        <v>-0.435164721760539</v>
      </c>
      <c r="M1088" s="27" t="n">
        <f aca="false">MAX(0,NG-L1088)</f>
        <v>0</v>
      </c>
      <c r="N1088" s="27" t="n">
        <f aca="false">MAX(0,GWL-K1088)</f>
        <v>0</v>
      </c>
      <c r="O1088" s="27" t="n">
        <f aca="false">MAX(0,NG-MAX(K1088,GWL))</f>
        <v>0</v>
      </c>
      <c r="P1088" s="27" t="n">
        <f aca="false">E1088/2+WS+SLOPE_A*O1088+SLOPE_B*N1088</f>
        <v>1.79999972176054</v>
      </c>
      <c r="Q1088" s="28" t="str">
        <f aca="false">IF(AND(P1088&lt;J1088,N1088&lt;=MAXOC),"Open cut","Shoring")</f>
        <v>Open cut</v>
      </c>
      <c r="R1088" s="27" t="n">
        <f aca="false">IF(Q1088="Shoring",D1088,0)</f>
        <v>0</v>
      </c>
      <c r="S1088" s="27" t="n">
        <f aca="false">MAX(0,GWL-L1088)</f>
        <v>0</v>
      </c>
      <c r="T1088" s="27" t="n">
        <f aca="false">MAX(0,NG-MAX(L1088,GWL))</f>
        <v>0</v>
      </c>
      <c r="U1088" s="27" t="n">
        <f aca="false">E1088+2*WS</f>
        <v>3.59999944352108</v>
      </c>
      <c r="V1088" s="27" t="n">
        <f aca="false">IF(Q1088="Shoring",D1088*M1088*U1088,0)</f>
        <v>0</v>
      </c>
      <c r="W1088" s="27" t="n">
        <f aca="false">IF(Q1088="Open cut",D1088*(U1088*M1088+SLOPE_B*S1088^2+2*SLOPE_B*S1088*T1088+SLOPE_A*T1088^2),0)</f>
        <v>0</v>
      </c>
      <c r="X1088" s="27" t="n">
        <f aca="false">IF(M1088&gt;0,D1088*(E1088+2*SLABOVH)*SLAB,0)</f>
        <v>0</v>
      </c>
      <c r="Y1088" s="27" t="n">
        <f aca="false">IF(M1088&gt;0,D1088*PI()*E1088^2/4,0)</f>
        <v>0</v>
      </c>
      <c r="Z1088" s="27" t="n">
        <f aca="false">IF(H1088-E1088&gt;=GWL,99,E1088*(MAX(0,GWL-H1088)*(GAM_S-GAM_W)+MAX(0,NG-MAX(H1088,GWL))*GAM_D)/(GAM_W*PI()*E1088^2/4))</f>
        <v>99</v>
      </c>
      <c r="AA1088" s="27" t="n">
        <f aca="false">IF(I1088-E1088&gt;=GWL,99,E1088*(MAX(0,GWL-I1088)*(GAM_S-GAM_W)+MAX(0,NG-MAX(I1088,GWL))*GAM_D)/(GAM_W*PI()*E1088^2/4))</f>
        <v>99</v>
      </c>
      <c r="AB1088" s="27" t="n">
        <f aca="false">IF(H1088-E1088&gt;=GWL,99,E1088*(MAX(0,GWL-H1088)*(GAM_S-GAM_W)+MAX(0,FL-MAX(H1088,GWL))*GAM_D)/(GAM_W*PI()*E1088^2/4))</f>
        <v>99</v>
      </c>
      <c r="AC1088" s="27" t="n">
        <f aca="false">IF(I1088-E1088&gt;=GWL,99,E1088*(MAX(0,GWL-I1088)*(GAM_S-GAM_W)+MAX(0,FL-MAX(I1088,GWL))*GAM_D)/(GAM_W*PI()*E1088^2/4))</f>
        <v>99</v>
      </c>
    </row>
    <row r="1089" customFormat="false" ht="15" hidden="false" customHeight="false" outlineLevel="0" collapsed="false">
      <c r="A1089" s="25" t="s">
        <v>1699</v>
      </c>
      <c r="B1089" s="25" t="s">
        <v>1700</v>
      </c>
      <c r="C1089" s="25" t="s">
        <v>1706</v>
      </c>
      <c r="D1089" s="26" t="n">
        <v>0.675818662467014</v>
      </c>
      <c r="E1089" s="26" t="n">
        <v>1.60000821327484</v>
      </c>
      <c r="F1089" s="26" t="n">
        <v>-0.49391410663742</v>
      </c>
      <c r="G1089" s="26" t="n">
        <v>-0.81666410663742</v>
      </c>
      <c r="H1089" s="26" t="n">
        <v>1.60609410663742</v>
      </c>
      <c r="I1089" s="26" t="n">
        <v>1.28334410663742</v>
      </c>
      <c r="J1089" s="26" t="n">
        <v>21.86</v>
      </c>
      <c r="K1089" s="27" t="n">
        <f aca="false">MIN(F1089,G1089)</f>
        <v>-0.81666410663742</v>
      </c>
      <c r="L1089" s="27" t="n">
        <f aca="false">AVERAGE(F1089,G1089)</f>
        <v>-0.65528910663742</v>
      </c>
      <c r="M1089" s="27" t="n">
        <f aca="false">MAX(0,NG-L1089)</f>
        <v>0</v>
      </c>
      <c r="N1089" s="27" t="n">
        <f aca="false">MAX(0,GWL-K1089)</f>
        <v>0</v>
      </c>
      <c r="O1089" s="27" t="n">
        <f aca="false">MAX(0,NG-MAX(K1089,GWL))</f>
        <v>0.11666410663742</v>
      </c>
      <c r="P1089" s="27" t="n">
        <f aca="false">E1089/2+WS+SLOPE_A*O1089+SLOPE_B*N1089</f>
        <v>1.97500026659355</v>
      </c>
      <c r="Q1089" s="28" t="str">
        <f aca="false">IF(AND(P1089&lt;J1089,N1089&lt;=MAXOC),"Open cut","Shoring")</f>
        <v>Open cut</v>
      </c>
      <c r="R1089" s="27" t="n">
        <f aca="false">IF(Q1089="Shoring",D1089,0)</f>
        <v>0</v>
      </c>
      <c r="S1089" s="27" t="n">
        <f aca="false">MAX(0,GWL-L1089)</f>
        <v>0</v>
      </c>
      <c r="T1089" s="27" t="n">
        <f aca="false">MAX(0,NG-MAX(L1089,GWL))</f>
        <v>0</v>
      </c>
      <c r="U1089" s="27" t="n">
        <f aca="false">E1089+2*WS</f>
        <v>3.60000821327484</v>
      </c>
      <c r="V1089" s="27" t="n">
        <f aca="false">IF(Q1089="Shoring",D1089*M1089*U1089,0)</f>
        <v>0</v>
      </c>
      <c r="W1089" s="27" t="n">
        <f aca="false">IF(Q1089="Open cut",D1089*(U1089*M1089+SLOPE_B*S1089^2+2*SLOPE_B*S1089*T1089+SLOPE_A*T1089^2),0)</f>
        <v>0</v>
      </c>
      <c r="X1089" s="27" t="n">
        <f aca="false">IF(M1089&gt;0,D1089*(E1089+2*SLABOVH)*SLAB,0)</f>
        <v>0</v>
      </c>
      <c r="Y1089" s="27" t="n">
        <f aca="false">IF(M1089&gt;0,D1089*PI()*E1089^2/4,0)</f>
        <v>0</v>
      </c>
      <c r="Z1089" s="27" t="n">
        <f aca="false">IF(H1089-E1089&gt;=GWL,99,E1089*(MAX(0,GWL-H1089)*(GAM_S-GAM_W)+MAX(0,NG-MAX(H1089,GWL))*GAM_D)/(GAM_W*PI()*E1089^2/4))</f>
        <v>99</v>
      </c>
      <c r="AA1089" s="27" t="n">
        <f aca="false">IF(I1089-E1089&gt;=GWL,99,E1089*(MAX(0,GWL-I1089)*(GAM_S-GAM_W)+MAX(0,NG-MAX(I1089,GWL))*GAM_D)/(GAM_W*PI()*E1089^2/4))</f>
        <v>99</v>
      </c>
      <c r="AB1089" s="27" t="n">
        <f aca="false">IF(H1089-E1089&gt;=GWL,99,E1089*(MAX(0,GWL-H1089)*(GAM_S-GAM_W)+MAX(0,FL-MAX(H1089,GWL))*GAM_D)/(GAM_W*PI()*E1089^2/4))</f>
        <v>99</v>
      </c>
      <c r="AC1089" s="27" t="n">
        <f aca="false">IF(I1089-E1089&gt;=GWL,99,E1089*(MAX(0,GWL-I1089)*(GAM_S-GAM_W)+MAX(0,FL-MAX(I1089,GWL))*GAM_D)/(GAM_W*PI()*E1089^2/4))</f>
        <v>99</v>
      </c>
    </row>
    <row r="1090" customFormat="false" ht="15" hidden="false" customHeight="false" outlineLevel="0" collapsed="false">
      <c r="A1090" s="25" t="s">
        <v>1699</v>
      </c>
      <c r="B1090" s="25" t="s">
        <v>1700</v>
      </c>
      <c r="C1090" s="25" t="s">
        <v>1707</v>
      </c>
      <c r="D1090" s="26" t="n">
        <v>4.90828999984121</v>
      </c>
      <c r="E1090" s="26" t="n">
        <v>1.59999943026217</v>
      </c>
      <c r="F1090" s="26" t="n">
        <v>-0.816659715131087</v>
      </c>
      <c r="G1090" s="26" t="n">
        <v>-3.16068971513109</v>
      </c>
      <c r="H1090" s="26" t="n">
        <v>1.28333971513109</v>
      </c>
      <c r="I1090" s="26" t="n">
        <v>-1.06069028486891</v>
      </c>
      <c r="J1090" s="26" t="n">
        <v>22.02</v>
      </c>
      <c r="K1090" s="27" t="n">
        <f aca="false">MIN(F1090,G1090)</f>
        <v>-3.16068971513109</v>
      </c>
      <c r="L1090" s="27" t="n">
        <f aca="false">AVERAGE(F1090,G1090)</f>
        <v>-1.98867471513109</v>
      </c>
      <c r="M1090" s="27" t="n">
        <f aca="false">MAX(0,NG-L1090)</f>
        <v>1.28867471513109</v>
      </c>
      <c r="N1090" s="27" t="n">
        <f aca="false">MAX(0,GWL-K1090)</f>
        <v>1.66068971513109</v>
      </c>
      <c r="O1090" s="27" t="n">
        <f aca="false">MAX(0,NG-MAX(K1090,GWL))</f>
        <v>0.8</v>
      </c>
      <c r="P1090" s="27" t="n">
        <f aca="false">E1090/2+WS+SLOPE_A*O1090+SLOPE_B*N1090</f>
        <v>6.32137914539326</v>
      </c>
      <c r="Q1090" s="28" t="str">
        <f aca="false">IF(AND(P1090&lt;J1090,N1090&lt;=MAXOC),"Open cut","Shoring")</f>
        <v>Open cut</v>
      </c>
      <c r="R1090" s="27" t="n">
        <f aca="false">IF(Q1090="Shoring",D1090,0)</f>
        <v>0</v>
      </c>
      <c r="S1090" s="27" t="n">
        <f aca="false">MAX(0,GWL-L1090)</f>
        <v>0.488674715131086</v>
      </c>
      <c r="T1090" s="27" t="n">
        <f aca="false">MAX(0,NG-MAX(L1090,GWL))</f>
        <v>0.8</v>
      </c>
      <c r="U1090" s="27" t="n">
        <f aca="false">E1090+2*WS</f>
        <v>3.59999943026217</v>
      </c>
      <c r="V1090" s="27" t="n">
        <f aca="false">IF(Q1090="Shoring",D1090*M1090*U1090,0)</f>
        <v>0</v>
      </c>
      <c r="W1090" s="27" t="n">
        <f aca="false">IF(Q1090="Open cut",D1090*(U1090*M1090+SLOPE_B*S1090^2+2*SLOPE_B*S1090*T1090+SLOPE_A*T1090^2),0)</f>
        <v>37.5022476043012</v>
      </c>
      <c r="X1090" s="27" t="n">
        <f aca="false">IF(M1090&gt;0,D1090*(E1090+2*SLABOVH)*SLAB,0)</f>
        <v>6.38077560157433</v>
      </c>
      <c r="Y1090" s="27" t="n">
        <f aca="false">IF(M1090&gt;0,D1090*PI()*E1090^2/4,0)</f>
        <v>9.86869556710599</v>
      </c>
      <c r="Z1090" s="27" t="n">
        <f aca="false">IF(H1090-E1090&gt;=GWL,99,E1090*(MAX(0,GWL-H1090)*(GAM_S-GAM_W)+MAX(0,NG-MAX(H1090,GWL))*GAM_D)/(GAM_W*PI()*E1090^2/4))</f>
        <v>99</v>
      </c>
      <c r="AA1090" s="27" t="n">
        <f aca="false">IF(I1090-E1090&gt;=GWL,99,E1090*(MAX(0,GWL-I1090)*(GAM_S-GAM_W)+MAX(0,NG-MAX(I1090,GWL))*GAM_D)/(GAM_W*PI()*E1090^2/4))</f>
        <v>0.526657451408002</v>
      </c>
      <c r="AB1090" s="27" t="n">
        <f aca="false">IF(H1090-E1090&gt;=GWL,99,E1090*(MAX(0,GWL-H1090)*(GAM_S-GAM_W)+MAX(0,FL-MAX(H1090,GWL))*GAM_D)/(GAM_W*PI()*E1090^2/4))</f>
        <v>99</v>
      </c>
      <c r="AC1090" s="27" t="n">
        <f aca="false">IF(I1090-E1090&gt;=GWL,99,E1090*(MAX(0,GWL-I1090)*(GAM_S-GAM_W)+MAX(0,FL-MAX(I1090,GWL))*GAM_D)/(GAM_W*PI()*E1090^2/4))</f>
        <v>3.00889139269364</v>
      </c>
    </row>
    <row r="1091" customFormat="false" ht="15" hidden="false" customHeight="false" outlineLevel="0" collapsed="false">
      <c r="A1091" s="25" t="s">
        <v>1699</v>
      </c>
      <c r="B1091" s="25" t="s">
        <v>1700</v>
      </c>
      <c r="C1091" s="25" t="s">
        <v>1708</v>
      </c>
      <c r="D1091" s="26" t="n">
        <v>0.674488772595374</v>
      </c>
      <c r="E1091" s="26" t="n">
        <v>1.60000091184616</v>
      </c>
      <c r="F1091" s="26" t="n">
        <v>-3.16069045592308</v>
      </c>
      <c r="G1091" s="26" t="n">
        <v>-3.48280045592308</v>
      </c>
      <c r="H1091" s="26" t="n">
        <v>-1.06068954407692</v>
      </c>
      <c r="I1091" s="26" t="n">
        <v>-1.38279954407692</v>
      </c>
      <c r="J1091" s="26" t="n">
        <v>23.45</v>
      </c>
      <c r="K1091" s="27" t="n">
        <f aca="false">MIN(F1091,G1091)</f>
        <v>-3.48280045592308</v>
      </c>
      <c r="L1091" s="27" t="n">
        <f aca="false">AVERAGE(F1091,G1091)</f>
        <v>-3.32174545592308</v>
      </c>
      <c r="M1091" s="27" t="n">
        <f aca="false">MAX(0,NG-L1091)</f>
        <v>2.62174545592308</v>
      </c>
      <c r="N1091" s="27" t="n">
        <f aca="false">MAX(0,GWL-K1091)</f>
        <v>1.98280045592308</v>
      </c>
      <c r="O1091" s="27" t="n">
        <f aca="false">MAX(0,NG-MAX(K1091,GWL))</f>
        <v>0.8</v>
      </c>
      <c r="P1091" s="27" t="n">
        <f aca="false">E1091/2+WS+SLOPE_A*O1091+SLOPE_B*N1091</f>
        <v>6.96560136776923</v>
      </c>
      <c r="Q1091" s="28" t="str">
        <f aca="false">IF(AND(P1091&lt;J1091,N1091&lt;=MAXOC),"Open cut","Shoring")</f>
        <v>Open cut</v>
      </c>
      <c r="R1091" s="27" t="n">
        <f aca="false">IF(Q1091="Shoring",D1091,0)</f>
        <v>0</v>
      </c>
      <c r="S1091" s="27" t="n">
        <f aca="false">MAX(0,GWL-L1091)</f>
        <v>1.82174545592308</v>
      </c>
      <c r="T1091" s="27" t="n">
        <f aca="false">MAX(0,NG-MAX(L1091,GWL))</f>
        <v>0.8</v>
      </c>
      <c r="U1091" s="27" t="n">
        <f aca="false">E1091+2*WS</f>
        <v>3.60000091184616</v>
      </c>
      <c r="V1091" s="27" t="n">
        <f aca="false">IF(Q1091="Shoring",D1091*M1091*U1091,0)</f>
        <v>0</v>
      </c>
      <c r="W1091" s="27" t="n">
        <f aca="false">IF(Q1091="Open cut",D1091*(U1091*M1091+SLOPE_B*S1091^2+2*SLOPE_B*S1091*T1091+SLOPE_A*T1091^2),0)</f>
        <v>15.4224451285239</v>
      </c>
      <c r="X1091" s="27" t="n">
        <f aca="false">IF(M1091&gt;0,D1091*(E1091+2*SLABOVH)*SLAB,0)</f>
        <v>0.876835711888984</v>
      </c>
      <c r="Y1091" s="27" t="n">
        <f aca="false">IF(M1091&gt;0,D1091*PI()*E1091^2/4,0)</f>
        <v>1.35614168840464</v>
      </c>
      <c r="Z1091" s="27" t="n">
        <f aca="false">IF(H1091-E1091&gt;=GWL,99,E1091*(MAX(0,GWL-H1091)*(GAM_S-GAM_W)+MAX(0,NG-MAX(H1091,GWL))*GAM_D)/(GAM_W*PI()*E1091^2/4))</f>
        <v>0.526655882071504</v>
      </c>
      <c r="AA1091" s="27" t="n">
        <f aca="false">IF(I1091-E1091&gt;=GWL,99,E1091*(MAX(0,GWL-I1091)*(GAM_S-GAM_W)+MAX(0,NG-MAX(I1091,GWL))*GAM_D)/(GAM_W*PI()*E1091^2/4))</f>
        <v>0.996980372924707</v>
      </c>
      <c r="AB1091" s="27" t="n">
        <f aca="false">IF(H1091-E1091&gt;=GWL,99,E1091*(MAX(0,GWL-H1091)*(GAM_S-GAM_W)+MAX(0,FL-MAX(H1091,GWL))*GAM_D)/(GAM_W*PI()*E1091^2/4))</f>
        <v>3.00888752483467</v>
      </c>
      <c r="AC1091" s="27" t="n">
        <f aca="false">IF(I1091-E1091&gt;=GWL,99,E1091*(MAX(0,GWL-I1091)*(GAM_S-GAM_W)+MAX(0,FL-MAX(I1091,GWL))*GAM_D)/(GAM_W*PI()*E1091^2/4))</f>
        <v>3.47921201568788</v>
      </c>
    </row>
    <row r="1092" customFormat="false" ht="15" hidden="false" customHeight="false" outlineLevel="0" collapsed="false">
      <c r="A1092" s="25" t="s">
        <v>1699</v>
      </c>
      <c r="B1092" s="25" t="s">
        <v>1700</v>
      </c>
      <c r="C1092" s="25" t="s">
        <v>1709</v>
      </c>
      <c r="D1092" s="26" t="n">
        <v>0.242970694086246</v>
      </c>
      <c r="E1092" s="26" t="n">
        <v>1.59999836605284</v>
      </c>
      <c r="F1092" s="26" t="n">
        <v>-3.48279918302642</v>
      </c>
      <c r="G1092" s="26" t="n">
        <v>-3.59882918302642</v>
      </c>
      <c r="H1092" s="26" t="n">
        <v>-1.38280081697358</v>
      </c>
      <c r="I1092" s="26" t="n">
        <v>-1.49883081697358</v>
      </c>
      <c r="J1092" s="26" t="n">
        <v>23.67</v>
      </c>
      <c r="K1092" s="27" t="n">
        <f aca="false">MIN(F1092,G1092)</f>
        <v>-3.59882918302642</v>
      </c>
      <c r="L1092" s="27" t="n">
        <f aca="false">AVERAGE(F1092,G1092)</f>
        <v>-3.54081418302642</v>
      </c>
      <c r="M1092" s="27" t="n">
        <f aca="false">MAX(0,NG-L1092)</f>
        <v>2.84081418302642</v>
      </c>
      <c r="N1092" s="27" t="n">
        <f aca="false">MAX(0,GWL-K1092)</f>
        <v>2.09882918302642</v>
      </c>
      <c r="O1092" s="27" t="n">
        <f aca="false">MAX(0,NG-MAX(K1092,GWL))</f>
        <v>0.8</v>
      </c>
      <c r="P1092" s="27" t="n">
        <f aca="false">E1092/2+WS+SLOPE_A*O1092+SLOPE_B*N1092</f>
        <v>7.19765754907926</v>
      </c>
      <c r="Q1092" s="28" t="str">
        <f aca="false">IF(AND(P1092&lt;J1092,N1092&lt;=MAXOC),"Open cut","Shoring")</f>
        <v>Open cut</v>
      </c>
      <c r="R1092" s="27" t="n">
        <f aca="false">IF(Q1092="Shoring",D1092,0)</f>
        <v>0</v>
      </c>
      <c r="S1092" s="27" t="n">
        <f aca="false">MAX(0,GWL-L1092)</f>
        <v>2.04081418302642</v>
      </c>
      <c r="T1092" s="27" t="n">
        <f aca="false">MAX(0,NG-MAX(L1092,GWL))</f>
        <v>0.8</v>
      </c>
      <c r="U1092" s="27" t="n">
        <f aca="false">E1092+2*WS</f>
        <v>3.59999836605284</v>
      </c>
      <c r="V1092" s="27" t="n">
        <f aca="false">IF(Q1092="Shoring",D1092*M1092*U1092,0)</f>
        <v>0</v>
      </c>
      <c r="W1092" s="27" t="n">
        <f aca="false">IF(Q1092="Open cut",D1092*(U1092*M1092+SLOPE_B*S1092^2+2*SLOPE_B*S1092*T1092+SLOPE_A*T1092^2),0)</f>
        <v>6.32874923531606</v>
      </c>
      <c r="X1092" s="27" t="n">
        <f aca="false">IF(M1092&gt;0,D1092*(E1092+2*SLABOVH)*SLAB,0)</f>
        <v>0.315861703811483</v>
      </c>
      <c r="Y1092" s="27" t="n">
        <f aca="false">IF(M1092&gt;0,D1092*PI()*E1092^2/4,0)</f>
        <v>0.488520568678014</v>
      </c>
      <c r="Z1092" s="27" t="n">
        <f aca="false">IF(H1092-E1092&gt;=GWL,99,E1092*(MAX(0,GWL-H1092)*(GAM_S-GAM_W)+MAX(0,NG-MAX(H1092,GWL))*GAM_D)/(GAM_W*PI()*E1092^2/4))</f>
        <v>0.996983817848081</v>
      </c>
      <c r="AA1092" s="27" t="n">
        <f aca="false">IF(I1092-E1092&gt;=GWL,99,E1092*(MAX(0,GWL-I1092)*(GAM_S-GAM_W)+MAX(0,NG-MAX(I1092,GWL))*GAM_D)/(GAM_W*PI()*E1092^2/4))</f>
        <v>1.16640369771531</v>
      </c>
      <c r="AB1092" s="27" t="n">
        <f aca="false">IF(H1092-E1092&gt;=GWL,99,E1092*(MAX(0,GWL-H1092)*(GAM_S-GAM_W)+MAX(0,FL-MAX(H1092,GWL))*GAM_D)/(GAM_W*PI()*E1092^2/4))</f>
        <v>3.47921941014574</v>
      </c>
      <c r="AC1092" s="27" t="n">
        <f aca="false">IF(I1092-E1092&gt;=GWL,99,E1092*(MAX(0,GWL-I1092)*(GAM_S-GAM_W)+MAX(0,FL-MAX(I1092,GWL))*GAM_D)/(GAM_W*PI()*E1092^2/4))</f>
        <v>3.64863929001297</v>
      </c>
    </row>
    <row r="1093" customFormat="false" ht="15" hidden="false" customHeight="false" outlineLevel="0" collapsed="false">
      <c r="A1093" s="25" t="s">
        <v>1699</v>
      </c>
      <c r="B1093" s="25" t="s">
        <v>1700</v>
      </c>
      <c r="C1093" s="25" t="s">
        <v>1710</v>
      </c>
      <c r="D1093" s="26" t="n">
        <v>0.789046879693786</v>
      </c>
      <c r="E1093" s="26" t="n">
        <v>1.59999482390558</v>
      </c>
      <c r="F1093" s="26" t="n">
        <v>-3.59882741195279</v>
      </c>
      <c r="G1093" s="26" t="n">
        <v>-3.97565057007831</v>
      </c>
      <c r="H1093" s="26" t="n">
        <v>-1.49883258804721</v>
      </c>
      <c r="I1093" s="26" t="n">
        <v>-1.87565574617274</v>
      </c>
      <c r="J1093" s="26" t="n">
        <v>23.76</v>
      </c>
      <c r="K1093" s="27" t="n">
        <f aca="false">MIN(F1093,G1093)</f>
        <v>-3.97565057007831</v>
      </c>
      <c r="L1093" s="27" t="n">
        <f aca="false">AVERAGE(F1093,G1093)</f>
        <v>-3.78723899101555</v>
      </c>
      <c r="M1093" s="27" t="n">
        <f aca="false">MAX(0,NG-L1093)</f>
        <v>3.08723899101555</v>
      </c>
      <c r="N1093" s="27" t="n">
        <f aca="false">MAX(0,GWL-K1093)</f>
        <v>2.47565057007831</v>
      </c>
      <c r="O1093" s="27" t="n">
        <f aca="false">MAX(0,NG-MAX(K1093,GWL))</f>
        <v>0.8</v>
      </c>
      <c r="P1093" s="27" t="n">
        <f aca="false">E1093/2+WS+SLOPE_A*O1093+SLOPE_B*N1093</f>
        <v>7.95129855210941</v>
      </c>
      <c r="Q1093" s="28" t="str">
        <f aca="false">IF(AND(P1093&lt;J1093,N1093&lt;=MAXOC),"Open cut","Shoring")</f>
        <v>Open cut</v>
      </c>
      <c r="R1093" s="27" t="n">
        <f aca="false">IF(Q1093="Shoring",D1093,0)</f>
        <v>0</v>
      </c>
      <c r="S1093" s="27" t="n">
        <f aca="false">MAX(0,GWL-L1093)</f>
        <v>2.28723899101555</v>
      </c>
      <c r="T1093" s="27" t="n">
        <f aca="false">MAX(0,NG-MAX(L1093,GWL))</f>
        <v>0.8</v>
      </c>
      <c r="U1093" s="27" t="n">
        <f aca="false">E1093+2*WS</f>
        <v>3.59999482390558</v>
      </c>
      <c r="V1093" s="27" t="n">
        <f aca="false">IF(Q1093="Shoring",D1093*M1093*U1093,0)</f>
        <v>0</v>
      </c>
      <c r="W1093" s="27" t="n">
        <f aca="false">IF(Q1093="Open cut",D1093*(U1093*M1093+SLOPE_B*S1093^2+2*SLOPE_B*S1093*T1093+SLOPE_A*T1093^2),0)</f>
        <v>23.557889027692</v>
      </c>
      <c r="X1093" s="27" t="n">
        <f aca="false">IF(M1093&gt;0,D1093*(E1093+2*SLABOVH)*SLAB,0)</f>
        <v>1.02575890151135</v>
      </c>
      <c r="Y1093" s="27" t="n">
        <f aca="false">IF(M1093&gt;0,D1093*PI()*E1093^2/4,0)</f>
        <v>1.58646261892352</v>
      </c>
      <c r="Z1093" s="27" t="n">
        <f aca="false">IF(H1093-E1093&gt;=GWL,99,E1093*(MAX(0,GWL-H1093)*(GAM_S-GAM_W)+MAX(0,NG-MAX(H1093,GWL))*GAM_D)/(GAM_W*PI()*E1093^2/4))</f>
        <v>1.16640886597588</v>
      </c>
      <c r="AA1093" s="27" t="n">
        <f aca="false">IF(I1093-E1093&gt;=GWL,99,E1093*(MAX(0,GWL-I1093)*(GAM_S-GAM_W)+MAX(0,NG-MAX(I1093,GWL))*GAM_D)/(GAM_W*PI()*E1093^2/4))</f>
        <v>1.41768580487483</v>
      </c>
      <c r="AB1093" s="27" t="n">
        <f aca="false">IF(H1093-E1093&gt;=GWL,99,E1093*(MAX(0,GWL-H1093)*(GAM_S-GAM_W)+MAX(0,FL-MAX(H1093,GWL))*GAM_D)/(GAM_W*PI()*E1093^2/4))</f>
        <v>3.64864995356882</v>
      </c>
      <c r="AC1093" s="27" t="n">
        <f aca="false">IF(I1093-E1093&gt;=GWL,99,E1093*(MAX(0,GWL-I1093)*(GAM_S-GAM_W)+MAX(0,FL-MAX(I1093,GWL))*GAM_D)/(GAM_W*PI()*E1093^2/4))</f>
        <v>3.89992689246777</v>
      </c>
    </row>
    <row r="1094" customFormat="false" ht="15" hidden="false" customHeight="false" outlineLevel="0" collapsed="false">
      <c r="A1094" s="25" t="s">
        <v>1699</v>
      </c>
      <c r="B1094" s="25" t="s">
        <v>1700</v>
      </c>
      <c r="C1094" s="25" t="s">
        <v>1711</v>
      </c>
      <c r="D1094" s="26" t="n">
        <v>0.0509809424097064</v>
      </c>
      <c r="E1094" s="26" t="n">
        <v>1.59999482390558</v>
      </c>
      <c r="F1094" s="26" t="n">
        <v>-3.97565057007831</v>
      </c>
      <c r="G1094" s="26" t="n">
        <v>-3.99999741195279</v>
      </c>
      <c r="H1094" s="26" t="n">
        <v>-1.87565574617274</v>
      </c>
      <c r="I1094" s="26" t="n">
        <v>-1.90000258804721</v>
      </c>
      <c r="J1094" s="26" t="n">
        <v>24.04</v>
      </c>
      <c r="K1094" s="27" t="n">
        <f aca="false">MIN(F1094,G1094)</f>
        <v>-3.99999741195279</v>
      </c>
      <c r="L1094" s="27" t="n">
        <f aca="false">AVERAGE(F1094,G1094)</f>
        <v>-3.98782399101555</v>
      </c>
      <c r="M1094" s="27" t="n">
        <f aca="false">MAX(0,NG-L1094)</f>
        <v>3.28782399101555</v>
      </c>
      <c r="N1094" s="27" t="n">
        <f aca="false">MAX(0,GWL-K1094)</f>
        <v>2.49999741195279</v>
      </c>
      <c r="O1094" s="27" t="n">
        <f aca="false">MAX(0,NG-MAX(K1094,GWL))</f>
        <v>0.8</v>
      </c>
      <c r="P1094" s="27" t="n">
        <f aca="false">E1094/2+WS+SLOPE_A*O1094+SLOPE_B*N1094</f>
        <v>7.99999223585837</v>
      </c>
      <c r="Q1094" s="28" t="str">
        <f aca="false">IF(AND(P1094&lt;J1094,N1094&lt;=MAXOC),"Open cut","Shoring")</f>
        <v>Open cut</v>
      </c>
      <c r="R1094" s="27" t="n">
        <f aca="false">IF(Q1094="Shoring",D1094,0)</f>
        <v>0</v>
      </c>
      <c r="S1094" s="27" t="n">
        <f aca="false">MAX(0,GWL-L1094)</f>
        <v>2.48782399101555</v>
      </c>
      <c r="T1094" s="27" t="n">
        <f aca="false">MAX(0,NG-MAX(L1094,GWL))</f>
        <v>0.8</v>
      </c>
      <c r="U1094" s="27" t="n">
        <f aca="false">E1094+2*WS</f>
        <v>3.59999482390558</v>
      </c>
      <c r="V1094" s="27" t="n">
        <f aca="false">IF(Q1094="Shoring",D1094*M1094*U1094,0)</f>
        <v>0</v>
      </c>
      <c r="W1094" s="27" t="n">
        <f aca="false">IF(Q1094="Open cut",D1094*(U1094*M1094+SLOPE_B*S1094^2+2*SLOPE_B*S1094*T1094+SLOPE_A*T1094^2),0)</f>
        <v>1.68929036258526</v>
      </c>
      <c r="X1094" s="27" t="n">
        <f aca="false">IF(M1094&gt;0,D1094*(E1094+2*SLABOVH)*SLAB,0)</f>
        <v>0.0662750931915325</v>
      </c>
      <c r="Y1094" s="27" t="n">
        <f aca="false">IF(M1094&gt;0,D1094*PI()*E1094^2/4,0)</f>
        <v>0.102502603447187</v>
      </c>
      <c r="Z1094" s="27" t="n">
        <f aca="false">IF(H1094-E1094&gt;=GWL,99,E1094*(MAX(0,GWL-H1094)*(GAM_S-GAM_W)+MAX(0,NG-MAX(H1094,GWL))*GAM_D)/(GAM_W*PI()*E1094^2/4))</f>
        <v>1.41768580487483</v>
      </c>
      <c r="AA1094" s="27" t="n">
        <f aca="false">IF(I1094-E1094&gt;=GWL,99,E1094*(MAX(0,GWL-I1094)*(GAM_S-GAM_W)+MAX(0,NG-MAX(I1094,GWL))*GAM_D)/(GAM_W*PI()*E1094^2/4))</f>
        <v>1.43386098294574</v>
      </c>
      <c r="AB1094" s="27" t="n">
        <f aca="false">IF(H1094-E1094&gt;=GWL,99,E1094*(MAX(0,GWL-H1094)*(GAM_S-GAM_W)+MAX(0,FL-MAX(H1094,GWL))*GAM_D)/(GAM_W*PI()*E1094^2/4))</f>
        <v>3.89992689246777</v>
      </c>
      <c r="AC1094" s="27" t="n">
        <f aca="false">IF(I1094-E1094&gt;=GWL,99,E1094*(MAX(0,GWL-I1094)*(GAM_S-GAM_W)+MAX(0,FL-MAX(I1094,GWL))*GAM_D)/(GAM_W*PI()*E1094^2/4))</f>
        <v>3.91610207053868</v>
      </c>
    </row>
    <row r="1095" customFormat="false" ht="15" hidden="false" customHeight="false" outlineLevel="0" collapsed="false">
      <c r="A1095" s="25" t="s">
        <v>1699</v>
      </c>
      <c r="B1095" s="25" t="s">
        <v>1700</v>
      </c>
      <c r="C1095" s="25" t="s">
        <v>1712</v>
      </c>
      <c r="D1095" s="26" t="n">
        <v>9.94901905769338</v>
      </c>
      <c r="E1095" s="26" t="n">
        <v>1.60000181907801</v>
      </c>
      <c r="F1095" s="26" t="n">
        <v>-4.00000090953901</v>
      </c>
      <c r="G1095" s="26" t="n">
        <v>-4.00000090953901</v>
      </c>
      <c r="H1095" s="26" t="n">
        <v>-1.89999909046099</v>
      </c>
      <c r="I1095" s="26" t="n">
        <v>-1.89999909046099</v>
      </c>
      <c r="J1095" s="26" t="n">
        <v>24.06</v>
      </c>
      <c r="K1095" s="27" t="n">
        <f aca="false">MIN(F1095,G1095)</f>
        <v>-4.00000090953901</v>
      </c>
      <c r="L1095" s="27" t="n">
        <f aca="false">AVERAGE(F1095,G1095)</f>
        <v>-4.00000090953901</v>
      </c>
      <c r="M1095" s="27" t="n">
        <f aca="false">MAX(0,NG-L1095)</f>
        <v>3.30000090953901</v>
      </c>
      <c r="N1095" s="27" t="n">
        <f aca="false">MAX(0,GWL-K1095)</f>
        <v>2.50000090953901</v>
      </c>
      <c r="O1095" s="27" t="n">
        <f aca="false">MAX(0,NG-MAX(K1095,GWL))</f>
        <v>0.8</v>
      </c>
      <c r="P1095" s="27" t="n">
        <f aca="false">E1095/2+WS+SLOPE_A*O1095+SLOPE_B*N1095</f>
        <v>8.00000272861702</v>
      </c>
      <c r="Q1095" s="28" t="str">
        <f aca="false">IF(AND(P1095&lt;J1095,N1095&lt;=MAXOC),"Open cut","Shoring")</f>
        <v>Shoring</v>
      </c>
      <c r="R1095" s="27" t="n">
        <f aca="false">IF(Q1095="Shoring",D1095,0)</f>
        <v>9.94901905769338</v>
      </c>
      <c r="S1095" s="27" t="n">
        <f aca="false">MAX(0,GWL-L1095)</f>
        <v>2.50000090953901</v>
      </c>
      <c r="T1095" s="27" t="n">
        <f aca="false">MAX(0,NG-MAX(L1095,GWL))</f>
        <v>0.8</v>
      </c>
      <c r="U1095" s="27" t="n">
        <f aca="false">E1095+2*WS</f>
        <v>3.60000181907801</v>
      </c>
      <c r="V1095" s="27" t="n">
        <f aca="false">IF(Q1095="Shoring",D1095*M1095*U1095,0)</f>
        <v>118.194438705427</v>
      </c>
      <c r="W1095" s="27" t="n">
        <f aca="false">IF(Q1095="Open cut",D1095*(U1095*M1095+SLOPE_B*S1095^2+2*SLOPE_B*S1095*T1095+SLOPE_A*T1095^2),0)</f>
        <v>0</v>
      </c>
      <c r="X1095" s="27" t="n">
        <f aca="false">IF(M1095&gt;0,D1095*(E1095+2*SLABOVH)*SLAB,0)</f>
        <v>12.9337338240223</v>
      </c>
      <c r="Y1095" s="27" t="n">
        <f aca="false">IF(M1095&gt;0,D1095*PI()*E1095^2/4,0)</f>
        <v>20.0037352018936</v>
      </c>
      <c r="Z1095" s="27" t="n">
        <f aca="false">IF(H1095-E1095&gt;=GWL,99,E1095*(MAX(0,GWL-H1095)*(GAM_S-GAM_W)+MAX(0,NG-MAX(H1095,GWL))*GAM_D)/(GAM_W*PI()*E1095^2/4))</f>
        <v>1.4338523904753</v>
      </c>
      <c r="AA1095" s="27" t="n">
        <f aca="false">IF(I1095-E1095&gt;=GWL,99,E1095*(MAX(0,GWL-I1095)*(GAM_S-GAM_W)+MAX(0,NG-MAX(I1095,GWL))*GAM_D)/(GAM_W*PI()*E1095^2/4))</f>
        <v>1.4338523904753</v>
      </c>
      <c r="AB1095" s="27" t="n">
        <f aca="false">IF(H1095-E1095&gt;=GWL,99,E1095*(MAX(0,GWL-H1095)*(GAM_S-GAM_W)+MAX(0,FL-MAX(H1095,GWL))*GAM_D)/(GAM_W*PI()*E1095^2/4))</f>
        <v>3.91608262576531</v>
      </c>
      <c r="AC1095" s="27" t="n">
        <f aca="false">IF(I1095-E1095&gt;=GWL,99,E1095*(MAX(0,GWL-I1095)*(GAM_S-GAM_W)+MAX(0,FL-MAX(I1095,GWL))*GAM_D)/(GAM_W*PI()*E1095^2/4))</f>
        <v>3.91608262576531</v>
      </c>
    </row>
    <row r="1096" customFormat="false" ht="15" hidden="false" customHeight="false" outlineLevel="0" collapsed="false">
      <c r="A1096" s="25" t="s">
        <v>1699</v>
      </c>
      <c r="B1096" s="25" t="s">
        <v>1700</v>
      </c>
      <c r="C1096" s="25" t="s">
        <v>1713</v>
      </c>
      <c r="D1096" s="26" t="n">
        <v>10.0000000000257</v>
      </c>
      <c r="E1096" s="26" t="n">
        <v>1.60000181907801</v>
      </c>
      <c r="F1096" s="26" t="n">
        <v>-4.00000090953901</v>
      </c>
      <c r="G1096" s="26" t="n">
        <v>-4.00000090953901</v>
      </c>
      <c r="H1096" s="26" t="n">
        <v>-1.89999909046099</v>
      </c>
      <c r="I1096" s="26" t="n">
        <v>-1.89999909046099</v>
      </c>
      <c r="J1096" s="26" t="n">
        <v>28.92</v>
      </c>
      <c r="K1096" s="27" t="n">
        <f aca="false">MIN(F1096,G1096)</f>
        <v>-4.00000090953901</v>
      </c>
      <c r="L1096" s="27" t="n">
        <f aca="false">AVERAGE(F1096,G1096)</f>
        <v>-4.00000090953901</v>
      </c>
      <c r="M1096" s="27" t="n">
        <f aca="false">MAX(0,NG-L1096)</f>
        <v>3.30000090953901</v>
      </c>
      <c r="N1096" s="27" t="n">
        <f aca="false">MAX(0,GWL-K1096)</f>
        <v>2.50000090953901</v>
      </c>
      <c r="O1096" s="27" t="n">
        <f aca="false">MAX(0,NG-MAX(K1096,GWL))</f>
        <v>0.8</v>
      </c>
      <c r="P1096" s="27" t="n">
        <f aca="false">E1096/2+WS+SLOPE_A*O1096+SLOPE_B*N1096</f>
        <v>8.00000272861702</v>
      </c>
      <c r="Q1096" s="28" t="str">
        <f aca="false">IF(AND(P1096&lt;J1096,N1096&lt;=MAXOC),"Open cut","Shoring")</f>
        <v>Shoring</v>
      </c>
      <c r="R1096" s="27" t="n">
        <f aca="false">IF(Q1096="Shoring",D1096,0)</f>
        <v>10.0000000000257</v>
      </c>
      <c r="S1096" s="27" t="n">
        <f aca="false">MAX(0,GWL-L1096)</f>
        <v>2.50000090953901</v>
      </c>
      <c r="T1096" s="27" t="n">
        <f aca="false">MAX(0,NG-MAX(L1096,GWL))</f>
        <v>0.8</v>
      </c>
      <c r="U1096" s="27" t="n">
        <f aca="false">E1096+2*WS</f>
        <v>3.60000181907801</v>
      </c>
      <c r="V1096" s="27" t="n">
        <f aca="false">IF(Q1096="Shoring",D1096*M1096*U1096,0)</f>
        <v>118.800092773301</v>
      </c>
      <c r="W1096" s="27" t="n">
        <f aca="false">IF(Q1096="Open cut",D1096*(U1096*M1096+SLOPE_B*S1096^2+2*SLOPE_B*S1096*T1096+SLOPE_A*T1096^2),0)</f>
        <v>0</v>
      </c>
      <c r="X1096" s="27" t="n">
        <f aca="false">IF(M1096&gt;0,D1096*(E1096+2*SLABOVH)*SLAB,0)</f>
        <v>13.0000090954235</v>
      </c>
      <c r="Y1096" s="27" t="n">
        <f aca="false">IF(M1096&gt;0,D1096*PI()*E1096^2/4,0)</f>
        <v>20.1062387014694</v>
      </c>
      <c r="Z1096" s="27" t="n">
        <f aca="false">IF(H1096-E1096&gt;=GWL,99,E1096*(MAX(0,GWL-H1096)*(GAM_S-GAM_W)+MAX(0,NG-MAX(H1096,GWL))*GAM_D)/(GAM_W*PI()*E1096^2/4))</f>
        <v>1.4338523904753</v>
      </c>
      <c r="AA1096" s="27" t="n">
        <f aca="false">IF(I1096-E1096&gt;=GWL,99,E1096*(MAX(0,GWL-I1096)*(GAM_S-GAM_W)+MAX(0,NG-MAX(I1096,GWL))*GAM_D)/(GAM_W*PI()*E1096^2/4))</f>
        <v>1.4338523904753</v>
      </c>
      <c r="AB1096" s="27" t="n">
        <f aca="false">IF(H1096-E1096&gt;=GWL,99,E1096*(MAX(0,GWL-H1096)*(GAM_S-GAM_W)+MAX(0,FL-MAX(H1096,GWL))*GAM_D)/(GAM_W*PI()*E1096^2/4))</f>
        <v>3.91608262576531</v>
      </c>
      <c r="AC1096" s="27" t="n">
        <f aca="false">IF(I1096-E1096&gt;=GWL,99,E1096*(MAX(0,GWL-I1096)*(GAM_S-GAM_W)+MAX(0,FL-MAX(I1096,GWL))*GAM_D)/(GAM_W*PI()*E1096^2/4))</f>
        <v>3.91608262576531</v>
      </c>
    </row>
    <row r="1097" customFormat="false" ht="15" hidden="false" customHeight="false" outlineLevel="0" collapsed="false">
      <c r="A1097" s="25" t="s">
        <v>1699</v>
      </c>
      <c r="B1097" s="25" t="s">
        <v>1700</v>
      </c>
      <c r="C1097" s="25" t="s">
        <v>1714</v>
      </c>
      <c r="D1097" s="26" t="n">
        <v>8.08848094245045</v>
      </c>
      <c r="E1097" s="26" t="n">
        <v>1.60000181907801</v>
      </c>
      <c r="F1097" s="26" t="n">
        <v>-4.00000090953901</v>
      </c>
      <c r="G1097" s="26" t="n">
        <v>-4.00000090953901</v>
      </c>
      <c r="H1097" s="26" t="n">
        <v>-1.89999909046099</v>
      </c>
      <c r="I1097" s="26" t="n">
        <v>-1.89999909046099</v>
      </c>
      <c r="J1097" s="26" t="n">
        <v>34.62</v>
      </c>
      <c r="K1097" s="27" t="n">
        <f aca="false">MIN(F1097,G1097)</f>
        <v>-4.00000090953901</v>
      </c>
      <c r="L1097" s="27" t="n">
        <f aca="false">AVERAGE(F1097,G1097)</f>
        <v>-4.00000090953901</v>
      </c>
      <c r="M1097" s="27" t="n">
        <f aca="false">MAX(0,NG-L1097)</f>
        <v>3.30000090953901</v>
      </c>
      <c r="N1097" s="27" t="n">
        <f aca="false">MAX(0,GWL-K1097)</f>
        <v>2.50000090953901</v>
      </c>
      <c r="O1097" s="27" t="n">
        <f aca="false">MAX(0,NG-MAX(K1097,GWL))</f>
        <v>0.8</v>
      </c>
      <c r="P1097" s="27" t="n">
        <f aca="false">E1097/2+WS+SLOPE_A*O1097+SLOPE_B*N1097</f>
        <v>8.00000272861702</v>
      </c>
      <c r="Q1097" s="28" t="str">
        <f aca="false">IF(AND(P1097&lt;J1097,N1097&lt;=MAXOC),"Open cut","Shoring")</f>
        <v>Shoring</v>
      </c>
      <c r="R1097" s="27" t="n">
        <f aca="false">IF(Q1097="Shoring",D1097,0)</f>
        <v>8.08848094245045</v>
      </c>
      <c r="S1097" s="27" t="n">
        <f aca="false">MAX(0,GWL-L1097)</f>
        <v>2.50000090953901</v>
      </c>
      <c r="T1097" s="27" t="n">
        <f aca="false">MAX(0,NG-MAX(L1097,GWL))</f>
        <v>0.8</v>
      </c>
      <c r="U1097" s="27" t="n">
        <f aca="false">E1097+2*WS</f>
        <v>3.60000181907801</v>
      </c>
      <c r="V1097" s="27" t="n">
        <f aca="false">IF(Q1097="Shoring",D1097*M1097*U1097,0)</f>
        <v>96.0912286355717</v>
      </c>
      <c r="W1097" s="27" t="n">
        <f aca="false">IF(Q1097="Open cut",D1097*(U1097*M1097+SLOPE_B*S1097^2+2*SLOPE_B*S1097*T1097+SLOPE_A*T1097^2),0)</f>
        <v>0</v>
      </c>
      <c r="X1097" s="27" t="n">
        <f aca="false">IF(M1097&gt;0,D1097*(E1097+2*SLABOVH)*SLAB,0)</f>
        <v>10.5150325819745</v>
      </c>
      <c r="Y1097" s="27" t="n">
        <f aca="false">IF(M1097&gt;0,D1097*PI()*E1097^2/4,0)</f>
        <v>16.2628928560776</v>
      </c>
      <c r="Z1097" s="27" t="n">
        <f aca="false">IF(H1097-E1097&gt;=GWL,99,E1097*(MAX(0,GWL-H1097)*(GAM_S-GAM_W)+MAX(0,NG-MAX(H1097,GWL))*GAM_D)/(GAM_W*PI()*E1097^2/4))</f>
        <v>1.4338523904753</v>
      </c>
      <c r="AA1097" s="27" t="n">
        <f aca="false">IF(I1097-E1097&gt;=GWL,99,E1097*(MAX(0,GWL-I1097)*(GAM_S-GAM_W)+MAX(0,NG-MAX(I1097,GWL))*GAM_D)/(GAM_W*PI()*E1097^2/4))</f>
        <v>1.4338523904753</v>
      </c>
      <c r="AB1097" s="27" t="n">
        <f aca="false">IF(H1097-E1097&gt;=GWL,99,E1097*(MAX(0,GWL-H1097)*(GAM_S-GAM_W)+MAX(0,FL-MAX(H1097,GWL))*GAM_D)/(GAM_W*PI()*E1097^2/4))</f>
        <v>3.91608262576531</v>
      </c>
      <c r="AC1097" s="27" t="n">
        <f aca="false">IF(I1097-E1097&gt;=GWL,99,E1097*(MAX(0,GWL-I1097)*(GAM_S-GAM_W)+MAX(0,FL-MAX(I1097,GWL))*GAM_D)/(GAM_W*PI()*E1097^2/4))</f>
        <v>3.91608262576531</v>
      </c>
    </row>
    <row r="1098" customFormat="false" ht="15" hidden="false" customHeight="false" outlineLevel="0" collapsed="false">
      <c r="A1098" s="25" t="s">
        <v>1715</v>
      </c>
      <c r="B1098" s="25" t="s">
        <v>1716</v>
      </c>
      <c r="C1098" s="25" t="s">
        <v>1717</v>
      </c>
      <c r="D1098" s="26" t="n">
        <v>0.0500100007444593</v>
      </c>
      <c r="E1098" s="26" t="n">
        <v>1.59999975129025</v>
      </c>
      <c r="F1098" s="26" t="n">
        <v>0.810000124354877</v>
      </c>
      <c r="G1098" s="26" t="n">
        <v>0.810000124354877</v>
      </c>
      <c r="H1098" s="26" t="n">
        <v>2.90999987564512</v>
      </c>
      <c r="I1098" s="26" t="n">
        <v>2.90999987564512</v>
      </c>
      <c r="J1098" s="26" t="n">
        <v>21.34</v>
      </c>
      <c r="K1098" s="27" t="n">
        <f aca="false">MIN(F1098,G1098)</f>
        <v>0.810000124354877</v>
      </c>
      <c r="L1098" s="27" t="n">
        <f aca="false">AVERAGE(F1098,G1098)</f>
        <v>0.810000124354877</v>
      </c>
      <c r="M1098" s="27" t="n">
        <f aca="false">MAX(0,NG-L1098)</f>
        <v>0</v>
      </c>
      <c r="N1098" s="27" t="n">
        <f aca="false">MAX(0,GWL-K1098)</f>
        <v>0</v>
      </c>
      <c r="O1098" s="27" t="n">
        <f aca="false">MAX(0,NG-MAX(K1098,GWL))</f>
        <v>0</v>
      </c>
      <c r="P1098" s="27" t="n">
        <f aca="false">E1098/2+WS+SLOPE_A*O1098+SLOPE_B*N1098</f>
        <v>1.79999987564512</v>
      </c>
      <c r="Q1098" s="28" t="str">
        <f aca="false">IF(AND(P1098&lt;J1098,N1098&lt;=MAXOC),"Open cut","Shoring")</f>
        <v>Open cut</v>
      </c>
      <c r="R1098" s="27" t="n">
        <f aca="false">IF(Q1098="Shoring",D1098,0)</f>
        <v>0</v>
      </c>
      <c r="S1098" s="27" t="n">
        <f aca="false">MAX(0,GWL-L1098)</f>
        <v>0</v>
      </c>
      <c r="T1098" s="27" t="n">
        <f aca="false">MAX(0,NG-MAX(L1098,GWL))</f>
        <v>0</v>
      </c>
      <c r="U1098" s="27" t="n">
        <f aca="false">E1098+2*WS</f>
        <v>3.59999975129025</v>
      </c>
      <c r="V1098" s="27" t="n">
        <f aca="false">IF(Q1098="Shoring",D1098*M1098*U1098,0)</f>
        <v>0</v>
      </c>
      <c r="W1098" s="27" t="n">
        <f aca="false">IF(Q1098="Open cut",D1098*(U1098*M1098+SLOPE_B*S1098^2+2*SLOPE_B*S1098*T1098+SLOPE_A*T1098^2),0)</f>
        <v>0</v>
      </c>
      <c r="X1098" s="27" t="n">
        <f aca="false">IF(M1098&gt;0,D1098*(E1098+2*SLABOVH)*SLAB,0)</f>
        <v>0</v>
      </c>
      <c r="Y1098" s="27" t="n">
        <f aca="false">IF(M1098&gt;0,D1098*PI()*E1098^2/4,0)</f>
        <v>0</v>
      </c>
      <c r="Z1098" s="27" t="n">
        <f aca="false">IF(H1098-E1098&gt;=GWL,99,E1098*(MAX(0,GWL-H1098)*(GAM_S-GAM_W)+MAX(0,NG-MAX(H1098,GWL))*GAM_D)/(GAM_W*PI()*E1098^2/4))</f>
        <v>99</v>
      </c>
      <c r="AA1098" s="27" t="n">
        <f aca="false">IF(I1098-E1098&gt;=GWL,99,E1098*(MAX(0,GWL-I1098)*(GAM_S-GAM_W)+MAX(0,NG-MAX(I1098,GWL))*GAM_D)/(GAM_W*PI()*E1098^2/4))</f>
        <v>99</v>
      </c>
      <c r="AB1098" s="27" t="n">
        <f aca="false">IF(H1098-E1098&gt;=GWL,99,E1098*(MAX(0,GWL-H1098)*(GAM_S-GAM_W)+MAX(0,FL-MAX(H1098,GWL))*GAM_D)/(GAM_W*PI()*E1098^2/4))</f>
        <v>99</v>
      </c>
      <c r="AC1098" s="27" t="n">
        <f aca="false">IF(I1098-E1098&gt;=GWL,99,E1098*(MAX(0,GWL-I1098)*(GAM_S-GAM_W)+MAX(0,FL-MAX(I1098,GWL))*GAM_D)/(GAM_W*PI()*E1098^2/4))</f>
        <v>99</v>
      </c>
    </row>
    <row r="1099" customFormat="false" ht="15" hidden="false" customHeight="false" outlineLevel="0" collapsed="false">
      <c r="A1099" s="25" t="s">
        <v>1715</v>
      </c>
      <c r="B1099" s="25" t="s">
        <v>1716</v>
      </c>
      <c r="C1099" s="25" t="s">
        <v>1718</v>
      </c>
      <c r="D1099" s="26" t="n">
        <v>0.203998804122287</v>
      </c>
      <c r="E1099" s="26" t="n">
        <v>1.59999975129025</v>
      </c>
      <c r="F1099" s="26" t="n">
        <v>0.810000124354877</v>
      </c>
      <c r="G1099" s="26" t="n">
        <v>0.810000124354877</v>
      </c>
      <c r="H1099" s="26" t="n">
        <v>2.90999987564512</v>
      </c>
      <c r="I1099" s="26" t="n">
        <v>2.90999987564512</v>
      </c>
      <c r="J1099" s="26" t="n">
        <v>21.35</v>
      </c>
      <c r="K1099" s="27" t="n">
        <f aca="false">MIN(F1099,G1099)</f>
        <v>0.810000124354877</v>
      </c>
      <c r="L1099" s="27" t="n">
        <f aca="false">AVERAGE(F1099,G1099)</f>
        <v>0.810000124354877</v>
      </c>
      <c r="M1099" s="27" t="n">
        <f aca="false">MAX(0,NG-L1099)</f>
        <v>0</v>
      </c>
      <c r="N1099" s="27" t="n">
        <f aca="false">MAX(0,GWL-K1099)</f>
        <v>0</v>
      </c>
      <c r="O1099" s="27" t="n">
        <f aca="false">MAX(0,NG-MAX(K1099,GWL))</f>
        <v>0</v>
      </c>
      <c r="P1099" s="27" t="n">
        <f aca="false">E1099/2+WS+SLOPE_A*O1099+SLOPE_B*N1099</f>
        <v>1.79999987564512</v>
      </c>
      <c r="Q1099" s="28" t="str">
        <f aca="false">IF(AND(P1099&lt;J1099,N1099&lt;=MAXOC),"Open cut","Shoring")</f>
        <v>Open cut</v>
      </c>
      <c r="R1099" s="27" t="n">
        <f aca="false">IF(Q1099="Shoring",D1099,0)</f>
        <v>0</v>
      </c>
      <c r="S1099" s="27" t="n">
        <f aca="false">MAX(0,GWL-L1099)</f>
        <v>0</v>
      </c>
      <c r="T1099" s="27" t="n">
        <f aca="false">MAX(0,NG-MAX(L1099,GWL))</f>
        <v>0</v>
      </c>
      <c r="U1099" s="27" t="n">
        <f aca="false">E1099+2*WS</f>
        <v>3.59999975129025</v>
      </c>
      <c r="V1099" s="27" t="n">
        <f aca="false">IF(Q1099="Shoring",D1099*M1099*U1099,0)</f>
        <v>0</v>
      </c>
      <c r="W1099" s="27" t="n">
        <f aca="false">IF(Q1099="Open cut",D1099*(U1099*M1099+SLOPE_B*S1099^2+2*SLOPE_B*S1099*T1099+SLOPE_A*T1099^2),0)</f>
        <v>0</v>
      </c>
      <c r="X1099" s="27" t="n">
        <f aca="false">IF(M1099&gt;0,D1099*(E1099+2*SLABOVH)*SLAB,0)</f>
        <v>0</v>
      </c>
      <c r="Y1099" s="27" t="n">
        <f aca="false">IF(M1099&gt;0,D1099*PI()*E1099^2/4,0)</f>
        <v>0</v>
      </c>
      <c r="Z1099" s="27" t="n">
        <f aca="false">IF(H1099-E1099&gt;=GWL,99,E1099*(MAX(0,GWL-H1099)*(GAM_S-GAM_W)+MAX(0,NG-MAX(H1099,GWL))*GAM_D)/(GAM_W*PI()*E1099^2/4))</f>
        <v>99</v>
      </c>
      <c r="AA1099" s="27" t="n">
        <f aca="false">IF(I1099-E1099&gt;=GWL,99,E1099*(MAX(0,GWL-I1099)*(GAM_S-GAM_W)+MAX(0,NG-MAX(I1099,GWL))*GAM_D)/(GAM_W*PI()*E1099^2/4))</f>
        <v>99</v>
      </c>
      <c r="AB1099" s="27" t="n">
        <f aca="false">IF(H1099-E1099&gt;=GWL,99,E1099*(MAX(0,GWL-H1099)*(GAM_S-GAM_W)+MAX(0,FL-MAX(H1099,GWL))*GAM_D)/(GAM_W*PI()*E1099^2/4))</f>
        <v>99</v>
      </c>
      <c r="AC1099" s="27" t="n">
        <f aca="false">IF(I1099-E1099&gt;=GWL,99,E1099*(MAX(0,GWL-I1099)*(GAM_S-GAM_W)+MAX(0,FL-MAX(I1099,GWL))*GAM_D)/(GAM_W*PI()*E1099^2/4))</f>
        <v>99</v>
      </c>
    </row>
    <row r="1100" customFormat="false" ht="15" hidden="false" customHeight="false" outlineLevel="0" collapsed="false">
      <c r="A1100" s="25" t="s">
        <v>1715</v>
      </c>
      <c r="B1100" s="25" t="s">
        <v>1716</v>
      </c>
      <c r="C1100" s="25" t="s">
        <v>1719</v>
      </c>
      <c r="D1100" s="26" t="n">
        <v>1.59669999983125</v>
      </c>
      <c r="E1100" s="26" t="n">
        <v>1.59999975129025</v>
      </c>
      <c r="F1100" s="26" t="n">
        <v>0.810000124354877</v>
      </c>
      <c r="G1100" s="26" t="n">
        <v>0.810000124354877</v>
      </c>
      <c r="H1100" s="26" t="n">
        <v>2.90999987564512</v>
      </c>
      <c r="I1100" s="26" t="n">
        <v>2.90999987564512</v>
      </c>
      <c r="J1100" s="26" t="n">
        <v>21.39</v>
      </c>
      <c r="K1100" s="27" t="n">
        <f aca="false">MIN(F1100,G1100)</f>
        <v>0.810000124354877</v>
      </c>
      <c r="L1100" s="27" t="n">
        <f aca="false">AVERAGE(F1100,G1100)</f>
        <v>0.810000124354877</v>
      </c>
      <c r="M1100" s="27" t="n">
        <f aca="false">MAX(0,NG-L1100)</f>
        <v>0</v>
      </c>
      <c r="N1100" s="27" t="n">
        <f aca="false">MAX(0,GWL-K1100)</f>
        <v>0</v>
      </c>
      <c r="O1100" s="27" t="n">
        <f aca="false">MAX(0,NG-MAX(K1100,GWL))</f>
        <v>0</v>
      </c>
      <c r="P1100" s="27" t="n">
        <f aca="false">E1100/2+WS+SLOPE_A*O1100+SLOPE_B*N1100</f>
        <v>1.79999987564512</v>
      </c>
      <c r="Q1100" s="28" t="str">
        <f aca="false">IF(AND(P1100&lt;J1100,N1100&lt;=MAXOC),"Open cut","Shoring")</f>
        <v>Open cut</v>
      </c>
      <c r="R1100" s="27" t="n">
        <f aca="false">IF(Q1100="Shoring",D1100,0)</f>
        <v>0</v>
      </c>
      <c r="S1100" s="27" t="n">
        <f aca="false">MAX(0,GWL-L1100)</f>
        <v>0</v>
      </c>
      <c r="T1100" s="27" t="n">
        <f aca="false">MAX(0,NG-MAX(L1100,GWL))</f>
        <v>0</v>
      </c>
      <c r="U1100" s="27" t="n">
        <f aca="false">E1100+2*WS</f>
        <v>3.59999975129025</v>
      </c>
      <c r="V1100" s="27" t="n">
        <f aca="false">IF(Q1100="Shoring",D1100*M1100*U1100,0)</f>
        <v>0</v>
      </c>
      <c r="W1100" s="27" t="n">
        <f aca="false">IF(Q1100="Open cut",D1100*(U1100*M1100+SLOPE_B*S1100^2+2*SLOPE_B*S1100*T1100+SLOPE_A*T1100^2),0)</f>
        <v>0</v>
      </c>
      <c r="X1100" s="27" t="n">
        <f aca="false">IF(M1100&gt;0,D1100*(E1100+2*SLABOVH)*SLAB,0)</f>
        <v>0</v>
      </c>
      <c r="Y1100" s="27" t="n">
        <f aca="false">IF(M1100&gt;0,D1100*PI()*E1100^2/4,0)</f>
        <v>0</v>
      </c>
      <c r="Z1100" s="27" t="n">
        <f aca="false">IF(H1100-E1100&gt;=GWL,99,E1100*(MAX(0,GWL-H1100)*(GAM_S-GAM_W)+MAX(0,NG-MAX(H1100,GWL))*GAM_D)/(GAM_W*PI()*E1100^2/4))</f>
        <v>99</v>
      </c>
      <c r="AA1100" s="27" t="n">
        <f aca="false">IF(I1100-E1100&gt;=GWL,99,E1100*(MAX(0,GWL-I1100)*(GAM_S-GAM_W)+MAX(0,NG-MAX(I1100,GWL))*GAM_D)/(GAM_W*PI()*E1100^2/4))</f>
        <v>99</v>
      </c>
      <c r="AB1100" s="27" t="n">
        <f aca="false">IF(H1100-E1100&gt;=GWL,99,E1100*(MAX(0,GWL-H1100)*(GAM_S-GAM_W)+MAX(0,FL-MAX(H1100,GWL))*GAM_D)/(GAM_W*PI()*E1100^2/4))</f>
        <v>99</v>
      </c>
      <c r="AC1100" s="27" t="n">
        <f aca="false">IF(I1100-E1100&gt;=GWL,99,E1100*(MAX(0,GWL-I1100)*(GAM_S-GAM_W)+MAX(0,FL-MAX(I1100,GWL))*GAM_D)/(GAM_W*PI()*E1100^2/4))</f>
        <v>99</v>
      </c>
    </row>
    <row r="1101" customFormat="false" ht="15" hidden="false" customHeight="false" outlineLevel="0" collapsed="false">
      <c r="A1101" s="25" t="s">
        <v>1715</v>
      </c>
      <c r="B1101" s="25" t="s">
        <v>1716</v>
      </c>
      <c r="C1101" s="25" t="s">
        <v>1720</v>
      </c>
      <c r="D1101" s="26" t="n">
        <v>0.840552646053427</v>
      </c>
      <c r="E1101" s="26" t="n">
        <v>1.60000226565203</v>
      </c>
      <c r="F1101" s="26" t="n">
        <v>0.809998867173985</v>
      </c>
      <c r="G1101" s="26" t="n">
        <v>0.337578867173985</v>
      </c>
      <c r="H1101" s="26" t="n">
        <v>2.91000113282602</v>
      </c>
      <c r="I1101" s="26" t="n">
        <v>2.43758113282602</v>
      </c>
      <c r="J1101" s="26" t="n">
        <v>21.7</v>
      </c>
      <c r="K1101" s="27" t="n">
        <f aca="false">MIN(F1101,G1101)</f>
        <v>0.337578867173985</v>
      </c>
      <c r="L1101" s="27" t="n">
        <f aca="false">AVERAGE(F1101,G1101)</f>
        <v>0.573788867173985</v>
      </c>
      <c r="M1101" s="27" t="n">
        <f aca="false">MAX(0,NG-L1101)</f>
        <v>0</v>
      </c>
      <c r="N1101" s="27" t="n">
        <f aca="false">MAX(0,GWL-K1101)</f>
        <v>0</v>
      </c>
      <c r="O1101" s="27" t="n">
        <f aca="false">MAX(0,NG-MAX(K1101,GWL))</f>
        <v>0</v>
      </c>
      <c r="P1101" s="27" t="n">
        <f aca="false">E1101/2+WS+SLOPE_A*O1101+SLOPE_B*N1101</f>
        <v>1.80000113282602</v>
      </c>
      <c r="Q1101" s="28" t="str">
        <f aca="false">IF(AND(P1101&lt;J1101,N1101&lt;=MAXOC),"Open cut","Shoring")</f>
        <v>Open cut</v>
      </c>
      <c r="R1101" s="27" t="n">
        <f aca="false">IF(Q1101="Shoring",D1101,0)</f>
        <v>0</v>
      </c>
      <c r="S1101" s="27" t="n">
        <f aca="false">MAX(0,GWL-L1101)</f>
        <v>0</v>
      </c>
      <c r="T1101" s="27" t="n">
        <f aca="false">MAX(0,NG-MAX(L1101,GWL))</f>
        <v>0</v>
      </c>
      <c r="U1101" s="27" t="n">
        <f aca="false">E1101+2*WS</f>
        <v>3.60000226565203</v>
      </c>
      <c r="V1101" s="27" t="n">
        <f aca="false">IF(Q1101="Shoring",D1101*M1101*U1101,0)</f>
        <v>0</v>
      </c>
      <c r="W1101" s="27" t="n">
        <f aca="false">IF(Q1101="Open cut",D1101*(U1101*M1101+SLOPE_B*S1101^2+2*SLOPE_B*S1101*T1101+SLOPE_A*T1101^2),0)</f>
        <v>0</v>
      </c>
      <c r="X1101" s="27" t="n">
        <f aca="false">IF(M1101&gt;0,D1101*(E1101+2*SLABOVH)*SLAB,0)</f>
        <v>0</v>
      </c>
      <c r="Y1101" s="27" t="n">
        <f aca="false">IF(M1101&gt;0,D1101*PI()*E1101^2/4,0)</f>
        <v>0</v>
      </c>
      <c r="Z1101" s="27" t="n">
        <f aca="false">IF(H1101-E1101&gt;=GWL,99,E1101*(MAX(0,GWL-H1101)*(GAM_S-GAM_W)+MAX(0,NG-MAX(H1101,GWL))*GAM_D)/(GAM_W*PI()*E1101^2/4))</f>
        <v>99</v>
      </c>
      <c r="AA1101" s="27" t="n">
        <f aca="false">IF(I1101-E1101&gt;=GWL,99,E1101*(MAX(0,GWL-I1101)*(GAM_S-GAM_W)+MAX(0,NG-MAX(I1101,GWL))*GAM_D)/(GAM_W*PI()*E1101^2/4))</f>
        <v>99</v>
      </c>
      <c r="AB1101" s="27" t="n">
        <f aca="false">IF(H1101-E1101&gt;=GWL,99,E1101*(MAX(0,GWL-H1101)*(GAM_S-GAM_W)+MAX(0,FL-MAX(H1101,GWL))*GAM_D)/(GAM_W*PI()*E1101^2/4))</f>
        <v>99</v>
      </c>
      <c r="AC1101" s="27" t="n">
        <f aca="false">IF(I1101-E1101&gt;=GWL,99,E1101*(MAX(0,GWL-I1101)*(GAM_S-GAM_W)+MAX(0,FL-MAX(I1101,GWL))*GAM_D)/(GAM_W*PI()*E1101^2/4))</f>
        <v>99</v>
      </c>
    </row>
    <row r="1102" customFormat="false" ht="15" hidden="false" customHeight="false" outlineLevel="0" collapsed="false">
      <c r="A1102" s="25" t="s">
        <v>1715</v>
      </c>
      <c r="B1102" s="25" t="s">
        <v>1716</v>
      </c>
      <c r="C1102" s="25" t="s">
        <v>1721</v>
      </c>
      <c r="D1102" s="26" t="n">
        <v>0.243337513768356</v>
      </c>
      <c r="E1102" s="26" t="n">
        <v>1.59999579939433</v>
      </c>
      <c r="F1102" s="26" t="n">
        <v>0.337582100302836</v>
      </c>
      <c r="G1102" s="26" t="n">
        <v>0.200822100302836</v>
      </c>
      <c r="H1102" s="26" t="n">
        <v>2.43757789969716</v>
      </c>
      <c r="I1102" s="26" t="n">
        <v>2.30081789969717</v>
      </c>
      <c r="J1102" s="26" t="n">
        <v>21.88</v>
      </c>
      <c r="K1102" s="27" t="n">
        <f aca="false">MIN(F1102,G1102)</f>
        <v>0.200822100302836</v>
      </c>
      <c r="L1102" s="27" t="n">
        <f aca="false">AVERAGE(F1102,G1102)</f>
        <v>0.269202100302836</v>
      </c>
      <c r="M1102" s="27" t="n">
        <f aca="false">MAX(0,NG-L1102)</f>
        <v>0</v>
      </c>
      <c r="N1102" s="27" t="n">
        <f aca="false">MAX(0,GWL-K1102)</f>
        <v>0</v>
      </c>
      <c r="O1102" s="27" t="n">
        <f aca="false">MAX(0,NG-MAX(K1102,GWL))</f>
        <v>0</v>
      </c>
      <c r="P1102" s="27" t="n">
        <f aca="false">E1102/2+WS+SLOPE_A*O1102+SLOPE_B*N1102</f>
        <v>1.79999789969716</v>
      </c>
      <c r="Q1102" s="28" t="str">
        <f aca="false">IF(AND(P1102&lt;J1102,N1102&lt;=MAXOC),"Open cut","Shoring")</f>
        <v>Open cut</v>
      </c>
      <c r="R1102" s="27" t="n">
        <f aca="false">IF(Q1102="Shoring",D1102,0)</f>
        <v>0</v>
      </c>
      <c r="S1102" s="27" t="n">
        <f aca="false">MAX(0,GWL-L1102)</f>
        <v>0</v>
      </c>
      <c r="T1102" s="27" t="n">
        <f aca="false">MAX(0,NG-MAX(L1102,GWL))</f>
        <v>0</v>
      </c>
      <c r="U1102" s="27" t="n">
        <f aca="false">E1102+2*WS</f>
        <v>3.59999579939433</v>
      </c>
      <c r="V1102" s="27" t="n">
        <f aca="false">IF(Q1102="Shoring",D1102*M1102*U1102,0)</f>
        <v>0</v>
      </c>
      <c r="W1102" s="27" t="n">
        <f aca="false">IF(Q1102="Open cut",D1102*(U1102*M1102+SLOPE_B*S1102^2+2*SLOPE_B*S1102*T1102+SLOPE_A*T1102^2),0)</f>
        <v>0</v>
      </c>
      <c r="X1102" s="27" t="n">
        <f aca="false">IF(M1102&gt;0,D1102*(E1102+2*SLABOVH)*SLAB,0)</f>
        <v>0</v>
      </c>
      <c r="Y1102" s="27" t="n">
        <f aca="false">IF(M1102&gt;0,D1102*PI()*E1102^2/4,0)</f>
        <v>0</v>
      </c>
      <c r="Z1102" s="27" t="n">
        <f aca="false">IF(H1102-E1102&gt;=GWL,99,E1102*(MAX(0,GWL-H1102)*(GAM_S-GAM_W)+MAX(0,NG-MAX(H1102,GWL))*GAM_D)/(GAM_W*PI()*E1102^2/4))</f>
        <v>99</v>
      </c>
      <c r="AA1102" s="27" t="n">
        <f aca="false">IF(I1102-E1102&gt;=GWL,99,E1102*(MAX(0,GWL-I1102)*(GAM_S-GAM_W)+MAX(0,NG-MAX(I1102,GWL))*GAM_D)/(GAM_W*PI()*E1102^2/4))</f>
        <v>99</v>
      </c>
      <c r="AB1102" s="27" t="n">
        <f aca="false">IF(H1102-E1102&gt;=GWL,99,E1102*(MAX(0,GWL-H1102)*(GAM_S-GAM_W)+MAX(0,FL-MAX(H1102,GWL))*GAM_D)/(GAM_W*PI()*E1102^2/4))</f>
        <v>99</v>
      </c>
      <c r="AC1102" s="27" t="n">
        <f aca="false">IF(I1102-E1102&gt;=GWL,99,E1102*(MAX(0,GWL-I1102)*(GAM_S-GAM_W)+MAX(0,FL-MAX(I1102,GWL))*GAM_D)/(GAM_W*PI()*E1102^2/4))</f>
        <v>99</v>
      </c>
    </row>
    <row r="1103" customFormat="false" ht="15" hidden="false" customHeight="false" outlineLevel="0" collapsed="false">
      <c r="A1103" s="25" t="s">
        <v>1715</v>
      </c>
      <c r="B1103" s="25" t="s">
        <v>1716</v>
      </c>
      <c r="C1103" s="25" t="s">
        <v>1722</v>
      </c>
      <c r="D1103" s="26" t="n">
        <v>0.680806069742922</v>
      </c>
      <c r="E1103" s="26" t="n">
        <v>1.60000671304295</v>
      </c>
      <c r="F1103" s="26" t="n">
        <v>0.200816643478523</v>
      </c>
      <c r="G1103" s="26" t="n">
        <v>-0.181823356521477</v>
      </c>
      <c r="H1103" s="26" t="n">
        <v>2.30082335652148</v>
      </c>
      <c r="I1103" s="26" t="n">
        <v>1.91818335652148</v>
      </c>
      <c r="J1103" s="26" t="n">
        <v>21.94</v>
      </c>
      <c r="K1103" s="27" t="n">
        <f aca="false">MIN(F1103,G1103)</f>
        <v>-0.181823356521477</v>
      </c>
      <c r="L1103" s="27" t="n">
        <f aca="false">AVERAGE(F1103,G1103)</f>
        <v>0.00949664347852294</v>
      </c>
      <c r="M1103" s="27" t="n">
        <f aca="false">MAX(0,NG-L1103)</f>
        <v>0</v>
      </c>
      <c r="N1103" s="27" t="n">
        <f aca="false">MAX(0,GWL-K1103)</f>
        <v>0</v>
      </c>
      <c r="O1103" s="27" t="n">
        <f aca="false">MAX(0,NG-MAX(K1103,GWL))</f>
        <v>0</v>
      </c>
      <c r="P1103" s="27" t="n">
        <f aca="false">E1103/2+WS+SLOPE_A*O1103+SLOPE_B*N1103</f>
        <v>1.80000335652148</v>
      </c>
      <c r="Q1103" s="28" t="str">
        <f aca="false">IF(AND(P1103&lt;J1103,N1103&lt;=MAXOC),"Open cut","Shoring")</f>
        <v>Open cut</v>
      </c>
      <c r="R1103" s="27" t="n">
        <f aca="false">IF(Q1103="Shoring",D1103,0)</f>
        <v>0</v>
      </c>
      <c r="S1103" s="27" t="n">
        <f aca="false">MAX(0,GWL-L1103)</f>
        <v>0</v>
      </c>
      <c r="T1103" s="27" t="n">
        <f aca="false">MAX(0,NG-MAX(L1103,GWL))</f>
        <v>0</v>
      </c>
      <c r="U1103" s="27" t="n">
        <f aca="false">E1103+2*WS</f>
        <v>3.60000671304295</v>
      </c>
      <c r="V1103" s="27" t="n">
        <f aca="false">IF(Q1103="Shoring",D1103*M1103*U1103,0)</f>
        <v>0</v>
      </c>
      <c r="W1103" s="27" t="n">
        <f aca="false">IF(Q1103="Open cut",D1103*(U1103*M1103+SLOPE_B*S1103^2+2*SLOPE_B*S1103*T1103+SLOPE_A*T1103^2),0)</f>
        <v>0</v>
      </c>
      <c r="X1103" s="27" t="n">
        <f aca="false">IF(M1103&gt;0,D1103*(E1103+2*SLABOVH)*SLAB,0)</f>
        <v>0</v>
      </c>
      <c r="Y1103" s="27" t="n">
        <f aca="false">IF(M1103&gt;0,D1103*PI()*E1103^2/4,0)</f>
        <v>0</v>
      </c>
      <c r="Z1103" s="27" t="n">
        <f aca="false">IF(H1103-E1103&gt;=GWL,99,E1103*(MAX(0,GWL-H1103)*(GAM_S-GAM_W)+MAX(0,NG-MAX(H1103,GWL))*GAM_D)/(GAM_W*PI()*E1103^2/4))</f>
        <v>99</v>
      </c>
      <c r="AA1103" s="27" t="n">
        <f aca="false">IF(I1103-E1103&gt;=GWL,99,E1103*(MAX(0,GWL-I1103)*(GAM_S-GAM_W)+MAX(0,NG-MAX(I1103,GWL))*GAM_D)/(GAM_W*PI()*E1103^2/4))</f>
        <v>99</v>
      </c>
      <c r="AB1103" s="27" t="n">
        <f aca="false">IF(H1103-E1103&gt;=GWL,99,E1103*(MAX(0,GWL-H1103)*(GAM_S-GAM_W)+MAX(0,FL-MAX(H1103,GWL))*GAM_D)/(GAM_W*PI()*E1103^2/4))</f>
        <v>99</v>
      </c>
      <c r="AC1103" s="27" t="n">
        <f aca="false">IF(I1103-E1103&gt;=GWL,99,E1103*(MAX(0,GWL-I1103)*(GAM_S-GAM_W)+MAX(0,FL-MAX(I1103,GWL))*GAM_D)/(GAM_W*PI()*E1103^2/4))</f>
        <v>99</v>
      </c>
    </row>
    <row r="1104" customFormat="false" ht="15" hidden="false" customHeight="false" outlineLevel="0" collapsed="false">
      <c r="A1104" s="25" t="s">
        <v>1715</v>
      </c>
      <c r="B1104" s="25" t="s">
        <v>1716</v>
      </c>
      <c r="C1104" s="25" t="s">
        <v>1723</v>
      </c>
      <c r="D1104" s="26" t="n">
        <v>5.00068999949254</v>
      </c>
      <c r="E1104" s="26" t="n">
        <v>1.59999886399498</v>
      </c>
      <c r="F1104" s="26" t="n">
        <v>-0.181819431997488</v>
      </c>
      <c r="G1104" s="26" t="n">
        <v>-2.99235943199749</v>
      </c>
      <c r="H1104" s="26" t="n">
        <v>1.91817943199749</v>
      </c>
      <c r="I1104" s="26" t="n">
        <v>-0.892360568002512</v>
      </c>
      <c r="J1104" s="26" t="n">
        <v>22.11</v>
      </c>
      <c r="K1104" s="27" t="n">
        <f aca="false">MIN(F1104,G1104)</f>
        <v>-2.99235943199749</v>
      </c>
      <c r="L1104" s="27" t="n">
        <f aca="false">AVERAGE(F1104,G1104)</f>
        <v>-1.58708943199749</v>
      </c>
      <c r="M1104" s="27" t="n">
        <f aca="false">MAX(0,NG-L1104)</f>
        <v>0.887089431997488</v>
      </c>
      <c r="N1104" s="27" t="n">
        <f aca="false">MAX(0,GWL-K1104)</f>
        <v>1.49235943199749</v>
      </c>
      <c r="O1104" s="27" t="n">
        <f aca="false">MAX(0,NG-MAX(K1104,GWL))</f>
        <v>0.8</v>
      </c>
      <c r="P1104" s="27" t="n">
        <f aca="false">E1104/2+WS+SLOPE_A*O1104+SLOPE_B*N1104</f>
        <v>5.98471829599246</v>
      </c>
      <c r="Q1104" s="28" t="str">
        <f aca="false">IF(AND(P1104&lt;J1104,N1104&lt;=MAXOC),"Open cut","Shoring")</f>
        <v>Open cut</v>
      </c>
      <c r="R1104" s="27" t="n">
        <f aca="false">IF(Q1104="Shoring",D1104,0)</f>
        <v>0</v>
      </c>
      <c r="S1104" s="27" t="n">
        <f aca="false">MAX(0,GWL-L1104)</f>
        <v>0.087089431997488</v>
      </c>
      <c r="T1104" s="27" t="n">
        <f aca="false">MAX(0,NG-MAX(L1104,GWL))</f>
        <v>0.8</v>
      </c>
      <c r="U1104" s="27" t="n">
        <f aca="false">E1104+2*WS</f>
        <v>3.59999886399498</v>
      </c>
      <c r="V1104" s="27" t="n">
        <f aca="false">IF(Q1104="Shoring",D1104*M1104*U1104,0)</f>
        <v>0</v>
      </c>
      <c r="W1104" s="27" t="n">
        <f aca="false">IF(Q1104="Open cut",D1104*(U1104*M1104+SLOPE_B*S1104^2+2*SLOPE_B*S1104*T1104+SLOPE_A*T1104^2),0)</f>
        <v>22.2399500282489</v>
      </c>
      <c r="X1104" s="27" t="n">
        <f aca="false">IF(M1104&gt;0,D1104*(E1104+2*SLABOVH)*SLAB,0)</f>
        <v>6.50089415893582</v>
      </c>
      <c r="Y1104" s="27" t="n">
        <f aca="false">IF(M1104&gt;0,D1104*PI()*E1104^2/4,0)</f>
        <v>10.0544695403578</v>
      </c>
      <c r="Z1104" s="27" t="n">
        <f aca="false">IF(H1104-E1104&gt;=GWL,99,E1104*(MAX(0,GWL-H1104)*(GAM_S-GAM_W)+MAX(0,NG-MAX(H1104,GWL))*GAM_D)/(GAM_W*PI()*E1104^2/4))</f>
        <v>99</v>
      </c>
      <c r="AA1104" s="27" t="n">
        <f aca="false">IF(I1104-E1104&gt;=GWL,99,E1104*(MAX(0,GWL-I1104)*(GAM_S-GAM_W)+MAX(0,NG-MAX(I1104,GWL))*GAM_D)/(GAM_W*PI()*E1104^2/4))</f>
        <v>0.280872999912129</v>
      </c>
      <c r="AB1104" s="27" t="n">
        <f aca="false">IF(H1104-E1104&gt;=GWL,99,E1104*(MAX(0,GWL-H1104)*(GAM_S-GAM_W)+MAX(0,FL-MAX(H1104,GWL))*GAM_D)/(GAM_W*PI()*E1104^2/4))</f>
        <v>99</v>
      </c>
      <c r="AC1104" s="27" t="n">
        <f aca="false">IF(I1104-E1104&gt;=GWL,99,E1104*(MAX(0,GWL-I1104)*(GAM_S-GAM_W)+MAX(0,FL-MAX(I1104,GWL))*GAM_D)/(GAM_W*PI()*E1104^2/4))</f>
        <v>2.76310781970318</v>
      </c>
    </row>
    <row r="1105" customFormat="false" ht="15" hidden="false" customHeight="false" outlineLevel="0" collapsed="false">
      <c r="A1105" s="25" t="s">
        <v>1715</v>
      </c>
      <c r="B1105" s="25" t="s">
        <v>1716</v>
      </c>
      <c r="C1105" s="25" t="s">
        <v>1724</v>
      </c>
      <c r="D1105" s="26" t="n">
        <v>0.6742863833782</v>
      </c>
      <c r="E1105" s="26" t="n">
        <v>1.60000510537822</v>
      </c>
      <c r="F1105" s="26" t="n">
        <v>-2.99236255268911</v>
      </c>
      <c r="G1105" s="26" t="n">
        <v>-3.37133255268911</v>
      </c>
      <c r="H1105" s="26" t="n">
        <v>-0.892357447310891</v>
      </c>
      <c r="I1105" s="26" t="n">
        <v>-1.27132744731089</v>
      </c>
      <c r="J1105" s="26" t="n">
        <v>23.58</v>
      </c>
      <c r="K1105" s="27" t="n">
        <f aca="false">MIN(F1105,G1105)</f>
        <v>-3.37133255268911</v>
      </c>
      <c r="L1105" s="27" t="n">
        <f aca="false">AVERAGE(F1105,G1105)</f>
        <v>-3.18184755268911</v>
      </c>
      <c r="M1105" s="27" t="n">
        <f aca="false">MAX(0,NG-L1105)</f>
        <v>2.48184755268911</v>
      </c>
      <c r="N1105" s="27" t="n">
        <f aca="false">MAX(0,GWL-K1105)</f>
        <v>1.87133255268911</v>
      </c>
      <c r="O1105" s="27" t="n">
        <f aca="false">MAX(0,NG-MAX(K1105,GWL))</f>
        <v>0.8</v>
      </c>
      <c r="P1105" s="27" t="n">
        <f aca="false">E1105/2+WS+SLOPE_A*O1105+SLOPE_B*N1105</f>
        <v>6.74266765806733</v>
      </c>
      <c r="Q1105" s="28" t="str">
        <f aca="false">IF(AND(P1105&lt;J1105,N1105&lt;=MAXOC),"Open cut","Shoring")</f>
        <v>Open cut</v>
      </c>
      <c r="R1105" s="27" t="n">
        <f aca="false">IF(Q1105="Shoring",D1105,0)</f>
        <v>0</v>
      </c>
      <c r="S1105" s="27" t="n">
        <f aca="false">MAX(0,GWL-L1105)</f>
        <v>1.68184755268911</v>
      </c>
      <c r="T1105" s="27" t="n">
        <f aca="false">MAX(0,NG-MAX(L1105,GWL))</f>
        <v>0.8</v>
      </c>
      <c r="U1105" s="27" t="n">
        <f aca="false">E1105+2*WS</f>
        <v>3.60000510537822</v>
      </c>
      <c r="V1105" s="27" t="n">
        <f aca="false">IF(Q1105="Shoring",D1105*M1105*U1105,0)</f>
        <v>0</v>
      </c>
      <c r="W1105" s="27" t="n">
        <f aca="false">IF(Q1105="Open cut",D1105*(U1105*M1105+SLOPE_B*S1105^2+2*SLOPE_B*S1105*T1105+SLOPE_A*T1105^2),0)</f>
        <v>14.1153752202668</v>
      </c>
      <c r="X1105" s="27" t="n">
        <f aca="false">IF(M1105&gt;0,D1105*(E1105+2*SLABOVH)*SLAB,0)</f>
        <v>0.876574019635167</v>
      </c>
      <c r="Y1105" s="27" t="n">
        <f aca="false">IF(M1105&gt;0,D1105*PI()*E1105^2/4,0)</f>
        <v>1.35574186692675</v>
      </c>
      <c r="Z1105" s="27" t="n">
        <f aca="false">IF(H1105-E1105&gt;=GWL,99,E1105*(MAX(0,GWL-H1105)*(GAM_S-GAM_W)+MAX(0,NG-MAX(H1105,GWL))*GAM_D)/(GAM_W*PI()*E1105^2/4))</f>
        <v>0.280867347645053</v>
      </c>
      <c r="AA1105" s="27" t="n">
        <f aca="false">IF(I1105-E1105&gt;=GWL,99,E1105*(MAX(0,GWL-I1105)*(GAM_S-GAM_W)+MAX(0,NG-MAX(I1105,GWL))*GAM_D)/(GAM_W*PI()*E1105^2/4))</f>
        <v>0.834213735970819</v>
      </c>
      <c r="AB1105" s="27" t="n">
        <f aca="false">IF(H1105-E1105&gt;=GWL,99,E1105*(MAX(0,GWL-H1105)*(GAM_S-GAM_W)+MAX(0,FL-MAX(H1105,GWL))*GAM_D)/(GAM_W*PI()*E1105^2/4))</f>
        <v>2.76309248460524</v>
      </c>
      <c r="AC1105" s="27" t="n">
        <f aca="false">IF(I1105-E1105&gt;=GWL,99,E1105*(MAX(0,GWL-I1105)*(GAM_S-GAM_W)+MAX(0,FL-MAX(I1105,GWL))*GAM_D)/(GAM_W*PI()*E1105^2/4))</f>
        <v>3.31643887293101</v>
      </c>
    </row>
    <row r="1106" customFormat="false" ht="15" hidden="false" customHeight="false" outlineLevel="0" collapsed="false">
      <c r="A1106" s="25" t="s">
        <v>1715</v>
      </c>
      <c r="B1106" s="25" t="s">
        <v>1716</v>
      </c>
      <c r="C1106" s="25" t="s">
        <v>1725</v>
      </c>
      <c r="D1106" s="26" t="n">
        <v>0.242955215582394</v>
      </c>
      <c r="E1106" s="26" t="n">
        <v>1.60000048301691</v>
      </c>
      <c r="F1106" s="26" t="n">
        <v>-3.37133024150845</v>
      </c>
      <c r="G1106" s="26" t="n">
        <v>-3.50788024150845</v>
      </c>
      <c r="H1106" s="26" t="n">
        <v>-1.27132975849155</v>
      </c>
      <c r="I1106" s="26" t="n">
        <v>-1.40787975849155</v>
      </c>
      <c r="J1106" s="26" t="n">
        <v>23.82</v>
      </c>
      <c r="K1106" s="27" t="n">
        <f aca="false">MIN(F1106,G1106)</f>
        <v>-3.50788024150845</v>
      </c>
      <c r="L1106" s="27" t="n">
        <f aca="false">AVERAGE(F1106,G1106)</f>
        <v>-3.43960524150845</v>
      </c>
      <c r="M1106" s="27" t="n">
        <f aca="false">MAX(0,NG-L1106)</f>
        <v>2.73960524150845</v>
      </c>
      <c r="N1106" s="27" t="n">
        <f aca="false">MAX(0,GWL-K1106)</f>
        <v>2.00788024150845</v>
      </c>
      <c r="O1106" s="27" t="n">
        <f aca="false">MAX(0,NG-MAX(K1106,GWL))</f>
        <v>0.8</v>
      </c>
      <c r="P1106" s="27" t="n">
        <f aca="false">E1106/2+WS+SLOPE_A*O1106+SLOPE_B*N1106</f>
        <v>7.01576072452536</v>
      </c>
      <c r="Q1106" s="28" t="str">
        <f aca="false">IF(AND(P1106&lt;J1106,N1106&lt;=MAXOC),"Open cut","Shoring")</f>
        <v>Open cut</v>
      </c>
      <c r="R1106" s="27" t="n">
        <f aca="false">IF(Q1106="Shoring",D1106,0)</f>
        <v>0</v>
      </c>
      <c r="S1106" s="27" t="n">
        <f aca="false">MAX(0,GWL-L1106)</f>
        <v>1.93960524150845</v>
      </c>
      <c r="T1106" s="27" t="n">
        <f aca="false">MAX(0,NG-MAX(L1106,GWL))</f>
        <v>0.8</v>
      </c>
      <c r="U1106" s="27" t="n">
        <f aca="false">E1106+2*WS</f>
        <v>3.60000048301691</v>
      </c>
      <c r="V1106" s="27" t="n">
        <f aca="false">IF(Q1106="Shoring",D1106*M1106*U1106,0)</f>
        <v>0</v>
      </c>
      <c r="W1106" s="27" t="n">
        <f aca="false">IF(Q1106="Open cut",D1106*(U1106*M1106+SLOPE_B*S1106^2+2*SLOPE_B*S1106*T1106+SLOPE_A*T1106^2),0)</f>
        <v>5.96538969803224</v>
      </c>
      <c r="X1106" s="27" t="n">
        <f aca="false">IF(M1106&gt;0,D1106*(E1106+2*SLABOVH)*SLAB,0)</f>
        <v>0.315841838932851</v>
      </c>
      <c r="Y1106" s="27" t="n">
        <f aca="false">IF(M1106&gt;0,D1106*PI()*E1106^2/4,0)</f>
        <v>0.488490740008457</v>
      </c>
      <c r="Z1106" s="27" t="n">
        <f aca="false">IF(H1106-E1106&gt;=GWL,99,E1106*(MAX(0,GWL-H1106)*(GAM_S-GAM_W)+MAX(0,NG-MAX(H1106,GWL))*GAM_D)/(GAM_W*PI()*E1106^2/4))</f>
        <v>0.834219520632988</v>
      </c>
      <c r="AA1106" s="27" t="n">
        <f aca="false">IF(I1106-E1106&gt;=GWL,99,E1106*(MAX(0,GWL-I1106)*(GAM_S-GAM_W)+MAX(0,NG-MAX(I1106,GWL))*GAM_D)/(GAM_W*PI()*E1106^2/4))</f>
        <v>1.03360118043519</v>
      </c>
      <c r="AB1106" s="27" t="n">
        <f aca="false">IF(H1106-E1106&gt;=GWL,99,E1106*(MAX(0,GWL-H1106)*(GAM_S-GAM_W)+MAX(0,FL-MAX(H1106,GWL))*GAM_D)/(GAM_W*PI()*E1106^2/4))</f>
        <v>3.31645182867941</v>
      </c>
      <c r="AC1106" s="27" t="n">
        <f aca="false">IF(I1106-E1106&gt;=GWL,99,E1106*(MAX(0,GWL-I1106)*(GAM_S-GAM_W)+MAX(0,FL-MAX(I1106,GWL))*GAM_D)/(GAM_W*PI()*E1106^2/4))</f>
        <v>3.51583348848161</v>
      </c>
    </row>
    <row r="1107" customFormat="false" ht="15" hidden="false" customHeight="false" outlineLevel="0" collapsed="false">
      <c r="A1107" s="25" t="s">
        <v>1715</v>
      </c>
      <c r="B1107" s="25" t="s">
        <v>1716</v>
      </c>
      <c r="C1107" s="25" t="s">
        <v>1726</v>
      </c>
      <c r="D1107" s="26" t="n">
        <v>0.46666336809385</v>
      </c>
      <c r="E1107" s="26" t="n">
        <v>1.59999877139166</v>
      </c>
      <c r="F1107" s="26" t="n">
        <v>-3.50787938569583</v>
      </c>
      <c r="G1107" s="26" t="n">
        <v>-3.77016094603631</v>
      </c>
      <c r="H1107" s="26" t="n">
        <v>-1.40788061430417</v>
      </c>
      <c r="I1107" s="26" t="n">
        <v>-1.67016217464465</v>
      </c>
      <c r="J1107" s="26" t="n">
        <v>23.91</v>
      </c>
      <c r="K1107" s="27" t="n">
        <f aca="false">MIN(F1107,G1107)</f>
        <v>-3.77016094603631</v>
      </c>
      <c r="L1107" s="27" t="n">
        <f aca="false">AVERAGE(F1107,G1107)</f>
        <v>-3.63902016586607</v>
      </c>
      <c r="M1107" s="27" t="n">
        <f aca="false">MAX(0,NG-L1107)</f>
        <v>2.93902016586607</v>
      </c>
      <c r="N1107" s="27" t="n">
        <f aca="false">MAX(0,GWL-K1107)</f>
        <v>2.27016094603631</v>
      </c>
      <c r="O1107" s="27" t="n">
        <f aca="false">MAX(0,NG-MAX(K1107,GWL))</f>
        <v>0.8</v>
      </c>
      <c r="P1107" s="27" t="n">
        <f aca="false">E1107/2+WS+SLOPE_A*O1107+SLOPE_B*N1107</f>
        <v>7.54032127776844</v>
      </c>
      <c r="Q1107" s="28" t="str">
        <f aca="false">IF(AND(P1107&lt;J1107,N1107&lt;=MAXOC),"Open cut","Shoring")</f>
        <v>Open cut</v>
      </c>
      <c r="R1107" s="27" t="n">
        <f aca="false">IF(Q1107="Shoring",D1107,0)</f>
        <v>0</v>
      </c>
      <c r="S1107" s="27" t="n">
        <f aca="false">MAX(0,GWL-L1107)</f>
        <v>2.13902016586607</v>
      </c>
      <c r="T1107" s="27" t="n">
        <f aca="false">MAX(0,NG-MAX(L1107,GWL))</f>
        <v>0.8</v>
      </c>
      <c r="U1107" s="27" t="n">
        <f aca="false">E1107+2*WS</f>
        <v>3.59999877139166</v>
      </c>
      <c r="V1107" s="27" t="n">
        <f aca="false">IF(Q1107="Shoring",D1107*M1107*U1107,0)</f>
        <v>0</v>
      </c>
      <c r="W1107" s="27" t="n">
        <f aca="false">IF(Q1107="Open cut",D1107*(U1107*M1107+SLOPE_B*S1107^2+2*SLOPE_B*S1107*T1107+SLOPE_A*T1107^2),0)</f>
        <v>12.8501115965862</v>
      </c>
      <c r="X1107" s="27" t="n">
        <f aca="false">IF(M1107&gt;0,D1107*(E1107+2*SLABOVH)*SLAB,0)</f>
        <v>0.606662091848751</v>
      </c>
      <c r="Y1107" s="27" t="n">
        <f aca="false">IF(M1107&gt;0,D1107*PI()*E1107^2/4,0)</f>
        <v>0.938280932721602</v>
      </c>
      <c r="Z1107" s="27" t="n">
        <f aca="false">IF(H1107-E1107&gt;=GWL,99,E1107*(MAX(0,GWL-H1107)*(GAM_S-GAM_W)+MAX(0,NG-MAX(H1107,GWL))*GAM_D)/(GAM_W*PI()*E1107^2/4))</f>
        <v>1.03360353575193</v>
      </c>
      <c r="AA1107" s="27" t="n">
        <f aca="false">IF(I1107-E1107&gt;=GWL,99,E1107*(MAX(0,GWL-I1107)*(GAM_S-GAM_W)+MAX(0,NG-MAX(I1107,GWL))*GAM_D)/(GAM_W*PI()*E1107^2/4))</f>
        <v>1.28116000469035</v>
      </c>
      <c r="AB1107" s="27" t="n">
        <f aca="false">IF(H1107-E1107&gt;=GWL,99,E1107*(MAX(0,GWL-H1107)*(GAM_S-GAM_W)+MAX(0,FL-MAX(H1107,GWL))*GAM_D)/(GAM_W*PI()*E1107^2/4))</f>
        <v>3.51583849920757</v>
      </c>
      <c r="AC1107" s="27" t="n">
        <f aca="false">IF(I1107-E1107&gt;=GWL,99,E1107*(MAX(0,GWL-I1107)*(GAM_S-GAM_W)+MAX(0,FL-MAX(I1107,GWL))*GAM_D)/(GAM_W*PI()*E1107^2/4))</f>
        <v>3.76339496814599</v>
      </c>
    </row>
    <row r="1108" customFormat="false" ht="15" hidden="false" customHeight="false" outlineLevel="0" collapsed="false">
      <c r="A1108" s="25" t="s">
        <v>1715</v>
      </c>
      <c r="B1108" s="25" t="s">
        <v>1716</v>
      </c>
      <c r="C1108" s="25" t="s">
        <v>1727</v>
      </c>
      <c r="D1108" s="26" t="n">
        <v>0.373354164635005</v>
      </c>
      <c r="E1108" s="26" t="n">
        <v>1.59999877139166</v>
      </c>
      <c r="F1108" s="26" t="n">
        <v>-3.77016094603631</v>
      </c>
      <c r="G1108" s="26" t="n">
        <v>-3.97999938569583</v>
      </c>
      <c r="H1108" s="26" t="n">
        <v>-1.67016217464465</v>
      </c>
      <c r="I1108" s="26" t="n">
        <v>-1.88000061430417</v>
      </c>
      <c r="J1108" s="26" t="n">
        <v>24.08</v>
      </c>
      <c r="K1108" s="27" t="n">
        <f aca="false">MIN(F1108,G1108)</f>
        <v>-3.97999938569583</v>
      </c>
      <c r="L1108" s="27" t="n">
        <f aca="false">AVERAGE(F1108,G1108)</f>
        <v>-3.87508016586607</v>
      </c>
      <c r="M1108" s="27" t="n">
        <f aca="false">MAX(0,NG-L1108)</f>
        <v>3.17508016586607</v>
      </c>
      <c r="N1108" s="27" t="n">
        <f aca="false">MAX(0,GWL-K1108)</f>
        <v>2.47999938569583</v>
      </c>
      <c r="O1108" s="27" t="n">
        <f aca="false">MAX(0,NG-MAX(K1108,GWL))</f>
        <v>0.8</v>
      </c>
      <c r="P1108" s="27" t="n">
        <f aca="false">E1108/2+WS+SLOPE_A*O1108+SLOPE_B*N1108</f>
        <v>7.95999815708749</v>
      </c>
      <c r="Q1108" s="28" t="str">
        <f aca="false">IF(AND(P1108&lt;J1108,N1108&lt;=MAXOC),"Open cut","Shoring")</f>
        <v>Open cut</v>
      </c>
      <c r="R1108" s="27" t="n">
        <f aca="false">IF(Q1108="Shoring",D1108,0)</f>
        <v>0</v>
      </c>
      <c r="S1108" s="27" t="n">
        <f aca="false">MAX(0,GWL-L1108)</f>
        <v>2.37508016586607</v>
      </c>
      <c r="T1108" s="27" t="n">
        <f aca="false">MAX(0,NG-MAX(L1108,GWL))</f>
        <v>0.8</v>
      </c>
      <c r="U1108" s="27" t="n">
        <f aca="false">E1108+2*WS</f>
        <v>3.59999877139166</v>
      </c>
      <c r="V1108" s="27" t="n">
        <f aca="false">IF(Q1108="Shoring",D1108*M1108*U1108,0)</f>
        <v>0</v>
      </c>
      <c r="W1108" s="27" t="n">
        <f aca="false">IF(Q1108="Open cut",D1108*(U1108*M1108+SLOPE_B*S1108^2+2*SLOPE_B*S1108*T1108+SLOPE_A*T1108^2),0)</f>
        <v>11.67573783245</v>
      </c>
      <c r="X1108" s="27" t="n">
        <f aca="false">IF(M1108&gt;0,D1108*(E1108+2*SLABOVH)*SLAB,0)</f>
        <v>0.485360184672486</v>
      </c>
      <c r="Y1108" s="27" t="n">
        <f aca="false">IF(M1108&gt;0,D1108*PI()*E1108^2/4,0)</f>
        <v>0.75067193566129</v>
      </c>
      <c r="Z1108" s="27" t="n">
        <f aca="false">IF(H1108-E1108&gt;=GWL,99,E1108*(MAX(0,GWL-H1108)*(GAM_S-GAM_W)+MAX(0,NG-MAX(H1108,GWL))*GAM_D)/(GAM_W*PI()*E1108^2/4))</f>
        <v>1.28116000469035</v>
      </c>
      <c r="AA1108" s="27" t="n">
        <f aca="false">IF(I1108-E1108&gt;=GWL,99,E1108*(MAX(0,GWL-I1108)*(GAM_S-GAM_W)+MAX(0,NG-MAX(I1108,GWL))*GAM_D)/(GAM_W*PI()*E1108^2/4))</f>
        <v>1.42056887632442</v>
      </c>
      <c r="AB1108" s="27" t="n">
        <f aca="false">IF(H1108-E1108&gt;=GWL,99,E1108*(MAX(0,GWL-H1108)*(GAM_S-GAM_W)+MAX(0,FL-MAX(H1108,GWL))*GAM_D)/(GAM_W*PI()*E1108^2/4))</f>
        <v>3.76339496814599</v>
      </c>
      <c r="AC1108" s="27" t="n">
        <f aca="false">IF(I1108-E1108&gt;=GWL,99,E1108*(MAX(0,GWL-I1108)*(GAM_S-GAM_W)+MAX(0,FL-MAX(I1108,GWL))*GAM_D)/(GAM_W*PI()*E1108^2/4))</f>
        <v>3.90280383978007</v>
      </c>
    </row>
    <row r="1109" customFormat="false" ht="15" hidden="false" customHeight="false" outlineLevel="0" collapsed="false">
      <c r="A1109" s="25" t="s">
        <v>1715</v>
      </c>
      <c r="B1109" s="25" t="s">
        <v>1716</v>
      </c>
      <c r="C1109" s="25" t="s">
        <v>1728</v>
      </c>
      <c r="D1109" s="26" t="n">
        <v>9.6266458350421</v>
      </c>
      <c r="E1109" s="26" t="n">
        <v>1.59999877139356</v>
      </c>
      <c r="F1109" s="26" t="n">
        <v>-3.97999938569678</v>
      </c>
      <c r="G1109" s="26" t="n">
        <v>-3.97999938569678</v>
      </c>
      <c r="H1109" s="26" t="n">
        <v>-1.88000061430322</v>
      </c>
      <c r="I1109" s="26" t="n">
        <v>-1.88000061430322</v>
      </c>
      <c r="J1109" s="26" t="n">
        <v>19.76</v>
      </c>
      <c r="K1109" s="27" t="n">
        <f aca="false">MIN(F1109,G1109)</f>
        <v>-3.97999938569678</v>
      </c>
      <c r="L1109" s="27" t="n">
        <f aca="false">AVERAGE(F1109,G1109)</f>
        <v>-3.97999938569678</v>
      </c>
      <c r="M1109" s="27" t="n">
        <f aca="false">MAX(0,NG-L1109)</f>
        <v>3.27999938569678</v>
      </c>
      <c r="N1109" s="27" t="n">
        <f aca="false">MAX(0,GWL-K1109)</f>
        <v>2.47999938569678</v>
      </c>
      <c r="O1109" s="27" t="n">
        <f aca="false">MAX(0,NG-MAX(K1109,GWL))</f>
        <v>0.8</v>
      </c>
      <c r="P1109" s="27" t="n">
        <f aca="false">E1109/2+WS+SLOPE_A*O1109+SLOPE_B*N1109</f>
        <v>7.95999815709035</v>
      </c>
      <c r="Q1109" s="28" t="str">
        <f aca="false">IF(AND(P1109&lt;J1109,N1109&lt;=MAXOC),"Open cut","Shoring")</f>
        <v>Open cut</v>
      </c>
      <c r="R1109" s="27" t="n">
        <f aca="false">IF(Q1109="Shoring",D1109,0)</f>
        <v>0</v>
      </c>
      <c r="S1109" s="27" t="n">
        <f aca="false">MAX(0,GWL-L1109)</f>
        <v>2.47999938569678</v>
      </c>
      <c r="T1109" s="27" t="n">
        <f aca="false">MAX(0,NG-MAX(L1109,GWL))</f>
        <v>0.8</v>
      </c>
      <c r="U1109" s="27" t="n">
        <f aca="false">E1109+2*WS</f>
        <v>3.59999877139356</v>
      </c>
      <c r="V1109" s="27" t="n">
        <f aca="false">IF(Q1109="Shoring",D1109*M1109*U1109,0)</f>
        <v>0</v>
      </c>
      <c r="W1109" s="27" t="n">
        <f aca="false">IF(Q1109="Open cut",D1109*(U1109*M1109+SLOPE_B*S1109^2+2*SLOPE_B*S1109*T1109+SLOPE_A*T1109^2),0)</f>
        <v>317.725382785953</v>
      </c>
      <c r="X1109" s="27" t="n">
        <f aca="false">IF(M1109&gt;0,D1109*(E1109+2*SLABOVH)*SLAB,0)</f>
        <v>12.5146336718752</v>
      </c>
      <c r="Y1109" s="27" t="n">
        <f aca="false">IF(M1109&gt;0,D1109*PI()*E1109^2/4,0)</f>
        <v>19.3554901684266</v>
      </c>
      <c r="Z1109" s="27" t="n">
        <f aca="false">IF(H1109-E1109&gt;=GWL,99,E1109*(MAX(0,GWL-H1109)*(GAM_S-GAM_W)+MAX(0,NG-MAX(H1109,GWL))*GAM_D)/(GAM_W*PI()*E1109^2/4))</f>
        <v>1.4205688763221</v>
      </c>
      <c r="AA1109" s="27" t="n">
        <f aca="false">IF(I1109-E1109&gt;=GWL,99,E1109*(MAX(0,GWL-I1109)*(GAM_S-GAM_W)+MAX(0,NG-MAX(I1109,GWL))*GAM_D)/(GAM_W*PI()*E1109^2/4))</f>
        <v>1.4205688763221</v>
      </c>
      <c r="AB1109" s="27" t="n">
        <f aca="false">IF(H1109-E1109&gt;=GWL,99,E1109*(MAX(0,GWL-H1109)*(GAM_S-GAM_W)+MAX(0,FL-MAX(H1109,GWL))*GAM_D)/(GAM_W*PI()*E1109^2/4))</f>
        <v>3.90280383977479</v>
      </c>
      <c r="AC1109" s="27" t="n">
        <f aca="false">IF(I1109-E1109&gt;=GWL,99,E1109*(MAX(0,GWL-I1109)*(GAM_S-GAM_W)+MAX(0,FL-MAX(I1109,GWL))*GAM_D)/(GAM_W*PI()*E1109^2/4))</f>
        <v>3.90280383977479</v>
      </c>
    </row>
    <row r="1110" customFormat="false" ht="15" hidden="false" customHeight="false" outlineLevel="0" collapsed="false">
      <c r="A1110" s="25" t="s">
        <v>1715</v>
      </c>
      <c r="B1110" s="25" t="s">
        <v>1716</v>
      </c>
      <c r="C1110" s="25" t="s">
        <v>1729</v>
      </c>
      <c r="D1110" s="26" t="n">
        <v>9.99999999984639</v>
      </c>
      <c r="E1110" s="26" t="n">
        <v>1.59999877139356</v>
      </c>
      <c r="F1110" s="26" t="n">
        <v>-3.97999938569678</v>
      </c>
      <c r="G1110" s="26" t="n">
        <v>-3.97999938569678</v>
      </c>
      <c r="H1110" s="26" t="n">
        <v>-1.88000061430322</v>
      </c>
      <c r="I1110" s="26" t="n">
        <v>-1.88000061430322</v>
      </c>
      <c r="J1110" s="26" t="n">
        <v>13.23</v>
      </c>
      <c r="K1110" s="27" t="n">
        <f aca="false">MIN(F1110,G1110)</f>
        <v>-3.97999938569678</v>
      </c>
      <c r="L1110" s="27" t="n">
        <f aca="false">AVERAGE(F1110,G1110)</f>
        <v>-3.97999938569678</v>
      </c>
      <c r="M1110" s="27" t="n">
        <f aca="false">MAX(0,NG-L1110)</f>
        <v>3.27999938569678</v>
      </c>
      <c r="N1110" s="27" t="n">
        <f aca="false">MAX(0,GWL-K1110)</f>
        <v>2.47999938569678</v>
      </c>
      <c r="O1110" s="27" t="n">
        <f aca="false">MAX(0,NG-MAX(K1110,GWL))</f>
        <v>0.8</v>
      </c>
      <c r="P1110" s="27" t="n">
        <f aca="false">E1110/2+WS+SLOPE_A*O1110+SLOPE_B*N1110</f>
        <v>7.95999815709035</v>
      </c>
      <c r="Q1110" s="28" t="str">
        <f aca="false">IF(AND(P1110&lt;J1110,N1110&lt;=MAXOC),"Open cut","Shoring")</f>
        <v>Open cut</v>
      </c>
      <c r="R1110" s="27" t="n">
        <f aca="false">IF(Q1110="Shoring",D1110,0)</f>
        <v>0</v>
      </c>
      <c r="S1110" s="27" t="n">
        <f aca="false">MAX(0,GWL-L1110)</f>
        <v>2.47999938569678</v>
      </c>
      <c r="T1110" s="27" t="n">
        <f aca="false">MAX(0,NG-MAX(L1110,GWL))</f>
        <v>0.8</v>
      </c>
      <c r="U1110" s="27" t="n">
        <f aca="false">E1110+2*WS</f>
        <v>3.59999877139356</v>
      </c>
      <c r="V1110" s="27" t="n">
        <f aca="false">IF(Q1110="Shoring",D1110*M1110*U1110,0)</f>
        <v>0</v>
      </c>
      <c r="W1110" s="27" t="n">
        <f aca="false">IF(Q1110="Open cut",D1110*(U1110*M1110+SLOPE_B*S1110^2+2*SLOPE_B*S1110*T1110+SLOPE_A*T1110^2),0)</f>
        <v>330.047856985156</v>
      </c>
      <c r="X1110" s="27" t="n">
        <f aca="false">IF(M1110&gt;0,D1110*(E1110+2*SLABOVH)*SLAB,0)</f>
        <v>12.9999938567681</v>
      </c>
      <c r="Y1110" s="27" t="n">
        <f aca="false">IF(M1110&gt;0,D1110*PI()*E1110^2/4,0)</f>
        <v>20.1061621044301</v>
      </c>
      <c r="Z1110" s="27" t="n">
        <f aca="false">IF(H1110-E1110&gt;=GWL,99,E1110*(MAX(0,GWL-H1110)*(GAM_S-GAM_W)+MAX(0,NG-MAX(H1110,GWL))*GAM_D)/(GAM_W*PI()*E1110^2/4))</f>
        <v>1.4205688763221</v>
      </c>
      <c r="AA1110" s="27" t="n">
        <f aca="false">IF(I1110-E1110&gt;=GWL,99,E1110*(MAX(0,GWL-I1110)*(GAM_S-GAM_W)+MAX(0,NG-MAX(I1110,GWL))*GAM_D)/(GAM_W*PI()*E1110^2/4))</f>
        <v>1.4205688763221</v>
      </c>
      <c r="AB1110" s="27" t="n">
        <f aca="false">IF(H1110-E1110&gt;=GWL,99,E1110*(MAX(0,GWL-H1110)*(GAM_S-GAM_W)+MAX(0,FL-MAX(H1110,GWL))*GAM_D)/(GAM_W*PI()*E1110^2/4))</f>
        <v>3.90280383977479</v>
      </c>
      <c r="AC1110" s="27" t="n">
        <f aca="false">IF(I1110-E1110&gt;=GWL,99,E1110*(MAX(0,GWL-I1110)*(GAM_S-GAM_W)+MAX(0,FL-MAX(I1110,GWL))*GAM_D)/(GAM_W*PI()*E1110^2/4))</f>
        <v>3.90280383977479</v>
      </c>
    </row>
    <row r="1111" customFormat="false" ht="15" hidden="false" customHeight="false" outlineLevel="0" collapsed="false">
      <c r="A1111" s="25" t="s">
        <v>1715</v>
      </c>
      <c r="B1111" s="25" t="s">
        <v>1716</v>
      </c>
      <c r="C1111" s="25" t="s">
        <v>1730</v>
      </c>
      <c r="D1111" s="26" t="n">
        <v>8.2988241644268</v>
      </c>
      <c r="E1111" s="26" t="n">
        <v>1.59999877139356</v>
      </c>
      <c r="F1111" s="26" t="n">
        <v>-3.97999938569678</v>
      </c>
      <c r="G1111" s="26" t="n">
        <v>-3.97999938569678</v>
      </c>
      <c r="H1111" s="26" t="n">
        <v>-1.88000061430322</v>
      </c>
      <c r="I1111" s="26" t="n">
        <v>-1.88000061430322</v>
      </c>
      <c r="J1111" s="26" t="n">
        <v>11.66</v>
      </c>
      <c r="K1111" s="27" t="n">
        <f aca="false">MIN(F1111,G1111)</f>
        <v>-3.97999938569678</v>
      </c>
      <c r="L1111" s="27" t="n">
        <f aca="false">AVERAGE(F1111,G1111)</f>
        <v>-3.97999938569678</v>
      </c>
      <c r="M1111" s="27" t="n">
        <f aca="false">MAX(0,NG-L1111)</f>
        <v>3.27999938569678</v>
      </c>
      <c r="N1111" s="27" t="n">
        <f aca="false">MAX(0,GWL-K1111)</f>
        <v>2.47999938569678</v>
      </c>
      <c r="O1111" s="27" t="n">
        <f aca="false">MAX(0,NG-MAX(K1111,GWL))</f>
        <v>0.8</v>
      </c>
      <c r="P1111" s="27" t="n">
        <f aca="false">E1111/2+WS+SLOPE_A*O1111+SLOPE_B*N1111</f>
        <v>7.95999815709035</v>
      </c>
      <c r="Q1111" s="28" t="str">
        <f aca="false">IF(AND(P1111&lt;J1111,N1111&lt;=MAXOC),"Open cut","Shoring")</f>
        <v>Open cut</v>
      </c>
      <c r="R1111" s="27" t="n">
        <f aca="false">IF(Q1111="Shoring",D1111,0)</f>
        <v>0</v>
      </c>
      <c r="S1111" s="27" t="n">
        <f aca="false">MAX(0,GWL-L1111)</f>
        <v>2.47999938569678</v>
      </c>
      <c r="T1111" s="27" t="n">
        <f aca="false">MAX(0,NG-MAX(L1111,GWL))</f>
        <v>0.8</v>
      </c>
      <c r="U1111" s="27" t="n">
        <f aca="false">E1111+2*WS</f>
        <v>3.59999877139356</v>
      </c>
      <c r="V1111" s="27" t="n">
        <f aca="false">IF(Q1111="Shoring",D1111*M1111*U1111,0)</f>
        <v>0</v>
      </c>
      <c r="W1111" s="27" t="n">
        <f aca="false">IF(Q1111="Open cut",D1111*(U1111*M1111+SLOPE_B*S1111^2+2*SLOPE_B*S1111*T1111+SLOPE_A*T1111^2),0)</f>
        <v>273.900913100777</v>
      </c>
      <c r="X1111" s="27" t="n">
        <f aca="false">IF(M1111&gt;0,D1111*(E1111+2*SLABOVH)*SLAB,0)</f>
        <v>10.7884663157605</v>
      </c>
      <c r="Y1111" s="27" t="n">
        <f aca="false">IF(M1111&gt;0,D1111*PI()*E1111^2/4,0)</f>
        <v>16.685750392869</v>
      </c>
      <c r="Z1111" s="27" t="n">
        <f aca="false">IF(H1111-E1111&gt;=GWL,99,E1111*(MAX(0,GWL-H1111)*(GAM_S-GAM_W)+MAX(0,NG-MAX(H1111,GWL))*GAM_D)/(GAM_W*PI()*E1111^2/4))</f>
        <v>1.4205688763221</v>
      </c>
      <c r="AA1111" s="27" t="n">
        <f aca="false">IF(I1111-E1111&gt;=GWL,99,E1111*(MAX(0,GWL-I1111)*(GAM_S-GAM_W)+MAX(0,NG-MAX(I1111,GWL))*GAM_D)/(GAM_W*PI()*E1111^2/4))</f>
        <v>1.4205688763221</v>
      </c>
      <c r="AB1111" s="27" t="n">
        <f aca="false">IF(H1111-E1111&gt;=GWL,99,E1111*(MAX(0,GWL-H1111)*(GAM_S-GAM_W)+MAX(0,FL-MAX(H1111,GWL))*GAM_D)/(GAM_W*PI()*E1111^2/4))</f>
        <v>3.90280383977479</v>
      </c>
      <c r="AC1111" s="27" t="n">
        <f aca="false">IF(I1111-E1111&gt;=GWL,99,E1111*(MAX(0,GWL-I1111)*(GAM_S-GAM_W)+MAX(0,FL-MAX(I1111,GWL))*GAM_D)/(GAM_W*PI()*E1111^2/4))</f>
        <v>3.90280383977479</v>
      </c>
    </row>
    <row r="1112" customFormat="false" ht="15" hidden="false" customHeight="false" outlineLevel="0" collapsed="false">
      <c r="A1112" s="25" t="s">
        <v>1731</v>
      </c>
      <c r="B1112" s="25" t="s">
        <v>1732</v>
      </c>
      <c r="C1112" s="25" t="s">
        <v>1733</v>
      </c>
      <c r="D1112" s="26" t="n">
        <v>0.0500099999912289</v>
      </c>
      <c r="E1112" s="26" t="n">
        <v>1.59999792913365</v>
      </c>
      <c r="F1112" s="26" t="n">
        <v>0.810001035433176</v>
      </c>
      <c r="G1112" s="26" t="n">
        <v>0.810001035433176</v>
      </c>
      <c r="H1112" s="26" t="n">
        <v>2.90999896456682</v>
      </c>
      <c r="I1112" s="26" t="n">
        <v>2.90999896456682</v>
      </c>
      <c r="J1112" s="26" t="n">
        <v>21.16</v>
      </c>
      <c r="K1112" s="27" t="n">
        <f aca="false">MIN(F1112,G1112)</f>
        <v>0.810001035433176</v>
      </c>
      <c r="L1112" s="27" t="n">
        <f aca="false">AVERAGE(F1112,G1112)</f>
        <v>0.810001035433176</v>
      </c>
      <c r="M1112" s="27" t="n">
        <f aca="false">MAX(0,NG-L1112)</f>
        <v>0</v>
      </c>
      <c r="N1112" s="27" t="n">
        <f aca="false">MAX(0,GWL-K1112)</f>
        <v>0</v>
      </c>
      <c r="O1112" s="27" t="n">
        <f aca="false">MAX(0,NG-MAX(K1112,GWL))</f>
        <v>0</v>
      </c>
      <c r="P1112" s="27" t="n">
        <f aca="false">E1112/2+WS+SLOPE_A*O1112+SLOPE_B*N1112</f>
        <v>1.79999896456682</v>
      </c>
      <c r="Q1112" s="28" t="str">
        <f aca="false">IF(AND(P1112&lt;J1112,N1112&lt;=MAXOC),"Open cut","Shoring")</f>
        <v>Open cut</v>
      </c>
      <c r="R1112" s="27" t="n">
        <f aca="false">IF(Q1112="Shoring",D1112,0)</f>
        <v>0</v>
      </c>
      <c r="S1112" s="27" t="n">
        <f aca="false">MAX(0,GWL-L1112)</f>
        <v>0</v>
      </c>
      <c r="T1112" s="27" t="n">
        <f aca="false">MAX(0,NG-MAX(L1112,GWL))</f>
        <v>0</v>
      </c>
      <c r="U1112" s="27" t="n">
        <f aca="false">E1112+2*WS</f>
        <v>3.59999792913365</v>
      </c>
      <c r="V1112" s="27" t="n">
        <f aca="false">IF(Q1112="Shoring",D1112*M1112*U1112,0)</f>
        <v>0</v>
      </c>
      <c r="W1112" s="27" t="n">
        <f aca="false">IF(Q1112="Open cut",D1112*(U1112*M1112+SLOPE_B*S1112^2+2*SLOPE_B*S1112*T1112+SLOPE_A*T1112^2),0)</f>
        <v>0</v>
      </c>
      <c r="X1112" s="27" t="n">
        <f aca="false">IF(M1112&gt;0,D1112*(E1112+2*SLABOVH)*SLAB,0)</f>
        <v>0</v>
      </c>
      <c r="Y1112" s="27" t="n">
        <f aca="false">IF(M1112&gt;0,D1112*PI()*E1112^2/4,0)</f>
        <v>0</v>
      </c>
      <c r="Z1112" s="27" t="n">
        <f aca="false">IF(H1112-E1112&gt;=GWL,99,E1112*(MAX(0,GWL-H1112)*(GAM_S-GAM_W)+MAX(0,NG-MAX(H1112,GWL))*GAM_D)/(GAM_W*PI()*E1112^2/4))</f>
        <v>99</v>
      </c>
      <c r="AA1112" s="27" t="n">
        <f aca="false">IF(I1112-E1112&gt;=GWL,99,E1112*(MAX(0,GWL-I1112)*(GAM_S-GAM_W)+MAX(0,NG-MAX(I1112,GWL))*GAM_D)/(GAM_W*PI()*E1112^2/4))</f>
        <v>99</v>
      </c>
      <c r="AB1112" s="27" t="n">
        <f aca="false">IF(H1112-E1112&gt;=GWL,99,E1112*(MAX(0,GWL-H1112)*(GAM_S-GAM_W)+MAX(0,FL-MAX(H1112,GWL))*GAM_D)/(GAM_W*PI()*E1112^2/4))</f>
        <v>99</v>
      </c>
      <c r="AC1112" s="27" t="n">
        <f aca="false">IF(I1112-E1112&gt;=GWL,99,E1112*(MAX(0,GWL-I1112)*(GAM_S-GAM_W)+MAX(0,FL-MAX(I1112,GWL))*GAM_D)/(GAM_W*PI()*E1112^2/4))</f>
        <v>99</v>
      </c>
    </row>
    <row r="1113" customFormat="false" ht="15" hidden="false" customHeight="false" outlineLevel="0" collapsed="false">
      <c r="A1113" s="25" t="s">
        <v>1731</v>
      </c>
      <c r="B1113" s="25" t="s">
        <v>1732</v>
      </c>
      <c r="C1113" s="25" t="s">
        <v>1734</v>
      </c>
      <c r="D1113" s="26" t="n">
        <v>0.203993703175165</v>
      </c>
      <c r="E1113" s="26" t="n">
        <v>1.59999792913365</v>
      </c>
      <c r="F1113" s="26" t="n">
        <v>0.810001035433176</v>
      </c>
      <c r="G1113" s="26" t="n">
        <v>0.810001035433176</v>
      </c>
      <c r="H1113" s="26" t="n">
        <v>2.90999896456682</v>
      </c>
      <c r="I1113" s="26" t="n">
        <v>2.90999896456682</v>
      </c>
      <c r="J1113" s="26" t="n">
        <v>21.17</v>
      </c>
      <c r="K1113" s="27" t="n">
        <f aca="false">MIN(F1113,G1113)</f>
        <v>0.810001035433176</v>
      </c>
      <c r="L1113" s="27" t="n">
        <f aca="false">AVERAGE(F1113,G1113)</f>
        <v>0.810001035433176</v>
      </c>
      <c r="M1113" s="27" t="n">
        <f aca="false">MAX(0,NG-L1113)</f>
        <v>0</v>
      </c>
      <c r="N1113" s="27" t="n">
        <f aca="false">MAX(0,GWL-K1113)</f>
        <v>0</v>
      </c>
      <c r="O1113" s="27" t="n">
        <f aca="false">MAX(0,NG-MAX(K1113,GWL))</f>
        <v>0</v>
      </c>
      <c r="P1113" s="27" t="n">
        <f aca="false">E1113/2+WS+SLOPE_A*O1113+SLOPE_B*N1113</f>
        <v>1.79999896456682</v>
      </c>
      <c r="Q1113" s="28" t="str">
        <f aca="false">IF(AND(P1113&lt;J1113,N1113&lt;=MAXOC),"Open cut","Shoring")</f>
        <v>Open cut</v>
      </c>
      <c r="R1113" s="27" t="n">
        <f aca="false">IF(Q1113="Shoring",D1113,0)</f>
        <v>0</v>
      </c>
      <c r="S1113" s="27" t="n">
        <f aca="false">MAX(0,GWL-L1113)</f>
        <v>0</v>
      </c>
      <c r="T1113" s="27" t="n">
        <f aca="false">MAX(0,NG-MAX(L1113,GWL))</f>
        <v>0</v>
      </c>
      <c r="U1113" s="27" t="n">
        <f aca="false">E1113+2*WS</f>
        <v>3.59999792913365</v>
      </c>
      <c r="V1113" s="27" t="n">
        <f aca="false">IF(Q1113="Shoring",D1113*M1113*U1113,0)</f>
        <v>0</v>
      </c>
      <c r="W1113" s="27" t="n">
        <f aca="false">IF(Q1113="Open cut",D1113*(U1113*M1113+SLOPE_B*S1113^2+2*SLOPE_B*S1113*T1113+SLOPE_A*T1113^2),0)</f>
        <v>0</v>
      </c>
      <c r="X1113" s="27" t="n">
        <f aca="false">IF(M1113&gt;0,D1113*(E1113+2*SLABOVH)*SLAB,0)</f>
        <v>0</v>
      </c>
      <c r="Y1113" s="27" t="n">
        <f aca="false">IF(M1113&gt;0,D1113*PI()*E1113^2/4,0)</f>
        <v>0</v>
      </c>
      <c r="Z1113" s="27" t="n">
        <f aca="false">IF(H1113-E1113&gt;=GWL,99,E1113*(MAX(0,GWL-H1113)*(GAM_S-GAM_W)+MAX(0,NG-MAX(H1113,GWL))*GAM_D)/(GAM_W*PI()*E1113^2/4))</f>
        <v>99</v>
      </c>
      <c r="AA1113" s="27" t="n">
        <f aca="false">IF(I1113-E1113&gt;=GWL,99,E1113*(MAX(0,GWL-I1113)*(GAM_S-GAM_W)+MAX(0,NG-MAX(I1113,GWL))*GAM_D)/(GAM_W*PI()*E1113^2/4))</f>
        <v>99</v>
      </c>
      <c r="AB1113" s="27" t="n">
        <f aca="false">IF(H1113-E1113&gt;=GWL,99,E1113*(MAX(0,GWL-H1113)*(GAM_S-GAM_W)+MAX(0,FL-MAX(H1113,GWL))*GAM_D)/(GAM_W*PI()*E1113^2/4))</f>
        <v>99</v>
      </c>
      <c r="AC1113" s="27" t="n">
        <f aca="false">IF(I1113-E1113&gt;=GWL,99,E1113*(MAX(0,GWL-I1113)*(GAM_S-GAM_W)+MAX(0,FL-MAX(I1113,GWL))*GAM_D)/(GAM_W*PI()*E1113^2/4))</f>
        <v>99</v>
      </c>
    </row>
    <row r="1114" customFormat="false" ht="15" hidden="false" customHeight="false" outlineLevel="0" collapsed="false">
      <c r="A1114" s="25" t="s">
        <v>1731</v>
      </c>
      <c r="B1114" s="25" t="s">
        <v>1732</v>
      </c>
      <c r="C1114" s="25" t="s">
        <v>1735</v>
      </c>
      <c r="D1114" s="26" t="n">
        <v>1.50185999994906</v>
      </c>
      <c r="E1114" s="26" t="n">
        <v>1.59999792913365</v>
      </c>
      <c r="F1114" s="26" t="n">
        <v>0.810001035433176</v>
      </c>
      <c r="G1114" s="26" t="n">
        <v>0.810001035433176</v>
      </c>
      <c r="H1114" s="26" t="n">
        <v>2.90999896456682</v>
      </c>
      <c r="I1114" s="26" t="n">
        <v>2.90999896456682</v>
      </c>
      <c r="J1114" s="26" t="n">
        <v>21.21</v>
      </c>
      <c r="K1114" s="27" t="n">
        <f aca="false">MIN(F1114,G1114)</f>
        <v>0.810001035433176</v>
      </c>
      <c r="L1114" s="27" t="n">
        <f aca="false">AVERAGE(F1114,G1114)</f>
        <v>0.810001035433176</v>
      </c>
      <c r="M1114" s="27" t="n">
        <f aca="false">MAX(0,NG-L1114)</f>
        <v>0</v>
      </c>
      <c r="N1114" s="27" t="n">
        <f aca="false">MAX(0,GWL-K1114)</f>
        <v>0</v>
      </c>
      <c r="O1114" s="27" t="n">
        <f aca="false">MAX(0,NG-MAX(K1114,GWL))</f>
        <v>0</v>
      </c>
      <c r="P1114" s="27" t="n">
        <f aca="false">E1114/2+WS+SLOPE_A*O1114+SLOPE_B*N1114</f>
        <v>1.79999896456682</v>
      </c>
      <c r="Q1114" s="28" t="str">
        <f aca="false">IF(AND(P1114&lt;J1114,N1114&lt;=MAXOC),"Open cut","Shoring")</f>
        <v>Open cut</v>
      </c>
      <c r="R1114" s="27" t="n">
        <f aca="false">IF(Q1114="Shoring",D1114,0)</f>
        <v>0</v>
      </c>
      <c r="S1114" s="27" t="n">
        <f aca="false">MAX(0,GWL-L1114)</f>
        <v>0</v>
      </c>
      <c r="T1114" s="27" t="n">
        <f aca="false">MAX(0,NG-MAX(L1114,GWL))</f>
        <v>0</v>
      </c>
      <c r="U1114" s="27" t="n">
        <f aca="false">E1114+2*WS</f>
        <v>3.59999792913365</v>
      </c>
      <c r="V1114" s="27" t="n">
        <f aca="false">IF(Q1114="Shoring",D1114*M1114*U1114,0)</f>
        <v>0</v>
      </c>
      <c r="W1114" s="27" t="n">
        <f aca="false">IF(Q1114="Open cut",D1114*(U1114*M1114+SLOPE_B*S1114^2+2*SLOPE_B*S1114*T1114+SLOPE_A*T1114^2),0)</f>
        <v>0</v>
      </c>
      <c r="X1114" s="27" t="n">
        <f aca="false">IF(M1114&gt;0,D1114*(E1114+2*SLABOVH)*SLAB,0)</f>
        <v>0</v>
      </c>
      <c r="Y1114" s="27" t="n">
        <f aca="false">IF(M1114&gt;0,D1114*PI()*E1114^2/4,0)</f>
        <v>0</v>
      </c>
      <c r="Z1114" s="27" t="n">
        <f aca="false">IF(H1114-E1114&gt;=GWL,99,E1114*(MAX(0,GWL-H1114)*(GAM_S-GAM_W)+MAX(0,NG-MAX(H1114,GWL))*GAM_D)/(GAM_W*PI()*E1114^2/4))</f>
        <v>99</v>
      </c>
      <c r="AA1114" s="27" t="n">
        <f aca="false">IF(I1114-E1114&gt;=GWL,99,E1114*(MAX(0,GWL-I1114)*(GAM_S-GAM_W)+MAX(0,NG-MAX(I1114,GWL))*GAM_D)/(GAM_W*PI()*E1114^2/4))</f>
        <v>99</v>
      </c>
      <c r="AB1114" s="27" t="n">
        <f aca="false">IF(H1114-E1114&gt;=GWL,99,E1114*(MAX(0,GWL-H1114)*(GAM_S-GAM_W)+MAX(0,FL-MAX(H1114,GWL))*GAM_D)/(GAM_W*PI()*E1114^2/4))</f>
        <v>99</v>
      </c>
      <c r="AC1114" s="27" t="n">
        <f aca="false">IF(I1114-E1114&gt;=GWL,99,E1114*(MAX(0,GWL-I1114)*(GAM_S-GAM_W)+MAX(0,FL-MAX(I1114,GWL))*GAM_D)/(GAM_W*PI()*E1114^2/4))</f>
        <v>99</v>
      </c>
    </row>
    <row r="1115" customFormat="false" ht="15" hidden="false" customHeight="false" outlineLevel="0" collapsed="false">
      <c r="A1115" s="25" t="s">
        <v>1731</v>
      </c>
      <c r="B1115" s="25" t="s">
        <v>1732</v>
      </c>
      <c r="C1115" s="25" t="s">
        <v>1736</v>
      </c>
      <c r="D1115" s="26" t="n">
        <v>0.840000000002113</v>
      </c>
      <c r="E1115" s="26" t="n">
        <v>1.59999792907615</v>
      </c>
      <c r="F1115" s="26" t="n">
        <v>0.810001035461927</v>
      </c>
      <c r="G1115" s="26" t="n">
        <v>0.336321035461927</v>
      </c>
      <c r="H1115" s="26" t="n">
        <v>2.90999896453807</v>
      </c>
      <c r="I1115" s="26" t="n">
        <v>2.43631896453807</v>
      </c>
      <c r="J1115" s="26" t="n">
        <v>21.53</v>
      </c>
      <c r="K1115" s="27" t="n">
        <f aca="false">MIN(F1115,G1115)</f>
        <v>0.336321035461927</v>
      </c>
      <c r="L1115" s="27" t="n">
        <f aca="false">AVERAGE(F1115,G1115)</f>
        <v>0.573161035461927</v>
      </c>
      <c r="M1115" s="27" t="n">
        <f aca="false">MAX(0,NG-L1115)</f>
        <v>0</v>
      </c>
      <c r="N1115" s="27" t="n">
        <f aca="false">MAX(0,GWL-K1115)</f>
        <v>0</v>
      </c>
      <c r="O1115" s="27" t="n">
        <f aca="false">MAX(0,NG-MAX(K1115,GWL))</f>
        <v>0</v>
      </c>
      <c r="P1115" s="27" t="n">
        <f aca="false">E1115/2+WS+SLOPE_A*O1115+SLOPE_B*N1115</f>
        <v>1.79999896453807</v>
      </c>
      <c r="Q1115" s="28" t="str">
        <f aca="false">IF(AND(P1115&lt;J1115,N1115&lt;=MAXOC),"Open cut","Shoring")</f>
        <v>Open cut</v>
      </c>
      <c r="R1115" s="27" t="n">
        <f aca="false">IF(Q1115="Shoring",D1115,0)</f>
        <v>0</v>
      </c>
      <c r="S1115" s="27" t="n">
        <f aca="false">MAX(0,GWL-L1115)</f>
        <v>0</v>
      </c>
      <c r="T1115" s="27" t="n">
        <f aca="false">MAX(0,NG-MAX(L1115,GWL))</f>
        <v>0</v>
      </c>
      <c r="U1115" s="27" t="n">
        <f aca="false">E1115+2*WS</f>
        <v>3.59999792907615</v>
      </c>
      <c r="V1115" s="27" t="n">
        <f aca="false">IF(Q1115="Shoring",D1115*M1115*U1115,0)</f>
        <v>0</v>
      </c>
      <c r="W1115" s="27" t="n">
        <f aca="false">IF(Q1115="Open cut",D1115*(U1115*M1115+SLOPE_B*S1115^2+2*SLOPE_B*S1115*T1115+SLOPE_A*T1115^2),0)</f>
        <v>0</v>
      </c>
      <c r="X1115" s="27" t="n">
        <f aca="false">IF(M1115&gt;0,D1115*(E1115+2*SLABOVH)*SLAB,0)</f>
        <v>0</v>
      </c>
      <c r="Y1115" s="27" t="n">
        <f aca="false">IF(M1115&gt;0,D1115*PI()*E1115^2/4,0)</f>
        <v>0</v>
      </c>
      <c r="Z1115" s="27" t="n">
        <f aca="false">IF(H1115-E1115&gt;=GWL,99,E1115*(MAX(0,GWL-H1115)*(GAM_S-GAM_W)+MAX(0,NG-MAX(H1115,GWL))*GAM_D)/(GAM_W*PI()*E1115^2/4))</f>
        <v>99</v>
      </c>
      <c r="AA1115" s="27" t="n">
        <f aca="false">IF(I1115-E1115&gt;=GWL,99,E1115*(MAX(0,GWL-I1115)*(GAM_S-GAM_W)+MAX(0,NG-MAX(I1115,GWL))*GAM_D)/(GAM_W*PI()*E1115^2/4))</f>
        <v>99</v>
      </c>
      <c r="AB1115" s="27" t="n">
        <f aca="false">IF(H1115-E1115&gt;=GWL,99,E1115*(MAX(0,GWL-H1115)*(GAM_S-GAM_W)+MAX(0,FL-MAX(H1115,GWL))*GAM_D)/(GAM_W*PI()*E1115^2/4))</f>
        <v>99</v>
      </c>
      <c r="AC1115" s="27" t="n">
        <f aca="false">IF(I1115-E1115&gt;=GWL,99,E1115*(MAX(0,GWL-I1115)*(GAM_S-GAM_W)+MAX(0,FL-MAX(I1115,GWL))*GAM_D)/(GAM_W*PI()*E1115^2/4))</f>
        <v>99</v>
      </c>
    </row>
    <row r="1116" customFormat="false" ht="15" hidden="false" customHeight="false" outlineLevel="0" collapsed="false">
      <c r="A1116" s="25" t="s">
        <v>1731</v>
      </c>
      <c r="B1116" s="25" t="s">
        <v>1732</v>
      </c>
      <c r="C1116" s="25" t="s">
        <v>1737</v>
      </c>
      <c r="D1116" s="26" t="n">
        <v>0.244127777908284</v>
      </c>
      <c r="E1116" s="26" t="n">
        <v>1.60000202457257</v>
      </c>
      <c r="F1116" s="26" t="n">
        <v>0.336318987713713</v>
      </c>
      <c r="G1116" s="26" t="n">
        <v>0.198648987713713</v>
      </c>
      <c r="H1116" s="26" t="n">
        <v>2.43632101228629</v>
      </c>
      <c r="I1116" s="26" t="n">
        <v>2.29865101228629</v>
      </c>
      <c r="J1116" s="26" t="n">
        <v>21.72</v>
      </c>
      <c r="K1116" s="27" t="n">
        <f aca="false">MIN(F1116,G1116)</f>
        <v>0.198648987713713</v>
      </c>
      <c r="L1116" s="27" t="n">
        <f aca="false">AVERAGE(F1116,G1116)</f>
        <v>0.267483987713713</v>
      </c>
      <c r="M1116" s="27" t="n">
        <f aca="false">MAX(0,NG-L1116)</f>
        <v>0</v>
      </c>
      <c r="N1116" s="27" t="n">
        <f aca="false">MAX(0,GWL-K1116)</f>
        <v>0</v>
      </c>
      <c r="O1116" s="27" t="n">
        <f aca="false">MAX(0,NG-MAX(K1116,GWL))</f>
        <v>0</v>
      </c>
      <c r="P1116" s="27" t="n">
        <f aca="false">E1116/2+WS+SLOPE_A*O1116+SLOPE_B*N1116</f>
        <v>1.80000101228629</v>
      </c>
      <c r="Q1116" s="28" t="str">
        <f aca="false">IF(AND(P1116&lt;J1116,N1116&lt;=MAXOC),"Open cut","Shoring")</f>
        <v>Open cut</v>
      </c>
      <c r="R1116" s="27" t="n">
        <f aca="false">IF(Q1116="Shoring",D1116,0)</f>
        <v>0</v>
      </c>
      <c r="S1116" s="27" t="n">
        <f aca="false">MAX(0,GWL-L1116)</f>
        <v>0</v>
      </c>
      <c r="T1116" s="27" t="n">
        <f aca="false">MAX(0,NG-MAX(L1116,GWL))</f>
        <v>0</v>
      </c>
      <c r="U1116" s="27" t="n">
        <f aca="false">E1116+2*WS</f>
        <v>3.60000202457257</v>
      </c>
      <c r="V1116" s="27" t="n">
        <f aca="false">IF(Q1116="Shoring",D1116*M1116*U1116,0)</f>
        <v>0</v>
      </c>
      <c r="W1116" s="27" t="n">
        <f aca="false">IF(Q1116="Open cut",D1116*(U1116*M1116+SLOPE_B*S1116^2+2*SLOPE_B*S1116*T1116+SLOPE_A*T1116^2),0)</f>
        <v>0</v>
      </c>
      <c r="X1116" s="27" t="n">
        <f aca="false">IF(M1116&gt;0,D1116*(E1116+2*SLABOVH)*SLAB,0)</f>
        <v>0</v>
      </c>
      <c r="Y1116" s="27" t="n">
        <f aca="false">IF(M1116&gt;0,D1116*PI()*E1116^2/4,0)</f>
        <v>0</v>
      </c>
      <c r="Z1116" s="27" t="n">
        <f aca="false">IF(H1116-E1116&gt;=GWL,99,E1116*(MAX(0,GWL-H1116)*(GAM_S-GAM_W)+MAX(0,NG-MAX(H1116,GWL))*GAM_D)/(GAM_W*PI()*E1116^2/4))</f>
        <v>99</v>
      </c>
      <c r="AA1116" s="27" t="n">
        <f aca="false">IF(I1116-E1116&gt;=GWL,99,E1116*(MAX(0,GWL-I1116)*(GAM_S-GAM_W)+MAX(0,NG-MAX(I1116,GWL))*GAM_D)/(GAM_W*PI()*E1116^2/4))</f>
        <v>99</v>
      </c>
      <c r="AB1116" s="27" t="n">
        <f aca="false">IF(H1116-E1116&gt;=GWL,99,E1116*(MAX(0,GWL-H1116)*(GAM_S-GAM_W)+MAX(0,FL-MAX(H1116,GWL))*GAM_D)/(GAM_W*PI()*E1116^2/4))</f>
        <v>99</v>
      </c>
      <c r="AC1116" s="27" t="n">
        <f aca="false">IF(I1116-E1116&gt;=GWL,99,E1116*(MAX(0,GWL-I1116)*(GAM_S-GAM_W)+MAX(0,FL-MAX(I1116,GWL))*GAM_D)/(GAM_W*PI()*E1116^2/4))</f>
        <v>99</v>
      </c>
    </row>
    <row r="1117" customFormat="false" ht="15" hidden="false" customHeight="false" outlineLevel="0" collapsed="false">
      <c r="A1117" s="25" t="s">
        <v>1731</v>
      </c>
      <c r="B1117" s="25" t="s">
        <v>1732</v>
      </c>
      <c r="C1117" s="25" t="s">
        <v>1738</v>
      </c>
      <c r="D1117" s="26" t="n">
        <v>0.67911188896149</v>
      </c>
      <c r="E1117" s="26" t="n">
        <v>1.60000106074196</v>
      </c>
      <c r="F1117" s="26" t="n">
        <v>0.19864946962902</v>
      </c>
      <c r="G1117" s="26" t="n">
        <v>-0.184300530370981</v>
      </c>
      <c r="H1117" s="26" t="n">
        <v>2.29865053037098</v>
      </c>
      <c r="I1117" s="26" t="n">
        <v>1.91570053037098</v>
      </c>
      <c r="J1117" s="26" t="n">
        <v>21.78</v>
      </c>
      <c r="K1117" s="27" t="n">
        <f aca="false">MIN(F1117,G1117)</f>
        <v>-0.184300530370981</v>
      </c>
      <c r="L1117" s="27" t="n">
        <f aca="false">AVERAGE(F1117,G1117)</f>
        <v>0.00717446962901945</v>
      </c>
      <c r="M1117" s="27" t="n">
        <f aca="false">MAX(0,NG-L1117)</f>
        <v>0</v>
      </c>
      <c r="N1117" s="27" t="n">
        <f aca="false">MAX(0,GWL-K1117)</f>
        <v>0</v>
      </c>
      <c r="O1117" s="27" t="n">
        <f aca="false">MAX(0,NG-MAX(K1117,GWL))</f>
        <v>0</v>
      </c>
      <c r="P1117" s="27" t="n">
        <f aca="false">E1117/2+WS+SLOPE_A*O1117+SLOPE_B*N1117</f>
        <v>1.80000053037098</v>
      </c>
      <c r="Q1117" s="28" t="str">
        <f aca="false">IF(AND(P1117&lt;J1117,N1117&lt;=MAXOC),"Open cut","Shoring")</f>
        <v>Open cut</v>
      </c>
      <c r="R1117" s="27" t="n">
        <f aca="false">IF(Q1117="Shoring",D1117,0)</f>
        <v>0</v>
      </c>
      <c r="S1117" s="27" t="n">
        <f aca="false">MAX(0,GWL-L1117)</f>
        <v>0</v>
      </c>
      <c r="T1117" s="27" t="n">
        <f aca="false">MAX(0,NG-MAX(L1117,GWL))</f>
        <v>0</v>
      </c>
      <c r="U1117" s="27" t="n">
        <f aca="false">E1117+2*WS</f>
        <v>3.60000106074196</v>
      </c>
      <c r="V1117" s="27" t="n">
        <f aca="false">IF(Q1117="Shoring",D1117*M1117*U1117,0)</f>
        <v>0</v>
      </c>
      <c r="W1117" s="27" t="n">
        <f aca="false">IF(Q1117="Open cut",D1117*(U1117*M1117+SLOPE_B*S1117^2+2*SLOPE_B*S1117*T1117+SLOPE_A*T1117^2),0)</f>
        <v>0</v>
      </c>
      <c r="X1117" s="27" t="n">
        <f aca="false">IF(M1117&gt;0,D1117*(E1117+2*SLABOVH)*SLAB,0)</f>
        <v>0</v>
      </c>
      <c r="Y1117" s="27" t="n">
        <f aca="false">IF(M1117&gt;0,D1117*PI()*E1117^2/4,0)</f>
        <v>0</v>
      </c>
      <c r="Z1117" s="27" t="n">
        <f aca="false">IF(H1117-E1117&gt;=GWL,99,E1117*(MAX(0,GWL-H1117)*(GAM_S-GAM_W)+MAX(0,NG-MAX(H1117,GWL))*GAM_D)/(GAM_W*PI()*E1117^2/4))</f>
        <v>99</v>
      </c>
      <c r="AA1117" s="27" t="n">
        <f aca="false">IF(I1117-E1117&gt;=GWL,99,E1117*(MAX(0,GWL-I1117)*(GAM_S-GAM_W)+MAX(0,NG-MAX(I1117,GWL))*GAM_D)/(GAM_W*PI()*E1117^2/4))</f>
        <v>99</v>
      </c>
      <c r="AB1117" s="27" t="n">
        <f aca="false">IF(H1117-E1117&gt;=GWL,99,E1117*(MAX(0,GWL-H1117)*(GAM_S-GAM_W)+MAX(0,FL-MAX(H1117,GWL))*GAM_D)/(GAM_W*PI()*E1117^2/4))</f>
        <v>99</v>
      </c>
      <c r="AC1117" s="27" t="n">
        <f aca="false">IF(I1117-E1117&gt;=GWL,99,E1117*(MAX(0,GWL-I1117)*(GAM_S-GAM_W)+MAX(0,FL-MAX(I1117,GWL))*GAM_D)/(GAM_W*PI()*E1117^2/4))</f>
        <v>99</v>
      </c>
    </row>
    <row r="1118" customFormat="false" ht="15" hidden="false" customHeight="false" outlineLevel="0" collapsed="false">
      <c r="A1118" s="25" t="s">
        <v>1731</v>
      </c>
      <c r="B1118" s="25" t="s">
        <v>1732</v>
      </c>
      <c r="C1118" s="25" t="s">
        <v>1739</v>
      </c>
      <c r="D1118" s="26" t="n">
        <v>4.97442000003764</v>
      </c>
      <c r="E1118" s="26" t="n">
        <v>1.60000419098066</v>
      </c>
      <c r="F1118" s="26" t="n">
        <v>-0.184302095490329</v>
      </c>
      <c r="G1118" s="26" t="n">
        <v>-2.98942209549033</v>
      </c>
      <c r="H1118" s="26" t="n">
        <v>1.91570209549033</v>
      </c>
      <c r="I1118" s="26" t="n">
        <v>-0.889417904509671</v>
      </c>
      <c r="J1118" s="26" t="n">
        <v>21.94</v>
      </c>
      <c r="K1118" s="27" t="n">
        <f aca="false">MIN(F1118,G1118)</f>
        <v>-2.98942209549033</v>
      </c>
      <c r="L1118" s="27" t="n">
        <f aca="false">AVERAGE(F1118,G1118)</f>
        <v>-1.58686209549033</v>
      </c>
      <c r="M1118" s="27" t="n">
        <f aca="false">MAX(0,NG-L1118)</f>
        <v>0.886862095490329</v>
      </c>
      <c r="N1118" s="27" t="n">
        <f aca="false">MAX(0,GWL-K1118)</f>
        <v>1.48942209549033</v>
      </c>
      <c r="O1118" s="27" t="n">
        <f aca="false">MAX(0,NG-MAX(K1118,GWL))</f>
        <v>0.8</v>
      </c>
      <c r="P1118" s="27" t="n">
        <f aca="false">E1118/2+WS+SLOPE_A*O1118+SLOPE_B*N1118</f>
        <v>5.97884628647099</v>
      </c>
      <c r="Q1118" s="28" t="str">
        <f aca="false">IF(AND(P1118&lt;J1118,N1118&lt;=MAXOC),"Open cut","Shoring")</f>
        <v>Open cut</v>
      </c>
      <c r="R1118" s="27" t="n">
        <f aca="false">IF(Q1118="Shoring",D1118,0)</f>
        <v>0</v>
      </c>
      <c r="S1118" s="27" t="n">
        <f aca="false">MAX(0,GWL-L1118)</f>
        <v>0.086862095490329</v>
      </c>
      <c r="T1118" s="27" t="n">
        <f aca="false">MAX(0,NG-MAX(L1118,GWL))</f>
        <v>0.8</v>
      </c>
      <c r="U1118" s="27" t="n">
        <f aca="false">E1118+2*WS</f>
        <v>3.60000419098066</v>
      </c>
      <c r="V1118" s="27" t="n">
        <f aca="false">IF(Q1118="Shoring",D1118*M1118*U1118,0)</f>
        <v>0</v>
      </c>
      <c r="W1118" s="27" t="n">
        <f aca="false">IF(Q1118="Open cut",D1118*(U1118*M1118+SLOPE_B*S1118^2+2*SLOPE_B*S1118*T1118+SLOPE_A*T1118^2),0)</f>
        <v>22.1150576284543</v>
      </c>
      <c r="X1118" s="27" t="n">
        <f aca="false">IF(M1118&gt;0,D1118*(E1118+2*SLABOVH)*SLAB,0)</f>
        <v>6.46675642389793</v>
      </c>
      <c r="Y1118" s="27" t="n">
        <f aca="false">IF(M1118&gt;0,D1118*PI()*E1118^2/4,0)</f>
        <v>10.0017172459611</v>
      </c>
      <c r="Z1118" s="27" t="n">
        <f aca="false">IF(H1118-E1118&gt;=GWL,99,E1118*(MAX(0,GWL-H1118)*(GAM_S-GAM_W)+MAX(0,NG-MAX(H1118,GWL))*GAM_D)/(GAM_W*PI()*E1118^2/4))</f>
        <v>99</v>
      </c>
      <c r="AA1118" s="27" t="n">
        <f aca="false">IF(I1118-E1118&gt;=GWL,99,E1118*(MAX(0,GWL-I1118)*(GAM_S-GAM_W)+MAX(0,NG-MAX(I1118,GWL))*GAM_D)/(GAM_W*PI()*E1118^2/4))</f>
        <v>0.276575383923218</v>
      </c>
      <c r="AB1118" s="27" t="n">
        <f aca="false">IF(H1118-E1118&gt;=GWL,99,E1118*(MAX(0,GWL-H1118)*(GAM_S-GAM_W)+MAX(0,FL-MAX(H1118,GWL))*GAM_D)/(GAM_W*PI()*E1118^2/4))</f>
        <v>99</v>
      </c>
      <c r="AC1118" s="27" t="n">
        <f aca="false">IF(I1118-E1118&gt;=GWL,99,E1118*(MAX(0,GWL-I1118)*(GAM_S-GAM_W)+MAX(0,FL-MAX(I1118,GWL))*GAM_D)/(GAM_W*PI()*E1118^2/4))</f>
        <v>2.75880193946757</v>
      </c>
    </row>
    <row r="1119" customFormat="false" ht="15" hidden="false" customHeight="false" outlineLevel="0" collapsed="false">
      <c r="A1119" s="25" t="s">
        <v>1731</v>
      </c>
      <c r="B1119" s="25" t="s">
        <v>1732</v>
      </c>
      <c r="C1119" s="25" t="s">
        <v>1740</v>
      </c>
      <c r="D1119" s="26" t="n">
        <v>0.673598044429421</v>
      </c>
      <c r="E1119" s="26" t="n">
        <v>1.59999111625103</v>
      </c>
      <c r="F1119" s="26" t="n">
        <v>-2.98941555812552</v>
      </c>
      <c r="G1119" s="26" t="n">
        <v>-3.36926555812552</v>
      </c>
      <c r="H1119" s="26" t="n">
        <v>-0.889424441874484</v>
      </c>
      <c r="I1119" s="26" t="n">
        <v>-1.26927444187448</v>
      </c>
      <c r="J1119" s="26" t="n">
        <v>23.41</v>
      </c>
      <c r="K1119" s="27" t="n">
        <f aca="false">MIN(F1119,G1119)</f>
        <v>-3.36926555812552</v>
      </c>
      <c r="L1119" s="27" t="n">
        <f aca="false">AVERAGE(F1119,G1119)</f>
        <v>-3.17934055812552</v>
      </c>
      <c r="M1119" s="27" t="n">
        <f aca="false">MAX(0,NG-L1119)</f>
        <v>2.47934055812552</v>
      </c>
      <c r="N1119" s="27" t="n">
        <f aca="false">MAX(0,GWL-K1119)</f>
        <v>1.86926555812552</v>
      </c>
      <c r="O1119" s="27" t="n">
        <f aca="false">MAX(0,NG-MAX(K1119,GWL))</f>
        <v>0.8</v>
      </c>
      <c r="P1119" s="27" t="n">
        <f aca="false">E1119/2+WS+SLOPE_A*O1119+SLOPE_B*N1119</f>
        <v>6.73852667437655</v>
      </c>
      <c r="Q1119" s="28" t="str">
        <f aca="false">IF(AND(P1119&lt;J1119,N1119&lt;=MAXOC),"Open cut","Shoring")</f>
        <v>Open cut</v>
      </c>
      <c r="R1119" s="27" t="n">
        <f aca="false">IF(Q1119="Shoring",D1119,0)</f>
        <v>0</v>
      </c>
      <c r="S1119" s="27" t="n">
        <f aca="false">MAX(0,GWL-L1119)</f>
        <v>1.67934055812552</v>
      </c>
      <c r="T1119" s="27" t="n">
        <f aca="false">MAX(0,NG-MAX(L1119,GWL))</f>
        <v>0.8</v>
      </c>
      <c r="U1119" s="27" t="n">
        <f aca="false">E1119+2*WS</f>
        <v>3.59999111625103</v>
      </c>
      <c r="V1119" s="27" t="n">
        <f aca="false">IF(Q1119="Shoring",D1119*M1119*U1119,0)</f>
        <v>0</v>
      </c>
      <c r="W1119" s="27" t="n">
        <f aca="false">IF(Q1119="Open cut",D1119*(U1119*M1119+SLOPE_B*S1119^2+2*SLOPE_B*S1119*T1119+SLOPE_A*T1119^2),0)</f>
        <v>14.0781069734547</v>
      </c>
      <c r="X1119" s="27" t="n">
        <f aca="false">IF(M1119&gt;0,D1119*(E1119+2*SLABOVH)*SLAB,0)</f>
        <v>0.875674465720281</v>
      </c>
      <c r="Y1119" s="27" t="n">
        <f aca="false">IF(M1119&gt;0,D1119*PI()*E1119^2/4,0)</f>
        <v>1.35433418784379</v>
      </c>
      <c r="Z1119" s="27" t="n">
        <f aca="false">IF(H1119-E1119&gt;=GWL,99,E1119*(MAX(0,GWL-H1119)*(GAM_S-GAM_W)+MAX(0,NG-MAX(H1119,GWL))*GAM_D)/(GAM_W*PI()*E1119^2/4))</f>
        <v>0.276587189530348</v>
      </c>
      <c r="AA1119" s="27" t="n">
        <f aca="false">IF(I1119-E1119&gt;=GWL,99,E1119*(MAX(0,GWL-I1119)*(GAM_S-GAM_W)+MAX(0,NG-MAX(I1119,GWL))*GAM_D)/(GAM_W*PI()*E1119^2/4))</f>
        <v>0.83122334367944</v>
      </c>
      <c r="AB1119" s="27" t="n">
        <f aca="false">IF(H1119-E1119&gt;=GWL,99,E1119*(MAX(0,GWL-H1119)*(GAM_S-GAM_W)+MAX(0,FL-MAX(H1119,GWL))*GAM_D)/(GAM_W*PI()*E1119^2/4))</f>
        <v>2.75883402921301</v>
      </c>
      <c r="AC1119" s="27" t="n">
        <f aca="false">IF(I1119-E1119&gt;=GWL,99,E1119*(MAX(0,GWL-I1119)*(GAM_S-GAM_W)+MAX(0,FL-MAX(I1119,GWL))*GAM_D)/(GAM_W*PI()*E1119^2/4))</f>
        <v>3.3134701833621</v>
      </c>
    </row>
    <row r="1120" customFormat="false" ht="15" hidden="false" customHeight="false" outlineLevel="0" collapsed="false">
      <c r="A1120" s="25" t="s">
        <v>1731</v>
      </c>
      <c r="B1120" s="25" t="s">
        <v>1732</v>
      </c>
      <c r="C1120" s="25" t="s">
        <v>1741</v>
      </c>
      <c r="D1120" s="26" t="n">
        <v>0.243001460076989</v>
      </c>
      <c r="E1120" s="26" t="n">
        <v>1.59999903731745</v>
      </c>
      <c r="F1120" s="26" t="n">
        <v>-3.36926951865873</v>
      </c>
      <c r="G1120" s="26" t="n">
        <v>-3.50629951865873</v>
      </c>
      <c r="H1120" s="26" t="n">
        <v>-1.26927048134127</v>
      </c>
      <c r="I1120" s="26" t="n">
        <v>-1.40630048134127</v>
      </c>
      <c r="J1120" s="26" t="n">
        <v>23.64</v>
      </c>
      <c r="K1120" s="27" t="n">
        <f aca="false">MIN(F1120,G1120)</f>
        <v>-3.50629951865873</v>
      </c>
      <c r="L1120" s="27" t="n">
        <f aca="false">AVERAGE(F1120,G1120)</f>
        <v>-3.43778451865873</v>
      </c>
      <c r="M1120" s="27" t="n">
        <f aca="false">MAX(0,NG-L1120)</f>
        <v>2.73778451865873</v>
      </c>
      <c r="N1120" s="27" t="n">
        <f aca="false">MAX(0,GWL-K1120)</f>
        <v>2.00629951865873</v>
      </c>
      <c r="O1120" s="27" t="n">
        <f aca="false">MAX(0,NG-MAX(K1120,GWL))</f>
        <v>0.8</v>
      </c>
      <c r="P1120" s="27" t="n">
        <f aca="false">E1120/2+WS+SLOPE_A*O1120+SLOPE_B*N1120</f>
        <v>7.01259855597618</v>
      </c>
      <c r="Q1120" s="28" t="str">
        <f aca="false">IF(AND(P1120&lt;J1120,N1120&lt;=MAXOC),"Open cut","Shoring")</f>
        <v>Open cut</v>
      </c>
      <c r="R1120" s="27" t="n">
        <f aca="false">IF(Q1120="Shoring",D1120,0)</f>
        <v>0</v>
      </c>
      <c r="S1120" s="27" t="n">
        <f aca="false">MAX(0,GWL-L1120)</f>
        <v>1.93778451865873</v>
      </c>
      <c r="T1120" s="27" t="n">
        <f aca="false">MAX(0,NG-MAX(L1120,GWL))</f>
        <v>0.8</v>
      </c>
      <c r="U1120" s="27" t="n">
        <f aca="false">E1120+2*WS</f>
        <v>3.59999903731745</v>
      </c>
      <c r="V1120" s="27" t="n">
        <f aca="false">IF(Q1120="Shoring",D1120*M1120*U1120,0)</f>
        <v>0</v>
      </c>
      <c r="W1120" s="27" t="n">
        <f aca="false">IF(Q1120="Open cut",D1120*(U1120*M1120+SLOPE_B*S1120^2+2*SLOPE_B*S1120*T1120+SLOPE_A*T1120^2),0)</f>
        <v>5.96008460601779</v>
      </c>
      <c r="X1120" s="27" t="n">
        <f aca="false">IF(M1120&gt;0,D1120*(E1120+2*SLABOVH)*SLAB,0)</f>
        <v>0.315901781133453</v>
      </c>
      <c r="Y1120" s="27" t="n">
        <f aca="false">IF(M1120&gt;0,D1120*PI()*E1120^2/4,0)</f>
        <v>0.488582837207012</v>
      </c>
      <c r="Z1120" s="27" t="n">
        <f aca="false">IF(H1120-E1120&gt;=GWL,99,E1120*(MAX(0,GWL-H1120)*(GAM_S-GAM_W)+MAX(0,NG-MAX(H1120,GWL))*GAM_D)/(GAM_W*PI()*E1120^2/4))</f>
        <v>0.831213445642463</v>
      </c>
      <c r="AA1120" s="27" t="n">
        <f aca="false">IF(I1120-E1120&gt;=GWL,99,E1120*(MAX(0,GWL-I1120)*(GAM_S-GAM_W)+MAX(0,NG-MAX(I1120,GWL))*GAM_D)/(GAM_W*PI()*E1120^2/4))</f>
        <v>1.03129615182463</v>
      </c>
      <c r="AB1120" s="27" t="n">
        <f aca="false">IF(H1120-E1120&gt;=GWL,99,E1120*(MAX(0,GWL-H1120)*(GAM_S-GAM_W)+MAX(0,FL-MAX(H1120,GWL))*GAM_D)/(GAM_W*PI()*E1120^2/4))</f>
        <v>3.31344799654142</v>
      </c>
      <c r="AC1120" s="27" t="n">
        <f aca="false">IF(I1120-E1120&gt;=GWL,99,E1120*(MAX(0,GWL-I1120)*(GAM_S-GAM_W)+MAX(0,FL-MAX(I1120,GWL))*GAM_D)/(GAM_W*PI()*E1120^2/4))</f>
        <v>3.51353070272359</v>
      </c>
    </row>
    <row r="1121" customFormat="false" ht="15" hidden="false" customHeight="false" outlineLevel="0" collapsed="false">
      <c r="A1121" s="25" t="s">
        <v>1731</v>
      </c>
      <c r="B1121" s="25" t="s">
        <v>1732</v>
      </c>
      <c r="C1121" s="25" t="s">
        <v>1742</v>
      </c>
      <c r="D1121" s="26" t="n">
        <v>0.589877125417731</v>
      </c>
      <c r="E1121" s="26" t="n">
        <v>1.5999979295841</v>
      </c>
      <c r="F1121" s="26" t="n">
        <v>-3.50629896479205</v>
      </c>
      <c r="G1121" s="26" t="n">
        <v>-3.83893404025467</v>
      </c>
      <c r="H1121" s="26" t="n">
        <v>-1.40630103520795</v>
      </c>
      <c r="I1121" s="26" t="n">
        <v>-1.73893611067057</v>
      </c>
      <c r="J1121" s="26" t="n">
        <v>23.73</v>
      </c>
      <c r="K1121" s="27" t="n">
        <f aca="false">MIN(F1121,G1121)</f>
        <v>-3.83893404025467</v>
      </c>
      <c r="L1121" s="27" t="n">
        <f aca="false">AVERAGE(F1121,G1121)</f>
        <v>-3.67261650252336</v>
      </c>
      <c r="M1121" s="27" t="n">
        <f aca="false">MAX(0,NG-L1121)</f>
        <v>2.97261650252336</v>
      </c>
      <c r="N1121" s="27" t="n">
        <f aca="false">MAX(0,GWL-K1121)</f>
        <v>2.33893404025467</v>
      </c>
      <c r="O1121" s="27" t="n">
        <f aca="false">MAX(0,NG-MAX(K1121,GWL))</f>
        <v>0.8</v>
      </c>
      <c r="P1121" s="27" t="n">
        <f aca="false">E1121/2+WS+SLOPE_A*O1121+SLOPE_B*N1121</f>
        <v>7.67786704530139</v>
      </c>
      <c r="Q1121" s="28" t="str">
        <f aca="false">IF(AND(P1121&lt;J1121,N1121&lt;=MAXOC),"Open cut","Shoring")</f>
        <v>Open cut</v>
      </c>
      <c r="R1121" s="27" t="n">
        <f aca="false">IF(Q1121="Shoring",D1121,0)</f>
        <v>0</v>
      </c>
      <c r="S1121" s="27" t="n">
        <f aca="false">MAX(0,GWL-L1121)</f>
        <v>2.17261650252336</v>
      </c>
      <c r="T1121" s="27" t="n">
        <f aca="false">MAX(0,NG-MAX(L1121,GWL))</f>
        <v>0.8</v>
      </c>
      <c r="U1121" s="27" t="n">
        <f aca="false">E1121+2*WS</f>
        <v>3.5999979295841</v>
      </c>
      <c r="V1121" s="27" t="n">
        <f aca="false">IF(Q1121="Shoring",D1121*M1121*U1121,0)</f>
        <v>0</v>
      </c>
      <c r="W1121" s="27" t="n">
        <f aca="false">IF(Q1121="Open cut",D1121*(U1121*M1121+SLOPE_B*S1121^2+2*SLOPE_B*S1121*T1121+SLOPE_A*T1121^2),0)</f>
        <v>16.5485963262967</v>
      </c>
      <c r="X1121" s="27" t="n">
        <f aca="false">IF(M1121&gt;0,D1121*(E1121+2*SLABOVH)*SLAB,0)</f>
        <v>0.766839652397561</v>
      </c>
      <c r="Y1121" s="27" t="n">
        <f aca="false">IF(M1121&gt;0,D1121*PI()*E1121^2/4,0)</f>
        <v>1.1860152625521</v>
      </c>
      <c r="Z1121" s="27" t="n">
        <f aca="false">IF(H1121-E1121&gt;=GWL,99,E1121*(MAX(0,GWL-H1121)*(GAM_S-GAM_W)+MAX(0,NG-MAX(H1121,GWL))*GAM_D)/(GAM_W*PI()*E1121^2/4))</f>
        <v>1.0312976745486</v>
      </c>
      <c r="AA1121" s="27" t="n">
        <f aca="false">IF(I1121-E1121&gt;=GWL,99,E1121*(MAX(0,GWL-I1121)*(GAM_S-GAM_W)+MAX(0,NG-MAX(I1121,GWL))*GAM_D)/(GAM_W*PI()*E1121^2/4))</f>
        <v>1.32685155349456</v>
      </c>
      <c r="AB1121" s="27" t="n">
        <f aca="false">IF(H1121-E1121&gt;=GWL,99,E1121*(MAX(0,GWL-H1121)*(GAM_S-GAM_W)+MAX(0,FL-MAX(H1121,GWL))*GAM_D)/(GAM_W*PI()*E1121^2/4))</f>
        <v>3.51353394398353</v>
      </c>
      <c r="AC1121" s="27" t="n">
        <f aca="false">IF(I1121-E1121&gt;=GWL,99,E1121*(MAX(0,GWL-I1121)*(GAM_S-GAM_W)+MAX(0,FL-MAX(I1121,GWL))*GAM_D)/(GAM_W*PI()*E1121^2/4))</f>
        <v>3.8090878229295</v>
      </c>
    </row>
    <row r="1122" customFormat="false" ht="15" hidden="false" customHeight="false" outlineLevel="0" collapsed="false">
      <c r="A1122" s="25" t="s">
        <v>1731</v>
      </c>
      <c r="B1122" s="25" t="s">
        <v>1732</v>
      </c>
      <c r="C1122" s="25" t="s">
        <v>1743</v>
      </c>
      <c r="D1122" s="26" t="n">
        <v>0.250156938644649</v>
      </c>
      <c r="E1122" s="26" t="n">
        <v>1.5999979295841</v>
      </c>
      <c r="F1122" s="26" t="n">
        <v>-3.83893404025467</v>
      </c>
      <c r="G1122" s="26" t="n">
        <v>-3.97999896479205</v>
      </c>
      <c r="H1122" s="26" t="n">
        <v>-1.73893611067057</v>
      </c>
      <c r="I1122" s="26" t="n">
        <v>-1.88000103520795</v>
      </c>
      <c r="J1122" s="26" t="n">
        <v>23.94</v>
      </c>
      <c r="K1122" s="27" t="n">
        <f aca="false">MIN(F1122,G1122)</f>
        <v>-3.97999896479205</v>
      </c>
      <c r="L1122" s="27" t="n">
        <f aca="false">AVERAGE(F1122,G1122)</f>
        <v>-3.90946650252336</v>
      </c>
      <c r="M1122" s="27" t="n">
        <f aca="false">MAX(0,NG-L1122)</f>
        <v>3.20946650252336</v>
      </c>
      <c r="N1122" s="27" t="n">
        <f aca="false">MAX(0,GWL-K1122)</f>
        <v>2.47999896479205</v>
      </c>
      <c r="O1122" s="27" t="n">
        <f aca="false">MAX(0,NG-MAX(K1122,GWL))</f>
        <v>0.8</v>
      </c>
      <c r="P1122" s="27" t="n">
        <f aca="false">E1122/2+WS+SLOPE_A*O1122+SLOPE_B*N1122</f>
        <v>7.95999689437615</v>
      </c>
      <c r="Q1122" s="28" t="str">
        <f aca="false">IF(AND(P1122&lt;J1122,N1122&lt;=MAXOC),"Open cut","Shoring")</f>
        <v>Open cut</v>
      </c>
      <c r="R1122" s="27" t="n">
        <f aca="false">IF(Q1122="Shoring",D1122,0)</f>
        <v>0</v>
      </c>
      <c r="S1122" s="27" t="n">
        <f aca="false">MAX(0,GWL-L1122)</f>
        <v>2.40946650252336</v>
      </c>
      <c r="T1122" s="27" t="n">
        <f aca="false">MAX(0,NG-MAX(L1122,GWL))</f>
        <v>0.8</v>
      </c>
      <c r="U1122" s="27" t="n">
        <f aca="false">E1122+2*WS</f>
        <v>3.5999979295841</v>
      </c>
      <c r="V1122" s="27" t="n">
        <f aca="false">IF(Q1122="Shoring",D1122*M1122*U1122,0)</f>
        <v>0</v>
      </c>
      <c r="W1122" s="27" t="n">
        <f aca="false">IF(Q1122="Open cut",D1122*(U1122*M1122+SLOPE_B*S1122^2+2*SLOPE_B*S1122*T1122+SLOPE_A*T1122^2),0)</f>
        <v>7.96385201462105</v>
      </c>
      <c r="X1122" s="27" t="n">
        <f aca="false">IF(M1122&gt;0,D1122*(E1122+2*SLABOVH)*SLAB,0)</f>
        <v>0.325203761273592</v>
      </c>
      <c r="Y1122" s="27" t="n">
        <f aca="false">IF(M1122&gt;0,D1122*PI()*E1122^2/4,0)</f>
        <v>0.502969066745479</v>
      </c>
      <c r="Z1122" s="27" t="n">
        <f aca="false">IF(H1122-E1122&gt;=GWL,99,E1122*(MAX(0,GWL-H1122)*(GAM_S-GAM_W)+MAX(0,NG-MAX(H1122,GWL))*GAM_D)/(GAM_W*PI()*E1122^2/4))</f>
        <v>1.32685155349456</v>
      </c>
      <c r="AA1122" s="27" t="n">
        <f aca="false">IF(I1122-E1122&gt;=GWL,99,E1122*(MAX(0,GWL-I1122)*(GAM_S-GAM_W)+MAX(0,NG-MAX(I1122,GWL))*GAM_D)/(GAM_W*PI()*E1122^2/4))</f>
        <v>1.4205699033619</v>
      </c>
      <c r="AB1122" s="27" t="n">
        <f aca="false">IF(H1122-E1122&gt;=GWL,99,E1122*(MAX(0,GWL-H1122)*(GAM_S-GAM_W)+MAX(0,FL-MAX(H1122,GWL))*GAM_D)/(GAM_W*PI()*E1122^2/4))</f>
        <v>3.8090878229295</v>
      </c>
      <c r="AC1122" s="27" t="n">
        <f aca="false">IF(I1122-E1122&gt;=GWL,99,E1122*(MAX(0,GWL-I1122)*(GAM_S-GAM_W)+MAX(0,FL-MAX(I1122,GWL))*GAM_D)/(GAM_W*PI()*E1122^2/4))</f>
        <v>3.90280617279683</v>
      </c>
    </row>
    <row r="1123" customFormat="false" ht="15" hidden="false" customHeight="false" outlineLevel="0" collapsed="false">
      <c r="A1123" s="25" t="s">
        <v>1731</v>
      </c>
      <c r="B1123" s="25" t="s">
        <v>1732</v>
      </c>
      <c r="C1123" s="25" t="s">
        <v>1744</v>
      </c>
      <c r="D1123" s="26" t="n">
        <v>9.74984306136088</v>
      </c>
      <c r="E1123" s="26" t="n">
        <v>1.59999792914795</v>
      </c>
      <c r="F1123" s="26" t="n">
        <v>-3.97999896457397</v>
      </c>
      <c r="G1123" s="26" t="n">
        <v>-3.97999896457397</v>
      </c>
      <c r="H1123" s="26" t="n">
        <v>-1.88000103542603</v>
      </c>
      <c r="I1123" s="26" t="n">
        <v>-1.88000103542603</v>
      </c>
      <c r="J1123" s="26" t="n">
        <v>24.04</v>
      </c>
      <c r="K1123" s="27" t="n">
        <f aca="false">MIN(F1123,G1123)</f>
        <v>-3.97999896457397</v>
      </c>
      <c r="L1123" s="27" t="n">
        <f aca="false">AVERAGE(F1123,G1123)</f>
        <v>-3.97999896457397</v>
      </c>
      <c r="M1123" s="27" t="n">
        <f aca="false">MAX(0,NG-L1123)</f>
        <v>3.27999896457397</v>
      </c>
      <c r="N1123" s="27" t="n">
        <f aca="false">MAX(0,GWL-K1123)</f>
        <v>2.47999896457397</v>
      </c>
      <c r="O1123" s="27" t="n">
        <f aca="false">MAX(0,NG-MAX(K1123,GWL))</f>
        <v>0.8</v>
      </c>
      <c r="P1123" s="27" t="n">
        <f aca="false">E1123/2+WS+SLOPE_A*O1123+SLOPE_B*N1123</f>
        <v>7.95999689372192</v>
      </c>
      <c r="Q1123" s="28" t="str">
        <f aca="false">IF(AND(P1123&lt;J1123,N1123&lt;=MAXOC),"Open cut","Shoring")</f>
        <v>Open cut</v>
      </c>
      <c r="R1123" s="27" t="n">
        <f aca="false">IF(Q1123="Shoring",D1123,0)</f>
        <v>0</v>
      </c>
      <c r="S1123" s="27" t="n">
        <f aca="false">MAX(0,GWL-L1123)</f>
        <v>2.47999896457397</v>
      </c>
      <c r="T1123" s="27" t="n">
        <f aca="false">MAX(0,NG-MAX(L1123,GWL))</f>
        <v>0.8</v>
      </c>
      <c r="U1123" s="27" t="n">
        <f aca="false">E1123+2*WS</f>
        <v>3.59999792914795</v>
      </c>
      <c r="V1123" s="27" t="n">
        <f aca="false">IF(Q1123="Shoring",D1123*M1123*U1123,0)</f>
        <v>0</v>
      </c>
      <c r="W1123" s="27" t="n">
        <f aca="false">IF(Q1123="Open cut",D1123*(U1123*M1123+SLOPE_B*S1123^2+2*SLOPE_B*S1123*T1123+SLOPE_A*T1123^2),0)</f>
        <v>321.791385254429</v>
      </c>
      <c r="X1123" s="27" t="n">
        <f aca="false">IF(M1123&gt;0,D1123*(E1123+2*SLABOVH)*SLAB,0)</f>
        <v>12.6747858845279</v>
      </c>
      <c r="Y1123" s="27" t="n">
        <f aca="false">IF(M1123&gt;0,D1123*PI()*E1123^2/4,0)</f>
        <v>19.6031718703595</v>
      </c>
      <c r="Z1123" s="27" t="n">
        <f aca="false">IF(H1123-E1123&gt;=GWL,99,E1123*(MAX(0,GWL-H1123)*(GAM_S-GAM_W)+MAX(0,NG-MAX(H1123,GWL))*GAM_D)/(GAM_W*PI()*E1123^2/4))</f>
        <v>1.42056990389402</v>
      </c>
      <c r="AA1123" s="27" t="n">
        <f aca="false">IF(I1123-E1123&gt;=GWL,99,E1123*(MAX(0,GWL-I1123)*(GAM_S-GAM_W)+MAX(0,NG-MAX(I1123,GWL))*GAM_D)/(GAM_W*PI()*E1123^2/4))</f>
        <v>1.42056990389402</v>
      </c>
      <c r="AB1123" s="27" t="n">
        <f aca="false">IF(H1123-E1123&gt;=GWL,99,E1123*(MAX(0,GWL-H1123)*(GAM_S-GAM_W)+MAX(0,FL-MAX(H1123,GWL))*GAM_D)/(GAM_W*PI()*E1123^2/4))</f>
        <v>3.9028061740056</v>
      </c>
      <c r="AC1123" s="27" t="n">
        <f aca="false">IF(I1123-E1123&gt;=GWL,99,E1123*(MAX(0,GWL-I1123)*(GAM_S-GAM_W)+MAX(0,FL-MAX(I1123,GWL))*GAM_D)/(GAM_W*PI()*E1123^2/4))</f>
        <v>3.9028061740056</v>
      </c>
    </row>
    <row r="1124" customFormat="false" ht="15" hidden="false" customHeight="false" outlineLevel="0" collapsed="false">
      <c r="A1124" s="25" t="s">
        <v>1731</v>
      </c>
      <c r="B1124" s="25" t="s">
        <v>1732</v>
      </c>
      <c r="C1124" s="25" t="s">
        <v>1745</v>
      </c>
      <c r="D1124" s="26" t="n">
        <v>9.99999999994508</v>
      </c>
      <c r="E1124" s="26" t="n">
        <v>1.59999792914795</v>
      </c>
      <c r="F1124" s="26" t="n">
        <v>-3.97999896457397</v>
      </c>
      <c r="G1124" s="26" t="n">
        <v>-3.97999896457397</v>
      </c>
      <c r="H1124" s="26" t="n">
        <v>-1.88000103542603</v>
      </c>
      <c r="I1124" s="26" t="n">
        <v>-1.88000103542603</v>
      </c>
      <c r="J1124" s="26" t="n">
        <v>28.78</v>
      </c>
      <c r="K1124" s="27" t="n">
        <f aca="false">MIN(F1124,G1124)</f>
        <v>-3.97999896457397</v>
      </c>
      <c r="L1124" s="27" t="n">
        <f aca="false">AVERAGE(F1124,G1124)</f>
        <v>-3.97999896457397</v>
      </c>
      <c r="M1124" s="27" t="n">
        <f aca="false">MAX(0,NG-L1124)</f>
        <v>3.27999896457397</v>
      </c>
      <c r="N1124" s="27" t="n">
        <f aca="false">MAX(0,GWL-K1124)</f>
        <v>2.47999896457397</v>
      </c>
      <c r="O1124" s="27" t="n">
        <f aca="false">MAX(0,NG-MAX(K1124,GWL))</f>
        <v>0.8</v>
      </c>
      <c r="P1124" s="27" t="n">
        <f aca="false">E1124/2+WS+SLOPE_A*O1124+SLOPE_B*N1124</f>
        <v>7.95999689372192</v>
      </c>
      <c r="Q1124" s="28" t="str">
        <f aca="false">IF(AND(P1124&lt;J1124,N1124&lt;=MAXOC),"Open cut","Shoring")</f>
        <v>Open cut</v>
      </c>
      <c r="R1124" s="27" t="n">
        <f aca="false">IF(Q1124="Shoring",D1124,0)</f>
        <v>0</v>
      </c>
      <c r="S1124" s="27" t="n">
        <f aca="false">MAX(0,GWL-L1124)</f>
        <v>2.47999896457397</v>
      </c>
      <c r="T1124" s="27" t="n">
        <f aca="false">MAX(0,NG-MAX(L1124,GWL))</f>
        <v>0.8</v>
      </c>
      <c r="U1124" s="27" t="n">
        <f aca="false">E1124+2*WS</f>
        <v>3.59999792914795</v>
      </c>
      <c r="V1124" s="27" t="n">
        <f aca="false">IF(Q1124="Shoring",D1124*M1124*U1124,0)</f>
        <v>0</v>
      </c>
      <c r="W1124" s="27" t="n">
        <f aca="false">IF(Q1124="Open cut",D1124*(U1124*M1124+SLOPE_B*S1124^2+2*SLOPE_B*S1124*T1124+SLOPE_A*T1124^2),0)</f>
        <v>330.047758951051</v>
      </c>
      <c r="X1124" s="27" t="n">
        <f aca="false">IF(M1124&gt;0,D1124*(E1124+2*SLABOVH)*SLAB,0)</f>
        <v>12.9999896456683</v>
      </c>
      <c r="Y1124" s="27" t="n">
        <f aca="false">IF(M1124&gt;0,D1124*PI()*E1124^2/4,0)</f>
        <v>20.1061409367092</v>
      </c>
      <c r="Z1124" s="27" t="n">
        <f aca="false">IF(H1124-E1124&gt;=GWL,99,E1124*(MAX(0,GWL-H1124)*(GAM_S-GAM_W)+MAX(0,NG-MAX(H1124,GWL))*GAM_D)/(GAM_W*PI()*E1124^2/4))</f>
        <v>1.42056990389402</v>
      </c>
      <c r="AA1124" s="27" t="n">
        <f aca="false">IF(I1124-E1124&gt;=GWL,99,E1124*(MAX(0,GWL-I1124)*(GAM_S-GAM_W)+MAX(0,NG-MAX(I1124,GWL))*GAM_D)/(GAM_W*PI()*E1124^2/4))</f>
        <v>1.42056990389402</v>
      </c>
      <c r="AB1124" s="27" t="n">
        <f aca="false">IF(H1124-E1124&gt;=GWL,99,E1124*(MAX(0,GWL-H1124)*(GAM_S-GAM_W)+MAX(0,FL-MAX(H1124,GWL))*GAM_D)/(GAM_W*PI()*E1124^2/4))</f>
        <v>3.9028061740056</v>
      </c>
      <c r="AC1124" s="27" t="n">
        <f aca="false">IF(I1124-E1124&gt;=GWL,99,E1124*(MAX(0,GWL-I1124)*(GAM_S-GAM_W)+MAX(0,FL-MAX(I1124,GWL))*GAM_D)/(GAM_W*PI()*E1124^2/4))</f>
        <v>3.9028061740056</v>
      </c>
    </row>
    <row r="1125" customFormat="false" ht="15" hidden="false" customHeight="false" outlineLevel="0" collapsed="false">
      <c r="A1125" s="25" t="s">
        <v>1731</v>
      </c>
      <c r="B1125" s="25" t="s">
        <v>1732</v>
      </c>
      <c r="C1125" s="25" t="s">
        <v>1746</v>
      </c>
      <c r="D1125" s="26" t="n">
        <v>8.17659693879078</v>
      </c>
      <c r="E1125" s="26" t="n">
        <v>1.59999792914795</v>
      </c>
      <c r="F1125" s="26" t="n">
        <v>-3.97999896457397</v>
      </c>
      <c r="G1125" s="26" t="n">
        <v>-3.97999896457397</v>
      </c>
      <c r="H1125" s="26" t="n">
        <v>-1.88000103542603</v>
      </c>
      <c r="I1125" s="26" t="n">
        <v>-1.88000103542603</v>
      </c>
      <c r="J1125" s="26" t="n">
        <v>34.46</v>
      </c>
      <c r="K1125" s="27" t="n">
        <f aca="false">MIN(F1125,G1125)</f>
        <v>-3.97999896457397</v>
      </c>
      <c r="L1125" s="27" t="n">
        <f aca="false">AVERAGE(F1125,G1125)</f>
        <v>-3.97999896457397</v>
      </c>
      <c r="M1125" s="27" t="n">
        <f aca="false">MAX(0,NG-L1125)</f>
        <v>3.27999896457397</v>
      </c>
      <c r="N1125" s="27" t="n">
        <f aca="false">MAX(0,GWL-K1125)</f>
        <v>2.47999896457397</v>
      </c>
      <c r="O1125" s="27" t="n">
        <f aca="false">MAX(0,NG-MAX(K1125,GWL))</f>
        <v>0.8</v>
      </c>
      <c r="P1125" s="27" t="n">
        <f aca="false">E1125/2+WS+SLOPE_A*O1125+SLOPE_B*N1125</f>
        <v>7.95999689372192</v>
      </c>
      <c r="Q1125" s="28" t="str">
        <f aca="false">IF(AND(P1125&lt;J1125,N1125&lt;=MAXOC),"Open cut","Shoring")</f>
        <v>Open cut</v>
      </c>
      <c r="R1125" s="27" t="n">
        <f aca="false">IF(Q1125="Shoring",D1125,0)</f>
        <v>0</v>
      </c>
      <c r="S1125" s="27" t="n">
        <f aca="false">MAX(0,GWL-L1125)</f>
        <v>2.47999896457397</v>
      </c>
      <c r="T1125" s="27" t="n">
        <f aca="false">MAX(0,NG-MAX(L1125,GWL))</f>
        <v>0.8</v>
      </c>
      <c r="U1125" s="27" t="n">
        <f aca="false">E1125+2*WS</f>
        <v>3.59999792914795</v>
      </c>
      <c r="V1125" s="27" t="n">
        <f aca="false">IF(Q1125="Shoring",D1125*M1125*U1125,0)</f>
        <v>0</v>
      </c>
      <c r="W1125" s="27" t="n">
        <f aca="false">IF(Q1125="Open cut",D1125*(U1125*M1125+SLOPE_B*S1125^2+2*SLOPE_B*S1125*T1125+SLOPE_A*T1125^2),0)</f>
        <v>269.866749550875</v>
      </c>
      <c r="X1125" s="27" t="n">
        <f aca="false">IF(M1125&gt;0,D1125*(E1125+2*SLABOVH)*SLAB,0)</f>
        <v>10.6295675541667</v>
      </c>
      <c r="Y1125" s="27" t="n">
        <f aca="false">IF(M1125&gt;0,D1125*PI()*E1125^2/4,0)</f>
        <v>16.4399810434895</v>
      </c>
      <c r="Z1125" s="27" t="n">
        <f aca="false">IF(H1125-E1125&gt;=GWL,99,E1125*(MAX(0,GWL-H1125)*(GAM_S-GAM_W)+MAX(0,NG-MAX(H1125,GWL))*GAM_D)/(GAM_W*PI()*E1125^2/4))</f>
        <v>1.42056990389402</v>
      </c>
      <c r="AA1125" s="27" t="n">
        <f aca="false">IF(I1125-E1125&gt;=GWL,99,E1125*(MAX(0,GWL-I1125)*(GAM_S-GAM_W)+MAX(0,NG-MAX(I1125,GWL))*GAM_D)/(GAM_W*PI()*E1125^2/4))</f>
        <v>1.42056990389402</v>
      </c>
      <c r="AB1125" s="27" t="n">
        <f aca="false">IF(H1125-E1125&gt;=GWL,99,E1125*(MAX(0,GWL-H1125)*(GAM_S-GAM_W)+MAX(0,FL-MAX(H1125,GWL))*GAM_D)/(GAM_W*PI()*E1125^2/4))</f>
        <v>3.9028061740056</v>
      </c>
      <c r="AC1125" s="27" t="n">
        <f aca="false">IF(I1125-E1125&gt;=GWL,99,E1125*(MAX(0,GWL-I1125)*(GAM_S-GAM_W)+MAX(0,FL-MAX(I1125,GWL))*GAM_D)/(GAM_W*PI()*E1125^2/4))</f>
        <v>3.9028061740056</v>
      </c>
    </row>
    <row r="1126" customFormat="false" ht="15" hidden="false" customHeight="false" outlineLevel="0" collapsed="false">
      <c r="A1126" s="25" t="s">
        <v>1747</v>
      </c>
      <c r="B1126" s="25" t="s">
        <v>1748</v>
      </c>
      <c r="C1126" s="25" t="s">
        <v>1749</v>
      </c>
      <c r="D1126" s="26" t="n">
        <v>0.0500099999326818</v>
      </c>
      <c r="E1126" s="26" t="n">
        <v>1.60000165127196</v>
      </c>
      <c r="F1126" s="26" t="n">
        <v>0.789999174364019</v>
      </c>
      <c r="G1126" s="26" t="n">
        <v>0.789999174364019</v>
      </c>
      <c r="H1126" s="26" t="n">
        <v>2.89000082563598</v>
      </c>
      <c r="I1126" s="26" t="n">
        <v>2.89000082563598</v>
      </c>
      <c r="J1126" s="26" t="n">
        <v>21.61</v>
      </c>
      <c r="K1126" s="27" t="n">
        <f aca="false">MIN(F1126,G1126)</f>
        <v>0.789999174364019</v>
      </c>
      <c r="L1126" s="27" t="n">
        <f aca="false">AVERAGE(F1126,G1126)</f>
        <v>0.789999174364019</v>
      </c>
      <c r="M1126" s="27" t="n">
        <f aca="false">MAX(0,NG-L1126)</f>
        <v>0</v>
      </c>
      <c r="N1126" s="27" t="n">
        <f aca="false">MAX(0,GWL-K1126)</f>
        <v>0</v>
      </c>
      <c r="O1126" s="27" t="n">
        <f aca="false">MAX(0,NG-MAX(K1126,GWL))</f>
        <v>0</v>
      </c>
      <c r="P1126" s="27" t="n">
        <f aca="false">E1126/2+WS+SLOPE_A*O1126+SLOPE_B*N1126</f>
        <v>1.80000082563598</v>
      </c>
      <c r="Q1126" s="28" t="str">
        <f aca="false">IF(AND(P1126&lt;J1126,N1126&lt;=MAXOC),"Open cut","Shoring")</f>
        <v>Open cut</v>
      </c>
      <c r="R1126" s="27" t="n">
        <f aca="false">IF(Q1126="Shoring",D1126,0)</f>
        <v>0</v>
      </c>
      <c r="S1126" s="27" t="n">
        <f aca="false">MAX(0,GWL-L1126)</f>
        <v>0</v>
      </c>
      <c r="T1126" s="27" t="n">
        <f aca="false">MAX(0,NG-MAX(L1126,GWL))</f>
        <v>0</v>
      </c>
      <c r="U1126" s="27" t="n">
        <f aca="false">E1126+2*WS</f>
        <v>3.60000165127196</v>
      </c>
      <c r="V1126" s="27" t="n">
        <f aca="false">IF(Q1126="Shoring",D1126*M1126*U1126,0)</f>
        <v>0</v>
      </c>
      <c r="W1126" s="27" t="n">
        <f aca="false">IF(Q1126="Open cut",D1126*(U1126*M1126+SLOPE_B*S1126^2+2*SLOPE_B*S1126*T1126+SLOPE_A*T1126^2),0)</f>
        <v>0</v>
      </c>
      <c r="X1126" s="27" t="n">
        <f aca="false">IF(M1126&gt;0,D1126*(E1126+2*SLABOVH)*SLAB,0)</f>
        <v>0</v>
      </c>
      <c r="Y1126" s="27" t="n">
        <f aca="false">IF(M1126&gt;0,D1126*PI()*E1126^2/4,0)</f>
        <v>0</v>
      </c>
      <c r="Z1126" s="27" t="n">
        <f aca="false">IF(H1126-E1126&gt;=GWL,99,E1126*(MAX(0,GWL-H1126)*(GAM_S-GAM_W)+MAX(0,NG-MAX(H1126,GWL))*GAM_D)/(GAM_W*PI()*E1126^2/4))</f>
        <v>99</v>
      </c>
      <c r="AA1126" s="27" t="n">
        <f aca="false">IF(I1126-E1126&gt;=GWL,99,E1126*(MAX(0,GWL-I1126)*(GAM_S-GAM_W)+MAX(0,NG-MAX(I1126,GWL))*GAM_D)/(GAM_W*PI()*E1126^2/4))</f>
        <v>99</v>
      </c>
      <c r="AB1126" s="27" t="n">
        <f aca="false">IF(H1126-E1126&gt;=GWL,99,E1126*(MAX(0,GWL-H1126)*(GAM_S-GAM_W)+MAX(0,FL-MAX(H1126,GWL))*GAM_D)/(GAM_W*PI()*E1126^2/4))</f>
        <v>99</v>
      </c>
      <c r="AC1126" s="27" t="n">
        <f aca="false">IF(I1126-E1126&gt;=GWL,99,E1126*(MAX(0,GWL-I1126)*(GAM_S-GAM_W)+MAX(0,FL-MAX(I1126,GWL))*GAM_D)/(GAM_W*PI()*E1126^2/4))</f>
        <v>99</v>
      </c>
    </row>
    <row r="1127" customFormat="false" ht="15" hidden="false" customHeight="false" outlineLevel="0" collapsed="false">
      <c r="A1127" s="25" t="s">
        <v>1747</v>
      </c>
      <c r="B1127" s="25" t="s">
        <v>1748</v>
      </c>
      <c r="C1127" s="25" t="s">
        <v>1750</v>
      </c>
      <c r="D1127" s="26" t="n">
        <v>0.203995979263021</v>
      </c>
      <c r="E1127" s="26" t="n">
        <v>1.60000165127196</v>
      </c>
      <c r="F1127" s="26" t="n">
        <v>0.789999174364019</v>
      </c>
      <c r="G1127" s="26" t="n">
        <v>0.789999174364019</v>
      </c>
      <c r="H1127" s="26" t="n">
        <v>2.89000082563598</v>
      </c>
      <c r="I1127" s="26" t="n">
        <v>2.89000082563598</v>
      </c>
      <c r="J1127" s="26" t="n">
        <v>21.62</v>
      </c>
      <c r="K1127" s="27" t="n">
        <f aca="false">MIN(F1127,G1127)</f>
        <v>0.789999174364019</v>
      </c>
      <c r="L1127" s="27" t="n">
        <f aca="false">AVERAGE(F1127,G1127)</f>
        <v>0.789999174364019</v>
      </c>
      <c r="M1127" s="27" t="n">
        <f aca="false">MAX(0,NG-L1127)</f>
        <v>0</v>
      </c>
      <c r="N1127" s="27" t="n">
        <f aca="false">MAX(0,GWL-K1127)</f>
        <v>0</v>
      </c>
      <c r="O1127" s="27" t="n">
        <f aca="false">MAX(0,NG-MAX(K1127,GWL))</f>
        <v>0</v>
      </c>
      <c r="P1127" s="27" t="n">
        <f aca="false">E1127/2+WS+SLOPE_A*O1127+SLOPE_B*N1127</f>
        <v>1.80000082563598</v>
      </c>
      <c r="Q1127" s="28" t="str">
        <f aca="false">IF(AND(P1127&lt;J1127,N1127&lt;=MAXOC),"Open cut","Shoring")</f>
        <v>Open cut</v>
      </c>
      <c r="R1127" s="27" t="n">
        <f aca="false">IF(Q1127="Shoring",D1127,0)</f>
        <v>0</v>
      </c>
      <c r="S1127" s="27" t="n">
        <f aca="false">MAX(0,GWL-L1127)</f>
        <v>0</v>
      </c>
      <c r="T1127" s="27" t="n">
        <f aca="false">MAX(0,NG-MAX(L1127,GWL))</f>
        <v>0</v>
      </c>
      <c r="U1127" s="27" t="n">
        <f aca="false">E1127+2*WS</f>
        <v>3.60000165127196</v>
      </c>
      <c r="V1127" s="27" t="n">
        <f aca="false">IF(Q1127="Shoring",D1127*M1127*U1127,0)</f>
        <v>0</v>
      </c>
      <c r="W1127" s="27" t="n">
        <f aca="false">IF(Q1127="Open cut",D1127*(U1127*M1127+SLOPE_B*S1127^2+2*SLOPE_B*S1127*T1127+SLOPE_A*T1127^2),0)</f>
        <v>0</v>
      </c>
      <c r="X1127" s="27" t="n">
        <f aca="false">IF(M1127&gt;0,D1127*(E1127+2*SLABOVH)*SLAB,0)</f>
        <v>0</v>
      </c>
      <c r="Y1127" s="27" t="n">
        <f aca="false">IF(M1127&gt;0,D1127*PI()*E1127^2/4,0)</f>
        <v>0</v>
      </c>
      <c r="Z1127" s="27" t="n">
        <f aca="false">IF(H1127-E1127&gt;=GWL,99,E1127*(MAX(0,GWL-H1127)*(GAM_S-GAM_W)+MAX(0,NG-MAX(H1127,GWL))*GAM_D)/(GAM_W*PI()*E1127^2/4))</f>
        <v>99</v>
      </c>
      <c r="AA1127" s="27" t="n">
        <f aca="false">IF(I1127-E1127&gt;=GWL,99,E1127*(MAX(0,GWL-I1127)*(GAM_S-GAM_W)+MAX(0,NG-MAX(I1127,GWL))*GAM_D)/(GAM_W*PI()*E1127^2/4))</f>
        <v>99</v>
      </c>
      <c r="AB1127" s="27" t="n">
        <f aca="false">IF(H1127-E1127&gt;=GWL,99,E1127*(MAX(0,GWL-H1127)*(GAM_S-GAM_W)+MAX(0,FL-MAX(H1127,GWL))*GAM_D)/(GAM_W*PI()*E1127^2/4))</f>
        <v>99</v>
      </c>
      <c r="AC1127" s="27" t="n">
        <f aca="false">IF(I1127-E1127&gt;=GWL,99,E1127*(MAX(0,GWL-I1127)*(GAM_S-GAM_W)+MAX(0,FL-MAX(I1127,GWL))*GAM_D)/(GAM_W*PI()*E1127^2/4))</f>
        <v>99</v>
      </c>
    </row>
    <row r="1128" customFormat="false" ht="15" hidden="false" customHeight="false" outlineLevel="0" collapsed="false">
      <c r="A1128" s="25" t="s">
        <v>1747</v>
      </c>
      <c r="B1128" s="25" t="s">
        <v>1748</v>
      </c>
      <c r="C1128" s="25" t="s">
        <v>1751</v>
      </c>
      <c r="D1128" s="26" t="n">
        <v>1.1081399999678</v>
      </c>
      <c r="E1128" s="26" t="n">
        <v>1.60000165127196</v>
      </c>
      <c r="F1128" s="26" t="n">
        <v>0.789999174364019</v>
      </c>
      <c r="G1128" s="26" t="n">
        <v>0.789999174364019</v>
      </c>
      <c r="H1128" s="26" t="n">
        <v>2.89000082563598</v>
      </c>
      <c r="I1128" s="26" t="n">
        <v>2.89000082563598</v>
      </c>
      <c r="J1128" s="26" t="n">
        <v>21.66</v>
      </c>
      <c r="K1128" s="27" t="n">
        <f aca="false">MIN(F1128,G1128)</f>
        <v>0.789999174364019</v>
      </c>
      <c r="L1128" s="27" t="n">
        <f aca="false">AVERAGE(F1128,G1128)</f>
        <v>0.789999174364019</v>
      </c>
      <c r="M1128" s="27" t="n">
        <f aca="false">MAX(0,NG-L1128)</f>
        <v>0</v>
      </c>
      <c r="N1128" s="27" t="n">
        <f aca="false">MAX(0,GWL-K1128)</f>
        <v>0</v>
      </c>
      <c r="O1128" s="27" t="n">
        <f aca="false">MAX(0,NG-MAX(K1128,GWL))</f>
        <v>0</v>
      </c>
      <c r="P1128" s="27" t="n">
        <f aca="false">E1128/2+WS+SLOPE_A*O1128+SLOPE_B*N1128</f>
        <v>1.80000082563598</v>
      </c>
      <c r="Q1128" s="28" t="str">
        <f aca="false">IF(AND(P1128&lt;J1128,N1128&lt;=MAXOC),"Open cut","Shoring")</f>
        <v>Open cut</v>
      </c>
      <c r="R1128" s="27" t="n">
        <f aca="false">IF(Q1128="Shoring",D1128,0)</f>
        <v>0</v>
      </c>
      <c r="S1128" s="27" t="n">
        <f aca="false">MAX(0,GWL-L1128)</f>
        <v>0</v>
      </c>
      <c r="T1128" s="27" t="n">
        <f aca="false">MAX(0,NG-MAX(L1128,GWL))</f>
        <v>0</v>
      </c>
      <c r="U1128" s="27" t="n">
        <f aca="false">E1128+2*WS</f>
        <v>3.60000165127196</v>
      </c>
      <c r="V1128" s="27" t="n">
        <f aca="false">IF(Q1128="Shoring",D1128*M1128*U1128,0)</f>
        <v>0</v>
      </c>
      <c r="W1128" s="27" t="n">
        <f aca="false">IF(Q1128="Open cut",D1128*(U1128*M1128+SLOPE_B*S1128^2+2*SLOPE_B*S1128*T1128+SLOPE_A*T1128^2),0)</f>
        <v>0</v>
      </c>
      <c r="X1128" s="27" t="n">
        <f aca="false">IF(M1128&gt;0,D1128*(E1128+2*SLABOVH)*SLAB,0)</f>
        <v>0</v>
      </c>
      <c r="Y1128" s="27" t="n">
        <f aca="false">IF(M1128&gt;0,D1128*PI()*E1128^2/4,0)</f>
        <v>0</v>
      </c>
      <c r="Z1128" s="27" t="n">
        <f aca="false">IF(H1128-E1128&gt;=GWL,99,E1128*(MAX(0,GWL-H1128)*(GAM_S-GAM_W)+MAX(0,NG-MAX(H1128,GWL))*GAM_D)/(GAM_W*PI()*E1128^2/4))</f>
        <v>99</v>
      </c>
      <c r="AA1128" s="27" t="n">
        <f aca="false">IF(I1128-E1128&gt;=GWL,99,E1128*(MAX(0,GWL-I1128)*(GAM_S-GAM_W)+MAX(0,NG-MAX(I1128,GWL))*GAM_D)/(GAM_W*PI()*E1128^2/4))</f>
        <v>99</v>
      </c>
      <c r="AB1128" s="27" t="n">
        <f aca="false">IF(H1128-E1128&gt;=GWL,99,E1128*(MAX(0,GWL-H1128)*(GAM_S-GAM_W)+MAX(0,FL-MAX(H1128,GWL))*GAM_D)/(GAM_W*PI()*E1128^2/4))</f>
        <v>99</v>
      </c>
      <c r="AC1128" s="27" t="n">
        <f aca="false">IF(I1128-E1128&gt;=GWL,99,E1128*(MAX(0,GWL-I1128)*(GAM_S-GAM_W)+MAX(0,FL-MAX(I1128,GWL))*GAM_D)/(GAM_W*PI()*E1128^2/4))</f>
        <v>99</v>
      </c>
    </row>
    <row r="1129" customFormat="false" ht="15" hidden="false" customHeight="false" outlineLevel="0" collapsed="false">
      <c r="A1129" s="25" t="s">
        <v>1747</v>
      </c>
      <c r="B1129" s="25" t="s">
        <v>1748</v>
      </c>
      <c r="C1129" s="25" t="s">
        <v>1752</v>
      </c>
      <c r="D1129" s="26" t="n">
        <v>0.845454858894237</v>
      </c>
      <c r="E1129" s="26" t="n">
        <v>1.5999992925996</v>
      </c>
      <c r="F1129" s="26" t="n">
        <v>0.7900003537002</v>
      </c>
      <c r="G1129" s="26" t="n">
        <v>0.329000353700201</v>
      </c>
      <c r="H1129" s="26" t="n">
        <v>2.8899996462998</v>
      </c>
      <c r="I1129" s="26" t="n">
        <v>2.4289996462998</v>
      </c>
      <c r="J1129" s="26" t="n">
        <v>21.86</v>
      </c>
      <c r="K1129" s="27" t="n">
        <f aca="false">MIN(F1129,G1129)</f>
        <v>0.329000353700201</v>
      </c>
      <c r="L1129" s="27" t="n">
        <f aca="false">AVERAGE(F1129,G1129)</f>
        <v>0.5595003537002</v>
      </c>
      <c r="M1129" s="27" t="n">
        <f aca="false">MAX(0,NG-L1129)</f>
        <v>0</v>
      </c>
      <c r="N1129" s="27" t="n">
        <f aca="false">MAX(0,GWL-K1129)</f>
        <v>0</v>
      </c>
      <c r="O1129" s="27" t="n">
        <f aca="false">MAX(0,NG-MAX(K1129,GWL))</f>
        <v>0</v>
      </c>
      <c r="P1129" s="27" t="n">
        <f aca="false">E1129/2+WS+SLOPE_A*O1129+SLOPE_B*N1129</f>
        <v>1.7999996462998</v>
      </c>
      <c r="Q1129" s="28" t="str">
        <f aca="false">IF(AND(P1129&lt;J1129,N1129&lt;=MAXOC),"Open cut","Shoring")</f>
        <v>Open cut</v>
      </c>
      <c r="R1129" s="27" t="n">
        <f aca="false">IF(Q1129="Shoring",D1129,0)</f>
        <v>0</v>
      </c>
      <c r="S1129" s="27" t="n">
        <f aca="false">MAX(0,GWL-L1129)</f>
        <v>0</v>
      </c>
      <c r="T1129" s="27" t="n">
        <f aca="false">MAX(0,NG-MAX(L1129,GWL))</f>
        <v>0</v>
      </c>
      <c r="U1129" s="27" t="n">
        <f aca="false">E1129+2*WS</f>
        <v>3.5999992925996</v>
      </c>
      <c r="V1129" s="27" t="n">
        <f aca="false">IF(Q1129="Shoring",D1129*M1129*U1129,0)</f>
        <v>0</v>
      </c>
      <c r="W1129" s="27" t="n">
        <f aca="false">IF(Q1129="Open cut",D1129*(U1129*M1129+SLOPE_B*S1129^2+2*SLOPE_B*S1129*T1129+SLOPE_A*T1129^2),0)</f>
        <v>0</v>
      </c>
      <c r="X1129" s="27" t="n">
        <f aca="false">IF(M1129&gt;0,D1129*(E1129+2*SLABOVH)*SLAB,0)</f>
        <v>0</v>
      </c>
      <c r="Y1129" s="27" t="n">
        <f aca="false">IF(M1129&gt;0,D1129*PI()*E1129^2/4,0)</f>
        <v>0</v>
      </c>
      <c r="Z1129" s="27" t="n">
        <f aca="false">IF(H1129-E1129&gt;=GWL,99,E1129*(MAX(0,GWL-H1129)*(GAM_S-GAM_W)+MAX(0,NG-MAX(H1129,GWL))*GAM_D)/(GAM_W*PI()*E1129^2/4))</f>
        <v>99</v>
      </c>
      <c r="AA1129" s="27" t="n">
        <f aca="false">IF(I1129-E1129&gt;=GWL,99,E1129*(MAX(0,GWL-I1129)*(GAM_S-GAM_W)+MAX(0,NG-MAX(I1129,GWL))*GAM_D)/(GAM_W*PI()*E1129^2/4))</f>
        <v>99</v>
      </c>
      <c r="AB1129" s="27" t="n">
        <f aca="false">IF(H1129-E1129&gt;=GWL,99,E1129*(MAX(0,GWL-H1129)*(GAM_S-GAM_W)+MAX(0,FL-MAX(H1129,GWL))*GAM_D)/(GAM_W*PI()*E1129^2/4))</f>
        <v>99</v>
      </c>
      <c r="AC1129" s="27" t="n">
        <f aca="false">IF(I1129-E1129&gt;=GWL,99,E1129*(MAX(0,GWL-I1129)*(GAM_S-GAM_W)+MAX(0,FL-MAX(I1129,GWL))*GAM_D)/(GAM_W*PI()*E1129^2/4))</f>
        <v>99</v>
      </c>
    </row>
    <row r="1130" customFormat="false" ht="15" hidden="false" customHeight="false" outlineLevel="0" collapsed="false">
      <c r="A1130" s="25" t="s">
        <v>1747</v>
      </c>
      <c r="B1130" s="25" t="s">
        <v>1748</v>
      </c>
      <c r="C1130" s="25" t="s">
        <v>1753</v>
      </c>
      <c r="D1130" s="26" t="n">
        <v>0.23621523040278</v>
      </c>
      <c r="E1130" s="26" t="n">
        <v>1.59999773612094</v>
      </c>
      <c r="F1130" s="26" t="n">
        <v>0.329001131939533</v>
      </c>
      <c r="G1130" s="26" t="n">
        <v>0.200201131939533</v>
      </c>
      <c r="H1130" s="26" t="n">
        <v>2.42899886806047</v>
      </c>
      <c r="I1130" s="26" t="n">
        <v>2.30019886806047</v>
      </c>
      <c r="J1130" s="26" t="n">
        <v>22.03</v>
      </c>
      <c r="K1130" s="27" t="n">
        <f aca="false">MIN(F1130,G1130)</f>
        <v>0.200201131939533</v>
      </c>
      <c r="L1130" s="27" t="n">
        <f aca="false">AVERAGE(F1130,G1130)</f>
        <v>0.264601131939533</v>
      </c>
      <c r="M1130" s="27" t="n">
        <f aca="false">MAX(0,NG-L1130)</f>
        <v>0</v>
      </c>
      <c r="N1130" s="27" t="n">
        <f aca="false">MAX(0,GWL-K1130)</f>
        <v>0</v>
      </c>
      <c r="O1130" s="27" t="n">
        <f aca="false">MAX(0,NG-MAX(K1130,GWL))</f>
        <v>0</v>
      </c>
      <c r="P1130" s="27" t="n">
        <f aca="false">E1130/2+WS+SLOPE_A*O1130+SLOPE_B*N1130</f>
        <v>1.79999886806047</v>
      </c>
      <c r="Q1130" s="28" t="str">
        <f aca="false">IF(AND(P1130&lt;J1130,N1130&lt;=MAXOC),"Open cut","Shoring")</f>
        <v>Open cut</v>
      </c>
      <c r="R1130" s="27" t="n">
        <f aca="false">IF(Q1130="Shoring",D1130,0)</f>
        <v>0</v>
      </c>
      <c r="S1130" s="27" t="n">
        <f aca="false">MAX(0,GWL-L1130)</f>
        <v>0</v>
      </c>
      <c r="T1130" s="27" t="n">
        <f aca="false">MAX(0,NG-MAX(L1130,GWL))</f>
        <v>0</v>
      </c>
      <c r="U1130" s="27" t="n">
        <f aca="false">E1130+2*WS</f>
        <v>3.59999773612094</v>
      </c>
      <c r="V1130" s="27" t="n">
        <f aca="false">IF(Q1130="Shoring",D1130*M1130*U1130,0)</f>
        <v>0</v>
      </c>
      <c r="W1130" s="27" t="n">
        <f aca="false">IF(Q1130="Open cut",D1130*(U1130*M1130+SLOPE_B*S1130^2+2*SLOPE_B*S1130*T1130+SLOPE_A*T1130^2),0)</f>
        <v>0</v>
      </c>
      <c r="X1130" s="27" t="n">
        <f aca="false">IF(M1130&gt;0,D1130*(E1130+2*SLABOVH)*SLAB,0)</f>
        <v>0</v>
      </c>
      <c r="Y1130" s="27" t="n">
        <f aca="false">IF(M1130&gt;0,D1130*PI()*E1130^2/4,0)</f>
        <v>0</v>
      </c>
      <c r="Z1130" s="27" t="n">
        <f aca="false">IF(H1130-E1130&gt;=GWL,99,E1130*(MAX(0,GWL-H1130)*(GAM_S-GAM_W)+MAX(0,NG-MAX(H1130,GWL))*GAM_D)/(GAM_W*PI()*E1130^2/4))</f>
        <v>99</v>
      </c>
      <c r="AA1130" s="27" t="n">
        <f aca="false">IF(I1130-E1130&gt;=GWL,99,E1130*(MAX(0,GWL-I1130)*(GAM_S-GAM_W)+MAX(0,NG-MAX(I1130,GWL))*GAM_D)/(GAM_W*PI()*E1130^2/4))</f>
        <v>99</v>
      </c>
      <c r="AB1130" s="27" t="n">
        <f aca="false">IF(H1130-E1130&gt;=GWL,99,E1130*(MAX(0,GWL-H1130)*(GAM_S-GAM_W)+MAX(0,FL-MAX(H1130,GWL))*GAM_D)/(GAM_W*PI()*E1130^2/4))</f>
        <v>99</v>
      </c>
      <c r="AC1130" s="27" t="n">
        <f aca="false">IF(I1130-E1130&gt;=GWL,99,E1130*(MAX(0,GWL-I1130)*(GAM_S-GAM_W)+MAX(0,FL-MAX(I1130,GWL))*GAM_D)/(GAM_W*PI()*E1130^2/4))</f>
        <v>99</v>
      </c>
    </row>
    <row r="1131" customFormat="false" ht="15" hidden="false" customHeight="false" outlineLevel="0" collapsed="false">
      <c r="A1131" s="25" t="s">
        <v>1747</v>
      </c>
      <c r="B1131" s="25" t="s">
        <v>1748</v>
      </c>
      <c r="C1131" s="25" t="s">
        <v>1754</v>
      </c>
      <c r="D1131" s="26" t="n">
        <v>0.695942760015335</v>
      </c>
      <c r="E1131" s="26" t="n">
        <v>1.60000127990209</v>
      </c>
      <c r="F1131" s="26" t="n">
        <v>0.200199360048955</v>
      </c>
      <c r="G1131" s="26" t="n">
        <v>-0.179270639951045</v>
      </c>
      <c r="H1131" s="26" t="n">
        <v>2.30020063995104</v>
      </c>
      <c r="I1131" s="26" t="n">
        <v>1.92073063995104</v>
      </c>
      <c r="J1131" s="26" t="n">
        <v>22.08</v>
      </c>
      <c r="K1131" s="27" t="n">
        <f aca="false">MIN(F1131,G1131)</f>
        <v>-0.179270639951045</v>
      </c>
      <c r="L1131" s="27" t="n">
        <f aca="false">AVERAGE(F1131,G1131)</f>
        <v>0.0104643600489554</v>
      </c>
      <c r="M1131" s="27" t="n">
        <f aca="false">MAX(0,NG-L1131)</f>
        <v>0</v>
      </c>
      <c r="N1131" s="27" t="n">
        <f aca="false">MAX(0,GWL-K1131)</f>
        <v>0</v>
      </c>
      <c r="O1131" s="27" t="n">
        <f aca="false">MAX(0,NG-MAX(K1131,GWL))</f>
        <v>0</v>
      </c>
      <c r="P1131" s="27" t="n">
        <f aca="false">E1131/2+WS+SLOPE_A*O1131+SLOPE_B*N1131</f>
        <v>1.80000063995104</v>
      </c>
      <c r="Q1131" s="28" t="str">
        <f aca="false">IF(AND(P1131&lt;J1131,N1131&lt;=MAXOC),"Open cut","Shoring")</f>
        <v>Open cut</v>
      </c>
      <c r="R1131" s="27" t="n">
        <f aca="false">IF(Q1131="Shoring",D1131,0)</f>
        <v>0</v>
      </c>
      <c r="S1131" s="27" t="n">
        <f aca="false">MAX(0,GWL-L1131)</f>
        <v>0</v>
      </c>
      <c r="T1131" s="27" t="n">
        <f aca="false">MAX(0,NG-MAX(L1131,GWL))</f>
        <v>0</v>
      </c>
      <c r="U1131" s="27" t="n">
        <f aca="false">E1131+2*WS</f>
        <v>3.60000127990209</v>
      </c>
      <c r="V1131" s="27" t="n">
        <f aca="false">IF(Q1131="Shoring",D1131*M1131*U1131,0)</f>
        <v>0</v>
      </c>
      <c r="W1131" s="27" t="n">
        <f aca="false">IF(Q1131="Open cut",D1131*(U1131*M1131+SLOPE_B*S1131^2+2*SLOPE_B*S1131*T1131+SLOPE_A*T1131^2),0)</f>
        <v>0</v>
      </c>
      <c r="X1131" s="27" t="n">
        <f aca="false">IF(M1131&gt;0,D1131*(E1131+2*SLABOVH)*SLAB,0)</f>
        <v>0</v>
      </c>
      <c r="Y1131" s="27" t="n">
        <f aca="false">IF(M1131&gt;0,D1131*PI()*E1131^2/4,0)</f>
        <v>0</v>
      </c>
      <c r="Z1131" s="27" t="n">
        <f aca="false">IF(H1131-E1131&gt;=GWL,99,E1131*(MAX(0,GWL-H1131)*(GAM_S-GAM_W)+MAX(0,NG-MAX(H1131,GWL))*GAM_D)/(GAM_W*PI()*E1131^2/4))</f>
        <v>99</v>
      </c>
      <c r="AA1131" s="27" t="n">
        <f aca="false">IF(I1131-E1131&gt;=GWL,99,E1131*(MAX(0,GWL-I1131)*(GAM_S-GAM_W)+MAX(0,NG-MAX(I1131,GWL))*GAM_D)/(GAM_W*PI()*E1131^2/4))</f>
        <v>99</v>
      </c>
      <c r="AB1131" s="27" t="n">
        <f aca="false">IF(H1131-E1131&gt;=GWL,99,E1131*(MAX(0,GWL-H1131)*(GAM_S-GAM_W)+MAX(0,FL-MAX(H1131,GWL))*GAM_D)/(GAM_W*PI()*E1131^2/4))</f>
        <v>99</v>
      </c>
      <c r="AC1131" s="27" t="n">
        <f aca="false">IF(I1131-E1131&gt;=GWL,99,E1131*(MAX(0,GWL-I1131)*(GAM_S-GAM_W)+MAX(0,FL-MAX(I1131,GWL))*GAM_D)/(GAM_W*PI()*E1131^2/4))</f>
        <v>99</v>
      </c>
    </row>
    <row r="1132" customFormat="false" ht="15" hidden="false" customHeight="false" outlineLevel="0" collapsed="false">
      <c r="A1132" s="25" t="s">
        <v>1747</v>
      </c>
      <c r="B1132" s="25" t="s">
        <v>1748</v>
      </c>
      <c r="C1132" s="25" t="s">
        <v>1755</v>
      </c>
      <c r="D1132" s="26" t="n">
        <v>5.24913999988496</v>
      </c>
      <c r="E1132" s="26" t="n">
        <v>1.6000046543016</v>
      </c>
      <c r="F1132" s="26" t="n">
        <v>-0.1792723271508</v>
      </c>
      <c r="G1132" s="26" t="n">
        <v>-3.0414423271508</v>
      </c>
      <c r="H1132" s="26" t="n">
        <v>1.9207323271508</v>
      </c>
      <c r="I1132" s="26" t="n">
        <v>-0.9414376728492</v>
      </c>
      <c r="J1132" s="26" t="n">
        <v>22.25</v>
      </c>
      <c r="K1132" s="27" t="n">
        <f aca="false">MIN(F1132,G1132)</f>
        <v>-3.0414423271508</v>
      </c>
      <c r="L1132" s="27" t="n">
        <f aca="false">AVERAGE(F1132,G1132)</f>
        <v>-1.6103573271508</v>
      </c>
      <c r="M1132" s="27" t="n">
        <f aca="false">MAX(0,NG-L1132)</f>
        <v>0.9103573271508</v>
      </c>
      <c r="N1132" s="27" t="n">
        <f aca="false">MAX(0,GWL-K1132)</f>
        <v>1.5414423271508</v>
      </c>
      <c r="O1132" s="27" t="n">
        <f aca="false">MAX(0,NG-MAX(K1132,GWL))</f>
        <v>0.8</v>
      </c>
      <c r="P1132" s="27" t="n">
        <f aca="false">E1132/2+WS+SLOPE_A*O1132+SLOPE_B*N1132</f>
        <v>6.0828869814524</v>
      </c>
      <c r="Q1132" s="28" t="str">
        <f aca="false">IF(AND(P1132&lt;J1132,N1132&lt;=MAXOC),"Open cut","Shoring")</f>
        <v>Open cut</v>
      </c>
      <c r="R1132" s="27" t="n">
        <f aca="false">IF(Q1132="Shoring",D1132,0)</f>
        <v>0</v>
      </c>
      <c r="S1132" s="27" t="n">
        <f aca="false">MAX(0,GWL-L1132)</f>
        <v>0.1103573271508</v>
      </c>
      <c r="T1132" s="27" t="n">
        <f aca="false">MAX(0,NG-MAX(L1132,GWL))</f>
        <v>0.8</v>
      </c>
      <c r="U1132" s="27" t="n">
        <f aca="false">E1132+2*WS</f>
        <v>3.6000046543016</v>
      </c>
      <c r="V1132" s="27" t="n">
        <f aca="false">IF(Q1132="Shoring",D1132*M1132*U1132,0)</f>
        <v>0</v>
      </c>
      <c r="W1132" s="27" t="n">
        <f aca="false">IF(Q1132="Open cut",D1132*(U1132*M1132+SLOPE_B*S1132^2+2*SLOPE_B*S1132*T1132+SLOPE_A*T1132^2),0)</f>
        <v>24.2236868690712</v>
      </c>
      <c r="X1132" s="27" t="n">
        <f aca="false">IF(M1132&gt;0,D1132*(E1132+2*SLABOVH)*SLAB,0)</f>
        <v>6.8238942153908</v>
      </c>
      <c r="Y1132" s="27" t="n">
        <f aca="false">IF(M1132&gt;0,D1132*PI()*E1132^2/4,0)</f>
        <v>10.5540835853261</v>
      </c>
      <c r="Z1132" s="27" t="n">
        <f aca="false">IF(H1132-E1132&gt;=GWL,99,E1132*(MAX(0,GWL-H1132)*(GAM_S-GAM_W)+MAX(0,NG-MAX(H1132,GWL))*GAM_D)/(GAM_W*PI()*E1132^2/4))</f>
        <v>99</v>
      </c>
      <c r="AA1132" s="27" t="n">
        <f aca="false">IF(I1132-E1132&gt;=GWL,99,E1132*(MAX(0,GWL-I1132)*(GAM_S-GAM_W)+MAX(0,NG-MAX(I1132,GWL))*GAM_D)/(GAM_W*PI()*E1132^2/4))</f>
        <v>0.352531076183588</v>
      </c>
      <c r="AB1132" s="27" t="n">
        <f aca="false">IF(H1132-E1132&gt;=GWL,99,E1132*(MAX(0,GWL-H1132)*(GAM_S-GAM_W)+MAX(0,FL-MAX(H1132,GWL))*GAM_D)/(GAM_W*PI()*E1132^2/4))</f>
        <v>99</v>
      </c>
      <c r="AC1132" s="27" t="n">
        <f aca="false">IF(I1132-E1132&gt;=GWL,99,E1132*(MAX(0,GWL-I1132)*(GAM_S-GAM_W)+MAX(0,FL-MAX(I1132,GWL))*GAM_D)/(GAM_W*PI()*E1132^2/4))</f>
        <v>2.83475691293782</v>
      </c>
    </row>
    <row r="1133" customFormat="false" ht="15" hidden="false" customHeight="false" outlineLevel="0" collapsed="false">
      <c r="A1133" s="25" t="s">
        <v>1747</v>
      </c>
      <c r="B1133" s="25" t="s">
        <v>1748</v>
      </c>
      <c r="C1133" s="25" t="s">
        <v>1756</v>
      </c>
      <c r="D1133" s="26" t="n">
        <v>0.67494034348867</v>
      </c>
      <c r="E1133" s="26" t="n">
        <v>1.59999433263642</v>
      </c>
      <c r="F1133" s="26" t="n">
        <v>-3.04143716631821</v>
      </c>
      <c r="G1133" s="26" t="n">
        <v>-3.40945716631821</v>
      </c>
      <c r="H1133" s="26" t="n">
        <v>-0.941442833681788</v>
      </c>
      <c r="I1133" s="26" t="n">
        <v>-1.30946283368179</v>
      </c>
      <c r="J1133" s="26" t="n">
        <v>23.78</v>
      </c>
      <c r="K1133" s="27" t="n">
        <f aca="false">MIN(F1133,G1133)</f>
        <v>-3.40945716631821</v>
      </c>
      <c r="L1133" s="27" t="n">
        <f aca="false">AVERAGE(F1133,G1133)</f>
        <v>-3.22544716631821</v>
      </c>
      <c r="M1133" s="27" t="n">
        <f aca="false">MAX(0,NG-L1133)</f>
        <v>2.52544716631821</v>
      </c>
      <c r="N1133" s="27" t="n">
        <f aca="false">MAX(0,GWL-K1133)</f>
        <v>1.90945716631821</v>
      </c>
      <c r="O1133" s="27" t="n">
        <f aca="false">MAX(0,NG-MAX(K1133,GWL))</f>
        <v>0.8</v>
      </c>
      <c r="P1133" s="27" t="n">
        <f aca="false">E1133/2+WS+SLOPE_A*O1133+SLOPE_B*N1133</f>
        <v>6.81891149895464</v>
      </c>
      <c r="Q1133" s="28" t="str">
        <f aca="false">IF(AND(P1133&lt;J1133,N1133&lt;=MAXOC),"Open cut","Shoring")</f>
        <v>Open cut</v>
      </c>
      <c r="R1133" s="27" t="n">
        <f aca="false">IF(Q1133="Shoring",D1133,0)</f>
        <v>0</v>
      </c>
      <c r="S1133" s="27" t="n">
        <f aca="false">MAX(0,GWL-L1133)</f>
        <v>1.72544716631821</v>
      </c>
      <c r="T1133" s="27" t="n">
        <f aca="false">MAX(0,NG-MAX(L1133,GWL))</f>
        <v>0.8</v>
      </c>
      <c r="U1133" s="27" t="n">
        <f aca="false">E1133+2*WS</f>
        <v>3.59999433263642</v>
      </c>
      <c r="V1133" s="27" t="n">
        <f aca="false">IF(Q1133="Shoring",D1133*M1133*U1133,0)</f>
        <v>0</v>
      </c>
      <c r="W1133" s="27" t="n">
        <f aca="false">IF(Q1133="Open cut",D1133*(U1133*M1133+SLOPE_B*S1133^2+2*SLOPE_B*S1133*T1133+SLOPE_A*T1133^2),0)</f>
        <v>14.5296852821162</v>
      </c>
      <c r="X1133" s="27" t="n">
        <f aca="false">IF(M1133&gt;0,D1133*(E1133+2*SLABOVH)*SLAB,0)</f>
        <v>0.877420533969111</v>
      </c>
      <c r="Y1133" s="27" t="n">
        <f aca="false">IF(M1133&gt;0,D1133*PI()*E1133^2/4,0)</f>
        <v>1.35703846622879</v>
      </c>
      <c r="Z1133" s="27" t="n">
        <f aca="false">IF(H1133-E1133&gt;=GWL,99,E1133*(MAX(0,GWL-H1133)*(GAM_S-GAM_W)+MAX(0,NG-MAX(H1133,GWL))*GAM_D)/(GAM_W*PI()*E1133^2/4))</f>
        <v>0.352540885933759</v>
      </c>
      <c r="AA1133" s="27" t="n">
        <f aca="false">IF(I1133-E1133&gt;=GWL,99,E1133*(MAX(0,GWL-I1133)*(GAM_S-GAM_W)+MAX(0,NG-MAX(I1133,GWL))*GAM_D)/(GAM_W*PI()*E1133^2/4))</f>
        <v>0.889902442136899</v>
      </c>
      <c r="AB1133" s="27" t="n">
        <f aca="false">IF(H1133-E1133&gt;=GWL,99,E1133*(MAX(0,GWL-H1133)*(GAM_S-GAM_W)+MAX(0,FL-MAX(H1133,GWL))*GAM_D)/(GAM_W*PI()*E1133^2/4))</f>
        <v>2.83478273568469</v>
      </c>
      <c r="AC1133" s="27" t="n">
        <f aca="false">IF(I1133-E1133&gt;=GWL,99,E1133*(MAX(0,GWL-I1133)*(GAM_S-GAM_W)+MAX(0,FL-MAX(I1133,GWL))*GAM_D)/(GAM_W*PI()*E1133^2/4))</f>
        <v>3.37214429188784</v>
      </c>
    </row>
    <row r="1134" customFormat="false" ht="15" hidden="false" customHeight="false" outlineLevel="0" collapsed="false">
      <c r="A1134" s="25" t="s">
        <v>1747</v>
      </c>
      <c r="B1134" s="25" t="s">
        <v>1748</v>
      </c>
      <c r="C1134" s="25" t="s">
        <v>1757</v>
      </c>
      <c r="D1134" s="26" t="n">
        <v>0.242980239497884</v>
      </c>
      <c r="E1134" s="26" t="n">
        <v>1.59999895772847</v>
      </c>
      <c r="F1134" s="26" t="n">
        <v>-3.40945947886423</v>
      </c>
      <c r="G1134" s="26" t="n">
        <v>-3.54194947886423</v>
      </c>
      <c r="H1134" s="26" t="n">
        <v>-1.30946052113577</v>
      </c>
      <c r="I1134" s="26" t="n">
        <v>-1.44195052113577</v>
      </c>
      <c r="J1134" s="26" t="n">
        <v>24.02</v>
      </c>
      <c r="K1134" s="27" t="n">
        <f aca="false">MIN(F1134,G1134)</f>
        <v>-3.54194947886423</v>
      </c>
      <c r="L1134" s="27" t="n">
        <f aca="false">AVERAGE(F1134,G1134)</f>
        <v>-3.47570447886423</v>
      </c>
      <c r="M1134" s="27" t="n">
        <f aca="false">MAX(0,NG-L1134)</f>
        <v>2.77570447886423</v>
      </c>
      <c r="N1134" s="27" t="n">
        <f aca="false">MAX(0,GWL-K1134)</f>
        <v>2.04194947886423</v>
      </c>
      <c r="O1134" s="27" t="n">
        <f aca="false">MAX(0,NG-MAX(K1134,GWL))</f>
        <v>0.8</v>
      </c>
      <c r="P1134" s="27" t="n">
        <f aca="false">E1134/2+WS+SLOPE_A*O1134+SLOPE_B*N1134</f>
        <v>7.0838984365927</v>
      </c>
      <c r="Q1134" s="28" t="str">
        <f aca="false">IF(AND(P1134&lt;J1134,N1134&lt;=MAXOC),"Open cut","Shoring")</f>
        <v>Open cut</v>
      </c>
      <c r="R1134" s="27" t="n">
        <f aca="false">IF(Q1134="Shoring",D1134,0)</f>
        <v>0</v>
      </c>
      <c r="S1134" s="27" t="n">
        <f aca="false">MAX(0,GWL-L1134)</f>
        <v>1.97570447886423</v>
      </c>
      <c r="T1134" s="27" t="n">
        <f aca="false">MAX(0,NG-MAX(L1134,GWL))</f>
        <v>0.8</v>
      </c>
      <c r="U1134" s="27" t="n">
        <f aca="false">E1134+2*WS</f>
        <v>3.59999895772847</v>
      </c>
      <c r="V1134" s="27" t="n">
        <f aca="false">IF(Q1134="Shoring",D1134*M1134*U1134,0)</f>
        <v>0</v>
      </c>
      <c r="W1134" s="27" t="n">
        <f aca="false">IF(Q1134="Open cut",D1134*(U1134*M1134+SLOPE_B*S1134^2+2*SLOPE_B*S1134*T1134+SLOPE_A*T1134^2),0)</f>
        <v>6.09433413205222</v>
      </c>
      <c r="X1134" s="27" t="n">
        <f aca="false">IF(M1134&gt;0,D1134*(E1134+2*SLABOVH)*SLAB,0)</f>
        <v>0.315874184721556</v>
      </c>
      <c r="Y1134" s="27" t="n">
        <f aca="false">IF(M1134&gt;0,D1134*PI()*E1134^2/4,0)</f>
        <v>0.488540122149437</v>
      </c>
      <c r="Z1134" s="27" t="n">
        <f aca="false">IF(H1134-E1134&gt;=GWL,99,E1134*(MAX(0,GWL-H1134)*(GAM_S-GAM_W)+MAX(0,NG-MAX(H1134,GWL))*GAM_D)/(GAM_W*PI()*E1134^2/4))</f>
        <v>0.889896493073358</v>
      </c>
      <c r="AA1134" s="27" t="n">
        <f aca="false">IF(I1134-E1134&gt;=GWL,99,E1134*(MAX(0,GWL-I1134)*(GAM_S-GAM_W)+MAX(0,NG-MAX(I1134,GWL))*GAM_D)/(GAM_W*PI()*E1134^2/4))</f>
        <v>1.08335018248965</v>
      </c>
      <c r="AB1134" s="27" t="n">
        <f aca="false">IF(H1134-E1134&gt;=GWL,99,E1134*(MAX(0,GWL-H1134)*(GAM_S-GAM_W)+MAX(0,FL-MAX(H1134,GWL))*GAM_D)/(GAM_W*PI()*E1134^2/4))</f>
        <v>3.37213116744648</v>
      </c>
      <c r="AC1134" s="27" t="n">
        <f aca="false">IF(I1134-E1134&gt;=GWL,99,E1134*(MAX(0,GWL-I1134)*(GAM_S-GAM_W)+MAX(0,FL-MAX(I1134,GWL))*GAM_D)/(GAM_W*PI()*E1134^2/4))</f>
        <v>3.56558485686277</v>
      </c>
    </row>
    <row r="1135" customFormat="false" ht="15" hidden="false" customHeight="false" outlineLevel="0" collapsed="false">
      <c r="A1135" s="25" t="s">
        <v>1747</v>
      </c>
      <c r="B1135" s="25" t="s">
        <v>1748</v>
      </c>
      <c r="C1135" s="25" t="s">
        <v>1758</v>
      </c>
      <c r="D1135" s="26" t="n">
        <v>0.693180588436134</v>
      </c>
      <c r="E1135" s="26" t="n">
        <v>1.60000326478232</v>
      </c>
      <c r="F1135" s="26" t="n">
        <v>-3.54195163239116</v>
      </c>
      <c r="G1135" s="26" t="n">
        <v>-3.91992178527591</v>
      </c>
      <c r="H1135" s="26" t="n">
        <v>-1.44194836760884</v>
      </c>
      <c r="I1135" s="26" t="n">
        <v>-1.81991852049359</v>
      </c>
      <c r="J1135" s="26" t="n">
        <v>24.1</v>
      </c>
      <c r="K1135" s="27" t="n">
        <f aca="false">MIN(F1135,G1135)</f>
        <v>-3.91992178527591</v>
      </c>
      <c r="L1135" s="27" t="n">
        <f aca="false">AVERAGE(F1135,G1135)</f>
        <v>-3.73093670883354</v>
      </c>
      <c r="M1135" s="27" t="n">
        <f aca="false">MAX(0,NG-L1135)</f>
        <v>3.03093670883354</v>
      </c>
      <c r="N1135" s="27" t="n">
        <f aca="false">MAX(0,GWL-K1135)</f>
        <v>2.41992178527591</v>
      </c>
      <c r="O1135" s="27" t="n">
        <f aca="false">MAX(0,NG-MAX(K1135,GWL))</f>
        <v>0.8</v>
      </c>
      <c r="P1135" s="27" t="n">
        <f aca="false">E1135/2+WS+SLOPE_A*O1135+SLOPE_B*N1135</f>
        <v>7.83984520294298</v>
      </c>
      <c r="Q1135" s="28" t="str">
        <f aca="false">IF(AND(P1135&lt;J1135,N1135&lt;=MAXOC),"Open cut","Shoring")</f>
        <v>Open cut</v>
      </c>
      <c r="R1135" s="27" t="n">
        <f aca="false">IF(Q1135="Shoring",D1135,0)</f>
        <v>0</v>
      </c>
      <c r="S1135" s="27" t="n">
        <f aca="false">MAX(0,GWL-L1135)</f>
        <v>2.23093670883354</v>
      </c>
      <c r="T1135" s="27" t="n">
        <f aca="false">MAX(0,NG-MAX(L1135,GWL))</f>
        <v>0.8</v>
      </c>
      <c r="U1135" s="27" t="n">
        <f aca="false">E1135+2*WS</f>
        <v>3.60000326478232</v>
      </c>
      <c r="V1135" s="27" t="n">
        <f aca="false">IF(Q1135="Shoring",D1135*M1135*U1135,0)</f>
        <v>0</v>
      </c>
      <c r="W1135" s="27" t="n">
        <f aca="false">IF(Q1135="Open cut",D1135*(U1135*M1135+SLOPE_B*S1135^2+2*SLOPE_B*S1135*T1135+SLOPE_A*T1135^2),0)</f>
        <v>20.077654602538</v>
      </c>
      <c r="X1135" s="27" t="n">
        <f aca="false">IF(M1135&gt;0,D1135*(E1135+2*SLABOVH)*SLAB,0)</f>
        <v>0.901135896508839</v>
      </c>
      <c r="Y1135" s="27" t="n">
        <f aca="false">IF(M1135&gt;0,D1135*PI()*E1135^2/4,0)</f>
        <v>1.39372795607046</v>
      </c>
      <c r="Z1135" s="27" t="n">
        <f aca="false">IF(H1135-E1135&gt;=GWL,99,E1135*(MAX(0,GWL-H1135)*(GAM_S-GAM_W)+MAX(0,NG-MAX(H1135,GWL))*GAM_D)/(GAM_W*PI()*E1135^2/4))</f>
        <v>1.08334412177774</v>
      </c>
      <c r="AA1135" s="27" t="n">
        <f aca="false">IF(I1135-E1135&gt;=GWL,99,E1135*(MAX(0,GWL-I1135)*(GAM_S-GAM_W)+MAX(0,NG-MAX(I1135,GWL))*GAM_D)/(GAM_W*PI()*E1135^2/4))</f>
        <v>1.38064868563256</v>
      </c>
      <c r="AB1135" s="27" t="n">
        <f aca="false">IF(H1135-E1135&gt;=GWL,99,E1135*(MAX(0,GWL-H1135)*(GAM_S-GAM_W)+MAX(0,FL-MAX(H1135,GWL))*GAM_D)/(GAM_W*PI()*E1135^2/4))</f>
        <v>3.56557211421548</v>
      </c>
      <c r="AC1135" s="27" t="n">
        <f aca="false">IF(I1135-E1135&gt;=GWL,99,E1135*(MAX(0,GWL-I1135)*(GAM_S-GAM_W)+MAX(0,FL-MAX(I1135,GWL))*GAM_D)/(GAM_W*PI()*E1135^2/4))</f>
        <v>3.8628766780703</v>
      </c>
    </row>
    <row r="1136" customFormat="false" ht="15" hidden="false" customHeight="false" outlineLevel="0" collapsed="false">
      <c r="A1136" s="25" t="s">
        <v>1747</v>
      </c>
      <c r="B1136" s="25" t="s">
        <v>1748</v>
      </c>
      <c r="C1136" s="25" t="s">
        <v>1759</v>
      </c>
      <c r="D1136" s="26" t="n">
        <v>0.146862907471677</v>
      </c>
      <c r="E1136" s="26" t="n">
        <v>1.60000326478232</v>
      </c>
      <c r="F1136" s="26" t="n">
        <v>-3.91992178527591</v>
      </c>
      <c r="G1136" s="26" t="n">
        <v>-4.00000163239116</v>
      </c>
      <c r="H1136" s="26" t="n">
        <v>-1.81991852049359</v>
      </c>
      <c r="I1136" s="26" t="n">
        <v>-1.89999836760884</v>
      </c>
      <c r="J1136" s="26" t="n">
        <v>24.35</v>
      </c>
      <c r="K1136" s="27" t="n">
        <f aca="false">MIN(F1136,G1136)</f>
        <v>-4.00000163239116</v>
      </c>
      <c r="L1136" s="27" t="n">
        <f aca="false">AVERAGE(F1136,G1136)</f>
        <v>-3.95996170883354</v>
      </c>
      <c r="M1136" s="27" t="n">
        <f aca="false">MAX(0,NG-L1136)</f>
        <v>3.25996170883354</v>
      </c>
      <c r="N1136" s="27" t="n">
        <f aca="false">MAX(0,GWL-K1136)</f>
        <v>2.50000163239116</v>
      </c>
      <c r="O1136" s="27" t="n">
        <f aca="false">MAX(0,NG-MAX(K1136,GWL))</f>
        <v>0.8</v>
      </c>
      <c r="P1136" s="27" t="n">
        <f aca="false">E1136/2+WS+SLOPE_A*O1136+SLOPE_B*N1136</f>
        <v>8.00000489717348</v>
      </c>
      <c r="Q1136" s="28" t="str">
        <f aca="false">IF(AND(P1136&lt;J1136,N1136&lt;=MAXOC),"Open cut","Shoring")</f>
        <v>Shoring</v>
      </c>
      <c r="R1136" s="27" t="n">
        <f aca="false">IF(Q1136="Shoring",D1136,0)</f>
        <v>0.146862907471677</v>
      </c>
      <c r="S1136" s="27" t="n">
        <f aca="false">MAX(0,GWL-L1136)</f>
        <v>2.45996170883354</v>
      </c>
      <c r="T1136" s="27" t="n">
        <f aca="false">MAX(0,NG-MAX(L1136,GWL))</f>
        <v>0.8</v>
      </c>
      <c r="U1136" s="27" t="n">
        <f aca="false">E1136+2*WS</f>
        <v>3.60000326478232</v>
      </c>
      <c r="V1136" s="27" t="n">
        <f aca="false">IF(Q1136="Shoring",D1136*M1136*U1136,0)</f>
        <v>1.72356440037178</v>
      </c>
      <c r="W1136" s="27" t="n">
        <f aca="false">IF(Q1136="Open cut",D1136*(U1136*M1136+SLOPE_B*S1136^2+2*SLOPE_B*S1136*T1136+SLOPE_A*T1136^2),0)</f>
        <v>0</v>
      </c>
      <c r="X1136" s="27" t="n">
        <f aca="false">IF(M1136&gt;0,D1136*(E1136+2*SLABOVH)*SLAB,0)</f>
        <v>0.190922019450891</v>
      </c>
      <c r="Y1136" s="27" t="n">
        <f aca="false">IF(M1136&gt;0,D1136*PI()*E1136^2/4,0)</f>
        <v>0.295286601021033</v>
      </c>
      <c r="Z1136" s="27" t="n">
        <f aca="false">IF(H1136-E1136&gt;=GWL,99,E1136*(MAX(0,GWL-H1136)*(GAM_S-GAM_W)+MAX(0,NG-MAX(H1136,GWL))*GAM_D)/(GAM_W*PI()*E1136^2/4))</f>
        <v>1.38064868563256</v>
      </c>
      <c r="AA1136" s="27" t="n">
        <f aca="false">IF(I1136-E1136&gt;=GWL,99,E1136*(MAX(0,GWL-I1136)*(GAM_S-GAM_W)+MAX(0,NG-MAX(I1136,GWL))*GAM_D)/(GAM_W*PI()*E1136^2/4))</f>
        <v>1.43385061466404</v>
      </c>
      <c r="AB1136" s="27" t="n">
        <f aca="false">IF(H1136-E1136&gt;=GWL,99,E1136*(MAX(0,GWL-H1136)*(GAM_S-GAM_W)+MAX(0,FL-MAX(H1136,GWL))*GAM_D)/(GAM_W*PI()*E1136^2/4))</f>
        <v>3.8628766780703</v>
      </c>
      <c r="AC1136" s="27" t="n">
        <f aca="false">IF(I1136-E1136&gt;=GWL,99,E1136*(MAX(0,GWL-I1136)*(GAM_S-GAM_W)+MAX(0,FL-MAX(I1136,GWL))*GAM_D)/(GAM_W*PI()*E1136^2/4))</f>
        <v>3.91607860710178</v>
      </c>
    </row>
    <row r="1137" customFormat="false" ht="15" hidden="false" customHeight="false" outlineLevel="0" collapsed="false">
      <c r="A1137" s="25" t="s">
        <v>1747</v>
      </c>
      <c r="B1137" s="25" t="s">
        <v>1748</v>
      </c>
      <c r="C1137" s="25" t="s">
        <v>1760</v>
      </c>
      <c r="D1137" s="26" t="n">
        <v>9.85313709275311</v>
      </c>
      <c r="E1137" s="26" t="n">
        <v>1.60000326481415</v>
      </c>
      <c r="F1137" s="26" t="n">
        <v>-4.00000163240708</v>
      </c>
      <c r="G1137" s="26" t="n">
        <v>-4.00000163240708</v>
      </c>
      <c r="H1137" s="26" t="n">
        <v>-1.89999836759292</v>
      </c>
      <c r="I1137" s="26" t="n">
        <v>-1.89999836759292</v>
      </c>
      <c r="J1137" s="26" t="n">
        <v>24.41</v>
      </c>
      <c r="K1137" s="27" t="n">
        <f aca="false">MIN(F1137,G1137)</f>
        <v>-4.00000163240708</v>
      </c>
      <c r="L1137" s="27" t="n">
        <f aca="false">AVERAGE(F1137,G1137)</f>
        <v>-4.00000163240708</v>
      </c>
      <c r="M1137" s="27" t="n">
        <f aca="false">MAX(0,NG-L1137)</f>
        <v>3.30000163240708</v>
      </c>
      <c r="N1137" s="27" t="n">
        <f aca="false">MAX(0,GWL-K1137)</f>
        <v>2.50000163240708</v>
      </c>
      <c r="O1137" s="27" t="n">
        <f aca="false">MAX(0,NG-MAX(K1137,GWL))</f>
        <v>0.8</v>
      </c>
      <c r="P1137" s="27" t="n">
        <f aca="false">E1137/2+WS+SLOPE_A*O1137+SLOPE_B*N1137</f>
        <v>8.00000489722123</v>
      </c>
      <c r="Q1137" s="28" t="str">
        <f aca="false">IF(AND(P1137&lt;J1137,N1137&lt;=MAXOC),"Open cut","Shoring")</f>
        <v>Shoring</v>
      </c>
      <c r="R1137" s="27" t="n">
        <f aca="false">IF(Q1137="Shoring",D1137,0)</f>
        <v>9.85313709275311</v>
      </c>
      <c r="S1137" s="27" t="n">
        <f aca="false">MAX(0,GWL-L1137)</f>
        <v>2.50000163240708</v>
      </c>
      <c r="T1137" s="27" t="n">
        <f aca="false">MAX(0,NG-MAX(L1137,GWL))</f>
        <v>0.8</v>
      </c>
      <c r="U1137" s="27" t="n">
        <f aca="false">E1137+2*WS</f>
        <v>3.60000326481415</v>
      </c>
      <c r="V1137" s="27" t="n">
        <f aca="false">IF(Q1137="Shoring",D1137*M1137*U1137,0)</f>
        <v>117.055432722133</v>
      </c>
      <c r="W1137" s="27" t="n">
        <f aca="false">IF(Q1137="Open cut",D1137*(U1137*M1137+SLOPE_B*S1137^2+2*SLOPE_B*S1137*T1137+SLOPE_A*T1137^2),0)</f>
        <v>0</v>
      </c>
      <c r="X1137" s="27" t="n">
        <f aca="false">IF(M1137&gt;0,D1137*(E1137+2*SLABOVH)*SLAB,0)</f>
        <v>12.8090943049098</v>
      </c>
      <c r="Y1137" s="27" t="n">
        <f aca="false">IF(M1137&gt;0,D1137*PI()*E1137^2/4,0)</f>
        <v>19.8109884362069</v>
      </c>
      <c r="Z1137" s="27" t="n">
        <f aca="false">IF(H1137-E1137&gt;=GWL,99,E1137*(MAX(0,GWL-H1137)*(GAM_S-GAM_W)+MAX(0,NG-MAX(H1137,GWL))*GAM_D)/(GAM_W*PI()*E1137^2/4))</f>
        <v>1.43385061462493</v>
      </c>
      <c r="AA1137" s="27" t="n">
        <f aca="false">IF(I1137-E1137&gt;=GWL,99,E1137*(MAX(0,GWL-I1137)*(GAM_S-GAM_W)+MAX(0,NG-MAX(I1137,GWL))*GAM_D)/(GAM_W*PI()*E1137^2/4))</f>
        <v>1.43385061462493</v>
      </c>
      <c r="AB1137" s="27" t="n">
        <f aca="false">IF(H1137-E1137&gt;=GWL,99,E1137*(MAX(0,GWL-H1137)*(GAM_S-GAM_W)+MAX(0,FL-MAX(H1137,GWL))*GAM_D)/(GAM_W*PI()*E1137^2/4))</f>
        <v>3.91607860701329</v>
      </c>
      <c r="AC1137" s="27" t="n">
        <f aca="false">IF(I1137-E1137&gt;=GWL,99,E1137*(MAX(0,GWL-I1137)*(GAM_S-GAM_W)+MAX(0,FL-MAX(I1137,GWL))*GAM_D)/(GAM_W*PI()*E1137^2/4))</f>
        <v>3.91607860701329</v>
      </c>
    </row>
    <row r="1138" customFormat="false" ht="15" hidden="false" customHeight="false" outlineLevel="0" collapsed="false">
      <c r="A1138" s="25" t="s">
        <v>1747</v>
      </c>
      <c r="B1138" s="25" t="s">
        <v>1748</v>
      </c>
      <c r="C1138" s="25" t="s">
        <v>1761</v>
      </c>
      <c r="D1138" s="26" t="n">
        <v>10.0000000000047</v>
      </c>
      <c r="E1138" s="26" t="n">
        <v>1.60000326481415</v>
      </c>
      <c r="F1138" s="26" t="n">
        <v>-4.00000163240708</v>
      </c>
      <c r="G1138" s="26" t="n">
        <v>-4.00000163240708</v>
      </c>
      <c r="H1138" s="26" t="n">
        <v>-1.89999836759292</v>
      </c>
      <c r="I1138" s="26" t="n">
        <v>-1.89999836759292</v>
      </c>
      <c r="J1138" s="26" t="n">
        <v>28.72</v>
      </c>
      <c r="K1138" s="27" t="n">
        <f aca="false">MIN(F1138,G1138)</f>
        <v>-4.00000163240708</v>
      </c>
      <c r="L1138" s="27" t="n">
        <f aca="false">AVERAGE(F1138,G1138)</f>
        <v>-4.00000163240708</v>
      </c>
      <c r="M1138" s="27" t="n">
        <f aca="false">MAX(0,NG-L1138)</f>
        <v>3.30000163240708</v>
      </c>
      <c r="N1138" s="27" t="n">
        <f aca="false">MAX(0,GWL-K1138)</f>
        <v>2.50000163240708</v>
      </c>
      <c r="O1138" s="27" t="n">
        <f aca="false">MAX(0,NG-MAX(K1138,GWL))</f>
        <v>0.8</v>
      </c>
      <c r="P1138" s="27" t="n">
        <f aca="false">E1138/2+WS+SLOPE_A*O1138+SLOPE_B*N1138</f>
        <v>8.00000489722123</v>
      </c>
      <c r="Q1138" s="28" t="str">
        <f aca="false">IF(AND(P1138&lt;J1138,N1138&lt;=MAXOC),"Open cut","Shoring")</f>
        <v>Shoring</v>
      </c>
      <c r="R1138" s="27" t="n">
        <f aca="false">IF(Q1138="Shoring",D1138,0)</f>
        <v>10.0000000000047</v>
      </c>
      <c r="S1138" s="27" t="n">
        <f aca="false">MAX(0,GWL-L1138)</f>
        <v>2.50000163240708</v>
      </c>
      <c r="T1138" s="27" t="n">
        <f aca="false">MAX(0,NG-MAX(L1138,GWL))</f>
        <v>0.8</v>
      </c>
      <c r="U1138" s="27" t="n">
        <f aca="false">E1138+2*WS</f>
        <v>3.60000326481415</v>
      </c>
      <c r="V1138" s="27" t="n">
        <f aca="false">IF(Q1138="Shoring",D1138*M1138*U1138,0)</f>
        <v>118.800166505631</v>
      </c>
      <c r="W1138" s="27" t="n">
        <f aca="false">IF(Q1138="Open cut",D1138*(U1138*M1138+SLOPE_B*S1138^2+2*SLOPE_B*S1138*T1138+SLOPE_A*T1138^2),0)</f>
        <v>0</v>
      </c>
      <c r="X1138" s="27" t="n">
        <f aca="false">IF(M1138&gt;0,D1138*(E1138+2*SLABOVH)*SLAB,0)</f>
        <v>13.0000163240768</v>
      </c>
      <c r="Y1138" s="27" t="n">
        <f aca="false">IF(M1138&gt;0,D1138*PI()*E1138^2/4,0)</f>
        <v>20.1062750367971</v>
      </c>
      <c r="Z1138" s="27" t="n">
        <f aca="false">IF(H1138-E1138&gt;=GWL,99,E1138*(MAX(0,GWL-H1138)*(GAM_S-GAM_W)+MAX(0,NG-MAX(H1138,GWL))*GAM_D)/(GAM_W*PI()*E1138^2/4))</f>
        <v>1.43385061462493</v>
      </c>
      <c r="AA1138" s="27" t="n">
        <f aca="false">IF(I1138-E1138&gt;=GWL,99,E1138*(MAX(0,GWL-I1138)*(GAM_S-GAM_W)+MAX(0,NG-MAX(I1138,GWL))*GAM_D)/(GAM_W*PI()*E1138^2/4))</f>
        <v>1.43385061462493</v>
      </c>
      <c r="AB1138" s="27" t="n">
        <f aca="false">IF(H1138-E1138&gt;=GWL,99,E1138*(MAX(0,GWL-H1138)*(GAM_S-GAM_W)+MAX(0,FL-MAX(H1138,GWL))*GAM_D)/(GAM_W*PI()*E1138^2/4))</f>
        <v>3.91607860701329</v>
      </c>
      <c r="AC1138" s="27" t="n">
        <f aca="false">IF(I1138-E1138&gt;=GWL,99,E1138*(MAX(0,GWL-I1138)*(GAM_S-GAM_W)+MAX(0,FL-MAX(I1138,GWL))*GAM_D)/(GAM_W*PI()*E1138^2/4))</f>
        <v>3.91607860701329</v>
      </c>
    </row>
    <row r="1139" customFormat="false" ht="15" hidden="false" customHeight="false" outlineLevel="0" collapsed="false">
      <c r="A1139" s="25" t="s">
        <v>1747</v>
      </c>
      <c r="B1139" s="25" t="s">
        <v>1748</v>
      </c>
      <c r="C1139" s="25" t="s">
        <v>1762</v>
      </c>
      <c r="D1139" s="26" t="n">
        <v>7.77753290747818</v>
      </c>
      <c r="E1139" s="26" t="n">
        <v>1.60000326481415</v>
      </c>
      <c r="F1139" s="26" t="n">
        <v>-4.00000163240708</v>
      </c>
      <c r="G1139" s="26" t="n">
        <v>-4.00000163240708</v>
      </c>
      <c r="H1139" s="26" t="n">
        <v>-1.89999836759292</v>
      </c>
      <c r="I1139" s="26" t="n">
        <v>-1.89999836759292</v>
      </c>
      <c r="J1139" s="26" t="n">
        <v>34.33</v>
      </c>
      <c r="K1139" s="27" t="n">
        <f aca="false">MIN(F1139,G1139)</f>
        <v>-4.00000163240708</v>
      </c>
      <c r="L1139" s="27" t="n">
        <f aca="false">AVERAGE(F1139,G1139)</f>
        <v>-4.00000163240708</v>
      </c>
      <c r="M1139" s="27" t="n">
        <f aca="false">MAX(0,NG-L1139)</f>
        <v>3.30000163240708</v>
      </c>
      <c r="N1139" s="27" t="n">
        <f aca="false">MAX(0,GWL-K1139)</f>
        <v>2.50000163240708</v>
      </c>
      <c r="O1139" s="27" t="n">
        <f aca="false">MAX(0,NG-MAX(K1139,GWL))</f>
        <v>0.8</v>
      </c>
      <c r="P1139" s="27" t="n">
        <f aca="false">E1139/2+WS+SLOPE_A*O1139+SLOPE_B*N1139</f>
        <v>8.00000489722123</v>
      </c>
      <c r="Q1139" s="28" t="str">
        <f aca="false">IF(AND(P1139&lt;J1139,N1139&lt;=MAXOC),"Open cut","Shoring")</f>
        <v>Shoring</v>
      </c>
      <c r="R1139" s="27" t="n">
        <f aca="false">IF(Q1139="Shoring",D1139,0)</f>
        <v>7.77753290747818</v>
      </c>
      <c r="S1139" s="27" t="n">
        <f aca="false">MAX(0,GWL-L1139)</f>
        <v>2.50000163240708</v>
      </c>
      <c r="T1139" s="27" t="n">
        <f aca="false">MAX(0,NG-MAX(L1139,GWL))</f>
        <v>0.8</v>
      </c>
      <c r="U1139" s="27" t="n">
        <f aca="false">E1139+2*WS</f>
        <v>3.60000326481415</v>
      </c>
      <c r="V1139" s="27" t="n">
        <f aca="false">IF(Q1139="Shoring",D1139*M1139*U1139,0)</f>
        <v>92.3972204410998</v>
      </c>
      <c r="W1139" s="27" t="n">
        <f aca="false">IF(Q1139="Open cut",D1139*(U1139*M1139+SLOPE_B*S1139^2+2*SLOPE_B*S1139*T1139+SLOPE_A*T1139^2),0)</f>
        <v>0</v>
      </c>
      <c r="X1139" s="27" t="n">
        <f aca="false">IF(M1139&gt;0,D1139*(E1139+2*SLABOVH)*SLAB,0)</f>
        <v>10.1108054758214</v>
      </c>
      <c r="Y1139" s="27" t="n">
        <f aca="false">IF(M1139&gt;0,D1139*PI()*E1139^2/4,0)</f>
        <v>15.6377215745423</v>
      </c>
      <c r="Z1139" s="27" t="n">
        <f aca="false">IF(H1139-E1139&gt;=GWL,99,E1139*(MAX(0,GWL-H1139)*(GAM_S-GAM_W)+MAX(0,NG-MAX(H1139,GWL))*GAM_D)/(GAM_W*PI()*E1139^2/4))</f>
        <v>1.43385061462493</v>
      </c>
      <c r="AA1139" s="27" t="n">
        <f aca="false">IF(I1139-E1139&gt;=GWL,99,E1139*(MAX(0,GWL-I1139)*(GAM_S-GAM_W)+MAX(0,NG-MAX(I1139,GWL))*GAM_D)/(GAM_W*PI()*E1139^2/4))</f>
        <v>1.43385061462493</v>
      </c>
      <c r="AB1139" s="27" t="n">
        <f aca="false">IF(H1139-E1139&gt;=GWL,99,E1139*(MAX(0,GWL-H1139)*(GAM_S-GAM_W)+MAX(0,FL-MAX(H1139,GWL))*GAM_D)/(GAM_W*PI()*E1139^2/4))</f>
        <v>3.91607860701329</v>
      </c>
      <c r="AC1139" s="27" t="n">
        <f aca="false">IF(I1139-E1139&gt;=GWL,99,E1139*(MAX(0,GWL-I1139)*(GAM_S-GAM_W)+MAX(0,FL-MAX(I1139,GWL))*GAM_D)/(GAM_W*PI()*E1139^2/4))</f>
        <v>3.91607860701329</v>
      </c>
    </row>
    <row r="1140" customFormat="false" ht="15" hidden="false" customHeight="false" outlineLevel="0" collapsed="false">
      <c r="A1140" s="25" t="s">
        <v>1763</v>
      </c>
      <c r="B1140" s="25" t="s">
        <v>1764</v>
      </c>
      <c r="C1140" s="25" t="s">
        <v>1765</v>
      </c>
      <c r="D1140" s="26" t="n">
        <v>0.0500099999696969</v>
      </c>
      <c r="E1140" s="26" t="n">
        <v>1.60000756630035</v>
      </c>
      <c r="F1140" s="26" t="n">
        <v>0.789996216849823</v>
      </c>
      <c r="G1140" s="26" t="n">
        <v>0.789996216849823</v>
      </c>
      <c r="H1140" s="26" t="n">
        <v>2.89000378315018</v>
      </c>
      <c r="I1140" s="26" t="n">
        <v>2.89000378315018</v>
      </c>
      <c r="J1140" s="26" t="n">
        <v>21.08</v>
      </c>
      <c r="K1140" s="27" t="n">
        <f aca="false">MIN(F1140,G1140)</f>
        <v>0.789996216849823</v>
      </c>
      <c r="L1140" s="27" t="n">
        <f aca="false">AVERAGE(F1140,G1140)</f>
        <v>0.789996216849823</v>
      </c>
      <c r="M1140" s="27" t="n">
        <f aca="false">MAX(0,NG-L1140)</f>
        <v>0</v>
      </c>
      <c r="N1140" s="27" t="n">
        <f aca="false">MAX(0,GWL-K1140)</f>
        <v>0</v>
      </c>
      <c r="O1140" s="27" t="n">
        <f aca="false">MAX(0,NG-MAX(K1140,GWL))</f>
        <v>0</v>
      </c>
      <c r="P1140" s="27" t="n">
        <f aca="false">E1140/2+WS+SLOPE_A*O1140+SLOPE_B*N1140</f>
        <v>1.80000378315018</v>
      </c>
      <c r="Q1140" s="28" t="str">
        <f aca="false">IF(AND(P1140&lt;J1140,N1140&lt;=MAXOC),"Open cut","Shoring")</f>
        <v>Open cut</v>
      </c>
      <c r="R1140" s="27" t="n">
        <f aca="false">IF(Q1140="Shoring",D1140,0)</f>
        <v>0</v>
      </c>
      <c r="S1140" s="27" t="n">
        <f aca="false">MAX(0,GWL-L1140)</f>
        <v>0</v>
      </c>
      <c r="T1140" s="27" t="n">
        <f aca="false">MAX(0,NG-MAX(L1140,GWL))</f>
        <v>0</v>
      </c>
      <c r="U1140" s="27" t="n">
        <f aca="false">E1140+2*WS</f>
        <v>3.60000756630035</v>
      </c>
      <c r="V1140" s="27" t="n">
        <f aca="false">IF(Q1140="Shoring",D1140*M1140*U1140,0)</f>
        <v>0</v>
      </c>
      <c r="W1140" s="27" t="n">
        <f aca="false">IF(Q1140="Open cut",D1140*(U1140*M1140+SLOPE_B*S1140^2+2*SLOPE_B*S1140*T1140+SLOPE_A*T1140^2),0)</f>
        <v>0</v>
      </c>
      <c r="X1140" s="27" t="n">
        <f aca="false">IF(M1140&gt;0,D1140*(E1140+2*SLABOVH)*SLAB,0)</f>
        <v>0</v>
      </c>
      <c r="Y1140" s="27" t="n">
        <f aca="false">IF(M1140&gt;0,D1140*PI()*E1140^2/4,0)</f>
        <v>0</v>
      </c>
      <c r="Z1140" s="27" t="n">
        <f aca="false">IF(H1140-E1140&gt;=GWL,99,E1140*(MAX(0,GWL-H1140)*(GAM_S-GAM_W)+MAX(0,NG-MAX(H1140,GWL))*GAM_D)/(GAM_W*PI()*E1140^2/4))</f>
        <v>99</v>
      </c>
      <c r="AA1140" s="27" t="n">
        <f aca="false">IF(I1140-E1140&gt;=GWL,99,E1140*(MAX(0,GWL-I1140)*(GAM_S-GAM_W)+MAX(0,NG-MAX(I1140,GWL))*GAM_D)/(GAM_W*PI()*E1140^2/4))</f>
        <v>99</v>
      </c>
      <c r="AB1140" s="27" t="n">
        <f aca="false">IF(H1140-E1140&gt;=GWL,99,E1140*(MAX(0,GWL-H1140)*(GAM_S-GAM_W)+MAX(0,FL-MAX(H1140,GWL))*GAM_D)/(GAM_W*PI()*E1140^2/4))</f>
        <v>99</v>
      </c>
      <c r="AC1140" s="27" t="n">
        <f aca="false">IF(I1140-E1140&gt;=GWL,99,E1140*(MAX(0,GWL-I1140)*(GAM_S-GAM_W)+MAX(0,FL-MAX(I1140,GWL))*GAM_D)/(GAM_W*PI()*E1140^2/4))</f>
        <v>99</v>
      </c>
    </row>
    <row r="1141" customFormat="false" ht="15" hidden="false" customHeight="false" outlineLevel="0" collapsed="false">
      <c r="A1141" s="25" t="s">
        <v>1763</v>
      </c>
      <c r="B1141" s="25" t="s">
        <v>1764</v>
      </c>
      <c r="C1141" s="25" t="s">
        <v>1766</v>
      </c>
      <c r="D1141" s="26" t="n">
        <v>0.203999209713336</v>
      </c>
      <c r="E1141" s="26" t="n">
        <v>1.60000756630035</v>
      </c>
      <c r="F1141" s="26" t="n">
        <v>0.789996216849823</v>
      </c>
      <c r="G1141" s="26" t="n">
        <v>0.789996216849823</v>
      </c>
      <c r="H1141" s="26" t="n">
        <v>2.89000378315018</v>
      </c>
      <c r="I1141" s="26" t="n">
        <v>2.89000378315018</v>
      </c>
      <c r="J1141" s="26" t="n">
        <v>21.09</v>
      </c>
      <c r="K1141" s="27" t="n">
        <f aca="false">MIN(F1141,G1141)</f>
        <v>0.789996216849823</v>
      </c>
      <c r="L1141" s="27" t="n">
        <f aca="false">AVERAGE(F1141,G1141)</f>
        <v>0.789996216849823</v>
      </c>
      <c r="M1141" s="27" t="n">
        <f aca="false">MAX(0,NG-L1141)</f>
        <v>0</v>
      </c>
      <c r="N1141" s="27" t="n">
        <f aca="false">MAX(0,GWL-K1141)</f>
        <v>0</v>
      </c>
      <c r="O1141" s="27" t="n">
        <f aca="false">MAX(0,NG-MAX(K1141,GWL))</f>
        <v>0</v>
      </c>
      <c r="P1141" s="27" t="n">
        <f aca="false">E1141/2+WS+SLOPE_A*O1141+SLOPE_B*N1141</f>
        <v>1.80000378315018</v>
      </c>
      <c r="Q1141" s="28" t="str">
        <f aca="false">IF(AND(P1141&lt;J1141,N1141&lt;=MAXOC),"Open cut","Shoring")</f>
        <v>Open cut</v>
      </c>
      <c r="R1141" s="27" t="n">
        <f aca="false">IF(Q1141="Shoring",D1141,0)</f>
        <v>0</v>
      </c>
      <c r="S1141" s="27" t="n">
        <f aca="false">MAX(0,GWL-L1141)</f>
        <v>0</v>
      </c>
      <c r="T1141" s="27" t="n">
        <f aca="false">MAX(0,NG-MAX(L1141,GWL))</f>
        <v>0</v>
      </c>
      <c r="U1141" s="27" t="n">
        <f aca="false">E1141+2*WS</f>
        <v>3.60000756630035</v>
      </c>
      <c r="V1141" s="27" t="n">
        <f aca="false">IF(Q1141="Shoring",D1141*M1141*U1141,0)</f>
        <v>0</v>
      </c>
      <c r="W1141" s="27" t="n">
        <f aca="false">IF(Q1141="Open cut",D1141*(U1141*M1141+SLOPE_B*S1141^2+2*SLOPE_B*S1141*T1141+SLOPE_A*T1141^2),0)</f>
        <v>0</v>
      </c>
      <c r="X1141" s="27" t="n">
        <f aca="false">IF(M1141&gt;0,D1141*(E1141+2*SLABOVH)*SLAB,0)</f>
        <v>0</v>
      </c>
      <c r="Y1141" s="27" t="n">
        <f aca="false">IF(M1141&gt;0,D1141*PI()*E1141^2/4,0)</f>
        <v>0</v>
      </c>
      <c r="Z1141" s="27" t="n">
        <f aca="false">IF(H1141-E1141&gt;=GWL,99,E1141*(MAX(0,GWL-H1141)*(GAM_S-GAM_W)+MAX(0,NG-MAX(H1141,GWL))*GAM_D)/(GAM_W*PI()*E1141^2/4))</f>
        <v>99</v>
      </c>
      <c r="AA1141" s="27" t="n">
        <f aca="false">IF(I1141-E1141&gt;=GWL,99,E1141*(MAX(0,GWL-I1141)*(GAM_S-GAM_W)+MAX(0,NG-MAX(I1141,GWL))*GAM_D)/(GAM_W*PI()*E1141^2/4))</f>
        <v>99</v>
      </c>
      <c r="AB1141" s="27" t="n">
        <f aca="false">IF(H1141-E1141&gt;=GWL,99,E1141*(MAX(0,GWL-H1141)*(GAM_S-GAM_W)+MAX(0,FL-MAX(H1141,GWL))*GAM_D)/(GAM_W*PI()*E1141^2/4))</f>
        <v>99</v>
      </c>
      <c r="AC1141" s="27" t="n">
        <f aca="false">IF(I1141-E1141&gt;=GWL,99,E1141*(MAX(0,GWL-I1141)*(GAM_S-GAM_W)+MAX(0,FL-MAX(I1141,GWL))*GAM_D)/(GAM_W*PI()*E1141^2/4))</f>
        <v>99</v>
      </c>
    </row>
    <row r="1142" customFormat="false" ht="15" hidden="false" customHeight="false" outlineLevel="0" collapsed="false">
      <c r="A1142" s="25" t="s">
        <v>1763</v>
      </c>
      <c r="B1142" s="25" t="s">
        <v>1764</v>
      </c>
      <c r="C1142" s="25" t="s">
        <v>1767</v>
      </c>
      <c r="D1142" s="26" t="n">
        <v>1.46864999948405</v>
      </c>
      <c r="E1142" s="26" t="n">
        <v>1.60000756630035</v>
      </c>
      <c r="F1142" s="26" t="n">
        <v>0.789996216849823</v>
      </c>
      <c r="G1142" s="26" t="n">
        <v>0.789996216849823</v>
      </c>
      <c r="H1142" s="26" t="n">
        <v>2.89000378315018</v>
      </c>
      <c r="I1142" s="26" t="n">
        <v>2.89000378315018</v>
      </c>
      <c r="J1142" s="26" t="n">
        <v>21.13</v>
      </c>
      <c r="K1142" s="27" t="n">
        <f aca="false">MIN(F1142,G1142)</f>
        <v>0.789996216849823</v>
      </c>
      <c r="L1142" s="27" t="n">
        <f aca="false">AVERAGE(F1142,G1142)</f>
        <v>0.789996216849823</v>
      </c>
      <c r="M1142" s="27" t="n">
        <f aca="false">MAX(0,NG-L1142)</f>
        <v>0</v>
      </c>
      <c r="N1142" s="27" t="n">
        <f aca="false">MAX(0,GWL-K1142)</f>
        <v>0</v>
      </c>
      <c r="O1142" s="27" t="n">
        <f aca="false">MAX(0,NG-MAX(K1142,GWL))</f>
        <v>0</v>
      </c>
      <c r="P1142" s="27" t="n">
        <f aca="false">E1142/2+WS+SLOPE_A*O1142+SLOPE_B*N1142</f>
        <v>1.80000378315018</v>
      </c>
      <c r="Q1142" s="28" t="str">
        <f aca="false">IF(AND(P1142&lt;J1142,N1142&lt;=MAXOC),"Open cut","Shoring")</f>
        <v>Open cut</v>
      </c>
      <c r="R1142" s="27" t="n">
        <f aca="false">IF(Q1142="Shoring",D1142,0)</f>
        <v>0</v>
      </c>
      <c r="S1142" s="27" t="n">
        <f aca="false">MAX(0,GWL-L1142)</f>
        <v>0</v>
      </c>
      <c r="T1142" s="27" t="n">
        <f aca="false">MAX(0,NG-MAX(L1142,GWL))</f>
        <v>0</v>
      </c>
      <c r="U1142" s="27" t="n">
        <f aca="false">E1142+2*WS</f>
        <v>3.60000756630035</v>
      </c>
      <c r="V1142" s="27" t="n">
        <f aca="false">IF(Q1142="Shoring",D1142*M1142*U1142,0)</f>
        <v>0</v>
      </c>
      <c r="W1142" s="27" t="n">
        <f aca="false">IF(Q1142="Open cut",D1142*(U1142*M1142+SLOPE_B*S1142^2+2*SLOPE_B*S1142*T1142+SLOPE_A*T1142^2),0)</f>
        <v>0</v>
      </c>
      <c r="X1142" s="27" t="n">
        <f aca="false">IF(M1142&gt;0,D1142*(E1142+2*SLABOVH)*SLAB,0)</f>
        <v>0</v>
      </c>
      <c r="Y1142" s="27" t="n">
        <f aca="false">IF(M1142&gt;0,D1142*PI()*E1142^2/4,0)</f>
        <v>0</v>
      </c>
      <c r="Z1142" s="27" t="n">
        <f aca="false">IF(H1142-E1142&gt;=GWL,99,E1142*(MAX(0,GWL-H1142)*(GAM_S-GAM_W)+MAX(0,NG-MAX(H1142,GWL))*GAM_D)/(GAM_W*PI()*E1142^2/4))</f>
        <v>99</v>
      </c>
      <c r="AA1142" s="27" t="n">
        <f aca="false">IF(I1142-E1142&gt;=GWL,99,E1142*(MAX(0,GWL-I1142)*(GAM_S-GAM_W)+MAX(0,NG-MAX(I1142,GWL))*GAM_D)/(GAM_W*PI()*E1142^2/4))</f>
        <v>99</v>
      </c>
      <c r="AB1142" s="27" t="n">
        <f aca="false">IF(H1142-E1142&gt;=GWL,99,E1142*(MAX(0,GWL-H1142)*(GAM_S-GAM_W)+MAX(0,FL-MAX(H1142,GWL))*GAM_D)/(GAM_W*PI()*E1142^2/4))</f>
        <v>99</v>
      </c>
      <c r="AC1142" s="27" t="n">
        <f aca="false">IF(I1142-E1142&gt;=GWL,99,E1142*(MAX(0,GWL-I1142)*(GAM_S-GAM_W)+MAX(0,FL-MAX(I1142,GWL))*GAM_D)/(GAM_W*PI()*E1142^2/4))</f>
        <v>99</v>
      </c>
    </row>
    <row r="1143" customFormat="false" ht="15" hidden="false" customHeight="false" outlineLevel="0" collapsed="false">
      <c r="A1143" s="25" t="s">
        <v>1763</v>
      </c>
      <c r="B1143" s="25" t="s">
        <v>1764</v>
      </c>
      <c r="C1143" s="25" t="s">
        <v>1768</v>
      </c>
      <c r="D1143" s="26" t="n">
        <v>0.838068302958935</v>
      </c>
      <c r="E1143" s="26" t="n">
        <v>1.59999792921635</v>
      </c>
      <c r="F1143" s="26" t="n">
        <v>0.790001035391823</v>
      </c>
      <c r="G1143" s="26" t="n">
        <v>0.311921035391824</v>
      </c>
      <c r="H1143" s="26" t="n">
        <v>2.88999896460818</v>
      </c>
      <c r="I1143" s="26" t="n">
        <v>2.41191896460818</v>
      </c>
      <c r="J1143" s="26" t="n">
        <v>21.45</v>
      </c>
      <c r="K1143" s="27" t="n">
        <f aca="false">MIN(F1143,G1143)</f>
        <v>0.311921035391824</v>
      </c>
      <c r="L1143" s="27" t="n">
        <f aca="false">AVERAGE(F1143,G1143)</f>
        <v>0.550961035391824</v>
      </c>
      <c r="M1143" s="27" t="n">
        <f aca="false">MAX(0,NG-L1143)</f>
        <v>0</v>
      </c>
      <c r="N1143" s="27" t="n">
        <f aca="false">MAX(0,GWL-K1143)</f>
        <v>0</v>
      </c>
      <c r="O1143" s="27" t="n">
        <f aca="false">MAX(0,NG-MAX(K1143,GWL))</f>
        <v>0</v>
      </c>
      <c r="P1143" s="27" t="n">
        <f aca="false">E1143/2+WS+SLOPE_A*O1143+SLOPE_B*N1143</f>
        <v>1.79999896460818</v>
      </c>
      <c r="Q1143" s="28" t="str">
        <f aca="false">IF(AND(P1143&lt;J1143,N1143&lt;=MAXOC),"Open cut","Shoring")</f>
        <v>Open cut</v>
      </c>
      <c r="R1143" s="27" t="n">
        <f aca="false">IF(Q1143="Shoring",D1143,0)</f>
        <v>0</v>
      </c>
      <c r="S1143" s="27" t="n">
        <f aca="false">MAX(0,GWL-L1143)</f>
        <v>0</v>
      </c>
      <c r="T1143" s="27" t="n">
        <f aca="false">MAX(0,NG-MAX(L1143,GWL))</f>
        <v>0</v>
      </c>
      <c r="U1143" s="27" t="n">
        <f aca="false">E1143+2*WS</f>
        <v>3.59999792921635</v>
      </c>
      <c r="V1143" s="27" t="n">
        <f aca="false">IF(Q1143="Shoring",D1143*M1143*U1143,0)</f>
        <v>0</v>
      </c>
      <c r="W1143" s="27" t="n">
        <f aca="false">IF(Q1143="Open cut",D1143*(U1143*M1143+SLOPE_B*S1143^2+2*SLOPE_B*S1143*T1143+SLOPE_A*T1143^2),0)</f>
        <v>0</v>
      </c>
      <c r="X1143" s="27" t="n">
        <f aca="false">IF(M1143&gt;0,D1143*(E1143+2*SLABOVH)*SLAB,0)</f>
        <v>0</v>
      </c>
      <c r="Y1143" s="27" t="n">
        <f aca="false">IF(M1143&gt;0,D1143*PI()*E1143^2/4,0)</f>
        <v>0</v>
      </c>
      <c r="Z1143" s="27" t="n">
        <f aca="false">IF(H1143-E1143&gt;=GWL,99,E1143*(MAX(0,GWL-H1143)*(GAM_S-GAM_W)+MAX(0,NG-MAX(H1143,GWL))*GAM_D)/(GAM_W*PI()*E1143^2/4))</f>
        <v>99</v>
      </c>
      <c r="AA1143" s="27" t="n">
        <f aca="false">IF(I1143-E1143&gt;=GWL,99,E1143*(MAX(0,GWL-I1143)*(GAM_S-GAM_W)+MAX(0,NG-MAX(I1143,GWL))*GAM_D)/(GAM_W*PI()*E1143^2/4))</f>
        <v>99</v>
      </c>
      <c r="AB1143" s="27" t="n">
        <f aca="false">IF(H1143-E1143&gt;=GWL,99,E1143*(MAX(0,GWL-H1143)*(GAM_S-GAM_W)+MAX(0,FL-MAX(H1143,GWL))*GAM_D)/(GAM_W*PI()*E1143^2/4))</f>
        <v>99</v>
      </c>
      <c r="AC1143" s="27" t="n">
        <f aca="false">IF(I1143-E1143&gt;=GWL,99,E1143*(MAX(0,GWL-I1143)*(GAM_S-GAM_W)+MAX(0,FL-MAX(I1143,GWL))*GAM_D)/(GAM_W*PI()*E1143^2/4))</f>
        <v>99</v>
      </c>
    </row>
    <row r="1144" customFormat="false" ht="15" hidden="false" customHeight="false" outlineLevel="0" collapsed="false">
      <c r="A1144" s="25" t="s">
        <v>1763</v>
      </c>
      <c r="B1144" s="25" t="s">
        <v>1764</v>
      </c>
      <c r="C1144" s="25" t="s">
        <v>1769</v>
      </c>
      <c r="D1144" s="26" t="n">
        <v>0.246955499760528</v>
      </c>
      <c r="E1144" s="26" t="n">
        <v>1.59999689475366</v>
      </c>
      <c r="F1144" s="26" t="n">
        <v>0.311921552623171</v>
      </c>
      <c r="G1144" s="26" t="n">
        <v>0.17104155262317</v>
      </c>
      <c r="H1144" s="26" t="n">
        <v>2.41191844737683</v>
      </c>
      <c r="I1144" s="26" t="n">
        <v>2.27103844737683</v>
      </c>
      <c r="J1144" s="26" t="n">
        <v>21.65</v>
      </c>
      <c r="K1144" s="27" t="n">
        <f aca="false">MIN(F1144,G1144)</f>
        <v>0.17104155262317</v>
      </c>
      <c r="L1144" s="27" t="n">
        <f aca="false">AVERAGE(F1144,G1144)</f>
        <v>0.241481552623171</v>
      </c>
      <c r="M1144" s="27" t="n">
        <f aca="false">MAX(0,NG-L1144)</f>
        <v>0</v>
      </c>
      <c r="N1144" s="27" t="n">
        <f aca="false">MAX(0,GWL-K1144)</f>
        <v>0</v>
      </c>
      <c r="O1144" s="27" t="n">
        <f aca="false">MAX(0,NG-MAX(K1144,GWL))</f>
        <v>0</v>
      </c>
      <c r="P1144" s="27" t="n">
        <f aca="false">E1144/2+WS+SLOPE_A*O1144+SLOPE_B*N1144</f>
        <v>1.79999844737683</v>
      </c>
      <c r="Q1144" s="28" t="str">
        <f aca="false">IF(AND(P1144&lt;J1144,N1144&lt;=MAXOC),"Open cut","Shoring")</f>
        <v>Open cut</v>
      </c>
      <c r="R1144" s="27" t="n">
        <f aca="false">IF(Q1144="Shoring",D1144,0)</f>
        <v>0</v>
      </c>
      <c r="S1144" s="27" t="n">
        <f aca="false">MAX(0,GWL-L1144)</f>
        <v>0</v>
      </c>
      <c r="T1144" s="27" t="n">
        <f aca="false">MAX(0,NG-MAX(L1144,GWL))</f>
        <v>0</v>
      </c>
      <c r="U1144" s="27" t="n">
        <f aca="false">E1144+2*WS</f>
        <v>3.59999689475366</v>
      </c>
      <c r="V1144" s="27" t="n">
        <f aca="false">IF(Q1144="Shoring",D1144*M1144*U1144,0)</f>
        <v>0</v>
      </c>
      <c r="W1144" s="27" t="n">
        <f aca="false">IF(Q1144="Open cut",D1144*(U1144*M1144+SLOPE_B*S1144^2+2*SLOPE_B*S1144*T1144+SLOPE_A*T1144^2),0)</f>
        <v>0</v>
      </c>
      <c r="X1144" s="27" t="n">
        <f aca="false">IF(M1144&gt;0,D1144*(E1144+2*SLABOVH)*SLAB,0)</f>
        <v>0</v>
      </c>
      <c r="Y1144" s="27" t="n">
        <f aca="false">IF(M1144&gt;0,D1144*PI()*E1144^2/4,0)</f>
        <v>0</v>
      </c>
      <c r="Z1144" s="27" t="n">
        <f aca="false">IF(H1144-E1144&gt;=GWL,99,E1144*(MAX(0,GWL-H1144)*(GAM_S-GAM_W)+MAX(0,NG-MAX(H1144,GWL))*GAM_D)/(GAM_W*PI()*E1144^2/4))</f>
        <v>99</v>
      </c>
      <c r="AA1144" s="27" t="n">
        <f aca="false">IF(I1144-E1144&gt;=GWL,99,E1144*(MAX(0,GWL-I1144)*(GAM_S-GAM_W)+MAX(0,NG-MAX(I1144,GWL))*GAM_D)/(GAM_W*PI()*E1144^2/4))</f>
        <v>99</v>
      </c>
      <c r="AB1144" s="27" t="n">
        <f aca="false">IF(H1144-E1144&gt;=GWL,99,E1144*(MAX(0,GWL-H1144)*(GAM_S-GAM_W)+MAX(0,FL-MAX(H1144,GWL))*GAM_D)/(GAM_W*PI()*E1144^2/4))</f>
        <v>99</v>
      </c>
      <c r="AC1144" s="27" t="n">
        <f aca="false">IF(I1144-E1144&gt;=GWL,99,E1144*(MAX(0,GWL-I1144)*(GAM_S-GAM_W)+MAX(0,FL-MAX(I1144,GWL))*GAM_D)/(GAM_W*PI()*E1144^2/4))</f>
        <v>99</v>
      </c>
    </row>
    <row r="1145" customFormat="false" ht="15" hidden="false" customHeight="false" outlineLevel="0" collapsed="false">
      <c r="A1145" s="25" t="s">
        <v>1763</v>
      </c>
      <c r="B1145" s="25" t="s">
        <v>1764</v>
      </c>
      <c r="C1145" s="25" t="s">
        <v>1770</v>
      </c>
      <c r="D1145" s="26" t="n">
        <v>0.673356002053227</v>
      </c>
      <c r="E1145" s="26" t="n">
        <v>1.59999898749624</v>
      </c>
      <c r="F1145" s="26" t="n">
        <v>0.171040506251879</v>
      </c>
      <c r="G1145" s="26" t="n">
        <v>-0.213079493748121</v>
      </c>
      <c r="H1145" s="26" t="n">
        <v>2.27103949374812</v>
      </c>
      <c r="I1145" s="26" t="n">
        <v>1.88691949374812</v>
      </c>
      <c r="J1145" s="26" t="n">
        <v>21.71</v>
      </c>
      <c r="K1145" s="27" t="n">
        <f aca="false">MIN(F1145,G1145)</f>
        <v>-0.213079493748121</v>
      </c>
      <c r="L1145" s="27" t="n">
        <f aca="false">AVERAGE(F1145,G1145)</f>
        <v>-0.021019493748121</v>
      </c>
      <c r="M1145" s="27" t="n">
        <f aca="false">MAX(0,NG-L1145)</f>
        <v>0</v>
      </c>
      <c r="N1145" s="27" t="n">
        <f aca="false">MAX(0,GWL-K1145)</f>
        <v>0</v>
      </c>
      <c r="O1145" s="27" t="n">
        <f aca="false">MAX(0,NG-MAX(K1145,GWL))</f>
        <v>0</v>
      </c>
      <c r="P1145" s="27" t="n">
        <f aca="false">E1145/2+WS+SLOPE_A*O1145+SLOPE_B*N1145</f>
        <v>1.79999949374812</v>
      </c>
      <c r="Q1145" s="28" t="str">
        <f aca="false">IF(AND(P1145&lt;J1145,N1145&lt;=MAXOC),"Open cut","Shoring")</f>
        <v>Open cut</v>
      </c>
      <c r="R1145" s="27" t="n">
        <f aca="false">IF(Q1145="Shoring",D1145,0)</f>
        <v>0</v>
      </c>
      <c r="S1145" s="27" t="n">
        <f aca="false">MAX(0,GWL-L1145)</f>
        <v>0</v>
      </c>
      <c r="T1145" s="27" t="n">
        <f aca="false">MAX(0,NG-MAX(L1145,GWL))</f>
        <v>0</v>
      </c>
      <c r="U1145" s="27" t="n">
        <f aca="false">E1145+2*WS</f>
        <v>3.59999898749624</v>
      </c>
      <c r="V1145" s="27" t="n">
        <f aca="false">IF(Q1145="Shoring",D1145*M1145*U1145,0)</f>
        <v>0</v>
      </c>
      <c r="W1145" s="27" t="n">
        <f aca="false">IF(Q1145="Open cut",D1145*(U1145*M1145+SLOPE_B*S1145^2+2*SLOPE_B*S1145*T1145+SLOPE_A*T1145^2),0)</f>
        <v>0</v>
      </c>
      <c r="X1145" s="27" t="n">
        <f aca="false">IF(M1145&gt;0,D1145*(E1145+2*SLABOVH)*SLAB,0)</f>
        <v>0</v>
      </c>
      <c r="Y1145" s="27" t="n">
        <f aca="false">IF(M1145&gt;0,D1145*PI()*E1145^2/4,0)</f>
        <v>0</v>
      </c>
      <c r="Z1145" s="27" t="n">
        <f aca="false">IF(H1145-E1145&gt;=GWL,99,E1145*(MAX(0,GWL-H1145)*(GAM_S-GAM_W)+MAX(0,NG-MAX(H1145,GWL))*GAM_D)/(GAM_W*PI()*E1145^2/4))</f>
        <v>99</v>
      </c>
      <c r="AA1145" s="27" t="n">
        <f aca="false">IF(I1145-E1145&gt;=GWL,99,E1145*(MAX(0,GWL-I1145)*(GAM_S-GAM_W)+MAX(0,NG-MAX(I1145,GWL))*GAM_D)/(GAM_W*PI()*E1145^2/4))</f>
        <v>99</v>
      </c>
      <c r="AB1145" s="27" t="n">
        <f aca="false">IF(H1145-E1145&gt;=GWL,99,E1145*(MAX(0,GWL-H1145)*(GAM_S-GAM_W)+MAX(0,FL-MAX(H1145,GWL))*GAM_D)/(GAM_W*PI()*E1145^2/4))</f>
        <v>99</v>
      </c>
      <c r="AC1145" s="27" t="n">
        <f aca="false">IF(I1145-E1145&gt;=GWL,99,E1145*(MAX(0,GWL-I1145)*(GAM_S-GAM_W)+MAX(0,FL-MAX(I1145,GWL))*GAM_D)/(GAM_W*PI()*E1145^2/4))</f>
        <v>99</v>
      </c>
    </row>
    <row r="1146" customFormat="false" ht="15" hidden="false" customHeight="false" outlineLevel="0" collapsed="false">
      <c r="A1146" s="25" t="s">
        <v>1763</v>
      </c>
      <c r="B1146" s="25" t="s">
        <v>1764</v>
      </c>
      <c r="C1146" s="25" t="s">
        <v>1771</v>
      </c>
      <c r="D1146" s="26" t="n">
        <v>4.881310000157</v>
      </c>
      <c r="E1146" s="26" t="n">
        <v>1.60000271937897</v>
      </c>
      <c r="F1146" s="26" t="n">
        <v>-0.213081359689482</v>
      </c>
      <c r="G1146" s="26" t="n">
        <v>-2.99767135968948</v>
      </c>
      <c r="H1146" s="26" t="n">
        <v>1.88692135968948</v>
      </c>
      <c r="I1146" s="26" t="n">
        <v>-0.897668640310518</v>
      </c>
      <c r="J1146" s="26" t="n">
        <v>21.88</v>
      </c>
      <c r="K1146" s="27" t="n">
        <f aca="false">MIN(F1146,G1146)</f>
        <v>-2.99767135968948</v>
      </c>
      <c r="L1146" s="27" t="n">
        <f aca="false">AVERAGE(F1146,G1146)</f>
        <v>-1.60537635968948</v>
      </c>
      <c r="M1146" s="27" t="n">
        <f aca="false">MAX(0,NG-L1146)</f>
        <v>0.905376359689483</v>
      </c>
      <c r="N1146" s="27" t="n">
        <f aca="false">MAX(0,GWL-K1146)</f>
        <v>1.49767135968948</v>
      </c>
      <c r="O1146" s="27" t="n">
        <f aca="false">MAX(0,NG-MAX(K1146,GWL))</f>
        <v>0.8</v>
      </c>
      <c r="P1146" s="27" t="n">
        <f aca="false">E1146/2+WS+SLOPE_A*O1146+SLOPE_B*N1146</f>
        <v>5.99534407906845</v>
      </c>
      <c r="Q1146" s="28" t="str">
        <f aca="false">IF(AND(P1146&lt;J1146,N1146&lt;=MAXOC),"Open cut","Shoring")</f>
        <v>Open cut</v>
      </c>
      <c r="R1146" s="27" t="n">
        <f aca="false">IF(Q1146="Shoring",D1146,0)</f>
        <v>0</v>
      </c>
      <c r="S1146" s="27" t="n">
        <f aca="false">MAX(0,GWL-L1146)</f>
        <v>0.105376359689483</v>
      </c>
      <c r="T1146" s="27" t="n">
        <f aca="false">MAX(0,NG-MAX(L1146,GWL))</f>
        <v>0.8</v>
      </c>
      <c r="U1146" s="27" t="n">
        <f aca="false">E1146+2*WS</f>
        <v>3.60000271937897</v>
      </c>
      <c r="V1146" s="27" t="n">
        <f aca="false">IF(Q1146="Shoring",D1146*M1146*U1146,0)</f>
        <v>0</v>
      </c>
      <c r="W1146" s="27" t="n">
        <f aca="false">IF(Q1146="Open cut",D1146*(U1146*M1146+SLOPE_B*S1146^2+2*SLOPE_B*S1146*T1146+SLOPE_A*T1146^2),0)</f>
        <v>22.3503960935866</v>
      </c>
      <c r="X1146" s="27" t="n">
        <f aca="false">IF(M1146&gt;0,D1146*(E1146+2*SLABOVH)*SLAB,0)</f>
        <v>6.34570963726997</v>
      </c>
      <c r="Y1146" s="27" t="n">
        <f aca="false">IF(M1146&gt;0,D1146*PI()*E1146^2/4,0)</f>
        <v>9.81448944884822</v>
      </c>
      <c r="Z1146" s="27" t="n">
        <f aca="false">IF(H1146-E1146&gt;=GWL,99,E1146*(MAX(0,GWL-H1146)*(GAM_S-GAM_W)+MAX(0,NG-MAX(H1146,GWL))*GAM_D)/(GAM_W*PI()*E1146^2/4))</f>
        <v>99</v>
      </c>
      <c r="AA1146" s="27" t="n">
        <f aca="false">IF(I1146-E1146&gt;=GWL,99,E1146*(MAX(0,GWL-I1146)*(GAM_S-GAM_W)+MAX(0,NG-MAX(I1146,GWL))*GAM_D)/(GAM_W*PI()*E1146^2/4))</f>
        <v>0.288622823211694</v>
      </c>
      <c r="AB1146" s="27" t="n">
        <f aca="false">IF(H1146-E1146&gt;=GWL,99,E1146*(MAX(0,GWL-H1146)*(GAM_S-GAM_W)+MAX(0,FL-MAX(H1146,GWL))*GAM_D)/(GAM_W*PI()*E1146^2/4))</f>
        <v>99</v>
      </c>
      <c r="AC1146" s="27" t="n">
        <f aca="false">IF(I1146-E1146&gt;=GWL,99,E1146*(MAX(0,GWL-I1146)*(GAM_S-GAM_W)+MAX(0,FL-MAX(I1146,GWL))*GAM_D)/(GAM_W*PI()*E1146^2/4))</f>
        <v>2.77085166178267</v>
      </c>
    </row>
    <row r="1147" customFormat="false" ht="15" hidden="false" customHeight="false" outlineLevel="0" collapsed="false">
      <c r="A1147" s="25" t="s">
        <v>1763</v>
      </c>
      <c r="B1147" s="25" t="s">
        <v>1764</v>
      </c>
      <c r="C1147" s="25" t="s">
        <v>1772</v>
      </c>
      <c r="D1147" s="26" t="n">
        <v>0.673969255022868</v>
      </c>
      <c r="E1147" s="26" t="n">
        <v>1.60000705165777</v>
      </c>
      <c r="F1147" s="26" t="n">
        <v>-2.99767352582889</v>
      </c>
      <c r="G1147" s="26" t="n">
        <v>-3.38214352582889</v>
      </c>
      <c r="H1147" s="26" t="n">
        <v>-0.897666474171115</v>
      </c>
      <c r="I1147" s="26" t="n">
        <v>-1.28213647417111</v>
      </c>
      <c r="J1147" s="26" t="n">
        <v>23.31</v>
      </c>
      <c r="K1147" s="27" t="n">
        <f aca="false">MIN(F1147,G1147)</f>
        <v>-3.38214352582889</v>
      </c>
      <c r="L1147" s="27" t="n">
        <f aca="false">AVERAGE(F1147,G1147)</f>
        <v>-3.18990852582889</v>
      </c>
      <c r="M1147" s="27" t="n">
        <f aca="false">MAX(0,NG-L1147)</f>
        <v>2.48990852582889</v>
      </c>
      <c r="N1147" s="27" t="n">
        <f aca="false">MAX(0,GWL-K1147)</f>
        <v>1.88214352582889</v>
      </c>
      <c r="O1147" s="27" t="n">
        <f aca="false">MAX(0,NG-MAX(K1147,GWL))</f>
        <v>0.8</v>
      </c>
      <c r="P1147" s="27" t="n">
        <f aca="false">E1147/2+WS+SLOPE_A*O1147+SLOPE_B*N1147</f>
        <v>6.76429057748666</v>
      </c>
      <c r="Q1147" s="28" t="str">
        <f aca="false">IF(AND(P1147&lt;J1147,N1147&lt;=MAXOC),"Open cut","Shoring")</f>
        <v>Open cut</v>
      </c>
      <c r="R1147" s="27" t="n">
        <f aca="false">IF(Q1147="Shoring",D1147,0)</f>
        <v>0</v>
      </c>
      <c r="S1147" s="27" t="n">
        <f aca="false">MAX(0,GWL-L1147)</f>
        <v>1.68990852582889</v>
      </c>
      <c r="T1147" s="27" t="n">
        <f aca="false">MAX(0,NG-MAX(L1147,GWL))</f>
        <v>0.8</v>
      </c>
      <c r="U1147" s="27" t="n">
        <f aca="false">E1147+2*WS</f>
        <v>3.60000705165777</v>
      </c>
      <c r="V1147" s="27" t="n">
        <f aca="false">IF(Q1147="Shoring",D1147*M1147*U1147,0)</f>
        <v>0</v>
      </c>
      <c r="W1147" s="27" t="n">
        <f aca="false">IF(Q1147="Open cut",D1147*(U1147*M1147+SLOPE_B*S1147^2+2*SLOPE_B*S1147*T1147+SLOPE_A*T1147^2),0)</f>
        <v>14.182319656809</v>
      </c>
      <c r="X1147" s="27" t="n">
        <f aca="false">IF(M1147&gt;0,D1147*(E1147+2*SLABOVH)*SLAB,0)</f>
        <v>0.876162407829996</v>
      </c>
      <c r="Y1147" s="27" t="n">
        <f aca="false">IF(M1147&gt;0,D1147*PI()*E1147^2/4,0)</f>
        <v>1.35510753522241</v>
      </c>
      <c r="Z1147" s="27" t="n">
        <f aca="false">IF(H1147-E1147&gt;=GWL,99,E1147*(MAX(0,GWL-H1147)*(GAM_S-GAM_W)+MAX(0,NG-MAX(H1147,GWL))*GAM_D)/(GAM_W*PI()*E1147^2/4))</f>
        <v>0.288618878872001</v>
      </c>
      <c r="AA1147" s="27" t="n">
        <f aca="false">IF(I1147-E1147&gt;=GWL,99,E1147*(MAX(0,GWL-I1147)*(GAM_S-GAM_W)+MAX(0,NG-MAX(I1147,GWL))*GAM_D)/(GAM_W*PI()*E1147^2/4))</f>
        <v>0.849995312712057</v>
      </c>
      <c r="AB1147" s="27" t="n">
        <f aca="false">IF(H1147-E1147&gt;=GWL,99,E1147*(MAX(0,GWL-H1147)*(GAM_S-GAM_W)+MAX(0,FL-MAX(H1147,GWL))*GAM_D)/(GAM_W*PI()*E1147^2/4))</f>
        <v>2.77084099640548</v>
      </c>
      <c r="AC1147" s="27" t="n">
        <f aca="false">IF(I1147-E1147&gt;=GWL,99,E1147*(MAX(0,GWL-I1147)*(GAM_S-GAM_W)+MAX(0,FL-MAX(I1147,GWL))*GAM_D)/(GAM_W*PI()*E1147^2/4))</f>
        <v>3.33221743024554</v>
      </c>
    </row>
    <row r="1148" customFormat="false" ht="15" hidden="false" customHeight="false" outlineLevel="0" collapsed="false">
      <c r="A1148" s="25" t="s">
        <v>1763</v>
      </c>
      <c r="B1148" s="25" t="s">
        <v>1764</v>
      </c>
      <c r="C1148" s="25" t="s">
        <v>1773</v>
      </c>
      <c r="D1148" s="26" t="n">
        <v>0.243077739335755</v>
      </c>
      <c r="E1148" s="26" t="n">
        <v>1.6000050212824</v>
      </c>
      <c r="F1148" s="26" t="n">
        <v>-3.3821425106412</v>
      </c>
      <c r="G1148" s="26" t="n">
        <v>-3.5208025106412</v>
      </c>
      <c r="H1148" s="26" t="n">
        <v>-1.2821374893588</v>
      </c>
      <c r="I1148" s="26" t="n">
        <v>-1.4207974893588</v>
      </c>
      <c r="J1148" s="26" t="n">
        <v>23.53</v>
      </c>
      <c r="K1148" s="27" t="n">
        <f aca="false">MIN(F1148,G1148)</f>
        <v>-3.5208025106412</v>
      </c>
      <c r="L1148" s="27" t="n">
        <f aca="false">AVERAGE(F1148,G1148)</f>
        <v>-3.4514725106412</v>
      </c>
      <c r="M1148" s="27" t="n">
        <f aca="false">MAX(0,NG-L1148)</f>
        <v>2.7514725106412</v>
      </c>
      <c r="N1148" s="27" t="n">
        <f aca="false">MAX(0,GWL-K1148)</f>
        <v>2.0208025106412</v>
      </c>
      <c r="O1148" s="27" t="n">
        <f aca="false">MAX(0,NG-MAX(K1148,GWL))</f>
        <v>0.8</v>
      </c>
      <c r="P1148" s="27" t="n">
        <f aca="false">E1148/2+WS+SLOPE_A*O1148+SLOPE_B*N1148</f>
        <v>7.0416075319236</v>
      </c>
      <c r="Q1148" s="28" t="str">
        <f aca="false">IF(AND(P1148&lt;J1148,N1148&lt;=MAXOC),"Open cut","Shoring")</f>
        <v>Open cut</v>
      </c>
      <c r="R1148" s="27" t="n">
        <f aca="false">IF(Q1148="Shoring",D1148,0)</f>
        <v>0</v>
      </c>
      <c r="S1148" s="27" t="n">
        <f aca="false">MAX(0,GWL-L1148)</f>
        <v>1.9514725106412</v>
      </c>
      <c r="T1148" s="27" t="n">
        <f aca="false">MAX(0,NG-MAX(L1148,GWL))</f>
        <v>0.8</v>
      </c>
      <c r="U1148" s="27" t="n">
        <f aca="false">E1148+2*WS</f>
        <v>3.6000050212824</v>
      </c>
      <c r="V1148" s="27" t="n">
        <f aca="false">IF(Q1148="Shoring",D1148*M1148*U1148,0)</f>
        <v>0</v>
      </c>
      <c r="W1148" s="27" t="n">
        <f aca="false">IF(Q1148="Open cut",D1148*(U1148*M1148+SLOPE_B*S1148^2+2*SLOPE_B*S1148*T1148+SLOPE_A*T1148^2),0)</f>
        <v>6.01046580730146</v>
      </c>
      <c r="X1148" s="27" t="n">
        <f aca="false">IF(M1148&gt;0,D1148*(E1148+2*SLABOVH)*SLAB,0)</f>
        <v>0.316001671417468</v>
      </c>
      <c r="Y1148" s="27" t="n">
        <f aca="false">IF(M1148&gt;0,D1148*PI()*E1148^2/4,0)</f>
        <v>0.488739861306627</v>
      </c>
      <c r="Z1148" s="27" t="n">
        <f aca="false">IF(H1148-E1148&gt;=GWL,99,E1148*(MAX(0,GWL-H1148)*(GAM_S-GAM_W)+MAX(0,NG-MAX(H1148,GWL))*GAM_D)/(GAM_W*PI()*E1148^2/4))</f>
        <v>0.849997873648186</v>
      </c>
      <c r="AA1148" s="27" t="n">
        <f aca="false">IF(I1148-E1148&gt;=GWL,99,E1148*(MAX(0,GWL-I1148)*(GAM_S-GAM_W)+MAX(0,NG-MAX(I1148,GWL))*GAM_D)/(GAM_W*PI()*E1148^2/4))</f>
        <v>1.05245984751947</v>
      </c>
      <c r="AB1148" s="27" t="n">
        <f aca="false">IF(H1148-E1148&gt;=GWL,99,E1148*(MAX(0,GWL-H1148)*(GAM_S-GAM_W)+MAX(0,FL-MAX(H1148,GWL))*GAM_D)/(GAM_W*PI()*E1148^2/4))</f>
        <v>3.33222314107344</v>
      </c>
      <c r="AC1148" s="27" t="n">
        <f aca="false">IF(I1148-E1148&gt;=GWL,99,E1148*(MAX(0,GWL-I1148)*(GAM_S-GAM_W)+MAX(0,FL-MAX(I1148,GWL))*GAM_D)/(GAM_W*PI()*E1148^2/4))</f>
        <v>3.53468511494473</v>
      </c>
    </row>
    <row r="1149" customFormat="false" ht="15" hidden="false" customHeight="false" outlineLevel="0" collapsed="false">
      <c r="A1149" s="25" t="s">
        <v>1763</v>
      </c>
      <c r="B1149" s="25" t="s">
        <v>1764</v>
      </c>
      <c r="C1149" s="25" t="s">
        <v>1774</v>
      </c>
      <c r="D1149" s="26" t="n">
        <v>0.720603992284165</v>
      </c>
      <c r="E1149" s="26" t="n">
        <v>1.59999784641951</v>
      </c>
      <c r="F1149" s="26" t="n">
        <v>-3.52079892320976</v>
      </c>
      <c r="G1149" s="26" t="n">
        <v>-3.93187701754736</v>
      </c>
      <c r="H1149" s="26" t="n">
        <v>-1.42080107679024</v>
      </c>
      <c r="I1149" s="26" t="n">
        <v>-1.83187917112785</v>
      </c>
      <c r="J1149" s="26" t="n">
        <v>23.62</v>
      </c>
      <c r="K1149" s="27" t="n">
        <f aca="false">MIN(F1149,G1149)</f>
        <v>-3.93187701754736</v>
      </c>
      <c r="L1149" s="27" t="n">
        <f aca="false">AVERAGE(F1149,G1149)</f>
        <v>-3.72633797037856</v>
      </c>
      <c r="M1149" s="27" t="n">
        <f aca="false">MAX(0,NG-L1149)</f>
        <v>3.02633797037856</v>
      </c>
      <c r="N1149" s="27" t="n">
        <f aca="false">MAX(0,GWL-K1149)</f>
        <v>2.43187701754736</v>
      </c>
      <c r="O1149" s="27" t="n">
        <f aca="false">MAX(0,NG-MAX(K1149,GWL))</f>
        <v>0.8</v>
      </c>
      <c r="P1149" s="27" t="n">
        <f aca="false">E1149/2+WS+SLOPE_A*O1149+SLOPE_B*N1149</f>
        <v>7.86375295830448</v>
      </c>
      <c r="Q1149" s="28" t="str">
        <f aca="false">IF(AND(P1149&lt;J1149,N1149&lt;=MAXOC),"Open cut","Shoring")</f>
        <v>Open cut</v>
      </c>
      <c r="R1149" s="27" t="n">
        <f aca="false">IF(Q1149="Shoring",D1149,0)</f>
        <v>0</v>
      </c>
      <c r="S1149" s="27" t="n">
        <f aca="false">MAX(0,GWL-L1149)</f>
        <v>2.22633797037856</v>
      </c>
      <c r="T1149" s="27" t="n">
        <f aca="false">MAX(0,NG-MAX(L1149,GWL))</f>
        <v>0.8</v>
      </c>
      <c r="U1149" s="27" t="n">
        <f aca="false">E1149+2*WS</f>
        <v>3.59999784641951</v>
      </c>
      <c r="V1149" s="27" t="n">
        <f aca="false">IF(Q1149="Shoring",D1149*M1149*U1149,0)</f>
        <v>0</v>
      </c>
      <c r="W1149" s="27" t="n">
        <f aca="false">IF(Q1149="Open cut",D1149*(U1149*M1149+SLOPE_B*S1149^2+2*SLOPE_B*S1149*T1149+SLOPE_A*T1149^2),0)</f>
        <v>20.8198730004271</v>
      </c>
      <c r="X1149" s="27" t="n">
        <f aca="false">IF(M1149&gt;0,D1149*(E1149+2*SLABOVH)*SLAB,0)</f>
        <v>0.936784414030067</v>
      </c>
      <c r="Y1149" s="27" t="n">
        <f aca="false">IF(M1149&gt;0,D1149*PI()*E1149^2/4,0)</f>
        <v>1.4488563930228</v>
      </c>
      <c r="Z1149" s="27" t="n">
        <f aca="false">IF(H1149-E1149&gt;=GWL,99,E1149*(MAX(0,GWL-H1149)*(GAM_S-GAM_W)+MAX(0,NG-MAX(H1149,GWL))*GAM_D)/(GAM_W*PI()*E1149^2/4))</f>
        <v>1.05246980520903</v>
      </c>
      <c r="AA1149" s="27" t="n">
        <f aca="false">IF(I1149-E1149&gt;=GWL,99,E1149*(MAX(0,GWL-I1149)*(GAM_S-GAM_W)+MAX(0,NG-MAX(I1149,GWL))*GAM_D)/(GAM_W*PI()*E1149^2/4))</f>
        <v>1.38859957815639</v>
      </c>
      <c r="AB1149" s="27" t="n">
        <f aca="false">IF(H1149-E1149&gt;=GWL,99,E1149*(MAX(0,GWL-H1149)*(GAM_S-GAM_W)+MAX(0,FL-MAX(H1149,GWL))*GAM_D)/(GAM_W*PI()*E1149^2/4))</f>
        <v>3.53470620366548</v>
      </c>
      <c r="AC1149" s="27" t="n">
        <f aca="false">IF(I1149-E1149&gt;=GWL,99,E1149*(MAX(0,GWL-I1149)*(GAM_S-GAM_W)+MAX(0,FL-MAX(I1149,GWL))*GAM_D)/(GAM_W*PI()*E1149^2/4))</f>
        <v>3.87083597661285</v>
      </c>
    </row>
    <row r="1150" customFormat="false" ht="15" hidden="false" customHeight="false" outlineLevel="0" collapsed="false">
      <c r="A1150" s="25" t="s">
        <v>1763</v>
      </c>
      <c r="B1150" s="25" t="s">
        <v>1764</v>
      </c>
      <c r="C1150" s="25" t="s">
        <v>1775</v>
      </c>
      <c r="D1150" s="26" t="n">
        <v>0.119415064314066</v>
      </c>
      <c r="E1150" s="26" t="n">
        <v>1.59999784641951</v>
      </c>
      <c r="F1150" s="26" t="n">
        <v>-3.93187701754736</v>
      </c>
      <c r="G1150" s="26" t="n">
        <v>-3.99999892320976</v>
      </c>
      <c r="H1150" s="26" t="n">
        <v>-1.83187917112785</v>
      </c>
      <c r="I1150" s="26" t="n">
        <v>-1.90000107679024</v>
      </c>
      <c r="J1150" s="26" t="n">
        <v>23.88</v>
      </c>
      <c r="K1150" s="27" t="n">
        <f aca="false">MIN(F1150,G1150)</f>
        <v>-3.99999892320976</v>
      </c>
      <c r="L1150" s="27" t="n">
        <f aca="false">AVERAGE(F1150,G1150)</f>
        <v>-3.96593797037856</v>
      </c>
      <c r="M1150" s="27" t="n">
        <f aca="false">MAX(0,NG-L1150)</f>
        <v>3.26593797037856</v>
      </c>
      <c r="N1150" s="27" t="n">
        <f aca="false">MAX(0,GWL-K1150)</f>
        <v>2.49999892320976</v>
      </c>
      <c r="O1150" s="27" t="n">
        <f aca="false">MAX(0,NG-MAX(K1150,GWL))</f>
        <v>0.8</v>
      </c>
      <c r="P1150" s="27" t="n">
        <f aca="false">E1150/2+WS+SLOPE_A*O1150+SLOPE_B*N1150</f>
        <v>7.99999676962927</v>
      </c>
      <c r="Q1150" s="28" t="str">
        <f aca="false">IF(AND(P1150&lt;J1150,N1150&lt;=MAXOC),"Open cut","Shoring")</f>
        <v>Open cut</v>
      </c>
      <c r="R1150" s="27" t="n">
        <f aca="false">IF(Q1150="Shoring",D1150,0)</f>
        <v>0</v>
      </c>
      <c r="S1150" s="27" t="n">
        <f aca="false">MAX(0,GWL-L1150)</f>
        <v>2.46593797037856</v>
      </c>
      <c r="T1150" s="27" t="n">
        <f aca="false">MAX(0,NG-MAX(L1150,GWL))</f>
        <v>0.8</v>
      </c>
      <c r="U1150" s="27" t="n">
        <f aca="false">E1150+2*WS</f>
        <v>3.59999784641951</v>
      </c>
      <c r="V1150" s="27" t="n">
        <f aca="false">IF(Q1150="Shoring",D1150*M1150*U1150,0)</f>
        <v>0</v>
      </c>
      <c r="W1150" s="27" t="n">
        <f aca="false">IF(Q1150="Open cut",D1150*(U1150*M1150+SLOPE_B*S1150^2+2*SLOPE_B*S1150*T1150+SLOPE_A*T1150^2),0)</f>
        <v>3.91324017337345</v>
      </c>
      <c r="X1150" s="27" t="n">
        <f aca="false">IF(M1150&gt;0,D1150*(E1150+2*SLABOVH)*SLAB,0)</f>
        <v>0.15523945502331</v>
      </c>
      <c r="Y1150" s="27" t="n">
        <f aca="false">IF(M1150&gt;0,D1150*PI()*E1150^2/4,0)</f>
        <v>0.240097586479143</v>
      </c>
      <c r="Z1150" s="27" t="n">
        <f aca="false">IF(H1150-E1150&gt;=GWL,99,E1150*(MAX(0,GWL-H1150)*(GAM_S-GAM_W)+MAX(0,NG-MAX(H1150,GWL))*GAM_D)/(GAM_W*PI()*E1150^2/4))</f>
        <v>1.38859957815639</v>
      </c>
      <c r="AA1150" s="27" t="n">
        <f aca="false">IF(I1150-E1150&gt;=GWL,99,E1150*(MAX(0,GWL-I1150)*(GAM_S-GAM_W)+MAX(0,NG-MAX(I1150,GWL))*GAM_D)/(GAM_W*PI()*E1150^2/4))</f>
        <v>1.43385727025297</v>
      </c>
      <c r="AB1150" s="27" t="n">
        <f aca="false">IF(H1150-E1150&gt;=GWL,99,E1150*(MAX(0,GWL-H1150)*(GAM_S-GAM_W)+MAX(0,FL-MAX(H1150,GWL))*GAM_D)/(GAM_W*PI()*E1150^2/4))</f>
        <v>3.87083597661285</v>
      </c>
      <c r="AC1150" s="27" t="n">
        <f aca="false">IF(I1150-E1150&gt;=GWL,99,E1150*(MAX(0,GWL-I1150)*(GAM_S-GAM_W)+MAX(0,FL-MAX(I1150,GWL))*GAM_D)/(GAM_W*PI()*E1150^2/4))</f>
        <v>3.91609366870942</v>
      </c>
    </row>
    <row r="1151" customFormat="false" ht="15" hidden="false" customHeight="false" outlineLevel="0" collapsed="false">
      <c r="A1151" s="25" t="s">
        <v>1763</v>
      </c>
      <c r="B1151" s="25" t="s">
        <v>1764</v>
      </c>
      <c r="C1151" s="25" t="s">
        <v>1776</v>
      </c>
      <c r="D1151" s="26" t="n">
        <v>9.8805849353441</v>
      </c>
      <c r="E1151" s="26" t="n">
        <v>1.60000039109245</v>
      </c>
      <c r="F1151" s="26" t="n">
        <v>-4.00000019554622</v>
      </c>
      <c r="G1151" s="26" t="n">
        <v>-4.00000019554622</v>
      </c>
      <c r="H1151" s="26" t="n">
        <v>-1.89999980445378</v>
      </c>
      <c r="I1151" s="26" t="n">
        <v>-1.89999980445378</v>
      </c>
      <c r="J1151" s="26" t="n">
        <v>23.92</v>
      </c>
      <c r="K1151" s="27" t="n">
        <f aca="false">MIN(F1151,G1151)</f>
        <v>-4.00000019554622</v>
      </c>
      <c r="L1151" s="27" t="n">
        <f aca="false">AVERAGE(F1151,G1151)</f>
        <v>-4.00000019554622</v>
      </c>
      <c r="M1151" s="27" t="n">
        <f aca="false">MAX(0,NG-L1151)</f>
        <v>3.30000019554622</v>
      </c>
      <c r="N1151" s="27" t="n">
        <f aca="false">MAX(0,GWL-K1151)</f>
        <v>2.50000019554622</v>
      </c>
      <c r="O1151" s="27" t="n">
        <f aca="false">MAX(0,NG-MAX(K1151,GWL))</f>
        <v>0.8</v>
      </c>
      <c r="P1151" s="27" t="n">
        <f aca="false">E1151/2+WS+SLOPE_A*O1151+SLOPE_B*N1151</f>
        <v>8.00000058663867</v>
      </c>
      <c r="Q1151" s="28" t="str">
        <f aca="false">IF(AND(P1151&lt;J1151,N1151&lt;=MAXOC),"Open cut","Shoring")</f>
        <v>Shoring</v>
      </c>
      <c r="R1151" s="27" t="n">
        <f aca="false">IF(Q1151="Shoring",D1151,0)</f>
        <v>9.8805849353441</v>
      </c>
      <c r="S1151" s="27" t="n">
        <f aca="false">MAX(0,GWL-L1151)</f>
        <v>2.50000019554622</v>
      </c>
      <c r="T1151" s="27" t="n">
        <f aca="false">MAX(0,NG-MAX(L1151,GWL))</f>
        <v>0.8</v>
      </c>
      <c r="U1151" s="27" t="n">
        <f aca="false">E1151+2*WS</f>
        <v>3.60000039109245</v>
      </c>
      <c r="V1151" s="27" t="n">
        <f aca="false">IF(Q1151="Shoring",D1151*M1151*U1151,0)</f>
        <v>117.381368739422</v>
      </c>
      <c r="W1151" s="27" t="n">
        <f aca="false">IF(Q1151="Open cut",D1151*(U1151*M1151+SLOPE_B*S1151^2+2*SLOPE_B*S1151*T1151+SLOPE_A*T1151^2),0)</f>
        <v>0</v>
      </c>
      <c r="X1151" s="27" t="n">
        <f aca="false">IF(M1151&gt;0,D1151*(E1151+2*SLABOVH)*SLAB,0)</f>
        <v>12.8447623480584</v>
      </c>
      <c r="Y1151" s="27" t="n">
        <f aca="false">IF(M1151&gt;0,D1151*PI()*E1151^2/4,0)</f>
        <v>19.8661044613208</v>
      </c>
      <c r="Z1151" s="27" t="n">
        <f aca="false">IF(H1151-E1151&gt;=GWL,99,E1151*(MAX(0,GWL-H1151)*(GAM_S-GAM_W)+MAX(0,NG-MAX(H1151,GWL))*GAM_D)/(GAM_W*PI()*E1151^2/4))</f>
        <v>1.43385414452514</v>
      </c>
      <c r="AA1151" s="27" t="n">
        <f aca="false">IF(I1151-E1151&gt;=GWL,99,E1151*(MAX(0,GWL-I1151)*(GAM_S-GAM_W)+MAX(0,NG-MAX(I1151,GWL))*GAM_D)/(GAM_W*PI()*E1151^2/4))</f>
        <v>1.43385414452514</v>
      </c>
      <c r="AB1151" s="27" t="n">
        <f aca="false">IF(H1151-E1151&gt;=GWL,99,E1151*(MAX(0,GWL-H1151)*(GAM_S-GAM_W)+MAX(0,FL-MAX(H1151,GWL))*GAM_D)/(GAM_W*PI()*E1151^2/4))</f>
        <v>3.91608659518269</v>
      </c>
      <c r="AC1151" s="27" t="n">
        <f aca="false">IF(I1151-E1151&gt;=GWL,99,E1151*(MAX(0,GWL-I1151)*(GAM_S-GAM_W)+MAX(0,FL-MAX(I1151,GWL))*GAM_D)/(GAM_W*PI()*E1151^2/4))</f>
        <v>3.91608659518269</v>
      </c>
    </row>
    <row r="1152" customFormat="false" ht="15" hidden="false" customHeight="false" outlineLevel="0" collapsed="false">
      <c r="A1152" s="25" t="s">
        <v>1763</v>
      </c>
      <c r="B1152" s="25" t="s">
        <v>1764</v>
      </c>
      <c r="C1152" s="25" t="s">
        <v>1777</v>
      </c>
      <c r="D1152" s="26" t="n">
        <v>9.99999999983184</v>
      </c>
      <c r="E1152" s="26" t="n">
        <v>1.60000039109245</v>
      </c>
      <c r="F1152" s="26" t="n">
        <v>-4.00000019554622</v>
      </c>
      <c r="G1152" s="26" t="n">
        <v>-4.00000019554622</v>
      </c>
      <c r="H1152" s="26" t="n">
        <v>-1.89999980445378</v>
      </c>
      <c r="I1152" s="26" t="n">
        <v>-1.89999980445378</v>
      </c>
      <c r="J1152" s="26" t="n">
        <v>28.3</v>
      </c>
      <c r="K1152" s="27" t="n">
        <f aca="false">MIN(F1152,G1152)</f>
        <v>-4.00000019554622</v>
      </c>
      <c r="L1152" s="27" t="n">
        <f aca="false">AVERAGE(F1152,G1152)</f>
        <v>-4.00000019554622</v>
      </c>
      <c r="M1152" s="27" t="n">
        <f aca="false">MAX(0,NG-L1152)</f>
        <v>3.30000019554622</v>
      </c>
      <c r="N1152" s="27" t="n">
        <f aca="false">MAX(0,GWL-K1152)</f>
        <v>2.50000019554622</v>
      </c>
      <c r="O1152" s="27" t="n">
        <f aca="false">MAX(0,NG-MAX(K1152,GWL))</f>
        <v>0.8</v>
      </c>
      <c r="P1152" s="27" t="n">
        <f aca="false">E1152/2+WS+SLOPE_A*O1152+SLOPE_B*N1152</f>
        <v>8.00000058663867</v>
      </c>
      <c r="Q1152" s="28" t="str">
        <f aca="false">IF(AND(P1152&lt;J1152,N1152&lt;=MAXOC),"Open cut","Shoring")</f>
        <v>Shoring</v>
      </c>
      <c r="R1152" s="27" t="n">
        <f aca="false">IF(Q1152="Shoring",D1152,0)</f>
        <v>9.99999999983184</v>
      </c>
      <c r="S1152" s="27" t="n">
        <f aca="false">MAX(0,GWL-L1152)</f>
        <v>2.50000019554622</v>
      </c>
      <c r="T1152" s="27" t="n">
        <f aca="false">MAX(0,NG-MAX(L1152,GWL))</f>
        <v>0.8</v>
      </c>
      <c r="U1152" s="27" t="n">
        <f aca="false">E1152+2*WS</f>
        <v>3.60000039109245</v>
      </c>
      <c r="V1152" s="27" t="n">
        <f aca="false">IF(Q1152="Shoring",D1152*M1152*U1152,0)</f>
        <v>118.800019943718</v>
      </c>
      <c r="W1152" s="27" t="n">
        <f aca="false">IF(Q1152="Open cut",D1152*(U1152*M1152+SLOPE_B*S1152^2+2*SLOPE_B*S1152*T1152+SLOPE_A*T1152^2),0)</f>
        <v>0</v>
      </c>
      <c r="X1152" s="27" t="n">
        <f aca="false">IF(M1152&gt;0,D1152*(E1152+2*SLABOVH)*SLAB,0)</f>
        <v>13.0000019552436</v>
      </c>
      <c r="Y1152" s="27" t="n">
        <f aca="false">IF(M1152&gt;0,D1152*PI()*E1152^2/4,0)</f>
        <v>20.106202811863</v>
      </c>
      <c r="Z1152" s="27" t="n">
        <f aca="false">IF(H1152-E1152&gt;=GWL,99,E1152*(MAX(0,GWL-H1152)*(GAM_S-GAM_W)+MAX(0,NG-MAX(H1152,GWL))*GAM_D)/(GAM_W*PI()*E1152^2/4))</f>
        <v>1.43385414452514</v>
      </c>
      <c r="AA1152" s="27" t="n">
        <f aca="false">IF(I1152-E1152&gt;=GWL,99,E1152*(MAX(0,GWL-I1152)*(GAM_S-GAM_W)+MAX(0,NG-MAX(I1152,GWL))*GAM_D)/(GAM_W*PI()*E1152^2/4))</f>
        <v>1.43385414452514</v>
      </c>
      <c r="AB1152" s="27" t="n">
        <f aca="false">IF(H1152-E1152&gt;=GWL,99,E1152*(MAX(0,GWL-H1152)*(GAM_S-GAM_W)+MAX(0,FL-MAX(H1152,GWL))*GAM_D)/(GAM_W*PI()*E1152^2/4))</f>
        <v>3.91608659518269</v>
      </c>
      <c r="AC1152" s="27" t="n">
        <f aca="false">IF(I1152-E1152&gt;=GWL,99,E1152*(MAX(0,GWL-I1152)*(GAM_S-GAM_W)+MAX(0,FL-MAX(I1152,GWL))*GAM_D)/(GAM_W*PI()*E1152^2/4))</f>
        <v>3.91608659518269</v>
      </c>
    </row>
    <row r="1153" customFormat="false" ht="15" hidden="false" customHeight="false" outlineLevel="0" collapsed="false">
      <c r="A1153" s="25" t="s">
        <v>1763</v>
      </c>
      <c r="B1153" s="25" t="s">
        <v>1764</v>
      </c>
      <c r="C1153" s="25" t="s">
        <v>1778</v>
      </c>
      <c r="D1153" s="26" t="n">
        <v>8.12341506487929</v>
      </c>
      <c r="E1153" s="26" t="n">
        <v>1.60000039109245</v>
      </c>
      <c r="F1153" s="26" t="n">
        <v>-4.00000019554622</v>
      </c>
      <c r="G1153" s="26" t="n">
        <v>-4.00000019554622</v>
      </c>
      <c r="H1153" s="26" t="n">
        <v>-1.89999980445378</v>
      </c>
      <c r="I1153" s="26" t="n">
        <v>-1.89999980445378</v>
      </c>
      <c r="J1153" s="26" t="n">
        <v>34.02</v>
      </c>
      <c r="K1153" s="27" t="n">
        <f aca="false">MIN(F1153,G1153)</f>
        <v>-4.00000019554622</v>
      </c>
      <c r="L1153" s="27" t="n">
        <f aca="false">AVERAGE(F1153,G1153)</f>
        <v>-4.00000019554622</v>
      </c>
      <c r="M1153" s="27" t="n">
        <f aca="false">MAX(0,NG-L1153)</f>
        <v>3.30000019554622</v>
      </c>
      <c r="N1153" s="27" t="n">
        <f aca="false">MAX(0,GWL-K1153)</f>
        <v>2.50000019554622</v>
      </c>
      <c r="O1153" s="27" t="n">
        <f aca="false">MAX(0,NG-MAX(K1153,GWL))</f>
        <v>0.8</v>
      </c>
      <c r="P1153" s="27" t="n">
        <f aca="false">E1153/2+WS+SLOPE_A*O1153+SLOPE_B*N1153</f>
        <v>8.00000058663867</v>
      </c>
      <c r="Q1153" s="28" t="str">
        <f aca="false">IF(AND(P1153&lt;J1153,N1153&lt;=MAXOC),"Open cut","Shoring")</f>
        <v>Shoring</v>
      </c>
      <c r="R1153" s="27" t="n">
        <f aca="false">IF(Q1153="Shoring",D1153,0)</f>
        <v>8.12341506487929</v>
      </c>
      <c r="S1153" s="27" t="n">
        <f aca="false">MAX(0,GWL-L1153)</f>
        <v>2.50000019554622</v>
      </c>
      <c r="T1153" s="27" t="n">
        <f aca="false">MAX(0,NG-MAX(L1153,GWL))</f>
        <v>0.8</v>
      </c>
      <c r="U1153" s="27" t="n">
        <f aca="false">E1153+2*WS</f>
        <v>3.60000039109245</v>
      </c>
      <c r="V1153" s="27" t="n">
        <f aca="false">IF(Q1153="Shoring",D1153*M1153*U1153,0)</f>
        <v>96.5061871734986</v>
      </c>
      <c r="W1153" s="27" t="n">
        <f aca="false">IF(Q1153="Open cut",D1153*(U1153*M1153+SLOPE_B*S1153^2+2*SLOPE_B*S1153*T1153+SLOPE_A*T1153^2),0)</f>
        <v>0</v>
      </c>
      <c r="X1153" s="27" t="n">
        <f aca="false">IF(M1153&gt;0,D1153*(E1153+2*SLABOVH)*SLAB,0)</f>
        <v>10.5604411728462</v>
      </c>
      <c r="Y1153" s="27" t="n">
        <f aca="false">IF(M1153&gt;0,D1153*PI()*E1153^2/4,0)</f>
        <v>16.3331030822153</v>
      </c>
      <c r="Z1153" s="27" t="n">
        <f aca="false">IF(H1153-E1153&gt;=GWL,99,E1153*(MAX(0,GWL-H1153)*(GAM_S-GAM_W)+MAX(0,NG-MAX(H1153,GWL))*GAM_D)/(GAM_W*PI()*E1153^2/4))</f>
        <v>1.43385414452514</v>
      </c>
      <c r="AA1153" s="27" t="n">
        <f aca="false">IF(I1153-E1153&gt;=GWL,99,E1153*(MAX(0,GWL-I1153)*(GAM_S-GAM_W)+MAX(0,NG-MAX(I1153,GWL))*GAM_D)/(GAM_W*PI()*E1153^2/4))</f>
        <v>1.43385414452514</v>
      </c>
      <c r="AB1153" s="27" t="n">
        <f aca="false">IF(H1153-E1153&gt;=GWL,99,E1153*(MAX(0,GWL-H1153)*(GAM_S-GAM_W)+MAX(0,FL-MAX(H1153,GWL))*GAM_D)/(GAM_W*PI()*E1153^2/4))</f>
        <v>3.91608659518269</v>
      </c>
      <c r="AC1153" s="27" t="n">
        <f aca="false">IF(I1153-E1153&gt;=GWL,99,E1153*(MAX(0,GWL-I1153)*(GAM_S-GAM_W)+MAX(0,FL-MAX(I1153,GWL))*GAM_D)/(GAM_W*PI()*E1153^2/4))</f>
        <v>3.91608659518269</v>
      </c>
    </row>
    <row r="1154" customFormat="false" ht="15" hidden="false" customHeight="false" outlineLevel="0" collapsed="false">
      <c r="A1154" s="25" t="s">
        <v>1779</v>
      </c>
      <c r="B1154" s="25" t="s">
        <v>1780</v>
      </c>
      <c r="C1154" s="25" t="s">
        <v>1781</v>
      </c>
      <c r="D1154" s="26" t="n">
        <v>0.0500099999832467</v>
      </c>
      <c r="E1154" s="26" t="n">
        <v>1.59999975128539</v>
      </c>
      <c r="F1154" s="26" t="n">
        <v>0.800000124357306</v>
      </c>
      <c r="G1154" s="26" t="n">
        <v>0.800000124357306</v>
      </c>
      <c r="H1154" s="26" t="n">
        <v>2.8999998756427</v>
      </c>
      <c r="I1154" s="26" t="n">
        <v>2.8999998756427</v>
      </c>
      <c r="J1154" s="26" t="n">
        <v>21.09</v>
      </c>
      <c r="K1154" s="27" t="n">
        <f aca="false">MIN(F1154,G1154)</f>
        <v>0.800000124357306</v>
      </c>
      <c r="L1154" s="27" t="n">
        <f aca="false">AVERAGE(F1154,G1154)</f>
        <v>0.800000124357306</v>
      </c>
      <c r="M1154" s="27" t="n">
        <f aca="false">MAX(0,NG-L1154)</f>
        <v>0</v>
      </c>
      <c r="N1154" s="27" t="n">
        <f aca="false">MAX(0,GWL-K1154)</f>
        <v>0</v>
      </c>
      <c r="O1154" s="27" t="n">
        <f aca="false">MAX(0,NG-MAX(K1154,GWL))</f>
        <v>0</v>
      </c>
      <c r="P1154" s="27" t="n">
        <f aca="false">E1154/2+WS+SLOPE_A*O1154+SLOPE_B*N1154</f>
        <v>1.79999987564269</v>
      </c>
      <c r="Q1154" s="28" t="str">
        <f aca="false">IF(AND(P1154&lt;J1154,N1154&lt;=MAXOC),"Open cut","Shoring")</f>
        <v>Open cut</v>
      </c>
      <c r="R1154" s="27" t="n">
        <f aca="false">IF(Q1154="Shoring",D1154,0)</f>
        <v>0</v>
      </c>
      <c r="S1154" s="27" t="n">
        <f aca="false">MAX(0,GWL-L1154)</f>
        <v>0</v>
      </c>
      <c r="T1154" s="27" t="n">
        <f aca="false">MAX(0,NG-MAX(L1154,GWL))</f>
        <v>0</v>
      </c>
      <c r="U1154" s="27" t="n">
        <f aca="false">E1154+2*WS</f>
        <v>3.59999975128539</v>
      </c>
      <c r="V1154" s="27" t="n">
        <f aca="false">IF(Q1154="Shoring",D1154*M1154*U1154,0)</f>
        <v>0</v>
      </c>
      <c r="W1154" s="27" t="n">
        <f aca="false">IF(Q1154="Open cut",D1154*(U1154*M1154+SLOPE_B*S1154^2+2*SLOPE_B*S1154*T1154+SLOPE_A*T1154^2),0)</f>
        <v>0</v>
      </c>
      <c r="X1154" s="27" t="n">
        <f aca="false">IF(M1154&gt;0,D1154*(E1154+2*SLABOVH)*SLAB,0)</f>
        <v>0</v>
      </c>
      <c r="Y1154" s="27" t="n">
        <f aca="false">IF(M1154&gt;0,D1154*PI()*E1154^2/4,0)</f>
        <v>0</v>
      </c>
      <c r="Z1154" s="27" t="n">
        <f aca="false">IF(H1154-E1154&gt;=GWL,99,E1154*(MAX(0,GWL-H1154)*(GAM_S-GAM_W)+MAX(0,NG-MAX(H1154,GWL))*GAM_D)/(GAM_W*PI()*E1154^2/4))</f>
        <v>99</v>
      </c>
      <c r="AA1154" s="27" t="n">
        <f aca="false">IF(I1154-E1154&gt;=GWL,99,E1154*(MAX(0,GWL-I1154)*(GAM_S-GAM_W)+MAX(0,NG-MAX(I1154,GWL))*GAM_D)/(GAM_W*PI()*E1154^2/4))</f>
        <v>99</v>
      </c>
      <c r="AB1154" s="27" t="n">
        <f aca="false">IF(H1154-E1154&gt;=GWL,99,E1154*(MAX(0,GWL-H1154)*(GAM_S-GAM_W)+MAX(0,FL-MAX(H1154,GWL))*GAM_D)/(GAM_W*PI()*E1154^2/4))</f>
        <v>99</v>
      </c>
      <c r="AC1154" s="27" t="n">
        <f aca="false">IF(I1154-E1154&gt;=GWL,99,E1154*(MAX(0,GWL-I1154)*(GAM_S-GAM_W)+MAX(0,FL-MAX(I1154,GWL))*GAM_D)/(GAM_W*PI()*E1154^2/4))</f>
        <v>99</v>
      </c>
    </row>
    <row r="1155" customFormat="false" ht="15" hidden="false" customHeight="false" outlineLevel="0" collapsed="false">
      <c r="A1155" s="25" t="s">
        <v>1779</v>
      </c>
      <c r="B1155" s="25" t="s">
        <v>1780</v>
      </c>
      <c r="C1155" s="25" t="s">
        <v>1782</v>
      </c>
      <c r="D1155" s="26" t="n">
        <v>0.203988996730396</v>
      </c>
      <c r="E1155" s="26" t="n">
        <v>1.59999975128539</v>
      </c>
      <c r="F1155" s="26" t="n">
        <v>0.800000124357306</v>
      </c>
      <c r="G1155" s="26" t="n">
        <v>0.800000124357306</v>
      </c>
      <c r="H1155" s="26" t="n">
        <v>2.8999998756427</v>
      </c>
      <c r="I1155" s="26" t="n">
        <v>2.8999998756427</v>
      </c>
      <c r="J1155" s="26" t="n">
        <v>21.1</v>
      </c>
      <c r="K1155" s="27" t="n">
        <f aca="false">MIN(F1155,G1155)</f>
        <v>0.800000124357306</v>
      </c>
      <c r="L1155" s="27" t="n">
        <f aca="false">AVERAGE(F1155,G1155)</f>
        <v>0.800000124357306</v>
      </c>
      <c r="M1155" s="27" t="n">
        <f aca="false">MAX(0,NG-L1155)</f>
        <v>0</v>
      </c>
      <c r="N1155" s="27" t="n">
        <f aca="false">MAX(0,GWL-K1155)</f>
        <v>0</v>
      </c>
      <c r="O1155" s="27" t="n">
        <f aca="false">MAX(0,NG-MAX(K1155,GWL))</f>
        <v>0</v>
      </c>
      <c r="P1155" s="27" t="n">
        <f aca="false">E1155/2+WS+SLOPE_A*O1155+SLOPE_B*N1155</f>
        <v>1.79999987564269</v>
      </c>
      <c r="Q1155" s="28" t="str">
        <f aca="false">IF(AND(P1155&lt;J1155,N1155&lt;=MAXOC),"Open cut","Shoring")</f>
        <v>Open cut</v>
      </c>
      <c r="R1155" s="27" t="n">
        <f aca="false">IF(Q1155="Shoring",D1155,0)</f>
        <v>0</v>
      </c>
      <c r="S1155" s="27" t="n">
        <f aca="false">MAX(0,GWL-L1155)</f>
        <v>0</v>
      </c>
      <c r="T1155" s="27" t="n">
        <f aca="false">MAX(0,NG-MAX(L1155,GWL))</f>
        <v>0</v>
      </c>
      <c r="U1155" s="27" t="n">
        <f aca="false">E1155+2*WS</f>
        <v>3.59999975128539</v>
      </c>
      <c r="V1155" s="27" t="n">
        <f aca="false">IF(Q1155="Shoring",D1155*M1155*U1155,0)</f>
        <v>0</v>
      </c>
      <c r="W1155" s="27" t="n">
        <f aca="false">IF(Q1155="Open cut",D1155*(U1155*M1155+SLOPE_B*S1155^2+2*SLOPE_B*S1155*T1155+SLOPE_A*T1155^2),0)</f>
        <v>0</v>
      </c>
      <c r="X1155" s="27" t="n">
        <f aca="false">IF(M1155&gt;0,D1155*(E1155+2*SLABOVH)*SLAB,0)</f>
        <v>0</v>
      </c>
      <c r="Y1155" s="27" t="n">
        <f aca="false">IF(M1155&gt;0,D1155*PI()*E1155^2/4,0)</f>
        <v>0</v>
      </c>
      <c r="Z1155" s="27" t="n">
        <f aca="false">IF(H1155-E1155&gt;=GWL,99,E1155*(MAX(0,GWL-H1155)*(GAM_S-GAM_W)+MAX(0,NG-MAX(H1155,GWL))*GAM_D)/(GAM_W*PI()*E1155^2/4))</f>
        <v>99</v>
      </c>
      <c r="AA1155" s="27" t="n">
        <f aca="false">IF(I1155-E1155&gt;=GWL,99,E1155*(MAX(0,GWL-I1155)*(GAM_S-GAM_W)+MAX(0,NG-MAX(I1155,GWL))*GAM_D)/(GAM_W*PI()*E1155^2/4))</f>
        <v>99</v>
      </c>
      <c r="AB1155" s="27" t="n">
        <f aca="false">IF(H1155-E1155&gt;=GWL,99,E1155*(MAX(0,GWL-H1155)*(GAM_S-GAM_W)+MAX(0,FL-MAX(H1155,GWL))*GAM_D)/(GAM_W*PI()*E1155^2/4))</f>
        <v>99</v>
      </c>
      <c r="AC1155" s="27" t="n">
        <f aca="false">IF(I1155-E1155&gt;=GWL,99,E1155*(MAX(0,GWL-I1155)*(GAM_S-GAM_W)+MAX(0,FL-MAX(I1155,GWL))*GAM_D)/(GAM_W*PI()*E1155^2/4))</f>
        <v>99</v>
      </c>
    </row>
    <row r="1156" customFormat="false" ht="15" hidden="false" customHeight="false" outlineLevel="0" collapsed="false">
      <c r="A1156" s="25" t="s">
        <v>1779</v>
      </c>
      <c r="B1156" s="25" t="s">
        <v>1780</v>
      </c>
      <c r="C1156" s="25" t="s">
        <v>1783</v>
      </c>
      <c r="D1156" s="26" t="n">
        <v>0.959460000248099</v>
      </c>
      <c r="E1156" s="26" t="n">
        <v>1.59999975128539</v>
      </c>
      <c r="F1156" s="26" t="n">
        <v>0.800000124357306</v>
      </c>
      <c r="G1156" s="26" t="n">
        <v>0.800000124357306</v>
      </c>
      <c r="H1156" s="26" t="n">
        <v>2.8999998756427</v>
      </c>
      <c r="I1156" s="26" t="n">
        <v>2.8999998756427</v>
      </c>
      <c r="J1156" s="26" t="n">
        <v>21.14</v>
      </c>
      <c r="K1156" s="27" t="n">
        <f aca="false">MIN(F1156,G1156)</f>
        <v>0.800000124357306</v>
      </c>
      <c r="L1156" s="27" t="n">
        <f aca="false">AVERAGE(F1156,G1156)</f>
        <v>0.800000124357306</v>
      </c>
      <c r="M1156" s="27" t="n">
        <f aca="false">MAX(0,NG-L1156)</f>
        <v>0</v>
      </c>
      <c r="N1156" s="27" t="n">
        <f aca="false">MAX(0,GWL-K1156)</f>
        <v>0</v>
      </c>
      <c r="O1156" s="27" t="n">
        <f aca="false">MAX(0,NG-MAX(K1156,GWL))</f>
        <v>0</v>
      </c>
      <c r="P1156" s="27" t="n">
        <f aca="false">E1156/2+WS+SLOPE_A*O1156+SLOPE_B*N1156</f>
        <v>1.79999987564269</v>
      </c>
      <c r="Q1156" s="28" t="str">
        <f aca="false">IF(AND(P1156&lt;J1156,N1156&lt;=MAXOC),"Open cut","Shoring")</f>
        <v>Open cut</v>
      </c>
      <c r="R1156" s="27" t="n">
        <f aca="false">IF(Q1156="Shoring",D1156,0)</f>
        <v>0</v>
      </c>
      <c r="S1156" s="27" t="n">
        <f aca="false">MAX(0,GWL-L1156)</f>
        <v>0</v>
      </c>
      <c r="T1156" s="27" t="n">
        <f aca="false">MAX(0,NG-MAX(L1156,GWL))</f>
        <v>0</v>
      </c>
      <c r="U1156" s="27" t="n">
        <f aca="false">E1156+2*WS</f>
        <v>3.59999975128539</v>
      </c>
      <c r="V1156" s="27" t="n">
        <f aca="false">IF(Q1156="Shoring",D1156*M1156*U1156,0)</f>
        <v>0</v>
      </c>
      <c r="W1156" s="27" t="n">
        <f aca="false">IF(Q1156="Open cut",D1156*(U1156*M1156+SLOPE_B*S1156^2+2*SLOPE_B*S1156*T1156+SLOPE_A*T1156^2),0)</f>
        <v>0</v>
      </c>
      <c r="X1156" s="27" t="n">
        <f aca="false">IF(M1156&gt;0,D1156*(E1156+2*SLABOVH)*SLAB,0)</f>
        <v>0</v>
      </c>
      <c r="Y1156" s="27" t="n">
        <f aca="false">IF(M1156&gt;0,D1156*PI()*E1156^2/4,0)</f>
        <v>0</v>
      </c>
      <c r="Z1156" s="27" t="n">
        <f aca="false">IF(H1156-E1156&gt;=GWL,99,E1156*(MAX(0,GWL-H1156)*(GAM_S-GAM_W)+MAX(0,NG-MAX(H1156,GWL))*GAM_D)/(GAM_W*PI()*E1156^2/4))</f>
        <v>99</v>
      </c>
      <c r="AA1156" s="27" t="n">
        <f aca="false">IF(I1156-E1156&gt;=GWL,99,E1156*(MAX(0,GWL-I1156)*(GAM_S-GAM_W)+MAX(0,NG-MAX(I1156,GWL))*GAM_D)/(GAM_W*PI()*E1156^2/4))</f>
        <v>99</v>
      </c>
      <c r="AB1156" s="27" t="n">
        <f aca="false">IF(H1156-E1156&gt;=GWL,99,E1156*(MAX(0,GWL-H1156)*(GAM_S-GAM_W)+MAX(0,FL-MAX(H1156,GWL))*GAM_D)/(GAM_W*PI()*E1156^2/4))</f>
        <v>99</v>
      </c>
      <c r="AC1156" s="27" t="n">
        <f aca="false">IF(I1156-E1156&gt;=GWL,99,E1156*(MAX(0,GWL-I1156)*(GAM_S-GAM_W)+MAX(0,FL-MAX(I1156,GWL))*GAM_D)/(GAM_W*PI()*E1156^2/4))</f>
        <v>99</v>
      </c>
    </row>
    <row r="1157" customFormat="false" ht="15" hidden="false" customHeight="false" outlineLevel="0" collapsed="false">
      <c r="A1157" s="25" t="s">
        <v>1779</v>
      </c>
      <c r="B1157" s="25" t="s">
        <v>1780</v>
      </c>
      <c r="C1157" s="25" t="s">
        <v>1784</v>
      </c>
      <c r="D1157" s="26" t="n">
        <v>1.78022558703071</v>
      </c>
      <c r="E1157" s="26" t="n">
        <v>1.59999975128321</v>
      </c>
      <c r="F1157" s="26" t="n">
        <v>0.800000124358395</v>
      </c>
      <c r="G1157" s="26" t="n">
        <v>-0.160039875641605</v>
      </c>
      <c r="H1157" s="26" t="n">
        <v>2.89999987564161</v>
      </c>
      <c r="I1157" s="26" t="n">
        <v>1.93995987564161</v>
      </c>
      <c r="J1157" s="26" t="n">
        <v>21.33</v>
      </c>
      <c r="K1157" s="27" t="n">
        <f aca="false">MIN(F1157,G1157)</f>
        <v>-0.160039875641605</v>
      </c>
      <c r="L1157" s="27" t="n">
        <f aca="false">AVERAGE(F1157,G1157)</f>
        <v>0.319980124358395</v>
      </c>
      <c r="M1157" s="27" t="n">
        <f aca="false">MAX(0,NG-L1157)</f>
        <v>0</v>
      </c>
      <c r="N1157" s="27" t="n">
        <f aca="false">MAX(0,GWL-K1157)</f>
        <v>0</v>
      </c>
      <c r="O1157" s="27" t="n">
        <f aca="false">MAX(0,NG-MAX(K1157,GWL))</f>
        <v>0</v>
      </c>
      <c r="P1157" s="27" t="n">
        <f aca="false">E1157/2+WS+SLOPE_A*O1157+SLOPE_B*N1157</f>
        <v>1.79999987564161</v>
      </c>
      <c r="Q1157" s="28" t="str">
        <f aca="false">IF(AND(P1157&lt;J1157,N1157&lt;=MAXOC),"Open cut","Shoring")</f>
        <v>Open cut</v>
      </c>
      <c r="R1157" s="27" t="n">
        <f aca="false">IF(Q1157="Shoring",D1157,0)</f>
        <v>0</v>
      </c>
      <c r="S1157" s="27" t="n">
        <f aca="false">MAX(0,GWL-L1157)</f>
        <v>0</v>
      </c>
      <c r="T1157" s="27" t="n">
        <f aca="false">MAX(0,NG-MAX(L1157,GWL))</f>
        <v>0</v>
      </c>
      <c r="U1157" s="27" t="n">
        <f aca="false">E1157+2*WS</f>
        <v>3.59999975128321</v>
      </c>
      <c r="V1157" s="27" t="n">
        <f aca="false">IF(Q1157="Shoring",D1157*M1157*U1157,0)</f>
        <v>0</v>
      </c>
      <c r="W1157" s="27" t="n">
        <f aca="false">IF(Q1157="Open cut",D1157*(U1157*M1157+SLOPE_B*S1157^2+2*SLOPE_B*S1157*T1157+SLOPE_A*T1157^2),0)</f>
        <v>0</v>
      </c>
      <c r="X1157" s="27" t="n">
        <f aca="false">IF(M1157&gt;0,D1157*(E1157+2*SLABOVH)*SLAB,0)</f>
        <v>0</v>
      </c>
      <c r="Y1157" s="27" t="n">
        <f aca="false">IF(M1157&gt;0,D1157*PI()*E1157^2/4,0)</f>
        <v>0</v>
      </c>
      <c r="Z1157" s="27" t="n">
        <f aca="false">IF(H1157-E1157&gt;=GWL,99,E1157*(MAX(0,GWL-H1157)*(GAM_S-GAM_W)+MAX(0,NG-MAX(H1157,GWL))*GAM_D)/(GAM_W*PI()*E1157^2/4))</f>
        <v>99</v>
      </c>
      <c r="AA1157" s="27" t="n">
        <f aca="false">IF(I1157-E1157&gt;=GWL,99,E1157*(MAX(0,GWL-I1157)*(GAM_S-GAM_W)+MAX(0,NG-MAX(I1157,GWL))*GAM_D)/(GAM_W*PI()*E1157^2/4))</f>
        <v>99</v>
      </c>
      <c r="AB1157" s="27" t="n">
        <f aca="false">IF(H1157-E1157&gt;=GWL,99,E1157*(MAX(0,GWL-H1157)*(GAM_S-GAM_W)+MAX(0,FL-MAX(H1157,GWL))*GAM_D)/(GAM_W*PI()*E1157^2/4))</f>
        <v>99</v>
      </c>
      <c r="AC1157" s="27" t="n">
        <f aca="false">IF(I1157-E1157&gt;=GWL,99,E1157*(MAX(0,GWL-I1157)*(GAM_S-GAM_W)+MAX(0,FL-MAX(I1157,GWL))*GAM_D)/(GAM_W*PI()*E1157^2/4))</f>
        <v>99</v>
      </c>
    </row>
    <row r="1158" customFormat="false" ht="15" hidden="false" customHeight="false" outlineLevel="0" collapsed="false">
      <c r="A1158" s="25" t="s">
        <v>1779</v>
      </c>
      <c r="B1158" s="25" t="s">
        <v>1780</v>
      </c>
      <c r="C1158" s="25" t="s">
        <v>1785</v>
      </c>
      <c r="D1158" s="26" t="n">
        <v>5.36390999987095</v>
      </c>
      <c r="E1158" s="26" t="n">
        <v>1.60000691559748</v>
      </c>
      <c r="F1158" s="26" t="n">
        <v>-0.16004345779874</v>
      </c>
      <c r="G1158" s="26" t="n">
        <v>-3.05270345779874</v>
      </c>
      <c r="H1158" s="26" t="n">
        <v>1.93996345779874</v>
      </c>
      <c r="I1158" s="26" t="n">
        <v>-0.952696542201259</v>
      </c>
      <c r="J1158" s="26" t="n">
        <v>21.73</v>
      </c>
      <c r="K1158" s="27" t="n">
        <f aca="false">MIN(F1158,G1158)</f>
        <v>-3.05270345779874</v>
      </c>
      <c r="L1158" s="27" t="n">
        <f aca="false">AVERAGE(F1158,G1158)</f>
        <v>-1.60637345779874</v>
      </c>
      <c r="M1158" s="27" t="n">
        <f aca="false">MAX(0,NG-L1158)</f>
        <v>0.90637345779874</v>
      </c>
      <c r="N1158" s="27" t="n">
        <f aca="false">MAX(0,GWL-K1158)</f>
        <v>1.55270345779874</v>
      </c>
      <c r="O1158" s="27" t="n">
        <f aca="false">MAX(0,NG-MAX(K1158,GWL))</f>
        <v>0.8</v>
      </c>
      <c r="P1158" s="27" t="n">
        <f aca="false">E1158/2+WS+SLOPE_A*O1158+SLOPE_B*N1158</f>
        <v>6.10541037339622</v>
      </c>
      <c r="Q1158" s="28" t="str">
        <f aca="false">IF(AND(P1158&lt;J1158,N1158&lt;=MAXOC),"Open cut","Shoring")</f>
        <v>Open cut</v>
      </c>
      <c r="R1158" s="27" t="n">
        <f aca="false">IF(Q1158="Shoring",D1158,0)</f>
        <v>0</v>
      </c>
      <c r="S1158" s="27" t="n">
        <f aca="false">MAX(0,GWL-L1158)</f>
        <v>0.10637345779874</v>
      </c>
      <c r="T1158" s="27" t="n">
        <f aca="false">MAX(0,NG-MAX(L1158,GWL))</f>
        <v>0.8</v>
      </c>
      <c r="U1158" s="27" t="n">
        <f aca="false">E1158+2*WS</f>
        <v>3.60000691559748</v>
      </c>
      <c r="V1158" s="27" t="n">
        <f aca="false">IF(Q1158="Shoring",D1158*M1158*U1158,0)</f>
        <v>0</v>
      </c>
      <c r="W1158" s="27" t="n">
        <f aca="false">IF(Q1158="Open cut",D1158*(U1158*M1158+SLOPE_B*S1158^2+2*SLOPE_B*S1158*T1158+SLOPE_A*T1158^2),0)</f>
        <v>24.5987647043539</v>
      </c>
      <c r="X1158" s="27" t="n">
        <f aca="false">IF(M1158&gt;0,D1158*(E1158+2*SLABOVH)*SLAB,0)</f>
        <v>6.97310154715348</v>
      </c>
      <c r="Y1158" s="27" t="n">
        <f aca="false">IF(M1158&gt;0,D1158*PI()*E1158^2/4,0)</f>
        <v>10.7848741892778</v>
      </c>
      <c r="Z1158" s="27" t="n">
        <f aca="false">IF(H1158-E1158&gt;=GWL,99,E1158*(MAX(0,GWL-H1158)*(GAM_S-GAM_W)+MAX(0,NG-MAX(H1158,GWL))*GAM_D)/(GAM_W*PI()*E1158^2/4))</f>
        <v>99</v>
      </c>
      <c r="AA1158" s="27" t="n">
        <f aca="false">IF(I1158-E1158&gt;=GWL,99,E1158*(MAX(0,GWL-I1158)*(GAM_S-GAM_W)+MAX(0,NG-MAX(I1158,GWL))*GAM_D)/(GAM_W*PI()*E1158^2/4))</f>
        <v>0.368969999656332</v>
      </c>
      <c r="AB1158" s="27" t="n">
        <f aca="false">IF(H1158-E1158&gt;=GWL,99,E1158*(MAX(0,GWL-H1158)*(GAM_S-GAM_W)+MAX(0,FL-MAX(H1158,GWL))*GAM_D)/(GAM_W*PI()*E1158^2/4))</f>
        <v>99</v>
      </c>
      <c r="AC1158" s="27" t="n">
        <f aca="false">IF(I1158-E1158&gt;=GWL,99,E1158*(MAX(0,GWL-I1158)*(GAM_S-GAM_W)+MAX(0,FL-MAX(I1158,GWL))*GAM_D)/(GAM_W*PI()*E1158^2/4))</f>
        <v>2.85119232827131</v>
      </c>
    </row>
    <row r="1159" customFormat="false" ht="15" hidden="false" customHeight="false" outlineLevel="0" collapsed="false">
      <c r="A1159" s="25" t="s">
        <v>1779</v>
      </c>
      <c r="B1159" s="25" t="s">
        <v>1780</v>
      </c>
      <c r="C1159" s="25" t="s">
        <v>1786</v>
      </c>
      <c r="D1159" s="26" t="n">
        <v>0.916543426728389</v>
      </c>
      <c r="E1159" s="26" t="n">
        <v>1.60000673862207</v>
      </c>
      <c r="F1159" s="26" t="n">
        <v>-3.05270336931103</v>
      </c>
      <c r="G1159" s="26" t="n">
        <v>-3.54698336931104</v>
      </c>
      <c r="H1159" s="26" t="n">
        <v>-0.952696630688965</v>
      </c>
      <c r="I1159" s="26" t="n">
        <v>-1.44697663068897</v>
      </c>
      <c r="J1159" s="26" t="n">
        <v>23.28</v>
      </c>
      <c r="K1159" s="27" t="n">
        <f aca="false">MIN(F1159,G1159)</f>
        <v>-3.54698336931104</v>
      </c>
      <c r="L1159" s="27" t="n">
        <f aca="false">AVERAGE(F1159,G1159)</f>
        <v>-3.29984336931103</v>
      </c>
      <c r="M1159" s="27" t="n">
        <f aca="false">MAX(0,NG-L1159)</f>
        <v>2.59984336931103</v>
      </c>
      <c r="N1159" s="27" t="n">
        <f aca="false">MAX(0,GWL-K1159)</f>
        <v>2.04698336931104</v>
      </c>
      <c r="O1159" s="27" t="n">
        <f aca="false">MAX(0,NG-MAX(K1159,GWL))</f>
        <v>0.8</v>
      </c>
      <c r="P1159" s="27" t="n">
        <f aca="false">E1159/2+WS+SLOPE_A*O1159+SLOPE_B*N1159</f>
        <v>7.09397010793311</v>
      </c>
      <c r="Q1159" s="28" t="str">
        <f aca="false">IF(AND(P1159&lt;J1159,N1159&lt;=MAXOC),"Open cut","Shoring")</f>
        <v>Open cut</v>
      </c>
      <c r="R1159" s="27" t="n">
        <f aca="false">IF(Q1159="Shoring",D1159,0)</f>
        <v>0</v>
      </c>
      <c r="S1159" s="27" t="n">
        <f aca="false">MAX(0,GWL-L1159)</f>
        <v>1.79984336931103</v>
      </c>
      <c r="T1159" s="27" t="n">
        <f aca="false">MAX(0,NG-MAX(L1159,GWL))</f>
        <v>0.8</v>
      </c>
      <c r="U1159" s="27" t="n">
        <f aca="false">E1159+2*WS</f>
        <v>3.60000673862207</v>
      </c>
      <c r="V1159" s="27" t="n">
        <f aca="false">IF(Q1159="Shoring",D1159*M1159*U1159,0)</f>
        <v>0</v>
      </c>
      <c r="W1159" s="27" t="n">
        <f aca="false">IF(Q1159="Open cut",D1159*(U1159*M1159+SLOPE_B*S1159^2+2*SLOPE_B*S1159*T1159+SLOPE_A*T1159^2),0)</f>
        <v>20.6752259856224</v>
      </c>
      <c r="X1159" s="27" t="n">
        <f aca="false">IF(M1159&gt;0,D1159*(E1159+2*SLABOVH)*SLAB,0)</f>
        <v>1.19150954286679</v>
      </c>
      <c r="Y1159" s="27" t="n">
        <f aca="false">IF(M1159&gt;0,D1159*PI()*E1159^2/4,0)</f>
        <v>1.84283542412405</v>
      </c>
      <c r="Z1159" s="27" t="n">
        <f aca="false">IF(H1159-E1159&gt;=GWL,99,E1159*(MAX(0,GWL-H1159)*(GAM_S-GAM_W)+MAX(0,NG-MAX(H1159,GWL))*GAM_D)/(GAM_W*PI()*E1159^2/4))</f>
        <v>0.368970169671434</v>
      </c>
      <c r="AA1159" s="27" t="n">
        <f aca="false">IF(I1159-E1159&gt;=GWL,99,E1159*(MAX(0,GWL-I1159)*(GAM_S-GAM_W)+MAX(0,NG-MAX(I1159,GWL))*GAM_D)/(GAM_W*PI()*E1159^2/4))</f>
        <v>1.09068369219827</v>
      </c>
      <c r="AB1159" s="27" t="n">
        <f aca="false">IF(H1159-E1159&gt;=GWL,99,E1159*(MAX(0,GWL-H1159)*(GAM_S-GAM_W)+MAX(0,FL-MAX(H1159,GWL))*GAM_D)/(GAM_W*PI()*E1159^2/4))</f>
        <v>2.85119277284296</v>
      </c>
      <c r="AC1159" s="27" t="n">
        <f aca="false">IF(I1159-E1159&gt;=GWL,99,E1159*(MAX(0,GWL-I1159)*(GAM_S-GAM_W)+MAX(0,FL-MAX(I1159,GWL))*GAM_D)/(GAM_W*PI()*E1159^2/4))</f>
        <v>3.57290629536979</v>
      </c>
    </row>
    <row r="1160" customFormat="false" ht="15" hidden="false" customHeight="false" outlineLevel="0" collapsed="false">
      <c r="A1160" s="25" t="s">
        <v>1779</v>
      </c>
      <c r="B1160" s="25" t="s">
        <v>1780</v>
      </c>
      <c r="C1160" s="25" t="s">
        <v>1787</v>
      </c>
      <c r="D1160" s="26" t="n">
        <v>0.725861989293955</v>
      </c>
      <c r="E1160" s="26" t="n">
        <v>1.59999691398689</v>
      </c>
      <c r="F1160" s="26" t="n">
        <v>-3.54697845699345</v>
      </c>
      <c r="G1160" s="26" t="n">
        <v>-3.93841862681849</v>
      </c>
      <c r="H1160" s="26" t="n">
        <v>-1.44698154300656</v>
      </c>
      <c r="I1160" s="26" t="n">
        <v>-1.8384217128316</v>
      </c>
      <c r="J1160" s="26" t="n">
        <v>23.6</v>
      </c>
      <c r="K1160" s="27" t="n">
        <f aca="false">MIN(F1160,G1160)</f>
        <v>-3.93841862681849</v>
      </c>
      <c r="L1160" s="27" t="n">
        <f aca="false">AVERAGE(F1160,G1160)</f>
        <v>-3.74269854190597</v>
      </c>
      <c r="M1160" s="27" t="n">
        <f aca="false">MAX(0,NG-L1160)</f>
        <v>3.04269854190597</v>
      </c>
      <c r="N1160" s="27" t="n">
        <f aca="false">MAX(0,GWL-K1160)</f>
        <v>2.43841862681849</v>
      </c>
      <c r="O1160" s="27" t="n">
        <f aca="false">MAX(0,NG-MAX(K1160,GWL))</f>
        <v>0.8</v>
      </c>
      <c r="P1160" s="27" t="n">
        <f aca="false">E1160/2+WS+SLOPE_A*O1160+SLOPE_B*N1160</f>
        <v>7.87683571063043</v>
      </c>
      <c r="Q1160" s="28" t="str">
        <f aca="false">IF(AND(P1160&lt;J1160,N1160&lt;=MAXOC),"Open cut","Shoring")</f>
        <v>Open cut</v>
      </c>
      <c r="R1160" s="27" t="n">
        <f aca="false">IF(Q1160="Shoring",D1160,0)</f>
        <v>0</v>
      </c>
      <c r="S1160" s="27" t="n">
        <f aca="false">MAX(0,GWL-L1160)</f>
        <v>2.24269854190597</v>
      </c>
      <c r="T1160" s="27" t="n">
        <f aca="false">MAX(0,NG-MAX(L1160,GWL))</f>
        <v>0.8</v>
      </c>
      <c r="U1160" s="27" t="n">
        <f aca="false">E1160+2*WS</f>
        <v>3.59999691398689</v>
      </c>
      <c r="V1160" s="27" t="n">
        <f aca="false">IF(Q1160="Shoring",D1160*M1160*U1160,0)</f>
        <v>0</v>
      </c>
      <c r="W1160" s="27" t="n">
        <f aca="false">IF(Q1160="Open cut",D1160*(U1160*M1160+SLOPE_B*S1160^2+2*SLOPE_B*S1160*T1160+SLOPE_A*T1160^2),0)</f>
        <v>21.1586840500909</v>
      </c>
      <c r="X1160" s="27" t="n">
        <f aca="false">IF(M1160&gt;0,D1160*(E1160+2*SLABOVH)*SLAB,0)</f>
        <v>0.943619466072334</v>
      </c>
      <c r="Y1160" s="27" t="n">
        <f aca="false">IF(M1160&gt;0,D1160*PI()*E1160^2/4,0)</f>
        <v>1.45942649379711</v>
      </c>
      <c r="Z1160" s="27" t="n">
        <f aca="false">IF(H1160-E1160&gt;=GWL,99,E1160*(MAX(0,GWL-H1160)*(GAM_S-GAM_W)+MAX(0,NG-MAX(H1160,GWL))*GAM_D)/(GAM_W*PI()*E1160^2/4))</f>
        <v>1.090697562113</v>
      </c>
      <c r="AA1160" s="27" t="n">
        <f aca="false">IF(I1160-E1160&gt;=GWL,99,E1160*(MAX(0,GWL-I1160)*(GAM_S-GAM_W)+MAX(0,NG-MAX(I1160,GWL))*GAM_D)/(GAM_W*PI()*E1160^2/4))</f>
        <v>1.39294701433502</v>
      </c>
      <c r="AB1160" s="27" t="n">
        <f aca="false">IF(H1160-E1160&gt;=GWL,99,E1160*(MAX(0,GWL-H1160)*(GAM_S-GAM_W)+MAX(0,FL-MAX(H1160,GWL))*GAM_D)/(GAM_W*PI()*E1160^2/4))</f>
        <v>3.57293540714612</v>
      </c>
      <c r="AC1160" s="27" t="n">
        <f aca="false">IF(I1160-E1160&gt;=GWL,99,E1160*(MAX(0,GWL-I1160)*(GAM_S-GAM_W)+MAX(0,FL-MAX(I1160,GWL))*GAM_D)/(GAM_W*PI()*E1160^2/4))</f>
        <v>3.87518485936814</v>
      </c>
    </row>
    <row r="1161" customFormat="false" ht="15" hidden="false" customHeight="false" outlineLevel="0" collapsed="false">
      <c r="A1161" s="25" t="s">
        <v>1779</v>
      </c>
      <c r="B1161" s="25" t="s">
        <v>1780</v>
      </c>
      <c r="C1161" s="25" t="s">
        <v>1788</v>
      </c>
      <c r="D1161" s="26" t="n">
        <v>0.114189757087512</v>
      </c>
      <c r="E1161" s="26" t="n">
        <v>1.59999691398689</v>
      </c>
      <c r="F1161" s="26" t="n">
        <v>-3.93841862681849</v>
      </c>
      <c r="G1161" s="26" t="n">
        <v>-3.99999845699345</v>
      </c>
      <c r="H1161" s="26" t="n">
        <v>-1.8384217128316</v>
      </c>
      <c r="I1161" s="26" t="n">
        <v>-1.90000154300656</v>
      </c>
      <c r="J1161" s="26" t="n">
        <v>23.86</v>
      </c>
      <c r="K1161" s="27" t="n">
        <f aca="false">MIN(F1161,G1161)</f>
        <v>-3.99999845699345</v>
      </c>
      <c r="L1161" s="27" t="n">
        <f aca="false">AVERAGE(F1161,G1161)</f>
        <v>-3.96920854190597</v>
      </c>
      <c r="M1161" s="27" t="n">
        <f aca="false">MAX(0,NG-L1161)</f>
        <v>3.26920854190597</v>
      </c>
      <c r="N1161" s="27" t="n">
        <f aca="false">MAX(0,GWL-K1161)</f>
        <v>2.49999845699345</v>
      </c>
      <c r="O1161" s="27" t="n">
        <f aca="false">MAX(0,NG-MAX(K1161,GWL))</f>
        <v>0.8</v>
      </c>
      <c r="P1161" s="27" t="n">
        <f aca="false">E1161/2+WS+SLOPE_A*O1161+SLOPE_B*N1161</f>
        <v>7.99999537098034</v>
      </c>
      <c r="Q1161" s="28" t="str">
        <f aca="false">IF(AND(P1161&lt;J1161,N1161&lt;=MAXOC),"Open cut","Shoring")</f>
        <v>Open cut</v>
      </c>
      <c r="R1161" s="27" t="n">
        <f aca="false">IF(Q1161="Shoring",D1161,0)</f>
        <v>0</v>
      </c>
      <c r="S1161" s="27" t="n">
        <f aca="false">MAX(0,GWL-L1161)</f>
        <v>2.46920854190597</v>
      </c>
      <c r="T1161" s="27" t="n">
        <f aca="false">MAX(0,NG-MAX(L1161,GWL))</f>
        <v>0.8</v>
      </c>
      <c r="U1161" s="27" t="n">
        <f aca="false">E1161+2*WS</f>
        <v>3.59999691398689</v>
      </c>
      <c r="V1161" s="27" t="n">
        <f aca="false">IF(Q1161="Shoring",D1161*M1161*U1161,0)</f>
        <v>0</v>
      </c>
      <c r="W1161" s="27" t="n">
        <f aca="false">IF(Q1161="Open cut",D1161*(U1161*M1161+SLOPE_B*S1161^2+2*SLOPE_B*S1161*T1161+SLOPE_A*T1161^2),0)</f>
        <v>3.74823191782949</v>
      </c>
      <c r="X1161" s="27" t="n">
        <f aca="false">IF(M1161&gt;0,D1161*(E1161+2*SLABOVH)*SLAB,0)</f>
        <v>0.148446508018222</v>
      </c>
      <c r="Y1161" s="27" t="n">
        <f aca="false">IF(M1161&gt;0,D1161*PI()*E1161^2/4,0)</f>
        <v>0.229591243613504</v>
      </c>
      <c r="Z1161" s="27" t="n">
        <f aca="false">IF(H1161-E1161&gt;=GWL,99,E1161*(MAX(0,GWL-H1161)*(GAM_S-GAM_W)+MAX(0,NG-MAX(H1161,GWL))*GAM_D)/(GAM_W*PI()*E1161^2/4))</f>
        <v>1.39294701433502</v>
      </c>
      <c r="AA1161" s="27" t="n">
        <f aca="false">IF(I1161-E1161&gt;=GWL,99,E1161*(MAX(0,GWL-I1161)*(GAM_S-GAM_W)+MAX(0,NG-MAX(I1161,GWL))*GAM_D)/(GAM_W*PI()*E1161^2/4))</f>
        <v>1.43385841560132</v>
      </c>
      <c r="AB1161" s="27" t="n">
        <f aca="false">IF(H1161-E1161&gt;=GWL,99,E1161*(MAX(0,GWL-H1161)*(GAM_S-GAM_W)+MAX(0,FL-MAX(H1161,GWL))*GAM_D)/(GAM_W*PI()*E1161^2/4))</f>
        <v>3.87518485936814</v>
      </c>
      <c r="AC1161" s="27" t="n">
        <f aca="false">IF(I1161-E1161&gt;=GWL,99,E1161*(MAX(0,GWL-I1161)*(GAM_S-GAM_W)+MAX(0,FL-MAX(I1161,GWL))*GAM_D)/(GAM_W*PI()*E1161^2/4))</f>
        <v>3.91609626063443</v>
      </c>
    </row>
    <row r="1162" customFormat="false" ht="15" hidden="false" customHeight="false" outlineLevel="0" collapsed="false">
      <c r="A1162" s="25" t="s">
        <v>1779</v>
      </c>
      <c r="B1162" s="25" t="s">
        <v>1780</v>
      </c>
      <c r="C1162" s="25" t="s">
        <v>1789</v>
      </c>
      <c r="D1162" s="26" t="n">
        <v>9.88581024368333</v>
      </c>
      <c r="E1162" s="26" t="n">
        <v>1.59999691398216</v>
      </c>
      <c r="F1162" s="26" t="n">
        <v>-3.99999845699108</v>
      </c>
      <c r="G1162" s="26" t="n">
        <v>-3.99999845699108</v>
      </c>
      <c r="H1162" s="26" t="n">
        <v>-1.90000154300892</v>
      </c>
      <c r="I1162" s="26" t="n">
        <v>-1.90000154300892</v>
      </c>
      <c r="J1162" s="26" t="n">
        <v>23.91</v>
      </c>
      <c r="K1162" s="27" t="n">
        <f aca="false">MIN(F1162,G1162)</f>
        <v>-3.99999845699108</v>
      </c>
      <c r="L1162" s="27" t="n">
        <f aca="false">AVERAGE(F1162,G1162)</f>
        <v>-3.99999845699108</v>
      </c>
      <c r="M1162" s="27" t="n">
        <f aca="false">MAX(0,NG-L1162)</f>
        <v>3.29999845699108</v>
      </c>
      <c r="N1162" s="27" t="n">
        <f aca="false">MAX(0,GWL-K1162)</f>
        <v>2.49999845699108</v>
      </c>
      <c r="O1162" s="27" t="n">
        <f aca="false">MAX(0,NG-MAX(K1162,GWL))</f>
        <v>0.8</v>
      </c>
      <c r="P1162" s="27" t="n">
        <f aca="false">E1162/2+WS+SLOPE_A*O1162+SLOPE_B*N1162</f>
        <v>7.99999537097325</v>
      </c>
      <c r="Q1162" s="28" t="str">
        <f aca="false">IF(AND(P1162&lt;J1162,N1162&lt;=MAXOC),"Open cut","Shoring")</f>
        <v>Open cut</v>
      </c>
      <c r="R1162" s="27" t="n">
        <f aca="false">IF(Q1162="Shoring",D1162,0)</f>
        <v>0</v>
      </c>
      <c r="S1162" s="27" t="n">
        <f aca="false">MAX(0,GWL-L1162)</f>
        <v>2.49999845699108</v>
      </c>
      <c r="T1162" s="27" t="n">
        <f aca="false">MAX(0,NG-MAX(L1162,GWL))</f>
        <v>0.8</v>
      </c>
      <c r="U1162" s="27" t="n">
        <f aca="false">E1162+2*WS</f>
        <v>3.59999691398216</v>
      </c>
      <c r="V1162" s="27" t="n">
        <f aca="false">IF(Q1162="Shoring",D1162*M1162*U1162,0)</f>
        <v>0</v>
      </c>
      <c r="W1162" s="27" t="n">
        <f aca="false">IF(Q1162="Open cut",D1162*(U1162*M1162+SLOPE_B*S1162^2+2*SLOPE_B*S1162*T1162+SLOPE_A*T1162^2),0)</f>
        <v>329.592556583392</v>
      </c>
      <c r="X1162" s="27" t="n">
        <f aca="false">IF(M1162&gt;0,D1162*(E1162+2*SLABOVH)*SLAB,0)</f>
        <v>12.851538062895</v>
      </c>
      <c r="Y1162" s="27" t="n">
        <f aca="false">IF(M1162&gt;0,D1162*PI()*E1162^2/4,0)</f>
        <v>19.8765241808995</v>
      </c>
      <c r="Z1162" s="27" t="n">
        <f aca="false">IF(H1162-E1162&gt;=GWL,99,E1162*(MAX(0,GWL-H1162)*(GAM_S-GAM_W)+MAX(0,NG-MAX(H1162,GWL))*GAM_D)/(GAM_W*PI()*E1162^2/4))</f>
        <v>1.43385841560712</v>
      </c>
      <c r="AA1162" s="27" t="n">
        <f aca="false">IF(I1162-E1162&gt;=GWL,99,E1162*(MAX(0,GWL-I1162)*(GAM_S-GAM_W)+MAX(0,NG-MAX(I1162,GWL))*GAM_D)/(GAM_W*PI()*E1162^2/4))</f>
        <v>1.43385841560712</v>
      </c>
      <c r="AB1162" s="27" t="n">
        <f aca="false">IF(H1162-E1162&gt;=GWL,99,E1162*(MAX(0,GWL-H1162)*(GAM_S-GAM_W)+MAX(0,FL-MAX(H1162,GWL))*GAM_D)/(GAM_W*PI()*E1162^2/4))</f>
        <v>3.91609626064757</v>
      </c>
      <c r="AC1162" s="27" t="n">
        <f aca="false">IF(I1162-E1162&gt;=GWL,99,E1162*(MAX(0,GWL-I1162)*(GAM_S-GAM_W)+MAX(0,FL-MAX(I1162,GWL))*GAM_D)/(GAM_W*PI()*E1162^2/4))</f>
        <v>3.91609626064757</v>
      </c>
    </row>
    <row r="1163" customFormat="false" ht="15" hidden="false" customHeight="false" outlineLevel="0" collapsed="false">
      <c r="A1163" s="25" t="s">
        <v>1779</v>
      </c>
      <c r="B1163" s="25" t="s">
        <v>1780</v>
      </c>
      <c r="C1163" s="25" t="s">
        <v>1790</v>
      </c>
      <c r="D1163" s="26" t="n">
        <v>9.99999999943155</v>
      </c>
      <c r="E1163" s="26" t="n">
        <v>1.59999691398216</v>
      </c>
      <c r="F1163" s="26" t="n">
        <v>-3.99999845699108</v>
      </c>
      <c r="G1163" s="26" t="n">
        <v>-3.99999845699108</v>
      </c>
      <c r="H1163" s="26" t="n">
        <v>-1.90000154300892</v>
      </c>
      <c r="I1163" s="26" t="n">
        <v>-1.90000154300892</v>
      </c>
      <c r="J1163" s="26" t="n">
        <v>28.4</v>
      </c>
      <c r="K1163" s="27" t="n">
        <f aca="false">MIN(F1163,G1163)</f>
        <v>-3.99999845699108</v>
      </c>
      <c r="L1163" s="27" t="n">
        <f aca="false">AVERAGE(F1163,G1163)</f>
        <v>-3.99999845699108</v>
      </c>
      <c r="M1163" s="27" t="n">
        <f aca="false">MAX(0,NG-L1163)</f>
        <v>3.29999845699108</v>
      </c>
      <c r="N1163" s="27" t="n">
        <f aca="false">MAX(0,GWL-K1163)</f>
        <v>2.49999845699108</v>
      </c>
      <c r="O1163" s="27" t="n">
        <f aca="false">MAX(0,NG-MAX(K1163,GWL))</f>
        <v>0.8</v>
      </c>
      <c r="P1163" s="27" t="n">
        <f aca="false">E1163/2+WS+SLOPE_A*O1163+SLOPE_B*N1163</f>
        <v>7.99999537097325</v>
      </c>
      <c r="Q1163" s="28" t="str">
        <f aca="false">IF(AND(P1163&lt;J1163,N1163&lt;=MAXOC),"Open cut","Shoring")</f>
        <v>Open cut</v>
      </c>
      <c r="R1163" s="27" t="n">
        <f aca="false">IF(Q1163="Shoring",D1163,0)</f>
        <v>0</v>
      </c>
      <c r="S1163" s="27" t="n">
        <f aca="false">MAX(0,GWL-L1163)</f>
        <v>2.49999845699108</v>
      </c>
      <c r="T1163" s="27" t="n">
        <f aca="false">MAX(0,NG-MAX(L1163,GWL))</f>
        <v>0.8</v>
      </c>
      <c r="U1163" s="27" t="n">
        <f aca="false">E1163+2*WS</f>
        <v>3.59999691398216</v>
      </c>
      <c r="V1163" s="27" t="n">
        <f aca="false">IF(Q1163="Shoring",D1163*M1163*U1163,0)</f>
        <v>0</v>
      </c>
      <c r="W1163" s="27" t="n">
        <f aca="false">IF(Q1163="Open cut",D1163*(U1163*M1163+SLOPE_B*S1163^2+2*SLOPE_B*S1163*T1163+SLOPE_A*T1163^2),0)</f>
        <v>333.399638917056</v>
      </c>
      <c r="X1163" s="27" t="n">
        <f aca="false">IF(M1163&gt;0,D1163*(E1163+2*SLABOVH)*SLAB,0)</f>
        <v>12.9999845691718</v>
      </c>
      <c r="Y1163" s="27" t="n">
        <f aca="false">IF(M1163&gt;0,D1163*PI()*E1163^2/4,0)</f>
        <v>20.1061154218188</v>
      </c>
      <c r="Z1163" s="27" t="n">
        <f aca="false">IF(H1163-E1163&gt;=GWL,99,E1163*(MAX(0,GWL-H1163)*(GAM_S-GAM_W)+MAX(0,NG-MAX(H1163,GWL))*GAM_D)/(GAM_W*PI()*E1163^2/4))</f>
        <v>1.43385841560712</v>
      </c>
      <c r="AA1163" s="27" t="n">
        <f aca="false">IF(I1163-E1163&gt;=GWL,99,E1163*(MAX(0,GWL-I1163)*(GAM_S-GAM_W)+MAX(0,NG-MAX(I1163,GWL))*GAM_D)/(GAM_W*PI()*E1163^2/4))</f>
        <v>1.43385841560712</v>
      </c>
      <c r="AB1163" s="27" t="n">
        <f aca="false">IF(H1163-E1163&gt;=GWL,99,E1163*(MAX(0,GWL-H1163)*(GAM_S-GAM_W)+MAX(0,FL-MAX(H1163,GWL))*GAM_D)/(GAM_W*PI()*E1163^2/4))</f>
        <v>3.91609626064757</v>
      </c>
      <c r="AC1163" s="27" t="n">
        <f aca="false">IF(I1163-E1163&gt;=GWL,99,E1163*(MAX(0,GWL-I1163)*(GAM_S-GAM_W)+MAX(0,FL-MAX(I1163,GWL))*GAM_D)/(GAM_W*PI()*E1163^2/4))</f>
        <v>3.91609626064757</v>
      </c>
    </row>
    <row r="1164" customFormat="false" ht="15" hidden="false" customHeight="false" outlineLevel="0" collapsed="false">
      <c r="A1164" s="25" t="s">
        <v>1779</v>
      </c>
      <c r="B1164" s="25" t="s">
        <v>1780</v>
      </c>
      <c r="C1164" s="25" t="s">
        <v>1791</v>
      </c>
      <c r="D1164" s="26" t="n">
        <v>8.3838097575567</v>
      </c>
      <c r="E1164" s="26" t="n">
        <v>1.59999691398216</v>
      </c>
      <c r="F1164" s="26" t="n">
        <v>-3.99999845699108</v>
      </c>
      <c r="G1164" s="26" t="n">
        <v>-3.99999845699108</v>
      </c>
      <c r="H1164" s="26" t="n">
        <v>-1.90000154300892</v>
      </c>
      <c r="I1164" s="26" t="n">
        <v>-1.90000154300892</v>
      </c>
      <c r="J1164" s="26" t="n">
        <v>34.12</v>
      </c>
      <c r="K1164" s="27" t="n">
        <f aca="false">MIN(F1164,G1164)</f>
        <v>-3.99999845699108</v>
      </c>
      <c r="L1164" s="27" t="n">
        <f aca="false">AVERAGE(F1164,G1164)</f>
        <v>-3.99999845699108</v>
      </c>
      <c r="M1164" s="27" t="n">
        <f aca="false">MAX(0,NG-L1164)</f>
        <v>3.29999845699108</v>
      </c>
      <c r="N1164" s="27" t="n">
        <f aca="false">MAX(0,GWL-K1164)</f>
        <v>2.49999845699108</v>
      </c>
      <c r="O1164" s="27" t="n">
        <f aca="false">MAX(0,NG-MAX(K1164,GWL))</f>
        <v>0.8</v>
      </c>
      <c r="P1164" s="27" t="n">
        <f aca="false">E1164/2+WS+SLOPE_A*O1164+SLOPE_B*N1164</f>
        <v>7.99999537097325</v>
      </c>
      <c r="Q1164" s="28" t="str">
        <f aca="false">IF(AND(P1164&lt;J1164,N1164&lt;=MAXOC),"Open cut","Shoring")</f>
        <v>Open cut</v>
      </c>
      <c r="R1164" s="27" t="n">
        <f aca="false">IF(Q1164="Shoring",D1164,0)</f>
        <v>0</v>
      </c>
      <c r="S1164" s="27" t="n">
        <f aca="false">MAX(0,GWL-L1164)</f>
        <v>2.49999845699108</v>
      </c>
      <c r="T1164" s="27" t="n">
        <f aca="false">MAX(0,NG-MAX(L1164,GWL))</f>
        <v>0.8</v>
      </c>
      <c r="U1164" s="27" t="n">
        <f aca="false">E1164+2*WS</f>
        <v>3.59999691398216</v>
      </c>
      <c r="V1164" s="27" t="n">
        <f aca="false">IF(Q1164="Shoring",D1164*M1164*U1164,0)</f>
        <v>0</v>
      </c>
      <c r="W1164" s="27" t="n">
        <f aca="false">IF(Q1164="Open cut",D1164*(U1164*M1164+SLOPE_B*S1164^2+2*SLOPE_B*S1164*T1164+SLOPE_A*T1164^2),0)</f>
        <v>279.515914607759</v>
      </c>
      <c r="X1164" s="27" t="n">
        <f aca="false">IF(M1164&gt;0,D1164*(E1164+2*SLABOVH)*SLAB,0)</f>
        <v>10.8989397485305</v>
      </c>
      <c r="Y1164" s="27" t="n">
        <f aca="false">IF(M1164&gt;0,D1164*PI()*E1164^2/4,0)</f>
        <v>16.8565846669588</v>
      </c>
      <c r="Z1164" s="27" t="n">
        <f aca="false">IF(H1164-E1164&gt;=GWL,99,E1164*(MAX(0,GWL-H1164)*(GAM_S-GAM_W)+MAX(0,NG-MAX(H1164,GWL))*GAM_D)/(GAM_W*PI()*E1164^2/4))</f>
        <v>1.43385841560712</v>
      </c>
      <c r="AA1164" s="27" t="n">
        <f aca="false">IF(I1164-E1164&gt;=GWL,99,E1164*(MAX(0,GWL-I1164)*(GAM_S-GAM_W)+MAX(0,NG-MAX(I1164,GWL))*GAM_D)/(GAM_W*PI()*E1164^2/4))</f>
        <v>1.43385841560712</v>
      </c>
      <c r="AB1164" s="27" t="n">
        <f aca="false">IF(H1164-E1164&gt;=GWL,99,E1164*(MAX(0,GWL-H1164)*(GAM_S-GAM_W)+MAX(0,FL-MAX(H1164,GWL))*GAM_D)/(GAM_W*PI()*E1164^2/4))</f>
        <v>3.91609626064757</v>
      </c>
      <c r="AC1164" s="27" t="n">
        <f aca="false">IF(I1164-E1164&gt;=GWL,99,E1164*(MAX(0,GWL-I1164)*(GAM_S-GAM_W)+MAX(0,FL-MAX(I1164,GWL))*GAM_D)/(GAM_W*PI()*E1164^2/4))</f>
        <v>3.91609626064757</v>
      </c>
    </row>
    <row r="1165" customFormat="false" ht="15" hidden="false" customHeight="false" outlineLevel="0" collapsed="false">
      <c r="A1165" s="25" t="s">
        <v>1792</v>
      </c>
      <c r="B1165" s="25" t="s">
        <v>1793</v>
      </c>
      <c r="C1165" s="25" t="s">
        <v>1794</v>
      </c>
      <c r="D1165" s="26" t="n">
        <v>0.0500100000771346</v>
      </c>
      <c r="E1165" s="26" t="n">
        <v>1.59999792913849</v>
      </c>
      <c r="F1165" s="26" t="n">
        <v>0.790001035430755</v>
      </c>
      <c r="G1165" s="26" t="n">
        <v>0.790001035430755</v>
      </c>
      <c r="H1165" s="26" t="n">
        <v>2.88999896456925</v>
      </c>
      <c r="I1165" s="26" t="n">
        <v>2.88999896456925</v>
      </c>
      <c r="J1165" s="26" t="n">
        <v>21.66</v>
      </c>
      <c r="K1165" s="27" t="n">
        <f aca="false">MIN(F1165,G1165)</f>
        <v>0.790001035430755</v>
      </c>
      <c r="L1165" s="27" t="n">
        <f aca="false">AVERAGE(F1165,G1165)</f>
        <v>0.790001035430755</v>
      </c>
      <c r="M1165" s="27" t="n">
        <f aca="false">MAX(0,NG-L1165)</f>
        <v>0</v>
      </c>
      <c r="N1165" s="27" t="n">
        <f aca="false">MAX(0,GWL-K1165)</f>
        <v>0</v>
      </c>
      <c r="O1165" s="27" t="n">
        <f aca="false">MAX(0,NG-MAX(K1165,GWL))</f>
        <v>0</v>
      </c>
      <c r="P1165" s="27" t="n">
        <f aca="false">E1165/2+WS+SLOPE_A*O1165+SLOPE_B*N1165</f>
        <v>1.79999896456925</v>
      </c>
      <c r="Q1165" s="28" t="str">
        <f aca="false">IF(AND(P1165&lt;J1165,N1165&lt;=MAXOC),"Open cut","Shoring")</f>
        <v>Open cut</v>
      </c>
      <c r="R1165" s="27" t="n">
        <f aca="false">IF(Q1165="Shoring",D1165,0)</f>
        <v>0</v>
      </c>
      <c r="S1165" s="27" t="n">
        <f aca="false">MAX(0,GWL-L1165)</f>
        <v>0</v>
      </c>
      <c r="T1165" s="27" t="n">
        <f aca="false">MAX(0,NG-MAX(L1165,GWL))</f>
        <v>0</v>
      </c>
      <c r="U1165" s="27" t="n">
        <f aca="false">E1165+2*WS</f>
        <v>3.59999792913849</v>
      </c>
      <c r="V1165" s="27" t="n">
        <f aca="false">IF(Q1165="Shoring",D1165*M1165*U1165,0)</f>
        <v>0</v>
      </c>
      <c r="W1165" s="27" t="n">
        <f aca="false">IF(Q1165="Open cut",D1165*(U1165*M1165+SLOPE_B*S1165^2+2*SLOPE_B*S1165*T1165+SLOPE_A*T1165^2),0)</f>
        <v>0</v>
      </c>
      <c r="X1165" s="27" t="n">
        <f aca="false">IF(M1165&gt;0,D1165*(E1165+2*SLABOVH)*SLAB,0)</f>
        <v>0</v>
      </c>
      <c r="Y1165" s="27" t="n">
        <f aca="false">IF(M1165&gt;0,D1165*PI()*E1165^2/4,0)</f>
        <v>0</v>
      </c>
      <c r="Z1165" s="27" t="n">
        <f aca="false">IF(H1165-E1165&gt;=GWL,99,E1165*(MAX(0,GWL-H1165)*(GAM_S-GAM_W)+MAX(0,NG-MAX(H1165,GWL))*GAM_D)/(GAM_W*PI()*E1165^2/4))</f>
        <v>99</v>
      </c>
      <c r="AA1165" s="27" t="n">
        <f aca="false">IF(I1165-E1165&gt;=GWL,99,E1165*(MAX(0,GWL-I1165)*(GAM_S-GAM_W)+MAX(0,NG-MAX(I1165,GWL))*GAM_D)/(GAM_W*PI()*E1165^2/4))</f>
        <v>99</v>
      </c>
      <c r="AB1165" s="27" t="n">
        <f aca="false">IF(H1165-E1165&gt;=GWL,99,E1165*(MAX(0,GWL-H1165)*(GAM_S-GAM_W)+MAX(0,FL-MAX(H1165,GWL))*GAM_D)/(GAM_W*PI()*E1165^2/4))</f>
        <v>99</v>
      </c>
      <c r="AC1165" s="27" t="n">
        <f aca="false">IF(I1165-E1165&gt;=GWL,99,E1165*(MAX(0,GWL-I1165)*(GAM_S-GAM_W)+MAX(0,FL-MAX(I1165,GWL))*GAM_D)/(GAM_W*PI()*E1165^2/4))</f>
        <v>99</v>
      </c>
    </row>
    <row r="1166" customFormat="false" ht="15" hidden="false" customHeight="false" outlineLevel="0" collapsed="false">
      <c r="A1166" s="25" t="s">
        <v>1792</v>
      </c>
      <c r="B1166" s="25" t="s">
        <v>1793</v>
      </c>
      <c r="C1166" s="25" t="s">
        <v>1795</v>
      </c>
      <c r="D1166" s="26" t="n">
        <v>0.203991289625077</v>
      </c>
      <c r="E1166" s="26" t="n">
        <v>1.59999792913849</v>
      </c>
      <c r="F1166" s="26" t="n">
        <v>0.790001035430755</v>
      </c>
      <c r="G1166" s="26" t="n">
        <v>0.790001035430755</v>
      </c>
      <c r="H1166" s="26" t="n">
        <v>2.88999896456925</v>
      </c>
      <c r="I1166" s="26" t="n">
        <v>2.88999896456925</v>
      </c>
      <c r="J1166" s="26" t="n">
        <v>21.67</v>
      </c>
      <c r="K1166" s="27" t="n">
        <f aca="false">MIN(F1166,G1166)</f>
        <v>0.790001035430755</v>
      </c>
      <c r="L1166" s="27" t="n">
        <f aca="false">AVERAGE(F1166,G1166)</f>
        <v>0.790001035430755</v>
      </c>
      <c r="M1166" s="27" t="n">
        <f aca="false">MAX(0,NG-L1166)</f>
        <v>0</v>
      </c>
      <c r="N1166" s="27" t="n">
        <f aca="false">MAX(0,GWL-K1166)</f>
        <v>0</v>
      </c>
      <c r="O1166" s="27" t="n">
        <f aca="false">MAX(0,NG-MAX(K1166,GWL))</f>
        <v>0</v>
      </c>
      <c r="P1166" s="27" t="n">
        <f aca="false">E1166/2+WS+SLOPE_A*O1166+SLOPE_B*N1166</f>
        <v>1.79999896456925</v>
      </c>
      <c r="Q1166" s="28" t="str">
        <f aca="false">IF(AND(P1166&lt;J1166,N1166&lt;=MAXOC),"Open cut","Shoring")</f>
        <v>Open cut</v>
      </c>
      <c r="R1166" s="27" t="n">
        <f aca="false">IF(Q1166="Shoring",D1166,0)</f>
        <v>0</v>
      </c>
      <c r="S1166" s="27" t="n">
        <f aca="false">MAX(0,GWL-L1166)</f>
        <v>0</v>
      </c>
      <c r="T1166" s="27" t="n">
        <f aca="false">MAX(0,NG-MAX(L1166,GWL))</f>
        <v>0</v>
      </c>
      <c r="U1166" s="27" t="n">
        <f aca="false">E1166+2*WS</f>
        <v>3.59999792913849</v>
      </c>
      <c r="V1166" s="27" t="n">
        <f aca="false">IF(Q1166="Shoring",D1166*M1166*U1166,0)</f>
        <v>0</v>
      </c>
      <c r="W1166" s="27" t="n">
        <f aca="false">IF(Q1166="Open cut",D1166*(U1166*M1166+SLOPE_B*S1166^2+2*SLOPE_B*S1166*T1166+SLOPE_A*T1166^2),0)</f>
        <v>0</v>
      </c>
      <c r="X1166" s="27" t="n">
        <f aca="false">IF(M1166&gt;0,D1166*(E1166+2*SLABOVH)*SLAB,0)</f>
        <v>0</v>
      </c>
      <c r="Y1166" s="27" t="n">
        <f aca="false">IF(M1166&gt;0,D1166*PI()*E1166^2/4,0)</f>
        <v>0</v>
      </c>
      <c r="Z1166" s="27" t="n">
        <f aca="false">IF(H1166-E1166&gt;=GWL,99,E1166*(MAX(0,GWL-H1166)*(GAM_S-GAM_W)+MAX(0,NG-MAX(H1166,GWL))*GAM_D)/(GAM_W*PI()*E1166^2/4))</f>
        <v>99</v>
      </c>
      <c r="AA1166" s="27" t="n">
        <f aca="false">IF(I1166-E1166&gt;=GWL,99,E1166*(MAX(0,GWL-I1166)*(GAM_S-GAM_W)+MAX(0,NG-MAX(I1166,GWL))*GAM_D)/(GAM_W*PI()*E1166^2/4))</f>
        <v>99</v>
      </c>
      <c r="AB1166" s="27" t="n">
        <f aca="false">IF(H1166-E1166&gt;=GWL,99,E1166*(MAX(0,GWL-H1166)*(GAM_S-GAM_W)+MAX(0,FL-MAX(H1166,GWL))*GAM_D)/(GAM_W*PI()*E1166^2/4))</f>
        <v>99</v>
      </c>
      <c r="AC1166" s="27" t="n">
        <f aca="false">IF(I1166-E1166&gt;=GWL,99,E1166*(MAX(0,GWL-I1166)*(GAM_S-GAM_W)+MAX(0,FL-MAX(I1166,GWL))*GAM_D)/(GAM_W*PI()*E1166^2/4))</f>
        <v>99</v>
      </c>
    </row>
    <row r="1167" customFormat="false" ht="15" hidden="false" customHeight="false" outlineLevel="0" collapsed="false">
      <c r="A1167" s="25" t="s">
        <v>1792</v>
      </c>
      <c r="B1167" s="25" t="s">
        <v>1793</v>
      </c>
      <c r="C1167" s="25" t="s">
        <v>1796</v>
      </c>
      <c r="D1167" s="26" t="n">
        <v>1.35573000001773</v>
      </c>
      <c r="E1167" s="26" t="n">
        <v>1.59999792913849</v>
      </c>
      <c r="F1167" s="26" t="n">
        <v>0.790001035430755</v>
      </c>
      <c r="G1167" s="26" t="n">
        <v>0.790001035430755</v>
      </c>
      <c r="H1167" s="26" t="n">
        <v>2.88999896456925</v>
      </c>
      <c r="I1167" s="26" t="n">
        <v>2.88999896456925</v>
      </c>
      <c r="J1167" s="26" t="n">
        <v>21.7</v>
      </c>
      <c r="K1167" s="27" t="n">
        <f aca="false">MIN(F1167,G1167)</f>
        <v>0.790001035430755</v>
      </c>
      <c r="L1167" s="27" t="n">
        <f aca="false">AVERAGE(F1167,G1167)</f>
        <v>0.790001035430755</v>
      </c>
      <c r="M1167" s="27" t="n">
        <f aca="false">MAX(0,NG-L1167)</f>
        <v>0</v>
      </c>
      <c r="N1167" s="27" t="n">
        <f aca="false">MAX(0,GWL-K1167)</f>
        <v>0</v>
      </c>
      <c r="O1167" s="27" t="n">
        <f aca="false">MAX(0,NG-MAX(K1167,GWL))</f>
        <v>0</v>
      </c>
      <c r="P1167" s="27" t="n">
        <f aca="false">E1167/2+WS+SLOPE_A*O1167+SLOPE_B*N1167</f>
        <v>1.79999896456925</v>
      </c>
      <c r="Q1167" s="28" t="str">
        <f aca="false">IF(AND(P1167&lt;J1167,N1167&lt;=MAXOC),"Open cut","Shoring")</f>
        <v>Open cut</v>
      </c>
      <c r="R1167" s="27" t="n">
        <f aca="false">IF(Q1167="Shoring",D1167,0)</f>
        <v>0</v>
      </c>
      <c r="S1167" s="27" t="n">
        <f aca="false">MAX(0,GWL-L1167)</f>
        <v>0</v>
      </c>
      <c r="T1167" s="27" t="n">
        <f aca="false">MAX(0,NG-MAX(L1167,GWL))</f>
        <v>0</v>
      </c>
      <c r="U1167" s="27" t="n">
        <f aca="false">E1167+2*WS</f>
        <v>3.59999792913849</v>
      </c>
      <c r="V1167" s="27" t="n">
        <f aca="false">IF(Q1167="Shoring",D1167*M1167*U1167,0)</f>
        <v>0</v>
      </c>
      <c r="W1167" s="27" t="n">
        <f aca="false">IF(Q1167="Open cut",D1167*(U1167*M1167+SLOPE_B*S1167^2+2*SLOPE_B*S1167*T1167+SLOPE_A*T1167^2),0)</f>
        <v>0</v>
      </c>
      <c r="X1167" s="27" t="n">
        <f aca="false">IF(M1167&gt;0,D1167*(E1167+2*SLABOVH)*SLAB,0)</f>
        <v>0</v>
      </c>
      <c r="Y1167" s="27" t="n">
        <f aca="false">IF(M1167&gt;0,D1167*PI()*E1167^2/4,0)</f>
        <v>0</v>
      </c>
      <c r="Z1167" s="27" t="n">
        <f aca="false">IF(H1167-E1167&gt;=GWL,99,E1167*(MAX(0,GWL-H1167)*(GAM_S-GAM_W)+MAX(0,NG-MAX(H1167,GWL))*GAM_D)/(GAM_W*PI()*E1167^2/4))</f>
        <v>99</v>
      </c>
      <c r="AA1167" s="27" t="n">
        <f aca="false">IF(I1167-E1167&gt;=GWL,99,E1167*(MAX(0,GWL-I1167)*(GAM_S-GAM_W)+MAX(0,NG-MAX(I1167,GWL))*GAM_D)/(GAM_W*PI()*E1167^2/4))</f>
        <v>99</v>
      </c>
      <c r="AB1167" s="27" t="n">
        <f aca="false">IF(H1167-E1167&gt;=GWL,99,E1167*(MAX(0,GWL-H1167)*(GAM_S-GAM_W)+MAX(0,FL-MAX(H1167,GWL))*GAM_D)/(GAM_W*PI()*E1167^2/4))</f>
        <v>99</v>
      </c>
      <c r="AC1167" s="27" t="n">
        <f aca="false">IF(I1167-E1167&gt;=GWL,99,E1167*(MAX(0,GWL-I1167)*(GAM_S-GAM_W)+MAX(0,FL-MAX(I1167,GWL))*GAM_D)/(GAM_W*PI()*E1167^2/4))</f>
        <v>99</v>
      </c>
    </row>
    <row r="1168" customFormat="false" ht="15" hidden="false" customHeight="false" outlineLevel="0" collapsed="false">
      <c r="A1168" s="25" t="s">
        <v>1792</v>
      </c>
      <c r="B1168" s="25" t="s">
        <v>1793</v>
      </c>
      <c r="C1168" s="25" t="s">
        <v>1797</v>
      </c>
      <c r="D1168" s="26" t="n">
        <v>0.840040000060331</v>
      </c>
      <c r="E1168" s="26" t="n">
        <v>1.59999792914563</v>
      </c>
      <c r="F1168" s="26" t="n">
        <v>0.790001035427183</v>
      </c>
      <c r="G1168" s="26" t="n">
        <v>0.316381035427183</v>
      </c>
      <c r="H1168" s="26" t="n">
        <v>2.88999896457282</v>
      </c>
      <c r="I1168" s="26" t="n">
        <v>2.41637896457282</v>
      </c>
      <c r="J1168" s="26" t="n">
        <v>21.96</v>
      </c>
      <c r="K1168" s="27" t="n">
        <f aca="false">MIN(F1168,G1168)</f>
        <v>0.316381035427183</v>
      </c>
      <c r="L1168" s="27" t="n">
        <f aca="false">AVERAGE(F1168,G1168)</f>
        <v>0.553191035427183</v>
      </c>
      <c r="M1168" s="27" t="n">
        <f aca="false">MAX(0,NG-L1168)</f>
        <v>0</v>
      </c>
      <c r="N1168" s="27" t="n">
        <f aca="false">MAX(0,GWL-K1168)</f>
        <v>0</v>
      </c>
      <c r="O1168" s="27" t="n">
        <f aca="false">MAX(0,NG-MAX(K1168,GWL))</f>
        <v>0</v>
      </c>
      <c r="P1168" s="27" t="n">
        <f aca="false">E1168/2+WS+SLOPE_A*O1168+SLOPE_B*N1168</f>
        <v>1.79999896457282</v>
      </c>
      <c r="Q1168" s="28" t="str">
        <f aca="false">IF(AND(P1168&lt;J1168,N1168&lt;=MAXOC),"Open cut","Shoring")</f>
        <v>Open cut</v>
      </c>
      <c r="R1168" s="27" t="n">
        <f aca="false">IF(Q1168="Shoring",D1168,0)</f>
        <v>0</v>
      </c>
      <c r="S1168" s="27" t="n">
        <f aca="false">MAX(0,GWL-L1168)</f>
        <v>0</v>
      </c>
      <c r="T1168" s="27" t="n">
        <f aca="false">MAX(0,NG-MAX(L1168,GWL))</f>
        <v>0</v>
      </c>
      <c r="U1168" s="27" t="n">
        <f aca="false">E1168+2*WS</f>
        <v>3.59999792914563</v>
      </c>
      <c r="V1168" s="27" t="n">
        <f aca="false">IF(Q1168="Shoring",D1168*M1168*U1168,0)</f>
        <v>0</v>
      </c>
      <c r="W1168" s="27" t="n">
        <f aca="false">IF(Q1168="Open cut",D1168*(U1168*M1168+SLOPE_B*S1168^2+2*SLOPE_B*S1168*T1168+SLOPE_A*T1168^2),0)</f>
        <v>0</v>
      </c>
      <c r="X1168" s="27" t="n">
        <f aca="false">IF(M1168&gt;0,D1168*(E1168+2*SLABOVH)*SLAB,0)</f>
        <v>0</v>
      </c>
      <c r="Y1168" s="27" t="n">
        <f aca="false">IF(M1168&gt;0,D1168*PI()*E1168^2/4,0)</f>
        <v>0</v>
      </c>
      <c r="Z1168" s="27" t="n">
        <f aca="false">IF(H1168-E1168&gt;=GWL,99,E1168*(MAX(0,GWL-H1168)*(GAM_S-GAM_W)+MAX(0,NG-MAX(H1168,GWL))*GAM_D)/(GAM_W*PI()*E1168^2/4))</f>
        <v>99</v>
      </c>
      <c r="AA1168" s="27" t="n">
        <f aca="false">IF(I1168-E1168&gt;=GWL,99,E1168*(MAX(0,GWL-I1168)*(GAM_S-GAM_W)+MAX(0,NG-MAX(I1168,GWL))*GAM_D)/(GAM_W*PI()*E1168^2/4))</f>
        <v>99</v>
      </c>
      <c r="AB1168" s="27" t="n">
        <f aca="false">IF(H1168-E1168&gt;=GWL,99,E1168*(MAX(0,GWL-H1168)*(GAM_S-GAM_W)+MAX(0,FL-MAX(H1168,GWL))*GAM_D)/(GAM_W*PI()*E1168^2/4))</f>
        <v>99</v>
      </c>
      <c r="AC1168" s="27" t="n">
        <f aca="false">IF(I1168-E1168&gt;=GWL,99,E1168*(MAX(0,GWL-I1168)*(GAM_S-GAM_W)+MAX(0,FL-MAX(I1168,GWL))*GAM_D)/(GAM_W*PI()*E1168^2/4))</f>
        <v>99</v>
      </c>
    </row>
    <row r="1169" customFormat="false" ht="15" hidden="false" customHeight="false" outlineLevel="0" collapsed="false">
      <c r="A1169" s="25" t="s">
        <v>1792</v>
      </c>
      <c r="B1169" s="25" t="s">
        <v>1793</v>
      </c>
      <c r="C1169" s="25" t="s">
        <v>1798</v>
      </c>
      <c r="D1169" s="26" t="n">
        <v>0.244069339740363</v>
      </c>
      <c r="E1169" s="26" t="n">
        <v>1.59999920183509</v>
      </c>
      <c r="F1169" s="26" t="n">
        <v>0.316380399082454</v>
      </c>
      <c r="G1169" s="26" t="n">
        <v>0.178780399082454</v>
      </c>
      <c r="H1169" s="26" t="n">
        <v>2.41637960091755</v>
      </c>
      <c r="I1169" s="26" t="n">
        <v>2.27877960091755</v>
      </c>
      <c r="J1169" s="26" t="n">
        <v>22.14</v>
      </c>
      <c r="K1169" s="27" t="n">
        <f aca="false">MIN(F1169,G1169)</f>
        <v>0.178780399082454</v>
      </c>
      <c r="L1169" s="27" t="n">
        <f aca="false">AVERAGE(F1169,G1169)</f>
        <v>0.247580399082454</v>
      </c>
      <c r="M1169" s="27" t="n">
        <f aca="false">MAX(0,NG-L1169)</f>
        <v>0</v>
      </c>
      <c r="N1169" s="27" t="n">
        <f aca="false">MAX(0,GWL-K1169)</f>
        <v>0</v>
      </c>
      <c r="O1169" s="27" t="n">
        <f aca="false">MAX(0,NG-MAX(K1169,GWL))</f>
        <v>0</v>
      </c>
      <c r="P1169" s="27" t="n">
        <f aca="false">E1169/2+WS+SLOPE_A*O1169+SLOPE_B*N1169</f>
        <v>1.79999960091755</v>
      </c>
      <c r="Q1169" s="28" t="str">
        <f aca="false">IF(AND(P1169&lt;J1169,N1169&lt;=MAXOC),"Open cut","Shoring")</f>
        <v>Open cut</v>
      </c>
      <c r="R1169" s="27" t="n">
        <f aca="false">IF(Q1169="Shoring",D1169,0)</f>
        <v>0</v>
      </c>
      <c r="S1169" s="27" t="n">
        <f aca="false">MAX(0,GWL-L1169)</f>
        <v>0</v>
      </c>
      <c r="T1169" s="27" t="n">
        <f aca="false">MAX(0,NG-MAX(L1169,GWL))</f>
        <v>0</v>
      </c>
      <c r="U1169" s="27" t="n">
        <f aca="false">E1169+2*WS</f>
        <v>3.59999920183509</v>
      </c>
      <c r="V1169" s="27" t="n">
        <f aca="false">IF(Q1169="Shoring",D1169*M1169*U1169,0)</f>
        <v>0</v>
      </c>
      <c r="W1169" s="27" t="n">
        <f aca="false">IF(Q1169="Open cut",D1169*(U1169*M1169+SLOPE_B*S1169^2+2*SLOPE_B*S1169*T1169+SLOPE_A*T1169^2),0)</f>
        <v>0</v>
      </c>
      <c r="X1169" s="27" t="n">
        <f aca="false">IF(M1169&gt;0,D1169*(E1169+2*SLABOVH)*SLAB,0)</f>
        <v>0</v>
      </c>
      <c r="Y1169" s="27" t="n">
        <f aca="false">IF(M1169&gt;0,D1169*PI()*E1169^2/4,0)</f>
        <v>0</v>
      </c>
      <c r="Z1169" s="27" t="n">
        <f aca="false">IF(H1169-E1169&gt;=GWL,99,E1169*(MAX(0,GWL-H1169)*(GAM_S-GAM_W)+MAX(0,NG-MAX(H1169,GWL))*GAM_D)/(GAM_W*PI()*E1169^2/4))</f>
        <v>99</v>
      </c>
      <c r="AA1169" s="27" t="n">
        <f aca="false">IF(I1169-E1169&gt;=GWL,99,E1169*(MAX(0,GWL-I1169)*(GAM_S-GAM_W)+MAX(0,NG-MAX(I1169,GWL))*GAM_D)/(GAM_W*PI()*E1169^2/4))</f>
        <v>99</v>
      </c>
      <c r="AB1169" s="27" t="n">
        <f aca="false">IF(H1169-E1169&gt;=GWL,99,E1169*(MAX(0,GWL-H1169)*(GAM_S-GAM_W)+MAX(0,FL-MAX(H1169,GWL))*GAM_D)/(GAM_W*PI()*E1169^2/4))</f>
        <v>99</v>
      </c>
      <c r="AC1169" s="27" t="n">
        <f aca="false">IF(I1169-E1169&gt;=GWL,99,E1169*(MAX(0,GWL-I1169)*(GAM_S-GAM_W)+MAX(0,FL-MAX(I1169,GWL))*GAM_D)/(GAM_W*PI()*E1169^2/4))</f>
        <v>99</v>
      </c>
    </row>
    <row r="1170" customFormat="false" ht="15" hidden="false" customHeight="false" outlineLevel="0" collapsed="false">
      <c r="A1170" s="25" t="s">
        <v>1792</v>
      </c>
      <c r="B1170" s="25" t="s">
        <v>1793</v>
      </c>
      <c r="C1170" s="25" t="s">
        <v>1799</v>
      </c>
      <c r="D1170" s="26" t="n">
        <v>0.679233171129592</v>
      </c>
      <c r="E1170" s="26" t="n">
        <v>1.60000297478009</v>
      </c>
      <c r="F1170" s="26" t="n">
        <v>0.178778512609956</v>
      </c>
      <c r="G1170" s="26" t="n">
        <v>-0.204181487390044</v>
      </c>
      <c r="H1170" s="26" t="n">
        <v>2.27878148739004</v>
      </c>
      <c r="I1170" s="26" t="n">
        <v>1.89582148739004</v>
      </c>
      <c r="J1170" s="26" t="n">
        <v>22.19</v>
      </c>
      <c r="K1170" s="27" t="n">
        <f aca="false">MIN(F1170,G1170)</f>
        <v>-0.204181487390044</v>
      </c>
      <c r="L1170" s="27" t="n">
        <f aca="false">AVERAGE(F1170,G1170)</f>
        <v>-0.012701487390044</v>
      </c>
      <c r="M1170" s="27" t="n">
        <f aca="false">MAX(0,NG-L1170)</f>
        <v>0</v>
      </c>
      <c r="N1170" s="27" t="n">
        <f aca="false">MAX(0,GWL-K1170)</f>
        <v>0</v>
      </c>
      <c r="O1170" s="27" t="n">
        <f aca="false">MAX(0,NG-MAX(K1170,GWL))</f>
        <v>0</v>
      </c>
      <c r="P1170" s="27" t="n">
        <f aca="false">E1170/2+WS+SLOPE_A*O1170+SLOPE_B*N1170</f>
        <v>1.80000148739004</v>
      </c>
      <c r="Q1170" s="28" t="str">
        <f aca="false">IF(AND(P1170&lt;J1170,N1170&lt;=MAXOC),"Open cut","Shoring")</f>
        <v>Open cut</v>
      </c>
      <c r="R1170" s="27" t="n">
        <f aca="false">IF(Q1170="Shoring",D1170,0)</f>
        <v>0</v>
      </c>
      <c r="S1170" s="27" t="n">
        <f aca="false">MAX(0,GWL-L1170)</f>
        <v>0</v>
      </c>
      <c r="T1170" s="27" t="n">
        <f aca="false">MAX(0,NG-MAX(L1170,GWL))</f>
        <v>0</v>
      </c>
      <c r="U1170" s="27" t="n">
        <f aca="false">E1170+2*WS</f>
        <v>3.60000297478009</v>
      </c>
      <c r="V1170" s="27" t="n">
        <f aca="false">IF(Q1170="Shoring",D1170*M1170*U1170,0)</f>
        <v>0</v>
      </c>
      <c r="W1170" s="27" t="n">
        <f aca="false">IF(Q1170="Open cut",D1170*(U1170*M1170+SLOPE_B*S1170^2+2*SLOPE_B*S1170*T1170+SLOPE_A*T1170^2),0)</f>
        <v>0</v>
      </c>
      <c r="X1170" s="27" t="n">
        <f aca="false">IF(M1170&gt;0,D1170*(E1170+2*SLABOVH)*SLAB,0)</f>
        <v>0</v>
      </c>
      <c r="Y1170" s="27" t="n">
        <f aca="false">IF(M1170&gt;0,D1170*PI()*E1170^2/4,0)</f>
        <v>0</v>
      </c>
      <c r="Z1170" s="27" t="n">
        <f aca="false">IF(H1170-E1170&gt;=GWL,99,E1170*(MAX(0,GWL-H1170)*(GAM_S-GAM_W)+MAX(0,NG-MAX(H1170,GWL))*GAM_D)/(GAM_W*PI()*E1170^2/4))</f>
        <v>99</v>
      </c>
      <c r="AA1170" s="27" t="n">
        <f aca="false">IF(I1170-E1170&gt;=GWL,99,E1170*(MAX(0,GWL-I1170)*(GAM_S-GAM_W)+MAX(0,NG-MAX(I1170,GWL))*GAM_D)/(GAM_W*PI()*E1170^2/4))</f>
        <v>99</v>
      </c>
      <c r="AB1170" s="27" t="n">
        <f aca="false">IF(H1170-E1170&gt;=GWL,99,E1170*(MAX(0,GWL-H1170)*(GAM_S-GAM_W)+MAX(0,FL-MAX(H1170,GWL))*GAM_D)/(GAM_W*PI()*E1170^2/4))</f>
        <v>99</v>
      </c>
      <c r="AC1170" s="27" t="n">
        <f aca="false">IF(I1170-E1170&gt;=GWL,99,E1170*(MAX(0,GWL-I1170)*(GAM_S-GAM_W)+MAX(0,FL-MAX(I1170,GWL))*GAM_D)/(GAM_W*PI()*E1170^2/4))</f>
        <v>99</v>
      </c>
    </row>
    <row r="1171" customFormat="false" ht="15" hidden="false" customHeight="false" outlineLevel="0" collapsed="false">
      <c r="A1171" s="25" t="s">
        <v>1792</v>
      </c>
      <c r="B1171" s="25" t="s">
        <v>1793</v>
      </c>
      <c r="C1171" s="25" t="s">
        <v>1800</v>
      </c>
      <c r="D1171" s="26" t="n">
        <v>4.97546999994046</v>
      </c>
      <c r="E1171" s="26" t="n">
        <v>1.5999971322321</v>
      </c>
      <c r="F1171" s="26" t="n">
        <v>-0.204178566116049</v>
      </c>
      <c r="G1171" s="26" t="n">
        <v>-3.00935856611605</v>
      </c>
      <c r="H1171" s="26" t="n">
        <v>1.89581856611605</v>
      </c>
      <c r="I1171" s="26" t="n">
        <v>-0.909361433883952</v>
      </c>
      <c r="J1171" s="26" t="n">
        <v>22.36</v>
      </c>
      <c r="K1171" s="27" t="n">
        <f aca="false">MIN(F1171,G1171)</f>
        <v>-3.00935856611605</v>
      </c>
      <c r="L1171" s="27" t="n">
        <f aca="false">AVERAGE(F1171,G1171)</f>
        <v>-1.60676856611605</v>
      </c>
      <c r="M1171" s="27" t="n">
        <f aca="false">MAX(0,NG-L1171)</f>
        <v>0.906768566116048</v>
      </c>
      <c r="N1171" s="27" t="n">
        <f aca="false">MAX(0,GWL-K1171)</f>
        <v>1.50935856611605</v>
      </c>
      <c r="O1171" s="27" t="n">
        <f aca="false">MAX(0,NG-MAX(K1171,GWL))</f>
        <v>0.8</v>
      </c>
      <c r="P1171" s="27" t="n">
        <f aca="false">E1171/2+WS+SLOPE_A*O1171+SLOPE_B*N1171</f>
        <v>6.01871569834815</v>
      </c>
      <c r="Q1171" s="28" t="str">
        <f aca="false">IF(AND(P1171&lt;J1171,N1171&lt;=MAXOC),"Open cut","Shoring")</f>
        <v>Open cut</v>
      </c>
      <c r="R1171" s="27" t="n">
        <f aca="false">IF(Q1171="Shoring",D1171,0)</f>
        <v>0</v>
      </c>
      <c r="S1171" s="27" t="n">
        <f aca="false">MAX(0,GWL-L1171)</f>
        <v>0.106768566116048</v>
      </c>
      <c r="T1171" s="27" t="n">
        <f aca="false">MAX(0,NG-MAX(L1171,GWL))</f>
        <v>0.8</v>
      </c>
      <c r="U1171" s="27" t="n">
        <f aca="false">E1171+2*WS</f>
        <v>3.5999971322321</v>
      </c>
      <c r="V1171" s="27" t="n">
        <f aca="false">IF(Q1171="Shoring",D1171*M1171*U1171,0)</f>
        <v>0</v>
      </c>
      <c r="W1171" s="27" t="n">
        <f aca="false">IF(Q1171="Open cut",D1171*(U1171*M1171+SLOPE_B*S1171^2+2*SLOPE_B*S1171*T1171+SLOPE_A*T1171^2),0)</f>
        <v>22.8315496918733</v>
      </c>
      <c r="X1171" s="27" t="n">
        <f aca="false">IF(M1171&gt;0,D1171*(E1171+2*SLABOVH)*SLAB,0)</f>
        <v>6.46810386567601</v>
      </c>
      <c r="Y1171" s="27" t="n">
        <f aca="false">IF(M1171&gt;0,D1171*PI()*E1171^2/4,0)</f>
        <v>10.0037401393779</v>
      </c>
      <c r="Z1171" s="27" t="n">
        <f aca="false">IF(H1171-E1171&gt;=GWL,99,E1171*(MAX(0,GWL-H1171)*(GAM_S-GAM_W)+MAX(0,NG-MAX(H1171,GWL))*GAM_D)/(GAM_W*PI()*E1171^2/4))</f>
        <v>99</v>
      </c>
      <c r="AA1171" s="27" t="n">
        <f aca="false">IF(I1171-E1171&gt;=GWL,99,E1171*(MAX(0,GWL-I1171)*(GAM_S-GAM_W)+MAX(0,NG-MAX(I1171,GWL))*GAM_D)/(GAM_W*PI()*E1171^2/4))</f>
        <v>0.305696943288416</v>
      </c>
      <c r="AB1171" s="27" t="n">
        <f aca="false">IF(H1171-E1171&gt;=GWL,99,E1171*(MAX(0,GWL-H1171)*(GAM_S-GAM_W)+MAX(0,FL-MAX(H1171,GWL))*GAM_D)/(GAM_W*PI()*E1171^2/4))</f>
        <v>99</v>
      </c>
      <c r="AC1171" s="27" t="n">
        <f aca="false">IF(I1171-E1171&gt;=GWL,99,E1171*(MAX(0,GWL-I1171)*(GAM_S-GAM_W)+MAX(0,FL-MAX(I1171,GWL))*GAM_D)/(GAM_W*PI()*E1171^2/4))</f>
        <v>2.7879344497356</v>
      </c>
    </row>
    <row r="1172" customFormat="false" ht="15" hidden="false" customHeight="false" outlineLevel="0" collapsed="false">
      <c r="A1172" s="25" t="s">
        <v>1792</v>
      </c>
      <c r="B1172" s="25" t="s">
        <v>1793</v>
      </c>
      <c r="C1172" s="25" t="s">
        <v>1801</v>
      </c>
      <c r="D1172" s="26" t="n">
        <v>0.917004574133078</v>
      </c>
      <c r="E1172" s="26" t="n">
        <v>1.59994928614209</v>
      </c>
      <c r="F1172" s="26" t="n">
        <v>-3.00933464307105</v>
      </c>
      <c r="G1172" s="26" t="n">
        <v>-3.52635464307105</v>
      </c>
      <c r="H1172" s="26" t="n">
        <v>-0.909385356928955</v>
      </c>
      <c r="I1172" s="26" t="n">
        <v>-1.42640535692895</v>
      </c>
      <c r="J1172" s="26" t="n">
        <v>23.78</v>
      </c>
      <c r="K1172" s="27" t="n">
        <f aca="false">MIN(F1172,G1172)</f>
        <v>-3.52635464307105</v>
      </c>
      <c r="L1172" s="27" t="n">
        <f aca="false">AVERAGE(F1172,G1172)</f>
        <v>-3.26784464307104</v>
      </c>
      <c r="M1172" s="27" t="n">
        <f aca="false">MAX(0,NG-L1172)</f>
        <v>2.56784464307104</v>
      </c>
      <c r="N1172" s="27" t="n">
        <f aca="false">MAX(0,GWL-K1172)</f>
        <v>2.02635464307105</v>
      </c>
      <c r="O1172" s="27" t="n">
        <f aca="false">MAX(0,NG-MAX(K1172,GWL))</f>
        <v>0.8</v>
      </c>
      <c r="P1172" s="27" t="n">
        <f aca="false">E1172/2+WS+SLOPE_A*O1172+SLOPE_B*N1172</f>
        <v>7.05268392921314</v>
      </c>
      <c r="Q1172" s="28" t="str">
        <f aca="false">IF(AND(P1172&lt;J1172,N1172&lt;=MAXOC),"Open cut","Shoring")</f>
        <v>Open cut</v>
      </c>
      <c r="R1172" s="27" t="n">
        <f aca="false">IF(Q1172="Shoring",D1172,0)</f>
        <v>0</v>
      </c>
      <c r="S1172" s="27" t="n">
        <f aca="false">MAX(0,GWL-L1172)</f>
        <v>1.76784464307104</v>
      </c>
      <c r="T1172" s="27" t="n">
        <f aca="false">MAX(0,NG-MAX(L1172,GWL))</f>
        <v>0.8</v>
      </c>
      <c r="U1172" s="27" t="n">
        <f aca="false">E1172+2*WS</f>
        <v>3.59994928614209</v>
      </c>
      <c r="V1172" s="27" t="n">
        <f aca="false">IF(Q1172="Shoring",D1172*M1172*U1172,0)</f>
        <v>0</v>
      </c>
      <c r="W1172" s="27" t="n">
        <f aca="false">IF(Q1172="Open cut",D1172*(U1172*M1172+SLOPE_B*S1172^2+2*SLOPE_B*S1172*T1172+SLOPE_A*T1172^2),0)</f>
        <v>20.2765875487234</v>
      </c>
      <c r="X1172" s="27" t="n">
        <f aca="false">IF(M1172&gt;0,D1172*(E1172+2*SLABOVH)*SLAB,0)</f>
        <v>1.19208269395316</v>
      </c>
      <c r="Y1172" s="27" t="n">
        <f aca="false">IF(M1172&gt;0,D1172*PI()*E1172^2/4,0)</f>
        <v>1.84363021582119</v>
      </c>
      <c r="Z1172" s="27" t="n">
        <f aca="false">IF(H1172-E1172&gt;=GWL,99,E1172*(MAX(0,GWL-H1172)*(GAM_S-GAM_W)+MAX(0,NG-MAX(H1172,GWL))*GAM_D)/(GAM_W*PI()*E1172^2/4))</f>
        <v>0.305741017112928</v>
      </c>
      <c r="AA1172" s="27" t="n">
        <f aca="false">IF(I1172-E1172&gt;=GWL,99,E1172*(MAX(0,GWL-I1172)*(GAM_S-GAM_W)+MAX(0,NG-MAX(I1172,GWL))*GAM_D)/(GAM_W*PI()*E1172^2/4))</f>
        <v>1.06068502554883</v>
      </c>
      <c r="AB1172" s="27" t="n">
        <f aca="false">IF(H1172-E1172&gt;=GWL,99,E1172*(MAX(0,GWL-H1172)*(GAM_S-GAM_W)+MAX(0,FL-MAX(H1172,GWL))*GAM_D)/(GAM_W*PI()*E1172^2/4))</f>
        <v>2.78805275426241</v>
      </c>
      <c r="AC1172" s="27" t="n">
        <f aca="false">IF(I1172-E1172&gt;=GWL,99,E1172*(MAX(0,GWL-I1172)*(GAM_S-GAM_W)+MAX(0,FL-MAX(I1172,GWL))*GAM_D)/(GAM_W*PI()*E1172^2/4))</f>
        <v>3.54299676269831</v>
      </c>
    </row>
    <row r="1173" customFormat="false" ht="15" hidden="false" customHeight="false" outlineLevel="0" collapsed="false">
      <c r="A1173" s="25" t="s">
        <v>1792</v>
      </c>
      <c r="B1173" s="25" t="s">
        <v>1793</v>
      </c>
      <c r="C1173" s="25" t="s">
        <v>1802</v>
      </c>
      <c r="D1173" s="26" t="n">
        <v>0.73445162544489</v>
      </c>
      <c r="E1173" s="26" t="n">
        <v>1.60000215343023</v>
      </c>
      <c r="F1173" s="26" t="n">
        <v>-3.52638107671512</v>
      </c>
      <c r="G1173" s="26" t="n">
        <v>-3.94046313777972</v>
      </c>
      <c r="H1173" s="26" t="n">
        <v>-1.42637892328489</v>
      </c>
      <c r="I1173" s="26" t="n">
        <v>-1.84046098434949</v>
      </c>
      <c r="J1173" s="26" t="n">
        <v>24.09</v>
      </c>
      <c r="K1173" s="27" t="n">
        <f aca="false">MIN(F1173,G1173)</f>
        <v>-3.94046313777972</v>
      </c>
      <c r="L1173" s="27" t="n">
        <f aca="false">AVERAGE(F1173,G1173)</f>
        <v>-3.73342210724742</v>
      </c>
      <c r="M1173" s="27" t="n">
        <f aca="false">MAX(0,NG-L1173)</f>
        <v>3.03342210724742</v>
      </c>
      <c r="N1173" s="27" t="n">
        <f aca="false">MAX(0,GWL-K1173)</f>
        <v>2.44046313777972</v>
      </c>
      <c r="O1173" s="27" t="n">
        <f aca="false">MAX(0,NG-MAX(K1173,GWL))</f>
        <v>0.8</v>
      </c>
      <c r="P1173" s="27" t="n">
        <f aca="false">E1173/2+WS+SLOPE_A*O1173+SLOPE_B*N1173</f>
        <v>7.88092735227455</v>
      </c>
      <c r="Q1173" s="28" t="str">
        <f aca="false">IF(AND(P1173&lt;J1173,N1173&lt;=MAXOC),"Open cut","Shoring")</f>
        <v>Open cut</v>
      </c>
      <c r="R1173" s="27" t="n">
        <f aca="false">IF(Q1173="Shoring",D1173,0)</f>
        <v>0</v>
      </c>
      <c r="S1173" s="27" t="n">
        <f aca="false">MAX(0,GWL-L1173)</f>
        <v>2.23342210724742</v>
      </c>
      <c r="T1173" s="27" t="n">
        <f aca="false">MAX(0,NG-MAX(L1173,GWL))</f>
        <v>0.8</v>
      </c>
      <c r="U1173" s="27" t="n">
        <f aca="false">E1173+2*WS</f>
        <v>3.60000215343023</v>
      </c>
      <c r="V1173" s="27" t="n">
        <f aca="false">IF(Q1173="Shoring",D1173*M1173*U1173,0)</f>
        <v>0</v>
      </c>
      <c r="W1173" s="27" t="n">
        <f aca="false">IF(Q1173="Open cut",D1173*(U1173*M1173+SLOPE_B*S1173^2+2*SLOPE_B*S1173*T1173+SLOPE_A*T1173^2),0)</f>
        <v>21.3017598774547</v>
      </c>
      <c r="X1173" s="27" t="n">
        <f aca="false">IF(M1173&gt;0,D1173*(E1173+2*SLABOVH)*SLAB,0)</f>
        <v>0.954787903873523</v>
      </c>
      <c r="Y1173" s="27" t="n">
        <f aca="false">IF(M1173&gt;0,D1173*PI()*E1173^2/4,0)</f>
        <v>1.47670658675817</v>
      </c>
      <c r="Z1173" s="27" t="n">
        <f aca="false">IF(H1173-E1173&gt;=GWL,99,E1173*(MAX(0,GWL-H1173)*(GAM_S-GAM_W)+MAX(0,NG-MAX(H1173,GWL))*GAM_D)/(GAM_W*PI()*E1173^2/4))</f>
        <v>1.0606113816907</v>
      </c>
      <c r="AA1173" s="27" t="n">
        <f aca="false">IF(I1173-E1173&gt;=GWL,99,E1173*(MAX(0,GWL-I1173)*(GAM_S-GAM_W)+MAX(0,NG-MAX(I1173,GWL))*GAM_D)/(GAM_W*PI()*E1173^2/4))</f>
        <v>1.39429726637411</v>
      </c>
      <c r="AB1173" s="27" t="n">
        <f aca="false">IF(H1173-E1173&gt;=GWL,99,E1173*(MAX(0,GWL-H1173)*(GAM_S-GAM_W)+MAX(0,FL-MAX(H1173,GWL))*GAM_D)/(GAM_W*PI()*E1173^2/4))</f>
        <v>3.54284109826942</v>
      </c>
      <c r="AC1173" s="27" t="n">
        <f aca="false">IF(I1173-E1173&gt;=GWL,99,E1173*(MAX(0,GWL-I1173)*(GAM_S-GAM_W)+MAX(0,FL-MAX(I1173,GWL))*GAM_D)/(GAM_W*PI()*E1173^2/4))</f>
        <v>3.87652698295282</v>
      </c>
    </row>
    <row r="1174" customFormat="false" ht="15" hidden="false" customHeight="false" outlineLevel="0" collapsed="false">
      <c r="A1174" s="25" t="s">
        <v>1792</v>
      </c>
      <c r="B1174" s="25" t="s">
        <v>1793</v>
      </c>
      <c r="C1174" s="25" t="s">
        <v>1803</v>
      </c>
      <c r="D1174" s="26" t="n">
        <v>0.105601618778004</v>
      </c>
      <c r="E1174" s="26" t="n">
        <v>1.60000215343023</v>
      </c>
      <c r="F1174" s="26" t="n">
        <v>-3.94046313777972</v>
      </c>
      <c r="G1174" s="26" t="n">
        <v>-4.00000107671512</v>
      </c>
      <c r="H1174" s="26" t="n">
        <v>-1.84046098434949</v>
      </c>
      <c r="I1174" s="26" t="n">
        <v>-1.89999892328489</v>
      </c>
      <c r="J1174" s="26" t="n">
        <v>24.36</v>
      </c>
      <c r="K1174" s="27" t="n">
        <f aca="false">MIN(F1174,G1174)</f>
        <v>-4.00000107671512</v>
      </c>
      <c r="L1174" s="27" t="n">
        <f aca="false">AVERAGE(F1174,G1174)</f>
        <v>-3.97023210724742</v>
      </c>
      <c r="M1174" s="27" t="n">
        <f aca="false">MAX(0,NG-L1174)</f>
        <v>3.27023210724742</v>
      </c>
      <c r="N1174" s="27" t="n">
        <f aca="false">MAX(0,GWL-K1174)</f>
        <v>2.50000107671512</v>
      </c>
      <c r="O1174" s="27" t="n">
        <f aca="false">MAX(0,NG-MAX(K1174,GWL))</f>
        <v>0.8</v>
      </c>
      <c r="P1174" s="27" t="n">
        <f aca="false">E1174/2+WS+SLOPE_A*O1174+SLOPE_B*N1174</f>
        <v>8.00000323014535</v>
      </c>
      <c r="Q1174" s="28" t="str">
        <f aca="false">IF(AND(P1174&lt;J1174,N1174&lt;=MAXOC),"Open cut","Shoring")</f>
        <v>Shoring</v>
      </c>
      <c r="R1174" s="27" t="n">
        <f aca="false">IF(Q1174="Shoring",D1174,0)</f>
        <v>0.105601618778004</v>
      </c>
      <c r="S1174" s="27" t="n">
        <f aca="false">MAX(0,GWL-L1174)</f>
        <v>2.47023210724742</v>
      </c>
      <c r="T1174" s="27" t="n">
        <f aca="false">MAX(0,NG-MAX(L1174,GWL))</f>
        <v>0.8</v>
      </c>
      <c r="U1174" s="27" t="n">
        <f aca="false">E1174+2*WS</f>
        <v>3.60000215343023</v>
      </c>
      <c r="V1174" s="27" t="n">
        <f aca="false">IF(Q1174="Shoring",D1174*M1174*U1174,0)</f>
        <v>1.24323123916796</v>
      </c>
      <c r="W1174" s="27" t="n">
        <f aca="false">IF(Q1174="Open cut",D1174*(U1174*M1174+SLOPE_B*S1174^2+2*SLOPE_B*S1174*T1174+SLOPE_A*T1174^2),0)</f>
        <v>0</v>
      </c>
      <c r="X1174" s="27" t="n">
        <f aca="false">IF(M1174&gt;0,D1174*(E1174+2*SLABOVH)*SLAB,0)</f>
        <v>0.137282218114265</v>
      </c>
      <c r="Y1174" s="27" t="n">
        <f aca="false">IF(M1174&gt;0,D1174*PI()*E1174^2/4,0)</f>
        <v>0.212325224179799</v>
      </c>
      <c r="Z1174" s="27" t="n">
        <f aca="false">IF(H1174-E1174&gt;=GWL,99,E1174*(MAX(0,GWL-H1174)*(GAM_S-GAM_W)+MAX(0,NG-MAX(H1174,GWL))*GAM_D)/(GAM_W*PI()*E1174^2/4))</f>
        <v>1.39429726637411</v>
      </c>
      <c r="AA1174" s="27" t="n">
        <f aca="false">IF(I1174-E1174&gt;=GWL,99,E1174*(MAX(0,GWL-I1174)*(GAM_S-GAM_W)+MAX(0,NG-MAX(I1174,GWL))*GAM_D)/(GAM_W*PI()*E1174^2/4))</f>
        <v>1.43385197977801</v>
      </c>
      <c r="AB1174" s="27" t="n">
        <f aca="false">IF(H1174-E1174&gt;=GWL,99,E1174*(MAX(0,GWL-H1174)*(GAM_S-GAM_W)+MAX(0,FL-MAX(H1174,GWL))*GAM_D)/(GAM_W*PI()*E1174^2/4))</f>
        <v>3.87652698295282</v>
      </c>
      <c r="AC1174" s="27" t="n">
        <f aca="false">IF(I1174-E1174&gt;=GWL,99,E1174*(MAX(0,GWL-I1174)*(GAM_S-GAM_W)+MAX(0,FL-MAX(I1174,GWL))*GAM_D)/(GAM_W*PI()*E1174^2/4))</f>
        <v>3.91608169635672</v>
      </c>
    </row>
    <row r="1175" customFormat="false" ht="15" hidden="false" customHeight="false" outlineLevel="0" collapsed="false">
      <c r="A1175" s="25" t="s">
        <v>1792</v>
      </c>
      <c r="B1175" s="25" t="s">
        <v>1793</v>
      </c>
      <c r="C1175" s="25" t="s">
        <v>1804</v>
      </c>
      <c r="D1175" s="26" t="n">
        <v>9.89439838099433</v>
      </c>
      <c r="E1175" s="26" t="n">
        <v>1.60000470368631</v>
      </c>
      <c r="F1175" s="26" t="n">
        <v>-4.00000235184316</v>
      </c>
      <c r="G1175" s="26" t="n">
        <v>-4.00000235184316</v>
      </c>
      <c r="H1175" s="26" t="n">
        <v>-1.89999764815684</v>
      </c>
      <c r="I1175" s="26" t="n">
        <v>-1.89999764815684</v>
      </c>
      <c r="J1175" s="26" t="n">
        <v>24.39</v>
      </c>
      <c r="K1175" s="27" t="n">
        <f aca="false">MIN(F1175,G1175)</f>
        <v>-4.00000235184316</v>
      </c>
      <c r="L1175" s="27" t="n">
        <f aca="false">AVERAGE(F1175,G1175)</f>
        <v>-4.00000235184316</v>
      </c>
      <c r="M1175" s="27" t="n">
        <f aca="false">MAX(0,NG-L1175)</f>
        <v>3.30000235184316</v>
      </c>
      <c r="N1175" s="27" t="n">
        <f aca="false">MAX(0,GWL-K1175)</f>
        <v>2.50000235184316</v>
      </c>
      <c r="O1175" s="27" t="n">
        <f aca="false">MAX(0,NG-MAX(K1175,GWL))</f>
        <v>0.8</v>
      </c>
      <c r="P1175" s="27" t="n">
        <f aca="false">E1175/2+WS+SLOPE_A*O1175+SLOPE_B*N1175</f>
        <v>8.00000705552947</v>
      </c>
      <c r="Q1175" s="28" t="str">
        <f aca="false">IF(AND(P1175&lt;J1175,N1175&lt;=MAXOC),"Open cut","Shoring")</f>
        <v>Shoring</v>
      </c>
      <c r="R1175" s="27" t="n">
        <f aca="false">IF(Q1175="Shoring",D1175,0)</f>
        <v>9.89439838099433</v>
      </c>
      <c r="S1175" s="27" t="n">
        <f aca="false">MAX(0,GWL-L1175)</f>
        <v>2.50000235184316</v>
      </c>
      <c r="T1175" s="27" t="n">
        <f aca="false">MAX(0,NG-MAX(L1175,GWL))</f>
        <v>0.8</v>
      </c>
      <c r="U1175" s="27" t="n">
        <f aca="false">E1175+2*WS</f>
        <v>3.60000470368631</v>
      </c>
      <c r="V1175" s="27" t="n">
        <f aca="false">IF(Q1175="Shoring",D1175*M1175*U1175,0)</f>
        <v>117.545690121068</v>
      </c>
      <c r="W1175" s="27" t="n">
        <f aca="false">IF(Q1175="Open cut",D1175*(U1175*M1175+SLOPE_B*S1175^2+2*SLOPE_B*S1175*T1175+SLOPE_A*T1175^2),0)</f>
        <v>0</v>
      </c>
      <c r="X1175" s="27" t="n">
        <f aca="false">IF(M1175&gt;0,D1175*(E1175+2*SLABOVH)*SLAB,0)</f>
        <v>12.8627411653658</v>
      </c>
      <c r="Y1175" s="27" t="n">
        <f aca="false">IF(M1175&gt;0,D1175*PI()*E1175^2/4,0)</f>
        <v>19.8939852981876</v>
      </c>
      <c r="Z1175" s="27" t="n">
        <f aca="false">IF(H1175-E1175&gt;=GWL,99,E1175*(MAX(0,GWL-H1175)*(GAM_S-GAM_W)+MAX(0,NG-MAX(H1175,GWL))*GAM_D)/(GAM_W*PI()*E1175^2/4))</f>
        <v>1.43384884720903</v>
      </c>
      <c r="AA1175" s="27" t="n">
        <f aca="false">IF(I1175-E1175&gt;=GWL,99,E1175*(MAX(0,GWL-I1175)*(GAM_S-GAM_W)+MAX(0,NG-MAX(I1175,GWL))*GAM_D)/(GAM_W*PI()*E1175^2/4))</f>
        <v>1.43384884720903</v>
      </c>
      <c r="AB1175" s="27" t="n">
        <f aca="false">IF(H1175-E1175&gt;=GWL,99,E1175*(MAX(0,GWL-H1175)*(GAM_S-GAM_W)+MAX(0,FL-MAX(H1175,GWL))*GAM_D)/(GAM_W*PI()*E1175^2/4))</f>
        <v>3.91607460734848</v>
      </c>
      <c r="AC1175" s="27" t="n">
        <f aca="false">IF(I1175-E1175&gt;=GWL,99,E1175*(MAX(0,GWL-I1175)*(GAM_S-GAM_W)+MAX(0,FL-MAX(I1175,GWL))*GAM_D)/(GAM_W*PI()*E1175^2/4))</f>
        <v>3.91607460734848</v>
      </c>
    </row>
    <row r="1176" customFormat="false" ht="15" hidden="false" customHeight="false" outlineLevel="0" collapsed="false">
      <c r="A1176" s="25" t="s">
        <v>1792</v>
      </c>
      <c r="B1176" s="25" t="s">
        <v>1793</v>
      </c>
      <c r="C1176" s="25" t="s">
        <v>1805</v>
      </c>
      <c r="D1176" s="26" t="n">
        <v>10.0000000002803</v>
      </c>
      <c r="E1176" s="26" t="n">
        <v>1.60000470368631</v>
      </c>
      <c r="F1176" s="26" t="n">
        <v>-4.00000235184316</v>
      </c>
      <c r="G1176" s="26" t="n">
        <v>-4.00000235184316</v>
      </c>
      <c r="H1176" s="26" t="n">
        <v>-1.89999764815684</v>
      </c>
      <c r="I1176" s="26" t="n">
        <v>-1.89999764815684</v>
      </c>
      <c r="J1176" s="26" t="n">
        <v>28.74</v>
      </c>
      <c r="K1176" s="27" t="n">
        <f aca="false">MIN(F1176,G1176)</f>
        <v>-4.00000235184316</v>
      </c>
      <c r="L1176" s="27" t="n">
        <f aca="false">AVERAGE(F1176,G1176)</f>
        <v>-4.00000235184316</v>
      </c>
      <c r="M1176" s="27" t="n">
        <f aca="false">MAX(0,NG-L1176)</f>
        <v>3.30000235184316</v>
      </c>
      <c r="N1176" s="27" t="n">
        <f aca="false">MAX(0,GWL-K1176)</f>
        <v>2.50000235184316</v>
      </c>
      <c r="O1176" s="27" t="n">
        <f aca="false">MAX(0,NG-MAX(K1176,GWL))</f>
        <v>0.8</v>
      </c>
      <c r="P1176" s="27" t="n">
        <f aca="false">E1176/2+WS+SLOPE_A*O1176+SLOPE_B*N1176</f>
        <v>8.00000705552947</v>
      </c>
      <c r="Q1176" s="28" t="str">
        <f aca="false">IF(AND(P1176&lt;J1176,N1176&lt;=MAXOC),"Open cut","Shoring")</f>
        <v>Shoring</v>
      </c>
      <c r="R1176" s="27" t="n">
        <f aca="false">IF(Q1176="Shoring",D1176,0)</f>
        <v>10.0000000002803</v>
      </c>
      <c r="S1176" s="27" t="n">
        <f aca="false">MAX(0,GWL-L1176)</f>
        <v>2.50000235184316</v>
      </c>
      <c r="T1176" s="27" t="n">
        <f aca="false">MAX(0,NG-MAX(L1176,GWL))</f>
        <v>0.8</v>
      </c>
      <c r="U1176" s="27" t="n">
        <f aca="false">E1176+2*WS</f>
        <v>3.60000470368631</v>
      </c>
      <c r="V1176" s="27" t="n">
        <f aca="false">IF(Q1176="Shoring",D1176*M1176*U1176,0)</f>
        <v>118.800239891442</v>
      </c>
      <c r="W1176" s="27" t="n">
        <f aca="false">IF(Q1176="Open cut",D1176*(U1176*M1176+SLOPE_B*S1176^2+2*SLOPE_B*S1176*T1176+SLOPE_A*T1176^2),0)</f>
        <v>0</v>
      </c>
      <c r="X1176" s="27" t="n">
        <f aca="false">IF(M1176&gt;0,D1176*(E1176+2*SLABOVH)*SLAB,0)</f>
        <v>13.0000235187959</v>
      </c>
      <c r="Y1176" s="27" t="n">
        <f aca="false">IF(M1176&gt;0,D1176*PI()*E1176^2/4,0)</f>
        <v>20.1063112002429</v>
      </c>
      <c r="Z1176" s="27" t="n">
        <f aca="false">IF(H1176-E1176&gt;=GWL,99,E1176*(MAX(0,GWL-H1176)*(GAM_S-GAM_W)+MAX(0,NG-MAX(H1176,GWL))*GAM_D)/(GAM_W*PI()*E1176^2/4))</f>
        <v>1.43384884720903</v>
      </c>
      <c r="AA1176" s="27" t="n">
        <f aca="false">IF(I1176-E1176&gt;=GWL,99,E1176*(MAX(0,GWL-I1176)*(GAM_S-GAM_W)+MAX(0,NG-MAX(I1176,GWL))*GAM_D)/(GAM_W*PI()*E1176^2/4))</f>
        <v>1.43384884720903</v>
      </c>
      <c r="AB1176" s="27" t="n">
        <f aca="false">IF(H1176-E1176&gt;=GWL,99,E1176*(MAX(0,GWL-H1176)*(GAM_S-GAM_W)+MAX(0,FL-MAX(H1176,GWL))*GAM_D)/(GAM_W*PI()*E1176^2/4))</f>
        <v>3.91607460734848</v>
      </c>
      <c r="AC1176" s="27" t="n">
        <f aca="false">IF(I1176-E1176&gt;=GWL,99,E1176*(MAX(0,GWL-I1176)*(GAM_S-GAM_W)+MAX(0,FL-MAX(I1176,GWL))*GAM_D)/(GAM_W*PI()*E1176^2/4))</f>
        <v>3.91607460734848</v>
      </c>
    </row>
    <row r="1177" customFormat="false" ht="15" hidden="false" customHeight="false" outlineLevel="0" collapsed="false">
      <c r="A1177" s="25" t="s">
        <v>1792</v>
      </c>
      <c r="B1177" s="25" t="s">
        <v>1793</v>
      </c>
      <c r="C1177" s="25" t="s">
        <v>1806</v>
      </c>
      <c r="D1177" s="26" t="n">
        <v>6.30013161869387</v>
      </c>
      <c r="E1177" s="26" t="n">
        <v>1.60000470368631</v>
      </c>
      <c r="F1177" s="26" t="n">
        <v>-4.00000235184316</v>
      </c>
      <c r="G1177" s="26" t="n">
        <v>-4.00000235184316</v>
      </c>
      <c r="H1177" s="26" t="n">
        <v>-1.89999764815684</v>
      </c>
      <c r="I1177" s="26" t="n">
        <v>-1.89999764815684</v>
      </c>
      <c r="J1177" s="26" t="n">
        <v>34.41</v>
      </c>
      <c r="K1177" s="27" t="n">
        <f aca="false">MIN(F1177,G1177)</f>
        <v>-4.00000235184316</v>
      </c>
      <c r="L1177" s="27" t="n">
        <f aca="false">AVERAGE(F1177,G1177)</f>
        <v>-4.00000235184316</v>
      </c>
      <c r="M1177" s="27" t="n">
        <f aca="false">MAX(0,NG-L1177)</f>
        <v>3.30000235184316</v>
      </c>
      <c r="N1177" s="27" t="n">
        <f aca="false">MAX(0,GWL-K1177)</f>
        <v>2.50000235184316</v>
      </c>
      <c r="O1177" s="27" t="n">
        <f aca="false">MAX(0,NG-MAX(K1177,GWL))</f>
        <v>0.8</v>
      </c>
      <c r="P1177" s="27" t="n">
        <f aca="false">E1177/2+WS+SLOPE_A*O1177+SLOPE_B*N1177</f>
        <v>8.00000705552947</v>
      </c>
      <c r="Q1177" s="28" t="str">
        <f aca="false">IF(AND(P1177&lt;J1177,N1177&lt;=MAXOC),"Open cut","Shoring")</f>
        <v>Shoring</v>
      </c>
      <c r="R1177" s="27" t="n">
        <f aca="false">IF(Q1177="Shoring",D1177,0)</f>
        <v>6.30013161869387</v>
      </c>
      <c r="S1177" s="27" t="n">
        <f aca="false">MAX(0,GWL-L1177)</f>
        <v>2.50000235184316</v>
      </c>
      <c r="T1177" s="27" t="n">
        <f aca="false">MAX(0,NG-MAX(L1177,GWL))</f>
        <v>0.8</v>
      </c>
      <c r="U1177" s="27" t="n">
        <f aca="false">E1177+2*WS</f>
        <v>3.60000470368631</v>
      </c>
      <c r="V1177" s="27" t="n">
        <f aca="false">IF(Q1177="Shoring",D1177*M1177*U1177,0)</f>
        <v>74.8457147627516</v>
      </c>
      <c r="W1177" s="27" t="n">
        <f aca="false">IF(Q1177="Open cut",D1177*(U1177*M1177+SLOPE_B*S1177^2+2*SLOPE_B*S1177*T1177+SLOPE_A*T1177^2),0)</f>
        <v>0</v>
      </c>
      <c r="X1177" s="27" t="n">
        <f aca="false">IF(M1177&gt;0,D1177*(E1177+2*SLABOVH)*SLAB,0)</f>
        <v>8.19018592122347</v>
      </c>
      <c r="Y1177" s="27" t="n">
        <f aca="false">IF(M1177&gt;0,D1177*PI()*E1177^2/4,0)</f>
        <v>12.6672406924399</v>
      </c>
      <c r="Z1177" s="27" t="n">
        <f aca="false">IF(H1177-E1177&gt;=GWL,99,E1177*(MAX(0,GWL-H1177)*(GAM_S-GAM_W)+MAX(0,NG-MAX(H1177,GWL))*GAM_D)/(GAM_W*PI()*E1177^2/4))</f>
        <v>1.43384884720903</v>
      </c>
      <c r="AA1177" s="27" t="n">
        <f aca="false">IF(I1177-E1177&gt;=GWL,99,E1177*(MAX(0,GWL-I1177)*(GAM_S-GAM_W)+MAX(0,NG-MAX(I1177,GWL))*GAM_D)/(GAM_W*PI()*E1177^2/4))</f>
        <v>1.43384884720903</v>
      </c>
      <c r="AB1177" s="27" t="n">
        <f aca="false">IF(H1177-E1177&gt;=GWL,99,E1177*(MAX(0,GWL-H1177)*(GAM_S-GAM_W)+MAX(0,FL-MAX(H1177,GWL))*GAM_D)/(GAM_W*PI()*E1177^2/4))</f>
        <v>3.91607460734848</v>
      </c>
      <c r="AC1177" s="27" t="n">
        <f aca="false">IF(I1177-E1177&gt;=GWL,99,E1177*(MAX(0,GWL-I1177)*(GAM_S-GAM_W)+MAX(0,FL-MAX(I1177,GWL))*GAM_D)/(GAM_W*PI()*E1177^2/4))</f>
        <v>3.91607460734848</v>
      </c>
    </row>
    <row r="1178" customFormat="false" ht="15" hidden="false" customHeight="false" outlineLevel="0" collapsed="false">
      <c r="A1178" s="25" t="s">
        <v>1807</v>
      </c>
      <c r="B1178" s="25" t="s">
        <v>1808</v>
      </c>
      <c r="C1178" s="25" t="s">
        <v>1809</v>
      </c>
      <c r="D1178" s="26" t="n">
        <v>0.0500100000159033</v>
      </c>
      <c r="E1178" s="26" t="n">
        <v>1.6000041644934</v>
      </c>
      <c r="F1178" s="26" t="n">
        <v>0.789997917753301</v>
      </c>
      <c r="G1178" s="26" t="n">
        <v>0.789997917753301</v>
      </c>
      <c r="H1178" s="26" t="n">
        <v>2.8900020822467</v>
      </c>
      <c r="I1178" s="26" t="n">
        <v>2.8900020822467</v>
      </c>
      <c r="J1178" s="26" t="n">
        <v>21.28</v>
      </c>
      <c r="K1178" s="27" t="n">
        <f aca="false">MIN(F1178,G1178)</f>
        <v>0.789997917753301</v>
      </c>
      <c r="L1178" s="27" t="n">
        <f aca="false">AVERAGE(F1178,G1178)</f>
        <v>0.789997917753301</v>
      </c>
      <c r="M1178" s="27" t="n">
        <f aca="false">MAX(0,NG-L1178)</f>
        <v>0</v>
      </c>
      <c r="N1178" s="27" t="n">
        <f aca="false">MAX(0,GWL-K1178)</f>
        <v>0</v>
      </c>
      <c r="O1178" s="27" t="n">
        <f aca="false">MAX(0,NG-MAX(K1178,GWL))</f>
        <v>0</v>
      </c>
      <c r="P1178" s="27" t="n">
        <f aca="false">E1178/2+WS+SLOPE_A*O1178+SLOPE_B*N1178</f>
        <v>1.8000020822467</v>
      </c>
      <c r="Q1178" s="28" t="str">
        <f aca="false">IF(AND(P1178&lt;J1178,N1178&lt;=MAXOC),"Open cut","Shoring")</f>
        <v>Open cut</v>
      </c>
      <c r="R1178" s="27" t="n">
        <f aca="false">IF(Q1178="Shoring",D1178,0)</f>
        <v>0</v>
      </c>
      <c r="S1178" s="27" t="n">
        <f aca="false">MAX(0,GWL-L1178)</f>
        <v>0</v>
      </c>
      <c r="T1178" s="27" t="n">
        <f aca="false">MAX(0,NG-MAX(L1178,GWL))</f>
        <v>0</v>
      </c>
      <c r="U1178" s="27" t="n">
        <f aca="false">E1178+2*WS</f>
        <v>3.6000041644934</v>
      </c>
      <c r="V1178" s="27" t="n">
        <f aca="false">IF(Q1178="Shoring",D1178*M1178*U1178,0)</f>
        <v>0</v>
      </c>
      <c r="W1178" s="27" t="n">
        <f aca="false">IF(Q1178="Open cut",D1178*(U1178*M1178+SLOPE_B*S1178^2+2*SLOPE_B*S1178*T1178+SLOPE_A*T1178^2),0)</f>
        <v>0</v>
      </c>
      <c r="X1178" s="27" t="n">
        <f aca="false">IF(M1178&gt;0,D1178*(E1178+2*SLABOVH)*SLAB,0)</f>
        <v>0</v>
      </c>
      <c r="Y1178" s="27" t="n">
        <f aca="false">IF(M1178&gt;0,D1178*PI()*E1178^2/4,0)</f>
        <v>0</v>
      </c>
      <c r="Z1178" s="27" t="n">
        <f aca="false">IF(H1178-E1178&gt;=GWL,99,E1178*(MAX(0,GWL-H1178)*(GAM_S-GAM_W)+MAX(0,NG-MAX(H1178,GWL))*GAM_D)/(GAM_W*PI()*E1178^2/4))</f>
        <v>99</v>
      </c>
      <c r="AA1178" s="27" t="n">
        <f aca="false">IF(I1178-E1178&gt;=GWL,99,E1178*(MAX(0,GWL-I1178)*(GAM_S-GAM_W)+MAX(0,NG-MAX(I1178,GWL))*GAM_D)/(GAM_W*PI()*E1178^2/4))</f>
        <v>99</v>
      </c>
      <c r="AB1178" s="27" t="n">
        <f aca="false">IF(H1178-E1178&gt;=GWL,99,E1178*(MAX(0,GWL-H1178)*(GAM_S-GAM_W)+MAX(0,FL-MAX(H1178,GWL))*GAM_D)/(GAM_W*PI()*E1178^2/4))</f>
        <v>99</v>
      </c>
      <c r="AC1178" s="27" t="n">
        <f aca="false">IF(I1178-E1178&gt;=GWL,99,E1178*(MAX(0,GWL-I1178)*(GAM_S-GAM_W)+MAX(0,FL-MAX(I1178,GWL))*GAM_D)/(GAM_W*PI()*E1178^2/4))</f>
        <v>99</v>
      </c>
    </row>
    <row r="1179" customFormat="false" ht="15" hidden="false" customHeight="false" outlineLevel="0" collapsed="false">
      <c r="A1179" s="25" t="s">
        <v>1807</v>
      </c>
      <c r="B1179" s="25" t="s">
        <v>1808</v>
      </c>
      <c r="C1179" s="25" t="s">
        <v>1810</v>
      </c>
      <c r="D1179" s="26" t="n">
        <v>0.203988865552538</v>
      </c>
      <c r="E1179" s="26" t="n">
        <v>1.6000041644934</v>
      </c>
      <c r="F1179" s="26" t="n">
        <v>0.789997917753301</v>
      </c>
      <c r="G1179" s="26" t="n">
        <v>0.789997917753301</v>
      </c>
      <c r="H1179" s="26" t="n">
        <v>2.8900020822467</v>
      </c>
      <c r="I1179" s="26" t="n">
        <v>2.8900020822467</v>
      </c>
      <c r="J1179" s="26" t="n">
        <v>21.29</v>
      </c>
      <c r="K1179" s="27" t="n">
        <f aca="false">MIN(F1179,G1179)</f>
        <v>0.789997917753301</v>
      </c>
      <c r="L1179" s="27" t="n">
        <f aca="false">AVERAGE(F1179,G1179)</f>
        <v>0.789997917753301</v>
      </c>
      <c r="M1179" s="27" t="n">
        <f aca="false">MAX(0,NG-L1179)</f>
        <v>0</v>
      </c>
      <c r="N1179" s="27" t="n">
        <f aca="false">MAX(0,GWL-K1179)</f>
        <v>0</v>
      </c>
      <c r="O1179" s="27" t="n">
        <f aca="false">MAX(0,NG-MAX(K1179,GWL))</f>
        <v>0</v>
      </c>
      <c r="P1179" s="27" t="n">
        <f aca="false">E1179/2+WS+SLOPE_A*O1179+SLOPE_B*N1179</f>
        <v>1.8000020822467</v>
      </c>
      <c r="Q1179" s="28" t="str">
        <f aca="false">IF(AND(P1179&lt;J1179,N1179&lt;=MAXOC),"Open cut","Shoring")</f>
        <v>Open cut</v>
      </c>
      <c r="R1179" s="27" t="n">
        <f aca="false">IF(Q1179="Shoring",D1179,0)</f>
        <v>0</v>
      </c>
      <c r="S1179" s="27" t="n">
        <f aca="false">MAX(0,GWL-L1179)</f>
        <v>0</v>
      </c>
      <c r="T1179" s="27" t="n">
        <f aca="false">MAX(0,NG-MAX(L1179,GWL))</f>
        <v>0</v>
      </c>
      <c r="U1179" s="27" t="n">
        <f aca="false">E1179+2*WS</f>
        <v>3.6000041644934</v>
      </c>
      <c r="V1179" s="27" t="n">
        <f aca="false">IF(Q1179="Shoring",D1179*M1179*U1179,0)</f>
        <v>0</v>
      </c>
      <c r="W1179" s="27" t="n">
        <f aca="false">IF(Q1179="Open cut",D1179*(U1179*M1179+SLOPE_B*S1179^2+2*SLOPE_B*S1179*T1179+SLOPE_A*T1179^2),0)</f>
        <v>0</v>
      </c>
      <c r="X1179" s="27" t="n">
        <f aca="false">IF(M1179&gt;0,D1179*(E1179+2*SLABOVH)*SLAB,0)</f>
        <v>0</v>
      </c>
      <c r="Y1179" s="27" t="n">
        <f aca="false">IF(M1179&gt;0,D1179*PI()*E1179^2/4,0)</f>
        <v>0</v>
      </c>
      <c r="Z1179" s="27" t="n">
        <f aca="false">IF(H1179-E1179&gt;=GWL,99,E1179*(MAX(0,GWL-H1179)*(GAM_S-GAM_W)+MAX(0,NG-MAX(H1179,GWL))*GAM_D)/(GAM_W*PI()*E1179^2/4))</f>
        <v>99</v>
      </c>
      <c r="AA1179" s="27" t="n">
        <f aca="false">IF(I1179-E1179&gt;=GWL,99,E1179*(MAX(0,GWL-I1179)*(GAM_S-GAM_W)+MAX(0,NG-MAX(I1179,GWL))*GAM_D)/(GAM_W*PI()*E1179^2/4))</f>
        <v>99</v>
      </c>
      <c r="AB1179" s="27" t="n">
        <f aca="false">IF(H1179-E1179&gt;=GWL,99,E1179*(MAX(0,GWL-H1179)*(GAM_S-GAM_W)+MAX(0,FL-MAX(H1179,GWL))*GAM_D)/(GAM_W*PI()*E1179^2/4))</f>
        <v>99</v>
      </c>
      <c r="AC1179" s="27" t="n">
        <f aca="false">IF(I1179-E1179&gt;=GWL,99,E1179*(MAX(0,GWL-I1179)*(GAM_S-GAM_W)+MAX(0,FL-MAX(I1179,GWL))*GAM_D)/(GAM_W*PI()*E1179^2/4))</f>
        <v>99</v>
      </c>
    </row>
    <row r="1180" customFormat="false" ht="15" hidden="false" customHeight="false" outlineLevel="0" collapsed="false">
      <c r="A1180" s="25" t="s">
        <v>1807</v>
      </c>
      <c r="B1180" s="25" t="s">
        <v>1808</v>
      </c>
      <c r="C1180" s="25" t="s">
        <v>1811</v>
      </c>
      <c r="D1180" s="26" t="n">
        <v>1.18914999989171</v>
      </c>
      <c r="E1180" s="26" t="n">
        <v>1.6000041644934</v>
      </c>
      <c r="F1180" s="26" t="n">
        <v>0.789997917753301</v>
      </c>
      <c r="G1180" s="26" t="n">
        <v>0.789997917753301</v>
      </c>
      <c r="H1180" s="26" t="n">
        <v>2.8900020822467</v>
      </c>
      <c r="I1180" s="26" t="n">
        <v>2.8900020822467</v>
      </c>
      <c r="J1180" s="26" t="n">
        <v>21.33</v>
      </c>
      <c r="K1180" s="27" t="n">
        <f aca="false">MIN(F1180,G1180)</f>
        <v>0.789997917753301</v>
      </c>
      <c r="L1180" s="27" t="n">
        <f aca="false">AVERAGE(F1180,G1180)</f>
        <v>0.789997917753301</v>
      </c>
      <c r="M1180" s="27" t="n">
        <f aca="false">MAX(0,NG-L1180)</f>
        <v>0</v>
      </c>
      <c r="N1180" s="27" t="n">
        <f aca="false">MAX(0,GWL-K1180)</f>
        <v>0</v>
      </c>
      <c r="O1180" s="27" t="n">
        <f aca="false">MAX(0,NG-MAX(K1180,GWL))</f>
        <v>0</v>
      </c>
      <c r="P1180" s="27" t="n">
        <f aca="false">E1180/2+WS+SLOPE_A*O1180+SLOPE_B*N1180</f>
        <v>1.8000020822467</v>
      </c>
      <c r="Q1180" s="28" t="str">
        <f aca="false">IF(AND(P1180&lt;J1180,N1180&lt;=MAXOC),"Open cut","Shoring")</f>
        <v>Open cut</v>
      </c>
      <c r="R1180" s="27" t="n">
        <f aca="false">IF(Q1180="Shoring",D1180,0)</f>
        <v>0</v>
      </c>
      <c r="S1180" s="27" t="n">
        <f aca="false">MAX(0,GWL-L1180)</f>
        <v>0</v>
      </c>
      <c r="T1180" s="27" t="n">
        <f aca="false">MAX(0,NG-MAX(L1180,GWL))</f>
        <v>0</v>
      </c>
      <c r="U1180" s="27" t="n">
        <f aca="false">E1180+2*WS</f>
        <v>3.6000041644934</v>
      </c>
      <c r="V1180" s="27" t="n">
        <f aca="false">IF(Q1180="Shoring",D1180*M1180*U1180,0)</f>
        <v>0</v>
      </c>
      <c r="W1180" s="27" t="n">
        <f aca="false">IF(Q1180="Open cut",D1180*(U1180*M1180+SLOPE_B*S1180^2+2*SLOPE_B*S1180*T1180+SLOPE_A*T1180^2),0)</f>
        <v>0</v>
      </c>
      <c r="X1180" s="27" t="n">
        <f aca="false">IF(M1180&gt;0,D1180*(E1180+2*SLABOVH)*SLAB,0)</f>
        <v>0</v>
      </c>
      <c r="Y1180" s="27" t="n">
        <f aca="false">IF(M1180&gt;0,D1180*PI()*E1180^2/4,0)</f>
        <v>0</v>
      </c>
      <c r="Z1180" s="27" t="n">
        <f aca="false">IF(H1180-E1180&gt;=GWL,99,E1180*(MAX(0,GWL-H1180)*(GAM_S-GAM_W)+MAX(0,NG-MAX(H1180,GWL))*GAM_D)/(GAM_W*PI()*E1180^2/4))</f>
        <v>99</v>
      </c>
      <c r="AA1180" s="27" t="n">
        <f aca="false">IF(I1180-E1180&gt;=GWL,99,E1180*(MAX(0,GWL-I1180)*(GAM_S-GAM_W)+MAX(0,NG-MAX(I1180,GWL))*GAM_D)/(GAM_W*PI()*E1180^2/4))</f>
        <v>99</v>
      </c>
      <c r="AB1180" s="27" t="n">
        <f aca="false">IF(H1180-E1180&gt;=GWL,99,E1180*(MAX(0,GWL-H1180)*(GAM_S-GAM_W)+MAX(0,FL-MAX(H1180,GWL))*GAM_D)/(GAM_W*PI()*E1180^2/4))</f>
        <v>99</v>
      </c>
      <c r="AC1180" s="27" t="n">
        <f aca="false">IF(I1180-E1180&gt;=GWL,99,E1180*(MAX(0,GWL-I1180)*(GAM_S-GAM_W)+MAX(0,FL-MAX(I1180,GWL))*GAM_D)/(GAM_W*PI()*E1180^2/4))</f>
        <v>99</v>
      </c>
    </row>
    <row r="1181" customFormat="false" ht="15" hidden="false" customHeight="false" outlineLevel="0" collapsed="false">
      <c r="A1181" s="25" t="s">
        <v>1807</v>
      </c>
      <c r="B1181" s="25" t="s">
        <v>1808</v>
      </c>
      <c r="C1181" s="25" t="s">
        <v>1812</v>
      </c>
      <c r="D1181" s="26" t="n">
        <v>0.83943000015174</v>
      </c>
      <c r="E1181" s="26" t="n">
        <v>1.60000416445837</v>
      </c>
      <c r="F1181" s="26" t="n">
        <v>0.789997917770815</v>
      </c>
      <c r="G1181" s="26" t="n">
        <v>0.315277917770815</v>
      </c>
      <c r="H1181" s="26" t="n">
        <v>2.89000208222919</v>
      </c>
      <c r="I1181" s="26" t="n">
        <v>2.41528208222919</v>
      </c>
      <c r="J1181" s="26" t="n">
        <v>21.58</v>
      </c>
      <c r="K1181" s="27" t="n">
        <f aca="false">MIN(F1181,G1181)</f>
        <v>0.315277917770815</v>
      </c>
      <c r="L1181" s="27" t="n">
        <f aca="false">AVERAGE(F1181,G1181)</f>
        <v>0.552637917770815</v>
      </c>
      <c r="M1181" s="27" t="n">
        <f aca="false">MAX(0,NG-L1181)</f>
        <v>0</v>
      </c>
      <c r="N1181" s="27" t="n">
        <f aca="false">MAX(0,GWL-K1181)</f>
        <v>0</v>
      </c>
      <c r="O1181" s="27" t="n">
        <f aca="false">MAX(0,NG-MAX(K1181,GWL))</f>
        <v>0</v>
      </c>
      <c r="P1181" s="27" t="n">
        <f aca="false">E1181/2+WS+SLOPE_A*O1181+SLOPE_B*N1181</f>
        <v>1.80000208222919</v>
      </c>
      <c r="Q1181" s="28" t="str">
        <f aca="false">IF(AND(P1181&lt;J1181,N1181&lt;=MAXOC),"Open cut","Shoring")</f>
        <v>Open cut</v>
      </c>
      <c r="R1181" s="27" t="n">
        <f aca="false">IF(Q1181="Shoring",D1181,0)</f>
        <v>0</v>
      </c>
      <c r="S1181" s="27" t="n">
        <f aca="false">MAX(0,GWL-L1181)</f>
        <v>0</v>
      </c>
      <c r="T1181" s="27" t="n">
        <f aca="false">MAX(0,NG-MAX(L1181,GWL))</f>
        <v>0</v>
      </c>
      <c r="U1181" s="27" t="n">
        <f aca="false">E1181+2*WS</f>
        <v>3.60000416445837</v>
      </c>
      <c r="V1181" s="27" t="n">
        <f aca="false">IF(Q1181="Shoring",D1181*M1181*U1181,0)</f>
        <v>0</v>
      </c>
      <c r="W1181" s="27" t="n">
        <f aca="false">IF(Q1181="Open cut",D1181*(U1181*M1181+SLOPE_B*S1181^2+2*SLOPE_B*S1181*T1181+SLOPE_A*T1181^2),0)</f>
        <v>0</v>
      </c>
      <c r="X1181" s="27" t="n">
        <f aca="false">IF(M1181&gt;0,D1181*(E1181+2*SLABOVH)*SLAB,0)</f>
        <v>0</v>
      </c>
      <c r="Y1181" s="27" t="n">
        <f aca="false">IF(M1181&gt;0,D1181*PI()*E1181^2/4,0)</f>
        <v>0</v>
      </c>
      <c r="Z1181" s="27" t="n">
        <f aca="false">IF(H1181-E1181&gt;=GWL,99,E1181*(MAX(0,GWL-H1181)*(GAM_S-GAM_W)+MAX(0,NG-MAX(H1181,GWL))*GAM_D)/(GAM_W*PI()*E1181^2/4))</f>
        <v>99</v>
      </c>
      <c r="AA1181" s="27" t="n">
        <f aca="false">IF(I1181-E1181&gt;=GWL,99,E1181*(MAX(0,GWL-I1181)*(GAM_S-GAM_W)+MAX(0,NG-MAX(I1181,GWL))*GAM_D)/(GAM_W*PI()*E1181^2/4))</f>
        <v>99</v>
      </c>
      <c r="AB1181" s="27" t="n">
        <f aca="false">IF(H1181-E1181&gt;=GWL,99,E1181*(MAX(0,GWL-H1181)*(GAM_S-GAM_W)+MAX(0,FL-MAX(H1181,GWL))*GAM_D)/(GAM_W*PI()*E1181^2/4))</f>
        <v>99</v>
      </c>
      <c r="AC1181" s="27" t="n">
        <f aca="false">IF(I1181-E1181&gt;=GWL,99,E1181*(MAX(0,GWL-I1181)*(GAM_S-GAM_W)+MAX(0,FL-MAX(I1181,GWL))*GAM_D)/(GAM_W*PI()*E1181^2/4))</f>
        <v>99</v>
      </c>
    </row>
    <row r="1182" customFormat="false" ht="15" hidden="false" customHeight="false" outlineLevel="0" collapsed="false">
      <c r="A1182" s="25" t="s">
        <v>1807</v>
      </c>
      <c r="B1182" s="25" t="s">
        <v>1808</v>
      </c>
      <c r="C1182" s="25" t="s">
        <v>1813</v>
      </c>
      <c r="D1182" s="26" t="n">
        <v>0.244873314299366</v>
      </c>
      <c r="E1182" s="26" t="n">
        <v>1.60000161424858</v>
      </c>
      <c r="F1182" s="26" t="n">
        <v>0.315279192875709</v>
      </c>
      <c r="G1182" s="26" t="n">
        <v>0.176789192875709</v>
      </c>
      <c r="H1182" s="26" t="n">
        <v>2.41528080712429</v>
      </c>
      <c r="I1182" s="26" t="n">
        <v>2.27679080712429</v>
      </c>
      <c r="J1182" s="26" t="n">
        <v>21.78</v>
      </c>
      <c r="K1182" s="27" t="n">
        <f aca="false">MIN(F1182,G1182)</f>
        <v>0.176789192875709</v>
      </c>
      <c r="L1182" s="27" t="n">
        <f aca="false">AVERAGE(F1182,G1182)</f>
        <v>0.246034192875709</v>
      </c>
      <c r="M1182" s="27" t="n">
        <f aca="false">MAX(0,NG-L1182)</f>
        <v>0</v>
      </c>
      <c r="N1182" s="27" t="n">
        <f aca="false">MAX(0,GWL-K1182)</f>
        <v>0</v>
      </c>
      <c r="O1182" s="27" t="n">
        <f aca="false">MAX(0,NG-MAX(K1182,GWL))</f>
        <v>0</v>
      </c>
      <c r="P1182" s="27" t="n">
        <f aca="false">E1182/2+WS+SLOPE_A*O1182+SLOPE_B*N1182</f>
        <v>1.80000080712429</v>
      </c>
      <c r="Q1182" s="28" t="str">
        <f aca="false">IF(AND(P1182&lt;J1182,N1182&lt;=MAXOC),"Open cut","Shoring")</f>
        <v>Open cut</v>
      </c>
      <c r="R1182" s="27" t="n">
        <f aca="false">IF(Q1182="Shoring",D1182,0)</f>
        <v>0</v>
      </c>
      <c r="S1182" s="27" t="n">
        <f aca="false">MAX(0,GWL-L1182)</f>
        <v>0</v>
      </c>
      <c r="T1182" s="27" t="n">
        <f aca="false">MAX(0,NG-MAX(L1182,GWL))</f>
        <v>0</v>
      </c>
      <c r="U1182" s="27" t="n">
        <f aca="false">E1182+2*WS</f>
        <v>3.60000161424858</v>
      </c>
      <c r="V1182" s="27" t="n">
        <f aca="false">IF(Q1182="Shoring",D1182*M1182*U1182,0)</f>
        <v>0</v>
      </c>
      <c r="W1182" s="27" t="n">
        <f aca="false">IF(Q1182="Open cut",D1182*(U1182*M1182+SLOPE_B*S1182^2+2*SLOPE_B*S1182*T1182+SLOPE_A*T1182^2),0)</f>
        <v>0</v>
      </c>
      <c r="X1182" s="27" t="n">
        <f aca="false">IF(M1182&gt;0,D1182*(E1182+2*SLABOVH)*SLAB,0)</f>
        <v>0</v>
      </c>
      <c r="Y1182" s="27" t="n">
        <f aca="false">IF(M1182&gt;0,D1182*PI()*E1182^2/4,0)</f>
        <v>0</v>
      </c>
      <c r="Z1182" s="27" t="n">
        <f aca="false">IF(H1182-E1182&gt;=GWL,99,E1182*(MAX(0,GWL-H1182)*(GAM_S-GAM_W)+MAX(0,NG-MAX(H1182,GWL))*GAM_D)/(GAM_W*PI()*E1182^2/4))</f>
        <v>99</v>
      </c>
      <c r="AA1182" s="27" t="n">
        <f aca="false">IF(I1182-E1182&gt;=GWL,99,E1182*(MAX(0,GWL-I1182)*(GAM_S-GAM_W)+MAX(0,NG-MAX(I1182,GWL))*GAM_D)/(GAM_W*PI()*E1182^2/4))</f>
        <v>99</v>
      </c>
      <c r="AB1182" s="27" t="n">
        <f aca="false">IF(H1182-E1182&gt;=GWL,99,E1182*(MAX(0,GWL-H1182)*(GAM_S-GAM_W)+MAX(0,FL-MAX(H1182,GWL))*GAM_D)/(GAM_W*PI()*E1182^2/4))</f>
        <v>99</v>
      </c>
      <c r="AC1182" s="27" t="n">
        <f aca="false">IF(I1182-E1182&gt;=GWL,99,E1182*(MAX(0,GWL-I1182)*(GAM_S-GAM_W)+MAX(0,FL-MAX(I1182,GWL))*GAM_D)/(GAM_W*PI()*E1182^2/4))</f>
        <v>99</v>
      </c>
    </row>
    <row r="1183" customFormat="false" ht="15" hidden="false" customHeight="false" outlineLevel="0" collapsed="false">
      <c r="A1183" s="25" t="s">
        <v>1807</v>
      </c>
      <c r="B1183" s="25" t="s">
        <v>1808</v>
      </c>
      <c r="C1183" s="25" t="s">
        <v>1814</v>
      </c>
      <c r="D1183" s="26" t="n">
        <v>0.679310271361951</v>
      </c>
      <c r="E1183" s="26" t="n">
        <v>1.60000736468829</v>
      </c>
      <c r="F1183" s="26" t="n">
        <v>0.176786317655857</v>
      </c>
      <c r="G1183" s="26" t="n">
        <v>-0.207383682344143</v>
      </c>
      <c r="H1183" s="26" t="n">
        <v>2.27679368234414</v>
      </c>
      <c r="I1183" s="26" t="n">
        <v>1.89262368234414</v>
      </c>
      <c r="J1183" s="26" t="n">
        <v>21.84</v>
      </c>
      <c r="K1183" s="27" t="n">
        <f aca="false">MIN(F1183,G1183)</f>
        <v>-0.207383682344143</v>
      </c>
      <c r="L1183" s="27" t="n">
        <f aca="false">AVERAGE(F1183,G1183)</f>
        <v>-0.015298682344143</v>
      </c>
      <c r="M1183" s="27" t="n">
        <f aca="false">MAX(0,NG-L1183)</f>
        <v>0</v>
      </c>
      <c r="N1183" s="27" t="n">
        <f aca="false">MAX(0,GWL-K1183)</f>
        <v>0</v>
      </c>
      <c r="O1183" s="27" t="n">
        <f aca="false">MAX(0,NG-MAX(K1183,GWL))</f>
        <v>0</v>
      </c>
      <c r="P1183" s="27" t="n">
        <f aca="false">E1183/2+WS+SLOPE_A*O1183+SLOPE_B*N1183</f>
        <v>1.80000368234414</v>
      </c>
      <c r="Q1183" s="28" t="str">
        <f aca="false">IF(AND(P1183&lt;J1183,N1183&lt;=MAXOC),"Open cut","Shoring")</f>
        <v>Open cut</v>
      </c>
      <c r="R1183" s="27" t="n">
        <f aca="false">IF(Q1183="Shoring",D1183,0)</f>
        <v>0</v>
      </c>
      <c r="S1183" s="27" t="n">
        <f aca="false">MAX(0,GWL-L1183)</f>
        <v>0</v>
      </c>
      <c r="T1183" s="27" t="n">
        <f aca="false">MAX(0,NG-MAX(L1183,GWL))</f>
        <v>0</v>
      </c>
      <c r="U1183" s="27" t="n">
        <f aca="false">E1183+2*WS</f>
        <v>3.60000736468829</v>
      </c>
      <c r="V1183" s="27" t="n">
        <f aca="false">IF(Q1183="Shoring",D1183*M1183*U1183,0)</f>
        <v>0</v>
      </c>
      <c r="W1183" s="27" t="n">
        <f aca="false">IF(Q1183="Open cut",D1183*(U1183*M1183+SLOPE_B*S1183^2+2*SLOPE_B*S1183*T1183+SLOPE_A*T1183^2),0)</f>
        <v>0</v>
      </c>
      <c r="X1183" s="27" t="n">
        <f aca="false">IF(M1183&gt;0,D1183*(E1183+2*SLABOVH)*SLAB,0)</f>
        <v>0</v>
      </c>
      <c r="Y1183" s="27" t="n">
        <f aca="false">IF(M1183&gt;0,D1183*PI()*E1183^2/4,0)</f>
        <v>0</v>
      </c>
      <c r="Z1183" s="27" t="n">
        <f aca="false">IF(H1183-E1183&gt;=GWL,99,E1183*(MAX(0,GWL-H1183)*(GAM_S-GAM_W)+MAX(0,NG-MAX(H1183,GWL))*GAM_D)/(GAM_W*PI()*E1183^2/4))</f>
        <v>99</v>
      </c>
      <c r="AA1183" s="27" t="n">
        <f aca="false">IF(I1183-E1183&gt;=GWL,99,E1183*(MAX(0,GWL-I1183)*(GAM_S-GAM_W)+MAX(0,NG-MAX(I1183,GWL))*GAM_D)/(GAM_W*PI()*E1183^2/4))</f>
        <v>99</v>
      </c>
      <c r="AB1183" s="27" t="n">
        <f aca="false">IF(H1183-E1183&gt;=GWL,99,E1183*(MAX(0,GWL-H1183)*(GAM_S-GAM_W)+MAX(0,FL-MAX(H1183,GWL))*GAM_D)/(GAM_W*PI()*E1183^2/4))</f>
        <v>99</v>
      </c>
      <c r="AC1183" s="27" t="n">
        <f aca="false">IF(I1183-E1183&gt;=GWL,99,E1183*(MAX(0,GWL-I1183)*(GAM_S-GAM_W)+MAX(0,FL-MAX(I1183,GWL))*GAM_D)/(GAM_W*PI()*E1183^2/4))</f>
        <v>99</v>
      </c>
    </row>
    <row r="1184" customFormat="false" ht="15" hidden="false" customHeight="false" outlineLevel="0" collapsed="false">
      <c r="A1184" s="25" t="s">
        <v>1807</v>
      </c>
      <c r="B1184" s="25" t="s">
        <v>1808</v>
      </c>
      <c r="C1184" s="25" t="s">
        <v>1815</v>
      </c>
      <c r="D1184" s="26" t="n">
        <v>4.9478399997971</v>
      </c>
      <c r="E1184" s="26" t="n">
        <v>1.59999701918773</v>
      </c>
      <c r="F1184" s="26" t="n">
        <v>-0.207378509593863</v>
      </c>
      <c r="G1184" s="26" t="n">
        <v>-3.00552850959386</v>
      </c>
      <c r="H1184" s="26" t="n">
        <v>1.89261850959386</v>
      </c>
      <c r="I1184" s="26" t="n">
        <v>-0.905531490406138</v>
      </c>
      <c r="J1184" s="26" t="n">
        <v>22.03</v>
      </c>
      <c r="K1184" s="27" t="n">
        <f aca="false">MIN(F1184,G1184)</f>
        <v>-3.00552850959386</v>
      </c>
      <c r="L1184" s="27" t="n">
        <f aca="false">AVERAGE(F1184,G1184)</f>
        <v>-1.60645350959386</v>
      </c>
      <c r="M1184" s="27" t="n">
        <f aca="false">MAX(0,NG-L1184)</f>
        <v>0.906453509593863</v>
      </c>
      <c r="N1184" s="27" t="n">
        <f aca="false">MAX(0,GWL-K1184)</f>
        <v>1.50552850959386</v>
      </c>
      <c r="O1184" s="27" t="n">
        <f aca="false">MAX(0,NG-MAX(K1184,GWL))</f>
        <v>0.8</v>
      </c>
      <c r="P1184" s="27" t="n">
        <f aca="false">E1184/2+WS+SLOPE_A*O1184+SLOPE_B*N1184</f>
        <v>6.01105552878159</v>
      </c>
      <c r="Q1184" s="28" t="str">
        <f aca="false">IF(AND(P1184&lt;J1184,N1184&lt;=MAXOC),"Open cut","Shoring")</f>
        <v>Open cut</v>
      </c>
      <c r="R1184" s="27" t="n">
        <f aca="false">IF(Q1184="Shoring",D1184,0)</f>
        <v>0</v>
      </c>
      <c r="S1184" s="27" t="n">
        <f aca="false">MAX(0,GWL-L1184)</f>
        <v>0.106453509593863</v>
      </c>
      <c r="T1184" s="27" t="n">
        <f aca="false">MAX(0,NG-MAX(L1184,GWL))</f>
        <v>0.8</v>
      </c>
      <c r="U1184" s="27" t="n">
        <f aca="false">E1184+2*WS</f>
        <v>3.59999701918773</v>
      </c>
      <c r="V1184" s="27" t="n">
        <f aca="false">IF(Q1184="Shoring",D1184*M1184*U1184,0)</f>
        <v>0</v>
      </c>
      <c r="W1184" s="27" t="n">
        <f aca="false">IF(Q1184="Open cut",D1184*(U1184*M1184+SLOPE_B*S1184^2+2*SLOPE_B*S1184*T1184+SLOPE_A*T1184^2),0)</f>
        <v>22.6934950802731</v>
      </c>
      <c r="X1184" s="27" t="n">
        <f aca="false">IF(M1184&gt;0,D1184*(E1184+2*SLABOVH)*SLAB,0)</f>
        <v>6.43218462544512</v>
      </c>
      <c r="Y1184" s="27" t="n">
        <f aca="false">IF(M1184&gt;0,D1184*PI()*E1184^2/4,0)</f>
        <v>9.9481855212847</v>
      </c>
      <c r="Z1184" s="27" t="n">
        <f aca="false">IF(H1184-E1184&gt;=GWL,99,E1184*(MAX(0,GWL-H1184)*(GAM_S-GAM_W)+MAX(0,NG-MAX(H1184,GWL))*GAM_D)/(GAM_W*PI()*E1184^2/4))</f>
        <v>99</v>
      </c>
      <c r="AA1184" s="27" t="n">
        <f aca="false">IF(I1184-E1184&gt;=GWL,99,E1184*(MAX(0,GWL-I1184)*(GAM_S-GAM_W)+MAX(0,NG-MAX(I1184,GWL))*GAM_D)/(GAM_W*PI()*E1184^2/4))</f>
        <v>0.300104711933906</v>
      </c>
      <c r="AB1184" s="27" t="n">
        <f aca="false">IF(H1184-E1184&gt;=GWL,99,E1184*(MAX(0,GWL-H1184)*(GAM_S-GAM_W)+MAX(0,FL-MAX(H1184,GWL))*GAM_D)/(GAM_W*PI()*E1184^2/4))</f>
        <v>99</v>
      </c>
      <c r="AC1184" s="27" t="n">
        <f aca="false">IF(I1184-E1184&gt;=GWL,99,E1184*(MAX(0,GWL-I1184)*(GAM_S-GAM_W)+MAX(0,FL-MAX(I1184,GWL))*GAM_D)/(GAM_W*PI()*E1184^2/4))</f>
        <v>2.78234239375828</v>
      </c>
    </row>
    <row r="1185" customFormat="false" ht="15" hidden="false" customHeight="false" outlineLevel="0" collapsed="false">
      <c r="A1185" s="25" t="s">
        <v>1807</v>
      </c>
      <c r="B1185" s="25" t="s">
        <v>1808</v>
      </c>
      <c r="C1185" s="25" t="s">
        <v>1816</v>
      </c>
      <c r="D1185" s="26" t="n">
        <v>0.675680670288253</v>
      </c>
      <c r="E1185" s="26" t="n">
        <v>1.59987252752753</v>
      </c>
      <c r="F1185" s="26" t="n">
        <v>-3.00546626376377</v>
      </c>
      <c r="G1185" s="26" t="n">
        <v>-3.38758626376377</v>
      </c>
      <c r="H1185" s="26" t="n">
        <v>-0.905593736236233</v>
      </c>
      <c r="I1185" s="26" t="n">
        <v>-1.28771373623623</v>
      </c>
      <c r="J1185" s="26" t="n">
        <v>23.55</v>
      </c>
      <c r="K1185" s="27" t="n">
        <f aca="false">MIN(F1185,G1185)</f>
        <v>-3.38758626376377</v>
      </c>
      <c r="L1185" s="27" t="n">
        <f aca="false">AVERAGE(F1185,G1185)</f>
        <v>-3.19652626376377</v>
      </c>
      <c r="M1185" s="27" t="n">
        <f aca="false">MAX(0,NG-L1185)</f>
        <v>2.49652626376377</v>
      </c>
      <c r="N1185" s="27" t="n">
        <f aca="false">MAX(0,GWL-K1185)</f>
        <v>1.88758626376377</v>
      </c>
      <c r="O1185" s="27" t="n">
        <f aca="false">MAX(0,NG-MAX(K1185,GWL))</f>
        <v>0.8</v>
      </c>
      <c r="P1185" s="27" t="n">
        <f aca="false">E1185/2+WS+SLOPE_A*O1185+SLOPE_B*N1185</f>
        <v>6.7751087912913</v>
      </c>
      <c r="Q1185" s="28" t="str">
        <f aca="false">IF(AND(P1185&lt;J1185,N1185&lt;=MAXOC),"Open cut","Shoring")</f>
        <v>Open cut</v>
      </c>
      <c r="R1185" s="27" t="n">
        <f aca="false">IF(Q1185="Shoring",D1185,0)</f>
        <v>0</v>
      </c>
      <c r="S1185" s="27" t="n">
        <f aca="false">MAX(0,GWL-L1185)</f>
        <v>1.69652626376377</v>
      </c>
      <c r="T1185" s="27" t="n">
        <f aca="false">MAX(0,NG-MAX(L1185,GWL))</f>
        <v>0.8</v>
      </c>
      <c r="U1185" s="27" t="n">
        <f aca="false">E1185+2*WS</f>
        <v>3.59987252752753</v>
      </c>
      <c r="V1185" s="27" t="n">
        <f aca="false">IF(Q1185="Shoring",D1185*M1185*U1185,0)</f>
        <v>0</v>
      </c>
      <c r="W1185" s="27" t="n">
        <f aca="false">IF(Q1185="Open cut",D1185*(U1185*M1185+SLOPE_B*S1185^2+2*SLOPE_B*S1185*T1185+SLOPE_A*T1185^2),0)</f>
        <v>14.2787968204245</v>
      </c>
      <c r="X1185" s="27" t="n">
        <f aca="false">IF(M1185&gt;0,D1185*(E1185+2*SLABOVH)*SLAB,0)</f>
        <v>0.87834180603191</v>
      </c>
      <c r="Y1185" s="27" t="n">
        <f aca="false">IF(M1185&gt;0,D1185*PI()*E1185^2/4,0)</f>
        <v>1.35832013376784</v>
      </c>
      <c r="Z1185" s="27" t="n">
        <f aca="false">IF(H1185-E1185&gt;=GWL,99,E1185*(MAX(0,GWL-H1185)*(GAM_S-GAM_W)+MAX(0,NG-MAX(H1185,GWL))*GAM_D)/(GAM_W*PI()*E1185^2/4))</f>
        <v>0.300218958815007</v>
      </c>
      <c r="AA1185" s="27" t="n">
        <f aca="false">IF(I1185-E1185&gt;=GWL,99,E1185*(MAX(0,GWL-I1185)*(GAM_S-GAM_W)+MAX(0,NG-MAX(I1185,GWL))*GAM_D)/(GAM_W*PI()*E1185^2/4))</f>
        <v>0.858211000024738</v>
      </c>
      <c r="AB1185" s="27" t="n">
        <f aca="false">IF(H1185-E1185&gt;=GWL,99,E1185*(MAX(0,GWL-H1185)*(GAM_S-GAM_W)+MAX(0,FL-MAX(H1185,GWL))*GAM_D)/(GAM_W*PI()*E1185^2/4))</f>
        <v>2.78264979220908</v>
      </c>
      <c r="AC1185" s="27" t="n">
        <f aca="false">IF(I1185-E1185&gt;=GWL,99,E1185*(MAX(0,GWL-I1185)*(GAM_S-GAM_W)+MAX(0,FL-MAX(I1185,GWL))*GAM_D)/(GAM_W*PI()*E1185^2/4))</f>
        <v>3.34064183341881</v>
      </c>
    </row>
    <row r="1186" customFormat="false" ht="15" hidden="false" customHeight="false" outlineLevel="0" collapsed="false">
      <c r="A1186" s="25" t="s">
        <v>1807</v>
      </c>
      <c r="B1186" s="25" t="s">
        <v>1808</v>
      </c>
      <c r="C1186" s="25" t="s">
        <v>1817</v>
      </c>
      <c r="D1186" s="26" t="n">
        <v>0.242812463533033</v>
      </c>
      <c r="E1186" s="26" t="n">
        <v>1.60000276080251</v>
      </c>
      <c r="F1186" s="26" t="n">
        <v>-3.38765138040126</v>
      </c>
      <c r="G1186" s="26" t="n">
        <v>-3.52497138040126</v>
      </c>
      <c r="H1186" s="26" t="n">
        <v>-1.28764861959875</v>
      </c>
      <c r="I1186" s="26" t="n">
        <v>-1.42496861959875</v>
      </c>
      <c r="J1186" s="26" t="n">
        <v>23.76</v>
      </c>
      <c r="K1186" s="27" t="n">
        <f aca="false">MIN(F1186,G1186)</f>
        <v>-3.52497138040126</v>
      </c>
      <c r="L1186" s="27" t="n">
        <f aca="false">AVERAGE(F1186,G1186)</f>
        <v>-3.45631138040126</v>
      </c>
      <c r="M1186" s="27" t="n">
        <f aca="false">MAX(0,NG-L1186)</f>
        <v>2.75631138040125</v>
      </c>
      <c r="N1186" s="27" t="n">
        <f aca="false">MAX(0,GWL-K1186)</f>
        <v>2.02497138040126</v>
      </c>
      <c r="O1186" s="27" t="n">
        <f aca="false">MAX(0,NG-MAX(K1186,GWL))</f>
        <v>0.8</v>
      </c>
      <c r="P1186" s="27" t="n">
        <f aca="false">E1186/2+WS+SLOPE_A*O1186+SLOPE_B*N1186</f>
        <v>7.04994414120377</v>
      </c>
      <c r="Q1186" s="28" t="str">
        <f aca="false">IF(AND(P1186&lt;J1186,N1186&lt;=MAXOC),"Open cut","Shoring")</f>
        <v>Open cut</v>
      </c>
      <c r="R1186" s="27" t="n">
        <f aca="false">IF(Q1186="Shoring",D1186,0)</f>
        <v>0</v>
      </c>
      <c r="S1186" s="27" t="n">
        <f aca="false">MAX(0,GWL-L1186)</f>
        <v>1.95631138040125</v>
      </c>
      <c r="T1186" s="27" t="n">
        <f aca="false">MAX(0,NG-MAX(L1186,GWL))</f>
        <v>0.8</v>
      </c>
      <c r="U1186" s="27" t="n">
        <f aca="false">E1186+2*WS</f>
        <v>3.60000276080251</v>
      </c>
      <c r="V1186" s="27" t="n">
        <f aca="false">IF(Q1186="Shoring",D1186*M1186*U1186,0)</f>
        <v>0</v>
      </c>
      <c r="W1186" s="27" t="n">
        <f aca="false">IF(Q1186="Open cut",D1186*(U1186*M1186+SLOPE_B*S1186^2+2*SLOPE_B*S1186*T1186+SLOPE_A*T1186^2),0)</f>
        <v>6.02107733807185</v>
      </c>
      <c r="X1186" s="27" t="n">
        <f aca="false">IF(M1186&gt;0,D1186*(E1186+2*SLABOVH)*SLAB,0)</f>
        <v>0.315656537771573</v>
      </c>
      <c r="Y1186" s="27" t="n">
        <f aca="false">IF(M1186&gt;0,D1186*PI()*E1186^2/4,0)</f>
        <v>0.488205109839673</v>
      </c>
      <c r="Z1186" s="27" t="n">
        <f aca="false">IF(H1186-E1186&gt;=GWL,99,E1186*(MAX(0,GWL-H1186)*(GAM_S-GAM_W)+MAX(0,NG-MAX(H1186,GWL))*GAM_D)/(GAM_W*PI()*E1186^2/4))</f>
        <v>0.858046066323369</v>
      </c>
      <c r="AA1186" s="27" t="n">
        <f aca="false">IF(I1186-E1186&gt;=GWL,99,E1186*(MAX(0,GWL-I1186)*(GAM_S-GAM_W)+MAX(0,NG-MAX(I1186,GWL))*GAM_D)/(GAM_W*PI()*E1186^2/4))</f>
        <v>1.05855174590444</v>
      </c>
      <c r="AB1186" s="27" t="n">
        <f aca="false">IF(H1186-E1186&gt;=GWL,99,E1186*(MAX(0,GWL-H1186)*(GAM_S-GAM_W)+MAX(0,FL-MAX(H1186,GWL))*GAM_D)/(GAM_W*PI()*E1186^2/4))</f>
        <v>3.34027484063026</v>
      </c>
      <c r="AC1186" s="27" t="n">
        <f aca="false">IF(I1186-E1186&gt;=GWL,99,E1186*(MAX(0,GWL-I1186)*(GAM_S-GAM_W)+MAX(0,FL-MAX(I1186,GWL))*GAM_D)/(GAM_W*PI()*E1186^2/4))</f>
        <v>3.54078052021133</v>
      </c>
    </row>
    <row r="1187" customFormat="false" ht="15" hidden="false" customHeight="false" outlineLevel="0" collapsed="false">
      <c r="A1187" s="25" t="s">
        <v>1807</v>
      </c>
      <c r="B1187" s="25" t="s">
        <v>1808</v>
      </c>
      <c r="C1187" s="25" t="s">
        <v>1818</v>
      </c>
      <c r="D1187" s="26" t="n">
        <v>0.839973845676122</v>
      </c>
      <c r="E1187" s="26" t="n">
        <v>1.60000676554589</v>
      </c>
      <c r="F1187" s="26" t="n">
        <v>-3.52497338277295</v>
      </c>
      <c r="G1187" s="26" t="n">
        <v>-4.00000338277295</v>
      </c>
      <c r="H1187" s="26" t="n">
        <v>-1.42496661722705</v>
      </c>
      <c r="I1187" s="26" t="n">
        <v>-1.89999661722705</v>
      </c>
      <c r="J1187" s="26" t="n">
        <v>23.84</v>
      </c>
      <c r="K1187" s="27" t="n">
        <f aca="false">MIN(F1187,G1187)</f>
        <v>-4.00000338277295</v>
      </c>
      <c r="L1187" s="27" t="n">
        <f aca="false">AVERAGE(F1187,G1187)</f>
        <v>-3.76248838277295</v>
      </c>
      <c r="M1187" s="27" t="n">
        <f aca="false">MAX(0,NG-L1187)</f>
        <v>3.06248838277295</v>
      </c>
      <c r="N1187" s="27" t="n">
        <f aca="false">MAX(0,GWL-K1187)</f>
        <v>2.50000338277295</v>
      </c>
      <c r="O1187" s="27" t="n">
        <f aca="false">MAX(0,NG-MAX(K1187,GWL))</f>
        <v>0.8</v>
      </c>
      <c r="P1187" s="27" t="n">
        <f aca="false">E1187/2+WS+SLOPE_A*O1187+SLOPE_B*N1187</f>
        <v>8.00001014831884</v>
      </c>
      <c r="Q1187" s="28" t="str">
        <f aca="false">IF(AND(P1187&lt;J1187,N1187&lt;=MAXOC),"Open cut","Shoring")</f>
        <v>Shoring</v>
      </c>
      <c r="R1187" s="27" t="n">
        <f aca="false">IF(Q1187="Shoring",D1187,0)</f>
        <v>0.839973845676122</v>
      </c>
      <c r="S1187" s="27" t="n">
        <f aca="false">MAX(0,GWL-L1187)</f>
        <v>2.26248838277295</v>
      </c>
      <c r="T1187" s="27" t="n">
        <f aca="false">MAX(0,NG-MAX(L1187,GWL))</f>
        <v>0.8</v>
      </c>
      <c r="U1187" s="27" t="n">
        <f aca="false">E1187+2*WS</f>
        <v>3.60000676554589</v>
      </c>
      <c r="V1187" s="27" t="n">
        <f aca="false">IF(Q1187="Shoring",D1187*M1187*U1187,0)</f>
        <v>9.26069392293735</v>
      </c>
      <c r="W1187" s="27" t="n">
        <f aca="false">IF(Q1187="Open cut",D1187*(U1187*M1187+SLOPE_B*S1187^2+2*SLOPE_B*S1187*T1187+SLOPE_A*T1187^2),0)</f>
        <v>0</v>
      </c>
      <c r="X1187" s="27" t="n">
        <f aca="false">IF(M1187&gt;0,D1187*(E1187+2*SLABOVH)*SLAB,0)</f>
        <v>1.09196884081976</v>
      </c>
      <c r="Y1187" s="27" t="n">
        <f aca="false">IF(M1187&gt;0,D1187*PI()*E1187^2/4,0)</f>
        <v>1.68888190685102</v>
      </c>
      <c r="Z1187" s="27" t="n">
        <f aca="false">IF(H1187-E1187&gt;=GWL,99,E1187*(MAX(0,GWL-H1187)*(GAM_S-GAM_W)+MAX(0,NG-MAX(H1187,GWL))*GAM_D)/(GAM_W*PI()*E1187^2/4))</f>
        <v>1.05854617267326</v>
      </c>
      <c r="AA1187" s="27" t="n">
        <f aca="false">IF(I1187-E1187&gt;=GWL,99,E1187*(MAX(0,GWL-I1187)*(GAM_S-GAM_W)+MAX(0,NG-MAX(I1187,GWL))*GAM_D)/(GAM_W*PI()*E1187^2/4))</f>
        <v>1.43384631456191</v>
      </c>
      <c r="AB1187" s="27" t="n">
        <f aca="false">IF(H1187-E1187&gt;=GWL,99,E1187*(MAX(0,GWL-H1187)*(GAM_S-GAM_W)+MAX(0,FL-MAX(H1187,GWL))*GAM_D)/(GAM_W*PI()*E1187^2/4))</f>
        <v>3.54076873407564</v>
      </c>
      <c r="AC1187" s="27" t="n">
        <f aca="false">IF(I1187-E1187&gt;=GWL,99,E1187*(MAX(0,GWL-I1187)*(GAM_S-GAM_W)+MAX(0,FL-MAX(I1187,GWL))*GAM_D)/(GAM_W*PI()*E1187^2/4))</f>
        <v>3.91606887596429</v>
      </c>
    </row>
    <row r="1188" customFormat="false" ht="15" hidden="false" customHeight="false" outlineLevel="0" collapsed="false">
      <c r="A1188" s="25" t="s">
        <v>1807</v>
      </c>
      <c r="B1188" s="25" t="s">
        <v>1808</v>
      </c>
      <c r="C1188" s="25" t="s">
        <v>1819</v>
      </c>
      <c r="D1188" s="26" t="n">
        <v>0.0869305692958322</v>
      </c>
      <c r="E1188" s="26" t="n">
        <v>1.59999712910752</v>
      </c>
      <c r="F1188" s="26" t="n">
        <v>-3.99999856455376</v>
      </c>
      <c r="G1188" s="26" t="n">
        <v>-3.99999856455376</v>
      </c>
      <c r="H1188" s="26" t="n">
        <v>-1.90000143544624</v>
      </c>
      <c r="I1188" s="26" t="n">
        <v>-1.90000143544624</v>
      </c>
      <c r="J1188" s="26" t="n">
        <v>24.14</v>
      </c>
      <c r="K1188" s="27" t="n">
        <f aca="false">MIN(F1188,G1188)</f>
        <v>-3.99999856455376</v>
      </c>
      <c r="L1188" s="27" t="n">
        <f aca="false">AVERAGE(F1188,G1188)</f>
        <v>-3.99999856455376</v>
      </c>
      <c r="M1188" s="27" t="n">
        <f aca="false">MAX(0,NG-L1188)</f>
        <v>3.29999856455376</v>
      </c>
      <c r="N1188" s="27" t="n">
        <f aca="false">MAX(0,GWL-K1188)</f>
        <v>2.49999856455376</v>
      </c>
      <c r="O1188" s="27" t="n">
        <f aca="false">MAX(0,NG-MAX(K1188,GWL))</f>
        <v>0.8</v>
      </c>
      <c r="P1188" s="27" t="n">
        <f aca="false">E1188/2+WS+SLOPE_A*O1188+SLOPE_B*N1188</f>
        <v>7.99999569366128</v>
      </c>
      <c r="Q1188" s="28" t="str">
        <f aca="false">IF(AND(P1188&lt;J1188,N1188&lt;=MAXOC),"Open cut","Shoring")</f>
        <v>Open cut</v>
      </c>
      <c r="R1188" s="27" t="n">
        <f aca="false">IF(Q1188="Shoring",D1188,0)</f>
        <v>0</v>
      </c>
      <c r="S1188" s="27" t="n">
        <f aca="false">MAX(0,GWL-L1188)</f>
        <v>2.49999856455376</v>
      </c>
      <c r="T1188" s="27" t="n">
        <f aca="false">MAX(0,NG-MAX(L1188,GWL))</f>
        <v>0.8</v>
      </c>
      <c r="U1188" s="27" t="n">
        <f aca="false">E1188+2*WS</f>
        <v>3.59999712910752</v>
      </c>
      <c r="V1188" s="27" t="n">
        <f aca="false">IF(Q1188="Shoring",D1188*M1188*U1188,0)</f>
        <v>0</v>
      </c>
      <c r="W1188" s="27" t="n">
        <f aca="false">IF(Q1188="Open cut",D1188*(U1188*M1188+SLOPE_B*S1188^2+2*SLOPE_B*S1188*T1188+SLOPE_A*T1188^2),0)</f>
        <v>2.89826226037445</v>
      </c>
      <c r="X1188" s="27" t="n">
        <f aca="false">IF(M1188&gt;0,D1188*(E1188+2*SLABOVH)*SLAB,0)</f>
        <v>0.113009615300423</v>
      </c>
      <c r="Y1188" s="27" t="n">
        <f aca="false">IF(M1188&gt;0,D1188*PI()*E1188^2/4,0)</f>
        <v>0.174783653005154</v>
      </c>
      <c r="Z1188" s="27" t="n">
        <f aca="false">IF(H1188-E1188&gt;=GWL,99,E1188*(MAX(0,GWL-H1188)*(GAM_S-GAM_W)+MAX(0,NG-MAX(H1188,GWL))*GAM_D)/(GAM_W*PI()*E1188^2/4))</f>
        <v>1.43385815135899</v>
      </c>
      <c r="AA1188" s="27" t="n">
        <f aca="false">IF(I1188-E1188&gt;=GWL,99,E1188*(MAX(0,GWL-I1188)*(GAM_S-GAM_W)+MAX(0,NG-MAX(I1188,GWL))*GAM_D)/(GAM_W*PI()*E1188^2/4))</f>
        <v>1.43385815135899</v>
      </c>
      <c r="AB1188" s="27" t="n">
        <f aca="false">IF(H1188-E1188&gt;=GWL,99,E1188*(MAX(0,GWL-H1188)*(GAM_S-GAM_W)+MAX(0,FL-MAX(H1188,GWL))*GAM_D)/(GAM_W*PI()*E1188^2/4))</f>
        <v>3.91609566265365</v>
      </c>
      <c r="AC1188" s="27" t="n">
        <f aca="false">IF(I1188-E1188&gt;=GWL,99,E1188*(MAX(0,GWL-I1188)*(GAM_S-GAM_W)+MAX(0,FL-MAX(I1188,GWL))*GAM_D)/(GAM_W*PI()*E1188^2/4))</f>
        <v>3.91609566265365</v>
      </c>
    </row>
    <row r="1189" customFormat="false" ht="15" hidden="false" customHeight="false" outlineLevel="0" collapsed="false">
      <c r="A1189" s="25" t="s">
        <v>1807</v>
      </c>
      <c r="B1189" s="25" t="s">
        <v>1808</v>
      </c>
      <c r="C1189" s="25" t="s">
        <v>1820</v>
      </c>
      <c r="D1189" s="26" t="n">
        <v>10.0000000000935</v>
      </c>
      <c r="E1189" s="26" t="n">
        <v>1.59999712910752</v>
      </c>
      <c r="F1189" s="26" t="n">
        <v>-3.99999856455376</v>
      </c>
      <c r="G1189" s="26" t="n">
        <v>-3.99999856455376</v>
      </c>
      <c r="H1189" s="26" t="n">
        <v>-1.90000143544624</v>
      </c>
      <c r="I1189" s="26" t="n">
        <v>-1.90000143544624</v>
      </c>
      <c r="J1189" s="26" t="n">
        <v>24.18</v>
      </c>
      <c r="K1189" s="27" t="n">
        <f aca="false">MIN(F1189,G1189)</f>
        <v>-3.99999856455376</v>
      </c>
      <c r="L1189" s="27" t="n">
        <f aca="false">AVERAGE(F1189,G1189)</f>
        <v>-3.99999856455376</v>
      </c>
      <c r="M1189" s="27" t="n">
        <f aca="false">MAX(0,NG-L1189)</f>
        <v>3.29999856455376</v>
      </c>
      <c r="N1189" s="27" t="n">
        <f aca="false">MAX(0,GWL-K1189)</f>
        <v>2.49999856455376</v>
      </c>
      <c r="O1189" s="27" t="n">
        <f aca="false">MAX(0,NG-MAX(K1189,GWL))</f>
        <v>0.8</v>
      </c>
      <c r="P1189" s="27" t="n">
        <f aca="false">E1189/2+WS+SLOPE_A*O1189+SLOPE_B*N1189</f>
        <v>7.99999569366128</v>
      </c>
      <c r="Q1189" s="28" t="str">
        <f aca="false">IF(AND(P1189&lt;J1189,N1189&lt;=MAXOC),"Open cut","Shoring")</f>
        <v>Open cut</v>
      </c>
      <c r="R1189" s="27" t="n">
        <f aca="false">IF(Q1189="Shoring",D1189,0)</f>
        <v>0</v>
      </c>
      <c r="S1189" s="27" t="n">
        <f aca="false">MAX(0,GWL-L1189)</f>
        <v>2.49999856455376</v>
      </c>
      <c r="T1189" s="27" t="n">
        <f aca="false">MAX(0,NG-MAX(L1189,GWL))</f>
        <v>0.8</v>
      </c>
      <c r="U1189" s="27" t="n">
        <f aca="false">E1189+2*WS</f>
        <v>3.59999712910752</v>
      </c>
      <c r="V1189" s="27" t="n">
        <f aca="false">IF(Q1189="Shoring",D1189*M1189*U1189,0)</f>
        <v>0</v>
      </c>
      <c r="W1189" s="27" t="n">
        <f aca="false">IF(Q1189="Open cut",D1189*(U1189*M1189+SLOPE_B*S1189^2+2*SLOPE_B*S1189*T1189+SLOPE_A*T1189^2),0)</f>
        <v>333.399664108779</v>
      </c>
      <c r="X1189" s="27" t="n">
        <f aca="false">IF(M1189&gt;0,D1189*(E1189+2*SLABOVH)*SLAB,0)</f>
        <v>12.9999856456591</v>
      </c>
      <c r="Y1189" s="27" t="n">
        <f aca="false">IF(M1189&gt;0,D1189*PI()*E1189^2/4,0)</f>
        <v>20.1061208298296</v>
      </c>
      <c r="Z1189" s="27" t="n">
        <f aca="false">IF(H1189-E1189&gt;=GWL,99,E1189*(MAX(0,GWL-H1189)*(GAM_S-GAM_W)+MAX(0,NG-MAX(H1189,GWL))*GAM_D)/(GAM_W*PI()*E1189^2/4))</f>
        <v>1.43385815135899</v>
      </c>
      <c r="AA1189" s="27" t="n">
        <f aca="false">IF(I1189-E1189&gt;=GWL,99,E1189*(MAX(0,GWL-I1189)*(GAM_S-GAM_W)+MAX(0,NG-MAX(I1189,GWL))*GAM_D)/(GAM_W*PI()*E1189^2/4))</f>
        <v>1.43385815135899</v>
      </c>
      <c r="AB1189" s="27" t="n">
        <f aca="false">IF(H1189-E1189&gt;=GWL,99,E1189*(MAX(0,GWL-H1189)*(GAM_S-GAM_W)+MAX(0,FL-MAX(H1189,GWL))*GAM_D)/(GAM_W*PI()*E1189^2/4))</f>
        <v>3.91609566265365</v>
      </c>
      <c r="AC1189" s="27" t="n">
        <f aca="false">IF(I1189-E1189&gt;=GWL,99,E1189*(MAX(0,GWL-I1189)*(GAM_S-GAM_W)+MAX(0,FL-MAX(I1189,GWL))*GAM_D)/(GAM_W*PI()*E1189^2/4))</f>
        <v>3.91609566265365</v>
      </c>
    </row>
    <row r="1190" customFormat="false" ht="15" hidden="false" customHeight="false" outlineLevel="0" collapsed="false">
      <c r="A1190" s="25" t="s">
        <v>1807</v>
      </c>
      <c r="B1190" s="25" t="s">
        <v>1808</v>
      </c>
      <c r="C1190" s="25" t="s">
        <v>1821</v>
      </c>
      <c r="D1190" s="26" t="n">
        <v>10.0000000000935</v>
      </c>
      <c r="E1190" s="26" t="n">
        <v>1.59999712910752</v>
      </c>
      <c r="F1190" s="26" t="n">
        <v>-3.99999856455376</v>
      </c>
      <c r="G1190" s="26" t="n">
        <v>-3.99999856455376</v>
      </c>
      <c r="H1190" s="26" t="n">
        <v>-1.90000143544624</v>
      </c>
      <c r="I1190" s="26" t="n">
        <v>-1.90000143544624</v>
      </c>
      <c r="J1190" s="26" t="n">
        <v>28.6</v>
      </c>
      <c r="K1190" s="27" t="n">
        <f aca="false">MIN(F1190,G1190)</f>
        <v>-3.99999856455376</v>
      </c>
      <c r="L1190" s="27" t="n">
        <f aca="false">AVERAGE(F1190,G1190)</f>
        <v>-3.99999856455376</v>
      </c>
      <c r="M1190" s="27" t="n">
        <f aca="false">MAX(0,NG-L1190)</f>
        <v>3.29999856455376</v>
      </c>
      <c r="N1190" s="27" t="n">
        <f aca="false">MAX(0,GWL-K1190)</f>
        <v>2.49999856455376</v>
      </c>
      <c r="O1190" s="27" t="n">
        <f aca="false">MAX(0,NG-MAX(K1190,GWL))</f>
        <v>0.8</v>
      </c>
      <c r="P1190" s="27" t="n">
        <f aca="false">E1190/2+WS+SLOPE_A*O1190+SLOPE_B*N1190</f>
        <v>7.99999569366128</v>
      </c>
      <c r="Q1190" s="28" t="str">
        <f aca="false">IF(AND(P1190&lt;J1190,N1190&lt;=MAXOC),"Open cut","Shoring")</f>
        <v>Open cut</v>
      </c>
      <c r="R1190" s="27" t="n">
        <f aca="false">IF(Q1190="Shoring",D1190,0)</f>
        <v>0</v>
      </c>
      <c r="S1190" s="27" t="n">
        <f aca="false">MAX(0,GWL-L1190)</f>
        <v>2.49999856455376</v>
      </c>
      <c r="T1190" s="27" t="n">
        <f aca="false">MAX(0,NG-MAX(L1190,GWL))</f>
        <v>0.8</v>
      </c>
      <c r="U1190" s="27" t="n">
        <f aca="false">E1190+2*WS</f>
        <v>3.59999712910752</v>
      </c>
      <c r="V1190" s="27" t="n">
        <f aca="false">IF(Q1190="Shoring",D1190*M1190*U1190,0)</f>
        <v>0</v>
      </c>
      <c r="W1190" s="27" t="n">
        <f aca="false">IF(Q1190="Open cut",D1190*(U1190*M1190+SLOPE_B*S1190^2+2*SLOPE_B*S1190*T1190+SLOPE_A*T1190^2),0)</f>
        <v>333.399664108779</v>
      </c>
      <c r="X1190" s="27" t="n">
        <f aca="false">IF(M1190&gt;0,D1190*(E1190+2*SLABOVH)*SLAB,0)</f>
        <v>12.9999856456591</v>
      </c>
      <c r="Y1190" s="27" t="n">
        <f aca="false">IF(M1190&gt;0,D1190*PI()*E1190^2/4,0)</f>
        <v>20.1061208298296</v>
      </c>
      <c r="Z1190" s="27" t="n">
        <f aca="false">IF(H1190-E1190&gt;=GWL,99,E1190*(MAX(0,GWL-H1190)*(GAM_S-GAM_W)+MAX(0,NG-MAX(H1190,GWL))*GAM_D)/(GAM_W*PI()*E1190^2/4))</f>
        <v>1.43385815135899</v>
      </c>
      <c r="AA1190" s="27" t="n">
        <f aca="false">IF(I1190-E1190&gt;=GWL,99,E1190*(MAX(0,GWL-I1190)*(GAM_S-GAM_W)+MAX(0,NG-MAX(I1190,GWL))*GAM_D)/(GAM_W*PI()*E1190^2/4))</f>
        <v>1.43385815135899</v>
      </c>
      <c r="AB1190" s="27" t="n">
        <f aca="false">IF(H1190-E1190&gt;=GWL,99,E1190*(MAX(0,GWL-H1190)*(GAM_S-GAM_W)+MAX(0,FL-MAX(H1190,GWL))*GAM_D)/(GAM_W*PI()*E1190^2/4))</f>
        <v>3.91609566265365</v>
      </c>
      <c r="AC1190" s="27" t="n">
        <f aca="false">IF(I1190-E1190&gt;=GWL,99,E1190*(MAX(0,GWL-I1190)*(GAM_S-GAM_W)+MAX(0,FL-MAX(I1190,GWL))*GAM_D)/(GAM_W*PI()*E1190^2/4))</f>
        <v>3.91609566265365</v>
      </c>
    </row>
    <row r="1191" customFormat="false" ht="15" hidden="false" customHeight="false" outlineLevel="0" collapsed="false">
      <c r="A1191" s="25" t="s">
        <v>1807</v>
      </c>
      <c r="B1191" s="25" t="s">
        <v>1808</v>
      </c>
      <c r="C1191" s="25" t="s">
        <v>1822</v>
      </c>
      <c r="D1191" s="26" t="n">
        <v>7.58718943057621</v>
      </c>
      <c r="E1191" s="26" t="n">
        <v>1.59999712910752</v>
      </c>
      <c r="F1191" s="26" t="n">
        <v>-3.99999856455376</v>
      </c>
      <c r="G1191" s="26" t="n">
        <v>-3.99999856455376</v>
      </c>
      <c r="H1191" s="26" t="n">
        <v>-1.90000143544624</v>
      </c>
      <c r="I1191" s="26" t="n">
        <v>-1.90000143544624</v>
      </c>
      <c r="J1191" s="26" t="n">
        <v>34.31</v>
      </c>
      <c r="K1191" s="27" t="n">
        <f aca="false">MIN(F1191,G1191)</f>
        <v>-3.99999856455376</v>
      </c>
      <c r="L1191" s="27" t="n">
        <f aca="false">AVERAGE(F1191,G1191)</f>
        <v>-3.99999856455376</v>
      </c>
      <c r="M1191" s="27" t="n">
        <f aca="false">MAX(0,NG-L1191)</f>
        <v>3.29999856455376</v>
      </c>
      <c r="N1191" s="27" t="n">
        <f aca="false">MAX(0,GWL-K1191)</f>
        <v>2.49999856455376</v>
      </c>
      <c r="O1191" s="27" t="n">
        <f aca="false">MAX(0,NG-MAX(K1191,GWL))</f>
        <v>0.8</v>
      </c>
      <c r="P1191" s="27" t="n">
        <f aca="false">E1191/2+WS+SLOPE_A*O1191+SLOPE_B*N1191</f>
        <v>7.99999569366128</v>
      </c>
      <c r="Q1191" s="28" t="str">
        <f aca="false">IF(AND(P1191&lt;J1191,N1191&lt;=MAXOC),"Open cut","Shoring")</f>
        <v>Open cut</v>
      </c>
      <c r="R1191" s="27" t="n">
        <f aca="false">IF(Q1191="Shoring",D1191,0)</f>
        <v>0</v>
      </c>
      <c r="S1191" s="27" t="n">
        <f aca="false">MAX(0,GWL-L1191)</f>
        <v>2.49999856455376</v>
      </c>
      <c r="T1191" s="27" t="n">
        <f aca="false">MAX(0,NG-MAX(L1191,GWL))</f>
        <v>0.8</v>
      </c>
      <c r="U1191" s="27" t="n">
        <f aca="false">E1191+2*WS</f>
        <v>3.59999712910752</v>
      </c>
      <c r="V1191" s="27" t="n">
        <f aca="false">IF(Q1191="Shoring",D1191*M1191*U1191,0)</f>
        <v>0</v>
      </c>
      <c r="W1191" s="27" t="n">
        <f aca="false">IF(Q1191="Open cut",D1191*(U1191*M1191+SLOPE_B*S1191^2+2*SLOPE_B*S1191*T1191+SLOPE_A*T1191^2),0)</f>
        <v>252.956640766014</v>
      </c>
      <c r="X1191" s="27" t="n">
        <f aca="false">IF(M1191&gt;0,D1191*(E1191+2*SLABOVH)*SLAB,0)</f>
        <v>9.86333536874653</v>
      </c>
      <c r="Y1191" s="27" t="n">
        <f aca="false">IF(M1191&gt;0,D1191*PI()*E1191^2/4,0)</f>
        <v>15.2548947448545</v>
      </c>
      <c r="Z1191" s="27" t="n">
        <f aca="false">IF(H1191-E1191&gt;=GWL,99,E1191*(MAX(0,GWL-H1191)*(GAM_S-GAM_W)+MAX(0,NG-MAX(H1191,GWL))*GAM_D)/(GAM_W*PI()*E1191^2/4))</f>
        <v>1.43385815135899</v>
      </c>
      <c r="AA1191" s="27" t="n">
        <f aca="false">IF(I1191-E1191&gt;=GWL,99,E1191*(MAX(0,GWL-I1191)*(GAM_S-GAM_W)+MAX(0,NG-MAX(I1191,GWL))*GAM_D)/(GAM_W*PI()*E1191^2/4))</f>
        <v>1.43385815135899</v>
      </c>
      <c r="AB1191" s="27" t="n">
        <f aca="false">IF(H1191-E1191&gt;=GWL,99,E1191*(MAX(0,GWL-H1191)*(GAM_S-GAM_W)+MAX(0,FL-MAX(H1191,GWL))*GAM_D)/(GAM_W*PI()*E1191^2/4))</f>
        <v>3.91609566265365</v>
      </c>
      <c r="AC1191" s="27" t="n">
        <f aca="false">IF(I1191-E1191&gt;=GWL,99,E1191*(MAX(0,GWL-I1191)*(GAM_S-GAM_W)+MAX(0,FL-MAX(I1191,GWL))*GAM_D)/(GAM_W*PI()*E1191^2/4))</f>
        <v>3.91609566265365</v>
      </c>
    </row>
    <row r="1192" customFormat="false" ht="15" hidden="false" customHeight="false" outlineLevel="0" collapsed="false">
      <c r="A1192" s="25" t="s">
        <v>1823</v>
      </c>
      <c r="B1192" s="25" t="s">
        <v>1824</v>
      </c>
      <c r="C1192" s="25" t="s">
        <v>1825</v>
      </c>
      <c r="D1192" s="26" t="n">
        <v>0.0500100002567424</v>
      </c>
      <c r="E1192" s="26" t="n">
        <v>1.59999792937467</v>
      </c>
      <c r="F1192" s="26" t="n">
        <v>0.790001035312663</v>
      </c>
      <c r="G1192" s="26" t="n">
        <v>0.790001035312663</v>
      </c>
      <c r="H1192" s="26" t="n">
        <v>2.88999896468734</v>
      </c>
      <c r="I1192" s="26" t="n">
        <v>2.88999896468734</v>
      </c>
      <c r="J1192" s="26" t="n">
        <v>21.27</v>
      </c>
      <c r="K1192" s="27" t="n">
        <f aca="false">MIN(F1192,G1192)</f>
        <v>0.790001035312663</v>
      </c>
      <c r="L1192" s="27" t="n">
        <f aca="false">AVERAGE(F1192,G1192)</f>
        <v>0.790001035312663</v>
      </c>
      <c r="M1192" s="27" t="n">
        <f aca="false">MAX(0,NG-L1192)</f>
        <v>0</v>
      </c>
      <c r="N1192" s="27" t="n">
        <f aca="false">MAX(0,GWL-K1192)</f>
        <v>0</v>
      </c>
      <c r="O1192" s="27" t="n">
        <f aca="false">MAX(0,NG-MAX(K1192,GWL))</f>
        <v>0</v>
      </c>
      <c r="P1192" s="27" t="n">
        <f aca="false">E1192/2+WS+SLOPE_A*O1192+SLOPE_B*N1192</f>
        <v>1.79999896468734</v>
      </c>
      <c r="Q1192" s="28" t="str">
        <f aca="false">IF(AND(P1192&lt;J1192,N1192&lt;=MAXOC),"Open cut","Shoring")</f>
        <v>Open cut</v>
      </c>
      <c r="R1192" s="27" t="n">
        <f aca="false">IF(Q1192="Shoring",D1192,0)</f>
        <v>0</v>
      </c>
      <c r="S1192" s="27" t="n">
        <f aca="false">MAX(0,GWL-L1192)</f>
        <v>0</v>
      </c>
      <c r="T1192" s="27" t="n">
        <f aca="false">MAX(0,NG-MAX(L1192,GWL))</f>
        <v>0</v>
      </c>
      <c r="U1192" s="27" t="n">
        <f aca="false">E1192+2*WS</f>
        <v>3.59999792937467</v>
      </c>
      <c r="V1192" s="27" t="n">
        <f aca="false">IF(Q1192="Shoring",D1192*M1192*U1192,0)</f>
        <v>0</v>
      </c>
      <c r="W1192" s="27" t="n">
        <f aca="false">IF(Q1192="Open cut",D1192*(U1192*M1192+SLOPE_B*S1192^2+2*SLOPE_B*S1192*T1192+SLOPE_A*T1192^2),0)</f>
        <v>0</v>
      </c>
      <c r="X1192" s="27" t="n">
        <f aca="false">IF(M1192&gt;0,D1192*(E1192+2*SLABOVH)*SLAB,0)</f>
        <v>0</v>
      </c>
      <c r="Y1192" s="27" t="n">
        <f aca="false">IF(M1192&gt;0,D1192*PI()*E1192^2/4,0)</f>
        <v>0</v>
      </c>
      <c r="Z1192" s="27" t="n">
        <f aca="false">IF(H1192-E1192&gt;=GWL,99,E1192*(MAX(0,GWL-H1192)*(GAM_S-GAM_W)+MAX(0,NG-MAX(H1192,GWL))*GAM_D)/(GAM_W*PI()*E1192^2/4))</f>
        <v>99</v>
      </c>
      <c r="AA1192" s="27" t="n">
        <f aca="false">IF(I1192-E1192&gt;=GWL,99,E1192*(MAX(0,GWL-I1192)*(GAM_S-GAM_W)+MAX(0,NG-MAX(I1192,GWL))*GAM_D)/(GAM_W*PI()*E1192^2/4))</f>
        <v>99</v>
      </c>
      <c r="AB1192" s="27" t="n">
        <f aca="false">IF(H1192-E1192&gt;=GWL,99,E1192*(MAX(0,GWL-H1192)*(GAM_S-GAM_W)+MAX(0,FL-MAX(H1192,GWL))*GAM_D)/(GAM_W*PI()*E1192^2/4))</f>
        <v>99</v>
      </c>
      <c r="AC1192" s="27" t="n">
        <f aca="false">IF(I1192-E1192&gt;=GWL,99,E1192*(MAX(0,GWL-I1192)*(GAM_S-GAM_W)+MAX(0,FL-MAX(I1192,GWL))*GAM_D)/(GAM_W*PI()*E1192^2/4))</f>
        <v>99</v>
      </c>
    </row>
    <row r="1193" customFormat="false" ht="15" hidden="false" customHeight="false" outlineLevel="0" collapsed="false">
      <c r="A1193" s="25" t="s">
        <v>1823</v>
      </c>
      <c r="B1193" s="25" t="s">
        <v>1824</v>
      </c>
      <c r="C1193" s="25" t="s">
        <v>1826</v>
      </c>
      <c r="D1193" s="26" t="n">
        <v>0.203992660968658</v>
      </c>
      <c r="E1193" s="26" t="n">
        <v>1.59999792937467</v>
      </c>
      <c r="F1193" s="26" t="n">
        <v>0.790001035312663</v>
      </c>
      <c r="G1193" s="26" t="n">
        <v>0.790001035312663</v>
      </c>
      <c r="H1193" s="26" t="n">
        <v>2.88999896468734</v>
      </c>
      <c r="I1193" s="26" t="n">
        <v>2.88999896468734</v>
      </c>
      <c r="J1193" s="26" t="n">
        <v>21.28</v>
      </c>
      <c r="K1193" s="27" t="n">
        <f aca="false">MIN(F1193,G1193)</f>
        <v>0.790001035312663</v>
      </c>
      <c r="L1193" s="27" t="n">
        <f aca="false">AVERAGE(F1193,G1193)</f>
        <v>0.790001035312663</v>
      </c>
      <c r="M1193" s="27" t="n">
        <f aca="false">MAX(0,NG-L1193)</f>
        <v>0</v>
      </c>
      <c r="N1193" s="27" t="n">
        <f aca="false">MAX(0,GWL-K1193)</f>
        <v>0</v>
      </c>
      <c r="O1193" s="27" t="n">
        <f aca="false">MAX(0,NG-MAX(K1193,GWL))</f>
        <v>0</v>
      </c>
      <c r="P1193" s="27" t="n">
        <f aca="false">E1193/2+WS+SLOPE_A*O1193+SLOPE_B*N1193</f>
        <v>1.79999896468734</v>
      </c>
      <c r="Q1193" s="28" t="str">
        <f aca="false">IF(AND(P1193&lt;J1193,N1193&lt;=MAXOC),"Open cut","Shoring")</f>
        <v>Open cut</v>
      </c>
      <c r="R1193" s="27" t="n">
        <f aca="false">IF(Q1193="Shoring",D1193,0)</f>
        <v>0</v>
      </c>
      <c r="S1193" s="27" t="n">
        <f aca="false">MAX(0,GWL-L1193)</f>
        <v>0</v>
      </c>
      <c r="T1193" s="27" t="n">
        <f aca="false">MAX(0,NG-MAX(L1193,GWL))</f>
        <v>0</v>
      </c>
      <c r="U1193" s="27" t="n">
        <f aca="false">E1193+2*WS</f>
        <v>3.59999792937467</v>
      </c>
      <c r="V1193" s="27" t="n">
        <f aca="false">IF(Q1193="Shoring",D1193*M1193*U1193,0)</f>
        <v>0</v>
      </c>
      <c r="W1193" s="27" t="n">
        <f aca="false">IF(Q1193="Open cut",D1193*(U1193*M1193+SLOPE_B*S1193^2+2*SLOPE_B*S1193*T1193+SLOPE_A*T1193^2),0)</f>
        <v>0</v>
      </c>
      <c r="X1193" s="27" t="n">
        <f aca="false">IF(M1193&gt;0,D1193*(E1193+2*SLABOVH)*SLAB,0)</f>
        <v>0</v>
      </c>
      <c r="Y1193" s="27" t="n">
        <f aca="false">IF(M1193&gt;0,D1193*PI()*E1193^2/4,0)</f>
        <v>0</v>
      </c>
      <c r="Z1193" s="27" t="n">
        <f aca="false">IF(H1193-E1193&gt;=GWL,99,E1193*(MAX(0,GWL-H1193)*(GAM_S-GAM_W)+MAX(0,NG-MAX(H1193,GWL))*GAM_D)/(GAM_W*PI()*E1193^2/4))</f>
        <v>99</v>
      </c>
      <c r="AA1193" s="27" t="n">
        <f aca="false">IF(I1193-E1193&gt;=GWL,99,E1193*(MAX(0,GWL-I1193)*(GAM_S-GAM_W)+MAX(0,NG-MAX(I1193,GWL))*GAM_D)/(GAM_W*PI()*E1193^2/4))</f>
        <v>99</v>
      </c>
      <c r="AB1193" s="27" t="n">
        <f aca="false">IF(H1193-E1193&gt;=GWL,99,E1193*(MAX(0,GWL-H1193)*(GAM_S-GAM_W)+MAX(0,FL-MAX(H1193,GWL))*GAM_D)/(GAM_W*PI()*E1193^2/4))</f>
        <v>99</v>
      </c>
      <c r="AC1193" s="27" t="n">
        <f aca="false">IF(I1193-E1193&gt;=GWL,99,E1193*(MAX(0,GWL-I1193)*(GAM_S-GAM_W)+MAX(0,FL-MAX(I1193,GWL))*GAM_D)/(GAM_W*PI()*E1193^2/4))</f>
        <v>99</v>
      </c>
    </row>
    <row r="1194" customFormat="false" ht="15" hidden="false" customHeight="false" outlineLevel="0" collapsed="false">
      <c r="A1194" s="25" t="s">
        <v>1823</v>
      </c>
      <c r="B1194" s="25" t="s">
        <v>1824</v>
      </c>
      <c r="C1194" s="25" t="s">
        <v>1827</v>
      </c>
      <c r="D1194" s="26" t="n">
        <v>1.41386999988386</v>
      </c>
      <c r="E1194" s="26" t="n">
        <v>1.59999792937467</v>
      </c>
      <c r="F1194" s="26" t="n">
        <v>0.790001035312663</v>
      </c>
      <c r="G1194" s="26" t="n">
        <v>0.790001035312663</v>
      </c>
      <c r="H1194" s="26" t="n">
        <v>2.88999896468734</v>
      </c>
      <c r="I1194" s="26" t="n">
        <v>2.88999896468734</v>
      </c>
      <c r="J1194" s="26" t="n">
        <v>21.32</v>
      </c>
      <c r="K1194" s="27" t="n">
        <f aca="false">MIN(F1194,G1194)</f>
        <v>0.790001035312663</v>
      </c>
      <c r="L1194" s="27" t="n">
        <f aca="false">AVERAGE(F1194,G1194)</f>
        <v>0.790001035312663</v>
      </c>
      <c r="M1194" s="27" t="n">
        <f aca="false">MAX(0,NG-L1194)</f>
        <v>0</v>
      </c>
      <c r="N1194" s="27" t="n">
        <f aca="false">MAX(0,GWL-K1194)</f>
        <v>0</v>
      </c>
      <c r="O1194" s="27" t="n">
        <f aca="false">MAX(0,NG-MAX(K1194,GWL))</f>
        <v>0</v>
      </c>
      <c r="P1194" s="27" t="n">
        <f aca="false">E1194/2+WS+SLOPE_A*O1194+SLOPE_B*N1194</f>
        <v>1.79999896468734</v>
      </c>
      <c r="Q1194" s="28" t="str">
        <f aca="false">IF(AND(P1194&lt;J1194,N1194&lt;=MAXOC),"Open cut","Shoring")</f>
        <v>Open cut</v>
      </c>
      <c r="R1194" s="27" t="n">
        <f aca="false">IF(Q1194="Shoring",D1194,0)</f>
        <v>0</v>
      </c>
      <c r="S1194" s="27" t="n">
        <f aca="false">MAX(0,GWL-L1194)</f>
        <v>0</v>
      </c>
      <c r="T1194" s="27" t="n">
        <f aca="false">MAX(0,NG-MAX(L1194,GWL))</f>
        <v>0</v>
      </c>
      <c r="U1194" s="27" t="n">
        <f aca="false">E1194+2*WS</f>
        <v>3.59999792937467</v>
      </c>
      <c r="V1194" s="27" t="n">
        <f aca="false">IF(Q1194="Shoring",D1194*M1194*U1194,0)</f>
        <v>0</v>
      </c>
      <c r="W1194" s="27" t="n">
        <f aca="false">IF(Q1194="Open cut",D1194*(U1194*M1194+SLOPE_B*S1194^2+2*SLOPE_B*S1194*T1194+SLOPE_A*T1194^2),0)</f>
        <v>0</v>
      </c>
      <c r="X1194" s="27" t="n">
        <f aca="false">IF(M1194&gt;0,D1194*(E1194+2*SLABOVH)*SLAB,0)</f>
        <v>0</v>
      </c>
      <c r="Y1194" s="27" t="n">
        <f aca="false">IF(M1194&gt;0,D1194*PI()*E1194^2/4,0)</f>
        <v>0</v>
      </c>
      <c r="Z1194" s="27" t="n">
        <f aca="false">IF(H1194-E1194&gt;=GWL,99,E1194*(MAX(0,GWL-H1194)*(GAM_S-GAM_W)+MAX(0,NG-MAX(H1194,GWL))*GAM_D)/(GAM_W*PI()*E1194^2/4))</f>
        <v>99</v>
      </c>
      <c r="AA1194" s="27" t="n">
        <f aca="false">IF(I1194-E1194&gt;=GWL,99,E1194*(MAX(0,GWL-I1194)*(GAM_S-GAM_W)+MAX(0,NG-MAX(I1194,GWL))*GAM_D)/(GAM_W*PI()*E1194^2/4))</f>
        <v>99</v>
      </c>
      <c r="AB1194" s="27" t="n">
        <f aca="false">IF(H1194-E1194&gt;=GWL,99,E1194*(MAX(0,GWL-H1194)*(GAM_S-GAM_W)+MAX(0,FL-MAX(H1194,GWL))*GAM_D)/(GAM_W*PI()*E1194^2/4))</f>
        <v>99</v>
      </c>
      <c r="AC1194" s="27" t="n">
        <f aca="false">IF(I1194-E1194&gt;=GWL,99,E1194*(MAX(0,GWL-I1194)*(GAM_S-GAM_W)+MAX(0,FL-MAX(I1194,GWL))*GAM_D)/(GAM_W*PI()*E1194^2/4))</f>
        <v>99</v>
      </c>
    </row>
    <row r="1195" customFormat="false" ht="15" hidden="false" customHeight="false" outlineLevel="0" collapsed="false">
      <c r="A1195" s="25" t="s">
        <v>1823</v>
      </c>
      <c r="B1195" s="25" t="s">
        <v>1824</v>
      </c>
      <c r="C1195" s="25" t="s">
        <v>1828</v>
      </c>
      <c r="D1195" s="26" t="n">
        <v>0.839189267864119</v>
      </c>
      <c r="E1195" s="26" t="n">
        <v>1.59999792937261</v>
      </c>
      <c r="F1195" s="26" t="n">
        <v>0.790001035313695</v>
      </c>
      <c r="G1195" s="26" t="n">
        <v>0.314491035313695</v>
      </c>
      <c r="H1195" s="26" t="n">
        <v>2.88999896468631</v>
      </c>
      <c r="I1195" s="26" t="n">
        <v>2.41448896468631</v>
      </c>
      <c r="J1195" s="26" t="n">
        <v>21.62</v>
      </c>
      <c r="K1195" s="27" t="n">
        <f aca="false">MIN(F1195,G1195)</f>
        <v>0.314491035313695</v>
      </c>
      <c r="L1195" s="27" t="n">
        <f aca="false">AVERAGE(F1195,G1195)</f>
        <v>0.552246035313695</v>
      </c>
      <c r="M1195" s="27" t="n">
        <f aca="false">MAX(0,NG-L1195)</f>
        <v>0</v>
      </c>
      <c r="N1195" s="27" t="n">
        <f aca="false">MAX(0,GWL-K1195)</f>
        <v>0</v>
      </c>
      <c r="O1195" s="27" t="n">
        <f aca="false">MAX(0,NG-MAX(K1195,GWL))</f>
        <v>0</v>
      </c>
      <c r="P1195" s="27" t="n">
        <f aca="false">E1195/2+WS+SLOPE_A*O1195+SLOPE_B*N1195</f>
        <v>1.79999896468631</v>
      </c>
      <c r="Q1195" s="28" t="str">
        <f aca="false">IF(AND(P1195&lt;J1195,N1195&lt;=MAXOC),"Open cut","Shoring")</f>
        <v>Open cut</v>
      </c>
      <c r="R1195" s="27" t="n">
        <f aca="false">IF(Q1195="Shoring",D1195,0)</f>
        <v>0</v>
      </c>
      <c r="S1195" s="27" t="n">
        <f aca="false">MAX(0,GWL-L1195)</f>
        <v>0</v>
      </c>
      <c r="T1195" s="27" t="n">
        <f aca="false">MAX(0,NG-MAX(L1195,GWL))</f>
        <v>0</v>
      </c>
      <c r="U1195" s="27" t="n">
        <f aca="false">E1195+2*WS</f>
        <v>3.59999792937261</v>
      </c>
      <c r="V1195" s="27" t="n">
        <f aca="false">IF(Q1195="Shoring",D1195*M1195*U1195,0)</f>
        <v>0</v>
      </c>
      <c r="W1195" s="27" t="n">
        <f aca="false">IF(Q1195="Open cut",D1195*(U1195*M1195+SLOPE_B*S1195^2+2*SLOPE_B*S1195*T1195+SLOPE_A*T1195^2),0)</f>
        <v>0</v>
      </c>
      <c r="X1195" s="27" t="n">
        <f aca="false">IF(M1195&gt;0,D1195*(E1195+2*SLABOVH)*SLAB,0)</f>
        <v>0</v>
      </c>
      <c r="Y1195" s="27" t="n">
        <f aca="false">IF(M1195&gt;0,D1195*PI()*E1195^2/4,0)</f>
        <v>0</v>
      </c>
      <c r="Z1195" s="27" t="n">
        <f aca="false">IF(H1195-E1195&gt;=GWL,99,E1195*(MAX(0,GWL-H1195)*(GAM_S-GAM_W)+MAX(0,NG-MAX(H1195,GWL))*GAM_D)/(GAM_W*PI()*E1195^2/4))</f>
        <v>99</v>
      </c>
      <c r="AA1195" s="27" t="n">
        <f aca="false">IF(I1195-E1195&gt;=GWL,99,E1195*(MAX(0,GWL-I1195)*(GAM_S-GAM_W)+MAX(0,NG-MAX(I1195,GWL))*GAM_D)/(GAM_W*PI()*E1195^2/4))</f>
        <v>99</v>
      </c>
      <c r="AB1195" s="27" t="n">
        <f aca="false">IF(H1195-E1195&gt;=GWL,99,E1195*(MAX(0,GWL-H1195)*(GAM_S-GAM_W)+MAX(0,FL-MAX(H1195,GWL))*GAM_D)/(GAM_W*PI()*E1195^2/4))</f>
        <v>99</v>
      </c>
      <c r="AC1195" s="27" t="n">
        <f aca="false">IF(I1195-E1195&gt;=GWL,99,E1195*(MAX(0,GWL-I1195)*(GAM_S-GAM_W)+MAX(0,FL-MAX(I1195,GWL))*GAM_D)/(GAM_W*PI()*E1195^2/4))</f>
        <v>99</v>
      </c>
    </row>
    <row r="1196" customFormat="false" ht="15" hidden="false" customHeight="false" outlineLevel="0" collapsed="false">
      <c r="A1196" s="25" t="s">
        <v>1823</v>
      </c>
      <c r="B1196" s="25" t="s">
        <v>1824</v>
      </c>
      <c r="C1196" s="25" t="s">
        <v>1829</v>
      </c>
      <c r="D1196" s="26" t="n">
        <v>0.921423073701253</v>
      </c>
      <c r="E1196" s="26" t="n">
        <v>1.60000267613069</v>
      </c>
      <c r="F1196" s="26" t="n">
        <v>0.314488661934657</v>
      </c>
      <c r="G1196" s="26" t="n">
        <v>-0.207611338065343</v>
      </c>
      <c r="H1196" s="26" t="n">
        <v>2.41449133806534</v>
      </c>
      <c r="I1196" s="26" t="n">
        <v>1.89239133806534</v>
      </c>
      <c r="J1196" s="26" t="n">
        <v>21.81</v>
      </c>
      <c r="K1196" s="27" t="n">
        <f aca="false">MIN(F1196,G1196)</f>
        <v>-0.207611338065343</v>
      </c>
      <c r="L1196" s="27" t="n">
        <f aca="false">AVERAGE(F1196,G1196)</f>
        <v>0.053438661934657</v>
      </c>
      <c r="M1196" s="27" t="n">
        <f aca="false">MAX(0,NG-L1196)</f>
        <v>0</v>
      </c>
      <c r="N1196" s="27" t="n">
        <f aca="false">MAX(0,GWL-K1196)</f>
        <v>0</v>
      </c>
      <c r="O1196" s="27" t="n">
        <f aca="false">MAX(0,NG-MAX(K1196,GWL))</f>
        <v>0</v>
      </c>
      <c r="P1196" s="27" t="n">
        <f aca="false">E1196/2+WS+SLOPE_A*O1196+SLOPE_B*N1196</f>
        <v>1.80000133806534</v>
      </c>
      <c r="Q1196" s="28" t="str">
        <f aca="false">IF(AND(P1196&lt;J1196,N1196&lt;=MAXOC),"Open cut","Shoring")</f>
        <v>Open cut</v>
      </c>
      <c r="R1196" s="27" t="n">
        <f aca="false">IF(Q1196="Shoring",D1196,0)</f>
        <v>0</v>
      </c>
      <c r="S1196" s="27" t="n">
        <f aca="false">MAX(0,GWL-L1196)</f>
        <v>0</v>
      </c>
      <c r="T1196" s="27" t="n">
        <f aca="false">MAX(0,NG-MAX(L1196,GWL))</f>
        <v>0</v>
      </c>
      <c r="U1196" s="27" t="n">
        <f aca="false">E1196+2*WS</f>
        <v>3.60000267613069</v>
      </c>
      <c r="V1196" s="27" t="n">
        <f aca="false">IF(Q1196="Shoring",D1196*M1196*U1196,0)</f>
        <v>0</v>
      </c>
      <c r="W1196" s="27" t="n">
        <f aca="false">IF(Q1196="Open cut",D1196*(U1196*M1196+SLOPE_B*S1196^2+2*SLOPE_B*S1196*T1196+SLOPE_A*T1196^2),0)</f>
        <v>0</v>
      </c>
      <c r="X1196" s="27" t="n">
        <f aca="false">IF(M1196&gt;0,D1196*(E1196+2*SLABOVH)*SLAB,0)</f>
        <v>0</v>
      </c>
      <c r="Y1196" s="27" t="n">
        <f aca="false">IF(M1196&gt;0,D1196*PI()*E1196^2/4,0)</f>
        <v>0</v>
      </c>
      <c r="Z1196" s="27" t="n">
        <f aca="false">IF(H1196-E1196&gt;=GWL,99,E1196*(MAX(0,GWL-H1196)*(GAM_S-GAM_W)+MAX(0,NG-MAX(H1196,GWL))*GAM_D)/(GAM_W*PI()*E1196^2/4))</f>
        <v>99</v>
      </c>
      <c r="AA1196" s="27" t="n">
        <f aca="false">IF(I1196-E1196&gt;=GWL,99,E1196*(MAX(0,GWL-I1196)*(GAM_S-GAM_W)+MAX(0,NG-MAX(I1196,GWL))*GAM_D)/(GAM_W*PI()*E1196^2/4))</f>
        <v>99</v>
      </c>
      <c r="AB1196" s="27" t="n">
        <f aca="false">IF(H1196-E1196&gt;=GWL,99,E1196*(MAX(0,GWL-H1196)*(GAM_S-GAM_W)+MAX(0,FL-MAX(H1196,GWL))*GAM_D)/(GAM_W*PI()*E1196^2/4))</f>
        <v>99</v>
      </c>
      <c r="AC1196" s="27" t="n">
        <f aca="false">IF(I1196-E1196&gt;=GWL,99,E1196*(MAX(0,GWL-I1196)*(GAM_S-GAM_W)+MAX(0,FL-MAX(I1196,GWL))*GAM_D)/(GAM_W*PI()*E1196^2/4))</f>
        <v>99</v>
      </c>
    </row>
    <row r="1197" customFormat="false" ht="15" hidden="false" customHeight="false" outlineLevel="0" collapsed="false">
      <c r="A1197" s="25" t="s">
        <v>1823</v>
      </c>
      <c r="B1197" s="25" t="s">
        <v>1824</v>
      </c>
      <c r="C1197" s="25" t="s">
        <v>1830</v>
      </c>
      <c r="D1197" s="26" t="n">
        <v>4.93625000050994</v>
      </c>
      <c r="E1197" s="26" t="n">
        <v>1.59999893987661</v>
      </c>
      <c r="F1197" s="26" t="n">
        <v>-0.207609469938304</v>
      </c>
      <c r="G1197" s="26" t="n">
        <v>-3.0046094699383</v>
      </c>
      <c r="H1197" s="26" t="n">
        <v>1.8923894699383</v>
      </c>
      <c r="I1197" s="26" t="n">
        <v>-0.904610530061696</v>
      </c>
      <c r="J1197" s="26" t="n">
        <v>22.04</v>
      </c>
      <c r="K1197" s="27" t="n">
        <f aca="false">MIN(F1197,G1197)</f>
        <v>-3.0046094699383</v>
      </c>
      <c r="L1197" s="27" t="n">
        <f aca="false">AVERAGE(F1197,G1197)</f>
        <v>-1.6061094699383</v>
      </c>
      <c r="M1197" s="27" t="n">
        <f aca="false">MAX(0,NG-L1197)</f>
        <v>0.906109469938304</v>
      </c>
      <c r="N1197" s="27" t="n">
        <f aca="false">MAX(0,GWL-K1197)</f>
        <v>1.5046094699383</v>
      </c>
      <c r="O1197" s="27" t="n">
        <f aca="false">MAX(0,NG-MAX(K1197,GWL))</f>
        <v>0.8</v>
      </c>
      <c r="P1197" s="27" t="n">
        <f aca="false">E1197/2+WS+SLOPE_A*O1197+SLOPE_B*N1197</f>
        <v>6.00921840981491</v>
      </c>
      <c r="Q1197" s="28" t="str">
        <f aca="false">IF(AND(P1197&lt;J1197,N1197&lt;=MAXOC),"Open cut","Shoring")</f>
        <v>Open cut</v>
      </c>
      <c r="R1197" s="27" t="n">
        <f aca="false">IF(Q1197="Shoring",D1197,0)</f>
        <v>0</v>
      </c>
      <c r="S1197" s="27" t="n">
        <f aca="false">MAX(0,GWL-L1197)</f>
        <v>0.106109469938304</v>
      </c>
      <c r="T1197" s="27" t="n">
        <f aca="false">MAX(0,NG-MAX(L1197,GWL))</f>
        <v>0.8</v>
      </c>
      <c r="U1197" s="27" t="n">
        <f aca="false">E1197+2*WS</f>
        <v>3.59999893987661</v>
      </c>
      <c r="V1197" s="27" t="n">
        <f aca="false">IF(Q1197="Shoring",D1197*M1197*U1197,0)</f>
        <v>0</v>
      </c>
      <c r="W1197" s="27" t="n">
        <f aca="false">IF(Q1197="Open cut",D1197*(U1197*M1197+SLOPE_B*S1197^2+2*SLOPE_B*S1197*T1197+SLOPE_A*T1197^2),0)</f>
        <v>22.6280754289255</v>
      </c>
      <c r="X1197" s="27" t="n">
        <f aca="false">IF(M1197&gt;0,D1197*(E1197+2*SLABOVH)*SLAB,0)</f>
        <v>6.41712238414588</v>
      </c>
      <c r="Y1197" s="27" t="n">
        <f aca="false">IF(M1197&gt;0,D1197*PI()*E1197^2/4,0)</f>
        <v>9.92490636020135</v>
      </c>
      <c r="Z1197" s="27" t="n">
        <f aca="false">IF(H1197-E1197&gt;=GWL,99,E1197*(MAX(0,GWL-H1197)*(GAM_S-GAM_W)+MAX(0,NG-MAX(H1197,GWL))*GAM_D)/(GAM_W*PI()*E1197^2/4))</f>
        <v>99</v>
      </c>
      <c r="AA1197" s="27" t="n">
        <f aca="false">IF(I1197-E1197&gt;=GWL,99,E1197*(MAX(0,GWL-I1197)*(GAM_S-GAM_W)+MAX(0,NG-MAX(I1197,GWL))*GAM_D)/(GAM_W*PI()*E1197^2/4))</f>
        <v>0.298759622428096</v>
      </c>
      <c r="AB1197" s="27" t="n">
        <f aca="false">IF(H1197-E1197&gt;=GWL,99,E1197*(MAX(0,GWL-H1197)*(GAM_S-GAM_W)+MAX(0,FL-MAX(H1197,GWL))*GAM_D)/(GAM_W*PI()*E1197^2/4))</f>
        <v>99</v>
      </c>
      <c r="AC1197" s="27" t="n">
        <f aca="false">IF(I1197-E1197&gt;=GWL,99,E1197*(MAX(0,GWL-I1197)*(GAM_S-GAM_W)+MAX(0,FL-MAX(I1197,GWL))*GAM_D)/(GAM_W*PI()*E1197^2/4))</f>
        <v>2.78099432449655</v>
      </c>
    </row>
    <row r="1198" customFormat="false" ht="15" hidden="false" customHeight="false" outlineLevel="0" collapsed="false">
      <c r="A1198" s="25" t="s">
        <v>1823</v>
      </c>
      <c r="B1198" s="25" t="s">
        <v>1824</v>
      </c>
      <c r="C1198" s="25" t="s">
        <v>1831</v>
      </c>
      <c r="D1198" s="26" t="n">
        <v>0.916657941951375</v>
      </c>
      <c r="E1198" s="26" t="n">
        <v>1.60000177995422</v>
      </c>
      <c r="F1198" s="26" t="n">
        <v>-3.00461088997711</v>
      </c>
      <c r="G1198" s="26" t="n">
        <v>-3.52401088997711</v>
      </c>
      <c r="H1198" s="26" t="n">
        <v>-0.904609110022888</v>
      </c>
      <c r="I1198" s="26" t="n">
        <v>-1.42400911002289</v>
      </c>
      <c r="J1198" s="26" t="n">
        <v>23.53</v>
      </c>
      <c r="K1198" s="27" t="n">
        <f aca="false">MIN(F1198,G1198)</f>
        <v>-3.52401088997711</v>
      </c>
      <c r="L1198" s="27" t="n">
        <f aca="false">AVERAGE(F1198,G1198)</f>
        <v>-3.26431088997711</v>
      </c>
      <c r="M1198" s="27" t="n">
        <f aca="false">MAX(0,NG-L1198)</f>
        <v>2.56431088997711</v>
      </c>
      <c r="N1198" s="27" t="n">
        <f aca="false">MAX(0,GWL-K1198)</f>
        <v>2.02401088997711</v>
      </c>
      <c r="O1198" s="27" t="n">
        <f aca="false">MAX(0,NG-MAX(K1198,GWL))</f>
        <v>0.8</v>
      </c>
      <c r="P1198" s="27" t="n">
        <f aca="false">E1198/2+WS+SLOPE_A*O1198+SLOPE_B*N1198</f>
        <v>7.04802266993134</v>
      </c>
      <c r="Q1198" s="28" t="str">
        <f aca="false">IF(AND(P1198&lt;J1198,N1198&lt;=MAXOC),"Open cut","Shoring")</f>
        <v>Open cut</v>
      </c>
      <c r="R1198" s="27" t="n">
        <f aca="false">IF(Q1198="Shoring",D1198,0)</f>
        <v>0</v>
      </c>
      <c r="S1198" s="27" t="n">
        <f aca="false">MAX(0,GWL-L1198)</f>
        <v>1.76431088997711</v>
      </c>
      <c r="T1198" s="27" t="n">
        <f aca="false">MAX(0,NG-MAX(L1198,GWL))</f>
        <v>0.8</v>
      </c>
      <c r="U1198" s="27" t="n">
        <f aca="false">E1198+2*WS</f>
        <v>3.60000177995422</v>
      </c>
      <c r="V1198" s="27" t="n">
        <f aca="false">IF(Q1198="Shoring",D1198*M1198*U1198,0)</f>
        <v>0</v>
      </c>
      <c r="W1198" s="27" t="n">
        <f aca="false">IF(Q1198="Open cut",D1198*(U1198*M1198+SLOPE_B*S1198^2+2*SLOPE_B*S1198*T1198+SLOPE_A*T1198^2),0)</f>
        <v>20.2241365858589</v>
      </c>
      <c r="X1198" s="27" t="n">
        <f aca="false">IF(M1198&gt;0,D1198*(E1198+2*SLABOVH)*SLAB,0)</f>
        <v>1.19165614034138</v>
      </c>
      <c r="Y1198" s="27" t="n">
        <f aca="false">IF(M1198&gt;0,D1198*PI()*E1198^2/4,0)</f>
        <v>1.84305424870848</v>
      </c>
      <c r="Z1198" s="27" t="n">
        <f aca="false">IF(H1198-E1198&gt;=GWL,99,E1198*(MAX(0,GWL-H1198)*(GAM_S-GAM_W)+MAX(0,NG-MAX(H1198,GWL))*GAM_D)/(GAM_W*PI()*E1198^2/4))</f>
        <v>0.298757018666833</v>
      </c>
      <c r="AA1198" s="27" t="n">
        <f aca="false">IF(I1198-E1198&gt;=GWL,99,E1198*(MAX(0,GWL-I1198)*(GAM_S-GAM_W)+MAX(0,NG-MAX(I1198,GWL))*GAM_D)/(GAM_W*PI()*E1198^2/4))</f>
        <v>1.05715138086407</v>
      </c>
      <c r="AB1198" s="27" t="n">
        <f aca="false">IF(H1198-E1198&gt;=GWL,99,E1198*(MAX(0,GWL-H1198)*(GAM_S-GAM_W)+MAX(0,FL-MAX(H1198,GWL))*GAM_D)/(GAM_W*PI()*E1198^2/4))</f>
        <v>2.78098731465318</v>
      </c>
      <c r="AC1198" s="27" t="n">
        <f aca="false">IF(I1198-E1198&gt;=GWL,99,E1198*(MAX(0,GWL-I1198)*(GAM_S-GAM_W)+MAX(0,FL-MAX(I1198,GWL))*GAM_D)/(GAM_W*PI()*E1198^2/4))</f>
        <v>3.53938167685042</v>
      </c>
    </row>
    <row r="1199" customFormat="false" ht="15" hidden="false" customHeight="false" outlineLevel="0" collapsed="false">
      <c r="A1199" s="25" t="s">
        <v>1823</v>
      </c>
      <c r="B1199" s="25" t="s">
        <v>1824</v>
      </c>
      <c r="C1199" s="25" t="s">
        <v>1832</v>
      </c>
      <c r="D1199" s="26" t="n">
        <v>0.42021000034454</v>
      </c>
      <c r="E1199" s="26" t="n">
        <v>1.60000177995422</v>
      </c>
      <c r="F1199" s="26" t="n">
        <v>-3.52401088997711</v>
      </c>
      <c r="G1199" s="26" t="n">
        <v>-3.76211088997711</v>
      </c>
      <c r="H1199" s="26" t="n">
        <v>-1.42400911002289</v>
      </c>
      <c r="I1199" s="26" t="n">
        <v>-1.66210911002289</v>
      </c>
      <c r="J1199" s="26" t="n">
        <v>23.85</v>
      </c>
      <c r="K1199" s="27" t="n">
        <f aca="false">MIN(F1199,G1199)</f>
        <v>-3.76211088997711</v>
      </c>
      <c r="L1199" s="27" t="n">
        <f aca="false">AVERAGE(F1199,G1199)</f>
        <v>-3.64306088997711</v>
      </c>
      <c r="M1199" s="27" t="n">
        <f aca="false">MAX(0,NG-L1199)</f>
        <v>2.94306088997711</v>
      </c>
      <c r="N1199" s="27" t="n">
        <f aca="false">MAX(0,GWL-K1199)</f>
        <v>2.26211088997711</v>
      </c>
      <c r="O1199" s="27" t="n">
        <f aca="false">MAX(0,NG-MAX(K1199,GWL))</f>
        <v>0.8</v>
      </c>
      <c r="P1199" s="27" t="n">
        <f aca="false">E1199/2+WS+SLOPE_A*O1199+SLOPE_B*N1199</f>
        <v>7.52422266993134</v>
      </c>
      <c r="Q1199" s="28" t="str">
        <f aca="false">IF(AND(P1199&lt;J1199,N1199&lt;=MAXOC),"Open cut","Shoring")</f>
        <v>Open cut</v>
      </c>
      <c r="R1199" s="27" t="n">
        <f aca="false">IF(Q1199="Shoring",D1199,0)</f>
        <v>0</v>
      </c>
      <c r="S1199" s="27" t="n">
        <f aca="false">MAX(0,GWL-L1199)</f>
        <v>2.14306088997711</v>
      </c>
      <c r="T1199" s="27" t="n">
        <f aca="false">MAX(0,NG-MAX(L1199,GWL))</f>
        <v>0.8</v>
      </c>
      <c r="U1199" s="27" t="n">
        <f aca="false">E1199+2*WS</f>
        <v>3.60000177995422</v>
      </c>
      <c r="V1199" s="27" t="n">
        <f aca="false">IF(Q1199="Shoring",D1199*M1199*U1199,0)</f>
        <v>0</v>
      </c>
      <c r="W1199" s="27" t="n">
        <f aca="false">IF(Q1199="Open cut",D1199*(U1199*M1199+SLOPE_B*S1199^2+2*SLOPE_B*S1199*T1199+SLOPE_A*T1199^2),0)</f>
        <v>11.5970561233464</v>
      </c>
      <c r="X1199" s="27" t="n">
        <f aca="false">IF(M1199&gt;0,D1199*(E1199+2*SLABOVH)*SLAB,0)</f>
        <v>0.546273374425184</v>
      </c>
      <c r="Y1199" s="27" t="n">
        <f aca="false">IF(M1199&gt;0,D1199*PI()*E1199^2/4,0)</f>
        <v>0.844884215846217</v>
      </c>
      <c r="Z1199" s="27" t="n">
        <f aca="false">IF(H1199-E1199&gt;=GWL,99,E1199*(MAX(0,GWL-H1199)*(GAM_S-GAM_W)+MAX(0,NG-MAX(H1199,GWL))*GAM_D)/(GAM_W*PI()*E1199^2/4))</f>
        <v>1.05715138086407</v>
      </c>
      <c r="AA1199" s="27" t="n">
        <f aca="false">IF(I1199-E1199&gt;=GWL,99,E1199*(MAX(0,GWL-I1199)*(GAM_S-GAM_W)+MAX(0,NG-MAX(I1199,GWL))*GAM_D)/(GAM_W*PI()*E1199^2/4))</f>
        <v>1.27580744845837</v>
      </c>
      <c r="AB1199" s="27" t="n">
        <f aca="false">IF(H1199-E1199&gt;=GWL,99,E1199*(MAX(0,GWL-H1199)*(GAM_S-GAM_W)+MAX(0,FL-MAX(H1199,GWL))*GAM_D)/(GAM_W*PI()*E1199^2/4))</f>
        <v>3.53938167685042</v>
      </c>
      <c r="AC1199" s="27" t="n">
        <f aca="false">IF(I1199-E1199&gt;=GWL,99,E1199*(MAX(0,GWL-I1199)*(GAM_S-GAM_W)+MAX(0,FL-MAX(I1199,GWL))*GAM_D)/(GAM_W*PI()*E1199^2/4))</f>
        <v>3.75803774444472</v>
      </c>
    </row>
    <row r="1200" customFormat="false" ht="15" hidden="false" customHeight="false" outlineLevel="0" collapsed="false">
      <c r="A1200" s="25" t="s">
        <v>1823</v>
      </c>
      <c r="B1200" s="25" t="s">
        <v>1824</v>
      </c>
      <c r="C1200" s="25" t="s">
        <v>1833</v>
      </c>
      <c r="D1200" s="26" t="n">
        <v>0.298397054398798</v>
      </c>
      <c r="E1200" s="26" t="n">
        <v>1.60000059867611</v>
      </c>
      <c r="F1200" s="26" t="n">
        <v>-3.76211029933806</v>
      </c>
      <c r="G1200" s="26" t="n">
        <v>-3.93118905127598</v>
      </c>
      <c r="H1200" s="26" t="n">
        <v>-1.66210970066195</v>
      </c>
      <c r="I1200" s="26" t="n">
        <v>-1.83118845259987</v>
      </c>
      <c r="J1200" s="26" t="n">
        <v>24.01</v>
      </c>
      <c r="K1200" s="27" t="n">
        <f aca="false">MIN(F1200,G1200)</f>
        <v>-3.93118905127598</v>
      </c>
      <c r="L1200" s="27" t="n">
        <f aca="false">AVERAGE(F1200,G1200)</f>
        <v>-3.84664967530702</v>
      </c>
      <c r="M1200" s="27" t="n">
        <f aca="false">MAX(0,NG-L1200)</f>
        <v>3.14664967530702</v>
      </c>
      <c r="N1200" s="27" t="n">
        <f aca="false">MAX(0,GWL-K1200)</f>
        <v>2.43118905127598</v>
      </c>
      <c r="O1200" s="27" t="n">
        <f aca="false">MAX(0,NG-MAX(K1200,GWL))</f>
        <v>0.8</v>
      </c>
      <c r="P1200" s="27" t="n">
        <f aca="false">E1200/2+WS+SLOPE_A*O1200+SLOPE_B*N1200</f>
        <v>7.86237840189001</v>
      </c>
      <c r="Q1200" s="28" t="str">
        <f aca="false">IF(AND(P1200&lt;J1200,N1200&lt;=MAXOC),"Open cut","Shoring")</f>
        <v>Open cut</v>
      </c>
      <c r="R1200" s="27" t="n">
        <f aca="false">IF(Q1200="Shoring",D1200,0)</f>
        <v>0</v>
      </c>
      <c r="S1200" s="27" t="n">
        <f aca="false">MAX(0,GWL-L1200)</f>
        <v>2.34664967530702</v>
      </c>
      <c r="T1200" s="27" t="n">
        <f aca="false">MAX(0,NG-MAX(L1200,GWL))</f>
        <v>0.8</v>
      </c>
      <c r="U1200" s="27" t="n">
        <f aca="false">E1200+2*WS</f>
        <v>3.60000059867611</v>
      </c>
      <c r="V1200" s="27" t="n">
        <f aca="false">IF(Q1200="Shoring",D1200*M1200*U1200,0)</f>
        <v>0</v>
      </c>
      <c r="W1200" s="27" t="n">
        <f aca="false">IF(Q1200="Open cut",D1200*(U1200*M1200+SLOPE_B*S1200^2+2*SLOPE_B*S1200*T1200+SLOPE_A*T1200^2),0)</f>
        <v>9.19383676724808</v>
      </c>
      <c r="X1200" s="27" t="n">
        <f aca="false">IF(M1200&gt;0,D1200*(E1200+2*SLABOVH)*SLAB,0)</f>
        <v>0.387916260040031</v>
      </c>
      <c r="Y1200" s="27" t="n">
        <f aca="false">IF(M1200&gt;0,D1200*PI()*E1200^2/4,0)</f>
        <v>0.599963325108728</v>
      </c>
      <c r="Z1200" s="27" t="n">
        <f aca="false">IF(H1200-E1200&gt;=GWL,99,E1200*(MAX(0,GWL-H1200)*(GAM_S-GAM_W)+MAX(0,NG-MAX(H1200,GWL))*GAM_D)/(GAM_W*PI()*E1200^2/4))</f>
        <v>1.27580878278338</v>
      </c>
      <c r="AA1200" s="27" t="n">
        <f aca="false">IF(I1200-E1200&gt;=GWL,99,E1200*(MAX(0,GWL-I1200)*(GAM_S-GAM_W)+MAX(0,NG-MAX(I1200,GWL))*GAM_D)/(GAM_W*PI()*E1200^2/4))</f>
        <v>1.38813830231185</v>
      </c>
      <c r="AB1200" s="27" t="n">
        <f aca="false">IF(H1200-E1200&gt;=GWL,99,E1200*(MAX(0,GWL-H1200)*(GAM_S-GAM_W)+MAX(0,FL-MAX(H1200,GWL))*GAM_D)/(GAM_W*PI()*E1200^2/4))</f>
        <v>3.75804091139674</v>
      </c>
      <c r="AC1200" s="27" t="n">
        <f aca="false">IF(I1200-E1200&gt;=GWL,99,E1200*(MAX(0,GWL-I1200)*(GAM_S-GAM_W)+MAX(0,FL-MAX(I1200,GWL))*GAM_D)/(GAM_W*PI()*E1200^2/4))</f>
        <v>3.87037043092521</v>
      </c>
    </row>
    <row r="1201" customFormat="false" ht="15" hidden="false" customHeight="false" outlineLevel="0" collapsed="false">
      <c r="A1201" s="25" t="s">
        <v>1823</v>
      </c>
      <c r="B1201" s="25" t="s">
        <v>1824</v>
      </c>
      <c r="C1201" s="25" t="s">
        <v>1834</v>
      </c>
      <c r="D1201" s="26" t="n">
        <v>0.12144088763144</v>
      </c>
      <c r="E1201" s="26" t="n">
        <v>1.60000059867611</v>
      </c>
      <c r="F1201" s="26" t="n">
        <v>-3.93118905127598</v>
      </c>
      <c r="G1201" s="26" t="n">
        <v>-4.00000029933806</v>
      </c>
      <c r="H1201" s="26" t="n">
        <v>-1.83118845259987</v>
      </c>
      <c r="I1201" s="26" t="n">
        <v>-1.89999970066195</v>
      </c>
      <c r="J1201" s="26" t="n">
        <v>24.12</v>
      </c>
      <c r="K1201" s="27" t="n">
        <f aca="false">MIN(F1201,G1201)</f>
        <v>-4.00000029933806</v>
      </c>
      <c r="L1201" s="27" t="n">
        <f aca="false">AVERAGE(F1201,G1201)</f>
        <v>-3.96559467530702</v>
      </c>
      <c r="M1201" s="27" t="n">
        <f aca="false">MAX(0,NG-L1201)</f>
        <v>3.26559467530702</v>
      </c>
      <c r="N1201" s="27" t="n">
        <f aca="false">MAX(0,GWL-K1201)</f>
        <v>2.50000029933806</v>
      </c>
      <c r="O1201" s="27" t="n">
        <f aca="false">MAX(0,NG-MAX(K1201,GWL))</f>
        <v>0.8</v>
      </c>
      <c r="P1201" s="27" t="n">
        <f aca="false">E1201/2+WS+SLOPE_A*O1201+SLOPE_B*N1201</f>
        <v>8.00000089801417</v>
      </c>
      <c r="Q1201" s="28" t="str">
        <f aca="false">IF(AND(P1201&lt;J1201,N1201&lt;=MAXOC),"Open cut","Shoring")</f>
        <v>Shoring</v>
      </c>
      <c r="R1201" s="27" t="n">
        <f aca="false">IF(Q1201="Shoring",D1201,0)</f>
        <v>0.12144088763144</v>
      </c>
      <c r="S1201" s="27" t="n">
        <f aca="false">MAX(0,GWL-L1201)</f>
        <v>2.46559467530702</v>
      </c>
      <c r="T1201" s="27" t="n">
        <f aca="false">MAX(0,NG-MAX(L1201,GWL))</f>
        <v>0.8</v>
      </c>
      <c r="U1201" s="27" t="n">
        <f aca="false">E1201+2*WS</f>
        <v>3.60000059867611</v>
      </c>
      <c r="V1201" s="27" t="n">
        <f aca="false">IF(Q1201="Shoring",D1201*M1201*U1201,0)</f>
        <v>1.42767641507064</v>
      </c>
      <c r="W1201" s="27" t="n">
        <f aca="false">IF(Q1201="Open cut",D1201*(U1201*M1201+SLOPE_B*S1201^2+2*SLOPE_B*S1201*T1201+SLOPE_A*T1201^2),0)</f>
        <v>0</v>
      </c>
      <c r="X1201" s="27" t="n">
        <f aca="false">IF(M1201&gt;0,D1201*(E1201+2*SLABOVH)*SLAB,0)</f>
        <v>0.157873190272751</v>
      </c>
      <c r="Y1201" s="27" t="n">
        <f aca="false">IF(M1201&gt;0,D1201*PI()*E1201^2/4,0)</f>
        <v>0.244171574998655</v>
      </c>
      <c r="Z1201" s="27" t="n">
        <f aca="false">IF(H1201-E1201&gt;=GWL,99,E1201*(MAX(0,GWL-H1201)*(GAM_S-GAM_W)+MAX(0,NG-MAX(H1201,GWL))*GAM_D)/(GAM_W*PI()*E1201^2/4))</f>
        <v>1.38813830231185</v>
      </c>
      <c r="AA1201" s="27" t="n">
        <f aca="false">IF(I1201-E1201&gt;=GWL,99,E1201*(MAX(0,GWL-I1201)*(GAM_S-GAM_W)+MAX(0,NG-MAX(I1201,GWL))*GAM_D)/(GAM_W*PI()*E1201^2/4))</f>
        <v>1.43385388954191</v>
      </c>
      <c r="AB1201" s="27" t="n">
        <f aca="false">IF(H1201-E1201&gt;=GWL,99,E1201*(MAX(0,GWL-H1201)*(GAM_S-GAM_W)+MAX(0,FL-MAX(H1201,GWL))*GAM_D)/(GAM_W*PI()*E1201^2/4))</f>
        <v>3.87037043092521</v>
      </c>
      <c r="AC1201" s="27" t="n">
        <f aca="false">IF(I1201-E1201&gt;=GWL,99,E1201*(MAX(0,GWL-I1201)*(GAM_S-GAM_W)+MAX(0,FL-MAX(I1201,GWL))*GAM_D)/(GAM_W*PI()*E1201^2/4))</f>
        <v>3.91608601815527</v>
      </c>
    </row>
    <row r="1202" customFormat="false" ht="15" hidden="false" customHeight="false" outlineLevel="0" collapsed="false">
      <c r="A1202" s="25" t="s">
        <v>1823</v>
      </c>
      <c r="B1202" s="25" t="s">
        <v>1824</v>
      </c>
      <c r="C1202" s="25" t="s">
        <v>1835</v>
      </c>
      <c r="D1202" s="26" t="n">
        <v>5.87855911191964</v>
      </c>
      <c r="E1202" s="26" t="n">
        <v>1.59999792926031</v>
      </c>
      <c r="F1202" s="26" t="n">
        <v>-3.99999896463015</v>
      </c>
      <c r="G1202" s="26" t="n">
        <v>-3.99999896463015</v>
      </c>
      <c r="H1202" s="26" t="n">
        <v>-1.90000103536985</v>
      </c>
      <c r="I1202" s="26" t="n">
        <v>-1.90000103536985</v>
      </c>
      <c r="J1202" s="26" t="n">
        <v>24.16</v>
      </c>
      <c r="K1202" s="27" t="n">
        <f aca="false">MIN(F1202,G1202)</f>
        <v>-3.99999896463015</v>
      </c>
      <c r="L1202" s="27" t="n">
        <f aca="false">AVERAGE(F1202,G1202)</f>
        <v>-3.99999896463015</v>
      </c>
      <c r="M1202" s="27" t="n">
        <f aca="false">MAX(0,NG-L1202)</f>
        <v>3.29999896463015</v>
      </c>
      <c r="N1202" s="27" t="n">
        <f aca="false">MAX(0,GWL-K1202)</f>
        <v>2.49999896463015</v>
      </c>
      <c r="O1202" s="27" t="n">
        <f aca="false">MAX(0,NG-MAX(K1202,GWL))</f>
        <v>0.8</v>
      </c>
      <c r="P1202" s="27" t="n">
        <f aca="false">E1202/2+WS+SLOPE_A*O1202+SLOPE_B*N1202</f>
        <v>7.99999689389046</v>
      </c>
      <c r="Q1202" s="28" t="str">
        <f aca="false">IF(AND(P1202&lt;J1202,N1202&lt;=MAXOC),"Open cut","Shoring")</f>
        <v>Open cut</v>
      </c>
      <c r="R1202" s="27" t="n">
        <f aca="false">IF(Q1202="Shoring",D1202,0)</f>
        <v>0</v>
      </c>
      <c r="S1202" s="27" t="n">
        <f aca="false">MAX(0,GWL-L1202)</f>
        <v>2.49999896463015</v>
      </c>
      <c r="T1202" s="27" t="n">
        <f aca="false">MAX(0,NG-MAX(L1202,GWL))</f>
        <v>0.8</v>
      </c>
      <c r="U1202" s="27" t="n">
        <f aca="false">E1202+2*WS</f>
        <v>3.59999792926031</v>
      </c>
      <c r="V1202" s="27" t="n">
        <f aca="false">IF(Q1202="Shoring",D1202*M1202*U1202,0)</f>
        <v>0</v>
      </c>
      <c r="W1202" s="27" t="n">
        <f aca="false">IF(Q1202="Open cut",D1202*(U1202*M1202+SLOPE_B*S1202^2+2*SLOPE_B*S1202*T1202+SLOPE_A*T1202^2),0)</f>
        <v>195.991018367727</v>
      </c>
      <c r="X1202" s="27" t="n">
        <f aca="false">IF(M1202&gt;0,D1202*(E1202+2*SLABOVH)*SLAB,0)</f>
        <v>7.64212075901268</v>
      </c>
      <c r="Y1202" s="27" t="n">
        <f aca="false">IF(M1202&gt;0,D1202*PI()*E1202^2/4,0)</f>
        <v>11.8195138026281</v>
      </c>
      <c r="Z1202" s="27" t="n">
        <f aca="false">IF(H1202-E1202&gt;=GWL,99,E1202*(MAX(0,GWL-H1202)*(GAM_S-GAM_W)+MAX(0,NG-MAX(H1202,GWL))*GAM_D)/(GAM_W*PI()*E1202^2/4))</f>
        <v>1.43385716849601</v>
      </c>
      <c r="AA1202" s="27" t="n">
        <f aca="false">IF(I1202-E1202&gt;=GWL,99,E1202*(MAX(0,GWL-I1202)*(GAM_S-GAM_W)+MAX(0,NG-MAX(I1202,GWL))*GAM_D)/(GAM_W*PI()*E1202^2/4))</f>
        <v>1.43385716849601</v>
      </c>
      <c r="AB1202" s="27" t="n">
        <f aca="false">IF(H1202-E1202&gt;=GWL,99,E1202*(MAX(0,GWL-H1202)*(GAM_S-GAM_W)+MAX(0,FL-MAX(H1202,GWL))*GAM_D)/(GAM_W*PI()*E1202^2/4))</f>
        <v>3.91609343843328</v>
      </c>
      <c r="AC1202" s="27" t="n">
        <f aca="false">IF(I1202-E1202&gt;=GWL,99,E1202*(MAX(0,GWL-I1202)*(GAM_S-GAM_W)+MAX(0,FL-MAX(I1202,GWL))*GAM_D)/(GAM_W*PI()*E1202^2/4))</f>
        <v>3.91609343843328</v>
      </c>
    </row>
    <row r="1203" customFormat="false" ht="15" hidden="false" customHeight="false" outlineLevel="0" collapsed="false">
      <c r="A1203" s="25" t="s">
        <v>1823</v>
      </c>
      <c r="B1203" s="25" t="s">
        <v>1836</v>
      </c>
      <c r="C1203" s="25" t="s">
        <v>1837</v>
      </c>
      <c r="D1203" s="26" t="n">
        <v>4.00000000040068</v>
      </c>
      <c r="E1203" s="26" t="n">
        <v>1.59999792926031</v>
      </c>
      <c r="F1203" s="26" t="n">
        <v>-3.99999896463015</v>
      </c>
      <c r="G1203" s="26" t="n">
        <v>-3.99999896463015</v>
      </c>
      <c r="H1203" s="26" t="n">
        <v>-1.90000103536985</v>
      </c>
      <c r="I1203" s="26" t="n">
        <v>-1.90000103536985</v>
      </c>
      <c r="J1203" s="26" t="n">
        <v>26.84</v>
      </c>
      <c r="K1203" s="27" t="n">
        <f aca="false">MIN(F1203,G1203)</f>
        <v>-3.99999896463015</v>
      </c>
      <c r="L1203" s="27" t="n">
        <f aca="false">AVERAGE(F1203,G1203)</f>
        <v>-3.99999896463015</v>
      </c>
      <c r="M1203" s="27" t="n">
        <f aca="false">MAX(0,NG-L1203)</f>
        <v>3.29999896463015</v>
      </c>
      <c r="N1203" s="27" t="n">
        <f aca="false">MAX(0,GWL-K1203)</f>
        <v>2.49999896463015</v>
      </c>
      <c r="O1203" s="27" t="n">
        <f aca="false">MAX(0,NG-MAX(K1203,GWL))</f>
        <v>0.8</v>
      </c>
      <c r="P1203" s="27" t="n">
        <f aca="false">E1203/2+WS+SLOPE_A*O1203+SLOPE_B*N1203</f>
        <v>7.99999689389046</v>
      </c>
      <c r="Q1203" s="28" t="str">
        <f aca="false">IF(AND(P1203&lt;J1203,N1203&lt;=MAXOC),"Open cut","Shoring")</f>
        <v>Open cut</v>
      </c>
      <c r="R1203" s="27" t="n">
        <f aca="false">IF(Q1203="Shoring",D1203,0)</f>
        <v>0</v>
      </c>
      <c r="S1203" s="27" t="n">
        <f aca="false">MAX(0,GWL-L1203)</f>
        <v>2.49999896463015</v>
      </c>
      <c r="T1203" s="27" t="n">
        <f aca="false">MAX(0,NG-MAX(L1203,GWL))</f>
        <v>0.8</v>
      </c>
      <c r="U1203" s="27" t="n">
        <f aca="false">E1203+2*WS</f>
        <v>3.59999792926031</v>
      </c>
      <c r="V1203" s="27" t="n">
        <f aca="false">IF(Q1203="Shoring",D1203*M1203*U1203,0)</f>
        <v>0</v>
      </c>
      <c r="W1203" s="27" t="n">
        <f aca="false">IF(Q1203="Open cut",D1203*(U1203*M1203+SLOPE_B*S1203^2+2*SLOPE_B*S1203*T1203+SLOPE_A*T1203^2),0)</f>
        <v>133.359903102758</v>
      </c>
      <c r="X1203" s="27" t="n">
        <f aca="false">IF(M1203&gt;0,D1203*(E1203+2*SLABOVH)*SLAB,0)</f>
        <v>5.19999585904149</v>
      </c>
      <c r="Y1203" s="27" t="n">
        <f aca="false">IF(M1203&gt;0,D1203*PI()*E1203^2/4,0)</f>
        <v>8.04245637666299</v>
      </c>
      <c r="Z1203" s="27" t="n">
        <f aca="false">IF(H1203-E1203&gt;=GWL,99,E1203*(MAX(0,GWL-H1203)*(GAM_S-GAM_W)+MAX(0,NG-MAX(H1203,GWL))*GAM_D)/(GAM_W*PI()*E1203^2/4))</f>
        <v>1.43385716849601</v>
      </c>
      <c r="AA1203" s="27" t="n">
        <f aca="false">IF(I1203-E1203&gt;=GWL,99,E1203*(MAX(0,GWL-I1203)*(GAM_S-GAM_W)+MAX(0,NG-MAX(I1203,GWL))*GAM_D)/(GAM_W*PI()*E1203^2/4))</f>
        <v>1.43385716849601</v>
      </c>
      <c r="AB1203" s="27" t="n">
        <f aca="false">IF(H1203-E1203&gt;=GWL,99,E1203*(MAX(0,GWL-H1203)*(GAM_S-GAM_W)+MAX(0,FL-MAX(H1203,GWL))*GAM_D)/(GAM_W*PI()*E1203^2/4))</f>
        <v>3.91609343843328</v>
      </c>
      <c r="AC1203" s="27" t="n">
        <f aca="false">IF(I1203-E1203&gt;=GWL,99,E1203*(MAX(0,GWL-I1203)*(GAM_S-GAM_W)+MAX(0,FL-MAX(I1203,GWL))*GAM_D)/(GAM_W*PI()*E1203^2/4))</f>
        <v>3.91609343843328</v>
      </c>
    </row>
    <row r="1204" customFormat="false" ht="15" hidden="false" customHeight="false" outlineLevel="0" collapsed="false">
      <c r="A1204" s="25" t="s">
        <v>1823</v>
      </c>
      <c r="B1204" s="25" t="s">
        <v>1836</v>
      </c>
      <c r="C1204" s="25" t="s">
        <v>1838</v>
      </c>
      <c r="D1204" s="26" t="n">
        <v>10.0000000001042</v>
      </c>
      <c r="E1204" s="26" t="n">
        <v>1.59999792926031</v>
      </c>
      <c r="F1204" s="26" t="n">
        <v>-3.99999896463015</v>
      </c>
      <c r="G1204" s="26" t="n">
        <v>-3.99999896463015</v>
      </c>
      <c r="H1204" s="26" t="n">
        <v>-1.90000103536985</v>
      </c>
      <c r="I1204" s="26" t="n">
        <v>-1.90000103536985</v>
      </c>
      <c r="J1204" s="26" t="n">
        <v>28.78</v>
      </c>
      <c r="K1204" s="27" t="n">
        <f aca="false">MIN(F1204,G1204)</f>
        <v>-3.99999896463015</v>
      </c>
      <c r="L1204" s="27" t="n">
        <f aca="false">AVERAGE(F1204,G1204)</f>
        <v>-3.99999896463015</v>
      </c>
      <c r="M1204" s="27" t="n">
        <f aca="false">MAX(0,NG-L1204)</f>
        <v>3.29999896463015</v>
      </c>
      <c r="N1204" s="27" t="n">
        <f aca="false">MAX(0,GWL-K1204)</f>
        <v>2.49999896463015</v>
      </c>
      <c r="O1204" s="27" t="n">
        <f aca="false">MAX(0,NG-MAX(K1204,GWL))</f>
        <v>0.8</v>
      </c>
      <c r="P1204" s="27" t="n">
        <f aca="false">E1204/2+WS+SLOPE_A*O1204+SLOPE_B*N1204</f>
        <v>7.99999689389046</v>
      </c>
      <c r="Q1204" s="28" t="str">
        <f aca="false">IF(AND(P1204&lt;J1204,N1204&lt;=MAXOC),"Open cut","Shoring")</f>
        <v>Open cut</v>
      </c>
      <c r="R1204" s="27" t="n">
        <f aca="false">IF(Q1204="Shoring",D1204,0)</f>
        <v>0</v>
      </c>
      <c r="S1204" s="27" t="n">
        <f aca="false">MAX(0,GWL-L1204)</f>
        <v>2.49999896463015</v>
      </c>
      <c r="T1204" s="27" t="n">
        <f aca="false">MAX(0,NG-MAX(L1204,GWL))</f>
        <v>0.8</v>
      </c>
      <c r="U1204" s="27" t="n">
        <f aca="false">E1204+2*WS</f>
        <v>3.59999792926031</v>
      </c>
      <c r="V1204" s="27" t="n">
        <f aca="false">IF(Q1204="Shoring",D1204*M1204*U1204,0)</f>
        <v>0</v>
      </c>
      <c r="W1204" s="27" t="n">
        <f aca="false">IF(Q1204="Open cut",D1204*(U1204*M1204+SLOPE_B*S1204^2+2*SLOPE_B*S1204*T1204+SLOPE_A*T1204^2),0)</f>
        <v>333.399757726971</v>
      </c>
      <c r="X1204" s="27" t="n">
        <f aca="false">IF(M1204&gt;0,D1204*(E1204+2*SLABOVH)*SLAB,0)</f>
        <v>12.9999896464369</v>
      </c>
      <c r="Y1204" s="27" t="n">
        <f aca="false">IF(M1204&gt;0,D1204*PI()*E1204^2/4,0)</f>
        <v>20.1061409398529</v>
      </c>
      <c r="Z1204" s="27" t="n">
        <f aca="false">IF(H1204-E1204&gt;=GWL,99,E1204*(MAX(0,GWL-H1204)*(GAM_S-GAM_W)+MAX(0,NG-MAX(H1204,GWL))*GAM_D)/(GAM_W*PI()*E1204^2/4))</f>
        <v>1.43385716849601</v>
      </c>
      <c r="AA1204" s="27" t="n">
        <f aca="false">IF(I1204-E1204&gt;=GWL,99,E1204*(MAX(0,GWL-I1204)*(GAM_S-GAM_W)+MAX(0,NG-MAX(I1204,GWL))*GAM_D)/(GAM_W*PI()*E1204^2/4))</f>
        <v>1.43385716849601</v>
      </c>
      <c r="AB1204" s="27" t="n">
        <f aca="false">IF(H1204-E1204&gt;=GWL,99,E1204*(MAX(0,GWL-H1204)*(GAM_S-GAM_W)+MAX(0,FL-MAX(H1204,GWL))*GAM_D)/(GAM_W*PI()*E1204^2/4))</f>
        <v>3.91609343843328</v>
      </c>
      <c r="AC1204" s="27" t="n">
        <f aca="false">IF(I1204-E1204&gt;=GWL,99,E1204*(MAX(0,GWL-I1204)*(GAM_S-GAM_W)+MAX(0,FL-MAX(I1204,GWL))*GAM_D)/(GAM_W*PI()*E1204^2/4))</f>
        <v>3.91609343843328</v>
      </c>
    </row>
    <row r="1205" customFormat="false" ht="15" hidden="false" customHeight="false" outlineLevel="0" collapsed="false">
      <c r="A1205" s="25" t="s">
        <v>1823</v>
      </c>
      <c r="B1205" s="25" t="s">
        <v>1836</v>
      </c>
      <c r="C1205" s="25" t="s">
        <v>1839</v>
      </c>
      <c r="D1205" s="26" t="n">
        <v>8.06456088838334</v>
      </c>
      <c r="E1205" s="26" t="n">
        <v>1.59999792926031</v>
      </c>
      <c r="F1205" s="26" t="n">
        <v>-3.99999896463015</v>
      </c>
      <c r="G1205" s="26" t="n">
        <v>-3.99999896463015</v>
      </c>
      <c r="H1205" s="26" t="n">
        <v>-1.90000103536985</v>
      </c>
      <c r="I1205" s="26" t="n">
        <v>-1.90000103536985</v>
      </c>
      <c r="J1205" s="26" t="n">
        <v>34.46</v>
      </c>
      <c r="K1205" s="27" t="n">
        <f aca="false">MIN(F1205,G1205)</f>
        <v>-3.99999896463015</v>
      </c>
      <c r="L1205" s="27" t="n">
        <f aca="false">AVERAGE(F1205,G1205)</f>
        <v>-3.99999896463015</v>
      </c>
      <c r="M1205" s="27" t="n">
        <f aca="false">MAX(0,NG-L1205)</f>
        <v>3.29999896463015</v>
      </c>
      <c r="N1205" s="27" t="n">
        <f aca="false">MAX(0,GWL-K1205)</f>
        <v>2.49999896463015</v>
      </c>
      <c r="O1205" s="27" t="n">
        <f aca="false">MAX(0,NG-MAX(K1205,GWL))</f>
        <v>0.8</v>
      </c>
      <c r="P1205" s="27" t="n">
        <f aca="false">E1205/2+WS+SLOPE_A*O1205+SLOPE_B*N1205</f>
        <v>7.99999689389046</v>
      </c>
      <c r="Q1205" s="28" t="str">
        <f aca="false">IF(AND(P1205&lt;J1205,N1205&lt;=MAXOC),"Open cut","Shoring")</f>
        <v>Open cut</v>
      </c>
      <c r="R1205" s="27" t="n">
        <f aca="false">IF(Q1205="Shoring",D1205,0)</f>
        <v>0</v>
      </c>
      <c r="S1205" s="27" t="n">
        <f aca="false">MAX(0,GWL-L1205)</f>
        <v>2.49999896463015</v>
      </c>
      <c r="T1205" s="27" t="n">
        <f aca="false">MAX(0,NG-MAX(L1205,GWL))</f>
        <v>0.8</v>
      </c>
      <c r="U1205" s="27" t="n">
        <f aca="false">E1205+2*WS</f>
        <v>3.59999792926031</v>
      </c>
      <c r="V1205" s="27" t="n">
        <f aca="false">IF(Q1205="Shoring",D1205*M1205*U1205,0)</f>
        <v>0</v>
      </c>
      <c r="W1205" s="27" t="n">
        <f aca="false">IF(Q1205="Open cut",D1205*(U1205*M1205+SLOPE_B*S1205^2+2*SLOPE_B*S1205*T1205+SLOPE_A*T1205^2),0)</f>
        <v>268.872264633341</v>
      </c>
      <c r="X1205" s="27" t="n">
        <f aca="false">IF(M1205&gt;0,D1205*(E1205+2*SLABOVH)*SLAB,0)</f>
        <v>10.4839208050952</v>
      </c>
      <c r="Y1205" s="27" t="n">
        <f aca="false">IF(M1205&gt;0,D1205*PI()*E1205^2/4,0)</f>
        <v>16.2147197838172</v>
      </c>
      <c r="Z1205" s="27" t="n">
        <f aca="false">IF(H1205-E1205&gt;=GWL,99,E1205*(MAX(0,GWL-H1205)*(GAM_S-GAM_W)+MAX(0,NG-MAX(H1205,GWL))*GAM_D)/(GAM_W*PI()*E1205^2/4))</f>
        <v>1.43385716849601</v>
      </c>
      <c r="AA1205" s="27" t="n">
        <f aca="false">IF(I1205-E1205&gt;=GWL,99,E1205*(MAX(0,GWL-I1205)*(GAM_S-GAM_W)+MAX(0,NG-MAX(I1205,GWL))*GAM_D)/(GAM_W*PI()*E1205^2/4))</f>
        <v>1.43385716849601</v>
      </c>
      <c r="AB1205" s="27" t="n">
        <f aca="false">IF(H1205-E1205&gt;=GWL,99,E1205*(MAX(0,GWL-H1205)*(GAM_S-GAM_W)+MAX(0,FL-MAX(H1205,GWL))*GAM_D)/(GAM_W*PI()*E1205^2/4))</f>
        <v>3.91609343843328</v>
      </c>
      <c r="AC1205" s="27" t="n">
        <f aca="false">IF(I1205-E1205&gt;=GWL,99,E1205*(MAX(0,GWL-I1205)*(GAM_S-GAM_W)+MAX(0,FL-MAX(I1205,GWL))*GAM_D)/(GAM_W*PI()*E1205^2/4))</f>
        <v>3.91609343843328</v>
      </c>
    </row>
    <row r="1206" customFormat="false" ht="15" hidden="false" customHeight="false" outlineLevel="0" collapsed="false">
      <c r="A1206" s="25" t="s">
        <v>1840</v>
      </c>
      <c r="B1206" s="25" t="s">
        <v>1841</v>
      </c>
      <c r="C1206" s="25" t="s">
        <v>1842</v>
      </c>
      <c r="D1206" s="26" t="n">
        <v>0.0500100004377622</v>
      </c>
      <c r="E1206" s="26" t="n">
        <v>1.59999975116531</v>
      </c>
      <c r="F1206" s="26" t="n">
        <v>0.790000124417346</v>
      </c>
      <c r="G1206" s="26" t="n">
        <v>0.790000124417346</v>
      </c>
      <c r="H1206" s="26" t="n">
        <v>2.88999987558265</v>
      </c>
      <c r="I1206" s="26" t="n">
        <v>2.88999987558265</v>
      </c>
      <c r="J1206" s="26" t="n">
        <v>21.3</v>
      </c>
      <c r="K1206" s="27" t="n">
        <f aca="false">MIN(F1206,G1206)</f>
        <v>0.790000124417346</v>
      </c>
      <c r="L1206" s="27" t="n">
        <f aca="false">AVERAGE(F1206,G1206)</f>
        <v>0.790000124417346</v>
      </c>
      <c r="M1206" s="27" t="n">
        <f aca="false">MAX(0,NG-L1206)</f>
        <v>0</v>
      </c>
      <c r="N1206" s="27" t="n">
        <f aca="false">MAX(0,GWL-K1206)</f>
        <v>0</v>
      </c>
      <c r="O1206" s="27" t="n">
        <f aca="false">MAX(0,NG-MAX(K1206,GWL))</f>
        <v>0</v>
      </c>
      <c r="P1206" s="27" t="n">
        <f aca="false">E1206/2+WS+SLOPE_A*O1206+SLOPE_B*N1206</f>
        <v>1.79999987558265</v>
      </c>
      <c r="Q1206" s="28" t="str">
        <f aca="false">IF(AND(P1206&lt;J1206,N1206&lt;=MAXOC),"Open cut","Shoring")</f>
        <v>Open cut</v>
      </c>
      <c r="R1206" s="27" t="n">
        <f aca="false">IF(Q1206="Shoring",D1206,0)</f>
        <v>0</v>
      </c>
      <c r="S1206" s="27" t="n">
        <f aca="false">MAX(0,GWL-L1206)</f>
        <v>0</v>
      </c>
      <c r="T1206" s="27" t="n">
        <f aca="false">MAX(0,NG-MAX(L1206,GWL))</f>
        <v>0</v>
      </c>
      <c r="U1206" s="27" t="n">
        <f aca="false">E1206+2*WS</f>
        <v>3.59999975116531</v>
      </c>
      <c r="V1206" s="27" t="n">
        <f aca="false">IF(Q1206="Shoring",D1206*M1206*U1206,0)</f>
        <v>0</v>
      </c>
      <c r="W1206" s="27" t="n">
        <f aca="false">IF(Q1206="Open cut",D1206*(U1206*M1206+SLOPE_B*S1206^2+2*SLOPE_B*S1206*T1206+SLOPE_A*T1206^2),0)</f>
        <v>0</v>
      </c>
      <c r="X1206" s="27" t="n">
        <f aca="false">IF(M1206&gt;0,D1206*(E1206+2*SLABOVH)*SLAB,0)</f>
        <v>0</v>
      </c>
      <c r="Y1206" s="27" t="n">
        <f aca="false">IF(M1206&gt;0,D1206*PI()*E1206^2/4,0)</f>
        <v>0</v>
      </c>
      <c r="Z1206" s="27" t="n">
        <f aca="false">IF(H1206-E1206&gt;=GWL,99,E1206*(MAX(0,GWL-H1206)*(GAM_S-GAM_W)+MAX(0,NG-MAX(H1206,GWL))*GAM_D)/(GAM_W*PI()*E1206^2/4))</f>
        <v>99</v>
      </c>
      <c r="AA1206" s="27" t="n">
        <f aca="false">IF(I1206-E1206&gt;=GWL,99,E1206*(MAX(0,GWL-I1206)*(GAM_S-GAM_W)+MAX(0,NG-MAX(I1206,GWL))*GAM_D)/(GAM_W*PI()*E1206^2/4))</f>
        <v>99</v>
      </c>
      <c r="AB1206" s="27" t="n">
        <f aca="false">IF(H1206-E1206&gt;=GWL,99,E1206*(MAX(0,GWL-H1206)*(GAM_S-GAM_W)+MAX(0,FL-MAX(H1206,GWL))*GAM_D)/(GAM_W*PI()*E1206^2/4))</f>
        <v>99</v>
      </c>
      <c r="AC1206" s="27" t="n">
        <f aca="false">IF(I1206-E1206&gt;=GWL,99,E1206*(MAX(0,GWL-I1206)*(GAM_S-GAM_W)+MAX(0,FL-MAX(I1206,GWL))*GAM_D)/(GAM_W*PI()*E1206^2/4))</f>
        <v>99</v>
      </c>
    </row>
    <row r="1207" customFormat="false" ht="15" hidden="false" customHeight="false" outlineLevel="0" collapsed="false">
      <c r="A1207" s="25" t="s">
        <v>1840</v>
      </c>
      <c r="B1207" s="25" t="s">
        <v>1841</v>
      </c>
      <c r="C1207" s="25" t="s">
        <v>1843</v>
      </c>
      <c r="D1207" s="26" t="n">
        <v>0.203994280459844</v>
      </c>
      <c r="E1207" s="26" t="n">
        <v>1.59999975116531</v>
      </c>
      <c r="F1207" s="26" t="n">
        <v>0.790000124417346</v>
      </c>
      <c r="G1207" s="26" t="n">
        <v>0.790000124417346</v>
      </c>
      <c r="H1207" s="26" t="n">
        <v>2.88999987558265</v>
      </c>
      <c r="I1207" s="26" t="n">
        <v>2.88999987558265</v>
      </c>
      <c r="J1207" s="26" t="n">
        <v>21.3</v>
      </c>
      <c r="K1207" s="27" t="n">
        <f aca="false">MIN(F1207,G1207)</f>
        <v>0.790000124417346</v>
      </c>
      <c r="L1207" s="27" t="n">
        <f aca="false">AVERAGE(F1207,G1207)</f>
        <v>0.790000124417346</v>
      </c>
      <c r="M1207" s="27" t="n">
        <f aca="false">MAX(0,NG-L1207)</f>
        <v>0</v>
      </c>
      <c r="N1207" s="27" t="n">
        <f aca="false">MAX(0,GWL-K1207)</f>
        <v>0</v>
      </c>
      <c r="O1207" s="27" t="n">
        <f aca="false">MAX(0,NG-MAX(K1207,GWL))</f>
        <v>0</v>
      </c>
      <c r="P1207" s="27" t="n">
        <f aca="false">E1207/2+WS+SLOPE_A*O1207+SLOPE_B*N1207</f>
        <v>1.79999987558265</v>
      </c>
      <c r="Q1207" s="28" t="str">
        <f aca="false">IF(AND(P1207&lt;J1207,N1207&lt;=MAXOC),"Open cut","Shoring")</f>
        <v>Open cut</v>
      </c>
      <c r="R1207" s="27" t="n">
        <f aca="false">IF(Q1207="Shoring",D1207,0)</f>
        <v>0</v>
      </c>
      <c r="S1207" s="27" t="n">
        <f aca="false">MAX(0,GWL-L1207)</f>
        <v>0</v>
      </c>
      <c r="T1207" s="27" t="n">
        <f aca="false">MAX(0,NG-MAX(L1207,GWL))</f>
        <v>0</v>
      </c>
      <c r="U1207" s="27" t="n">
        <f aca="false">E1207+2*WS</f>
        <v>3.59999975116531</v>
      </c>
      <c r="V1207" s="27" t="n">
        <f aca="false">IF(Q1207="Shoring",D1207*M1207*U1207,0)</f>
        <v>0</v>
      </c>
      <c r="W1207" s="27" t="n">
        <f aca="false">IF(Q1207="Open cut",D1207*(U1207*M1207+SLOPE_B*S1207^2+2*SLOPE_B*S1207*T1207+SLOPE_A*T1207^2),0)</f>
        <v>0</v>
      </c>
      <c r="X1207" s="27" t="n">
        <f aca="false">IF(M1207&gt;0,D1207*(E1207+2*SLABOVH)*SLAB,0)</f>
        <v>0</v>
      </c>
      <c r="Y1207" s="27" t="n">
        <f aca="false">IF(M1207&gt;0,D1207*PI()*E1207^2/4,0)</f>
        <v>0</v>
      </c>
      <c r="Z1207" s="27" t="n">
        <f aca="false">IF(H1207-E1207&gt;=GWL,99,E1207*(MAX(0,GWL-H1207)*(GAM_S-GAM_W)+MAX(0,NG-MAX(H1207,GWL))*GAM_D)/(GAM_W*PI()*E1207^2/4))</f>
        <v>99</v>
      </c>
      <c r="AA1207" s="27" t="n">
        <f aca="false">IF(I1207-E1207&gt;=GWL,99,E1207*(MAX(0,GWL-I1207)*(GAM_S-GAM_W)+MAX(0,NG-MAX(I1207,GWL))*GAM_D)/(GAM_W*PI()*E1207^2/4))</f>
        <v>99</v>
      </c>
      <c r="AB1207" s="27" t="n">
        <f aca="false">IF(H1207-E1207&gt;=GWL,99,E1207*(MAX(0,GWL-H1207)*(GAM_S-GAM_W)+MAX(0,FL-MAX(H1207,GWL))*GAM_D)/(GAM_W*PI()*E1207^2/4))</f>
        <v>99</v>
      </c>
      <c r="AC1207" s="27" t="n">
        <f aca="false">IF(I1207-E1207&gt;=GWL,99,E1207*(MAX(0,GWL-I1207)*(GAM_S-GAM_W)+MAX(0,FL-MAX(I1207,GWL))*GAM_D)/(GAM_W*PI()*E1207^2/4))</f>
        <v>99</v>
      </c>
    </row>
    <row r="1208" customFormat="false" ht="15" hidden="false" customHeight="false" outlineLevel="0" collapsed="false">
      <c r="A1208" s="25" t="s">
        <v>1840</v>
      </c>
      <c r="B1208" s="25" t="s">
        <v>1841</v>
      </c>
      <c r="C1208" s="25" t="s">
        <v>1844</v>
      </c>
      <c r="D1208" s="26" t="n">
        <v>1.04269000017229</v>
      </c>
      <c r="E1208" s="26" t="n">
        <v>1.59999975116531</v>
      </c>
      <c r="F1208" s="26" t="n">
        <v>0.790000124417346</v>
      </c>
      <c r="G1208" s="26" t="n">
        <v>0.790000124417346</v>
      </c>
      <c r="H1208" s="26" t="n">
        <v>2.88999987558265</v>
      </c>
      <c r="I1208" s="26" t="n">
        <v>2.88999987558265</v>
      </c>
      <c r="J1208" s="26" t="n">
        <v>21.34</v>
      </c>
      <c r="K1208" s="27" t="n">
        <f aca="false">MIN(F1208,G1208)</f>
        <v>0.790000124417346</v>
      </c>
      <c r="L1208" s="27" t="n">
        <f aca="false">AVERAGE(F1208,G1208)</f>
        <v>0.790000124417346</v>
      </c>
      <c r="M1208" s="27" t="n">
        <f aca="false">MAX(0,NG-L1208)</f>
        <v>0</v>
      </c>
      <c r="N1208" s="27" t="n">
        <f aca="false">MAX(0,GWL-K1208)</f>
        <v>0</v>
      </c>
      <c r="O1208" s="27" t="n">
        <f aca="false">MAX(0,NG-MAX(K1208,GWL))</f>
        <v>0</v>
      </c>
      <c r="P1208" s="27" t="n">
        <f aca="false">E1208/2+WS+SLOPE_A*O1208+SLOPE_B*N1208</f>
        <v>1.79999987558265</v>
      </c>
      <c r="Q1208" s="28" t="str">
        <f aca="false">IF(AND(P1208&lt;J1208,N1208&lt;=MAXOC),"Open cut","Shoring")</f>
        <v>Open cut</v>
      </c>
      <c r="R1208" s="27" t="n">
        <f aca="false">IF(Q1208="Shoring",D1208,0)</f>
        <v>0</v>
      </c>
      <c r="S1208" s="27" t="n">
        <f aca="false">MAX(0,GWL-L1208)</f>
        <v>0</v>
      </c>
      <c r="T1208" s="27" t="n">
        <f aca="false">MAX(0,NG-MAX(L1208,GWL))</f>
        <v>0</v>
      </c>
      <c r="U1208" s="27" t="n">
        <f aca="false">E1208+2*WS</f>
        <v>3.59999975116531</v>
      </c>
      <c r="V1208" s="27" t="n">
        <f aca="false">IF(Q1208="Shoring",D1208*M1208*U1208,0)</f>
        <v>0</v>
      </c>
      <c r="W1208" s="27" t="n">
        <f aca="false">IF(Q1208="Open cut",D1208*(U1208*M1208+SLOPE_B*S1208^2+2*SLOPE_B*S1208*T1208+SLOPE_A*T1208^2),0)</f>
        <v>0</v>
      </c>
      <c r="X1208" s="27" t="n">
        <f aca="false">IF(M1208&gt;0,D1208*(E1208+2*SLABOVH)*SLAB,0)</f>
        <v>0</v>
      </c>
      <c r="Y1208" s="27" t="n">
        <f aca="false">IF(M1208&gt;0,D1208*PI()*E1208^2/4,0)</f>
        <v>0</v>
      </c>
      <c r="Z1208" s="27" t="n">
        <f aca="false">IF(H1208-E1208&gt;=GWL,99,E1208*(MAX(0,GWL-H1208)*(GAM_S-GAM_W)+MAX(0,NG-MAX(H1208,GWL))*GAM_D)/(GAM_W*PI()*E1208^2/4))</f>
        <v>99</v>
      </c>
      <c r="AA1208" s="27" t="n">
        <f aca="false">IF(I1208-E1208&gt;=GWL,99,E1208*(MAX(0,GWL-I1208)*(GAM_S-GAM_W)+MAX(0,NG-MAX(I1208,GWL))*GAM_D)/(GAM_W*PI()*E1208^2/4))</f>
        <v>99</v>
      </c>
      <c r="AB1208" s="27" t="n">
        <f aca="false">IF(H1208-E1208&gt;=GWL,99,E1208*(MAX(0,GWL-H1208)*(GAM_S-GAM_W)+MAX(0,FL-MAX(H1208,GWL))*GAM_D)/(GAM_W*PI()*E1208^2/4))</f>
        <v>99</v>
      </c>
      <c r="AC1208" s="27" t="n">
        <f aca="false">IF(I1208-E1208&gt;=GWL,99,E1208*(MAX(0,GWL-I1208)*(GAM_S-GAM_W)+MAX(0,FL-MAX(I1208,GWL))*GAM_D)/(GAM_W*PI()*E1208^2/4))</f>
        <v>99</v>
      </c>
    </row>
    <row r="1209" customFormat="false" ht="15" hidden="false" customHeight="false" outlineLevel="0" collapsed="false">
      <c r="A1209" s="25" t="s">
        <v>1840</v>
      </c>
      <c r="B1209" s="25" t="s">
        <v>1841</v>
      </c>
      <c r="C1209" s="25" t="s">
        <v>1845</v>
      </c>
      <c r="D1209" s="26" t="n">
        <v>0.849219678452907</v>
      </c>
      <c r="E1209" s="26" t="n">
        <v>1.5999997512508</v>
      </c>
      <c r="F1209" s="26" t="n">
        <v>0.7900001243746</v>
      </c>
      <c r="G1209" s="26" t="n">
        <v>0.3378801243746</v>
      </c>
      <c r="H1209" s="26" t="n">
        <v>2.8899998756254</v>
      </c>
      <c r="I1209" s="26" t="n">
        <v>2.4378798756254</v>
      </c>
      <c r="J1209" s="26" t="n">
        <v>21.54</v>
      </c>
      <c r="K1209" s="27" t="n">
        <f aca="false">MIN(F1209,G1209)</f>
        <v>0.3378801243746</v>
      </c>
      <c r="L1209" s="27" t="n">
        <f aca="false">AVERAGE(F1209,G1209)</f>
        <v>0.5639401243746</v>
      </c>
      <c r="M1209" s="27" t="n">
        <f aca="false">MAX(0,NG-L1209)</f>
        <v>0</v>
      </c>
      <c r="N1209" s="27" t="n">
        <f aca="false">MAX(0,GWL-K1209)</f>
        <v>0</v>
      </c>
      <c r="O1209" s="27" t="n">
        <f aca="false">MAX(0,NG-MAX(K1209,GWL))</f>
        <v>0</v>
      </c>
      <c r="P1209" s="27" t="n">
        <f aca="false">E1209/2+WS+SLOPE_A*O1209+SLOPE_B*N1209</f>
        <v>1.7999998756254</v>
      </c>
      <c r="Q1209" s="28" t="str">
        <f aca="false">IF(AND(P1209&lt;J1209,N1209&lt;=MAXOC),"Open cut","Shoring")</f>
        <v>Open cut</v>
      </c>
      <c r="R1209" s="27" t="n">
        <f aca="false">IF(Q1209="Shoring",D1209,0)</f>
        <v>0</v>
      </c>
      <c r="S1209" s="27" t="n">
        <f aca="false">MAX(0,GWL-L1209)</f>
        <v>0</v>
      </c>
      <c r="T1209" s="27" t="n">
        <f aca="false">MAX(0,NG-MAX(L1209,GWL))</f>
        <v>0</v>
      </c>
      <c r="U1209" s="27" t="n">
        <f aca="false">E1209+2*WS</f>
        <v>3.5999997512508</v>
      </c>
      <c r="V1209" s="27" t="n">
        <f aca="false">IF(Q1209="Shoring",D1209*M1209*U1209,0)</f>
        <v>0</v>
      </c>
      <c r="W1209" s="27" t="n">
        <f aca="false">IF(Q1209="Open cut",D1209*(U1209*M1209+SLOPE_B*S1209^2+2*SLOPE_B*S1209*T1209+SLOPE_A*T1209^2),0)</f>
        <v>0</v>
      </c>
      <c r="X1209" s="27" t="n">
        <f aca="false">IF(M1209&gt;0,D1209*(E1209+2*SLABOVH)*SLAB,0)</f>
        <v>0</v>
      </c>
      <c r="Y1209" s="27" t="n">
        <f aca="false">IF(M1209&gt;0,D1209*PI()*E1209^2/4,0)</f>
        <v>0</v>
      </c>
      <c r="Z1209" s="27" t="n">
        <f aca="false">IF(H1209-E1209&gt;=GWL,99,E1209*(MAX(0,GWL-H1209)*(GAM_S-GAM_W)+MAX(0,NG-MAX(H1209,GWL))*GAM_D)/(GAM_W*PI()*E1209^2/4))</f>
        <v>99</v>
      </c>
      <c r="AA1209" s="27" t="n">
        <f aca="false">IF(I1209-E1209&gt;=GWL,99,E1209*(MAX(0,GWL-I1209)*(GAM_S-GAM_W)+MAX(0,NG-MAX(I1209,GWL))*GAM_D)/(GAM_W*PI()*E1209^2/4))</f>
        <v>99</v>
      </c>
      <c r="AB1209" s="27" t="n">
        <f aca="false">IF(H1209-E1209&gt;=GWL,99,E1209*(MAX(0,GWL-H1209)*(GAM_S-GAM_W)+MAX(0,FL-MAX(H1209,GWL))*GAM_D)/(GAM_W*PI()*E1209^2/4))</f>
        <v>99</v>
      </c>
      <c r="AC1209" s="27" t="n">
        <f aca="false">IF(I1209-E1209&gt;=GWL,99,E1209*(MAX(0,GWL-I1209)*(GAM_S-GAM_W)+MAX(0,FL-MAX(I1209,GWL))*GAM_D)/(GAM_W*PI()*E1209^2/4))</f>
        <v>99</v>
      </c>
    </row>
    <row r="1210" customFormat="false" ht="15" hidden="false" customHeight="false" outlineLevel="0" collapsed="false">
      <c r="A1210" s="25" t="s">
        <v>1840</v>
      </c>
      <c r="B1210" s="25" t="s">
        <v>1841</v>
      </c>
      <c r="C1210" s="25" t="s">
        <v>1846</v>
      </c>
      <c r="D1210" s="26" t="n">
        <v>0.230220486874003</v>
      </c>
      <c r="E1210" s="26" t="n">
        <v>1.59999610118648</v>
      </c>
      <c r="F1210" s="26" t="n">
        <v>0.337881949406763</v>
      </c>
      <c r="G1210" s="26" t="n">
        <v>0.215311949406763</v>
      </c>
      <c r="H1210" s="26" t="n">
        <v>2.43787805059324</v>
      </c>
      <c r="I1210" s="26" t="n">
        <v>2.31530805059324</v>
      </c>
      <c r="J1210" s="26" t="n">
        <v>21.71</v>
      </c>
      <c r="K1210" s="27" t="n">
        <f aca="false">MIN(F1210,G1210)</f>
        <v>0.215311949406763</v>
      </c>
      <c r="L1210" s="27" t="n">
        <f aca="false">AVERAGE(F1210,G1210)</f>
        <v>0.276596949406763</v>
      </c>
      <c r="M1210" s="27" t="n">
        <f aca="false">MAX(0,NG-L1210)</f>
        <v>0</v>
      </c>
      <c r="N1210" s="27" t="n">
        <f aca="false">MAX(0,GWL-K1210)</f>
        <v>0</v>
      </c>
      <c r="O1210" s="27" t="n">
        <f aca="false">MAX(0,NG-MAX(K1210,GWL))</f>
        <v>0</v>
      </c>
      <c r="P1210" s="27" t="n">
        <f aca="false">E1210/2+WS+SLOPE_A*O1210+SLOPE_B*N1210</f>
        <v>1.79999805059324</v>
      </c>
      <c r="Q1210" s="28" t="str">
        <f aca="false">IF(AND(P1210&lt;J1210,N1210&lt;=MAXOC),"Open cut","Shoring")</f>
        <v>Open cut</v>
      </c>
      <c r="R1210" s="27" t="n">
        <f aca="false">IF(Q1210="Shoring",D1210,0)</f>
        <v>0</v>
      </c>
      <c r="S1210" s="27" t="n">
        <f aca="false">MAX(0,GWL-L1210)</f>
        <v>0</v>
      </c>
      <c r="T1210" s="27" t="n">
        <f aca="false">MAX(0,NG-MAX(L1210,GWL))</f>
        <v>0</v>
      </c>
      <c r="U1210" s="27" t="n">
        <f aca="false">E1210+2*WS</f>
        <v>3.59999610118648</v>
      </c>
      <c r="V1210" s="27" t="n">
        <f aca="false">IF(Q1210="Shoring",D1210*M1210*U1210,0)</f>
        <v>0</v>
      </c>
      <c r="W1210" s="27" t="n">
        <f aca="false">IF(Q1210="Open cut",D1210*(U1210*M1210+SLOPE_B*S1210^2+2*SLOPE_B*S1210*T1210+SLOPE_A*T1210^2),0)</f>
        <v>0</v>
      </c>
      <c r="X1210" s="27" t="n">
        <f aca="false">IF(M1210&gt;0,D1210*(E1210+2*SLABOVH)*SLAB,0)</f>
        <v>0</v>
      </c>
      <c r="Y1210" s="27" t="n">
        <f aca="false">IF(M1210&gt;0,D1210*PI()*E1210^2/4,0)</f>
        <v>0</v>
      </c>
      <c r="Z1210" s="27" t="n">
        <f aca="false">IF(H1210-E1210&gt;=GWL,99,E1210*(MAX(0,GWL-H1210)*(GAM_S-GAM_W)+MAX(0,NG-MAX(H1210,GWL))*GAM_D)/(GAM_W*PI()*E1210^2/4))</f>
        <v>99</v>
      </c>
      <c r="AA1210" s="27" t="n">
        <f aca="false">IF(I1210-E1210&gt;=GWL,99,E1210*(MAX(0,GWL-I1210)*(GAM_S-GAM_W)+MAX(0,NG-MAX(I1210,GWL))*GAM_D)/(GAM_W*PI()*E1210^2/4))</f>
        <v>99</v>
      </c>
      <c r="AB1210" s="27" t="n">
        <f aca="false">IF(H1210-E1210&gt;=GWL,99,E1210*(MAX(0,GWL-H1210)*(GAM_S-GAM_W)+MAX(0,FL-MAX(H1210,GWL))*GAM_D)/(GAM_W*PI()*E1210^2/4))</f>
        <v>99</v>
      </c>
      <c r="AC1210" s="27" t="n">
        <f aca="false">IF(I1210-E1210&gt;=GWL,99,E1210*(MAX(0,GWL-I1210)*(GAM_S-GAM_W)+MAX(0,FL-MAX(I1210,GWL))*GAM_D)/(GAM_W*PI()*E1210^2/4))</f>
        <v>99</v>
      </c>
    </row>
    <row r="1211" customFormat="false" ht="15" hidden="false" customHeight="false" outlineLevel="0" collapsed="false">
      <c r="A1211" s="25" t="s">
        <v>1840</v>
      </c>
      <c r="B1211" s="25" t="s">
        <v>1841</v>
      </c>
      <c r="C1211" s="25" t="s">
        <v>1847</v>
      </c>
      <c r="D1211" s="26" t="n">
        <v>0.708681211126583</v>
      </c>
      <c r="E1211" s="26" t="n">
        <v>1.59999690140119</v>
      </c>
      <c r="F1211" s="26" t="n">
        <v>0.215311549299403</v>
      </c>
      <c r="G1211" s="26" t="n">
        <v>-0.161978450700597</v>
      </c>
      <c r="H1211" s="26" t="n">
        <v>2.3153084507006</v>
      </c>
      <c r="I1211" s="26" t="n">
        <v>1.9380184507006</v>
      </c>
      <c r="J1211" s="26" t="n">
        <v>21.77</v>
      </c>
      <c r="K1211" s="27" t="n">
        <f aca="false">MIN(F1211,G1211)</f>
        <v>-0.161978450700597</v>
      </c>
      <c r="L1211" s="27" t="n">
        <f aca="false">AVERAGE(F1211,G1211)</f>
        <v>0.026666549299403</v>
      </c>
      <c r="M1211" s="27" t="n">
        <f aca="false">MAX(0,NG-L1211)</f>
        <v>0</v>
      </c>
      <c r="N1211" s="27" t="n">
        <f aca="false">MAX(0,GWL-K1211)</f>
        <v>0</v>
      </c>
      <c r="O1211" s="27" t="n">
        <f aca="false">MAX(0,NG-MAX(K1211,GWL))</f>
        <v>0</v>
      </c>
      <c r="P1211" s="27" t="n">
        <f aca="false">E1211/2+WS+SLOPE_A*O1211+SLOPE_B*N1211</f>
        <v>1.7999984507006</v>
      </c>
      <c r="Q1211" s="28" t="str">
        <f aca="false">IF(AND(P1211&lt;J1211,N1211&lt;=MAXOC),"Open cut","Shoring")</f>
        <v>Open cut</v>
      </c>
      <c r="R1211" s="27" t="n">
        <f aca="false">IF(Q1211="Shoring",D1211,0)</f>
        <v>0</v>
      </c>
      <c r="S1211" s="27" t="n">
        <f aca="false">MAX(0,GWL-L1211)</f>
        <v>0</v>
      </c>
      <c r="T1211" s="27" t="n">
        <f aca="false">MAX(0,NG-MAX(L1211,GWL))</f>
        <v>0</v>
      </c>
      <c r="U1211" s="27" t="n">
        <f aca="false">E1211+2*WS</f>
        <v>3.59999690140119</v>
      </c>
      <c r="V1211" s="27" t="n">
        <f aca="false">IF(Q1211="Shoring",D1211*M1211*U1211,0)</f>
        <v>0</v>
      </c>
      <c r="W1211" s="27" t="n">
        <f aca="false">IF(Q1211="Open cut",D1211*(U1211*M1211+SLOPE_B*S1211^2+2*SLOPE_B*S1211*T1211+SLOPE_A*T1211^2),0)</f>
        <v>0</v>
      </c>
      <c r="X1211" s="27" t="n">
        <f aca="false">IF(M1211&gt;0,D1211*(E1211+2*SLABOVH)*SLAB,0)</f>
        <v>0</v>
      </c>
      <c r="Y1211" s="27" t="n">
        <f aca="false">IF(M1211&gt;0,D1211*PI()*E1211^2/4,0)</f>
        <v>0</v>
      </c>
      <c r="Z1211" s="27" t="n">
        <f aca="false">IF(H1211-E1211&gt;=GWL,99,E1211*(MAX(0,GWL-H1211)*(GAM_S-GAM_W)+MAX(0,NG-MAX(H1211,GWL))*GAM_D)/(GAM_W*PI()*E1211^2/4))</f>
        <v>99</v>
      </c>
      <c r="AA1211" s="27" t="n">
        <f aca="false">IF(I1211-E1211&gt;=GWL,99,E1211*(MAX(0,GWL-I1211)*(GAM_S-GAM_W)+MAX(0,NG-MAX(I1211,GWL))*GAM_D)/(GAM_W*PI()*E1211^2/4))</f>
        <v>99</v>
      </c>
      <c r="AB1211" s="27" t="n">
        <f aca="false">IF(H1211-E1211&gt;=GWL,99,E1211*(MAX(0,GWL-H1211)*(GAM_S-GAM_W)+MAX(0,FL-MAX(H1211,GWL))*GAM_D)/(GAM_W*PI()*E1211^2/4))</f>
        <v>99</v>
      </c>
      <c r="AC1211" s="27" t="n">
        <f aca="false">IF(I1211-E1211&gt;=GWL,99,E1211*(MAX(0,GWL-I1211)*(GAM_S-GAM_W)+MAX(0,FL-MAX(I1211,GWL))*GAM_D)/(GAM_W*PI()*E1211^2/4))</f>
        <v>99</v>
      </c>
    </row>
    <row r="1212" customFormat="false" ht="15" hidden="false" customHeight="false" outlineLevel="0" collapsed="false">
      <c r="A1212" s="25" t="s">
        <v>1840</v>
      </c>
      <c r="B1212" s="25" t="s">
        <v>1841</v>
      </c>
      <c r="C1212" s="25" t="s">
        <v>1848</v>
      </c>
      <c r="D1212" s="26" t="n">
        <v>5.4494899995643</v>
      </c>
      <c r="E1212" s="26" t="n">
        <v>1.60000626897294</v>
      </c>
      <c r="F1212" s="26" t="n">
        <v>-0.16198313448647</v>
      </c>
      <c r="G1212" s="26" t="n">
        <v>-3.06325313448647</v>
      </c>
      <c r="H1212" s="26" t="n">
        <v>1.93802313448647</v>
      </c>
      <c r="I1212" s="26" t="n">
        <v>-0.96324686551353</v>
      </c>
      <c r="J1212" s="26" t="n">
        <v>21.96</v>
      </c>
      <c r="K1212" s="27" t="n">
        <f aca="false">MIN(F1212,G1212)</f>
        <v>-3.06325313448647</v>
      </c>
      <c r="L1212" s="27" t="n">
        <f aca="false">AVERAGE(F1212,G1212)</f>
        <v>-1.61261813448647</v>
      </c>
      <c r="M1212" s="27" t="n">
        <f aca="false">MAX(0,NG-L1212)</f>
        <v>0.91261813448647</v>
      </c>
      <c r="N1212" s="27" t="n">
        <f aca="false">MAX(0,GWL-K1212)</f>
        <v>1.56325313448647</v>
      </c>
      <c r="O1212" s="27" t="n">
        <f aca="false">MAX(0,NG-MAX(K1212,GWL))</f>
        <v>0.8</v>
      </c>
      <c r="P1212" s="27" t="n">
        <f aca="false">E1212/2+WS+SLOPE_A*O1212+SLOPE_B*N1212</f>
        <v>6.12650940345941</v>
      </c>
      <c r="Q1212" s="28" t="str">
        <f aca="false">IF(AND(P1212&lt;J1212,N1212&lt;=MAXOC),"Open cut","Shoring")</f>
        <v>Open cut</v>
      </c>
      <c r="R1212" s="27" t="n">
        <f aca="false">IF(Q1212="Shoring",D1212,0)</f>
        <v>0</v>
      </c>
      <c r="S1212" s="27" t="n">
        <f aca="false">MAX(0,GWL-L1212)</f>
        <v>0.11261813448647</v>
      </c>
      <c r="T1212" s="27" t="n">
        <f aca="false">MAX(0,NG-MAX(L1212,GWL))</f>
        <v>0.8</v>
      </c>
      <c r="U1212" s="27" t="n">
        <f aca="false">E1212+2*WS</f>
        <v>3.60000626897294</v>
      </c>
      <c r="V1212" s="27" t="n">
        <f aca="false">IF(Q1212="Shoring",D1212*M1212*U1212,0)</f>
        <v>0</v>
      </c>
      <c r="W1212" s="27" t="n">
        <f aca="false">IF(Q1212="Open cut",D1212*(U1212*M1212+SLOPE_B*S1212^2+2*SLOPE_B*S1212*T1212+SLOPE_A*T1212^2),0)</f>
        <v>25.2375403453095</v>
      </c>
      <c r="X1212" s="27" t="n">
        <f aca="false">IF(M1212&gt;0,D1212*(E1212+2*SLABOVH)*SLAB,0)</f>
        <v>7.08435408078626</v>
      </c>
      <c r="Y1212" s="27" t="n">
        <f aca="false">IF(M1212&gt;0,D1212*PI()*E1212^2/4,0)</f>
        <v>10.9569356194146</v>
      </c>
      <c r="Z1212" s="27" t="n">
        <f aca="false">IF(H1212-E1212&gt;=GWL,99,E1212*(MAX(0,GWL-H1212)*(GAM_S-GAM_W)+MAX(0,NG-MAX(H1212,GWL))*GAM_D)/(GAM_W*PI()*E1212^2/4))</f>
        <v>99</v>
      </c>
      <c r="AA1212" s="27" t="n">
        <f aca="false">IF(I1212-E1212&gt;=GWL,99,E1212*(MAX(0,GWL-I1212)*(GAM_S-GAM_W)+MAX(0,NG-MAX(I1212,GWL))*GAM_D)/(GAM_W*PI()*E1212^2/4))</f>
        <v>0.384375006820532</v>
      </c>
      <c r="AB1212" s="27" t="n">
        <f aca="false">IF(H1212-E1212&gt;=GWL,99,E1212*(MAX(0,GWL-H1212)*(GAM_S-GAM_W)+MAX(0,FL-MAX(H1212,GWL))*GAM_D)/(GAM_W*PI()*E1212^2/4))</f>
        <v>99</v>
      </c>
      <c r="AC1212" s="27" t="n">
        <f aca="false">IF(I1212-E1212&gt;=GWL,99,E1212*(MAX(0,GWL-I1212)*(GAM_S-GAM_W)+MAX(0,FL-MAX(I1212,GWL))*GAM_D)/(GAM_W*PI()*E1212^2/4))</f>
        <v>2.86659833859775</v>
      </c>
    </row>
    <row r="1213" customFormat="false" ht="15" hidden="false" customHeight="false" outlineLevel="0" collapsed="false">
      <c r="A1213" s="25" t="s">
        <v>1840</v>
      </c>
      <c r="B1213" s="25" t="s">
        <v>1841</v>
      </c>
      <c r="C1213" s="25" t="s">
        <v>1849</v>
      </c>
      <c r="D1213" s="26" t="n">
        <v>0.676728157846786</v>
      </c>
      <c r="E1213" s="26" t="n">
        <v>1.5999993334503</v>
      </c>
      <c r="F1213" s="26" t="n">
        <v>-3.06324966672515</v>
      </c>
      <c r="G1213" s="26" t="n">
        <v>-3.42352966672515</v>
      </c>
      <c r="H1213" s="26" t="n">
        <v>-0.963250333274849</v>
      </c>
      <c r="I1213" s="26" t="n">
        <v>-1.32353033327485</v>
      </c>
      <c r="J1213" s="26" t="n">
        <v>23.62</v>
      </c>
      <c r="K1213" s="27" t="n">
        <f aca="false">MIN(F1213,G1213)</f>
        <v>-3.42352966672515</v>
      </c>
      <c r="L1213" s="27" t="n">
        <f aca="false">AVERAGE(F1213,G1213)</f>
        <v>-3.24338966672515</v>
      </c>
      <c r="M1213" s="27" t="n">
        <f aca="false">MAX(0,NG-L1213)</f>
        <v>2.54338966672515</v>
      </c>
      <c r="N1213" s="27" t="n">
        <f aca="false">MAX(0,GWL-K1213)</f>
        <v>1.92352966672515</v>
      </c>
      <c r="O1213" s="27" t="n">
        <f aca="false">MAX(0,NG-MAX(K1213,GWL))</f>
        <v>0.8</v>
      </c>
      <c r="P1213" s="27" t="n">
        <f aca="false">E1213/2+WS+SLOPE_A*O1213+SLOPE_B*N1213</f>
        <v>6.84705900017545</v>
      </c>
      <c r="Q1213" s="28" t="str">
        <f aca="false">IF(AND(P1213&lt;J1213,N1213&lt;=MAXOC),"Open cut","Shoring")</f>
        <v>Open cut</v>
      </c>
      <c r="R1213" s="27" t="n">
        <f aca="false">IF(Q1213="Shoring",D1213,0)</f>
        <v>0</v>
      </c>
      <c r="S1213" s="27" t="n">
        <f aca="false">MAX(0,GWL-L1213)</f>
        <v>1.74338966672515</v>
      </c>
      <c r="T1213" s="27" t="n">
        <f aca="false">MAX(0,NG-MAX(L1213,GWL))</f>
        <v>0.8</v>
      </c>
      <c r="U1213" s="27" t="n">
        <f aca="false">E1213+2*WS</f>
        <v>3.5999993334503</v>
      </c>
      <c r="V1213" s="27" t="n">
        <f aca="false">IF(Q1213="Shoring",D1213*M1213*U1213,0)</f>
        <v>0</v>
      </c>
      <c r="W1213" s="27" t="n">
        <f aca="false">IF(Q1213="Open cut",D1213*(U1213*M1213+SLOPE_B*S1213^2+2*SLOPE_B*S1213*T1213+SLOPE_A*T1213^2),0)</f>
        <v>14.7349862638719</v>
      </c>
      <c r="X1213" s="27" t="n">
        <f aca="false">IF(M1213&gt;0,D1213*(E1213+2*SLABOVH)*SLAB,0)</f>
        <v>0.879746379664347</v>
      </c>
      <c r="Y1213" s="27" t="n">
        <f aca="false">IF(M1213&gt;0,D1213*PI()*E1213^2/4,0)</f>
        <v>1.36064156019831</v>
      </c>
      <c r="Z1213" s="27" t="n">
        <f aca="false">IF(H1213-E1213&gt;=GWL,99,E1213*(MAX(0,GWL-H1213)*(GAM_S-GAM_W)+MAX(0,NG-MAX(H1213,GWL))*GAM_D)/(GAM_W*PI()*E1213^2/4))</f>
        <v>0.384381736381242</v>
      </c>
      <c r="AA1213" s="27" t="n">
        <f aca="false">IF(I1213-E1213&gt;=GWL,99,E1213*(MAX(0,GWL-I1213)*(GAM_S-GAM_W)+MAX(0,NG-MAX(I1213,GWL))*GAM_D)/(GAM_W*PI()*E1213^2/4))</f>
        <v>0.910440147250743</v>
      </c>
      <c r="AB1213" s="27" t="n">
        <f aca="false">IF(H1213-E1213&gt;=GWL,99,E1213*(MAX(0,GWL-H1213)*(GAM_S-GAM_W)+MAX(0,FL-MAX(H1213,GWL))*GAM_D)/(GAM_W*PI()*E1213^2/4))</f>
        <v>2.86661582786051</v>
      </c>
      <c r="AC1213" s="27" t="n">
        <f aca="false">IF(I1213-E1213&gt;=GWL,99,E1213*(MAX(0,GWL-I1213)*(GAM_S-GAM_W)+MAX(0,FL-MAX(I1213,GWL))*GAM_D)/(GAM_W*PI()*E1213^2/4))</f>
        <v>3.39267423873002</v>
      </c>
    </row>
    <row r="1214" customFormat="false" ht="15" hidden="false" customHeight="false" outlineLevel="0" collapsed="false">
      <c r="A1214" s="25" t="s">
        <v>1840</v>
      </c>
      <c r="B1214" s="25" t="s">
        <v>1841</v>
      </c>
      <c r="C1214" s="25" t="s">
        <v>1850</v>
      </c>
      <c r="D1214" s="26" t="n">
        <v>0.242819681533843</v>
      </c>
      <c r="E1214" s="26" t="n">
        <v>1.59999972000499</v>
      </c>
      <c r="F1214" s="26" t="n">
        <v>-3.4235298600025</v>
      </c>
      <c r="G1214" s="26" t="n">
        <v>-3.5527998600025</v>
      </c>
      <c r="H1214" s="26" t="n">
        <v>-1.3235301399975</v>
      </c>
      <c r="I1214" s="26" t="n">
        <v>-1.4528001399975</v>
      </c>
      <c r="J1214" s="26" t="n">
        <v>23.88</v>
      </c>
      <c r="K1214" s="27" t="n">
        <f aca="false">MIN(F1214,G1214)</f>
        <v>-3.5527998600025</v>
      </c>
      <c r="L1214" s="27" t="n">
        <f aca="false">AVERAGE(F1214,G1214)</f>
        <v>-3.4881648600025</v>
      </c>
      <c r="M1214" s="27" t="n">
        <f aca="false">MAX(0,NG-L1214)</f>
        <v>2.7881648600025</v>
      </c>
      <c r="N1214" s="27" t="n">
        <f aca="false">MAX(0,GWL-K1214)</f>
        <v>2.0527998600025</v>
      </c>
      <c r="O1214" s="27" t="n">
        <f aca="false">MAX(0,NG-MAX(K1214,GWL))</f>
        <v>0.8</v>
      </c>
      <c r="P1214" s="27" t="n">
        <f aca="false">E1214/2+WS+SLOPE_A*O1214+SLOPE_B*N1214</f>
        <v>7.10559958000749</v>
      </c>
      <c r="Q1214" s="28" t="str">
        <f aca="false">IF(AND(P1214&lt;J1214,N1214&lt;=MAXOC),"Open cut","Shoring")</f>
        <v>Open cut</v>
      </c>
      <c r="R1214" s="27" t="n">
        <f aca="false">IF(Q1214="Shoring",D1214,0)</f>
        <v>0</v>
      </c>
      <c r="S1214" s="27" t="n">
        <f aca="false">MAX(0,GWL-L1214)</f>
        <v>1.9881648600025</v>
      </c>
      <c r="T1214" s="27" t="n">
        <f aca="false">MAX(0,NG-MAX(L1214,GWL))</f>
        <v>0.8</v>
      </c>
      <c r="U1214" s="27" t="n">
        <f aca="false">E1214+2*WS</f>
        <v>3.59999972000499</v>
      </c>
      <c r="V1214" s="27" t="n">
        <f aca="false">IF(Q1214="Shoring",D1214*M1214*U1214,0)</f>
        <v>0</v>
      </c>
      <c r="W1214" s="27" t="n">
        <f aca="false">IF(Q1214="Open cut",D1214*(U1214*M1214+SLOPE_B*S1214^2+2*SLOPE_B*S1214*T1214+SLOPE_A*T1214^2),0)</f>
        <v>6.13486821953409</v>
      </c>
      <c r="X1214" s="27" t="n">
        <f aca="false">IF(M1214&gt;0,D1214*(E1214+2*SLABOVH)*SLAB,0)</f>
        <v>0.315665551999846</v>
      </c>
      <c r="Y1214" s="27" t="n">
        <f aca="false">IF(M1214&gt;0,D1214*PI()*E1214^2/4,0)</f>
        <v>0.488217766825173</v>
      </c>
      <c r="Z1214" s="27" t="n">
        <f aca="false">IF(H1214-E1214&gt;=GWL,99,E1214*(MAX(0,GWL-H1214)*(GAM_S-GAM_W)+MAX(0,NG-MAX(H1214,GWL))*GAM_D)/(GAM_W*PI()*E1214^2/4))</f>
        <v>0.910439645079916</v>
      </c>
      <c r="AA1214" s="27" t="n">
        <f aca="false">IF(I1214-E1214&gt;=GWL,99,E1214*(MAX(0,GWL-I1214)*(GAM_S-GAM_W)+MAX(0,NG-MAX(I1214,GWL))*GAM_D)/(GAM_W*PI()*E1214^2/4))</f>
        <v>1.09919160006954</v>
      </c>
      <c r="AB1214" s="27" t="n">
        <f aca="false">IF(H1214-E1214&gt;=GWL,99,E1214*(MAX(0,GWL-H1214)*(GAM_S-GAM_W)+MAX(0,FL-MAX(H1214,GWL))*GAM_D)/(GAM_W*PI()*E1214^2/4))</f>
        <v>3.39267313685956</v>
      </c>
      <c r="AC1214" s="27" t="n">
        <f aca="false">IF(I1214-E1214&gt;=GWL,99,E1214*(MAX(0,GWL-I1214)*(GAM_S-GAM_W)+MAX(0,FL-MAX(I1214,GWL))*GAM_D)/(GAM_W*PI()*E1214^2/4))</f>
        <v>3.58142509184918</v>
      </c>
    </row>
    <row r="1215" customFormat="false" ht="15" hidden="false" customHeight="false" outlineLevel="0" collapsed="false">
      <c r="A1215" s="25" t="s">
        <v>1840</v>
      </c>
      <c r="B1215" s="25" t="s">
        <v>1841</v>
      </c>
      <c r="C1215" s="25" t="s">
        <v>1851</v>
      </c>
      <c r="D1215" s="26" t="n">
        <v>0.546146504654697</v>
      </c>
      <c r="E1215" s="26" t="n">
        <v>1.60000243034359</v>
      </c>
      <c r="F1215" s="26" t="n">
        <v>-3.5528012151718</v>
      </c>
      <c r="G1215" s="26" t="n">
        <v>-3.84356826572647</v>
      </c>
      <c r="H1215" s="26" t="n">
        <v>-1.45279878482821</v>
      </c>
      <c r="I1215" s="26" t="n">
        <v>-1.74356583538288</v>
      </c>
      <c r="J1215" s="26" t="n">
        <v>23.97</v>
      </c>
      <c r="K1215" s="27" t="n">
        <f aca="false">MIN(F1215,G1215)</f>
        <v>-3.84356826572647</v>
      </c>
      <c r="L1215" s="27" t="n">
        <f aca="false">AVERAGE(F1215,G1215)</f>
        <v>-3.69818474044914</v>
      </c>
      <c r="M1215" s="27" t="n">
        <f aca="false">MAX(0,NG-L1215)</f>
        <v>2.99818474044914</v>
      </c>
      <c r="N1215" s="27" t="n">
        <f aca="false">MAX(0,GWL-K1215)</f>
        <v>2.34356826572647</v>
      </c>
      <c r="O1215" s="27" t="n">
        <f aca="false">MAX(0,NG-MAX(K1215,GWL))</f>
        <v>0.8</v>
      </c>
      <c r="P1215" s="27" t="n">
        <f aca="false">E1215/2+WS+SLOPE_A*O1215+SLOPE_B*N1215</f>
        <v>7.68713774662474</v>
      </c>
      <c r="Q1215" s="28" t="str">
        <f aca="false">IF(AND(P1215&lt;J1215,N1215&lt;=MAXOC),"Open cut","Shoring")</f>
        <v>Open cut</v>
      </c>
      <c r="R1215" s="27" t="n">
        <f aca="false">IF(Q1215="Shoring",D1215,0)</f>
        <v>0</v>
      </c>
      <c r="S1215" s="27" t="n">
        <f aca="false">MAX(0,GWL-L1215)</f>
        <v>2.19818474044914</v>
      </c>
      <c r="T1215" s="27" t="n">
        <f aca="false">MAX(0,NG-MAX(L1215,GWL))</f>
        <v>0.8</v>
      </c>
      <c r="U1215" s="27" t="n">
        <f aca="false">E1215+2*WS</f>
        <v>3.60000243034359</v>
      </c>
      <c r="V1215" s="27" t="n">
        <f aca="false">IF(Q1215="Shoring",D1215*M1215*U1215,0)</f>
        <v>0</v>
      </c>
      <c r="W1215" s="27" t="n">
        <f aca="false">IF(Q1215="Open cut",D1215*(U1215*M1215+SLOPE_B*S1215^2+2*SLOPE_B*S1215*T1215+SLOPE_A*T1215^2),0)</f>
        <v>15.538794227939</v>
      </c>
      <c r="X1215" s="27" t="n">
        <f aca="false">IF(M1215&gt;0,D1215*(E1215+2*SLABOVH)*SLAB,0)</f>
        <v>0.709991119712935</v>
      </c>
      <c r="Y1215" s="27" t="n">
        <f aca="false">IF(M1215&gt;0,D1215*PI()*E1215^2/4,0)</f>
        <v>1.09809603788718</v>
      </c>
      <c r="Z1215" s="27" t="n">
        <f aca="false">IF(H1215-E1215&gt;=GWL,99,E1215*(MAX(0,GWL-H1215)*(GAM_S-GAM_W)+MAX(0,NG-MAX(H1215,GWL))*GAM_D)/(GAM_W*PI()*E1215^2/4))</f>
        <v>1.09918775935402</v>
      </c>
      <c r="AA1215" s="27" t="n">
        <f aca="false">IF(I1215-E1215&gt;=GWL,99,E1215*(MAX(0,GWL-I1215)*(GAM_S-GAM_W)+MAX(0,NG-MAX(I1215,GWL))*GAM_D)/(GAM_W*PI()*E1215^2/4))</f>
        <v>1.32992363134368</v>
      </c>
      <c r="AB1215" s="27" t="n">
        <f aca="false">IF(H1215-E1215&gt;=GWL,99,E1215*(MAX(0,GWL-H1215)*(GAM_S-GAM_W)+MAX(0,FL-MAX(H1215,GWL))*GAM_D)/(GAM_W*PI()*E1215^2/4))</f>
        <v>3.58141704633178</v>
      </c>
      <c r="AC1215" s="27" t="n">
        <f aca="false">IF(I1215-E1215&gt;=GWL,99,E1215*(MAX(0,GWL-I1215)*(GAM_S-GAM_W)+MAX(0,FL-MAX(I1215,GWL))*GAM_D)/(GAM_W*PI()*E1215^2/4))</f>
        <v>3.81215291832143</v>
      </c>
    </row>
    <row r="1216" customFormat="false" ht="15" hidden="false" customHeight="false" outlineLevel="0" collapsed="false">
      <c r="A1216" s="25" t="s">
        <v>1840</v>
      </c>
      <c r="B1216" s="25" t="s">
        <v>1841</v>
      </c>
      <c r="C1216" s="25" t="s">
        <v>1852</v>
      </c>
      <c r="D1216" s="26" t="n">
        <v>0.293827337578133</v>
      </c>
      <c r="E1216" s="26" t="n">
        <v>1.60000243034359</v>
      </c>
      <c r="F1216" s="26" t="n">
        <v>-3.84356826572647</v>
      </c>
      <c r="G1216" s="26" t="n">
        <v>-4.0000012151718</v>
      </c>
      <c r="H1216" s="26" t="n">
        <v>-1.74356583538288</v>
      </c>
      <c r="I1216" s="26" t="n">
        <v>-1.89999878482821</v>
      </c>
      <c r="J1216" s="26" t="n">
        <v>24.17</v>
      </c>
      <c r="K1216" s="27" t="n">
        <f aca="false">MIN(F1216,G1216)</f>
        <v>-4.0000012151718</v>
      </c>
      <c r="L1216" s="27" t="n">
        <f aca="false">AVERAGE(F1216,G1216)</f>
        <v>-3.92178474044914</v>
      </c>
      <c r="M1216" s="27" t="n">
        <f aca="false">MAX(0,NG-L1216)</f>
        <v>3.22178474044914</v>
      </c>
      <c r="N1216" s="27" t="n">
        <f aca="false">MAX(0,GWL-K1216)</f>
        <v>2.5000012151718</v>
      </c>
      <c r="O1216" s="27" t="n">
        <f aca="false">MAX(0,NG-MAX(K1216,GWL))</f>
        <v>0.8</v>
      </c>
      <c r="P1216" s="27" t="n">
        <f aca="false">E1216/2+WS+SLOPE_A*O1216+SLOPE_B*N1216</f>
        <v>8.00000364551539</v>
      </c>
      <c r="Q1216" s="28" t="str">
        <f aca="false">IF(AND(P1216&lt;J1216,N1216&lt;=MAXOC),"Open cut","Shoring")</f>
        <v>Shoring</v>
      </c>
      <c r="R1216" s="27" t="n">
        <f aca="false">IF(Q1216="Shoring",D1216,0)</f>
        <v>0.293827337578133</v>
      </c>
      <c r="S1216" s="27" t="n">
        <f aca="false">MAX(0,GWL-L1216)</f>
        <v>2.42178474044914</v>
      </c>
      <c r="T1216" s="27" t="n">
        <f aca="false">MAX(0,NG-MAX(L1216,GWL))</f>
        <v>0.8</v>
      </c>
      <c r="U1216" s="27" t="n">
        <f aca="false">E1216+2*WS</f>
        <v>3.60000243034359</v>
      </c>
      <c r="V1216" s="27" t="n">
        <f aca="false">IF(Q1216="Shoring",D1216*M1216*U1216,0)</f>
        <v>3.40793665781064</v>
      </c>
      <c r="W1216" s="27" t="n">
        <f aca="false">IF(Q1216="Open cut",D1216*(U1216*M1216+SLOPE_B*S1216^2+2*SLOPE_B*S1216*T1216+SLOPE_A*T1216^2),0)</f>
        <v>0</v>
      </c>
      <c r="X1216" s="27" t="n">
        <f aca="false">IF(M1216&gt;0,D1216*(E1216+2*SLABOVH)*SLAB,0)</f>
        <v>0.381975895902266</v>
      </c>
      <c r="Y1216" s="27" t="n">
        <f aca="false">IF(M1216&gt;0,D1216*PI()*E1216^2/4,0)</f>
        <v>0.590776710035858</v>
      </c>
      <c r="Z1216" s="27" t="n">
        <f aca="false">IF(H1216-E1216&gt;=GWL,99,E1216*(MAX(0,GWL-H1216)*(GAM_S-GAM_W)+MAX(0,NG-MAX(H1216,GWL))*GAM_D)/(GAM_W*PI()*E1216^2/4))</f>
        <v>1.32992363134368</v>
      </c>
      <c r="AA1216" s="27" t="n">
        <f aca="false">IF(I1216-E1216&gt;=GWL,99,E1216*(MAX(0,GWL-I1216)*(GAM_S-GAM_W)+MAX(0,NG-MAX(I1216,GWL))*GAM_D)/(GAM_W*PI()*E1216^2/4))</f>
        <v>1.43385163963513</v>
      </c>
      <c r="AB1216" s="27" t="n">
        <f aca="false">IF(H1216-E1216&gt;=GWL,99,E1216*(MAX(0,GWL-H1216)*(GAM_S-GAM_W)+MAX(0,FL-MAX(H1216,GWL))*GAM_D)/(GAM_W*PI()*E1216^2/4))</f>
        <v>3.81215291832143</v>
      </c>
      <c r="AC1216" s="27" t="n">
        <f aca="false">IF(I1216-E1216&gt;=GWL,99,E1216*(MAX(0,GWL-I1216)*(GAM_S-GAM_W)+MAX(0,FL-MAX(I1216,GWL))*GAM_D)/(GAM_W*PI()*E1216^2/4))</f>
        <v>3.91608092661289</v>
      </c>
    </row>
    <row r="1217" customFormat="false" ht="15" hidden="false" customHeight="false" outlineLevel="0" collapsed="false">
      <c r="A1217" s="25" t="s">
        <v>1840</v>
      </c>
      <c r="B1217" s="25" t="s">
        <v>1841</v>
      </c>
      <c r="C1217" s="25" t="s">
        <v>1853</v>
      </c>
      <c r="D1217" s="26" t="n">
        <v>9.70617266178337</v>
      </c>
      <c r="E1217" s="26" t="n">
        <v>1.60000243034231</v>
      </c>
      <c r="F1217" s="26" t="n">
        <v>-4.00000121517116</v>
      </c>
      <c r="G1217" s="26" t="n">
        <v>-4.00000121517116</v>
      </c>
      <c r="H1217" s="26" t="n">
        <v>-1.89999878482885</v>
      </c>
      <c r="I1217" s="26" t="n">
        <v>-1.89999878482885</v>
      </c>
      <c r="J1217" s="26" t="n">
        <v>24.28</v>
      </c>
      <c r="K1217" s="27" t="n">
        <f aca="false">MIN(F1217,G1217)</f>
        <v>-4.00000121517116</v>
      </c>
      <c r="L1217" s="27" t="n">
        <f aca="false">AVERAGE(F1217,G1217)</f>
        <v>-4.00000121517116</v>
      </c>
      <c r="M1217" s="27" t="n">
        <f aca="false">MAX(0,NG-L1217)</f>
        <v>3.30000121517116</v>
      </c>
      <c r="N1217" s="27" t="n">
        <f aca="false">MAX(0,GWL-K1217)</f>
        <v>2.50000121517116</v>
      </c>
      <c r="O1217" s="27" t="n">
        <f aca="false">MAX(0,NG-MAX(K1217,GWL))</f>
        <v>0.8</v>
      </c>
      <c r="P1217" s="27" t="n">
        <f aca="false">E1217/2+WS+SLOPE_A*O1217+SLOPE_B*N1217</f>
        <v>8.00000364551347</v>
      </c>
      <c r="Q1217" s="28" t="str">
        <f aca="false">IF(AND(P1217&lt;J1217,N1217&lt;=MAXOC),"Open cut","Shoring")</f>
        <v>Shoring</v>
      </c>
      <c r="R1217" s="27" t="n">
        <f aca="false">IF(Q1217="Shoring",D1217,0)</f>
        <v>9.70617266178337</v>
      </c>
      <c r="S1217" s="27" t="n">
        <f aca="false">MAX(0,GWL-L1217)</f>
        <v>2.50000121517116</v>
      </c>
      <c r="T1217" s="27" t="n">
        <f aca="false">MAX(0,NG-MAX(L1217,GWL))</f>
        <v>0.8</v>
      </c>
      <c r="U1217" s="27" t="n">
        <f aca="false">E1217+2*WS</f>
        <v>3.60000243034231</v>
      </c>
      <c r="V1217" s="27" t="n">
        <f aca="false">IF(Q1217="Shoring",D1217*M1217*U1217,0)</f>
        <v>115.309451527558</v>
      </c>
      <c r="W1217" s="27" t="n">
        <f aca="false">IF(Q1217="Open cut",D1217*(U1217*M1217+SLOPE_B*S1217^2+2*SLOPE_B*S1217*T1217+SLOPE_A*T1217^2),0)</f>
        <v>0</v>
      </c>
      <c r="X1217" s="27" t="n">
        <f aca="false">IF(M1217&gt;0,D1217*(E1217+2*SLABOVH)*SLAB,0)</f>
        <v>12.6180362549794</v>
      </c>
      <c r="Y1217" s="27" t="n">
        <f aca="false">IF(M1217&gt;0,D1217*PI()*E1217^2/4,0)</f>
        <v>19.5154773528668</v>
      </c>
      <c r="Z1217" s="27" t="n">
        <f aca="false">IF(H1217-E1217&gt;=GWL,99,E1217*(MAX(0,GWL-H1217)*(GAM_S-GAM_W)+MAX(0,NG-MAX(H1217,GWL))*GAM_D)/(GAM_W*PI()*E1217^2/4))</f>
        <v>1.43385163963671</v>
      </c>
      <c r="AA1217" s="27" t="n">
        <f aca="false">IF(I1217-E1217&gt;=GWL,99,E1217*(MAX(0,GWL-I1217)*(GAM_S-GAM_W)+MAX(0,NG-MAX(I1217,GWL))*GAM_D)/(GAM_W*PI()*E1217^2/4))</f>
        <v>1.43385163963671</v>
      </c>
      <c r="AB1217" s="27" t="n">
        <f aca="false">IF(H1217-E1217&gt;=GWL,99,E1217*(MAX(0,GWL-H1217)*(GAM_S-GAM_W)+MAX(0,FL-MAX(H1217,GWL))*GAM_D)/(GAM_W*PI()*E1217^2/4))</f>
        <v>3.91608092661645</v>
      </c>
      <c r="AC1217" s="27" t="n">
        <f aca="false">IF(I1217-E1217&gt;=GWL,99,E1217*(MAX(0,GWL-I1217)*(GAM_S-GAM_W)+MAX(0,FL-MAX(I1217,GWL))*GAM_D)/(GAM_W*PI()*E1217^2/4))</f>
        <v>3.91608092661645</v>
      </c>
    </row>
    <row r="1218" customFormat="false" ht="15" hidden="false" customHeight="false" outlineLevel="0" collapsed="false">
      <c r="A1218" s="25" t="s">
        <v>1840</v>
      </c>
      <c r="B1218" s="25" t="s">
        <v>1841</v>
      </c>
      <c r="C1218" s="25" t="s">
        <v>1854</v>
      </c>
      <c r="D1218" s="26" t="n">
        <v>10.0000000000801</v>
      </c>
      <c r="E1218" s="26" t="n">
        <v>1.60000243034231</v>
      </c>
      <c r="F1218" s="26" t="n">
        <v>-4.00000121517116</v>
      </c>
      <c r="G1218" s="26" t="n">
        <v>-4.00000121517116</v>
      </c>
      <c r="H1218" s="26" t="n">
        <v>-1.89999878482885</v>
      </c>
      <c r="I1218" s="26" t="n">
        <v>-1.89999878482885</v>
      </c>
      <c r="J1218" s="26" t="n">
        <v>28.63</v>
      </c>
      <c r="K1218" s="27" t="n">
        <f aca="false">MIN(F1218,G1218)</f>
        <v>-4.00000121517116</v>
      </c>
      <c r="L1218" s="27" t="n">
        <f aca="false">AVERAGE(F1218,G1218)</f>
        <v>-4.00000121517116</v>
      </c>
      <c r="M1218" s="27" t="n">
        <f aca="false">MAX(0,NG-L1218)</f>
        <v>3.30000121517116</v>
      </c>
      <c r="N1218" s="27" t="n">
        <f aca="false">MAX(0,GWL-K1218)</f>
        <v>2.50000121517116</v>
      </c>
      <c r="O1218" s="27" t="n">
        <f aca="false">MAX(0,NG-MAX(K1218,GWL))</f>
        <v>0.8</v>
      </c>
      <c r="P1218" s="27" t="n">
        <f aca="false">E1218/2+WS+SLOPE_A*O1218+SLOPE_B*N1218</f>
        <v>8.00000364551347</v>
      </c>
      <c r="Q1218" s="28" t="str">
        <f aca="false">IF(AND(P1218&lt;J1218,N1218&lt;=MAXOC),"Open cut","Shoring")</f>
        <v>Shoring</v>
      </c>
      <c r="R1218" s="27" t="n">
        <f aca="false">IF(Q1218="Shoring",D1218,0)</f>
        <v>10.0000000000801</v>
      </c>
      <c r="S1218" s="27" t="n">
        <f aca="false">MAX(0,GWL-L1218)</f>
        <v>2.50000121517116</v>
      </c>
      <c r="T1218" s="27" t="n">
        <f aca="false">MAX(0,NG-MAX(L1218,GWL))</f>
        <v>0.8</v>
      </c>
      <c r="U1218" s="27" t="n">
        <f aca="false">E1218+2*WS</f>
        <v>3.60000243034231</v>
      </c>
      <c r="V1218" s="27" t="n">
        <f aca="false">IF(Q1218="Shoring",D1218*M1218*U1218,0)</f>
        <v>118.800123948438</v>
      </c>
      <c r="W1218" s="27" t="n">
        <f aca="false">IF(Q1218="Open cut",D1218*(U1218*M1218+SLOPE_B*S1218^2+2*SLOPE_B*S1218*T1218+SLOPE_A*T1218^2),0)</f>
        <v>0</v>
      </c>
      <c r="X1218" s="27" t="n">
        <f aca="false">IF(M1218&gt;0,D1218*(E1218+2*SLABOVH)*SLAB,0)</f>
        <v>13.0000121518156</v>
      </c>
      <c r="Y1218" s="27" t="n">
        <f aca="false">IF(M1218&gt;0,D1218*PI()*E1218^2/4,0)</f>
        <v>20.1062540643464</v>
      </c>
      <c r="Z1218" s="27" t="n">
        <f aca="false">IF(H1218-E1218&gt;=GWL,99,E1218*(MAX(0,GWL-H1218)*(GAM_S-GAM_W)+MAX(0,NG-MAX(H1218,GWL))*GAM_D)/(GAM_W*PI()*E1218^2/4))</f>
        <v>1.43385163963671</v>
      </c>
      <c r="AA1218" s="27" t="n">
        <f aca="false">IF(I1218-E1218&gt;=GWL,99,E1218*(MAX(0,GWL-I1218)*(GAM_S-GAM_W)+MAX(0,NG-MAX(I1218,GWL))*GAM_D)/(GAM_W*PI()*E1218^2/4))</f>
        <v>1.43385163963671</v>
      </c>
      <c r="AB1218" s="27" t="n">
        <f aca="false">IF(H1218-E1218&gt;=GWL,99,E1218*(MAX(0,GWL-H1218)*(GAM_S-GAM_W)+MAX(0,FL-MAX(H1218,GWL))*GAM_D)/(GAM_W*PI()*E1218^2/4))</f>
        <v>3.91608092661645</v>
      </c>
      <c r="AC1218" s="27" t="n">
        <f aca="false">IF(I1218-E1218&gt;=GWL,99,E1218*(MAX(0,GWL-I1218)*(GAM_S-GAM_W)+MAX(0,FL-MAX(I1218,GWL))*GAM_D)/(GAM_W*PI()*E1218^2/4))</f>
        <v>3.91608092661645</v>
      </c>
    </row>
    <row r="1219" customFormat="false" ht="15" hidden="false" customHeight="false" outlineLevel="0" collapsed="false">
      <c r="A1219" s="25" t="s">
        <v>1840</v>
      </c>
      <c r="B1219" s="25" t="s">
        <v>1841</v>
      </c>
      <c r="C1219" s="25" t="s">
        <v>1855</v>
      </c>
      <c r="D1219" s="26" t="n">
        <v>7.72436733760133</v>
      </c>
      <c r="E1219" s="26" t="n">
        <v>1.60000243034231</v>
      </c>
      <c r="F1219" s="26" t="n">
        <v>-4.00000121517116</v>
      </c>
      <c r="G1219" s="26" t="n">
        <v>-4.00000121517116</v>
      </c>
      <c r="H1219" s="26" t="n">
        <v>-1.89999878482885</v>
      </c>
      <c r="I1219" s="26" t="n">
        <v>-1.89999878482885</v>
      </c>
      <c r="J1219" s="26" t="n">
        <v>34.3</v>
      </c>
      <c r="K1219" s="27" t="n">
        <f aca="false">MIN(F1219,G1219)</f>
        <v>-4.00000121517116</v>
      </c>
      <c r="L1219" s="27" t="n">
        <f aca="false">AVERAGE(F1219,G1219)</f>
        <v>-4.00000121517116</v>
      </c>
      <c r="M1219" s="27" t="n">
        <f aca="false">MAX(0,NG-L1219)</f>
        <v>3.30000121517116</v>
      </c>
      <c r="N1219" s="27" t="n">
        <f aca="false">MAX(0,GWL-K1219)</f>
        <v>2.50000121517116</v>
      </c>
      <c r="O1219" s="27" t="n">
        <f aca="false">MAX(0,NG-MAX(K1219,GWL))</f>
        <v>0.8</v>
      </c>
      <c r="P1219" s="27" t="n">
        <f aca="false">E1219/2+WS+SLOPE_A*O1219+SLOPE_B*N1219</f>
        <v>8.00000364551347</v>
      </c>
      <c r="Q1219" s="28" t="str">
        <f aca="false">IF(AND(P1219&lt;J1219,N1219&lt;=MAXOC),"Open cut","Shoring")</f>
        <v>Shoring</v>
      </c>
      <c r="R1219" s="27" t="n">
        <f aca="false">IF(Q1219="Shoring",D1219,0)</f>
        <v>7.72436733760133</v>
      </c>
      <c r="S1219" s="27" t="n">
        <f aca="false">MAX(0,GWL-L1219)</f>
        <v>2.50000121517116</v>
      </c>
      <c r="T1219" s="27" t="n">
        <f aca="false">MAX(0,NG-MAX(L1219,GWL))</f>
        <v>0.8</v>
      </c>
      <c r="U1219" s="27" t="n">
        <f aca="false">E1219+2*WS</f>
        <v>3.60000243034231</v>
      </c>
      <c r="V1219" s="27" t="n">
        <f aca="false">IF(Q1219="Shoring",D1219*M1219*U1219,0)</f>
        <v>91.7655797122961</v>
      </c>
      <c r="W1219" s="27" t="n">
        <f aca="false">IF(Q1219="Open cut",D1219*(U1219*M1219+SLOPE_B*S1219^2+2*SLOPE_B*S1219*T1219+SLOPE_A*T1219^2),0)</f>
        <v>0</v>
      </c>
      <c r="X1219" s="27" t="n">
        <f aca="false">IF(M1219&gt;0,D1219*(E1219+2*SLABOVH)*SLAB,0)</f>
        <v>10.0416869253101</v>
      </c>
      <c r="Y1219" s="27" t="n">
        <f aca="false">IF(M1219&gt;0,D1219*PI()*E1219^2/4,0)</f>
        <v>15.5308092174908</v>
      </c>
      <c r="Z1219" s="27" t="n">
        <f aca="false">IF(H1219-E1219&gt;=GWL,99,E1219*(MAX(0,GWL-H1219)*(GAM_S-GAM_W)+MAX(0,NG-MAX(H1219,GWL))*GAM_D)/(GAM_W*PI()*E1219^2/4))</f>
        <v>1.43385163963671</v>
      </c>
      <c r="AA1219" s="27" t="n">
        <f aca="false">IF(I1219-E1219&gt;=GWL,99,E1219*(MAX(0,GWL-I1219)*(GAM_S-GAM_W)+MAX(0,NG-MAX(I1219,GWL))*GAM_D)/(GAM_W*PI()*E1219^2/4))</f>
        <v>1.43385163963671</v>
      </c>
      <c r="AB1219" s="27" t="n">
        <f aca="false">IF(H1219-E1219&gt;=GWL,99,E1219*(MAX(0,GWL-H1219)*(GAM_S-GAM_W)+MAX(0,FL-MAX(H1219,GWL))*GAM_D)/(GAM_W*PI()*E1219^2/4))</f>
        <v>3.91608092661645</v>
      </c>
      <c r="AC1219" s="27" t="n">
        <f aca="false">IF(I1219-E1219&gt;=GWL,99,E1219*(MAX(0,GWL-I1219)*(GAM_S-GAM_W)+MAX(0,FL-MAX(I1219,GWL))*GAM_D)/(GAM_W*PI()*E1219^2/4))</f>
        <v>3.91608092661645</v>
      </c>
    </row>
    <row r="1220" customFormat="false" ht="15" hidden="false" customHeight="false" outlineLevel="0" collapsed="false">
      <c r="A1220" s="25" t="s">
        <v>1856</v>
      </c>
      <c r="B1220" s="25" t="s">
        <v>1857</v>
      </c>
      <c r="C1220" s="25" t="s">
        <v>1858</v>
      </c>
      <c r="D1220" s="26" t="n">
        <v>0.050000000075263</v>
      </c>
      <c r="E1220" s="26" t="n">
        <v>1.60000059857981</v>
      </c>
      <c r="F1220" s="26" t="n">
        <v>0.789999700710097</v>
      </c>
      <c r="G1220" s="26" t="n">
        <v>0.789999700710097</v>
      </c>
      <c r="H1220" s="26" t="n">
        <v>2.8900002992899</v>
      </c>
      <c r="I1220" s="26" t="n">
        <v>2.8900002992899</v>
      </c>
      <c r="J1220" s="26" t="n">
        <v>21.16</v>
      </c>
      <c r="K1220" s="27" t="n">
        <f aca="false">MIN(F1220,G1220)</f>
        <v>0.789999700710097</v>
      </c>
      <c r="L1220" s="27" t="n">
        <f aca="false">AVERAGE(F1220,G1220)</f>
        <v>0.789999700710097</v>
      </c>
      <c r="M1220" s="27" t="n">
        <f aca="false">MAX(0,NG-L1220)</f>
        <v>0</v>
      </c>
      <c r="N1220" s="27" t="n">
        <f aca="false">MAX(0,GWL-K1220)</f>
        <v>0</v>
      </c>
      <c r="O1220" s="27" t="n">
        <f aca="false">MAX(0,NG-MAX(K1220,GWL))</f>
        <v>0</v>
      </c>
      <c r="P1220" s="27" t="n">
        <f aca="false">E1220/2+WS+SLOPE_A*O1220+SLOPE_B*N1220</f>
        <v>1.8000002992899</v>
      </c>
      <c r="Q1220" s="28" t="str">
        <f aca="false">IF(AND(P1220&lt;J1220,N1220&lt;=MAXOC),"Open cut","Shoring")</f>
        <v>Open cut</v>
      </c>
      <c r="R1220" s="27" t="n">
        <f aca="false">IF(Q1220="Shoring",D1220,0)</f>
        <v>0</v>
      </c>
      <c r="S1220" s="27" t="n">
        <f aca="false">MAX(0,GWL-L1220)</f>
        <v>0</v>
      </c>
      <c r="T1220" s="27" t="n">
        <f aca="false">MAX(0,NG-MAX(L1220,GWL))</f>
        <v>0</v>
      </c>
      <c r="U1220" s="27" t="n">
        <f aca="false">E1220+2*WS</f>
        <v>3.60000059857981</v>
      </c>
      <c r="V1220" s="27" t="n">
        <f aca="false">IF(Q1220="Shoring",D1220*M1220*U1220,0)</f>
        <v>0</v>
      </c>
      <c r="W1220" s="27" t="n">
        <f aca="false">IF(Q1220="Open cut",D1220*(U1220*M1220+SLOPE_B*S1220^2+2*SLOPE_B*S1220*T1220+SLOPE_A*T1220^2),0)</f>
        <v>0</v>
      </c>
      <c r="X1220" s="27" t="n">
        <f aca="false">IF(M1220&gt;0,D1220*(E1220+2*SLABOVH)*SLAB,0)</f>
        <v>0</v>
      </c>
      <c r="Y1220" s="27" t="n">
        <f aca="false">IF(M1220&gt;0,D1220*PI()*E1220^2/4,0)</f>
        <v>0</v>
      </c>
      <c r="Z1220" s="27" t="n">
        <f aca="false">IF(H1220-E1220&gt;=GWL,99,E1220*(MAX(0,GWL-H1220)*(GAM_S-GAM_W)+MAX(0,NG-MAX(H1220,GWL))*GAM_D)/(GAM_W*PI()*E1220^2/4))</f>
        <v>99</v>
      </c>
      <c r="AA1220" s="27" t="n">
        <f aca="false">IF(I1220-E1220&gt;=GWL,99,E1220*(MAX(0,GWL-I1220)*(GAM_S-GAM_W)+MAX(0,NG-MAX(I1220,GWL))*GAM_D)/(GAM_W*PI()*E1220^2/4))</f>
        <v>99</v>
      </c>
      <c r="AB1220" s="27" t="n">
        <f aca="false">IF(H1220-E1220&gt;=GWL,99,E1220*(MAX(0,GWL-H1220)*(GAM_S-GAM_W)+MAX(0,FL-MAX(H1220,GWL))*GAM_D)/(GAM_W*PI()*E1220^2/4))</f>
        <v>99</v>
      </c>
      <c r="AC1220" s="27" t="n">
        <f aca="false">IF(I1220-E1220&gt;=GWL,99,E1220*(MAX(0,GWL-I1220)*(GAM_S-GAM_W)+MAX(0,FL-MAX(I1220,GWL))*GAM_D)/(GAM_W*PI()*E1220^2/4))</f>
        <v>99</v>
      </c>
    </row>
    <row r="1221" customFormat="false" ht="15" hidden="false" customHeight="false" outlineLevel="0" collapsed="false">
      <c r="A1221" s="25" t="s">
        <v>1856</v>
      </c>
      <c r="B1221" s="25" t="s">
        <v>1857</v>
      </c>
      <c r="C1221" s="25" t="s">
        <v>1859</v>
      </c>
      <c r="D1221" s="26" t="n">
        <v>0.203999003459611</v>
      </c>
      <c r="E1221" s="26" t="n">
        <v>1.60000059857981</v>
      </c>
      <c r="F1221" s="26" t="n">
        <v>0.789999700710097</v>
      </c>
      <c r="G1221" s="26" t="n">
        <v>0.789999700710097</v>
      </c>
      <c r="H1221" s="26" t="n">
        <v>2.8900002992899</v>
      </c>
      <c r="I1221" s="26" t="n">
        <v>2.8900002992899</v>
      </c>
      <c r="J1221" s="26" t="n">
        <v>21.17</v>
      </c>
      <c r="K1221" s="27" t="n">
        <f aca="false">MIN(F1221,G1221)</f>
        <v>0.789999700710097</v>
      </c>
      <c r="L1221" s="27" t="n">
        <f aca="false">AVERAGE(F1221,G1221)</f>
        <v>0.789999700710097</v>
      </c>
      <c r="M1221" s="27" t="n">
        <f aca="false">MAX(0,NG-L1221)</f>
        <v>0</v>
      </c>
      <c r="N1221" s="27" t="n">
        <f aca="false">MAX(0,GWL-K1221)</f>
        <v>0</v>
      </c>
      <c r="O1221" s="27" t="n">
        <f aca="false">MAX(0,NG-MAX(K1221,GWL))</f>
        <v>0</v>
      </c>
      <c r="P1221" s="27" t="n">
        <f aca="false">E1221/2+WS+SLOPE_A*O1221+SLOPE_B*N1221</f>
        <v>1.8000002992899</v>
      </c>
      <c r="Q1221" s="28" t="str">
        <f aca="false">IF(AND(P1221&lt;J1221,N1221&lt;=MAXOC),"Open cut","Shoring")</f>
        <v>Open cut</v>
      </c>
      <c r="R1221" s="27" t="n">
        <f aca="false">IF(Q1221="Shoring",D1221,0)</f>
        <v>0</v>
      </c>
      <c r="S1221" s="27" t="n">
        <f aca="false">MAX(0,GWL-L1221)</f>
        <v>0</v>
      </c>
      <c r="T1221" s="27" t="n">
        <f aca="false">MAX(0,NG-MAX(L1221,GWL))</f>
        <v>0</v>
      </c>
      <c r="U1221" s="27" t="n">
        <f aca="false">E1221+2*WS</f>
        <v>3.60000059857981</v>
      </c>
      <c r="V1221" s="27" t="n">
        <f aca="false">IF(Q1221="Shoring",D1221*M1221*U1221,0)</f>
        <v>0</v>
      </c>
      <c r="W1221" s="27" t="n">
        <f aca="false">IF(Q1221="Open cut",D1221*(U1221*M1221+SLOPE_B*S1221^2+2*SLOPE_B*S1221*T1221+SLOPE_A*T1221^2),0)</f>
        <v>0</v>
      </c>
      <c r="X1221" s="27" t="n">
        <f aca="false">IF(M1221&gt;0,D1221*(E1221+2*SLABOVH)*SLAB,0)</f>
        <v>0</v>
      </c>
      <c r="Y1221" s="27" t="n">
        <f aca="false">IF(M1221&gt;0,D1221*PI()*E1221^2/4,0)</f>
        <v>0</v>
      </c>
      <c r="Z1221" s="27" t="n">
        <f aca="false">IF(H1221-E1221&gt;=GWL,99,E1221*(MAX(0,GWL-H1221)*(GAM_S-GAM_W)+MAX(0,NG-MAX(H1221,GWL))*GAM_D)/(GAM_W*PI()*E1221^2/4))</f>
        <v>99</v>
      </c>
      <c r="AA1221" s="27" t="n">
        <f aca="false">IF(I1221-E1221&gt;=GWL,99,E1221*(MAX(0,GWL-I1221)*(GAM_S-GAM_W)+MAX(0,NG-MAX(I1221,GWL))*GAM_D)/(GAM_W*PI()*E1221^2/4))</f>
        <v>99</v>
      </c>
      <c r="AB1221" s="27" t="n">
        <f aca="false">IF(H1221-E1221&gt;=GWL,99,E1221*(MAX(0,GWL-H1221)*(GAM_S-GAM_W)+MAX(0,FL-MAX(H1221,GWL))*GAM_D)/(GAM_W*PI()*E1221^2/4))</f>
        <v>99</v>
      </c>
      <c r="AC1221" s="27" t="n">
        <f aca="false">IF(I1221-E1221&gt;=GWL,99,E1221*(MAX(0,GWL-I1221)*(GAM_S-GAM_W)+MAX(0,FL-MAX(I1221,GWL))*GAM_D)/(GAM_W*PI()*E1221^2/4))</f>
        <v>99</v>
      </c>
    </row>
    <row r="1222" customFormat="false" ht="15" hidden="false" customHeight="false" outlineLevel="0" collapsed="false">
      <c r="A1222" s="25" t="s">
        <v>1856</v>
      </c>
      <c r="B1222" s="25" t="s">
        <v>1857</v>
      </c>
      <c r="C1222" s="25" t="s">
        <v>1860</v>
      </c>
      <c r="D1222" s="26" t="n">
        <v>1.47811000003768</v>
      </c>
      <c r="E1222" s="26" t="n">
        <v>1.60000059857981</v>
      </c>
      <c r="F1222" s="26" t="n">
        <v>0.789999700710097</v>
      </c>
      <c r="G1222" s="26" t="n">
        <v>0.789999700710097</v>
      </c>
      <c r="H1222" s="26" t="n">
        <v>2.8900002992899</v>
      </c>
      <c r="I1222" s="26" t="n">
        <v>2.8900002992899</v>
      </c>
      <c r="J1222" s="26" t="n">
        <v>21.21</v>
      </c>
      <c r="K1222" s="27" t="n">
        <f aca="false">MIN(F1222,G1222)</f>
        <v>0.789999700710097</v>
      </c>
      <c r="L1222" s="27" t="n">
        <f aca="false">AVERAGE(F1222,G1222)</f>
        <v>0.789999700710097</v>
      </c>
      <c r="M1222" s="27" t="n">
        <f aca="false">MAX(0,NG-L1222)</f>
        <v>0</v>
      </c>
      <c r="N1222" s="27" t="n">
        <f aca="false">MAX(0,GWL-K1222)</f>
        <v>0</v>
      </c>
      <c r="O1222" s="27" t="n">
        <f aca="false">MAX(0,NG-MAX(K1222,GWL))</f>
        <v>0</v>
      </c>
      <c r="P1222" s="27" t="n">
        <f aca="false">E1222/2+WS+SLOPE_A*O1222+SLOPE_B*N1222</f>
        <v>1.8000002992899</v>
      </c>
      <c r="Q1222" s="28" t="str">
        <f aca="false">IF(AND(P1222&lt;J1222,N1222&lt;=MAXOC),"Open cut","Shoring")</f>
        <v>Open cut</v>
      </c>
      <c r="R1222" s="27" t="n">
        <f aca="false">IF(Q1222="Shoring",D1222,0)</f>
        <v>0</v>
      </c>
      <c r="S1222" s="27" t="n">
        <f aca="false">MAX(0,GWL-L1222)</f>
        <v>0</v>
      </c>
      <c r="T1222" s="27" t="n">
        <f aca="false">MAX(0,NG-MAX(L1222,GWL))</f>
        <v>0</v>
      </c>
      <c r="U1222" s="27" t="n">
        <f aca="false">E1222+2*WS</f>
        <v>3.60000059857981</v>
      </c>
      <c r="V1222" s="27" t="n">
        <f aca="false">IF(Q1222="Shoring",D1222*M1222*U1222,0)</f>
        <v>0</v>
      </c>
      <c r="W1222" s="27" t="n">
        <f aca="false">IF(Q1222="Open cut",D1222*(U1222*M1222+SLOPE_B*S1222^2+2*SLOPE_B*S1222*T1222+SLOPE_A*T1222^2),0)</f>
        <v>0</v>
      </c>
      <c r="X1222" s="27" t="n">
        <f aca="false">IF(M1222&gt;0,D1222*(E1222+2*SLABOVH)*SLAB,0)</f>
        <v>0</v>
      </c>
      <c r="Y1222" s="27" t="n">
        <f aca="false">IF(M1222&gt;0,D1222*PI()*E1222^2/4,0)</f>
        <v>0</v>
      </c>
      <c r="Z1222" s="27" t="n">
        <f aca="false">IF(H1222-E1222&gt;=GWL,99,E1222*(MAX(0,GWL-H1222)*(GAM_S-GAM_W)+MAX(0,NG-MAX(H1222,GWL))*GAM_D)/(GAM_W*PI()*E1222^2/4))</f>
        <v>99</v>
      </c>
      <c r="AA1222" s="27" t="n">
        <f aca="false">IF(I1222-E1222&gt;=GWL,99,E1222*(MAX(0,GWL-I1222)*(GAM_S-GAM_W)+MAX(0,NG-MAX(I1222,GWL))*GAM_D)/(GAM_W*PI()*E1222^2/4))</f>
        <v>99</v>
      </c>
      <c r="AB1222" s="27" t="n">
        <f aca="false">IF(H1222-E1222&gt;=GWL,99,E1222*(MAX(0,GWL-H1222)*(GAM_S-GAM_W)+MAX(0,FL-MAX(H1222,GWL))*GAM_D)/(GAM_W*PI()*E1222^2/4))</f>
        <v>99</v>
      </c>
      <c r="AC1222" s="27" t="n">
        <f aca="false">IF(I1222-E1222&gt;=GWL,99,E1222*(MAX(0,GWL-I1222)*(GAM_S-GAM_W)+MAX(0,FL-MAX(I1222,GWL))*GAM_D)/(GAM_W*PI()*E1222^2/4))</f>
        <v>99</v>
      </c>
    </row>
    <row r="1223" customFormat="false" ht="15" hidden="false" customHeight="false" outlineLevel="0" collapsed="false">
      <c r="A1223" s="25" t="s">
        <v>1856</v>
      </c>
      <c r="B1223" s="25" t="s">
        <v>1857</v>
      </c>
      <c r="C1223" s="25" t="s">
        <v>1861</v>
      </c>
      <c r="D1223" s="26" t="n">
        <v>0.839417850742918</v>
      </c>
      <c r="E1223" s="26" t="n">
        <v>1.5999979291469</v>
      </c>
      <c r="F1223" s="26" t="n">
        <v>0.790001035426548</v>
      </c>
      <c r="G1223" s="26" t="n">
        <v>0.315281035426548</v>
      </c>
      <c r="H1223" s="26" t="n">
        <v>2.88999896457345</v>
      </c>
      <c r="I1223" s="26" t="n">
        <v>2.41527896457345</v>
      </c>
      <c r="J1223" s="26" t="n">
        <v>21.52</v>
      </c>
      <c r="K1223" s="27" t="n">
        <f aca="false">MIN(F1223,G1223)</f>
        <v>0.315281035426548</v>
      </c>
      <c r="L1223" s="27" t="n">
        <f aca="false">AVERAGE(F1223,G1223)</f>
        <v>0.552641035426548</v>
      </c>
      <c r="M1223" s="27" t="n">
        <f aca="false">MAX(0,NG-L1223)</f>
        <v>0</v>
      </c>
      <c r="N1223" s="27" t="n">
        <f aca="false">MAX(0,GWL-K1223)</f>
        <v>0</v>
      </c>
      <c r="O1223" s="27" t="n">
        <f aca="false">MAX(0,NG-MAX(K1223,GWL))</f>
        <v>0</v>
      </c>
      <c r="P1223" s="27" t="n">
        <f aca="false">E1223/2+WS+SLOPE_A*O1223+SLOPE_B*N1223</f>
        <v>1.79999896457345</v>
      </c>
      <c r="Q1223" s="28" t="str">
        <f aca="false">IF(AND(P1223&lt;J1223,N1223&lt;=MAXOC),"Open cut","Shoring")</f>
        <v>Open cut</v>
      </c>
      <c r="R1223" s="27" t="n">
        <f aca="false">IF(Q1223="Shoring",D1223,0)</f>
        <v>0</v>
      </c>
      <c r="S1223" s="27" t="n">
        <f aca="false">MAX(0,GWL-L1223)</f>
        <v>0</v>
      </c>
      <c r="T1223" s="27" t="n">
        <f aca="false">MAX(0,NG-MAX(L1223,GWL))</f>
        <v>0</v>
      </c>
      <c r="U1223" s="27" t="n">
        <f aca="false">E1223+2*WS</f>
        <v>3.5999979291469</v>
      </c>
      <c r="V1223" s="27" t="n">
        <f aca="false">IF(Q1223="Shoring",D1223*M1223*U1223,0)</f>
        <v>0</v>
      </c>
      <c r="W1223" s="27" t="n">
        <f aca="false">IF(Q1223="Open cut",D1223*(U1223*M1223+SLOPE_B*S1223^2+2*SLOPE_B*S1223*T1223+SLOPE_A*T1223^2),0)</f>
        <v>0</v>
      </c>
      <c r="X1223" s="27" t="n">
        <f aca="false">IF(M1223&gt;0,D1223*(E1223+2*SLABOVH)*SLAB,0)</f>
        <v>0</v>
      </c>
      <c r="Y1223" s="27" t="n">
        <f aca="false">IF(M1223&gt;0,D1223*PI()*E1223^2/4,0)</f>
        <v>0</v>
      </c>
      <c r="Z1223" s="27" t="n">
        <f aca="false">IF(H1223-E1223&gt;=GWL,99,E1223*(MAX(0,GWL-H1223)*(GAM_S-GAM_W)+MAX(0,NG-MAX(H1223,GWL))*GAM_D)/(GAM_W*PI()*E1223^2/4))</f>
        <v>99</v>
      </c>
      <c r="AA1223" s="27" t="n">
        <f aca="false">IF(I1223-E1223&gt;=GWL,99,E1223*(MAX(0,GWL-I1223)*(GAM_S-GAM_W)+MAX(0,NG-MAX(I1223,GWL))*GAM_D)/(GAM_W*PI()*E1223^2/4))</f>
        <v>99</v>
      </c>
      <c r="AB1223" s="27" t="n">
        <f aca="false">IF(H1223-E1223&gt;=GWL,99,E1223*(MAX(0,GWL-H1223)*(GAM_S-GAM_W)+MAX(0,FL-MAX(H1223,GWL))*GAM_D)/(GAM_W*PI()*E1223^2/4))</f>
        <v>99</v>
      </c>
      <c r="AC1223" s="27" t="n">
        <f aca="false">IF(I1223-E1223&gt;=GWL,99,E1223*(MAX(0,GWL-I1223)*(GAM_S-GAM_W)+MAX(0,FL-MAX(I1223,GWL))*GAM_D)/(GAM_W*PI()*E1223^2/4))</f>
        <v>99</v>
      </c>
    </row>
    <row r="1224" customFormat="false" ht="15" hidden="false" customHeight="false" outlineLevel="0" collapsed="false">
      <c r="A1224" s="25" t="s">
        <v>1856</v>
      </c>
      <c r="B1224" s="25" t="s">
        <v>1857</v>
      </c>
      <c r="C1224" s="25" t="s">
        <v>1862</v>
      </c>
      <c r="D1224" s="26" t="n">
        <v>0.245228533902878</v>
      </c>
      <c r="E1224" s="26" t="n">
        <v>1.59999629753595</v>
      </c>
      <c r="F1224" s="26" t="n">
        <v>0.315281851232027</v>
      </c>
      <c r="G1224" s="26" t="n">
        <v>0.176601851232027</v>
      </c>
      <c r="H1224" s="26" t="n">
        <v>2.41527814876797</v>
      </c>
      <c r="I1224" s="26" t="n">
        <v>2.27659814876797</v>
      </c>
      <c r="J1224" s="26" t="n">
        <v>21.72</v>
      </c>
      <c r="K1224" s="27" t="n">
        <f aca="false">MIN(F1224,G1224)</f>
        <v>0.176601851232027</v>
      </c>
      <c r="L1224" s="27" t="n">
        <f aca="false">AVERAGE(F1224,G1224)</f>
        <v>0.245941851232027</v>
      </c>
      <c r="M1224" s="27" t="n">
        <f aca="false">MAX(0,NG-L1224)</f>
        <v>0</v>
      </c>
      <c r="N1224" s="27" t="n">
        <f aca="false">MAX(0,GWL-K1224)</f>
        <v>0</v>
      </c>
      <c r="O1224" s="27" t="n">
        <f aca="false">MAX(0,NG-MAX(K1224,GWL))</f>
        <v>0</v>
      </c>
      <c r="P1224" s="27" t="n">
        <f aca="false">E1224/2+WS+SLOPE_A*O1224+SLOPE_B*N1224</f>
        <v>1.79999814876797</v>
      </c>
      <c r="Q1224" s="28" t="str">
        <f aca="false">IF(AND(P1224&lt;J1224,N1224&lt;=MAXOC),"Open cut","Shoring")</f>
        <v>Open cut</v>
      </c>
      <c r="R1224" s="27" t="n">
        <f aca="false">IF(Q1224="Shoring",D1224,0)</f>
        <v>0</v>
      </c>
      <c r="S1224" s="27" t="n">
        <f aca="false">MAX(0,GWL-L1224)</f>
        <v>0</v>
      </c>
      <c r="T1224" s="27" t="n">
        <f aca="false">MAX(0,NG-MAX(L1224,GWL))</f>
        <v>0</v>
      </c>
      <c r="U1224" s="27" t="n">
        <f aca="false">E1224+2*WS</f>
        <v>3.59999629753595</v>
      </c>
      <c r="V1224" s="27" t="n">
        <f aca="false">IF(Q1224="Shoring",D1224*M1224*U1224,0)</f>
        <v>0</v>
      </c>
      <c r="W1224" s="27" t="n">
        <f aca="false">IF(Q1224="Open cut",D1224*(U1224*M1224+SLOPE_B*S1224^2+2*SLOPE_B*S1224*T1224+SLOPE_A*T1224^2),0)</f>
        <v>0</v>
      </c>
      <c r="X1224" s="27" t="n">
        <f aca="false">IF(M1224&gt;0,D1224*(E1224+2*SLABOVH)*SLAB,0)</f>
        <v>0</v>
      </c>
      <c r="Y1224" s="27" t="n">
        <f aca="false">IF(M1224&gt;0,D1224*PI()*E1224^2/4,0)</f>
        <v>0</v>
      </c>
      <c r="Z1224" s="27" t="n">
        <f aca="false">IF(H1224-E1224&gt;=GWL,99,E1224*(MAX(0,GWL-H1224)*(GAM_S-GAM_W)+MAX(0,NG-MAX(H1224,GWL))*GAM_D)/(GAM_W*PI()*E1224^2/4))</f>
        <v>99</v>
      </c>
      <c r="AA1224" s="27" t="n">
        <f aca="false">IF(I1224-E1224&gt;=GWL,99,E1224*(MAX(0,GWL-I1224)*(GAM_S-GAM_W)+MAX(0,NG-MAX(I1224,GWL))*GAM_D)/(GAM_W*PI()*E1224^2/4))</f>
        <v>99</v>
      </c>
      <c r="AB1224" s="27" t="n">
        <f aca="false">IF(H1224-E1224&gt;=GWL,99,E1224*(MAX(0,GWL-H1224)*(GAM_S-GAM_W)+MAX(0,FL-MAX(H1224,GWL))*GAM_D)/(GAM_W*PI()*E1224^2/4))</f>
        <v>99</v>
      </c>
      <c r="AC1224" s="27" t="n">
        <f aca="false">IF(I1224-E1224&gt;=GWL,99,E1224*(MAX(0,GWL-I1224)*(GAM_S-GAM_W)+MAX(0,FL-MAX(I1224,GWL))*GAM_D)/(GAM_W*PI()*E1224^2/4))</f>
        <v>99</v>
      </c>
    </row>
    <row r="1225" customFormat="false" ht="15" hidden="false" customHeight="false" outlineLevel="0" collapsed="false">
      <c r="A1225" s="25" t="s">
        <v>1856</v>
      </c>
      <c r="B1225" s="25" t="s">
        <v>1857</v>
      </c>
      <c r="C1225" s="25" t="s">
        <v>1863</v>
      </c>
      <c r="D1225" s="26" t="n">
        <v>0.678960211294512</v>
      </c>
      <c r="E1225" s="26" t="n">
        <v>1.59999397661692</v>
      </c>
      <c r="F1225" s="26" t="n">
        <v>0.176603011691543</v>
      </c>
      <c r="G1225" s="26" t="n">
        <v>-0.207366988308458</v>
      </c>
      <c r="H1225" s="26" t="n">
        <v>2.27659698830846</v>
      </c>
      <c r="I1225" s="26" t="n">
        <v>1.89262698830846</v>
      </c>
      <c r="J1225" s="26" t="n">
        <v>21.78</v>
      </c>
      <c r="K1225" s="27" t="n">
        <f aca="false">MIN(F1225,G1225)</f>
        <v>-0.207366988308458</v>
      </c>
      <c r="L1225" s="27" t="n">
        <f aca="false">AVERAGE(F1225,G1225)</f>
        <v>-0.0153819883084575</v>
      </c>
      <c r="M1225" s="27" t="n">
        <f aca="false">MAX(0,NG-L1225)</f>
        <v>0</v>
      </c>
      <c r="N1225" s="27" t="n">
        <f aca="false">MAX(0,GWL-K1225)</f>
        <v>0</v>
      </c>
      <c r="O1225" s="27" t="n">
        <f aca="false">MAX(0,NG-MAX(K1225,GWL))</f>
        <v>0</v>
      </c>
      <c r="P1225" s="27" t="n">
        <f aca="false">E1225/2+WS+SLOPE_A*O1225+SLOPE_B*N1225</f>
        <v>1.79999698830846</v>
      </c>
      <c r="Q1225" s="28" t="str">
        <f aca="false">IF(AND(P1225&lt;J1225,N1225&lt;=MAXOC),"Open cut","Shoring")</f>
        <v>Open cut</v>
      </c>
      <c r="R1225" s="27" t="n">
        <f aca="false">IF(Q1225="Shoring",D1225,0)</f>
        <v>0</v>
      </c>
      <c r="S1225" s="27" t="n">
        <f aca="false">MAX(0,GWL-L1225)</f>
        <v>0</v>
      </c>
      <c r="T1225" s="27" t="n">
        <f aca="false">MAX(0,NG-MAX(L1225,GWL))</f>
        <v>0</v>
      </c>
      <c r="U1225" s="27" t="n">
        <f aca="false">E1225+2*WS</f>
        <v>3.59999397661692</v>
      </c>
      <c r="V1225" s="27" t="n">
        <f aca="false">IF(Q1225="Shoring",D1225*M1225*U1225,0)</f>
        <v>0</v>
      </c>
      <c r="W1225" s="27" t="n">
        <f aca="false">IF(Q1225="Open cut",D1225*(U1225*M1225+SLOPE_B*S1225^2+2*SLOPE_B*S1225*T1225+SLOPE_A*T1225^2),0)</f>
        <v>0</v>
      </c>
      <c r="X1225" s="27" t="n">
        <f aca="false">IF(M1225&gt;0,D1225*(E1225+2*SLABOVH)*SLAB,0)</f>
        <v>0</v>
      </c>
      <c r="Y1225" s="27" t="n">
        <f aca="false">IF(M1225&gt;0,D1225*PI()*E1225^2/4,0)</f>
        <v>0</v>
      </c>
      <c r="Z1225" s="27" t="n">
        <f aca="false">IF(H1225-E1225&gt;=GWL,99,E1225*(MAX(0,GWL-H1225)*(GAM_S-GAM_W)+MAX(0,NG-MAX(H1225,GWL))*GAM_D)/(GAM_W*PI()*E1225^2/4))</f>
        <v>99</v>
      </c>
      <c r="AA1225" s="27" t="n">
        <f aca="false">IF(I1225-E1225&gt;=GWL,99,E1225*(MAX(0,GWL-I1225)*(GAM_S-GAM_W)+MAX(0,NG-MAX(I1225,GWL))*GAM_D)/(GAM_W*PI()*E1225^2/4))</f>
        <v>99</v>
      </c>
      <c r="AB1225" s="27" t="n">
        <f aca="false">IF(H1225-E1225&gt;=GWL,99,E1225*(MAX(0,GWL-H1225)*(GAM_S-GAM_W)+MAX(0,FL-MAX(H1225,GWL))*GAM_D)/(GAM_W*PI()*E1225^2/4))</f>
        <v>99</v>
      </c>
      <c r="AC1225" s="27" t="n">
        <f aca="false">IF(I1225-E1225&gt;=GWL,99,E1225*(MAX(0,GWL-I1225)*(GAM_S-GAM_W)+MAX(0,FL-MAX(I1225,GWL))*GAM_D)/(GAM_W*PI()*E1225^2/4))</f>
        <v>99</v>
      </c>
    </row>
    <row r="1226" customFormat="false" ht="15" hidden="false" customHeight="false" outlineLevel="0" collapsed="false">
      <c r="A1226" s="25" t="s">
        <v>1856</v>
      </c>
      <c r="B1226" s="25" t="s">
        <v>1857</v>
      </c>
      <c r="C1226" s="25" t="s">
        <v>1864</v>
      </c>
      <c r="D1226" s="26" t="n">
        <v>4.94784000005189</v>
      </c>
      <c r="E1226" s="26" t="n">
        <v>1.59999535203328</v>
      </c>
      <c r="F1226" s="26" t="n">
        <v>-0.207367676016638</v>
      </c>
      <c r="G1226" s="26" t="n">
        <v>-3.00552767601664</v>
      </c>
      <c r="H1226" s="26" t="n">
        <v>1.89262767601664</v>
      </c>
      <c r="I1226" s="26" t="n">
        <v>-0.905532323983363</v>
      </c>
      <c r="J1226" s="26" t="n">
        <v>21.93</v>
      </c>
      <c r="K1226" s="27" t="n">
        <f aca="false">MIN(F1226,G1226)</f>
        <v>-3.00552767601664</v>
      </c>
      <c r="L1226" s="27" t="n">
        <f aca="false">AVERAGE(F1226,G1226)</f>
        <v>-1.60644767601664</v>
      </c>
      <c r="M1226" s="27" t="n">
        <f aca="false">MAX(0,NG-L1226)</f>
        <v>0.906447676016638</v>
      </c>
      <c r="N1226" s="27" t="n">
        <f aca="false">MAX(0,GWL-K1226)</f>
        <v>1.50552767601664</v>
      </c>
      <c r="O1226" s="27" t="n">
        <f aca="false">MAX(0,NG-MAX(K1226,GWL))</f>
        <v>0.8</v>
      </c>
      <c r="P1226" s="27" t="n">
        <f aca="false">E1226/2+WS+SLOPE_A*O1226+SLOPE_B*N1226</f>
        <v>6.01105302804991</v>
      </c>
      <c r="Q1226" s="28" t="str">
        <f aca="false">IF(AND(P1226&lt;J1226,N1226&lt;=MAXOC),"Open cut","Shoring")</f>
        <v>Open cut</v>
      </c>
      <c r="R1226" s="27" t="n">
        <f aca="false">IF(Q1226="Shoring",D1226,0)</f>
        <v>0</v>
      </c>
      <c r="S1226" s="27" t="n">
        <f aca="false">MAX(0,GWL-L1226)</f>
        <v>0.106447676016638</v>
      </c>
      <c r="T1226" s="27" t="n">
        <f aca="false">MAX(0,NG-MAX(L1226,GWL))</f>
        <v>0.8</v>
      </c>
      <c r="U1226" s="27" t="n">
        <f aca="false">E1226+2*WS</f>
        <v>3.59999535203328</v>
      </c>
      <c r="V1226" s="27" t="n">
        <f aca="false">IF(Q1226="Shoring",D1226*M1226*U1226,0)</f>
        <v>0</v>
      </c>
      <c r="W1226" s="27" t="n">
        <f aca="false">IF(Q1226="Open cut",D1226*(U1226*M1226+SLOPE_B*S1226^2+2*SLOPE_B*S1226*T1226+SLOPE_A*T1226^2),0)</f>
        <v>22.6932790416919</v>
      </c>
      <c r="X1226" s="27" t="n">
        <f aca="false">IF(M1226&gt;0,D1226*(E1226+2*SLABOVH)*SLAB,0)</f>
        <v>6.43218050136962</v>
      </c>
      <c r="Y1226" s="27" t="n">
        <f aca="false">IF(M1226&gt;0,D1226*PI()*E1226^2/4,0)</f>
        <v>9.94816479031697</v>
      </c>
      <c r="Z1226" s="27" t="n">
        <f aca="false">IF(H1226-E1226&gt;=GWL,99,E1226*(MAX(0,GWL-H1226)*(GAM_S-GAM_W)+MAX(0,NG-MAX(H1226,GWL))*GAM_D)/(GAM_W*PI()*E1226^2/4))</f>
        <v>99</v>
      </c>
      <c r="AA1226" s="27" t="n">
        <f aca="false">IF(I1226-E1226&gt;=GWL,99,E1226*(MAX(0,GWL-I1226)*(GAM_S-GAM_W)+MAX(0,NG-MAX(I1226,GWL))*GAM_D)/(GAM_W*PI()*E1226^2/4))</f>
        <v>0.300106241775942</v>
      </c>
      <c r="AB1226" s="27" t="n">
        <f aca="false">IF(H1226-E1226&gt;=GWL,99,E1226*(MAX(0,GWL-H1226)*(GAM_S-GAM_W)+MAX(0,FL-MAX(H1226,GWL))*GAM_D)/(GAM_W*PI()*E1226^2/4))</f>
        <v>99</v>
      </c>
      <c r="AC1226" s="27" t="n">
        <f aca="false">IF(I1226-E1226&gt;=GWL,99,E1226*(MAX(0,GWL-I1226)*(GAM_S-GAM_W)+MAX(0,FL-MAX(I1226,GWL))*GAM_D)/(GAM_W*PI()*E1226^2/4))</f>
        <v>2.78234651002883</v>
      </c>
    </row>
    <row r="1227" customFormat="false" ht="15" hidden="false" customHeight="false" outlineLevel="0" collapsed="false">
      <c r="A1227" s="25" t="s">
        <v>1856</v>
      </c>
      <c r="B1227" s="25" t="s">
        <v>1857</v>
      </c>
      <c r="C1227" s="25" t="s">
        <v>1865</v>
      </c>
      <c r="D1227" s="26" t="n">
        <v>0.675681516979012</v>
      </c>
      <c r="E1227" s="26" t="n">
        <v>1.60002627675433</v>
      </c>
      <c r="F1227" s="26" t="n">
        <v>-3.00554313837716</v>
      </c>
      <c r="G1227" s="26" t="n">
        <v>-3.38766313837717</v>
      </c>
      <c r="H1227" s="26" t="n">
        <v>-0.905516861622836</v>
      </c>
      <c r="I1227" s="26" t="n">
        <v>-1.28763686162284</v>
      </c>
      <c r="J1227" s="26" t="n">
        <v>23.33</v>
      </c>
      <c r="K1227" s="27" t="n">
        <f aca="false">MIN(F1227,G1227)</f>
        <v>-3.38766313837717</v>
      </c>
      <c r="L1227" s="27" t="n">
        <f aca="false">AVERAGE(F1227,G1227)</f>
        <v>-3.19660313837716</v>
      </c>
      <c r="M1227" s="27" t="n">
        <f aca="false">MAX(0,NG-L1227)</f>
        <v>2.49660313837716</v>
      </c>
      <c r="N1227" s="27" t="n">
        <f aca="false">MAX(0,GWL-K1227)</f>
        <v>1.88766313837717</v>
      </c>
      <c r="O1227" s="27" t="n">
        <f aca="false">MAX(0,NG-MAX(K1227,GWL))</f>
        <v>0.8</v>
      </c>
      <c r="P1227" s="27" t="n">
        <f aca="false">E1227/2+WS+SLOPE_A*O1227+SLOPE_B*N1227</f>
        <v>6.7753394151315</v>
      </c>
      <c r="Q1227" s="28" t="str">
        <f aca="false">IF(AND(P1227&lt;J1227,N1227&lt;=MAXOC),"Open cut","Shoring")</f>
        <v>Open cut</v>
      </c>
      <c r="R1227" s="27" t="n">
        <f aca="false">IF(Q1227="Shoring",D1227,0)</f>
        <v>0</v>
      </c>
      <c r="S1227" s="27" t="n">
        <f aca="false">MAX(0,GWL-L1227)</f>
        <v>1.69660313837716</v>
      </c>
      <c r="T1227" s="27" t="n">
        <f aca="false">MAX(0,NG-MAX(L1227,GWL))</f>
        <v>0.8</v>
      </c>
      <c r="U1227" s="27" t="n">
        <f aca="false">E1227+2*WS</f>
        <v>3.60002627675433</v>
      </c>
      <c r="V1227" s="27" t="n">
        <f aca="false">IF(Q1227="Shoring",D1227*M1227*U1227,0)</f>
        <v>0</v>
      </c>
      <c r="W1227" s="27" t="n">
        <f aca="false">IF(Q1227="Open cut",D1227*(U1227*M1227+SLOPE_B*S1227^2+2*SLOPE_B*S1227*T1227+SLOPE_A*T1227^2),0)</f>
        <v>14.2797797750745</v>
      </c>
      <c r="X1227" s="27" t="n">
        <f aca="false">IF(M1227&gt;0,D1227*(E1227+2*SLABOVH)*SLAB,0)</f>
        <v>0.878394849431328</v>
      </c>
      <c r="Y1227" s="27" t="n">
        <f aca="false">IF(M1227&gt;0,D1227*PI()*E1227^2/4,0)</f>
        <v>1.35858292037869</v>
      </c>
      <c r="Z1227" s="27" t="n">
        <f aca="false">IF(H1227-E1227&gt;=GWL,99,E1227*(MAX(0,GWL-H1227)*(GAM_S-GAM_W)+MAX(0,NG-MAX(H1227,GWL))*GAM_D)/(GAM_W*PI()*E1227^2/4))</f>
        <v>0.300077864637201</v>
      </c>
      <c r="AA1227" s="27" t="n">
        <f aca="false">IF(I1227-E1227&gt;=GWL,99,E1227*(MAX(0,GWL-I1227)*(GAM_S-GAM_W)+MAX(0,NG-MAX(I1227,GWL))*GAM_D)/(GAM_W*PI()*E1227^2/4))</f>
        <v>0.858016287449447</v>
      </c>
      <c r="AB1227" s="27" t="n">
        <f aca="false">IF(H1227-E1227&gt;=GWL,99,E1227*(MAX(0,GWL-H1227)*(GAM_S-GAM_W)+MAX(0,FL-MAX(H1227,GWL))*GAM_D)/(GAM_W*PI()*E1227^2/4))</f>
        <v>2.78227015706057</v>
      </c>
      <c r="AC1227" s="27" t="n">
        <f aca="false">IF(I1227-E1227&gt;=GWL,99,E1227*(MAX(0,GWL-I1227)*(GAM_S-GAM_W)+MAX(0,FL-MAX(I1227,GWL))*GAM_D)/(GAM_W*PI()*E1227^2/4))</f>
        <v>3.34020857987281</v>
      </c>
    </row>
    <row r="1228" customFormat="false" ht="15" hidden="false" customHeight="false" outlineLevel="0" collapsed="false">
      <c r="A1228" s="25" t="s">
        <v>1856</v>
      </c>
      <c r="B1228" s="25" t="s">
        <v>1857</v>
      </c>
      <c r="C1228" s="25" t="s">
        <v>1866</v>
      </c>
      <c r="D1228" s="26" t="n">
        <v>0.242815853238902</v>
      </c>
      <c r="E1228" s="26" t="n">
        <v>1.59999661527218</v>
      </c>
      <c r="F1228" s="26" t="n">
        <v>-3.38764830763609</v>
      </c>
      <c r="G1228" s="26" t="n">
        <v>-3.52496830763609</v>
      </c>
      <c r="H1228" s="26" t="n">
        <v>-1.28765169236391</v>
      </c>
      <c r="I1228" s="26" t="n">
        <v>-1.42497169236391</v>
      </c>
      <c r="J1228" s="26" t="n">
        <v>23.54</v>
      </c>
      <c r="K1228" s="27" t="n">
        <f aca="false">MIN(F1228,G1228)</f>
        <v>-3.52496830763609</v>
      </c>
      <c r="L1228" s="27" t="n">
        <f aca="false">AVERAGE(F1228,G1228)</f>
        <v>-3.45630830763609</v>
      </c>
      <c r="M1228" s="27" t="n">
        <f aca="false">MAX(0,NG-L1228)</f>
        <v>2.75630830763609</v>
      </c>
      <c r="N1228" s="27" t="n">
        <f aca="false">MAX(0,GWL-K1228)</f>
        <v>2.02496830763609</v>
      </c>
      <c r="O1228" s="27" t="n">
        <f aca="false">MAX(0,NG-MAX(K1228,GWL))</f>
        <v>0.8</v>
      </c>
      <c r="P1228" s="27" t="n">
        <f aca="false">E1228/2+WS+SLOPE_A*O1228+SLOPE_B*N1228</f>
        <v>7.04993492290827</v>
      </c>
      <c r="Q1228" s="28" t="str">
        <f aca="false">IF(AND(P1228&lt;J1228,N1228&lt;=MAXOC),"Open cut","Shoring")</f>
        <v>Open cut</v>
      </c>
      <c r="R1228" s="27" t="n">
        <f aca="false">IF(Q1228="Shoring",D1228,0)</f>
        <v>0</v>
      </c>
      <c r="S1228" s="27" t="n">
        <f aca="false">MAX(0,GWL-L1228)</f>
        <v>1.95630830763609</v>
      </c>
      <c r="T1228" s="27" t="n">
        <f aca="false">MAX(0,NG-MAX(L1228,GWL))</f>
        <v>0.8</v>
      </c>
      <c r="U1228" s="27" t="n">
        <f aca="false">E1228+2*WS</f>
        <v>3.59999661527218</v>
      </c>
      <c r="V1228" s="27" t="n">
        <f aca="false">IF(Q1228="Shoring",D1228*M1228*U1228,0)</f>
        <v>0</v>
      </c>
      <c r="W1228" s="27" t="n">
        <f aca="false">IF(Q1228="Open cut",D1228*(U1228*M1228+SLOPE_B*S1228^2+2*SLOPE_B*S1228*T1228+SLOPE_A*T1228^2),0)</f>
        <v>6.02114636821901</v>
      </c>
      <c r="X1228" s="27" t="n">
        <f aca="false">IF(M1228&gt;0,D1228*(E1228+2*SLABOVH)*SLAB,0)</f>
        <v>0.315660198277786</v>
      </c>
      <c r="Y1228" s="27" t="n">
        <f aca="false">IF(M1228&gt;0,D1228*PI()*E1228^2/4,0)</f>
        <v>0.48820817488341</v>
      </c>
      <c r="Z1228" s="27" t="n">
        <f aca="false">IF(H1228-E1228&gt;=GWL,99,E1228*(MAX(0,GWL-H1228)*(GAM_S-GAM_W)+MAX(0,NG-MAX(H1228,GWL))*GAM_D)/(GAM_W*PI()*E1228^2/4))</f>
        <v>0.858053848715803</v>
      </c>
      <c r="AA1228" s="27" t="n">
        <f aca="false">IF(I1228-E1228&gt;=GWL,99,E1228*(MAX(0,GWL-I1228)*(GAM_S-GAM_W)+MAX(0,NG-MAX(I1228,GWL))*GAM_D)/(GAM_W*PI()*E1228^2/4))</f>
        <v>1.05856029843209</v>
      </c>
      <c r="AB1228" s="27" t="n">
        <f aca="false">IF(H1228-E1228&gt;=GWL,99,E1228*(MAX(0,GWL-H1228)*(GAM_S-GAM_W)+MAX(0,FL-MAX(H1228,GWL))*GAM_D)/(GAM_W*PI()*E1228^2/4))</f>
        <v>3.34029215717549</v>
      </c>
      <c r="AC1228" s="27" t="n">
        <f aca="false">IF(I1228-E1228&gt;=GWL,99,E1228*(MAX(0,GWL-I1228)*(GAM_S-GAM_W)+MAX(0,FL-MAX(I1228,GWL))*GAM_D)/(GAM_W*PI()*E1228^2/4))</f>
        <v>3.54079860689178</v>
      </c>
    </row>
    <row r="1229" customFormat="false" ht="15" hidden="false" customHeight="false" outlineLevel="0" collapsed="false">
      <c r="A1229" s="25" t="s">
        <v>1856</v>
      </c>
      <c r="B1229" s="25" t="s">
        <v>1857</v>
      </c>
      <c r="C1229" s="25" t="s">
        <v>1867</v>
      </c>
      <c r="D1229" s="26" t="n">
        <v>0.637947030349076</v>
      </c>
      <c r="E1229" s="26" t="n">
        <v>1.59999737258516</v>
      </c>
      <c r="F1229" s="26" t="n">
        <v>-3.52496868629258</v>
      </c>
      <c r="G1229" s="26" t="n">
        <v>-3.88574710827373</v>
      </c>
      <c r="H1229" s="26" t="n">
        <v>-1.42497131370742</v>
      </c>
      <c r="I1229" s="26" t="n">
        <v>-1.78574973568856</v>
      </c>
      <c r="J1229" s="26" t="n">
        <v>23.63</v>
      </c>
      <c r="K1229" s="27" t="n">
        <f aca="false">MIN(F1229,G1229)</f>
        <v>-3.88574710827373</v>
      </c>
      <c r="L1229" s="27" t="n">
        <f aca="false">AVERAGE(F1229,G1229)</f>
        <v>-3.70535789728315</v>
      </c>
      <c r="M1229" s="27" t="n">
        <f aca="false">MAX(0,NG-L1229)</f>
        <v>3.00535789728315</v>
      </c>
      <c r="N1229" s="27" t="n">
        <f aca="false">MAX(0,GWL-K1229)</f>
        <v>2.38574710827373</v>
      </c>
      <c r="O1229" s="27" t="n">
        <f aca="false">MAX(0,NG-MAX(K1229,GWL))</f>
        <v>0.8</v>
      </c>
      <c r="P1229" s="27" t="n">
        <f aca="false">E1229/2+WS+SLOPE_A*O1229+SLOPE_B*N1229</f>
        <v>7.77149290284004</v>
      </c>
      <c r="Q1229" s="28" t="str">
        <f aca="false">IF(AND(P1229&lt;J1229,N1229&lt;=MAXOC),"Open cut","Shoring")</f>
        <v>Open cut</v>
      </c>
      <c r="R1229" s="27" t="n">
        <f aca="false">IF(Q1229="Shoring",D1229,0)</f>
        <v>0</v>
      </c>
      <c r="S1229" s="27" t="n">
        <f aca="false">MAX(0,GWL-L1229)</f>
        <v>2.20535789728315</v>
      </c>
      <c r="T1229" s="27" t="n">
        <f aca="false">MAX(0,NG-MAX(L1229,GWL))</f>
        <v>0.8</v>
      </c>
      <c r="U1229" s="27" t="n">
        <f aca="false">E1229+2*WS</f>
        <v>3.59999737258516</v>
      </c>
      <c r="V1229" s="27" t="n">
        <f aca="false">IF(Q1229="Shoring",D1229*M1229*U1229,0)</f>
        <v>0</v>
      </c>
      <c r="W1229" s="27" t="n">
        <f aca="false">IF(Q1229="Open cut",D1229*(U1229*M1229+SLOPE_B*S1229^2+2*SLOPE_B*S1229*T1229+SLOPE_A*T1229^2),0)</f>
        <v>18.2220846667851</v>
      </c>
      <c r="X1229" s="27" t="n">
        <f aca="false">IF(M1229&gt;0,D1229*(E1229+2*SLABOVH)*SLAB,0)</f>
        <v>0.829330301378052</v>
      </c>
      <c r="Y1229" s="27" t="n">
        <f aca="false">IF(M1229&gt;0,D1229*PI()*E1229^2/4,0)</f>
        <v>1.2826643978867</v>
      </c>
      <c r="Z1229" s="27" t="n">
        <f aca="false">IF(H1229-E1229&gt;=GWL,99,E1229*(MAX(0,GWL-H1229)*(GAM_S-GAM_W)+MAX(0,NG-MAX(H1229,GWL))*GAM_D)/(GAM_W*PI()*E1229^2/4))</f>
        <v>1.05855924450156</v>
      </c>
      <c r="AA1229" s="27" t="n">
        <f aca="false">IF(I1229-E1229&gt;=GWL,99,E1229*(MAX(0,GWL-I1229)*(GAM_S-GAM_W)+MAX(0,NG-MAX(I1229,GWL))*GAM_D)/(GAM_W*PI()*E1229^2/4))</f>
        <v>1.35795327767596</v>
      </c>
      <c r="AB1229" s="27" t="n">
        <f aca="false">IF(H1229-E1229&gt;=GWL,99,E1229*(MAX(0,GWL-H1229)*(GAM_S-GAM_W)+MAX(0,FL-MAX(H1229,GWL))*GAM_D)/(GAM_W*PI()*E1229^2/4))</f>
        <v>3.54079637806476</v>
      </c>
      <c r="AC1229" s="27" t="n">
        <f aca="false">IF(I1229-E1229&gt;=GWL,99,E1229*(MAX(0,GWL-I1229)*(GAM_S-GAM_W)+MAX(0,FL-MAX(I1229,GWL))*GAM_D)/(GAM_W*PI()*E1229^2/4))</f>
        <v>3.84019041123916</v>
      </c>
    </row>
    <row r="1230" customFormat="false" ht="15" hidden="false" customHeight="false" outlineLevel="0" collapsed="false">
      <c r="A1230" s="25" t="s">
        <v>1856</v>
      </c>
      <c r="B1230" s="25" t="s">
        <v>1857</v>
      </c>
      <c r="C1230" s="25" t="s">
        <v>1868</v>
      </c>
      <c r="D1230" s="26" t="n">
        <v>0.202025538243527</v>
      </c>
      <c r="E1230" s="26" t="n">
        <v>1.59999737258516</v>
      </c>
      <c r="F1230" s="26" t="n">
        <v>-3.88574710827373</v>
      </c>
      <c r="G1230" s="26" t="n">
        <v>-3.99999868629258</v>
      </c>
      <c r="H1230" s="26" t="n">
        <v>-1.78574973568856</v>
      </c>
      <c r="I1230" s="26" t="n">
        <v>-1.90000131370742</v>
      </c>
      <c r="J1230" s="26" t="n">
        <v>23.86</v>
      </c>
      <c r="K1230" s="27" t="n">
        <f aca="false">MIN(F1230,G1230)</f>
        <v>-3.99999868629258</v>
      </c>
      <c r="L1230" s="27" t="n">
        <f aca="false">AVERAGE(F1230,G1230)</f>
        <v>-3.94287289728316</v>
      </c>
      <c r="M1230" s="27" t="n">
        <f aca="false">MAX(0,NG-L1230)</f>
        <v>3.24287289728315</v>
      </c>
      <c r="N1230" s="27" t="n">
        <f aca="false">MAX(0,GWL-K1230)</f>
        <v>2.49999868629258</v>
      </c>
      <c r="O1230" s="27" t="n">
        <f aca="false">MAX(0,NG-MAX(K1230,GWL))</f>
        <v>0.8</v>
      </c>
      <c r="P1230" s="27" t="n">
        <f aca="false">E1230/2+WS+SLOPE_A*O1230+SLOPE_B*N1230</f>
        <v>7.99999605887775</v>
      </c>
      <c r="Q1230" s="28" t="str">
        <f aca="false">IF(AND(P1230&lt;J1230,N1230&lt;=MAXOC),"Open cut","Shoring")</f>
        <v>Open cut</v>
      </c>
      <c r="R1230" s="27" t="n">
        <f aca="false">IF(Q1230="Shoring",D1230,0)</f>
        <v>0</v>
      </c>
      <c r="S1230" s="27" t="n">
        <f aca="false">MAX(0,GWL-L1230)</f>
        <v>2.44287289728316</v>
      </c>
      <c r="T1230" s="27" t="n">
        <f aca="false">MAX(0,NG-MAX(L1230,GWL))</f>
        <v>0.8</v>
      </c>
      <c r="U1230" s="27" t="n">
        <f aca="false">E1230+2*WS</f>
        <v>3.59999737258516</v>
      </c>
      <c r="V1230" s="27" t="n">
        <f aca="false">IF(Q1230="Shoring",D1230*M1230*U1230,0)</f>
        <v>0</v>
      </c>
      <c r="W1230" s="27" t="n">
        <f aca="false">IF(Q1230="Open cut",D1230*(U1230*M1230+SLOPE_B*S1230^2+2*SLOPE_B*S1230*T1230+SLOPE_A*T1230^2),0)</f>
        <v>6.54295730102981</v>
      </c>
      <c r="X1230" s="27" t="n">
        <f aca="false">IF(M1230&gt;0,D1230*(E1230+2*SLABOVH)*SLAB,0)</f>
        <v>0.262632934314136</v>
      </c>
      <c r="Y1230" s="27" t="n">
        <f aca="false">IF(M1230&gt;0,D1230*PI()*E1230^2/4,0)</f>
        <v>0.406195111884252</v>
      </c>
      <c r="Z1230" s="27" t="n">
        <f aca="false">IF(H1230-E1230&gt;=GWL,99,E1230*(MAX(0,GWL-H1230)*(GAM_S-GAM_W)+MAX(0,NG-MAX(H1230,GWL))*GAM_D)/(GAM_W*PI()*E1230^2/4))</f>
        <v>1.35795327767596</v>
      </c>
      <c r="AA1230" s="27" t="n">
        <f aca="false">IF(I1230-E1230&gt;=GWL,99,E1230*(MAX(0,GWL-I1230)*(GAM_S-GAM_W)+MAX(0,NG-MAX(I1230,GWL))*GAM_D)/(GAM_W*PI()*E1230^2/4))</f>
        <v>1.43385785228455</v>
      </c>
      <c r="AB1230" s="27" t="n">
        <f aca="false">IF(H1230-E1230&gt;=GWL,99,E1230*(MAX(0,GWL-H1230)*(GAM_S-GAM_W)+MAX(0,FL-MAX(H1230,GWL))*GAM_D)/(GAM_W*PI()*E1230^2/4))</f>
        <v>3.84019041123916</v>
      </c>
      <c r="AC1230" s="27" t="n">
        <f aca="false">IF(I1230-E1230&gt;=GWL,99,E1230*(MAX(0,GWL-I1230)*(GAM_S-GAM_W)+MAX(0,FL-MAX(I1230,GWL))*GAM_D)/(GAM_W*PI()*E1230^2/4))</f>
        <v>3.91609498584775</v>
      </c>
    </row>
    <row r="1231" customFormat="false" ht="15" hidden="false" customHeight="false" outlineLevel="0" collapsed="false">
      <c r="A1231" s="25" t="s">
        <v>1856</v>
      </c>
      <c r="B1231" s="25" t="s">
        <v>1857</v>
      </c>
      <c r="C1231" s="25" t="s">
        <v>1869</v>
      </c>
      <c r="D1231" s="26" t="n">
        <v>9.79797446161941</v>
      </c>
      <c r="E1231" s="26" t="n">
        <v>1.59999737210949</v>
      </c>
      <c r="F1231" s="26" t="n">
        <v>-3.99999868605475</v>
      </c>
      <c r="G1231" s="26" t="n">
        <v>-3.99999868605475</v>
      </c>
      <c r="H1231" s="26" t="n">
        <v>-1.90000131394525</v>
      </c>
      <c r="I1231" s="26" t="n">
        <v>-1.90000131394525</v>
      </c>
      <c r="J1231" s="26" t="n">
        <v>23.94</v>
      </c>
      <c r="K1231" s="27" t="n">
        <f aca="false">MIN(F1231,G1231)</f>
        <v>-3.99999868605475</v>
      </c>
      <c r="L1231" s="27" t="n">
        <f aca="false">AVERAGE(F1231,G1231)</f>
        <v>-3.99999868605475</v>
      </c>
      <c r="M1231" s="27" t="n">
        <f aca="false">MAX(0,NG-L1231)</f>
        <v>3.29999868605475</v>
      </c>
      <c r="N1231" s="27" t="n">
        <f aca="false">MAX(0,GWL-K1231)</f>
        <v>2.49999868605475</v>
      </c>
      <c r="O1231" s="27" t="n">
        <f aca="false">MAX(0,NG-MAX(K1231,GWL))</f>
        <v>0.8</v>
      </c>
      <c r="P1231" s="27" t="n">
        <f aca="false">E1231/2+WS+SLOPE_A*O1231+SLOPE_B*N1231</f>
        <v>7.99999605816424</v>
      </c>
      <c r="Q1231" s="28" t="str">
        <f aca="false">IF(AND(P1231&lt;J1231,N1231&lt;=MAXOC),"Open cut","Shoring")</f>
        <v>Open cut</v>
      </c>
      <c r="R1231" s="27" t="n">
        <f aca="false">IF(Q1231="Shoring",D1231,0)</f>
        <v>0</v>
      </c>
      <c r="S1231" s="27" t="n">
        <f aca="false">MAX(0,GWL-L1231)</f>
        <v>2.49999868605475</v>
      </c>
      <c r="T1231" s="27" t="n">
        <f aca="false">MAX(0,NG-MAX(L1231,GWL))</f>
        <v>0.8</v>
      </c>
      <c r="U1231" s="27" t="n">
        <f aca="false">E1231+2*WS</f>
        <v>3.59999737210949</v>
      </c>
      <c r="V1231" s="27" t="n">
        <f aca="false">IF(Q1231="Shoring",D1231*M1231*U1231,0)</f>
        <v>0</v>
      </c>
      <c r="W1231" s="27" t="n">
        <f aca="false">IF(Q1231="Open cut",D1231*(U1231*M1231+SLOPE_B*S1231^2+2*SLOPE_B*S1231*T1231+SLOPE_A*T1231^2),0)</f>
        <v>326.664167298811</v>
      </c>
      <c r="X1231" s="27" t="n">
        <f aca="false">IF(M1231&gt;0,D1231*(E1231+2*SLABOVH)*SLAB,0)</f>
        <v>12.7373539261032</v>
      </c>
      <c r="Y1231" s="27" t="n">
        <f aca="false">IF(M1231&gt;0,D1231*PI()*E1231^2/4,0)</f>
        <v>19.6999318250185</v>
      </c>
      <c r="Z1231" s="27" t="n">
        <f aca="false">IF(H1231-E1231&gt;=GWL,99,E1231*(MAX(0,GWL-H1231)*(GAM_S-GAM_W)+MAX(0,NG-MAX(H1231,GWL))*GAM_D)/(GAM_W*PI()*E1231^2/4))</f>
        <v>1.43385785286884</v>
      </c>
      <c r="AA1231" s="27" t="n">
        <f aca="false">IF(I1231-E1231&gt;=GWL,99,E1231*(MAX(0,GWL-I1231)*(GAM_S-GAM_W)+MAX(0,NG-MAX(I1231,GWL))*GAM_D)/(GAM_W*PI()*E1231^2/4))</f>
        <v>1.43385785286884</v>
      </c>
      <c r="AB1231" s="27" t="n">
        <f aca="false">IF(H1231-E1231&gt;=GWL,99,E1231*(MAX(0,GWL-H1231)*(GAM_S-GAM_W)+MAX(0,FL-MAX(H1231,GWL))*GAM_D)/(GAM_W*PI()*E1231^2/4))</f>
        <v>3.91609498717</v>
      </c>
      <c r="AC1231" s="27" t="n">
        <f aca="false">IF(I1231-E1231&gt;=GWL,99,E1231*(MAX(0,GWL-I1231)*(GAM_S-GAM_W)+MAX(0,FL-MAX(I1231,GWL))*GAM_D)/(GAM_W*PI()*E1231^2/4))</f>
        <v>3.91609498717</v>
      </c>
    </row>
    <row r="1232" customFormat="false" ht="15" hidden="false" customHeight="false" outlineLevel="0" collapsed="false">
      <c r="A1232" s="25" t="s">
        <v>1856</v>
      </c>
      <c r="B1232" s="25" t="s">
        <v>1857</v>
      </c>
      <c r="C1232" s="25" t="s">
        <v>1870</v>
      </c>
      <c r="D1232" s="26" t="n">
        <v>10.0000000000535</v>
      </c>
      <c r="E1232" s="26" t="n">
        <v>1.59999737210949</v>
      </c>
      <c r="F1232" s="26" t="n">
        <v>-3.99999868605475</v>
      </c>
      <c r="G1232" s="26" t="n">
        <v>-3.99999868605475</v>
      </c>
      <c r="H1232" s="26" t="n">
        <v>-1.90000131394525</v>
      </c>
      <c r="I1232" s="26" t="n">
        <v>-1.90000131394525</v>
      </c>
      <c r="J1232" s="26" t="n">
        <v>28.84</v>
      </c>
      <c r="K1232" s="27" t="n">
        <f aca="false">MIN(F1232,G1232)</f>
        <v>-3.99999868605475</v>
      </c>
      <c r="L1232" s="27" t="n">
        <f aca="false">AVERAGE(F1232,G1232)</f>
        <v>-3.99999868605475</v>
      </c>
      <c r="M1232" s="27" t="n">
        <f aca="false">MAX(0,NG-L1232)</f>
        <v>3.29999868605475</v>
      </c>
      <c r="N1232" s="27" t="n">
        <f aca="false">MAX(0,GWL-K1232)</f>
        <v>2.49999868605475</v>
      </c>
      <c r="O1232" s="27" t="n">
        <f aca="false">MAX(0,NG-MAX(K1232,GWL))</f>
        <v>0.8</v>
      </c>
      <c r="P1232" s="27" t="n">
        <f aca="false">E1232/2+WS+SLOPE_A*O1232+SLOPE_B*N1232</f>
        <v>7.99999605816424</v>
      </c>
      <c r="Q1232" s="28" t="str">
        <f aca="false">IF(AND(P1232&lt;J1232,N1232&lt;=MAXOC),"Open cut","Shoring")</f>
        <v>Open cut</v>
      </c>
      <c r="R1232" s="27" t="n">
        <f aca="false">IF(Q1232="Shoring",D1232,0)</f>
        <v>0</v>
      </c>
      <c r="S1232" s="27" t="n">
        <f aca="false">MAX(0,GWL-L1232)</f>
        <v>2.49999868605475</v>
      </c>
      <c r="T1232" s="27" t="n">
        <f aca="false">MAX(0,NG-MAX(L1232,GWL))</f>
        <v>0.8</v>
      </c>
      <c r="U1232" s="27" t="n">
        <f aca="false">E1232+2*WS</f>
        <v>3.59999737210949</v>
      </c>
      <c r="V1232" s="27" t="n">
        <f aca="false">IF(Q1232="Shoring",D1232*M1232*U1232,0)</f>
        <v>0</v>
      </c>
      <c r="W1232" s="27" t="n">
        <f aca="false">IF(Q1232="Open cut",D1232*(U1232*M1232+SLOPE_B*S1232^2+2*SLOPE_B*S1232*T1232+SLOPE_A*T1232^2),0)</f>
        <v>333.399692538664</v>
      </c>
      <c r="X1232" s="27" t="n">
        <f aca="false">IF(M1232&gt;0,D1232*(E1232+2*SLABOVH)*SLAB,0)</f>
        <v>12.999986860617</v>
      </c>
      <c r="Y1232" s="27" t="n">
        <f aca="false">IF(M1232&gt;0,D1232*PI()*E1232^2/4,0)</f>
        <v>20.1061269370444</v>
      </c>
      <c r="Z1232" s="27" t="n">
        <f aca="false">IF(H1232-E1232&gt;=GWL,99,E1232*(MAX(0,GWL-H1232)*(GAM_S-GAM_W)+MAX(0,NG-MAX(H1232,GWL))*GAM_D)/(GAM_W*PI()*E1232^2/4))</f>
        <v>1.43385785286884</v>
      </c>
      <c r="AA1232" s="27" t="n">
        <f aca="false">IF(I1232-E1232&gt;=GWL,99,E1232*(MAX(0,GWL-I1232)*(GAM_S-GAM_W)+MAX(0,NG-MAX(I1232,GWL))*GAM_D)/(GAM_W*PI()*E1232^2/4))</f>
        <v>1.43385785286884</v>
      </c>
      <c r="AB1232" s="27" t="n">
        <f aca="false">IF(H1232-E1232&gt;=GWL,99,E1232*(MAX(0,GWL-H1232)*(GAM_S-GAM_W)+MAX(0,FL-MAX(H1232,GWL))*GAM_D)/(GAM_W*PI()*E1232^2/4))</f>
        <v>3.91609498717</v>
      </c>
      <c r="AC1232" s="27" t="n">
        <f aca="false">IF(I1232-E1232&gt;=GWL,99,E1232*(MAX(0,GWL-I1232)*(GAM_S-GAM_W)+MAX(0,FL-MAX(I1232,GWL))*GAM_D)/(GAM_W*PI()*E1232^2/4))</f>
        <v>3.91609498717</v>
      </c>
    </row>
    <row r="1233" customFormat="false" ht="15" hidden="false" customHeight="false" outlineLevel="0" collapsed="false">
      <c r="A1233" s="25" t="s">
        <v>1856</v>
      </c>
      <c r="B1233" s="25" t="s">
        <v>1857</v>
      </c>
      <c r="C1233" s="25" t="s">
        <v>1871</v>
      </c>
      <c r="D1233" s="26" t="n">
        <v>8.11148553817106</v>
      </c>
      <c r="E1233" s="26" t="n">
        <v>1.59999737210949</v>
      </c>
      <c r="F1233" s="26" t="n">
        <v>-3.99999868605475</v>
      </c>
      <c r="G1233" s="26" t="n">
        <v>-3.99999868605475</v>
      </c>
      <c r="H1233" s="26" t="n">
        <v>-1.90000131394525</v>
      </c>
      <c r="I1233" s="26" t="n">
        <v>-1.90000131394525</v>
      </c>
      <c r="J1233" s="26" t="n">
        <v>34.5</v>
      </c>
      <c r="K1233" s="27" t="n">
        <f aca="false">MIN(F1233,G1233)</f>
        <v>-3.99999868605475</v>
      </c>
      <c r="L1233" s="27" t="n">
        <f aca="false">AVERAGE(F1233,G1233)</f>
        <v>-3.99999868605475</v>
      </c>
      <c r="M1233" s="27" t="n">
        <f aca="false">MAX(0,NG-L1233)</f>
        <v>3.29999868605475</v>
      </c>
      <c r="N1233" s="27" t="n">
        <f aca="false">MAX(0,GWL-K1233)</f>
        <v>2.49999868605475</v>
      </c>
      <c r="O1233" s="27" t="n">
        <f aca="false">MAX(0,NG-MAX(K1233,GWL))</f>
        <v>0.8</v>
      </c>
      <c r="P1233" s="27" t="n">
        <f aca="false">E1233/2+WS+SLOPE_A*O1233+SLOPE_B*N1233</f>
        <v>7.99999605816424</v>
      </c>
      <c r="Q1233" s="28" t="str">
        <f aca="false">IF(AND(P1233&lt;J1233,N1233&lt;=MAXOC),"Open cut","Shoring")</f>
        <v>Open cut</v>
      </c>
      <c r="R1233" s="27" t="n">
        <f aca="false">IF(Q1233="Shoring",D1233,0)</f>
        <v>0</v>
      </c>
      <c r="S1233" s="27" t="n">
        <f aca="false">MAX(0,GWL-L1233)</f>
        <v>2.49999868605475</v>
      </c>
      <c r="T1233" s="27" t="n">
        <f aca="false">MAX(0,NG-MAX(L1233,GWL))</f>
        <v>0.8</v>
      </c>
      <c r="U1233" s="27" t="n">
        <f aca="false">E1233+2*WS</f>
        <v>3.59999737210949</v>
      </c>
      <c r="V1233" s="27" t="n">
        <f aca="false">IF(Q1233="Shoring",D1233*M1233*U1233,0)</f>
        <v>0</v>
      </c>
      <c r="W1233" s="27" t="n">
        <f aca="false">IF(Q1233="Open cut",D1233*(U1233*M1233+SLOPE_B*S1233^2+2*SLOPE_B*S1233*T1233+SLOPE_A*T1233^2),0)</f>
        <v>270.436678444358</v>
      </c>
      <c r="X1233" s="27" t="n">
        <f aca="false">IF(M1233&gt;0,D1233*(E1233+2*SLABOVH)*SLAB,0)</f>
        <v>10.5449205415744</v>
      </c>
      <c r="Y1233" s="27" t="n">
        <f aca="false">IF(M1233&gt;0,D1233*PI()*E1233^2/4,0)</f>
        <v>16.3090557877594</v>
      </c>
      <c r="Z1233" s="27" t="n">
        <f aca="false">IF(H1233-E1233&gt;=GWL,99,E1233*(MAX(0,GWL-H1233)*(GAM_S-GAM_W)+MAX(0,NG-MAX(H1233,GWL))*GAM_D)/(GAM_W*PI()*E1233^2/4))</f>
        <v>1.43385785286884</v>
      </c>
      <c r="AA1233" s="27" t="n">
        <f aca="false">IF(I1233-E1233&gt;=GWL,99,E1233*(MAX(0,GWL-I1233)*(GAM_S-GAM_W)+MAX(0,NG-MAX(I1233,GWL))*GAM_D)/(GAM_W*PI()*E1233^2/4))</f>
        <v>1.43385785286884</v>
      </c>
      <c r="AB1233" s="27" t="n">
        <f aca="false">IF(H1233-E1233&gt;=GWL,99,E1233*(MAX(0,GWL-H1233)*(GAM_S-GAM_W)+MAX(0,FL-MAX(H1233,GWL))*GAM_D)/(GAM_W*PI()*E1233^2/4))</f>
        <v>3.91609498717</v>
      </c>
      <c r="AC1233" s="27" t="n">
        <f aca="false">IF(I1233-E1233&gt;=GWL,99,E1233*(MAX(0,GWL-I1233)*(GAM_S-GAM_W)+MAX(0,FL-MAX(I1233,GWL))*GAM_D)/(GAM_W*PI()*E1233^2/4))</f>
        <v>3.91609498717</v>
      </c>
    </row>
    <row r="1234" customFormat="false" ht="15" hidden="false" customHeight="false" outlineLevel="0" collapsed="false">
      <c r="A1234" s="25" t="s">
        <v>1872</v>
      </c>
      <c r="B1234" s="25" t="s">
        <v>1873</v>
      </c>
      <c r="C1234" s="25" t="s">
        <v>1874</v>
      </c>
      <c r="D1234" s="26" t="n">
        <v>6.0173099999673</v>
      </c>
      <c r="E1234" s="26" t="n">
        <v>2.27639861229757</v>
      </c>
      <c r="F1234" s="26" t="n">
        <v>-3.92819930614879</v>
      </c>
      <c r="G1234" s="26" t="n">
        <v>-3.92819930614879</v>
      </c>
      <c r="H1234" s="26" t="n">
        <v>-1.15180069385121</v>
      </c>
      <c r="I1234" s="26" t="n">
        <v>-1.15180069385121</v>
      </c>
      <c r="J1234" s="26" t="n">
        <v>15.9</v>
      </c>
      <c r="K1234" s="27" t="n">
        <f aca="false">MIN(F1234,G1234)</f>
        <v>-3.92819930614879</v>
      </c>
      <c r="L1234" s="27" t="n">
        <f aca="false">AVERAGE(F1234,G1234)</f>
        <v>-3.92819930614879</v>
      </c>
      <c r="M1234" s="27" t="n">
        <f aca="false">MAX(0,NG-L1234)</f>
        <v>3.22819930614879</v>
      </c>
      <c r="N1234" s="27" t="n">
        <f aca="false">MAX(0,GWL-K1234)</f>
        <v>2.42819930614879</v>
      </c>
      <c r="O1234" s="27" t="n">
        <f aca="false">MAX(0,NG-MAX(K1234,GWL))</f>
        <v>0.8</v>
      </c>
      <c r="P1234" s="27" t="n">
        <f aca="false">E1234/2+WS+SLOPE_A*O1234+SLOPE_B*N1234</f>
        <v>8.19459791844636</v>
      </c>
      <c r="Q1234" s="28" t="str">
        <f aca="false">IF(AND(P1234&lt;J1234,N1234&lt;=MAXOC),"Open cut","Shoring")</f>
        <v>Open cut</v>
      </c>
      <c r="R1234" s="27" t="n">
        <f aca="false">IF(Q1234="Shoring",D1234,0)</f>
        <v>0</v>
      </c>
      <c r="S1234" s="27" t="n">
        <f aca="false">MAX(0,GWL-L1234)</f>
        <v>2.42819930614879</v>
      </c>
      <c r="T1234" s="27" t="n">
        <f aca="false">MAX(0,NG-MAX(L1234,GWL))</f>
        <v>0.8</v>
      </c>
      <c r="U1234" s="27" t="n">
        <f aca="false">E1234+2*WS</f>
        <v>4.27639861229757</v>
      </c>
      <c r="V1234" s="27" t="n">
        <f aca="false">IF(Q1234="Shoring",D1234*M1234*U1234,0)</f>
        <v>0</v>
      </c>
      <c r="W1234" s="27" t="n">
        <f aca="false">IF(Q1234="Open cut",D1234*(U1234*M1234+SLOPE_B*S1234^2+2*SLOPE_B*S1234*T1234+SLOPE_A*T1234^2),0)</f>
        <v>206.55986222378</v>
      </c>
      <c r="X1234" s="27" t="n">
        <f aca="false">IF(M1234&gt;0,D1234*(E1234+2*SLABOVH)*SLAB,0)</f>
        <v>9.85755306682858</v>
      </c>
      <c r="Y1234" s="27" t="n">
        <f aca="false">IF(M1234&gt;0,D1234*PI()*E1234^2/4,0)</f>
        <v>24.4900060159163</v>
      </c>
      <c r="Z1234" s="27" t="n">
        <f aca="false">IF(H1234-E1234&gt;=GWL,99,E1234*(MAX(0,GWL-H1234)*(GAM_S-GAM_W)+MAX(0,NG-MAX(H1234,GWL))*GAM_D)/(GAM_W*PI()*E1234^2/4))</f>
        <v>0.463673416762461</v>
      </c>
      <c r="AA1234" s="27" t="n">
        <f aca="false">IF(I1234-E1234&gt;=GWL,99,E1234*(MAX(0,GWL-I1234)*(GAM_S-GAM_W)+MAX(0,NG-MAX(I1234,GWL))*GAM_D)/(GAM_W*PI()*E1234^2/4))</f>
        <v>0.463673416762461</v>
      </c>
      <c r="AB1234" s="27" t="n">
        <f aca="false">IF(H1234-E1234&gt;=GWL,99,E1234*(MAX(0,GWL-H1234)*(GAM_S-GAM_W)+MAX(0,FL-MAX(H1234,GWL))*GAM_D)/(GAM_W*PI()*E1234^2/4))</f>
        <v>2.20834716167655</v>
      </c>
      <c r="AC1234" s="27" t="n">
        <f aca="false">IF(I1234-E1234&gt;=GWL,99,E1234*(MAX(0,GWL-I1234)*(GAM_S-GAM_W)+MAX(0,FL-MAX(I1234,GWL))*GAM_D)/(GAM_W*PI()*E1234^2/4))</f>
        <v>2.20834716167655</v>
      </c>
    </row>
    <row r="1235" customFormat="false" ht="15" hidden="false" customHeight="false" outlineLevel="0" collapsed="false">
      <c r="A1235" s="25" t="s">
        <v>1872</v>
      </c>
      <c r="B1235" s="25" t="s">
        <v>1873</v>
      </c>
      <c r="C1235" s="25" t="s">
        <v>1875</v>
      </c>
      <c r="D1235" s="26" t="n">
        <v>2.19999999996063</v>
      </c>
      <c r="E1235" s="26" t="n">
        <v>2.27639861229757</v>
      </c>
      <c r="F1235" s="26" t="n">
        <v>-3.92819930614879</v>
      </c>
      <c r="G1235" s="26" t="n">
        <v>-3.92819930614879</v>
      </c>
      <c r="H1235" s="26" t="n">
        <v>-1.15180069385121</v>
      </c>
      <c r="I1235" s="26" t="n">
        <v>-1.15180069385121</v>
      </c>
      <c r="J1235" s="26" t="n">
        <v>15.98</v>
      </c>
      <c r="K1235" s="27" t="n">
        <f aca="false">MIN(F1235,G1235)</f>
        <v>-3.92819930614879</v>
      </c>
      <c r="L1235" s="27" t="n">
        <f aca="false">AVERAGE(F1235,G1235)</f>
        <v>-3.92819930614879</v>
      </c>
      <c r="M1235" s="27" t="n">
        <f aca="false">MAX(0,NG-L1235)</f>
        <v>3.22819930614879</v>
      </c>
      <c r="N1235" s="27" t="n">
        <f aca="false">MAX(0,GWL-K1235)</f>
        <v>2.42819930614879</v>
      </c>
      <c r="O1235" s="27" t="n">
        <f aca="false">MAX(0,NG-MAX(K1235,GWL))</f>
        <v>0.8</v>
      </c>
      <c r="P1235" s="27" t="n">
        <f aca="false">E1235/2+WS+SLOPE_A*O1235+SLOPE_B*N1235</f>
        <v>8.19459791844636</v>
      </c>
      <c r="Q1235" s="28" t="str">
        <f aca="false">IF(AND(P1235&lt;J1235,N1235&lt;=MAXOC),"Open cut","Shoring")</f>
        <v>Open cut</v>
      </c>
      <c r="R1235" s="27" t="n">
        <f aca="false">IF(Q1235="Shoring",D1235,0)</f>
        <v>0</v>
      </c>
      <c r="S1235" s="27" t="n">
        <f aca="false">MAX(0,GWL-L1235)</f>
        <v>2.42819930614879</v>
      </c>
      <c r="T1235" s="27" t="n">
        <f aca="false">MAX(0,NG-MAX(L1235,GWL))</f>
        <v>0.8</v>
      </c>
      <c r="U1235" s="27" t="n">
        <f aca="false">E1235+2*WS</f>
        <v>4.27639861229757</v>
      </c>
      <c r="V1235" s="27" t="n">
        <f aca="false">IF(Q1235="Shoring",D1235*M1235*U1235,0)</f>
        <v>0</v>
      </c>
      <c r="W1235" s="27" t="n">
        <f aca="false">IF(Q1235="Open cut",D1235*(U1235*M1235+SLOPE_B*S1235^2+2*SLOPE_B*S1235*T1235+SLOPE_A*T1235^2),0)</f>
        <v>75.5207388162905</v>
      </c>
      <c r="X1235" s="27" t="n">
        <f aca="false">IF(M1235&gt;0,D1235*(E1235+2*SLABOVH)*SLAB,0)</f>
        <v>3.60403847346283</v>
      </c>
      <c r="Y1235" s="27" t="n">
        <f aca="false">IF(M1235&gt;0,D1235*PI()*E1235^2/4,0)</f>
        <v>8.95383705249429</v>
      </c>
      <c r="Z1235" s="27" t="n">
        <f aca="false">IF(H1235-E1235&gt;=GWL,99,E1235*(MAX(0,GWL-H1235)*(GAM_S-GAM_W)+MAX(0,NG-MAX(H1235,GWL))*GAM_D)/(GAM_W*PI()*E1235^2/4))</f>
        <v>0.463673416762461</v>
      </c>
      <c r="AA1235" s="27" t="n">
        <f aca="false">IF(I1235-E1235&gt;=GWL,99,E1235*(MAX(0,GWL-I1235)*(GAM_S-GAM_W)+MAX(0,NG-MAX(I1235,GWL))*GAM_D)/(GAM_W*PI()*E1235^2/4))</f>
        <v>0.463673416762461</v>
      </c>
      <c r="AB1235" s="27" t="n">
        <f aca="false">IF(H1235-E1235&gt;=GWL,99,E1235*(MAX(0,GWL-H1235)*(GAM_S-GAM_W)+MAX(0,FL-MAX(H1235,GWL))*GAM_D)/(GAM_W*PI()*E1235^2/4))</f>
        <v>2.20834716167655</v>
      </c>
      <c r="AC1235" s="27" t="n">
        <f aca="false">IF(I1235-E1235&gt;=GWL,99,E1235*(MAX(0,GWL-I1235)*(GAM_S-GAM_W)+MAX(0,FL-MAX(I1235,GWL))*GAM_D)/(GAM_W*PI()*E1235^2/4))</f>
        <v>2.20834716167655</v>
      </c>
    </row>
    <row r="1236" customFormat="false" ht="15" hidden="false" customHeight="false" outlineLevel="0" collapsed="false">
      <c r="A1236" s="25" t="s">
        <v>1872</v>
      </c>
      <c r="B1236" s="25" t="s">
        <v>1873</v>
      </c>
      <c r="C1236" s="25" t="s">
        <v>1876</v>
      </c>
      <c r="D1236" s="26" t="n">
        <v>1.78269000008789</v>
      </c>
      <c r="E1236" s="26" t="n">
        <v>2.24899394700079</v>
      </c>
      <c r="F1236" s="26" t="n">
        <v>-3.9144969735004</v>
      </c>
      <c r="G1236" s="26" t="n">
        <v>-3.9144969735004</v>
      </c>
      <c r="H1236" s="26" t="n">
        <v>-1.1655030264996</v>
      </c>
      <c r="I1236" s="26" t="n">
        <v>-1.1655030264996</v>
      </c>
      <c r="J1236" s="26" t="n">
        <v>14.45</v>
      </c>
      <c r="K1236" s="27" t="n">
        <f aca="false">MIN(F1236,G1236)</f>
        <v>-3.9144969735004</v>
      </c>
      <c r="L1236" s="27" t="n">
        <f aca="false">AVERAGE(F1236,G1236)</f>
        <v>-3.9144969735004</v>
      </c>
      <c r="M1236" s="27" t="n">
        <f aca="false">MAX(0,NG-L1236)</f>
        <v>3.2144969735004</v>
      </c>
      <c r="N1236" s="27" t="n">
        <f aca="false">MAX(0,GWL-K1236)</f>
        <v>2.4144969735004</v>
      </c>
      <c r="O1236" s="27" t="n">
        <f aca="false">MAX(0,NG-MAX(K1236,GWL))</f>
        <v>0.8</v>
      </c>
      <c r="P1236" s="27" t="n">
        <f aca="false">E1236/2+WS+SLOPE_A*O1236+SLOPE_B*N1236</f>
        <v>8.15349092050119</v>
      </c>
      <c r="Q1236" s="28" t="str">
        <f aca="false">IF(AND(P1236&lt;J1236,N1236&lt;=MAXOC),"Open cut","Shoring")</f>
        <v>Open cut</v>
      </c>
      <c r="R1236" s="27" t="n">
        <f aca="false">IF(Q1236="Shoring",D1236,0)</f>
        <v>0</v>
      </c>
      <c r="S1236" s="27" t="n">
        <f aca="false">MAX(0,GWL-L1236)</f>
        <v>2.4144969735004</v>
      </c>
      <c r="T1236" s="27" t="n">
        <f aca="false">MAX(0,NG-MAX(L1236,GWL))</f>
        <v>0.8</v>
      </c>
      <c r="U1236" s="27" t="n">
        <f aca="false">E1236+2*WS</f>
        <v>4.24899394700079</v>
      </c>
      <c r="V1236" s="27" t="n">
        <f aca="false">IF(Q1236="Shoring",D1236*M1236*U1236,0)</f>
        <v>0</v>
      </c>
      <c r="W1236" s="27" t="n">
        <f aca="false">IF(Q1236="Open cut",D1236*(U1236*M1236+SLOPE_B*S1236^2+2*SLOPE_B*S1236*T1236+SLOPE_A*T1236^2),0)</f>
        <v>60.6192321184143</v>
      </c>
      <c r="X1236" s="27" t="n">
        <f aca="false">IF(M1236&gt;0,D1236*(E1236+2*SLABOVH)*SLAB,0)</f>
        <v>2.8959745098322</v>
      </c>
      <c r="Y1236" s="27" t="n">
        <f aca="false">IF(M1236&gt;0,D1236*PI()*E1236^2/4,0)</f>
        <v>7.08177758401419</v>
      </c>
      <c r="Z1236" s="27" t="n">
        <f aca="false">IF(H1236-E1236&gt;=GWL,99,E1236*(MAX(0,GWL-H1236)*(GAM_S-GAM_W)+MAX(0,NG-MAX(H1236,GWL))*GAM_D)/(GAM_W*PI()*E1236^2/4))</f>
        <v>0.48355718279074</v>
      </c>
      <c r="AA1236" s="27" t="n">
        <f aca="false">IF(I1236-E1236&gt;=GWL,99,E1236*(MAX(0,GWL-I1236)*(GAM_S-GAM_W)+MAX(0,NG-MAX(I1236,GWL))*GAM_D)/(GAM_W*PI()*E1236^2/4))</f>
        <v>0.48355718279074</v>
      </c>
      <c r="AB1236" s="27" t="n">
        <f aca="false">IF(H1236-E1236&gt;=GWL,99,E1236*(MAX(0,GWL-H1236)*(GAM_S-GAM_W)+MAX(0,FL-MAX(H1236,GWL))*GAM_D)/(GAM_W*PI()*E1236^2/4))</f>
        <v>2.2494903001879</v>
      </c>
      <c r="AC1236" s="27" t="n">
        <f aca="false">IF(I1236-E1236&gt;=GWL,99,E1236*(MAX(0,GWL-I1236)*(GAM_S-GAM_W)+MAX(0,FL-MAX(I1236,GWL))*GAM_D)/(GAM_W*PI()*E1236^2/4))</f>
        <v>2.2494903001879</v>
      </c>
    </row>
    <row r="1237" customFormat="false" ht="15" hidden="false" customHeight="false" outlineLevel="0" collapsed="false">
      <c r="A1237" s="25" t="s">
        <v>1872</v>
      </c>
      <c r="B1237" s="25" t="s">
        <v>1873</v>
      </c>
      <c r="C1237" s="25" t="s">
        <v>1877</v>
      </c>
      <c r="D1237" s="26" t="n">
        <v>0.417305756830095</v>
      </c>
      <c r="E1237" s="26" t="n">
        <v>2.24899394700079</v>
      </c>
      <c r="F1237" s="26" t="n">
        <v>-3.9144969735004</v>
      </c>
      <c r="G1237" s="26" t="n">
        <v>-3.9144969735004</v>
      </c>
      <c r="H1237" s="26" t="n">
        <v>-1.1655030264996</v>
      </c>
      <c r="I1237" s="26" t="n">
        <v>-1.1655030264996</v>
      </c>
      <c r="J1237" s="26" t="n">
        <v>14.09</v>
      </c>
      <c r="K1237" s="27" t="n">
        <f aca="false">MIN(F1237,G1237)</f>
        <v>-3.9144969735004</v>
      </c>
      <c r="L1237" s="27" t="n">
        <f aca="false">AVERAGE(F1237,G1237)</f>
        <v>-3.9144969735004</v>
      </c>
      <c r="M1237" s="27" t="n">
        <f aca="false">MAX(0,NG-L1237)</f>
        <v>3.2144969735004</v>
      </c>
      <c r="N1237" s="27" t="n">
        <f aca="false">MAX(0,GWL-K1237)</f>
        <v>2.4144969735004</v>
      </c>
      <c r="O1237" s="27" t="n">
        <f aca="false">MAX(0,NG-MAX(K1237,GWL))</f>
        <v>0.8</v>
      </c>
      <c r="P1237" s="27" t="n">
        <f aca="false">E1237/2+WS+SLOPE_A*O1237+SLOPE_B*N1237</f>
        <v>8.15349092050119</v>
      </c>
      <c r="Q1237" s="28" t="str">
        <f aca="false">IF(AND(P1237&lt;J1237,N1237&lt;=MAXOC),"Open cut","Shoring")</f>
        <v>Open cut</v>
      </c>
      <c r="R1237" s="27" t="n">
        <f aca="false">IF(Q1237="Shoring",D1237,0)</f>
        <v>0</v>
      </c>
      <c r="S1237" s="27" t="n">
        <f aca="false">MAX(0,GWL-L1237)</f>
        <v>2.4144969735004</v>
      </c>
      <c r="T1237" s="27" t="n">
        <f aca="false">MAX(0,NG-MAX(L1237,GWL))</f>
        <v>0.8</v>
      </c>
      <c r="U1237" s="27" t="n">
        <f aca="false">E1237+2*WS</f>
        <v>4.24899394700079</v>
      </c>
      <c r="V1237" s="27" t="n">
        <f aca="false">IF(Q1237="Shoring",D1237*M1237*U1237,0)</f>
        <v>0</v>
      </c>
      <c r="W1237" s="27" t="n">
        <f aca="false">IF(Q1237="Open cut",D1237*(U1237*M1237+SLOPE_B*S1237^2+2*SLOPE_B*S1237*T1237+SLOPE_A*T1237^2),0)</f>
        <v>14.1902150886508</v>
      </c>
      <c r="X1237" s="27" t="n">
        <f aca="false">IF(M1237&gt;0,D1237*(E1237+2*SLABOVH)*SLAB,0)</f>
        <v>0.677911938994781</v>
      </c>
      <c r="Y1237" s="27" t="n">
        <f aca="false">IF(M1237&gt;0,D1237*PI()*E1237^2/4,0)</f>
        <v>1.65775684737881</v>
      </c>
      <c r="Z1237" s="27" t="n">
        <f aca="false">IF(H1237-E1237&gt;=GWL,99,E1237*(MAX(0,GWL-H1237)*(GAM_S-GAM_W)+MAX(0,NG-MAX(H1237,GWL))*GAM_D)/(GAM_W*PI()*E1237^2/4))</f>
        <v>0.48355718279074</v>
      </c>
      <c r="AA1237" s="27" t="n">
        <f aca="false">IF(I1237-E1237&gt;=GWL,99,E1237*(MAX(0,GWL-I1237)*(GAM_S-GAM_W)+MAX(0,NG-MAX(I1237,GWL))*GAM_D)/(GAM_W*PI()*E1237^2/4))</f>
        <v>0.48355718279074</v>
      </c>
      <c r="AB1237" s="27" t="n">
        <f aca="false">IF(H1237-E1237&gt;=GWL,99,E1237*(MAX(0,GWL-H1237)*(GAM_S-GAM_W)+MAX(0,FL-MAX(H1237,GWL))*GAM_D)/(GAM_W*PI()*E1237^2/4))</f>
        <v>2.2494903001879</v>
      </c>
      <c r="AC1237" s="27" t="n">
        <f aca="false">IF(I1237-E1237&gt;=GWL,99,E1237*(MAX(0,GWL-I1237)*(GAM_S-GAM_W)+MAX(0,FL-MAX(I1237,GWL))*GAM_D)/(GAM_W*PI()*E1237^2/4))</f>
        <v>2.2494903001879</v>
      </c>
    </row>
    <row r="1238" customFormat="false" ht="15" hidden="false" customHeight="false" outlineLevel="0" collapsed="false">
      <c r="A1238" s="25" t="s">
        <v>1872</v>
      </c>
      <c r="B1238" s="25" t="s">
        <v>1873</v>
      </c>
      <c r="C1238" s="25" t="s">
        <v>1878</v>
      </c>
      <c r="D1238" s="26" t="n">
        <v>1.47098344650925</v>
      </c>
      <c r="E1238" s="26" t="n">
        <v>2.24899394700079</v>
      </c>
      <c r="F1238" s="26" t="n">
        <v>-3.9144969735004</v>
      </c>
      <c r="G1238" s="26" t="n">
        <v>-3.9144969735004</v>
      </c>
      <c r="H1238" s="26" t="n">
        <v>-1.1655030264996</v>
      </c>
      <c r="I1238" s="26" t="n">
        <v>-1.1655030264996</v>
      </c>
      <c r="J1238" s="26" t="n">
        <v>12.85</v>
      </c>
      <c r="K1238" s="27" t="n">
        <f aca="false">MIN(F1238,G1238)</f>
        <v>-3.9144969735004</v>
      </c>
      <c r="L1238" s="27" t="n">
        <f aca="false">AVERAGE(F1238,G1238)</f>
        <v>-3.9144969735004</v>
      </c>
      <c r="M1238" s="27" t="n">
        <f aca="false">MAX(0,NG-L1238)</f>
        <v>3.2144969735004</v>
      </c>
      <c r="N1238" s="27" t="n">
        <f aca="false">MAX(0,GWL-K1238)</f>
        <v>2.4144969735004</v>
      </c>
      <c r="O1238" s="27" t="n">
        <f aca="false">MAX(0,NG-MAX(K1238,GWL))</f>
        <v>0.8</v>
      </c>
      <c r="P1238" s="27" t="n">
        <f aca="false">E1238/2+WS+SLOPE_A*O1238+SLOPE_B*N1238</f>
        <v>8.15349092050119</v>
      </c>
      <c r="Q1238" s="28" t="str">
        <f aca="false">IF(AND(P1238&lt;J1238,N1238&lt;=MAXOC),"Open cut","Shoring")</f>
        <v>Open cut</v>
      </c>
      <c r="R1238" s="27" t="n">
        <f aca="false">IF(Q1238="Shoring",D1238,0)</f>
        <v>0</v>
      </c>
      <c r="S1238" s="27" t="n">
        <f aca="false">MAX(0,GWL-L1238)</f>
        <v>2.4144969735004</v>
      </c>
      <c r="T1238" s="27" t="n">
        <f aca="false">MAX(0,NG-MAX(L1238,GWL))</f>
        <v>0.8</v>
      </c>
      <c r="U1238" s="27" t="n">
        <f aca="false">E1238+2*WS</f>
        <v>4.24899394700079</v>
      </c>
      <c r="V1238" s="27" t="n">
        <f aca="false">IF(Q1238="Shoring",D1238*M1238*U1238,0)</f>
        <v>0</v>
      </c>
      <c r="W1238" s="27" t="n">
        <f aca="false">IF(Q1238="Open cut",D1238*(U1238*M1238+SLOPE_B*S1238^2+2*SLOPE_B*S1238*T1238+SLOPE_A*T1238^2),0)</f>
        <v>50.019850328376</v>
      </c>
      <c r="X1238" s="27" t="n">
        <f aca="false">IF(M1238&gt;0,D1238*(E1238+2*SLABOVH)*SLAB,0)</f>
        <v>2.38960815692345</v>
      </c>
      <c r="Y1238" s="27" t="n">
        <f aca="false">IF(M1238&gt;0,D1238*PI()*E1238^2/4,0)</f>
        <v>5.84351603331567</v>
      </c>
      <c r="Z1238" s="27" t="n">
        <f aca="false">IF(H1238-E1238&gt;=GWL,99,E1238*(MAX(0,GWL-H1238)*(GAM_S-GAM_W)+MAX(0,NG-MAX(H1238,GWL))*GAM_D)/(GAM_W*PI()*E1238^2/4))</f>
        <v>0.48355718279074</v>
      </c>
      <c r="AA1238" s="27" t="n">
        <f aca="false">IF(I1238-E1238&gt;=GWL,99,E1238*(MAX(0,GWL-I1238)*(GAM_S-GAM_W)+MAX(0,NG-MAX(I1238,GWL))*GAM_D)/(GAM_W*PI()*E1238^2/4))</f>
        <v>0.48355718279074</v>
      </c>
      <c r="AB1238" s="27" t="n">
        <f aca="false">IF(H1238-E1238&gt;=GWL,99,E1238*(MAX(0,GWL-H1238)*(GAM_S-GAM_W)+MAX(0,FL-MAX(H1238,GWL))*GAM_D)/(GAM_W*PI()*E1238^2/4))</f>
        <v>2.2494903001879</v>
      </c>
      <c r="AC1238" s="27" t="n">
        <f aca="false">IF(I1238-E1238&gt;=GWL,99,E1238*(MAX(0,GWL-I1238)*(GAM_S-GAM_W)+MAX(0,FL-MAX(I1238,GWL))*GAM_D)/(GAM_W*PI()*E1238^2/4))</f>
        <v>2.2494903001879</v>
      </c>
    </row>
    <row r="1239" customFormat="false" ht="15" hidden="false" customHeight="false" outlineLevel="0" collapsed="false">
      <c r="A1239" s="25" t="s">
        <v>1872</v>
      </c>
      <c r="B1239" s="25" t="s">
        <v>1873</v>
      </c>
      <c r="C1239" s="25" t="s">
        <v>1879</v>
      </c>
      <c r="D1239" s="26" t="n">
        <v>0.686718100906837</v>
      </c>
      <c r="E1239" s="26" t="n">
        <v>2.20578320155264</v>
      </c>
      <c r="F1239" s="26" t="n">
        <v>-3.89289160077632</v>
      </c>
      <c r="G1239" s="26" t="n">
        <v>-3.89289160077632</v>
      </c>
      <c r="H1239" s="26" t="n">
        <v>-1.18710839922368</v>
      </c>
      <c r="I1239" s="26" t="n">
        <v>-1.18710839922368</v>
      </c>
      <c r="J1239" s="26" t="n">
        <v>12.36</v>
      </c>
      <c r="K1239" s="27" t="n">
        <f aca="false">MIN(F1239,G1239)</f>
        <v>-3.89289160077632</v>
      </c>
      <c r="L1239" s="27" t="n">
        <f aca="false">AVERAGE(F1239,G1239)</f>
        <v>-3.89289160077632</v>
      </c>
      <c r="M1239" s="27" t="n">
        <f aca="false">MAX(0,NG-L1239)</f>
        <v>3.19289160077632</v>
      </c>
      <c r="N1239" s="27" t="n">
        <f aca="false">MAX(0,GWL-K1239)</f>
        <v>2.39289160077632</v>
      </c>
      <c r="O1239" s="27" t="n">
        <f aca="false">MAX(0,NG-MAX(K1239,GWL))</f>
        <v>0.8</v>
      </c>
      <c r="P1239" s="27" t="n">
        <f aca="false">E1239/2+WS+SLOPE_A*O1239+SLOPE_B*N1239</f>
        <v>8.08867480232896</v>
      </c>
      <c r="Q1239" s="28" t="str">
        <f aca="false">IF(AND(P1239&lt;J1239,N1239&lt;=MAXOC),"Open cut","Shoring")</f>
        <v>Open cut</v>
      </c>
      <c r="R1239" s="27" t="n">
        <f aca="false">IF(Q1239="Shoring",D1239,0)</f>
        <v>0</v>
      </c>
      <c r="S1239" s="27" t="n">
        <f aca="false">MAX(0,GWL-L1239)</f>
        <v>2.39289160077632</v>
      </c>
      <c r="T1239" s="27" t="n">
        <f aca="false">MAX(0,NG-MAX(L1239,GWL))</f>
        <v>0.8</v>
      </c>
      <c r="U1239" s="27" t="n">
        <f aca="false">E1239+2*WS</f>
        <v>4.20578320155264</v>
      </c>
      <c r="V1239" s="27" t="n">
        <f aca="false">IF(Q1239="Shoring",D1239*M1239*U1239,0)</f>
        <v>0</v>
      </c>
      <c r="W1239" s="27" t="n">
        <f aca="false">IF(Q1239="Open cut",D1239*(U1239*M1239+SLOPE_B*S1239^2+2*SLOPE_B*S1239*T1239+SLOPE_A*T1239^2),0)</f>
        <v>23.003493003128</v>
      </c>
      <c r="X1239" s="27" t="n">
        <f aca="false">IF(M1239&gt;0,D1239*(E1239+2*SLABOVH)*SLAB,0)</f>
        <v>1.10073467604464</v>
      </c>
      <c r="Y1239" s="27" t="n">
        <f aca="false">IF(M1239&gt;0,D1239*PI()*E1239^2/4,0)</f>
        <v>2.62418244721109</v>
      </c>
      <c r="Z1239" s="27" t="n">
        <f aca="false">IF(H1239-E1239&gt;=GWL,99,E1239*(MAX(0,GWL-H1239)*(GAM_S-GAM_W)+MAX(0,NG-MAX(H1239,GWL))*GAM_D)/(GAM_W*PI()*E1239^2/4))</f>
        <v>0.515912926576745</v>
      </c>
      <c r="AA1239" s="27" t="n">
        <f aca="false">IF(I1239-E1239&gt;=GWL,99,E1239*(MAX(0,GWL-I1239)*(GAM_S-GAM_W)+MAX(0,NG-MAX(I1239,GWL))*GAM_D)/(GAM_W*PI()*E1239^2/4))</f>
        <v>0.515912926576745</v>
      </c>
      <c r="AB1239" s="27" t="n">
        <f aca="false">IF(H1239-E1239&gt;=GWL,99,E1239*(MAX(0,GWL-H1239)*(GAM_S-GAM_W)+MAX(0,FL-MAX(H1239,GWL))*GAM_D)/(GAM_W*PI()*E1239^2/4))</f>
        <v>2.31644023544322</v>
      </c>
      <c r="AC1239" s="27" t="n">
        <f aca="false">IF(I1239-E1239&gt;=GWL,99,E1239*(MAX(0,GWL-I1239)*(GAM_S-GAM_W)+MAX(0,FL-MAX(I1239,GWL))*GAM_D)/(GAM_W*PI()*E1239^2/4))</f>
        <v>2.31644023544322</v>
      </c>
    </row>
    <row r="1240" customFormat="false" ht="15" hidden="false" customHeight="false" outlineLevel="0" collapsed="false">
      <c r="A1240" s="25" t="s">
        <v>1872</v>
      </c>
      <c r="B1240" s="25" t="s">
        <v>1873</v>
      </c>
      <c r="C1240" s="25" t="s">
        <v>1880</v>
      </c>
      <c r="D1240" s="26" t="n">
        <v>0.686569910641135</v>
      </c>
      <c r="E1240" s="26" t="n">
        <v>2.20578295402329</v>
      </c>
      <c r="F1240" s="26" t="n">
        <v>-3.89289147701164</v>
      </c>
      <c r="G1240" s="26" t="n">
        <v>-3.89289147701164</v>
      </c>
      <c r="H1240" s="26" t="n">
        <v>-1.18710852298836</v>
      </c>
      <c r="I1240" s="26" t="n">
        <v>-1.18710852298836</v>
      </c>
      <c r="J1240" s="26" t="n">
        <v>12.09</v>
      </c>
      <c r="K1240" s="27" t="n">
        <f aca="false">MIN(F1240,G1240)</f>
        <v>-3.89289147701164</v>
      </c>
      <c r="L1240" s="27" t="n">
        <f aca="false">AVERAGE(F1240,G1240)</f>
        <v>-3.89289147701164</v>
      </c>
      <c r="M1240" s="27" t="n">
        <f aca="false">MAX(0,NG-L1240)</f>
        <v>3.19289147701164</v>
      </c>
      <c r="N1240" s="27" t="n">
        <f aca="false">MAX(0,GWL-K1240)</f>
        <v>2.39289147701164</v>
      </c>
      <c r="O1240" s="27" t="n">
        <f aca="false">MAX(0,NG-MAX(K1240,GWL))</f>
        <v>0.8</v>
      </c>
      <c r="P1240" s="27" t="n">
        <f aca="false">E1240/2+WS+SLOPE_A*O1240+SLOPE_B*N1240</f>
        <v>8.08867443103493</v>
      </c>
      <c r="Q1240" s="28" t="str">
        <f aca="false">IF(AND(P1240&lt;J1240,N1240&lt;=MAXOC),"Open cut","Shoring")</f>
        <v>Open cut</v>
      </c>
      <c r="R1240" s="27" t="n">
        <f aca="false">IF(Q1240="Shoring",D1240,0)</f>
        <v>0</v>
      </c>
      <c r="S1240" s="27" t="n">
        <f aca="false">MAX(0,GWL-L1240)</f>
        <v>2.39289147701164</v>
      </c>
      <c r="T1240" s="27" t="n">
        <f aca="false">MAX(0,NG-MAX(L1240,GWL))</f>
        <v>0.8</v>
      </c>
      <c r="U1240" s="27" t="n">
        <f aca="false">E1240+2*WS</f>
        <v>4.20578295402328</v>
      </c>
      <c r="V1240" s="27" t="n">
        <f aca="false">IF(Q1240="Shoring",D1240*M1240*U1240,0)</f>
        <v>0</v>
      </c>
      <c r="W1240" s="27" t="n">
        <f aca="false">IF(Q1240="Open cut",D1240*(U1240*M1240+SLOPE_B*S1240^2+2*SLOPE_B*S1240*T1240+SLOPE_A*T1240^2),0)</f>
        <v>22.998526981358</v>
      </c>
      <c r="X1240" s="27" t="n">
        <f aca="false">IF(M1240&gt;0,D1240*(E1240+2*SLABOVH)*SLAB,0)</f>
        <v>1.10049705813932</v>
      </c>
      <c r="Y1240" s="27" t="n">
        <f aca="false">IF(M1240&gt;0,D1240*PI()*E1240^2/4,0)</f>
        <v>2.62361557317975</v>
      </c>
      <c r="Z1240" s="27" t="n">
        <f aca="false">IF(H1240-E1240&gt;=GWL,99,E1240*(MAX(0,GWL-H1240)*(GAM_S-GAM_W)+MAX(0,NG-MAX(H1240,GWL))*GAM_D)/(GAM_W*PI()*E1240^2/4))</f>
        <v>0.515913115555009</v>
      </c>
      <c r="AA1240" s="27" t="n">
        <f aca="false">IF(I1240-E1240&gt;=GWL,99,E1240*(MAX(0,GWL-I1240)*(GAM_S-GAM_W)+MAX(0,NG-MAX(I1240,GWL))*GAM_D)/(GAM_W*PI()*E1240^2/4))</f>
        <v>0.515913115555009</v>
      </c>
      <c r="AB1240" s="27" t="n">
        <f aca="false">IF(H1240-E1240&gt;=GWL,99,E1240*(MAX(0,GWL-H1240)*(GAM_S-GAM_W)+MAX(0,FL-MAX(H1240,GWL))*GAM_D)/(GAM_W*PI()*E1240^2/4))</f>
        <v>2.31644062647371</v>
      </c>
      <c r="AC1240" s="27" t="n">
        <f aca="false">IF(I1240-E1240&gt;=GWL,99,E1240*(MAX(0,GWL-I1240)*(GAM_S-GAM_W)+MAX(0,FL-MAX(I1240,GWL))*GAM_D)/(GAM_W*PI()*E1240^2/4))</f>
        <v>2.31644062647371</v>
      </c>
    </row>
    <row r="1241" customFormat="false" ht="15" hidden="false" customHeight="false" outlineLevel="0" collapsed="false">
      <c r="A1241" s="25" t="s">
        <v>1872</v>
      </c>
      <c r="B1241" s="25" t="s">
        <v>1873</v>
      </c>
      <c r="C1241" s="25" t="s">
        <v>1881</v>
      </c>
      <c r="D1241" s="26" t="n">
        <v>1.47097875582518</v>
      </c>
      <c r="E1241" s="26" t="n">
        <v>2.24900387088019</v>
      </c>
      <c r="F1241" s="26" t="n">
        <v>-3.9145019354401</v>
      </c>
      <c r="G1241" s="26" t="n">
        <v>-3.9145019354401</v>
      </c>
      <c r="H1241" s="26" t="n">
        <v>-1.16549806455991</v>
      </c>
      <c r="I1241" s="26" t="n">
        <v>-1.16549806455991</v>
      </c>
      <c r="J1241" s="26" t="n">
        <v>11.84</v>
      </c>
      <c r="K1241" s="27" t="n">
        <f aca="false">MIN(F1241,G1241)</f>
        <v>-3.9145019354401</v>
      </c>
      <c r="L1241" s="27" t="n">
        <f aca="false">AVERAGE(F1241,G1241)</f>
        <v>-3.9145019354401</v>
      </c>
      <c r="M1241" s="27" t="n">
        <f aca="false">MAX(0,NG-L1241)</f>
        <v>3.2145019354401</v>
      </c>
      <c r="N1241" s="27" t="n">
        <f aca="false">MAX(0,GWL-K1241)</f>
        <v>2.4145019354401</v>
      </c>
      <c r="O1241" s="27" t="n">
        <f aca="false">MAX(0,NG-MAX(K1241,GWL))</f>
        <v>0.8</v>
      </c>
      <c r="P1241" s="27" t="n">
        <f aca="false">E1241/2+WS+SLOPE_A*O1241+SLOPE_B*N1241</f>
        <v>8.15350580632029</v>
      </c>
      <c r="Q1241" s="28" t="str">
        <f aca="false">IF(AND(P1241&lt;J1241,N1241&lt;=MAXOC),"Open cut","Shoring")</f>
        <v>Open cut</v>
      </c>
      <c r="R1241" s="27" t="n">
        <f aca="false">IF(Q1241="Shoring",D1241,0)</f>
        <v>0</v>
      </c>
      <c r="S1241" s="27" t="n">
        <f aca="false">MAX(0,GWL-L1241)</f>
        <v>2.4145019354401</v>
      </c>
      <c r="T1241" s="27" t="n">
        <f aca="false">MAX(0,NG-MAX(L1241,GWL))</f>
        <v>0.8</v>
      </c>
      <c r="U1241" s="27" t="n">
        <f aca="false">E1241+2*WS</f>
        <v>4.24900387088019</v>
      </c>
      <c r="V1241" s="27" t="n">
        <f aca="false">IF(Q1241="Shoring",D1241*M1241*U1241,0)</f>
        <v>0</v>
      </c>
      <c r="W1241" s="27" t="n">
        <f aca="false">IF(Q1241="Open cut",D1241*(U1241*M1241+SLOPE_B*S1241^2+2*SLOPE_B*S1241*T1241+SLOPE_A*T1241^2),0)</f>
        <v>50.0198626117317</v>
      </c>
      <c r="X1241" s="27" t="n">
        <f aca="false">IF(M1241&gt;0,D1241*(E1241+2*SLABOVH)*SLAB,0)</f>
        <v>2.38960783582927</v>
      </c>
      <c r="Y1241" s="27" t="n">
        <f aca="false">IF(M1241&gt;0,D1241*PI()*E1241^2/4,0)</f>
        <v>5.84354896944829</v>
      </c>
      <c r="Z1241" s="27" t="n">
        <f aca="false">IF(H1241-E1241&gt;=GWL,99,E1241*(MAX(0,GWL-H1241)*(GAM_S-GAM_W)+MAX(0,NG-MAX(H1241,GWL))*GAM_D)/(GAM_W*PI()*E1241^2/4))</f>
        <v>0.483549894700708</v>
      </c>
      <c r="AA1241" s="27" t="n">
        <f aca="false">IF(I1241-E1241&gt;=GWL,99,E1241*(MAX(0,GWL-I1241)*(GAM_S-GAM_W)+MAX(0,NG-MAX(I1241,GWL))*GAM_D)/(GAM_W*PI()*E1241^2/4))</f>
        <v>0.483549894700708</v>
      </c>
      <c r="AB1241" s="27" t="n">
        <f aca="false">IF(H1241-E1241&gt;=GWL,99,E1241*(MAX(0,GWL-H1241)*(GAM_S-GAM_W)+MAX(0,FL-MAX(H1241,GWL))*GAM_D)/(GAM_W*PI()*E1241^2/4))</f>
        <v>2.24947521980035</v>
      </c>
      <c r="AC1241" s="27" t="n">
        <f aca="false">IF(I1241-E1241&gt;=GWL,99,E1241*(MAX(0,GWL-I1241)*(GAM_S-GAM_W)+MAX(0,FL-MAX(I1241,GWL))*GAM_D)/(GAM_W*PI()*E1241^2/4))</f>
        <v>2.24947521980035</v>
      </c>
    </row>
    <row r="1242" customFormat="false" ht="15" hidden="false" customHeight="false" outlineLevel="0" collapsed="false">
      <c r="A1242" s="25" t="s">
        <v>1872</v>
      </c>
      <c r="B1242" s="25" t="s">
        <v>1882</v>
      </c>
      <c r="C1242" s="25" t="s">
        <v>1883</v>
      </c>
      <c r="D1242" s="26" t="n">
        <v>5.267444028785</v>
      </c>
      <c r="E1242" s="26" t="n">
        <v>2.2763964488073</v>
      </c>
      <c r="F1242" s="26" t="n">
        <v>-3.92819822440365</v>
      </c>
      <c r="G1242" s="26" t="n">
        <v>-3.98888842812217</v>
      </c>
      <c r="H1242" s="26" t="n">
        <v>-1.15180177559635</v>
      </c>
      <c r="I1242" s="26" t="n">
        <v>-1.21249197931487</v>
      </c>
      <c r="J1242" s="26" t="n">
        <v>11.37</v>
      </c>
      <c r="K1242" s="27" t="n">
        <f aca="false">MIN(F1242,G1242)</f>
        <v>-3.98888842812217</v>
      </c>
      <c r="L1242" s="27" t="n">
        <f aca="false">AVERAGE(F1242,G1242)</f>
        <v>-3.95854332626291</v>
      </c>
      <c r="M1242" s="27" t="n">
        <f aca="false">MAX(0,NG-L1242)</f>
        <v>3.25854332626291</v>
      </c>
      <c r="N1242" s="27" t="n">
        <f aca="false">MAX(0,GWL-K1242)</f>
        <v>2.48888842812217</v>
      </c>
      <c r="O1242" s="27" t="n">
        <f aca="false">MAX(0,NG-MAX(K1242,GWL))</f>
        <v>0.8</v>
      </c>
      <c r="P1242" s="27" t="n">
        <f aca="false">E1242/2+WS+SLOPE_A*O1242+SLOPE_B*N1242</f>
        <v>8.31597508064799</v>
      </c>
      <c r="Q1242" s="28" t="str">
        <f aca="false">IF(AND(P1242&lt;J1242,N1242&lt;=MAXOC),"Open cut","Shoring")</f>
        <v>Open cut</v>
      </c>
      <c r="R1242" s="27" t="n">
        <f aca="false">IF(Q1242="Shoring",D1242,0)</f>
        <v>0</v>
      </c>
      <c r="S1242" s="27" t="n">
        <f aca="false">MAX(0,GWL-L1242)</f>
        <v>2.45854332626291</v>
      </c>
      <c r="T1242" s="27" t="n">
        <f aca="false">MAX(0,NG-MAX(L1242,GWL))</f>
        <v>0.8</v>
      </c>
      <c r="U1242" s="27" t="n">
        <f aca="false">E1242+2*WS</f>
        <v>4.2763964488073</v>
      </c>
      <c r="V1242" s="27" t="n">
        <f aca="false">IF(Q1242="Shoring",D1242*M1242*U1242,0)</f>
        <v>0</v>
      </c>
      <c r="W1242" s="27" t="n">
        <f aca="false">IF(Q1242="Open cut",D1242*(U1242*M1242+SLOPE_B*S1242^2+2*SLOPE_B*S1242*T1242+SLOPE_A*T1242^2),0)</f>
        <v>183.575862127747</v>
      </c>
      <c r="X1242" s="27" t="n">
        <f aca="false">IF(M1242&gt;0,D1242*(E1242+2*SLABOVH)*SLAB,0)</f>
        <v>8.62911745510119</v>
      </c>
      <c r="Y1242" s="27" t="n">
        <f aca="false">IF(M1242&gt;0,D1242*PI()*E1242^2/4,0)</f>
        <v>21.4380663039547</v>
      </c>
      <c r="Z1242" s="27" t="n">
        <f aca="false">IF(H1242-E1242&gt;=GWL,99,E1242*(MAX(0,GWL-H1242)*(GAM_S-GAM_W)+MAX(0,NG-MAX(H1242,GWL))*GAM_D)/(GAM_W*PI()*E1242^2/4))</f>
        <v>0.463674967611325</v>
      </c>
      <c r="AA1242" s="27" t="n">
        <f aca="false">IF(I1242-E1242&gt;=GWL,99,E1242*(MAX(0,GWL-I1242)*(GAM_S-GAM_W)+MAX(0,NG-MAX(I1242,GWL))*GAM_D)/(GAM_W*PI()*E1242^2/4))</f>
        <v>0.525960088572538</v>
      </c>
      <c r="AB1242" s="27" t="n">
        <f aca="false">IF(H1242-E1242&gt;=GWL,99,E1242*(MAX(0,GWL-H1242)*(GAM_S-GAM_W)+MAX(0,FL-MAX(H1242,GWL))*GAM_D)/(GAM_W*PI()*E1242^2/4))</f>
        <v>2.20835037066571</v>
      </c>
      <c r="AC1242" s="27" t="n">
        <f aca="false">IF(I1242-E1242&gt;=GWL,99,E1242*(MAX(0,GWL-I1242)*(GAM_S-GAM_W)+MAX(0,FL-MAX(I1242,GWL))*GAM_D)/(GAM_W*PI()*E1242^2/4))</f>
        <v>2.27063549162693</v>
      </c>
    </row>
    <row r="1243" customFormat="false" ht="15" hidden="false" customHeight="false" outlineLevel="0" collapsed="false">
      <c r="A1243" s="25" t="s">
        <v>1872</v>
      </c>
      <c r="B1243" s="25" t="s">
        <v>1882</v>
      </c>
      <c r="C1243" s="25" t="s">
        <v>1884</v>
      </c>
      <c r="D1243" s="26" t="n">
        <v>10.0000000002046</v>
      </c>
      <c r="E1243" s="26" t="n">
        <v>2.2763964488073</v>
      </c>
      <c r="F1243" s="26" t="n">
        <v>-3.98888842812217</v>
      </c>
      <c r="G1243" s="26" t="n">
        <v>-4.10410598598206</v>
      </c>
      <c r="H1243" s="26" t="n">
        <v>-1.21249197931487</v>
      </c>
      <c r="I1243" s="26" t="n">
        <v>-1.32770953717476</v>
      </c>
      <c r="J1243" s="26" t="n">
        <v>11.36</v>
      </c>
      <c r="K1243" s="27" t="n">
        <f aca="false">MIN(F1243,G1243)</f>
        <v>-4.10410598598206</v>
      </c>
      <c r="L1243" s="27" t="n">
        <f aca="false">AVERAGE(F1243,G1243)</f>
        <v>-4.04649720705212</v>
      </c>
      <c r="M1243" s="27" t="n">
        <f aca="false">MAX(0,NG-L1243)</f>
        <v>3.34649720705211</v>
      </c>
      <c r="N1243" s="27" t="n">
        <f aca="false">MAX(0,GWL-K1243)</f>
        <v>2.60410598598206</v>
      </c>
      <c r="O1243" s="27" t="n">
        <f aca="false">MAX(0,NG-MAX(K1243,GWL))</f>
        <v>0.8</v>
      </c>
      <c r="P1243" s="27" t="n">
        <f aca="false">E1243/2+WS+SLOPE_A*O1243+SLOPE_B*N1243</f>
        <v>8.54641019636777</v>
      </c>
      <c r="Q1243" s="28" t="str">
        <f aca="false">IF(AND(P1243&lt;J1243,N1243&lt;=MAXOC),"Open cut","Shoring")</f>
        <v>Shoring</v>
      </c>
      <c r="R1243" s="27" t="n">
        <f aca="false">IF(Q1243="Shoring",D1243,0)</f>
        <v>10.0000000002046</v>
      </c>
      <c r="S1243" s="27" t="n">
        <f aca="false">MAX(0,GWL-L1243)</f>
        <v>2.54649720705211</v>
      </c>
      <c r="T1243" s="27" t="n">
        <f aca="false">MAX(0,NG-MAX(L1243,GWL))</f>
        <v>0.8</v>
      </c>
      <c r="U1243" s="27" t="n">
        <f aca="false">E1243+2*WS</f>
        <v>4.2763964488073</v>
      </c>
      <c r="V1243" s="27" t="n">
        <f aca="false">IF(Q1243="Shoring",D1243*M1243*U1243,0)</f>
        <v>143.109487724739</v>
      </c>
      <c r="W1243" s="27" t="n">
        <f aca="false">IF(Q1243="Open cut",D1243*(U1243*M1243+SLOPE_B*S1243^2+2*SLOPE_B*S1243*T1243+SLOPE_A*T1243^2),0)</f>
        <v>0</v>
      </c>
      <c r="X1243" s="27" t="n">
        <f aca="false">IF(M1243&gt;0,D1243*(E1243+2*SLABOVH)*SLAB,0)</f>
        <v>16.3819822443716</v>
      </c>
      <c r="Y1243" s="27" t="n">
        <f aca="false">IF(M1243&gt;0,D1243*PI()*E1243^2/4,0)</f>
        <v>40.6991819699281</v>
      </c>
      <c r="Z1243" s="27" t="n">
        <f aca="false">IF(H1243-E1243&gt;=GWL,99,E1243*(MAX(0,GWL-H1243)*(GAM_S-GAM_W)+MAX(0,NG-MAX(H1243,GWL))*GAM_D)/(GAM_W*PI()*E1243^2/4))</f>
        <v>0.525960088572538</v>
      </c>
      <c r="AA1243" s="27" t="n">
        <f aca="false">IF(I1243-E1243&gt;=GWL,99,E1243*(MAX(0,GWL-I1243)*(GAM_S-GAM_W)+MAX(0,NG-MAX(I1243,GWL))*GAM_D)/(GAM_W*PI()*E1243^2/4))</f>
        <v>0.644205523394974</v>
      </c>
      <c r="AB1243" s="27" t="n">
        <f aca="false">IF(H1243-E1243&gt;=GWL,99,E1243*(MAX(0,GWL-H1243)*(GAM_S-GAM_W)+MAX(0,FL-MAX(H1243,GWL))*GAM_D)/(GAM_W*PI()*E1243^2/4))</f>
        <v>2.27063549162693</v>
      </c>
      <c r="AC1243" s="27" t="n">
        <f aca="false">IF(I1243-E1243&gt;=GWL,99,E1243*(MAX(0,GWL-I1243)*(GAM_S-GAM_W)+MAX(0,FL-MAX(I1243,GWL))*GAM_D)/(GAM_W*PI()*E1243^2/4))</f>
        <v>2.38888092644936</v>
      </c>
    </row>
    <row r="1244" customFormat="false" ht="15" hidden="false" customHeight="false" outlineLevel="0" collapsed="false">
      <c r="A1244" s="25" t="s">
        <v>1872</v>
      </c>
      <c r="B1244" s="25" t="s">
        <v>1882</v>
      </c>
      <c r="C1244" s="25" t="s">
        <v>1885</v>
      </c>
      <c r="D1244" s="26" t="n">
        <v>9.9999999998694</v>
      </c>
      <c r="E1244" s="26" t="n">
        <v>2.2763964488073</v>
      </c>
      <c r="F1244" s="26" t="n">
        <v>-4.10410598598206</v>
      </c>
      <c r="G1244" s="26" t="n">
        <v>-4.21932354384195</v>
      </c>
      <c r="H1244" s="26" t="n">
        <v>-1.32770953717476</v>
      </c>
      <c r="I1244" s="26" t="n">
        <v>-1.44292709503465</v>
      </c>
      <c r="J1244" s="26" t="n">
        <v>11.66</v>
      </c>
      <c r="K1244" s="27" t="n">
        <f aca="false">MIN(F1244,G1244)</f>
        <v>-4.21932354384195</v>
      </c>
      <c r="L1244" s="27" t="n">
        <f aca="false">AVERAGE(F1244,G1244)</f>
        <v>-4.161714764912</v>
      </c>
      <c r="M1244" s="27" t="n">
        <f aca="false">MAX(0,NG-L1244)</f>
        <v>3.461714764912</v>
      </c>
      <c r="N1244" s="27" t="n">
        <f aca="false">MAX(0,GWL-K1244)</f>
        <v>2.71932354384195</v>
      </c>
      <c r="O1244" s="27" t="n">
        <f aca="false">MAX(0,NG-MAX(K1244,GWL))</f>
        <v>0.8</v>
      </c>
      <c r="P1244" s="27" t="n">
        <f aca="false">E1244/2+WS+SLOPE_A*O1244+SLOPE_B*N1244</f>
        <v>8.77684531208754</v>
      </c>
      <c r="Q1244" s="28" t="str">
        <f aca="false">IF(AND(P1244&lt;J1244,N1244&lt;=MAXOC),"Open cut","Shoring")</f>
        <v>Shoring</v>
      </c>
      <c r="R1244" s="27" t="n">
        <f aca="false">IF(Q1244="Shoring",D1244,0)</f>
        <v>9.9999999998694</v>
      </c>
      <c r="S1244" s="27" t="n">
        <f aca="false">MAX(0,GWL-L1244)</f>
        <v>2.661714764912</v>
      </c>
      <c r="T1244" s="27" t="n">
        <f aca="false">MAX(0,NG-MAX(L1244,GWL))</f>
        <v>0.8</v>
      </c>
      <c r="U1244" s="27" t="n">
        <f aca="false">E1244+2*WS</f>
        <v>4.2763964488073</v>
      </c>
      <c r="V1244" s="27" t="n">
        <f aca="false">IF(Q1244="Shoring",D1244*M1244*U1244,0)</f>
        <v>148.036647272601</v>
      </c>
      <c r="W1244" s="27" t="n">
        <f aca="false">IF(Q1244="Open cut",D1244*(U1244*M1244+SLOPE_B*S1244^2+2*SLOPE_B*S1244*T1244+SLOPE_A*T1244^2),0)</f>
        <v>0</v>
      </c>
      <c r="X1244" s="27" t="n">
        <f aca="false">IF(M1244&gt;0,D1244*(E1244+2*SLABOVH)*SLAB,0)</f>
        <v>16.3819822438225</v>
      </c>
      <c r="Y1244" s="27" t="n">
        <f aca="false">IF(M1244&gt;0,D1244*PI()*E1244^2/4,0)</f>
        <v>40.6991819685641</v>
      </c>
      <c r="Z1244" s="27" t="n">
        <f aca="false">IF(H1244-E1244&gt;=GWL,99,E1244*(MAX(0,GWL-H1244)*(GAM_S-GAM_W)+MAX(0,NG-MAX(H1244,GWL))*GAM_D)/(GAM_W*PI()*E1244^2/4))</f>
        <v>0.644205523394974</v>
      </c>
      <c r="AA1244" s="27" t="n">
        <f aca="false">IF(I1244-E1244&gt;=GWL,99,E1244*(MAX(0,GWL-I1244)*(GAM_S-GAM_W)+MAX(0,NG-MAX(I1244,GWL))*GAM_D)/(GAM_W*PI()*E1244^2/4))</f>
        <v>0.762450958217411</v>
      </c>
      <c r="AB1244" s="27" t="n">
        <f aca="false">IF(H1244-E1244&gt;=GWL,99,E1244*(MAX(0,GWL-H1244)*(GAM_S-GAM_W)+MAX(0,FL-MAX(H1244,GWL))*GAM_D)/(GAM_W*PI()*E1244^2/4))</f>
        <v>2.38888092644936</v>
      </c>
      <c r="AC1244" s="27" t="n">
        <f aca="false">IF(I1244-E1244&gt;=GWL,99,E1244*(MAX(0,GWL-I1244)*(GAM_S-GAM_W)+MAX(0,FL-MAX(I1244,GWL))*GAM_D)/(GAM_W*PI()*E1244^2/4))</f>
        <v>2.5071263612718</v>
      </c>
    </row>
    <row r="1245" customFormat="false" ht="15" hidden="false" customHeight="false" outlineLevel="0" collapsed="false">
      <c r="A1245" s="25" t="s">
        <v>1872</v>
      </c>
      <c r="B1245" s="25" t="s">
        <v>1882</v>
      </c>
      <c r="C1245" s="25" t="s">
        <v>1886</v>
      </c>
      <c r="D1245" s="26" t="n">
        <v>1.88119597122575</v>
      </c>
      <c r="E1245" s="26" t="n">
        <v>2.2763964488073</v>
      </c>
      <c r="F1245" s="26" t="n">
        <v>-4.21932354384195</v>
      </c>
      <c r="G1245" s="26" t="n">
        <v>-4.24099822440365</v>
      </c>
      <c r="H1245" s="26" t="n">
        <v>-1.44292709503465</v>
      </c>
      <c r="I1245" s="26" t="n">
        <v>-1.46460177559635</v>
      </c>
      <c r="J1245" s="26" t="n">
        <v>14.9</v>
      </c>
      <c r="K1245" s="27" t="n">
        <f aca="false">MIN(F1245,G1245)</f>
        <v>-4.24099822440365</v>
      </c>
      <c r="L1245" s="27" t="n">
        <f aca="false">AVERAGE(F1245,G1245)</f>
        <v>-4.2301608841228</v>
      </c>
      <c r="M1245" s="27" t="n">
        <f aca="false">MAX(0,NG-L1245)</f>
        <v>3.5301608841228</v>
      </c>
      <c r="N1245" s="27" t="n">
        <f aca="false">MAX(0,GWL-K1245)</f>
        <v>2.74099822440365</v>
      </c>
      <c r="O1245" s="27" t="n">
        <f aca="false">MAX(0,NG-MAX(K1245,GWL))</f>
        <v>0.8</v>
      </c>
      <c r="P1245" s="27" t="n">
        <f aca="false">E1245/2+WS+SLOPE_A*O1245+SLOPE_B*N1245</f>
        <v>8.82019467321095</v>
      </c>
      <c r="Q1245" s="28" t="str">
        <f aca="false">IF(AND(P1245&lt;J1245,N1245&lt;=MAXOC),"Open cut","Shoring")</f>
        <v>Shoring</v>
      </c>
      <c r="R1245" s="27" t="n">
        <f aca="false">IF(Q1245="Shoring",D1245,0)</f>
        <v>1.88119597122575</v>
      </c>
      <c r="S1245" s="27" t="n">
        <f aca="false">MAX(0,GWL-L1245)</f>
        <v>2.7301608841228</v>
      </c>
      <c r="T1245" s="27" t="n">
        <f aca="false">MAX(0,NG-MAX(L1245,GWL))</f>
        <v>0.8</v>
      </c>
      <c r="U1245" s="27" t="n">
        <f aca="false">E1245+2*WS</f>
        <v>4.2763964488073</v>
      </c>
      <c r="V1245" s="27" t="n">
        <f aca="false">IF(Q1245="Shoring",D1245*M1245*U1245,0)</f>
        <v>28.3992256620384</v>
      </c>
      <c r="W1245" s="27" t="n">
        <f aca="false">IF(Q1245="Open cut",D1245*(U1245*M1245+SLOPE_B*S1245^2+2*SLOPE_B*S1245*T1245+SLOPE_A*T1245^2),0)</f>
        <v>0</v>
      </c>
      <c r="X1245" s="27" t="n">
        <f aca="false">IF(M1245&gt;0,D1245*(E1245+2*SLABOVH)*SLAB,0)</f>
        <v>3.08177189981733</v>
      </c>
      <c r="Y1245" s="27" t="n">
        <f aca="false">IF(M1245&gt;0,D1245*PI()*E1245^2/4,0)</f>
        <v>7.65631371524465</v>
      </c>
      <c r="Z1245" s="27" t="n">
        <f aca="false">IF(H1245-E1245&gt;=GWL,99,E1245*(MAX(0,GWL-H1245)*(GAM_S-GAM_W)+MAX(0,NG-MAX(H1245,GWL))*GAM_D)/(GAM_W*PI()*E1245^2/4))</f>
        <v>0.762450958217411</v>
      </c>
      <c r="AA1245" s="27" t="n">
        <f aca="false">IF(I1245-E1245&gt;=GWL,99,E1245*(MAX(0,GWL-I1245)*(GAM_S-GAM_W)+MAX(0,NG-MAX(I1245,GWL))*GAM_D)/(GAM_W*PI()*E1245^2/4))</f>
        <v>0.784695241773331</v>
      </c>
      <c r="AB1245" s="27" t="n">
        <f aca="false">IF(H1245-E1245&gt;=GWL,99,E1245*(MAX(0,GWL-H1245)*(GAM_S-GAM_W)+MAX(0,FL-MAX(H1245,GWL))*GAM_D)/(GAM_W*PI()*E1245^2/4))</f>
        <v>2.5071263612718</v>
      </c>
      <c r="AC1245" s="27" t="n">
        <f aca="false">IF(I1245-E1245&gt;=GWL,99,E1245*(MAX(0,GWL-I1245)*(GAM_S-GAM_W)+MAX(0,FL-MAX(I1245,GWL))*GAM_D)/(GAM_W*PI()*E1245^2/4))</f>
        <v>2.52937064482772</v>
      </c>
    </row>
    <row r="1246" customFormat="false" ht="15" hidden="false" customHeight="false" outlineLevel="0" collapsed="false">
      <c r="A1246" s="25" t="s">
        <v>1872</v>
      </c>
      <c r="B1246" s="25" t="s">
        <v>1882</v>
      </c>
      <c r="C1246" s="25" t="s">
        <v>1887</v>
      </c>
      <c r="D1246" s="26" t="n">
        <v>3.34940152872755</v>
      </c>
      <c r="E1246" s="26" t="n">
        <v>2.2763964488073</v>
      </c>
      <c r="F1246" s="26" t="n">
        <v>-4.24099822440365</v>
      </c>
      <c r="G1246" s="26" t="n">
        <v>-4.27959822440365</v>
      </c>
      <c r="H1246" s="26" t="n">
        <v>-1.46460177559635</v>
      </c>
      <c r="I1246" s="26" t="n">
        <v>-1.50320177559635</v>
      </c>
      <c r="J1246" s="26" t="n">
        <v>16.14</v>
      </c>
      <c r="K1246" s="27" t="n">
        <f aca="false">MIN(F1246,G1246)</f>
        <v>-4.27959822440365</v>
      </c>
      <c r="L1246" s="27" t="n">
        <f aca="false">AVERAGE(F1246,G1246)</f>
        <v>-4.26029822440365</v>
      </c>
      <c r="M1246" s="27" t="n">
        <f aca="false">MAX(0,NG-L1246)</f>
        <v>3.56029822440365</v>
      </c>
      <c r="N1246" s="27" t="n">
        <f aca="false">MAX(0,GWL-K1246)</f>
        <v>2.77959822440365</v>
      </c>
      <c r="O1246" s="27" t="n">
        <f aca="false">MAX(0,NG-MAX(K1246,GWL))</f>
        <v>0.8</v>
      </c>
      <c r="P1246" s="27" t="n">
        <f aca="false">E1246/2+WS+SLOPE_A*O1246+SLOPE_B*N1246</f>
        <v>8.89739467321095</v>
      </c>
      <c r="Q1246" s="28" t="str">
        <f aca="false">IF(AND(P1246&lt;J1246,N1246&lt;=MAXOC),"Open cut","Shoring")</f>
        <v>Shoring</v>
      </c>
      <c r="R1246" s="27" t="n">
        <f aca="false">IF(Q1246="Shoring",D1246,0)</f>
        <v>3.34940152872755</v>
      </c>
      <c r="S1246" s="27" t="n">
        <f aca="false">MAX(0,GWL-L1246)</f>
        <v>2.76029822440365</v>
      </c>
      <c r="T1246" s="27" t="n">
        <f aca="false">MAX(0,NG-MAX(L1246,GWL))</f>
        <v>0.8</v>
      </c>
      <c r="U1246" s="27" t="n">
        <f aca="false">E1246+2*WS</f>
        <v>4.2763964488073</v>
      </c>
      <c r="V1246" s="27" t="n">
        <f aca="false">IF(Q1246="Shoring",D1246*M1246*U1246,0)</f>
        <v>50.9954645170851</v>
      </c>
      <c r="W1246" s="27" t="n">
        <f aca="false">IF(Q1246="Open cut",D1246*(U1246*M1246+SLOPE_B*S1246^2+2*SLOPE_B*S1246*T1246+SLOPE_A*T1246^2),0)</f>
        <v>0</v>
      </c>
      <c r="X1246" s="27" t="n">
        <f aca="false">IF(M1246&gt;0,D1246*(E1246+2*SLABOVH)*SLAB,0)</f>
        <v>5.48698363717634</v>
      </c>
      <c r="Y1246" s="27" t="n">
        <f aca="false">IF(M1246&gt;0,D1246*PI()*E1246^2/4,0)</f>
        <v>13.6317902305249</v>
      </c>
      <c r="Z1246" s="27" t="n">
        <f aca="false">IF(H1246-E1246&gt;=GWL,99,E1246*(MAX(0,GWL-H1246)*(GAM_S-GAM_W)+MAX(0,NG-MAX(H1246,GWL))*GAM_D)/(GAM_W*PI()*E1246^2/4))</f>
        <v>0.784695241773331</v>
      </c>
      <c r="AA1246" s="27" t="n">
        <f aca="false">IF(I1246-E1246&gt;=GWL,99,E1246*(MAX(0,GWL-I1246)*(GAM_S-GAM_W)+MAX(0,NG-MAX(I1246,GWL))*GAM_D)/(GAM_W*PI()*E1246^2/4))</f>
        <v>0.822518811380723</v>
      </c>
      <c r="AB1246" s="27" t="n">
        <f aca="false">IF(H1246-E1246&gt;=GWL,99,E1246*(MAX(0,GWL-H1246)*(GAM_S-GAM_W)+MAX(0,FL-MAX(H1246,GWL))*GAM_D)/(GAM_W*PI()*E1246^2/4))</f>
        <v>2.52937064482772</v>
      </c>
      <c r="AC1246" s="27" t="n">
        <f aca="false">IF(I1246-E1246&gt;=GWL,99,E1246*(MAX(0,GWL-I1246)*(GAM_S-GAM_W)+MAX(0,FL-MAX(I1246,GWL))*GAM_D)/(GAM_W*PI()*E1246^2/4))</f>
        <v>2.56719421443511</v>
      </c>
    </row>
    <row r="1247" customFormat="false" ht="15" hidden="false" customHeight="false" outlineLevel="0" collapsed="false">
      <c r="A1247" s="25" t="s">
        <v>1872</v>
      </c>
      <c r="B1247" s="25" t="s">
        <v>1882</v>
      </c>
      <c r="C1247" s="25" t="s">
        <v>1888</v>
      </c>
      <c r="D1247" s="26" t="n">
        <v>3.35046457075922</v>
      </c>
      <c r="E1247" s="26" t="n">
        <v>2.27639778569161</v>
      </c>
      <c r="F1247" s="26" t="n">
        <v>-4.2795988928458</v>
      </c>
      <c r="G1247" s="26" t="n">
        <v>-4.31819889284581</v>
      </c>
      <c r="H1247" s="26" t="n">
        <v>-1.5032011071542</v>
      </c>
      <c r="I1247" s="26" t="n">
        <v>-1.5418011071542</v>
      </c>
      <c r="J1247" s="26" t="n">
        <v>17.39</v>
      </c>
      <c r="K1247" s="27" t="n">
        <f aca="false">MIN(F1247,G1247)</f>
        <v>-4.31819889284581</v>
      </c>
      <c r="L1247" s="27" t="n">
        <f aca="false">AVERAGE(F1247,G1247)</f>
        <v>-4.29889889284581</v>
      </c>
      <c r="M1247" s="27" t="n">
        <f aca="false">MAX(0,NG-L1247)</f>
        <v>3.5988988928458</v>
      </c>
      <c r="N1247" s="27" t="n">
        <f aca="false">MAX(0,GWL-K1247)</f>
        <v>2.81819889284581</v>
      </c>
      <c r="O1247" s="27" t="n">
        <f aca="false">MAX(0,NG-MAX(K1247,GWL))</f>
        <v>0.8</v>
      </c>
      <c r="P1247" s="27" t="n">
        <f aca="false">E1247/2+WS+SLOPE_A*O1247+SLOPE_B*N1247</f>
        <v>8.97459667853742</v>
      </c>
      <c r="Q1247" s="28" t="str">
        <f aca="false">IF(AND(P1247&lt;J1247,N1247&lt;=MAXOC),"Open cut","Shoring")</f>
        <v>Shoring</v>
      </c>
      <c r="R1247" s="27" t="n">
        <f aca="false">IF(Q1247="Shoring",D1247,0)</f>
        <v>3.35046457075922</v>
      </c>
      <c r="S1247" s="27" t="n">
        <f aca="false">MAX(0,GWL-L1247)</f>
        <v>2.7988988928458</v>
      </c>
      <c r="T1247" s="27" t="n">
        <f aca="false">MAX(0,NG-MAX(L1247,GWL))</f>
        <v>0.8</v>
      </c>
      <c r="U1247" s="27" t="n">
        <f aca="false">E1247+2*WS</f>
        <v>4.27639778569161</v>
      </c>
      <c r="V1247" s="27" t="n">
        <f aca="false">IF(Q1247="Shoring",D1247*M1247*U1247,0)</f>
        <v>51.564732802744</v>
      </c>
      <c r="W1247" s="27" t="n">
        <f aca="false">IF(Q1247="Open cut",D1247*(U1247*M1247+SLOPE_B*S1247^2+2*SLOPE_B*S1247*T1247+SLOPE_A*T1247^2),0)</f>
        <v>0</v>
      </c>
      <c r="X1247" s="27" t="n">
        <f aca="false">IF(M1247&gt;0,D1247*(E1247+2*SLABOVH)*SLAB,0)</f>
        <v>5.48872735033685</v>
      </c>
      <c r="Y1247" s="27" t="n">
        <f aca="false">IF(M1247&gt;0,D1247*PI()*E1247^2/4,0)</f>
        <v>13.6361327411021</v>
      </c>
      <c r="Z1247" s="27" t="n">
        <f aca="false">IF(H1247-E1247&gt;=GWL,99,E1247*(MAX(0,GWL-H1247)*(GAM_S-GAM_W)+MAX(0,NG-MAX(H1247,GWL))*GAM_D)/(GAM_W*PI()*E1247^2/4))</f>
        <v>0.822518016197643</v>
      </c>
      <c r="AA1247" s="27" t="n">
        <f aca="false">IF(I1247-E1247&gt;=GWL,99,E1247*(MAX(0,GWL-I1247)*(GAM_S-GAM_W)+MAX(0,NG-MAX(I1247,GWL))*GAM_D)/(GAM_W*PI()*E1247^2/4))</f>
        <v>0.840542555085024</v>
      </c>
      <c r="AB1247" s="27" t="n">
        <f aca="false">IF(H1247-E1247&gt;=GWL,99,E1247*(MAX(0,GWL-H1247)*(GAM_S-GAM_W)+MAX(0,FL-MAX(H1247,GWL))*GAM_D)/(GAM_W*PI()*E1247^2/4))</f>
        <v>2.56719239463797</v>
      </c>
      <c r="AC1247" s="27" t="n">
        <f aca="false">IF(I1247-E1247&gt;=GWL,99,E1247*(MAX(0,GWL-I1247)*(GAM_S-GAM_W)+MAX(0,FL-MAX(I1247,GWL))*GAM_D)/(GAM_W*PI()*E1247^2/4))</f>
        <v>2.58521693352535</v>
      </c>
    </row>
    <row r="1248" customFormat="false" ht="15" hidden="false" customHeight="false" outlineLevel="0" collapsed="false">
      <c r="A1248" s="25" t="s">
        <v>1872</v>
      </c>
      <c r="B1248" s="25" t="s">
        <v>1882</v>
      </c>
      <c r="C1248" s="25" t="s">
        <v>1889</v>
      </c>
      <c r="D1248" s="26" t="n">
        <v>1.41893792951222</v>
      </c>
      <c r="E1248" s="26" t="n">
        <v>2.27639778569161</v>
      </c>
      <c r="F1248" s="26" t="n">
        <v>-4.31819889284581</v>
      </c>
      <c r="G1248" s="26" t="n">
        <v>-4.31819889284581</v>
      </c>
      <c r="H1248" s="26" t="n">
        <v>-1.5418011071542</v>
      </c>
      <c r="I1248" s="26" t="n">
        <v>-1.5418011071542</v>
      </c>
      <c r="J1248" s="26" t="n">
        <v>17.16</v>
      </c>
      <c r="K1248" s="27" t="n">
        <f aca="false">MIN(F1248,G1248)</f>
        <v>-4.31819889284581</v>
      </c>
      <c r="L1248" s="27" t="n">
        <f aca="false">AVERAGE(F1248,G1248)</f>
        <v>-4.31819889284581</v>
      </c>
      <c r="M1248" s="27" t="n">
        <f aca="false">MAX(0,NG-L1248)</f>
        <v>3.61819889284581</v>
      </c>
      <c r="N1248" s="27" t="n">
        <f aca="false">MAX(0,GWL-K1248)</f>
        <v>2.81819889284581</v>
      </c>
      <c r="O1248" s="27" t="n">
        <f aca="false">MAX(0,NG-MAX(K1248,GWL))</f>
        <v>0.8</v>
      </c>
      <c r="P1248" s="27" t="n">
        <f aca="false">E1248/2+WS+SLOPE_A*O1248+SLOPE_B*N1248</f>
        <v>8.97459667853742</v>
      </c>
      <c r="Q1248" s="28" t="str">
        <f aca="false">IF(AND(P1248&lt;J1248,N1248&lt;=MAXOC),"Open cut","Shoring")</f>
        <v>Shoring</v>
      </c>
      <c r="R1248" s="27" t="n">
        <f aca="false">IF(Q1248="Shoring",D1248,0)</f>
        <v>1.41893792951222</v>
      </c>
      <c r="S1248" s="27" t="n">
        <f aca="false">MAX(0,GWL-L1248)</f>
        <v>2.81819889284581</v>
      </c>
      <c r="T1248" s="27" t="n">
        <f aca="false">MAX(0,NG-MAX(L1248,GWL))</f>
        <v>0.8</v>
      </c>
      <c r="U1248" s="27" t="n">
        <f aca="false">E1248+2*WS</f>
        <v>4.27639778569161</v>
      </c>
      <c r="V1248" s="27" t="n">
        <f aca="false">IF(Q1248="Shoring",D1248*M1248*U1248,0)</f>
        <v>21.9550247160915</v>
      </c>
      <c r="W1248" s="27" t="n">
        <f aca="false">IF(Q1248="Open cut",D1248*(U1248*M1248+SLOPE_B*S1248^2+2*SLOPE_B*S1248*T1248+SLOPE_A*T1248^2),0)</f>
        <v>0</v>
      </c>
      <c r="X1248" s="27" t="n">
        <f aca="false">IF(M1248&gt;0,D1248*(E1248+2*SLABOVH)*SLAB,0)</f>
        <v>2.32450254514384</v>
      </c>
      <c r="Y1248" s="27" t="n">
        <f aca="false">IF(M1248&gt;0,D1248*PI()*E1248^2/4,0)</f>
        <v>5.77496808265869</v>
      </c>
      <c r="Z1248" s="27" t="n">
        <f aca="false">IF(H1248-E1248&gt;=GWL,99,E1248*(MAX(0,GWL-H1248)*(GAM_S-GAM_W)+MAX(0,NG-MAX(H1248,GWL))*GAM_D)/(GAM_W*PI()*E1248^2/4))</f>
        <v>0.840542555085024</v>
      </c>
      <c r="AA1248" s="27" t="n">
        <f aca="false">IF(I1248-E1248&gt;=GWL,99,E1248*(MAX(0,GWL-I1248)*(GAM_S-GAM_W)+MAX(0,NG-MAX(I1248,GWL))*GAM_D)/(GAM_W*PI()*E1248^2/4))</f>
        <v>0.840542555085024</v>
      </c>
      <c r="AB1248" s="27" t="n">
        <f aca="false">IF(H1248-E1248&gt;=GWL,99,E1248*(MAX(0,GWL-H1248)*(GAM_S-GAM_W)+MAX(0,FL-MAX(H1248,GWL))*GAM_D)/(GAM_W*PI()*E1248^2/4))</f>
        <v>2.58521693352535</v>
      </c>
      <c r="AC1248" s="27" t="n">
        <f aca="false">IF(I1248-E1248&gt;=GWL,99,E1248*(MAX(0,GWL-I1248)*(GAM_S-GAM_W)+MAX(0,FL-MAX(I1248,GWL))*GAM_D)/(GAM_W*PI()*E1248^2/4))</f>
        <v>2.58521693352535</v>
      </c>
    </row>
    <row r="1249" customFormat="false" ht="15" hidden="false" customHeight="false" outlineLevel="0" collapsed="false">
      <c r="A1249" s="25" t="s">
        <v>1872</v>
      </c>
      <c r="B1249" s="25" t="s">
        <v>1882</v>
      </c>
      <c r="C1249" s="25" t="s">
        <v>1890</v>
      </c>
      <c r="D1249" s="26" t="n">
        <v>10.0000000000965</v>
      </c>
      <c r="E1249" s="26" t="n">
        <v>2.27639778569161</v>
      </c>
      <c r="F1249" s="26" t="n">
        <v>-4.31819889284581</v>
      </c>
      <c r="G1249" s="26" t="n">
        <v>-4.31819889284581</v>
      </c>
      <c r="H1249" s="26" t="n">
        <v>-1.5418011071542</v>
      </c>
      <c r="I1249" s="26" t="n">
        <v>-1.5418011071542</v>
      </c>
      <c r="J1249" s="26" t="n">
        <v>16.69</v>
      </c>
      <c r="K1249" s="27" t="n">
        <f aca="false">MIN(F1249,G1249)</f>
        <v>-4.31819889284581</v>
      </c>
      <c r="L1249" s="27" t="n">
        <f aca="false">AVERAGE(F1249,G1249)</f>
        <v>-4.31819889284581</v>
      </c>
      <c r="M1249" s="27" t="n">
        <f aca="false">MAX(0,NG-L1249)</f>
        <v>3.61819889284581</v>
      </c>
      <c r="N1249" s="27" t="n">
        <f aca="false">MAX(0,GWL-K1249)</f>
        <v>2.81819889284581</v>
      </c>
      <c r="O1249" s="27" t="n">
        <f aca="false">MAX(0,NG-MAX(K1249,GWL))</f>
        <v>0.8</v>
      </c>
      <c r="P1249" s="27" t="n">
        <f aca="false">E1249/2+WS+SLOPE_A*O1249+SLOPE_B*N1249</f>
        <v>8.97459667853742</v>
      </c>
      <c r="Q1249" s="28" t="str">
        <f aca="false">IF(AND(P1249&lt;J1249,N1249&lt;=MAXOC),"Open cut","Shoring")</f>
        <v>Shoring</v>
      </c>
      <c r="R1249" s="27" t="n">
        <f aca="false">IF(Q1249="Shoring",D1249,0)</f>
        <v>10.0000000000965</v>
      </c>
      <c r="S1249" s="27" t="n">
        <f aca="false">MAX(0,GWL-L1249)</f>
        <v>2.81819889284581</v>
      </c>
      <c r="T1249" s="27" t="n">
        <f aca="false">MAX(0,NG-MAX(L1249,GWL))</f>
        <v>0.8</v>
      </c>
      <c r="U1249" s="27" t="n">
        <f aca="false">E1249+2*WS</f>
        <v>4.27639778569161</v>
      </c>
      <c r="V1249" s="27" t="n">
        <f aca="false">IF(Q1249="Shoring",D1249*M1249*U1249,0)</f>
        <v>154.728577337069</v>
      </c>
      <c r="W1249" s="27" t="n">
        <f aca="false">IF(Q1249="Open cut",D1249*(U1249*M1249+SLOPE_B*S1249^2+2*SLOPE_B*S1249*T1249+SLOPE_A*T1249^2),0)</f>
        <v>0</v>
      </c>
      <c r="X1249" s="27" t="n">
        <f aca="false">IF(M1249&gt;0,D1249*(E1249+2*SLABOVH)*SLAB,0)</f>
        <v>16.3819889286161</v>
      </c>
      <c r="Y1249" s="27" t="n">
        <f aca="false">IF(M1249&gt;0,D1249*PI()*E1249^2/4,0)</f>
        <v>40.6992297732123</v>
      </c>
      <c r="Z1249" s="27" t="n">
        <f aca="false">IF(H1249-E1249&gt;=GWL,99,E1249*(MAX(0,GWL-H1249)*(GAM_S-GAM_W)+MAX(0,NG-MAX(H1249,GWL))*GAM_D)/(GAM_W*PI()*E1249^2/4))</f>
        <v>0.840542555085024</v>
      </c>
      <c r="AA1249" s="27" t="n">
        <f aca="false">IF(I1249-E1249&gt;=GWL,99,E1249*(MAX(0,GWL-I1249)*(GAM_S-GAM_W)+MAX(0,NG-MAX(I1249,GWL))*GAM_D)/(GAM_W*PI()*E1249^2/4))</f>
        <v>0.840542555085024</v>
      </c>
      <c r="AB1249" s="27" t="n">
        <f aca="false">IF(H1249-E1249&gt;=GWL,99,E1249*(MAX(0,GWL-H1249)*(GAM_S-GAM_W)+MAX(0,FL-MAX(H1249,GWL))*GAM_D)/(GAM_W*PI()*E1249^2/4))</f>
        <v>2.58521693352535</v>
      </c>
      <c r="AC1249" s="27" t="n">
        <f aca="false">IF(I1249-E1249&gt;=GWL,99,E1249*(MAX(0,GWL-I1249)*(GAM_S-GAM_W)+MAX(0,FL-MAX(I1249,GWL))*GAM_D)/(GAM_W*PI()*E1249^2/4))</f>
        <v>2.58521693352535</v>
      </c>
    </row>
    <row r="1250" customFormat="false" ht="15" hidden="false" customHeight="false" outlineLevel="0" collapsed="false">
      <c r="A1250" s="25" t="s">
        <v>1872</v>
      </c>
      <c r="B1250" s="25" t="s">
        <v>1891</v>
      </c>
      <c r="C1250" s="25" t="s">
        <v>1892</v>
      </c>
      <c r="D1250" s="26" t="n">
        <v>3.99933207036938</v>
      </c>
      <c r="E1250" s="26" t="n">
        <v>2.27639778569161</v>
      </c>
      <c r="F1250" s="26" t="n">
        <v>-4.31819889284581</v>
      </c>
      <c r="G1250" s="26" t="n">
        <v>-4.31819889284581</v>
      </c>
      <c r="H1250" s="26" t="n">
        <v>-1.5418011071542</v>
      </c>
      <c r="I1250" s="26" t="n">
        <v>-1.5418011071542</v>
      </c>
      <c r="J1250" s="26" t="n">
        <v>16.81</v>
      </c>
      <c r="K1250" s="27" t="n">
        <f aca="false">MIN(F1250,G1250)</f>
        <v>-4.31819889284581</v>
      </c>
      <c r="L1250" s="27" t="n">
        <f aca="false">AVERAGE(F1250,G1250)</f>
        <v>-4.31819889284581</v>
      </c>
      <c r="M1250" s="27" t="n">
        <f aca="false">MAX(0,NG-L1250)</f>
        <v>3.61819889284581</v>
      </c>
      <c r="N1250" s="27" t="n">
        <f aca="false">MAX(0,GWL-K1250)</f>
        <v>2.81819889284581</v>
      </c>
      <c r="O1250" s="27" t="n">
        <f aca="false">MAX(0,NG-MAX(K1250,GWL))</f>
        <v>0.8</v>
      </c>
      <c r="P1250" s="27" t="n">
        <f aca="false">E1250/2+WS+SLOPE_A*O1250+SLOPE_B*N1250</f>
        <v>8.97459667853742</v>
      </c>
      <c r="Q1250" s="28" t="str">
        <f aca="false">IF(AND(P1250&lt;J1250,N1250&lt;=MAXOC),"Open cut","Shoring")</f>
        <v>Shoring</v>
      </c>
      <c r="R1250" s="27" t="n">
        <f aca="false">IF(Q1250="Shoring",D1250,0)</f>
        <v>3.99933207036938</v>
      </c>
      <c r="S1250" s="27" t="n">
        <f aca="false">MAX(0,GWL-L1250)</f>
        <v>2.81819889284581</v>
      </c>
      <c r="T1250" s="27" t="n">
        <f aca="false">MAX(0,NG-MAX(L1250,GWL))</f>
        <v>0.8</v>
      </c>
      <c r="U1250" s="27" t="n">
        <f aca="false">E1250+2*WS</f>
        <v>4.27639778569161</v>
      </c>
      <c r="V1250" s="27" t="n">
        <f aca="false">IF(Q1250="Shoring",D1250*M1250*U1250,0)</f>
        <v>61.8810961540799</v>
      </c>
      <c r="W1250" s="27" t="n">
        <f aca="false">IF(Q1250="Open cut",D1250*(U1250*M1250+SLOPE_B*S1250^2+2*SLOPE_B*S1250*T1250+SLOPE_A*T1250^2),0)</f>
        <v>0</v>
      </c>
      <c r="X1250" s="27" t="n">
        <f aca="false">IF(M1250&gt;0,D1250*(E1250+2*SLABOVH)*SLAB,0)</f>
        <v>6.55170136980184</v>
      </c>
      <c r="Y1250" s="27" t="n">
        <f aca="false">IF(M1250&gt;0,D1250*PI()*E1250^2/4,0)</f>
        <v>16.276973486977</v>
      </c>
      <c r="Z1250" s="27" t="n">
        <f aca="false">IF(H1250-E1250&gt;=GWL,99,E1250*(MAX(0,GWL-H1250)*(GAM_S-GAM_W)+MAX(0,NG-MAX(H1250,GWL))*GAM_D)/(GAM_W*PI()*E1250^2/4))</f>
        <v>0.840542555085024</v>
      </c>
      <c r="AA1250" s="27" t="n">
        <f aca="false">IF(I1250-E1250&gt;=GWL,99,E1250*(MAX(0,GWL-I1250)*(GAM_S-GAM_W)+MAX(0,NG-MAX(I1250,GWL))*GAM_D)/(GAM_W*PI()*E1250^2/4))</f>
        <v>0.840542555085024</v>
      </c>
      <c r="AB1250" s="27" t="n">
        <f aca="false">IF(H1250-E1250&gt;=GWL,99,E1250*(MAX(0,GWL-H1250)*(GAM_S-GAM_W)+MAX(0,FL-MAX(H1250,GWL))*GAM_D)/(GAM_W*PI()*E1250^2/4))</f>
        <v>2.58521693352535</v>
      </c>
      <c r="AC1250" s="27" t="n">
        <f aca="false">IF(I1250-E1250&gt;=GWL,99,E1250*(MAX(0,GWL-I1250)*(GAM_S-GAM_W)+MAX(0,FL-MAX(I1250,GWL))*GAM_D)/(GAM_W*PI()*E1250^2/4))</f>
        <v>2.58521693352535</v>
      </c>
    </row>
    <row r="1251" customFormat="false" ht="15" hidden="false" customHeight="false" outlineLevel="0" collapsed="false">
      <c r="A1251" s="25" t="s">
        <v>1872</v>
      </c>
      <c r="B1251" s="25" t="s">
        <v>1891</v>
      </c>
      <c r="C1251" s="25" t="s">
        <v>1893</v>
      </c>
      <c r="D1251" s="26" t="n">
        <v>3.34999930392806</v>
      </c>
      <c r="E1251" s="26" t="n">
        <v>2.24899198225898</v>
      </c>
      <c r="F1251" s="26" t="n">
        <v>-4.30449599112949</v>
      </c>
      <c r="G1251" s="26" t="n">
        <v>-4.30449599112949</v>
      </c>
      <c r="H1251" s="26" t="n">
        <v>-1.55550400887051</v>
      </c>
      <c r="I1251" s="26" t="n">
        <v>-1.55550400887051</v>
      </c>
      <c r="J1251" s="26" t="n">
        <v>17.28</v>
      </c>
      <c r="K1251" s="27" t="n">
        <f aca="false">MIN(F1251,G1251)</f>
        <v>-4.30449599112949</v>
      </c>
      <c r="L1251" s="27" t="n">
        <f aca="false">AVERAGE(F1251,G1251)</f>
        <v>-4.30449599112949</v>
      </c>
      <c r="M1251" s="27" t="n">
        <f aca="false">MAX(0,NG-L1251)</f>
        <v>3.60449599112949</v>
      </c>
      <c r="N1251" s="27" t="n">
        <f aca="false">MAX(0,GWL-K1251)</f>
        <v>2.80449599112949</v>
      </c>
      <c r="O1251" s="27" t="n">
        <f aca="false">MAX(0,NG-MAX(K1251,GWL))</f>
        <v>0.8</v>
      </c>
      <c r="P1251" s="27" t="n">
        <f aca="false">E1251/2+WS+SLOPE_A*O1251+SLOPE_B*N1251</f>
        <v>8.93348797338847</v>
      </c>
      <c r="Q1251" s="28" t="str">
        <f aca="false">IF(AND(P1251&lt;J1251,N1251&lt;=MAXOC),"Open cut","Shoring")</f>
        <v>Shoring</v>
      </c>
      <c r="R1251" s="27" t="n">
        <f aca="false">IF(Q1251="Shoring",D1251,0)</f>
        <v>3.34999930392806</v>
      </c>
      <c r="S1251" s="27" t="n">
        <f aca="false">MAX(0,GWL-L1251)</f>
        <v>2.80449599112949</v>
      </c>
      <c r="T1251" s="27" t="n">
        <f aca="false">MAX(0,NG-MAX(L1251,GWL))</f>
        <v>0.8</v>
      </c>
      <c r="U1251" s="27" t="n">
        <f aca="false">E1251+2*WS</f>
        <v>4.24899198225898</v>
      </c>
      <c r="V1251" s="27" t="n">
        <f aca="false">IF(Q1251="Shoring",D1251*M1251*U1251,0)</f>
        <v>51.3068291367472</v>
      </c>
      <c r="W1251" s="27" t="n">
        <f aca="false">IF(Q1251="Open cut",D1251*(U1251*M1251+SLOPE_B*S1251^2+2*SLOPE_B*S1251*T1251+SLOPE_A*T1251^2),0)</f>
        <v>0</v>
      </c>
      <c r="X1251" s="27" t="n">
        <f aca="false">IF(M1251&gt;0,D1251*(E1251+2*SLABOVH)*SLAB,0)</f>
        <v>5.44206043951771</v>
      </c>
      <c r="Y1251" s="27" t="n">
        <f aca="false">IF(M1251&gt;0,D1251*PI()*E1251^2/4,0)</f>
        <v>13.3079270792718</v>
      </c>
      <c r="Z1251" s="27" t="n">
        <f aca="false">IF(H1251-E1251&gt;=GWL,99,E1251*(MAX(0,GWL-H1251)*(GAM_S-GAM_W)+MAX(0,NG-MAX(H1251,GWL))*GAM_D)/(GAM_W*PI()*E1251^2/4))</f>
        <v>0.857261890729836</v>
      </c>
      <c r="AA1251" s="27" t="n">
        <f aca="false">IF(I1251-E1251&gt;=GWL,99,E1251*(MAX(0,GWL-I1251)*(GAM_S-GAM_W)+MAX(0,NG-MAX(I1251,GWL))*GAM_D)/(GAM_W*PI()*E1251^2/4))</f>
        <v>0.857261890729836</v>
      </c>
      <c r="AB1251" s="27" t="n">
        <f aca="false">IF(H1251-E1251&gt;=GWL,99,E1251*(MAX(0,GWL-H1251)*(GAM_S-GAM_W)+MAX(0,FL-MAX(H1251,GWL))*GAM_D)/(GAM_W*PI()*E1251^2/4))</f>
        <v>2.62319655086377</v>
      </c>
      <c r="AC1251" s="27" t="n">
        <f aca="false">IF(I1251-E1251&gt;=GWL,99,E1251*(MAX(0,GWL-I1251)*(GAM_S-GAM_W)+MAX(0,FL-MAX(I1251,GWL))*GAM_D)/(GAM_W*PI()*E1251^2/4))</f>
        <v>2.62319655086377</v>
      </c>
    </row>
    <row r="1252" customFormat="false" ht="15" hidden="false" customHeight="false" outlineLevel="0" collapsed="false">
      <c r="A1252" s="25" t="s">
        <v>1872</v>
      </c>
      <c r="B1252" s="25" t="s">
        <v>1891</v>
      </c>
      <c r="C1252" s="25" t="s">
        <v>1894</v>
      </c>
      <c r="D1252" s="26" t="n">
        <v>2.65066862562807</v>
      </c>
      <c r="E1252" s="26" t="n">
        <v>2.248987851675</v>
      </c>
      <c r="F1252" s="26" t="n">
        <v>-4.3044939258375</v>
      </c>
      <c r="G1252" s="26" t="n">
        <v>-4.3044939258375</v>
      </c>
      <c r="H1252" s="26" t="n">
        <v>-1.5555060741625</v>
      </c>
      <c r="I1252" s="26" t="n">
        <v>-1.5555060741625</v>
      </c>
      <c r="J1252" s="26" t="n">
        <v>16.59</v>
      </c>
      <c r="K1252" s="27" t="n">
        <f aca="false">MIN(F1252,G1252)</f>
        <v>-4.3044939258375</v>
      </c>
      <c r="L1252" s="27" t="n">
        <f aca="false">AVERAGE(F1252,G1252)</f>
        <v>-4.3044939258375</v>
      </c>
      <c r="M1252" s="27" t="n">
        <f aca="false">MAX(0,NG-L1252)</f>
        <v>3.6044939258375</v>
      </c>
      <c r="N1252" s="27" t="n">
        <f aca="false">MAX(0,GWL-K1252)</f>
        <v>2.8044939258375</v>
      </c>
      <c r="O1252" s="27" t="n">
        <f aca="false">MAX(0,NG-MAX(K1252,GWL))</f>
        <v>0.8</v>
      </c>
      <c r="P1252" s="27" t="n">
        <f aca="false">E1252/2+WS+SLOPE_A*O1252+SLOPE_B*N1252</f>
        <v>8.9334817775125</v>
      </c>
      <c r="Q1252" s="28" t="str">
        <f aca="false">IF(AND(P1252&lt;J1252,N1252&lt;=MAXOC),"Open cut","Shoring")</f>
        <v>Shoring</v>
      </c>
      <c r="R1252" s="27" t="n">
        <f aca="false">IF(Q1252="Shoring",D1252,0)</f>
        <v>2.65066862562807</v>
      </c>
      <c r="S1252" s="27" t="n">
        <f aca="false">MAX(0,GWL-L1252)</f>
        <v>2.8044939258375</v>
      </c>
      <c r="T1252" s="27" t="n">
        <f aca="false">MAX(0,NG-MAX(L1252,GWL))</f>
        <v>0.8</v>
      </c>
      <c r="U1252" s="27" t="n">
        <f aca="false">E1252+2*WS</f>
        <v>4.248987851675</v>
      </c>
      <c r="V1252" s="27" t="n">
        <f aca="false">IF(Q1252="Shoring",D1252*M1252*U1252,0)</f>
        <v>40.5961851941263</v>
      </c>
      <c r="W1252" s="27" t="n">
        <f aca="false">IF(Q1252="Open cut",D1252*(U1252*M1252+SLOPE_B*S1252^2+2*SLOPE_B*S1252*T1252+SLOPE_A*T1252^2),0)</f>
        <v>0</v>
      </c>
      <c r="X1252" s="27" t="n">
        <f aca="false">IF(M1252&gt;0,D1252*(E1252+2*SLABOVH)*SLAB,0)</f>
        <v>4.30599508174083</v>
      </c>
      <c r="Y1252" s="27" t="n">
        <f aca="false">IF(M1252&gt;0,D1252*PI()*E1252^2/4,0)</f>
        <v>10.5297858317383</v>
      </c>
      <c r="Z1252" s="27" t="n">
        <f aca="false">IF(H1252-E1252&gt;=GWL,99,E1252*(MAX(0,GWL-H1252)*(GAM_S-GAM_W)+MAX(0,NG-MAX(H1252,GWL))*GAM_D)/(GAM_W*PI()*E1252^2/4))</f>
        <v>0.857264441368737</v>
      </c>
      <c r="AA1252" s="27" t="n">
        <f aca="false">IF(I1252-E1252&gt;=GWL,99,E1252*(MAX(0,GWL-I1252)*(GAM_S-GAM_W)+MAX(0,NG-MAX(I1252,GWL))*GAM_D)/(GAM_W*PI()*E1252^2/4))</f>
        <v>0.857264441368737</v>
      </c>
      <c r="AB1252" s="27" t="n">
        <f aca="false">IF(H1252-E1252&gt;=GWL,99,E1252*(MAX(0,GWL-H1252)*(GAM_S-GAM_W)+MAX(0,FL-MAX(H1252,GWL))*GAM_D)/(GAM_W*PI()*E1252^2/4))</f>
        <v>2.62320234489121</v>
      </c>
      <c r="AC1252" s="27" t="n">
        <f aca="false">IF(I1252-E1252&gt;=GWL,99,E1252*(MAX(0,GWL-I1252)*(GAM_S-GAM_W)+MAX(0,FL-MAX(I1252,GWL))*GAM_D)/(GAM_W*PI()*E1252^2/4))</f>
        <v>2.62320234489121</v>
      </c>
    </row>
    <row r="1253" customFormat="false" ht="15" hidden="false" customHeight="false" outlineLevel="0" collapsed="false">
      <c r="A1253" s="25" t="s">
        <v>1872</v>
      </c>
      <c r="B1253" s="25" t="s">
        <v>1891</v>
      </c>
      <c r="C1253" s="25" t="s">
        <v>1895</v>
      </c>
      <c r="D1253" s="26" t="n">
        <v>0.699331373781328</v>
      </c>
      <c r="E1253" s="26" t="n">
        <v>2.248987851675</v>
      </c>
      <c r="F1253" s="26" t="n">
        <v>-4.3044939258375</v>
      </c>
      <c r="G1253" s="26" t="n">
        <v>-4.3044939258375</v>
      </c>
      <c r="H1253" s="26" t="n">
        <v>-1.5555060741625</v>
      </c>
      <c r="I1253" s="26" t="n">
        <v>-1.5555060741625</v>
      </c>
      <c r="J1253" s="26" t="n">
        <v>16.25</v>
      </c>
      <c r="K1253" s="27" t="n">
        <f aca="false">MIN(F1253,G1253)</f>
        <v>-4.3044939258375</v>
      </c>
      <c r="L1253" s="27" t="n">
        <f aca="false">AVERAGE(F1253,G1253)</f>
        <v>-4.3044939258375</v>
      </c>
      <c r="M1253" s="27" t="n">
        <f aca="false">MAX(0,NG-L1253)</f>
        <v>3.6044939258375</v>
      </c>
      <c r="N1253" s="27" t="n">
        <f aca="false">MAX(0,GWL-K1253)</f>
        <v>2.8044939258375</v>
      </c>
      <c r="O1253" s="27" t="n">
        <f aca="false">MAX(0,NG-MAX(K1253,GWL))</f>
        <v>0.8</v>
      </c>
      <c r="P1253" s="27" t="n">
        <f aca="false">E1253/2+WS+SLOPE_A*O1253+SLOPE_B*N1253</f>
        <v>8.9334817775125</v>
      </c>
      <c r="Q1253" s="28" t="str">
        <f aca="false">IF(AND(P1253&lt;J1253,N1253&lt;=MAXOC),"Open cut","Shoring")</f>
        <v>Shoring</v>
      </c>
      <c r="R1253" s="27" t="n">
        <f aca="false">IF(Q1253="Shoring",D1253,0)</f>
        <v>0.699331373781328</v>
      </c>
      <c r="S1253" s="27" t="n">
        <f aca="false">MAX(0,GWL-L1253)</f>
        <v>2.8044939258375</v>
      </c>
      <c r="T1253" s="27" t="n">
        <f aca="false">MAX(0,NG-MAX(L1253,GWL))</f>
        <v>0.8</v>
      </c>
      <c r="U1253" s="27" t="n">
        <f aca="false">E1253+2*WS</f>
        <v>4.248987851675</v>
      </c>
      <c r="V1253" s="27" t="n">
        <f aca="false">IF(Q1253="Shoring",D1253*M1253*U1253,0)</f>
        <v>10.7105753195998</v>
      </c>
      <c r="W1253" s="27" t="n">
        <f aca="false">IF(Q1253="Open cut",D1253*(U1253*M1253+SLOPE_B*S1253^2+2*SLOPE_B*S1253*T1253+SLOPE_A*T1253^2),0)</f>
        <v>0</v>
      </c>
      <c r="X1253" s="27" t="n">
        <f aca="false">IF(M1253&gt;0,D1253*(E1253+2*SLABOVH)*SLAB,0)</f>
        <v>1.13605956885536</v>
      </c>
      <c r="Y1253" s="27" t="n">
        <f aca="false">IF(M1253&gt;0,D1253*PI()*E1253^2/4,0)</f>
        <v>2.778095126692</v>
      </c>
      <c r="Z1253" s="27" t="n">
        <f aca="false">IF(H1253-E1253&gt;=GWL,99,E1253*(MAX(0,GWL-H1253)*(GAM_S-GAM_W)+MAX(0,NG-MAX(H1253,GWL))*GAM_D)/(GAM_W*PI()*E1253^2/4))</f>
        <v>0.857264441368737</v>
      </c>
      <c r="AA1253" s="27" t="n">
        <f aca="false">IF(I1253-E1253&gt;=GWL,99,E1253*(MAX(0,GWL-I1253)*(GAM_S-GAM_W)+MAX(0,NG-MAX(I1253,GWL))*GAM_D)/(GAM_W*PI()*E1253^2/4))</f>
        <v>0.857264441368737</v>
      </c>
      <c r="AB1253" s="27" t="n">
        <f aca="false">IF(H1253-E1253&gt;=GWL,99,E1253*(MAX(0,GWL-H1253)*(GAM_S-GAM_W)+MAX(0,FL-MAX(H1253,GWL))*GAM_D)/(GAM_W*PI()*E1253^2/4))</f>
        <v>2.62320234489121</v>
      </c>
      <c r="AC1253" s="27" t="n">
        <f aca="false">IF(I1253-E1253&gt;=GWL,99,E1253*(MAX(0,GWL-I1253)*(GAM_S-GAM_W)+MAX(0,FL-MAX(I1253,GWL))*GAM_D)/(GAM_W*PI()*E1253^2/4))</f>
        <v>2.62320234489121</v>
      </c>
    </row>
    <row r="1254" customFormat="false" ht="15" hidden="false" customHeight="false" outlineLevel="0" collapsed="false">
      <c r="A1254" s="25" t="s">
        <v>1872</v>
      </c>
      <c r="B1254" s="25" t="s">
        <v>1891</v>
      </c>
      <c r="C1254" s="25" t="s">
        <v>1896</v>
      </c>
      <c r="D1254" s="26" t="n">
        <v>9.3006686262241</v>
      </c>
      <c r="E1254" s="26" t="n">
        <v>2.24899090672481</v>
      </c>
      <c r="F1254" s="26" t="n">
        <v>-4.3044954533624</v>
      </c>
      <c r="G1254" s="26" t="n">
        <v>-4.3044954533624</v>
      </c>
      <c r="H1254" s="26" t="n">
        <v>-1.5555045466376</v>
      </c>
      <c r="I1254" s="26" t="n">
        <v>-1.5555045466376</v>
      </c>
      <c r="J1254" s="26" t="n">
        <v>12.67</v>
      </c>
      <c r="K1254" s="27" t="n">
        <f aca="false">MIN(F1254,G1254)</f>
        <v>-4.3044954533624</v>
      </c>
      <c r="L1254" s="27" t="n">
        <f aca="false">AVERAGE(F1254,G1254)</f>
        <v>-4.3044954533624</v>
      </c>
      <c r="M1254" s="27" t="n">
        <f aca="false">MAX(0,NG-L1254)</f>
        <v>3.6044954533624</v>
      </c>
      <c r="N1254" s="27" t="n">
        <f aca="false">MAX(0,GWL-K1254)</f>
        <v>2.8044954533624</v>
      </c>
      <c r="O1254" s="27" t="n">
        <f aca="false">MAX(0,NG-MAX(K1254,GWL))</f>
        <v>0.8</v>
      </c>
      <c r="P1254" s="27" t="n">
        <f aca="false">E1254/2+WS+SLOPE_A*O1254+SLOPE_B*N1254</f>
        <v>8.93348636008721</v>
      </c>
      <c r="Q1254" s="28" t="str">
        <f aca="false">IF(AND(P1254&lt;J1254,N1254&lt;=MAXOC),"Open cut","Shoring")</f>
        <v>Shoring</v>
      </c>
      <c r="R1254" s="27" t="n">
        <f aca="false">IF(Q1254="Shoring",D1254,0)</f>
        <v>9.3006686262241</v>
      </c>
      <c r="S1254" s="27" t="n">
        <f aca="false">MAX(0,GWL-L1254)</f>
        <v>2.8044954533624</v>
      </c>
      <c r="T1254" s="27" t="n">
        <f aca="false">MAX(0,NG-MAX(L1254,GWL))</f>
        <v>0.8</v>
      </c>
      <c r="U1254" s="27" t="n">
        <f aca="false">E1254+2*WS</f>
        <v>4.24899090672481</v>
      </c>
      <c r="V1254" s="27" t="n">
        <f aca="false">IF(Q1254="Shoring",D1254*M1254*U1254,0)</f>
        <v>142.44409648722</v>
      </c>
      <c r="W1254" s="27" t="n">
        <f aca="false">IF(Q1254="Open cut",D1254*(U1254*M1254+SLOPE_B*S1254^2+2*SLOPE_B*S1254*T1254+SLOPE_A*T1254^2),0)</f>
        <v>0</v>
      </c>
      <c r="X1254" s="27" t="n">
        <f aca="false">IF(M1254&gt;0,D1254*(E1254+2*SLABOVH)*SLAB,0)</f>
        <v>15.1088938965314</v>
      </c>
      <c r="Y1254" s="27" t="n">
        <f aca="false">IF(M1254&gt;0,D1254*PI()*E1254^2/4,0)</f>
        <v>36.9470230449717</v>
      </c>
      <c r="Z1254" s="27" t="n">
        <f aca="false">IF(H1254-E1254&gt;=GWL,99,E1254*(MAX(0,GWL-H1254)*(GAM_S-GAM_W)+MAX(0,NG-MAX(H1254,GWL))*GAM_D)/(GAM_W*PI()*E1254^2/4))</f>
        <v>0.857262554872142</v>
      </c>
      <c r="AA1254" s="27" t="n">
        <f aca="false">IF(I1254-E1254&gt;=GWL,99,E1254*(MAX(0,GWL-I1254)*(GAM_S-GAM_W)+MAX(0,NG-MAX(I1254,GWL))*GAM_D)/(GAM_W*PI()*E1254^2/4))</f>
        <v>0.857262554872142</v>
      </c>
      <c r="AB1254" s="27" t="n">
        <f aca="false">IF(H1254-E1254&gt;=GWL,99,E1254*(MAX(0,GWL-H1254)*(GAM_S-GAM_W)+MAX(0,FL-MAX(H1254,GWL))*GAM_D)/(GAM_W*PI()*E1254^2/4))</f>
        <v>2.62319805952842</v>
      </c>
      <c r="AC1254" s="27" t="n">
        <f aca="false">IF(I1254-E1254&gt;=GWL,99,E1254*(MAX(0,GWL-I1254)*(GAM_S-GAM_W)+MAX(0,FL-MAX(I1254,GWL))*GAM_D)/(GAM_W*PI()*E1254^2/4))</f>
        <v>2.62319805952842</v>
      </c>
    </row>
    <row r="1255" customFormat="false" ht="15" hidden="false" customHeight="false" outlineLevel="0" collapsed="false">
      <c r="A1255" s="25" t="s">
        <v>1872</v>
      </c>
      <c r="B1255" s="25" t="s">
        <v>1891</v>
      </c>
      <c r="C1255" s="25" t="s">
        <v>1897</v>
      </c>
      <c r="D1255" s="26" t="n">
        <v>9.99999999994717</v>
      </c>
      <c r="E1255" s="26" t="n">
        <v>2.24899090672481</v>
      </c>
      <c r="F1255" s="26" t="n">
        <v>-4.3044954533624</v>
      </c>
      <c r="G1255" s="26" t="n">
        <v>-4.3044954533624</v>
      </c>
      <c r="H1255" s="26" t="n">
        <v>-1.5555045466376</v>
      </c>
      <c r="I1255" s="26" t="n">
        <v>-1.5555045466376</v>
      </c>
      <c r="J1255" s="26" t="n">
        <v>10.94</v>
      </c>
      <c r="K1255" s="27" t="n">
        <f aca="false">MIN(F1255,G1255)</f>
        <v>-4.3044954533624</v>
      </c>
      <c r="L1255" s="27" t="n">
        <f aca="false">AVERAGE(F1255,G1255)</f>
        <v>-4.3044954533624</v>
      </c>
      <c r="M1255" s="27" t="n">
        <f aca="false">MAX(0,NG-L1255)</f>
        <v>3.6044954533624</v>
      </c>
      <c r="N1255" s="27" t="n">
        <f aca="false">MAX(0,GWL-K1255)</f>
        <v>2.8044954533624</v>
      </c>
      <c r="O1255" s="27" t="n">
        <f aca="false">MAX(0,NG-MAX(K1255,GWL))</f>
        <v>0.8</v>
      </c>
      <c r="P1255" s="27" t="n">
        <f aca="false">E1255/2+WS+SLOPE_A*O1255+SLOPE_B*N1255</f>
        <v>8.93348636008721</v>
      </c>
      <c r="Q1255" s="28" t="str">
        <f aca="false">IF(AND(P1255&lt;J1255,N1255&lt;=MAXOC),"Open cut","Shoring")</f>
        <v>Shoring</v>
      </c>
      <c r="R1255" s="27" t="n">
        <f aca="false">IF(Q1255="Shoring",D1255,0)</f>
        <v>9.99999999994717</v>
      </c>
      <c r="S1255" s="27" t="n">
        <f aca="false">MAX(0,GWL-L1255)</f>
        <v>2.8044954533624</v>
      </c>
      <c r="T1255" s="27" t="n">
        <f aca="false">MAX(0,NG-MAX(L1255,GWL))</f>
        <v>0.8</v>
      </c>
      <c r="U1255" s="27" t="n">
        <f aca="false">E1255+2*WS</f>
        <v>4.24899090672481</v>
      </c>
      <c r="V1255" s="27" t="n">
        <f aca="false">IF(Q1255="Shoring",D1255*M1255*U1255,0)</f>
        <v>153.154684045868</v>
      </c>
      <c r="W1255" s="27" t="n">
        <f aca="false">IF(Q1255="Open cut",D1255*(U1255*M1255+SLOPE_B*S1255^2+2*SLOPE_B*S1255*T1255+SLOPE_A*T1255^2),0)</f>
        <v>0</v>
      </c>
      <c r="X1255" s="27" t="n">
        <f aca="false">IF(M1255&gt;0,D1255*(E1255+2*SLABOVH)*SLAB,0)</f>
        <v>16.2449545335382</v>
      </c>
      <c r="Y1255" s="27" t="n">
        <f aca="false">IF(M1255&gt;0,D1255*PI()*E1255^2/4,0)</f>
        <v>39.7251257190273</v>
      </c>
      <c r="Z1255" s="27" t="n">
        <f aca="false">IF(H1255-E1255&gt;=GWL,99,E1255*(MAX(0,GWL-H1255)*(GAM_S-GAM_W)+MAX(0,NG-MAX(H1255,GWL))*GAM_D)/(GAM_W*PI()*E1255^2/4))</f>
        <v>0.857262554872142</v>
      </c>
      <c r="AA1255" s="27" t="n">
        <f aca="false">IF(I1255-E1255&gt;=GWL,99,E1255*(MAX(0,GWL-I1255)*(GAM_S-GAM_W)+MAX(0,NG-MAX(I1255,GWL))*GAM_D)/(GAM_W*PI()*E1255^2/4))</f>
        <v>0.857262554872142</v>
      </c>
      <c r="AB1255" s="27" t="n">
        <f aca="false">IF(H1255-E1255&gt;=GWL,99,E1255*(MAX(0,GWL-H1255)*(GAM_S-GAM_W)+MAX(0,FL-MAX(H1255,GWL))*GAM_D)/(GAM_W*PI()*E1255^2/4))</f>
        <v>2.62319805952842</v>
      </c>
      <c r="AC1255" s="27" t="n">
        <f aca="false">IF(I1255-E1255&gt;=GWL,99,E1255*(MAX(0,GWL-I1255)*(GAM_S-GAM_W)+MAX(0,FL-MAX(I1255,GWL))*GAM_D)/(GAM_W*PI()*E1255^2/4))</f>
        <v>2.62319805952842</v>
      </c>
    </row>
    <row r="1256" customFormat="false" ht="15" hidden="false" customHeight="false" outlineLevel="0" collapsed="false">
      <c r="A1256" s="25" t="s">
        <v>1872</v>
      </c>
      <c r="B1256" s="25" t="s">
        <v>1891</v>
      </c>
      <c r="C1256" s="25" t="s">
        <v>1898</v>
      </c>
      <c r="D1256" s="26" t="n">
        <v>10.0000000004081</v>
      </c>
      <c r="E1256" s="26" t="n">
        <v>2.24899090672481</v>
      </c>
      <c r="F1256" s="26" t="n">
        <v>-4.3044954533624</v>
      </c>
      <c r="G1256" s="26" t="n">
        <v>-4.3044954533624</v>
      </c>
      <c r="H1256" s="26" t="n">
        <v>-1.5555045466376</v>
      </c>
      <c r="I1256" s="26" t="n">
        <v>-1.5555045466376</v>
      </c>
      <c r="J1256" s="26" t="n">
        <v>10.89</v>
      </c>
      <c r="K1256" s="27" t="n">
        <f aca="false">MIN(F1256,G1256)</f>
        <v>-4.3044954533624</v>
      </c>
      <c r="L1256" s="27" t="n">
        <f aca="false">AVERAGE(F1256,G1256)</f>
        <v>-4.3044954533624</v>
      </c>
      <c r="M1256" s="27" t="n">
        <f aca="false">MAX(0,NG-L1256)</f>
        <v>3.6044954533624</v>
      </c>
      <c r="N1256" s="27" t="n">
        <f aca="false">MAX(0,GWL-K1256)</f>
        <v>2.8044954533624</v>
      </c>
      <c r="O1256" s="27" t="n">
        <f aca="false">MAX(0,NG-MAX(K1256,GWL))</f>
        <v>0.8</v>
      </c>
      <c r="P1256" s="27" t="n">
        <f aca="false">E1256/2+WS+SLOPE_A*O1256+SLOPE_B*N1256</f>
        <v>8.93348636008721</v>
      </c>
      <c r="Q1256" s="28" t="str">
        <f aca="false">IF(AND(P1256&lt;J1256,N1256&lt;=MAXOC),"Open cut","Shoring")</f>
        <v>Shoring</v>
      </c>
      <c r="R1256" s="27" t="n">
        <f aca="false">IF(Q1256="Shoring",D1256,0)</f>
        <v>10.0000000004081</v>
      </c>
      <c r="S1256" s="27" t="n">
        <f aca="false">MAX(0,GWL-L1256)</f>
        <v>2.8044954533624</v>
      </c>
      <c r="T1256" s="27" t="n">
        <f aca="false">MAX(0,NG-MAX(L1256,GWL))</f>
        <v>0.8</v>
      </c>
      <c r="U1256" s="27" t="n">
        <f aca="false">E1256+2*WS</f>
        <v>4.24899090672481</v>
      </c>
      <c r="V1256" s="27" t="n">
        <f aca="false">IF(Q1256="Shoring",D1256*M1256*U1256,0)</f>
        <v>153.154684052927</v>
      </c>
      <c r="W1256" s="27" t="n">
        <f aca="false">IF(Q1256="Open cut",D1256*(U1256*M1256+SLOPE_B*S1256^2+2*SLOPE_B*S1256*T1256+SLOPE_A*T1256^2),0)</f>
        <v>0</v>
      </c>
      <c r="X1256" s="27" t="n">
        <f aca="false">IF(M1256&gt;0,D1256*(E1256+2*SLABOVH)*SLAB,0)</f>
        <v>16.2449545342869</v>
      </c>
      <c r="Y1256" s="27" t="n">
        <f aca="false">IF(M1256&gt;0,D1256*PI()*E1256^2/4,0)</f>
        <v>39.7251257208582</v>
      </c>
      <c r="Z1256" s="27" t="n">
        <f aca="false">IF(H1256-E1256&gt;=GWL,99,E1256*(MAX(0,GWL-H1256)*(GAM_S-GAM_W)+MAX(0,NG-MAX(H1256,GWL))*GAM_D)/(GAM_W*PI()*E1256^2/4))</f>
        <v>0.857262554872142</v>
      </c>
      <c r="AA1256" s="27" t="n">
        <f aca="false">IF(I1256-E1256&gt;=GWL,99,E1256*(MAX(0,GWL-I1256)*(GAM_S-GAM_W)+MAX(0,NG-MAX(I1256,GWL))*GAM_D)/(GAM_W*PI()*E1256^2/4))</f>
        <v>0.857262554872142</v>
      </c>
      <c r="AB1256" s="27" t="n">
        <f aca="false">IF(H1256-E1256&gt;=GWL,99,E1256*(MAX(0,GWL-H1256)*(GAM_S-GAM_W)+MAX(0,FL-MAX(H1256,GWL))*GAM_D)/(GAM_W*PI()*E1256^2/4))</f>
        <v>2.62319805952842</v>
      </c>
      <c r="AC1256" s="27" t="n">
        <f aca="false">IF(I1256-E1256&gt;=GWL,99,E1256*(MAX(0,GWL-I1256)*(GAM_S-GAM_W)+MAX(0,FL-MAX(I1256,GWL))*GAM_D)/(GAM_W*PI()*E1256^2/4))</f>
        <v>2.62319805952842</v>
      </c>
    </row>
    <row r="1257" customFormat="false" ht="15" hidden="false" customHeight="false" outlineLevel="0" collapsed="false">
      <c r="A1257" s="25" t="s">
        <v>1872</v>
      </c>
      <c r="B1257" s="25" t="s">
        <v>1891</v>
      </c>
      <c r="C1257" s="25" t="s">
        <v>1899</v>
      </c>
      <c r="D1257" s="26" t="n">
        <v>9.9999999992013</v>
      </c>
      <c r="E1257" s="26" t="n">
        <v>2.24899090672481</v>
      </c>
      <c r="F1257" s="26" t="n">
        <v>-4.3044954533624</v>
      </c>
      <c r="G1257" s="26" t="n">
        <v>-4.3044954533624</v>
      </c>
      <c r="H1257" s="26" t="n">
        <v>-1.5555045466376</v>
      </c>
      <c r="I1257" s="26" t="n">
        <v>-1.5555045466376</v>
      </c>
      <c r="J1257" s="26" t="n">
        <v>11.67</v>
      </c>
      <c r="K1257" s="27" t="n">
        <f aca="false">MIN(F1257,G1257)</f>
        <v>-4.3044954533624</v>
      </c>
      <c r="L1257" s="27" t="n">
        <f aca="false">AVERAGE(F1257,G1257)</f>
        <v>-4.3044954533624</v>
      </c>
      <c r="M1257" s="27" t="n">
        <f aca="false">MAX(0,NG-L1257)</f>
        <v>3.6044954533624</v>
      </c>
      <c r="N1257" s="27" t="n">
        <f aca="false">MAX(0,GWL-K1257)</f>
        <v>2.8044954533624</v>
      </c>
      <c r="O1257" s="27" t="n">
        <f aca="false">MAX(0,NG-MAX(K1257,GWL))</f>
        <v>0.8</v>
      </c>
      <c r="P1257" s="27" t="n">
        <f aca="false">E1257/2+WS+SLOPE_A*O1257+SLOPE_B*N1257</f>
        <v>8.93348636008721</v>
      </c>
      <c r="Q1257" s="28" t="str">
        <f aca="false">IF(AND(P1257&lt;J1257,N1257&lt;=MAXOC),"Open cut","Shoring")</f>
        <v>Shoring</v>
      </c>
      <c r="R1257" s="27" t="n">
        <f aca="false">IF(Q1257="Shoring",D1257,0)</f>
        <v>9.9999999992013</v>
      </c>
      <c r="S1257" s="27" t="n">
        <f aca="false">MAX(0,GWL-L1257)</f>
        <v>2.8044954533624</v>
      </c>
      <c r="T1257" s="27" t="n">
        <f aca="false">MAX(0,NG-MAX(L1257,GWL))</f>
        <v>0.8</v>
      </c>
      <c r="U1257" s="27" t="n">
        <f aca="false">E1257+2*WS</f>
        <v>4.24899090672481</v>
      </c>
      <c r="V1257" s="27" t="n">
        <f aca="false">IF(Q1257="Shoring",D1257*M1257*U1257,0)</f>
        <v>153.154684034445</v>
      </c>
      <c r="W1257" s="27" t="n">
        <f aca="false">IF(Q1257="Open cut",D1257*(U1257*M1257+SLOPE_B*S1257^2+2*SLOPE_B*S1257*T1257+SLOPE_A*T1257^2),0)</f>
        <v>0</v>
      </c>
      <c r="X1257" s="27" t="n">
        <f aca="false">IF(M1257&gt;0,D1257*(E1257+2*SLABOVH)*SLAB,0)</f>
        <v>16.2449545323266</v>
      </c>
      <c r="Y1257" s="27" t="n">
        <f aca="false">IF(M1257&gt;0,D1257*PI()*E1257^2/4,0)</f>
        <v>39.7251257160643</v>
      </c>
      <c r="Z1257" s="27" t="n">
        <f aca="false">IF(H1257-E1257&gt;=GWL,99,E1257*(MAX(0,GWL-H1257)*(GAM_S-GAM_W)+MAX(0,NG-MAX(H1257,GWL))*GAM_D)/(GAM_W*PI()*E1257^2/4))</f>
        <v>0.857262554872142</v>
      </c>
      <c r="AA1257" s="27" t="n">
        <f aca="false">IF(I1257-E1257&gt;=GWL,99,E1257*(MAX(0,GWL-I1257)*(GAM_S-GAM_W)+MAX(0,NG-MAX(I1257,GWL))*GAM_D)/(GAM_W*PI()*E1257^2/4))</f>
        <v>0.857262554872142</v>
      </c>
      <c r="AB1257" s="27" t="n">
        <f aca="false">IF(H1257-E1257&gt;=GWL,99,E1257*(MAX(0,GWL-H1257)*(GAM_S-GAM_W)+MAX(0,FL-MAX(H1257,GWL))*GAM_D)/(GAM_W*PI()*E1257^2/4))</f>
        <v>2.62319805952842</v>
      </c>
      <c r="AC1257" s="27" t="n">
        <f aca="false">IF(I1257-E1257&gt;=GWL,99,E1257*(MAX(0,GWL-I1257)*(GAM_S-GAM_W)+MAX(0,FL-MAX(I1257,GWL))*GAM_D)/(GAM_W*PI()*E1257^2/4))</f>
        <v>2.62319805952842</v>
      </c>
    </row>
    <row r="1258" customFormat="false" ht="15" hidden="false" customHeight="false" outlineLevel="0" collapsed="false">
      <c r="A1258" s="25" t="s">
        <v>1872</v>
      </c>
      <c r="B1258" s="25" t="s">
        <v>1891</v>
      </c>
      <c r="C1258" s="25" t="s">
        <v>1900</v>
      </c>
      <c r="D1258" s="26" t="n">
        <v>10.0000000003494</v>
      </c>
      <c r="E1258" s="26" t="n">
        <v>2.24899090672481</v>
      </c>
      <c r="F1258" s="26" t="n">
        <v>-4.3044954533624</v>
      </c>
      <c r="G1258" s="26" t="n">
        <v>-4.3044954533624</v>
      </c>
      <c r="H1258" s="26" t="n">
        <v>-1.5555045466376</v>
      </c>
      <c r="I1258" s="26" t="n">
        <v>-1.5555045466376</v>
      </c>
      <c r="J1258" s="26" t="n">
        <v>14.73</v>
      </c>
      <c r="K1258" s="27" t="n">
        <f aca="false">MIN(F1258,G1258)</f>
        <v>-4.3044954533624</v>
      </c>
      <c r="L1258" s="27" t="n">
        <f aca="false">AVERAGE(F1258,G1258)</f>
        <v>-4.3044954533624</v>
      </c>
      <c r="M1258" s="27" t="n">
        <f aca="false">MAX(0,NG-L1258)</f>
        <v>3.6044954533624</v>
      </c>
      <c r="N1258" s="27" t="n">
        <f aca="false">MAX(0,GWL-K1258)</f>
        <v>2.8044954533624</v>
      </c>
      <c r="O1258" s="27" t="n">
        <f aca="false">MAX(0,NG-MAX(K1258,GWL))</f>
        <v>0.8</v>
      </c>
      <c r="P1258" s="27" t="n">
        <f aca="false">E1258/2+WS+SLOPE_A*O1258+SLOPE_B*N1258</f>
        <v>8.93348636008721</v>
      </c>
      <c r="Q1258" s="28" t="str">
        <f aca="false">IF(AND(P1258&lt;J1258,N1258&lt;=MAXOC),"Open cut","Shoring")</f>
        <v>Shoring</v>
      </c>
      <c r="R1258" s="27" t="n">
        <f aca="false">IF(Q1258="Shoring",D1258,0)</f>
        <v>10.0000000003494</v>
      </c>
      <c r="S1258" s="27" t="n">
        <f aca="false">MAX(0,GWL-L1258)</f>
        <v>2.8044954533624</v>
      </c>
      <c r="T1258" s="27" t="n">
        <f aca="false">MAX(0,NG-MAX(L1258,GWL))</f>
        <v>0.8</v>
      </c>
      <c r="U1258" s="27" t="n">
        <f aca="false">E1258+2*WS</f>
        <v>4.24899090672481</v>
      </c>
      <c r="V1258" s="27" t="n">
        <f aca="false">IF(Q1258="Shoring",D1258*M1258*U1258,0)</f>
        <v>153.154684052029</v>
      </c>
      <c r="W1258" s="27" t="n">
        <f aca="false">IF(Q1258="Open cut",D1258*(U1258*M1258+SLOPE_B*S1258^2+2*SLOPE_B*S1258*T1258+SLOPE_A*T1258^2),0)</f>
        <v>0</v>
      </c>
      <c r="X1258" s="27" t="n">
        <f aca="false">IF(M1258&gt;0,D1258*(E1258+2*SLABOVH)*SLAB,0)</f>
        <v>16.2449545341917</v>
      </c>
      <c r="Y1258" s="27" t="n">
        <f aca="false">IF(M1258&gt;0,D1258*PI()*E1258^2/4,0)</f>
        <v>39.7251257206253</v>
      </c>
      <c r="Z1258" s="27" t="n">
        <f aca="false">IF(H1258-E1258&gt;=GWL,99,E1258*(MAX(0,GWL-H1258)*(GAM_S-GAM_W)+MAX(0,NG-MAX(H1258,GWL))*GAM_D)/(GAM_W*PI()*E1258^2/4))</f>
        <v>0.857262554872142</v>
      </c>
      <c r="AA1258" s="27" t="n">
        <f aca="false">IF(I1258-E1258&gt;=GWL,99,E1258*(MAX(0,GWL-I1258)*(GAM_S-GAM_W)+MAX(0,NG-MAX(I1258,GWL))*GAM_D)/(GAM_W*PI()*E1258^2/4))</f>
        <v>0.857262554872142</v>
      </c>
      <c r="AB1258" s="27" t="n">
        <f aca="false">IF(H1258-E1258&gt;=GWL,99,E1258*(MAX(0,GWL-H1258)*(GAM_S-GAM_W)+MAX(0,FL-MAX(H1258,GWL))*GAM_D)/(GAM_W*PI()*E1258^2/4))</f>
        <v>2.62319805952842</v>
      </c>
      <c r="AC1258" s="27" t="n">
        <f aca="false">IF(I1258-E1258&gt;=GWL,99,E1258*(MAX(0,GWL-I1258)*(GAM_S-GAM_W)+MAX(0,FL-MAX(I1258,GWL))*GAM_D)/(GAM_W*PI()*E1258^2/4))</f>
        <v>2.62319805952842</v>
      </c>
    </row>
    <row r="1259" customFormat="false" ht="15" hidden="false" customHeight="false" outlineLevel="0" collapsed="false">
      <c r="A1259" s="25" t="s">
        <v>1872</v>
      </c>
      <c r="B1259" s="25" t="s">
        <v>1891</v>
      </c>
      <c r="C1259" s="25" t="s">
        <v>1901</v>
      </c>
      <c r="D1259" s="26" t="n">
        <v>10.0000000004081</v>
      </c>
      <c r="E1259" s="26" t="n">
        <v>2.24899090672481</v>
      </c>
      <c r="F1259" s="26" t="n">
        <v>-4.3044954533624</v>
      </c>
      <c r="G1259" s="26" t="n">
        <v>-4.3044954533624</v>
      </c>
      <c r="H1259" s="26" t="n">
        <v>-1.5555045466376</v>
      </c>
      <c r="I1259" s="26" t="n">
        <v>-1.5555045466376</v>
      </c>
      <c r="J1259" s="26" t="n">
        <v>19.69</v>
      </c>
      <c r="K1259" s="27" t="n">
        <f aca="false">MIN(F1259,G1259)</f>
        <v>-4.3044954533624</v>
      </c>
      <c r="L1259" s="27" t="n">
        <f aca="false">AVERAGE(F1259,G1259)</f>
        <v>-4.3044954533624</v>
      </c>
      <c r="M1259" s="27" t="n">
        <f aca="false">MAX(0,NG-L1259)</f>
        <v>3.6044954533624</v>
      </c>
      <c r="N1259" s="27" t="n">
        <f aca="false">MAX(0,GWL-K1259)</f>
        <v>2.8044954533624</v>
      </c>
      <c r="O1259" s="27" t="n">
        <f aca="false">MAX(0,NG-MAX(K1259,GWL))</f>
        <v>0.8</v>
      </c>
      <c r="P1259" s="27" t="n">
        <f aca="false">E1259/2+WS+SLOPE_A*O1259+SLOPE_B*N1259</f>
        <v>8.93348636008721</v>
      </c>
      <c r="Q1259" s="28" t="str">
        <f aca="false">IF(AND(P1259&lt;J1259,N1259&lt;=MAXOC),"Open cut","Shoring")</f>
        <v>Shoring</v>
      </c>
      <c r="R1259" s="27" t="n">
        <f aca="false">IF(Q1259="Shoring",D1259,0)</f>
        <v>10.0000000004081</v>
      </c>
      <c r="S1259" s="27" t="n">
        <f aca="false">MAX(0,GWL-L1259)</f>
        <v>2.8044954533624</v>
      </c>
      <c r="T1259" s="27" t="n">
        <f aca="false">MAX(0,NG-MAX(L1259,GWL))</f>
        <v>0.8</v>
      </c>
      <c r="U1259" s="27" t="n">
        <f aca="false">E1259+2*WS</f>
        <v>4.24899090672481</v>
      </c>
      <c r="V1259" s="27" t="n">
        <f aca="false">IF(Q1259="Shoring",D1259*M1259*U1259,0)</f>
        <v>153.154684052927</v>
      </c>
      <c r="W1259" s="27" t="n">
        <f aca="false">IF(Q1259="Open cut",D1259*(U1259*M1259+SLOPE_B*S1259^2+2*SLOPE_B*S1259*T1259+SLOPE_A*T1259^2),0)</f>
        <v>0</v>
      </c>
      <c r="X1259" s="27" t="n">
        <f aca="false">IF(M1259&gt;0,D1259*(E1259+2*SLABOVH)*SLAB,0)</f>
        <v>16.2449545342869</v>
      </c>
      <c r="Y1259" s="27" t="n">
        <f aca="false">IF(M1259&gt;0,D1259*PI()*E1259^2/4,0)</f>
        <v>39.7251257208582</v>
      </c>
      <c r="Z1259" s="27" t="n">
        <f aca="false">IF(H1259-E1259&gt;=GWL,99,E1259*(MAX(0,GWL-H1259)*(GAM_S-GAM_W)+MAX(0,NG-MAX(H1259,GWL))*GAM_D)/(GAM_W*PI()*E1259^2/4))</f>
        <v>0.857262554872142</v>
      </c>
      <c r="AA1259" s="27" t="n">
        <f aca="false">IF(I1259-E1259&gt;=GWL,99,E1259*(MAX(0,GWL-I1259)*(GAM_S-GAM_W)+MAX(0,NG-MAX(I1259,GWL))*GAM_D)/(GAM_W*PI()*E1259^2/4))</f>
        <v>0.857262554872142</v>
      </c>
      <c r="AB1259" s="27" t="n">
        <f aca="false">IF(H1259-E1259&gt;=GWL,99,E1259*(MAX(0,GWL-H1259)*(GAM_S-GAM_W)+MAX(0,FL-MAX(H1259,GWL))*GAM_D)/(GAM_W*PI()*E1259^2/4))</f>
        <v>2.62319805952842</v>
      </c>
      <c r="AC1259" s="27" t="n">
        <f aca="false">IF(I1259-E1259&gt;=GWL,99,E1259*(MAX(0,GWL-I1259)*(GAM_S-GAM_W)+MAX(0,FL-MAX(I1259,GWL))*GAM_D)/(GAM_W*PI()*E1259^2/4))</f>
        <v>2.62319805952842</v>
      </c>
    </row>
    <row r="1260" customFormat="false" ht="15" hidden="false" customHeight="false" outlineLevel="0" collapsed="false">
      <c r="A1260" s="25" t="s">
        <v>1872</v>
      </c>
      <c r="B1260" s="25" t="s">
        <v>1891</v>
      </c>
      <c r="C1260" s="25" t="s">
        <v>1902</v>
      </c>
      <c r="D1260" s="26" t="n">
        <v>9.9999999992013</v>
      </c>
      <c r="E1260" s="26" t="n">
        <v>2.24899090672481</v>
      </c>
      <c r="F1260" s="26" t="n">
        <v>-4.3044954533624</v>
      </c>
      <c r="G1260" s="26" t="n">
        <v>-4.3044954533624</v>
      </c>
      <c r="H1260" s="26" t="n">
        <v>-1.5555045466376</v>
      </c>
      <c r="I1260" s="26" t="n">
        <v>-1.5555045466376</v>
      </c>
      <c r="J1260" s="26" t="n">
        <v>16.87</v>
      </c>
      <c r="K1260" s="27" t="n">
        <f aca="false">MIN(F1260,G1260)</f>
        <v>-4.3044954533624</v>
      </c>
      <c r="L1260" s="27" t="n">
        <f aca="false">AVERAGE(F1260,G1260)</f>
        <v>-4.3044954533624</v>
      </c>
      <c r="M1260" s="27" t="n">
        <f aca="false">MAX(0,NG-L1260)</f>
        <v>3.6044954533624</v>
      </c>
      <c r="N1260" s="27" t="n">
        <f aca="false">MAX(0,GWL-K1260)</f>
        <v>2.8044954533624</v>
      </c>
      <c r="O1260" s="27" t="n">
        <f aca="false">MAX(0,NG-MAX(K1260,GWL))</f>
        <v>0.8</v>
      </c>
      <c r="P1260" s="27" t="n">
        <f aca="false">E1260/2+WS+SLOPE_A*O1260+SLOPE_B*N1260</f>
        <v>8.93348636008721</v>
      </c>
      <c r="Q1260" s="28" t="str">
        <f aca="false">IF(AND(P1260&lt;J1260,N1260&lt;=MAXOC),"Open cut","Shoring")</f>
        <v>Shoring</v>
      </c>
      <c r="R1260" s="27" t="n">
        <f aca="false">IF(Q1260="Shoring",D1260,0)</f>
        <v>9.9999999992013</v>
      </c>
      <c r="S1260" s="27" t="n">
        <f aca="false">MAX(0,GWL-L1260)</f>
        <v>2.8044954533624</v>
      </c>
      <c r="T1260" s="27" t="n">
        <f aca="false">MAX(0,NG-MAX(L1260,GWL))</f>
        <v>0.8</v>
      </c>
      <c r="U1260" s="27" t="n">
        <f aca="false">E1260+2*WS</f>
        <v>4.24899090672481</v>
      </c>
      <c r="V1260" s="27" t="n">
        <f aca="false">IF(Q1260="Shoring",D1260*M1260*U1260,0)</f>
        <v>153.154684034445</v>
      </c>
      <c r="W1260" s="27" t="n">
        <f aca="false">IF(Q1260="Open cut",D1260*(U1260*M1260+SLOPE_B*S1260^2+2*SLOPE_B*S1260*T1260+SLOPE_A*T1260^2),0)</f>
        <v>0</v>
      </c>
      <c r="X1260" s="27" t="n">
        <f aca="false">IF(M1260&gt;0,D1260*(E1260+2*SLABOVH)*SLAB,0)</f>
        <v>16.2449545323266</v>
      </c>
      <c r="Y1260" s="27" t="n">
        <f aca="false">IF(M1260&gt;0,D1260*PI()*E1260^2/4,0)</f>
        <v>39.7251257160643</v>
      </c>
      <c r="Z1260" s="27" t="n">
        <f aca="false">IF(H1260-E1260&gt;=GWL,99,E1260*(MAX(0,GWL-H1260)*(GAM_S-GAM_W)+MAX(0,NG-MAX(H1260,GWL))*GAM_D)/(GAM_W*PI()*E1260^2/4))</f>
        <v>0.857262554872142</v>
      </c>
      <c r="AA1260" s="27" t="n">
        <f aca="false">IF(I1260-E1260&gt;=GWL,99,E1260*(MAX(0,GWL-I1260)*(GAM_S-GAM_W)+MAX(0,NG-MAX(I1260,GWL))*GAM_D)/(GAM_W*PI()*E1260^2/4))</f>
        <v>0.857262554872142</v>
      </c>
      <c r="AB1260" s="27" t="n">
        <f aca="false">IF(H1260-E1260&gt;=GWL,99,E1260*(MAX(0,GWL-H1260)*(GAM_S-GAM_W)+MAX(0,FL-MAX(H1260,GWL))*GAM_D)/(GAM_W*PI()*E1260^2/4))</f>
        <v>2.62319805952842</v>
      </c>
      <c r="AC1260" s="27" t="n">
        <f aca="false">IF(I1260-E1260&gt;=GWL,99,E1260*(MAX(0,GWL-I1260)*(GAM_S-GAM_W)+MAX(0,FL-MAX(I1260,GWL))*GAM_D)/(GAM_W*PI()*E1260^2/4))</f>
        <v>2.62319805952842</v>
      </c>
    </row>
    <row r="1261" customFormat="false" ht="15" hidden="false" customHeight="false" outlineLevel="0" collapsed="false">
      <c r="A1261" s="25" t="s">
        <v>1872</v>
      </c>
      <c r="B1261" s="25" t="s">
        <v>1891</v>
      </c>
      <c r="C1261" s="25" t="s">
        <v>1903</v>
      </c>
      <c r="D1261" s="26" t="n">
        <v>10.0000000003494</v>
      </c>
      <c r="E1261" s="26" t="n">
        <v>2.24899090672481</v>
      </c>
      <c r="F1261" s="26" t="n">
        <v>-4.3044954533624</v>
      </c>
      <c r="G1261" s="26" t="n">
        <v>-4.3044954533624</v>
      </c>
      <c r="H1261" s="26" t="n">
        <v>-1.5555045466376</v>
      </c>
      <c r="I1261" s="26" t="n">
        <v>-1.5555045466376</v>
      </c>
      <c r="J1261" s="26" t="n">
        <v>12.92</v>
      </c>
      <c r="K1261" s="27" t="n">
        <f aca="false">MIN(F1261,G1261)</f>
        <v>-4.3044954533624</v>
      </c>
      <c r="L1261" s="27" t="n">
        <f aca="false">AVERAGE(F1261,G1261)</f>
        <v>-4.3044954533624</v>
      </c>
      <c r="M1261" s="27" t="n">
        <f aca="false">MAX(0,NG-L1261)</f>
        <v>3.6044954533624</v>
      </c>
      <c r="N1261" s="27" t="n">
        <f aca="false">MAX(0,GWL-K1261)</f>
        <v>2.8044954533624</v>
      </c>
      <c r="O1261" s="27" t="n">
        <f aca="false">MAX(0,NG-MAX(K1261,GWL))</f>
        <v>0.8</v>
      </c>
      <c r="P1261" s="27" t="n">
        <f aca="false">E1261/2+WS+SLOPE_A*O1261+SLOPE_B*N1261</f>
        <v>8.93348636008721</v>
      </c>
      <c r="Q1261" s="28" t="str">
        <f aca="false">IF(AND(P1261&lt;J1261,N1261&lt;=MAXOC),"Open cut","Shoring")</f>
        <v>Shoring</v>
      </c>
      <c r="R1261" s="27" t="n">
        <f aca="false">IF(Q1261="Shoring",D1261,0)</f>
        <v>10.0000000003494</v>
      </c>
      <c r="S1261" s="27" t="n">
        <f aca="false">MAX(0,GWL-L1261)</f>
        <v>2.8044954533624</v>
      </c>
      <c r="T1261" s="27" t="n">
        <f aca="false">MAX(0,NG-MAX(L1261,GWL))</f>
        <v>0.8</v>
      </c>
      <c r="U1261" s="27" t="n">
        <f aca="false">E1261+2*WS</f>
        <v>4.24899090672481</v>
      </c>
      <c r="V1261" s="27" t="n">
        <f aca="false">IF(Q1261="Shoring",D1261*M1261*U1261,0)</f>
        <v>153.154684052029</v>
      </c>
      <c r="W1261" s="27" t="n">
        <f aca="false">IF(Q1261="Open cut",D1261*(U1261*M1261+SLOPE_B*S1261^2+2*SLOPE_B*S1261*T1261+SLOPE_A*T1261^2),0)</f>
        <v>0</v>
      </c>
      <c r="X1261" s="27" t="n">
        <f aca="false">IF(M1261&gt;0,D1261*(E1261+2*SLABOVH)*SLAB,0)</f>
        <v>16.2449545341917</v>
      </c>
      <c r="Y1261" s="27" t="n">
        <f aca="false">IF(M1261&gt;0,D1261*PI()*E1261^2/4,0)</f>
        <v>39.7251257206253</v>
      </c>
      <c r="Z1261" s="27" t="n">
        <f aca="false">IF(H1261-E1261&gt;=GWL,99,E1261*(MAX(0,GWL-H1261)*(GAM_S-GAM_W)+MAX(0,NG-MAX(H1261,GWL))*GAM_D)/(GAM_W*PI()*E1261^2/4))</f>
        <v>0.857262554872142</v>
      </c>
      <c r="AA1261" s="27" t="n">
        <f aca="false">IF(I1261-E1261&gt;=GWL,99,E1261*(MAX(0,GWL-I1261)*(GAM_S-GAM_W)+MAX(0,NG-MAX(I1261,GWL))*GAM_D)/(GAM_W*PI()*E1261^2/4))</f>
        <v>0.857262554872142</v>
      </c>
      <c r="AB1261" s="27" t="n">
        <f aca="false">IF(H1261-E1261&gt;=GWL,99,E1261*(MAX(0,GWL-H1261)*(GAM_S-GAM_W)+MAX(0,FL-MAX(H1261,GWL))*GAM_D)/(GAM_W*PI()*E1261^2/4))</f>
        <v>2.62319805952842</v>
      </c>
      <c r="AC1261" s="27" t="n">
        <f aca="false">IF(I1261-E1261&gt;=GWL,99,E1261*(MAX(0,GWL-I1261)*(GAM_S-GAM_W)+MAX(0,FL-MAX(I1261,GWL))*GAM_D)/(GAM_W*PI()*E1261^2/4))</f>
        <v>2.62319805952842</v>
      </c>
    </row>
    <row r="1262" customFormat="false" ht="15" hidden="false" customHeight="false" outlineLevel="0" collapsed="false">
      <c r="A1262" s="25" t="s">
        <v>1872</v>
      </c>
      <c r="B1262" s="25" t="s">
        <v>1891</v>
      </c>
      <c r="C1262" s="25" t="s">
        <v>1904</v>
      </c>
      <c r="D1262" s="26" t="n">
        <v>10.0000000000058</v>
      </c>
      <c r="E1262" s="26" t="n">
        <v>2.24899090672481</v>
      </c>
      <c r="F1262" s="26" t="n">
        <v>-4.3044954533624</v>
      </c>
      <c r="G1262" s="26" t="n">
        <v>-4.3044954533624</v>
      </c>
      <c r="H1262" s="26" t="n">
        <v>-1.5555045466376</v>
      </c>
      <c r="I1262" s="26" t="n">
        <v>-1.5555045466376</v>
      </c>
      <c r="J1262" s="26" t="n">
        <v>11.13</v>
      </c>
      <c r="K1262" s="27" t="n">
        <f aca="false">MIN(F1262,G1262)</f>
        <v>-4.3044954533624</v>
      </c>
      <c r="L1262" s="27" t="n">
        <f aca="false">AVERAGE(F1262,G1262)</f>
        <v>-4.3044954533624</v>
      </c>
      <c r="M1262" s="27" t="n">
        <f aca="false">MAX(0,NG-L1262)</f>
        <v>3.6044954533624</v>
      </c>
      <c r="N1262" s="27" t="n">
        <f aca="false">MAX(0,GWL-K1262)</f>
        <v>2.8044954533624</v>
      </c>
      <c r="O1262" s="27" t="n">
        <f aca="false">MAX(0,NG-MAX(K1262,GWL))</f>
        <v>0.8</v>
      </c>
      <c r="P1262" s="27" t="n">
        <f aca="false">E1262/2+WS+SLOPE_A*O1262+SLOPE_B*N1262</f>
        <v>8.93348636008721</v>
      </c>
      <c r="Q1262" s="28" t="str">
        <f aca="false">IF(AND(P1262&lt;J1262,N1262&lt;=MAXOC),"Open cut","Shoring")</f>
        <v>Shoring</v>
      </c>
      <c r="R1262" s="27" t="n">
        <f aca="false">IF(Q1262="Shoring",D1262,0)</f>
        <v>10.0000000000058</v>
      </c>
      <c r="S1262" s="27" t="n">
        <f aca="false">MAX(0,GWL-L1262)</f>
        <v>2.8044954533624</v>
      </c>
      <c r="T1262" s="27" t="n">
        <f aca="false">MAX(0,NG-MAX(L1262,GWL))</f>
        <v>0.8</v>
      </c>
      <c r="U1262" s="27" t="n">
        <f aca="false">E1262+2*WS</f>
        <v>4.24899090672481</v>
      </c>
      <c r="V1262" s="27" t="n">
        <f aca="false">IF(Q1262="Shoring",D1262*M1262*U1262,0)</f>
        <v>153.154684046767</v>
      </c>
      <c r="W1262" s="27" t="n">
        <f aca="false">IF(Q1262="Open cut",D1262*(U1262*M1262+SLOPE_B*S1262^2+2*SLOPE_B*S1262*T1262+SLOPE_A*T1262^2),0)</f>
        <v>0</v>
      </c>
      <c r="X1262" s="27" t="n">
        <f aca="false">IF(M1262&gt;0,D1262*(E1262+2*SLABOVH)*SLAB,0)</f>
        <v>16.2449545336335</v>
      </c>
      <c r="Y1262" s="27" t="n">
        <f aca="false">IF(M1262&gt;0,D1262*PI()*E1262^2/4,0)</f>
        <v>39.7251257192603</v>
      </c>
      <c r="Z1262" s="27" t="n">
        <f aca="false">IF(H1262-E1262&gt;=GWL,99,E1262*(MAX(0,GWL-H1262)*(GAM_S-GAM_W)+MAX(0,NG-MAX(H1262,GWL))*GAM_D)/(GAM_W*PI()*E1262^2/4))</f>
        <v>0.857262554872142</v>
      </c>
      <c r="AA1262" s="27" t="n">
        <f aca="false">IF(I1262-E1262&gt;=GWL,99,E1262*(MAX(0,GWL-I1262)*(GAM_S-GAM_W)+MAX(0,NG-MAX(I1262,GWL))*GAM_D)/(GAM_W*PI()*E1262^2/4))</f>
        <v>0.857262554872142</v>
      </c>
      <c r="AB1262" s="27" t="n">
        <f aca="false">IF(H1262-E1262&gt;=GWL,99,E1262*(MAX(0,GWL-H1262)*(GAM_S-GAM_W)+MAX(0,FL-MAX(H1262,GWL))*GAM_D)/(GAM_W*PI()*E1262^2/4))</f>
        <v>2.62319805952842</v>
      </c>
      <c r="AC1262" s="27" t="n">
        <f aca="false">IF(I1262-E1262&gt;=GWL,99,E1262*(MAX(0,GWL-I1262)*(GAM_S-GAM_W)+MAX(0,FL-MAX(I1262,GWL))*GAM_D)/(GAM_W*PI()*E1262^2/4))</f>
        <v>2.62319805952842</v>
      </c>
    </row>
    <row r="1263" customFormat="false" ht="15" hidden="false" customHeight="false" outlineLevel="0" collapsed="false">
      <c r="A1263" s="25" t="s">
        <v>1872</v>
      </c>
      <c r="B1263" s="25" t="s">
        <v>1891</v>
      </c>
      <c r="C1263" s="25" t="s">
        <v>1905</v>
      </c>
      <c r="D1263" s="26" t="n">
        <v>10.0000000004081</v>
      </c>
      <c r="E1263" s="26" t="n">
        <v>2.24899090672481</v>
      </c>
      <c r="F1263" s="26" t="n">
        <v>-4.3044954533624</v>
      </c>
      <c r="G1263" s="26" t="n">
        <v>-4.3044954533624</v>
      </c>
      <c r="H1263" s="26" t="n">
        <v>-1.5555045466376</v>
      </c>
      <c r="I1263" s="26" t="n">
        <v>-1.5555045466376</v>
      </c>
      <c r="J1263" s="26" t="n">
        <v>11.07</v>
      </c>
      <c r="K1263" s="27" t="n">
        <f aca="false">MIN(F1263,G1263)</f>
        <v>-4.3044954533624</v>
      </c>
      <c r="L1263" s="27" t="n">
        <f aca="false">AVERAGE(F1263,G1263)</f>
        <v>-4.3044954533624</v>
      </c>
      <c r="M1263" s="27" t="n">
        <f aca="false">MAX(0,NG-L1263)</f>
        <v>3.6044954533624</v>
      </c>
      <c r="N1263" s="27" t="n">
        <f aca="false">MAX(0,GWL-K1263)</f>
        <v>2.8044954533624</v>
      </c>
      <c r="O1263" s="27" t="n">
        <f aca="false">MAX(0,NG-MAX(K1263,GWL))</f>
        <v>0.8</v>
      </c>
      <c r="P1263" s="27" t="n">
        <f aca="false">E1263/2+WS+SLOPE_A*O1263+SLOPE_B*N1263</f>
        <v>8.93348636008721</v>
      </c>
      <c r="Q1263" s="28" t="str">
        <f aca="false">IF(AND(P1263&lt;J1263,N1263&lt;=MAXOC),"Open cut","Shoring")</f>
        <v>Shoring</v>
      </c>
      <c r="R1263" s="27" t="n">
        <f aca="false">IF(Q1263="Shoring",D1263,0)</f>
        <v>10.0000000004081</v>
      </c>
      <c r="S1263" s="27" t="n">
        <f aca="false">MAX(0,GWL-L1263)</f>
        <v>2.8044954533624</v>
      </c>
      <c r="T1263" s="27" t="n">
        <f aca="false">MAX(0,NG-MAX(L1263,GWL))</f>
        <v>0.8</v>
      </c>
      <c r="U1263" s="27" t="n">
        <f aca="false">E1263+2*WS</f>
        <v>4.24899090672481</v>
      </c>
      <c r="V1263" s="27" t="n">
        <f aca="false">IF(Q1263="Shoring",D1263*M1263*U1263,0)</f>
        <v>153.154684052927</v>
      </c>
      <c r="W1263" s="27" t="n">
        <f aca="false">IF(Q1263="Open cut",D1263*(U1263*M1263+SLOPE_B*S1263^2+2*SLOPE_B*S1263*T1263+SLOPE_A*T1263^2),0)</f>
        <v>0</v>
      </c>
      <c r="X1263" s="27" t="n">
        <f aca="false">IF(M1263&gt;0,D1263*(E1263+2*SLABOVH)*SLAB,0)</f>
        <v>16.2449545342869</v>
      </c>
      <c r="Y1263" s="27" t="n">
        <f aca="false">IF(M1263&gt;0,D1263*PI()*E1263^2/4,0)</f>
        <v>39.7251257208582</v>
      </c>
      <c r="Z1263" s="27" t="n">
        <f aca="false">IF(H1263-E1263&gt;=GWL,99,E1263*(MAX(0,GWL-H1263)*(GAM_S-GAM_W)+MAX(0,NG-MAX(H1263,GWL))*GAM_D)/(GAM_W*PI()*E1263^2/4))</f>
        <v>0.857262554872142</v>
      </c>
      <c r="AA1263" s="27" t="n">
        <f aca="false">IF(I1263-E1263&gt;=GWL,99,E1263*(MAX(0,GWL-I1263)*(GAM_S-GAM_W)+MAX(0,NG-MAX(I1263,GWL))*GAM_D)/(GAM_W*PI()*E1263^2/4))</f>
        <v>0.857262554872142</v>
      </c>
      <c r="AB1263" s="27" t="n">
        <f aca="false">IF(H1263-E1263&gt;=GWL,99,E1263*(MAX(0,GWL-H1263)*(GAM_S-GAM_W)+MAX(0,FL-MAX(H1263,GWL))*GAM_D)/(GAM_W*PI()*E1263^2/4))</f>
        <v>2.62319805952842</v>
      </c>
      <c r="AC1263" s="27" t="n">
        <f aca="false">IF(I1263-E1263&gt;=GWL,99,E1263*(MAX(0,GWL-I1263)*(GAM_S-GAM_W)+MAX(0,FL-MAX(I1263,GWL))*GAM_D)/(GAM_W*PI()*E1263^2/4))</f>
        <v>2.62319805952842</v>
      </c>
    </row>
    <row r="1264" customFormat="false" ht="15" hidden="false" customHeight="false" outlineLevel="0" collapsed="false">
      <c r="A1264" s="25" t="s">
        <v>1872</v>
      </c>
      <c r="B1264" s="25" t="s">
        <v>1891</v>
      </c>
      <c r="C1264" s="25" t="s">
        <v>1906</v>
      </c>
      <c r="D1264" s="26" t="n">
        <v>5.12997660047158</v>
      </c>
      <c r="E1264" s="26" t="n">
        <v>2.24899090672481</v>
      </c>
      <c r="F1264" s="26" t="n">
        <v>-4.3044954533624</v>
      </c>
      <c r="G1264" s="26" t="n">
        <v>-4.3044954533624</v>
      </c>
      <c r="H1264" s="26" t="n">
        <v>-1.5555045466376</v>
      </c>
      <c r="I1264" s="26" t="n">
        <v>-1.5555045466376</v>
      </c>
      <c r="J1264" s="26" t="n">
        <v>11.79</v>
      </c>
      <c r="K1264" s="27" t="n">
        <f aca="false">MIN(F1264,G1264)</f>
        <v>-4.3044954533624</v>
      </c>
      <c r="L1264" s="27" t="n">
        <f aca="false">AVERAGE(F1264,G1264)</f>
        <v>-4.3044954533624</v>
      </c>
      <c r="M1264" s="27" t="n">
        <f aca="false">MAX(0,NG-L1264)</f>
        <v>3.6044954533624</v>
      </c>
      <c r="N1264" s="27" t="n">
        <f aca="false">MAX(0,GWL-K1264)</f>
        <v>2.8044954533624</v>
      </c>
      <c r="O1264" s="27" t="n">
        <f aca="false">MAX(0,NG-MAX(K1264,GWL))</f>
        <v>0.8</v>
      </c>
      <c r="P1264" s="27" t="n">
        <f aca="false">E1264/2+WS+SLOPE_A*O1264+SLOPE_B*N1264</f>
        <v>8.93348636008721</v>
      </c>
      <c r="Q1264" s="28" t="str">
        <f aca="false">IF(AND(P1264&lt;J1264,N1264&lt;=MAXOC),"Open cut","Shoring")</f>
        <v>Shoring</v>
      </c>
      <c r="R1264" s="27" t="n">
        <f aca="false">IF(Q1264="Shoring",D1264,0)</f>
        <v>5.12997660047158</v>
      </c>
      <c r="S1264" s="27" t="n">
        <f aca="false">MAX(0,GWL-L1264)</f>
        <v>2.8044954533624</v>
      </c>
      <c r="T1264" s="27" t="n">
        <f aca="false">MAX(0,NG-MAX(L1264,GWL))</f>
        <v>0.8</v>
      </c>
      <c r="U1264" s="27" t="n">
        <f aca="false">E1264+2*WS</f>
        <v>4.24899090672481</v>
      </c>
      <c r="V1264" s="27" t="n">
        <f aca="false">IF(Q1264="Shoring",D1264*M1264*U1264,0)</f>
        <v>78.5679945412073</v>
      </c>
      <c r="W1264" s="27" t="n">
        <f aca="false">IF(Q1264="Open cut",D1264*(U1264*M1264+SLOPE_B*S1264^2+2*SLOPE_B*S1264*T1264+SLOPE_A*T1264^2),0)</f>
        <v>0</v>
      </c>
      <c r="X1264" s="27" t="n">
        <f aca="false">IF(M1264&gt;0,D1264*(E1264+2*SLABOVH)*SLAB,0)</f>
        <v>8.33362366332159</v>
      </c>
      <c r="Y1264" s="27" t="n">
        <f aca="false">IF(M1264&gt;0,D1264*PI()*E1264^2/4,0)</f>
        <v>20.3788965390478</v>
      </c>
      <c r="Z1264" s="27" t="n">
        <f aca="false">IF(H1264-E1264&gt;=GWL,99,E1264*(MAX(0,GWL-H1264)*(GAM_S-GAM_W)+MAX(0,NG-MAX(H1264,GWL))*GAM_D)/(GAM_W*PI()*E1264^2/4))</f>
        <v>0.857262554872142</v>
      </c>
      <c r="AA1264" s="27" t="n">
        <f aca="false">IF(I1264-E1264&gt;=GWL,99,E1264*(MAX(0,GWL-I1264)*(GAM_S-GAM_W)+MAX(0,NG-MAX(I1264,GWL))*GAM_D)/(GAM_W*PI()*E1264^2/4))</f>
        <v>0.857262554872142</v>
      </c>
      <c r="AB1264" s="27" t="n">
        <f aca="false">IF(H1264-E1264&gt;=GWL,99,E1264*(MAX(0,GWL-H1264)*(GAM_S-GAM_W)+MAX(0,FL-MAX(H1264,GWL))*GAM_D)/(GAM_W*PI()*E1264^2/4))</f>
        <v>2.62319805952842</v>
      </c>
      <c r="AC1264" s="27" t="n">
        <f aca="false">IF(I1264-E1264&gt;=GWL,99,E1264*(MAX(0,GWL-I1264)*(GAM_S-GAM_W)+MAX(0,FL-MAX(I1264,GWL))*GAM_D)/(GAM_W*PI()*E1264^2/4))</f>
        <v>2.62319805952842</v>
      </c>
    </row>
    <row r="1265" customFormat="false" ht="15" hidden="false" customHeight="false" outlineLevel="0" collapsed="false">
      <c r="A1265" s="25" t="s">
        <v>1872</v>
      </c>
      <c r="B1265" s="25" t="s">
        <v>1891</v>
      </c>
      <c r="C1265" s="25" t="s">
        <v>1907</v>
      </c>
      <c r="D1265" s="26" t="n">
        <v>3.34999241510776</v>
      </c>
      <c r="E1265" s="26" t="n">
        <v>2.2489941105954</v>
      </c>
      <c r="F1265" s="26" t="n">
        <v>-4.3044970552977</v>
      </c>
      <c r="G1265" s="26" t="n">
        <v>-4.3044970552977</v>
      </c>
      <c r="H1265" s="26" t="n">
        <v>-1.5555029447023</v>
      </c>
      <c r="I1265" s="26" t="n">
        <v>-1.5555029447023</v>
      </c>
      <c r="J1265" s="26" t="n">
        <v>13.06</v>
      </c>
      <c r="K1265" s="27" t="n">
        <f aca="false">MIN(F1265,G1265)</f>
        <v>-4.3044970552977</v>
      </c>
      <c r="L1265" s="27" t="n">
        <f aca="false">AVERAGE(F1265,G1265)</f>
        <v>-4.3044970552977</v>
      </c>
      <c r="M1265" s="27" t="n">
        <f aca="false">MAX(0,NG-L1265)</f>
        <v>3.6044970552977</v>
      </c>
      <c r="N1265" s="27" t="n">
        <f aca="false">MAX(0,GWL-K1265)</f>
        <v>2.8044970552977</v>
      </c>
      <c r="O1265" s="27" t="n">
        <f aca="false">MAX(0,NG-MAX(K1265,GWL))</f>
        <v>0.8</v>
      </c>
      <c r="P1265" s="27" t="n">
        <f aca="false">E1265/2+WS+SLOPE_A*O1265+SLOPE_B*N1265</f>
        <v>8.9334911658931</v>
      </c>
      <c r="Q1265" s="28" t="str">
        <f aca="false">IF(AND(P1265&lt;J1265,N1265&lt;=MAXOC),"Open cut","Shoring")</f>
        <v>Shoring</v>
      </c>
      <c r="R1265" s="27" t="n">
        <f aca="false">IF(Q1265="Shoring",D1265,0)</f>
        <v>3.34999241510776</v>
      </c>
      <c r="S1265" s="27" t="n">
        <f aca="false">MAX(0,GWL-L1265)</f>
        <v>2.8044970552977</v>
      </c>
      <c r="T1265" s="27" t="n">
        <f aca="false">MAX(0,NG-MAX(L1265,GWL))</f>
        <v>0.8</v>
      </c>
      <c r="U1265" s="27" t="n">
        <f aca="false">E1265+2*WS</f>
        <v>4.2489941105954</v>
      </c>
      <c r="V1265" s="27" t="n">
        <f aca="false">IF(Q1265="Shoring",D1265*M1265*U1265,0)</f>
        <v>51.3067644784049</v>
      </c>
      <c r="W1265" s="27" t="n">
        <f aca="false">IF(Q1265="Open cut",D1265*(U1265*M1265+SLOPE_B*S1265^2+2*SLOPE_B*S1265*T1265+SLOPE_A*T1265^2),0)</f>
        <v>0</v>
      </c>
      <c r="X1265" s="27" t="n">
        <f aca="false">IF(M1265&gt;0,D1265*(E1265+2*SLABOVH)*SLAB,0)</f>
        <v>5.44205281361218</v>
      </c>
      <c r="Y1265" s="27" t="n">
        <f aca="false">IF(M1265&gt;0,D1265*PI()*E1265^2/4,0)</f>
        <v>13.3079249012279</v>
      </c>
      <c r="Z1265" s="27" t="n">
        <f aca="false">IF(H1265-E1265&gt;=GWL,99,E1265*(MAX(0,GWL-H1265)*(GAM_S-GAM_W)+MAX(0,NG-MAX(H1265,GWL))*GAM_D)/(GAM_W*PI()*E1265^2/4))</f>
        <v>0.857260576484057</v>
      </c>
      <c r="AA1265" s="27" t="n">
        <f aca="false">IF(I1265-E1265&gt;=GWL,99,E1265*(MAX(0,GWL-I1265)*(GAM_S-GAM_W)+MAX(0,NG-MAX(I1265,GWL))*GAM_D)/(GAM_W*PI()*E1265^2/4))</f>
        <v>0.857260576484057</v>
      </c>
      <c r="AB1265" s="27" t="n">
        <f aca="false">IF(H1265-E1265&gt;=GWL,99,E1265*(MAX(0,GWL-H1265)*(GAM_S-GAM_W)+MAX(0,FL-MAX(H1265,GWL))*GAM_D)/(GAM_W*PI()*E1265^2/4))</f>
        <v>2.62319356542507</v>
      </c>
      <c r="AC1265" s="27" t="n">
        <f aca="false">IF(I1265-E1265&gt;=GWL,99,E1265*(MAX(0,GWL-I1265)*(GAM_S-GAM_W)+MAX(0,FL-MAX(I1265,GWL))*GAM_D)/(GAM_W*PI()*E1265^2/4))</f>
        <v>2.62319356542507</v>
      </c>
    </row>
    <row r="1266" customFormat="false" ht="15" hidden="false" customHeight="false" outlineLevel="0" collapsed="false">
      <c r="A1266" s="25" t="s">
        <v>1872</v>
      </c>
      <c r="B1266" s="25" t="s">
        <v>1891</v>
      </c>
      <c r="C1266" s="25" t="s">
        <v>1908</v>
      </c>
      <c r="D1266" s="26" t="n">
        <v>1.52003098468085</v>
      </c>
      <c r="E1266" s="26" t="n">
        <v>2.24899892862004</v>
      </c>
      <c r="F1266" s="26" t="n">
        <v>-4.30449946431002</v>
      </c>
      <c r="G1266" s="26" t="n">
        <v>-4.30449946431002</v>
      </c>
      <c r="H1266" s="26" t="n">
        <v>-1.55550053568998</v>
      </c>
      <c r="I1266" s="26" t="n">
        <v>-1.55550053568998</v>
      </c>
      <c r="J1266" s="26" t="n">
        <v>13.62</v>
      </c>
      <c r="K1266" s="27" t="n">
        <f aca="false">MIN(F1266,G1266)</f>
        <v>-4.30449946431002</v>
      </c>
      <c r="L1266" s="27" t="n">
        <f aca="false">AVERAGE(F1266,G1266)</f>
        <v>-4.30449946431002</v>
      </c>
      <c r="M1266" s="27" t="n">
        <f aca="false">MAX(0,NG-L1266)</f>
        <v>3.60449946431002</v>
      </c>
      <c r="N1266" s="27" t="n">
        <f aca="false">MAX(0,GWL-K1266)</f>
        <v>2.80449946431002</v>
      </c>
      <c r="O1266" s="27" t="n">
        <f aca="false">MAX(0,NG-MAX(K1266,GWL))</f>
        <v>0.8</v>
      </c>
      <c r="P1266" s="27" t="n">
        <f aca="false">E1266/2+WS+SLOPE_A*O1266+SLOPE_B*N1266</f>
        <v>8.93349839293006</v>
      </c>
      <c r="Q1266" s="28" t="str">
        <f aca="false">IF(AND(P1266&lt;J1266,N1266&lt;=MAXOC),"Open cut","Shoring")</f>
        <v>Shoring</v>
      </c>
      <c r="R1266" s="27" t="n">
        <f aca="false">IF(Q1266="Shoring",D1266,0)</f>
        <v>1.52003098468085</v>
      </c>
      <c r="S1266" s="27" t="n">
        <f aca="false">MAX(0,GWL-L1266)</f>
        <v>2.80449946431002</v>
      </c>
      <c r="T1266" s="27" t="n">
        <f aca="false">MAX(0,NG-MAX(L1266,GWL))</f>
        <v>0.8</v>
      </c>
      <c r="U1266" s="27" t="n">
        <f aca="false">E1266+2*WS</f>
        <v>4.24899892862004</v>
      </c>
      <c r="V1266" s="27" t="n">
        <f aca="false">IF(Q1266="Shoring",D1266*M1266*U1266,0)</f>
        <v>23.280056376663</v>
      </c>
      <c r="W1266" s="27" t="n">
        <f aca="false">IF(Q1266="Open cut",D1266*(U1266*M1266+SLOPE_B*S1266^2+2*SLOPE_B*S1266*T1266+SLOPE_A*T1266^2),0)</f>
        <v>0</v>
      </c>
      <c r="X1266" s="27" t="n">
        <f aca="false">IF(M1266&gt;0,D1266*(E1266+2*SLABOVH)*SLAB,0)</f>
        <v>2.46928952034867</v>
      </c>
      <c r="Y1266" s="27" t="n">
        <f aca="false">IF(M1266&gt;0,D1266*PI()*E1266^2/4,0)</f>
        <v>6.03838527259723</v>
      </c>
      <c r="Z1266" s="27" t="n">
        <f aca="false">IF(H1266-E1266&gt;=GWL,99,E1266*(MAX(0,GWL-H1266)*(GAM_S-GAM_W)+MAX(0,NG-MAX(H1266,GWL))*GAM_D)/(GAM_W*PI()*E1266^2/4))</f>
        <v>0.857257601367464</v>
      </c>
      <c r="AA1266" s="27" t="n">
        <f aca="false">IF(I1266-E1266&gt;=GWL,99,E1266*(MAX(0,GWL-I1266)*(GAM_S-GAM_W)+MAX(0,NG-MAX(I1266,GWL))*GAM_D)/(GAM_W*PI()*E1266^2/4))</f>
        <v>0.857257601367464</v>
      </c>
      <c r="AB1266" s="27" t="n">
        <f aca="false">IF(H1266-E1266&gt;=GWL,99,E1266*(MAX(0,GWL-H1266)*(GAM_S-GAM_W)+MAX(0,FL-MAX(H1266,GWL))*GAM_D)/(GAM_W*PI()*E1266^2/4))</f>
        <v>2.62318680715475</v>
      </c>
      <c r="AC1266" s="27" t="n">
        <f aca="false">IF(I1266-E1266&gt;=GWL,99,E1266*(MAX(0,GWL-I1266)*(GAM_S-GAM_W)+MAX(0,FL-MAX(I1266,GWL))*GAM_D)/(GAM_W*PI()*E1266^2/4))</f>
        <v>2.62318680715475</v>
      </c>
    </row>
    <row r="1267" customFormat="false" ht="15" hidden="false" customHeight="false" outlineLevel="0" collapsed="false">
      <c r="A1267" s="25" t="s">
        <v>1872</v>
      </c>
      <c r="B1267" s="25" t="s">
        <v>1891</v>
      </c>
      <c r="C1267" s="25" t="s">
        <v>1909</v>
      </c>
      <c r="D1267" s="26" t="n">
        <v>1.82996901554636</v>
      </c>
      <c r="E1267" s="26" t="n">
        <v>2.24899892862004</v>
      </c>
      <c r="F1267" s="26" t="n">
        <v>-4.30449946431002</v>
      </c>
      <c r="G1267" s="26" t="n">
        <v>-4.30449946431002</v>
      </c>
      <c r="H1267" s="26" t="n">
        <v>-1.55550053568998</v>
      </c>
      <c r="I1267" s="26" t="n">
        <v>-1.55550053568998</v>
      </c>
      <c r="J1267" s="26" t="n">
        <v>13</v>
      </c>
      <c r="K1267" s="27" t="n">
        <f aca="false">MIN(F1267,G1267)</f>
        <v>-4.30449946431002</v>
      </c>
      <c r="L1267" s="27" t="n">
        <f aca="false">AVERAGE(F1267,G1267)</f>
        <v>-4.30449946431002</v>
      </c>
      <c r="M1267" s="27" t="n">
        <f aca="false">MAX(0,NG-L1267)</f>
        <v>3.60449946431002</v>
      </c>
      <c r="N1267" s="27" t="n">
        <f aca="false">MAX(0,GWL-K1267)</f>
        <v>2.80449946431002</v>
      </c>
      <c r="O1267" s="27" t="n">
        <f aca="false">MAX(0,NG-MAX(K1267,GWL))</f>
        <v>0.8</v>
      </c>
      <c r="P1267" s="27" t="n">
        <f aca="false">E1267/2+WS+SLOPE_A*O1267+SLOPE_B*N1267</f>
        <v>8.93349839293006</v>
      </c>
      <c r="Q1267" s="28" t="str">
        <f aca="false">IF(AND(P1267&lt;J1267,N1267&lt;=MAXOC),"Open cut","Shoring")</f>
        <v>Shoring</v>
      </c>
      <c r="R1267" s="27" t="n">
        <f aca="false">IF(Q1267="Shoring",D1267,0)</f>
        <v>1.82996901554636</v>
      </c>
      <c r="S1267" s="27" t="n">
        <f aca="false">MAX(0,GWL-L1267)</f>
        <v>2.80449946431002</v>
      </c>
      <c r="T1267" s="27" t="n">
        <f aca="false">MAX(0,NG-MAX(L1267,GWL))</f>
        <v>0.8</v>
      </c>
      <c r="U1267" s="27" t="n">
        <f aca="false">E1267+2*WS</f>
        <v>4.24899892862004</v>
      </c>
      <c r="V1267" s="27" t="n">
        <f aca="false">IF(Q1267="Shoring",D1267*M1267*U1267,0)</f>
        <v>28.0269167397338</v>
      </c>
      <c r="W1267" s="27" t="n">
        <f aca="false">IF(Q1267="Open cut",D1267*(U1267*M1267+SLOPE_B*S1267^2+2*SLOPE_B*S1267*T1267+SLOPE_A*T1267^2),0)</f>
        <v>0</v>
      </c>
      <c r="X1267" s="27" t="n">
        <f aca="false">IF(M1267&gt;0,D1267*(E1267+2*SLABOVH)*SLAB,0)</f>
        <v>2.97278368545899</v>
      </c>
      <c r="Y1267" s="27" t="n">
        <f aca="false">IF(M1267&gt;0,D1267*PI()*E1267^2/4,0)</f>
        <v>7.2696267800781</v>
      </c>
      <c r="Z1267" s="27" t="n">
        <f aca="false">IF(H1267-E1267&gt;=GWL,99,E1267*(MAX(0,GWL-H1267)*(GAM_S-GAM_W)+MAX(0,NG-MAX(H1267,GWL))*GAM_D)/(GAM_W*PI()*E1267^2/4))</f>
        <v>0.857257601367464</v>
      </c>
      <c r="AA1267" s="27" t="n">
        <f aca="false">IF(I1267-E1267&gt;=GWL,99,E1267*(MAX(0,GWL-I1267)*(GAM_S-GAM_W)+MAX(0,NG-MAX(I1267,GWL))*GAM_D)/(GAM_W*PI()*E1267^2/4))</f>
        <v>0.857257601367464</v>
      </c>
      <c r="AB1267" s="27" t="n">
        <f aca="false">IF(H1267-E1267&gt;=GWL,99,E1267*(MAX(0,GWL-H1267)*(GAM_S-GAM_W)+MAX(0,FL-MAX(H1267,GWL))*GAM_D)/(GAM_W*PI()*E1267^2/4))</f>
        <v>2.62318680715475</v>
      </c>
      <c r="AC1267" s="27" t="n">
        <f aca="false">IF(I1267-E1267&gt;=GWL,99,E1267*(MAX(0,GWL-I1267)*(GAM_S-GAM_W)+MAX(0,FL-MAX(I1267,GWL))*GAM_D)/(GAM_W*PI()*E1267^2/4))</f>
        <v>2.62318680715475</v>
      </c>
    </row>
    <row r="1268" customFormat="false" ht="15" hidden="false" customHeight="false" outlineLevel="0" collapsed="false">
      <c r="A1268" s="25" t="s">
        <v>1872</v>
      </c>
      <c r="B1268" s="25" t="s">
        <v>1891</v>
      </c>
      <c r="C1268" s="25" t="s">
        <v>1910</v>
      </c>
      <c r="D1268" s="26" t="n">
        <v>8.17003098409673</v>
      </c>
      <c r="E1268" s="26" t="n">
        <v>2.27639778605298</v>
      </c>
      <c r="F1268" s="26" t="n">
        <v>-4.31819889302649</v>
      </c>
      <c r="G1268" s="26" t="n">
        <v>-4.31819889302649</v>
      </c>
      <c r="H1268" s="26" t="n">
        <v>-1.54180110697351</v>
      </c>
      <c r="I1268" s="26" t="n">
        <v>-1.54180110697351</v>
      </c>
      <c r="J1268" s="26" t="n">
        <v>11.11</v>
      </c>
      <c r="K1268" s="27" t="n">
        <f aca="false">MIN(F1268,G1268)</f>
        <v>-4.31819889302649</v>
      </c>
      <c r="L1268" s="27" t="n">
        <f aca="false">AVERAGE(F1268,G1268)</f>
        <v>-4.31819889302649</v>
      </c>
      <c r="M1268" s="27" t="n">
        <f aca="false">MAX(0,NG-L1268)</f>
        <v>3.61819889302649</v>
      </c>
      <c r="N1268" s="27" t="n">
        <f aca="false">MAX(0,GWL-K1268)</f>
        <v>2.81819889302649</v>
      </c>
      <c r="O1268" s="27" t="n">
        <f aca="false">MAX(0,NG-MAX(K1268,GWL))</f>
        <v>0.8</v>
      </c>
      <c r="P1268" s="27" t="n">
        <f aca="false">E1268/2+WS+SLOPE_A*O1268+SLOPE_B*N1268</f>
        <v>8.97459667907948</v>
      </c>
      <c r="Q1268" s="28" t="str">
        <f aca="false">IF(AND(P1268&lt;J1268,N1268&lt;=MAXOC),"Open cut","Shoring")</f>
        <v>Shoring</v>
      </c>
      <c r="R1268" s="27" t="n">
        <f aca="false">IF(Q1268="Shoring",D1268,0)</f>
        <v>8.17003098409673</v>
      </c>
      <c r="S1268" s="27" t="n">
        <f aca="false">MAX(0,GWL-L1268)</f>
        <v>2.81819889302649</v>
      </c>
      <c r="T1268" s="27" t="n">
        <f aca="false">MAX(0,NG-MAX(L1268,GWL))</f>
        <v>0.8</v>
      </c>
      <c r="U1268" s="27" t="n">
        <f aca="false">E1268+2*WS</f>
        <v>4.27639778605298</v>
      </c>
      <c r="V1268" s="27" t="n">
        <f aca="false">IF(Q1268="Shoring",D1268*M1268*U1268,0)</f>
        <v>126.413727112682</v>
      </c>
      <c r="W1268" s="27" t="n">
        <f aca="false">IF(Q1268="Open cut",D1268*(U1268*M1268+SLOPE_B*S1268^2+2*SLOPE_B*S1268*T1268+SLOPE_A*T1268^2),0)</f>
        <v>0</v>
      </c>
      <c r="X1268" s="27" t="n">
        <f aca="false">IF(M1268&gt;0,D1268*(E1268+2*SLABOVH)*SLAB,0)</f>
        <v>13.3841357141394</v>
      </c>
      <c r="Y1268" s="27" t="n">
        <f aca="false">IF(M1268&gt;0,D1268*PI()*E1268^2/4,0)</f>
        <v>33.251396837838</v>
      </c>
      <c r="Z1268" s="27" t="n">
        <f aca="false">IF(H1268-E1268&gt;=GWL,99,E1268*(MAX(0,GWL-H1268)*(GAM_S-GAM_W)+MAX(0,NG-MAX(H1268,GWL))*GAM_D)/(GAM_W*PI()*E1268^2/4))</f>
        <v>0.840542554867215</v>
      </c>
      <c r="AA1268" s="27" t="n">
        <f aca="false">IF(I1268-E1268&gt;=GWL,99,E1268*(MAX(0,GWL-I1268)*(GAM_S-GAM_W)+MAX(0,NG-MAX(I1268,GWL))*GAM_D)/(GAM_W*PI()*E1268^2/4))</f>
        <v>0.840542554867215</v>
      </c>
      <c r="AB1268" s="27" t="n">
        <f aca="false">IF(H1268-E1268&gt;=GWL,99,E1268*(MAX(0,GWL-H1268)*(GAM_S-GAM_W)+MAX(0,FL-MAX(H1268,GWL))*GAM_D)/(GAM_W*PI()*E1268^2/4))</f>
        <v>2.58521693303058</v>
      </c>
      <c r="AC1268" s="27" t="n">
        <f aca="false">IF(I1268-E1268&gt;=GWL,99,E1268*(MAX(0,GWL-I1268)*(GAM_S-GAM_W)+MAX(0,FL-MAX(I1268,GWL))*GAM_D)/(GAM_W*PI()*E1268^2/4))</f>
        <v>2.58521693303058</v>
      </c>
    </row>
    <row r="1269" customFormat="false" ht="15" hidden="false" customHeight="false" outlineLevel="0" collapsed="false">
      <c r="A1269" s="25" t="s">
        <v>1872</v>
      </c>
      <c r="B1269" s="25" t="s">
        <v>1891</v>
      </c>
      <c r="C1269" s="25" t="s">
        <v>1911</v>
      </c>
      <c r="D1269" s="26" t="n">
        <v>9.99999999996419</v>
      </c>
      <c r="E1269" s="26" t="n">
        <v>2.27639778605298</v>
      </c>
      <c r="F1269" s="26" t="n">
        <v>-4.31819889302649</v>
      </c>
      <c r="G1269" s="26" t="n">
        <v>-4.31819889302649</v>
      </c>
      <c r="H1269" s="26" t="n">
        <v>-1.54180110697351</v>
      </c>
      <c r="I1269" s="26" t="n">
        <v>-1.54180110697351</v>
      </c>
      <c r="J1269" s="26" t="n">
        <v>10.74</v>
      </c>
      <c r="K1269" s="27" t="n">
        <f aca="false">MIN(F1269,G1269)</f>
        <v>-4.31819889302649</v>
      </c>
      <c r="L1269" s="27" t="n">
        <f aca="false">AVERAGE(F1269,G1269)</f>
        <v>-4.31819889302649</v>
      </c>
      <c r="M1269" s="27" t="n">
        <f aca="false">MAX(0,NG-L1269)</f>
        <v>3.61819889302649</v>
      </c>
      <c r="N1269" s="27" t="n">
        <f aca="false">MAX(0,GWL-K1269)</f>
        <v>2.81819889302649</v>
      </c>
      <c r="O1269" s="27" t="n">
        <f aca="false">MAX(0,NG-MAX(K1269,GWL))</f>
        <v>0.8</v>
      </c>
      <c r="P1269" s="27" t="n">
        <f aca="false">E1269/2+WS+SLOPE_A*O1269+SLOPE_B*N1269</f>
        <v>8.97459667907948</v>
      </c>
      <c r="Q1269" s="28" t="str">
        <f aca="false">IF(AND(P1269&lt;J1269,N1269&lt;=MAXOC),"Open cut","Shoring")</f>
        <v>Shoring</v>
      </c>
      <c r="R1269" s="27" t="n">
        <f aca="false">IF(Q1269="Shoring",D1269,0)</f>
        <v>9.99999999996419</v>
      </c>
      <c r="S1269" s="27" t="n">
        <f aca="false">MAX(0,GWL-L1269)</f>
        <v>2.81819889302649</v>
      </c>
      <c r="T1269" s="27" t="n">
        <f aca="false">MAX(0,NG-MAX(L1269,GWL))</f>
        <v>0.8</v>
      </c>
      <c r="U1269" s="27" t="n">
        <f aca="false">E1269+2*WS</f>
        <v>4.27639778605298</v>
      </c>
      <c r="V1269" s="27" t="n">
        <f aca="false">IF(Q1269="Shoring",D1269*M1269*U1269,0)</f>
        <v>154.728577355824</v>
      </c>
      <c r="W1269" s="27" t="n">
        <f aca="false">IF(Q1269="Open cut",D1269*(U1269*M1269+SLOPE_B*S1269^2+2*SLOPE_B*S1269*T1269+SLOPE_A*T1269^2),0)</f>
        <v>0</v>
      </c>
      <c r="X1269" s="27" t="n">
        <f aca="false">IF(M1269&gt;0,D1269*(E1269+2*SLABOVH)*SLAB,0)</f>
        <v>16.3819889302063</v>
      </c>
      <c r="Y1269" s="27" t="n">
        <f aca="false">IF(M1269&gt;0,D1269*PI()*E1269^2/4,0)</f>
        <v>40.6992297855957</v>
      </c>
      <c r="Z1269" s="27" t="n">
        <f aca="false">IF(H1269-E1269&gt;=GWL,99,E1269*(MAX(0,GWL-H1269)*(GAM_S-GAM_W)+MAX(0,NG-MAX(H1269,GWL))*GAM_D)/(GAM_W*PI()*E1269^2/4))</f>
        <v>0.840542554867215</v>
      </c>
      <c r="AA1269" s="27" t="n">
        <f aca="false">IF(I1269-E1269&gt;=GWL,99,E1269*(MAX(0,GWL-I1269)*(GAM_S-GAM_W)+MAX(0,NG-MAX(I1269,GWL))*GAM_D)/(GAM_W*PI()*E1269^2/4))</f>
        <v>0.840542554867215</v>
      </c>
      <c r="AB1269" s="27" t="n">
        <f aca="false">IF(H1269-E1269&gt;=GWL,99,E1269*(MAX(0,GWL-H1269)*(GAM_S-GAM_W)+MAX(0,FL-MAX(H1269,GWL))*GAM_D)/(GAM_W*PI()*E1269^2/4))</f>
        <v>2.58521693303058</v>
      </c>
      <c r="AC1269" s="27" t="n">
        <f aca="false">IF(I1269-E1269&gt;=GWL,99,E1269*(MAX(0,GWL-I1269)*(GAM_S-GAM_W)+MAX(0,FL-MAX(I1269,GWL))*GAM_D)/(GAM_W*PI()*E1269^2/4))</f>
        <v>2.58521693303058</v>
      </c>
    </row>
    <row r="1270" customFormat="false" ht="15" hidden="false" customHeight="false" outlineLevel="0" collapsed="false">
      <c r="A1270" s="25" t="s">
        <v>1872</v>
      </c>
      <c r="B1270" s="25" t="s">
        <v>1891</v>
      </c>
      <c r="C1270" s="25" t="s">
        <v>1912</v>
      </c>
      <c r="D1270" s="26" t="n">
        <v>4.36100254331534</v>
      </c>
      <c r="E1270" s="26" t="n">
        <v>2.27639778605298</v>
      </c>
      <c r="F1270" s="26" t="n">
        <v>-4.31819889302649</v>
      </c>
      <c r="G1270" s="26" t="n">
        <v>-4.31819889302649</v>
      </c>
      <c r="H1270" s="26" t="n">
        <v>-1.54180110697351</v>
      </c>
      <c r="I1270" s="26" t="n">
        <v>-1.54180110697351</v>
      </c>
      <c r="J1270" s="26" t="n">
        <v>11.01</v>
      </c>
      <c r="K1270" s="27" t="n">
        <f aca="false">MIN(F1270,G1270)</f>
        <v>-4.31819889302649</v>
      </c>
      <c r="L1270" s="27" t="n">
        <f aca="false">AVERAGE(F1270,G1270)</f>
        <v>-4.31819889302649</v>
      </c>
      <c r="M1270" s="27" t="n">
        <f aca="false">MAX(0,NG-L1270)</f>
        <v>3.61819889302649</v>
      </c>
      <c r="N1270" s="27" t="n">
        <f aca="false">MAX(0,GWL-K1270)</f>
        <v>2.81819889302649</v>
      </c>
      <c r="O1270" s="27" t="n">
        <f aca="false">MAX(0,NG-MAX(K1270,GWL))</f>
        <v>0.8</v>
      </c>
      <c r="P1270" s="27" t="n">
        <f aca="false">E1270/2+WS+SLOPE_A*O1270+SLOPE_B*N1270</f>
        <v>8.97459667907948</v>
      </c>
      <c r="Q1270" s="28" t="str">
        <f aca="false">IF(AND(P1270&lt;J1270,N1270&lt;=MAXOC),"Open cut","Shoring")</f>
        <v>Shoring</v>
      </c>
      <c r="R1270" s="27" t="n">
        <f aca="false">IF(Q1270="Shoring",D1270,0)</f>
        <v>4.36100254331534</v>
      </c>
      <c r="S1270" s="27" t="n">
        <f aca="false">MAX(0,GWL-L1270)</f>
        <v>2.81819889302649</v>
      </c>
      <c r="T1270" s="27" t="n">
        <f aca="false">MAX(0,NG-MAX(L1270,GWL))</f>
        <v>0.8</v>
      </c>
      <c r="U1270" s="27" t="n">
        <f aca="false">E1270+2*WS</f>
        <v>4.27639778605298</v>
      </c>
      <c r="V1270" s="27" t="n">
        <f aca="false">IF(Q1270="Shoring",D1270*M1270*U1270,0)</f>
        <v>67.4771719374731</v>
      </c>
      <c r="W1270" s="27" t="n">
        <f aca="false">IF(Q1270="Open cut",D1270*(U1270*M1270+SLOPE_B*S1270^2+2*SLOPE_B*S1270*T1270+SLOPE_A*T1270^2),0)</f>
        <v>0</v>
      </c>
      <c r="X1270" s="27" t="n">
        <f aca="false">IF(M1270&gt;0,D1270*(E1270+2*SLABOVH)*SLAB,0)</f>
        <v>7.14418953894491</v>
      </c>
      <c r="Y1270" s="27" t="n">
        <f aca="false">IF(M1270&gt;0,D1270*PI()*E1270^2/4,0)</f>
        <v>17.7489444606594</v>
      </c>
      <c r="Z1270" s="27" t="n">
        <f aca="false">IF(H1270-E1270&gt;=GWL,99,E1270*(MAX(0,GWL-H1270)*(GAM_S-GAM_W)+MAX(0,NG-MAX(H1270,GWL))*GAM_D)/(GAM_W*PI()*E1270^2/4))</f>
        <v>0.840542554867215</v>
      </c>
      <c r="AA1270" s="27" t="n">
        <f aca="false">IF(I1270-E1270&gt;=GWL,99,E1270*(MAX(0,GWL-I1270)*(GAM_S-GAM_W)+MAX(0,NG-MAX(I1270,GWL))*GAM_D)/(GAM_W*PI()*E1270^2/4))</f>
        <v>0.840542554867215</v>
      </c>
      <c r="AB1270" s="27" t="n">
        <f aca="false">IF(H1270-E1270&gt;=GWL,99,E1270*(MAX(0,GWL-H1270)*(GAM_S-GAM_W)+MAX(0,FL-MAX(H1270,GWL))*GAM_D)/(GAM_W*PI()*E1270^2/4))</f>
        <v>2.58521693303058</v>
      </c>
      <c r="AC1270" s="27" t="n">
        <f aca="false">IF(I1270-E1270&gt;=GWL,99,E1270*(MAX(0,GWL-I1270)*(GAM_S-GAM_W)+MAX(0,FL-MAX(I1270,GWL))*GAM_D)/(GAM_W*PI()*E1270^2/4))</f>
        <v>2.58521693303058</v>
      </c>
    </row>
    <row r="1271" customFormat="false" ht="15" hidden="false" customHeight="false" outlineLevel="0" collapsed="false">
      <c r="A1271" s="25" t="s">
        <v>1872</v>
      </c>
      <c r="B1271" s="25" t="s">
        <v>1891</v>
      </c>
      <c r="C1271" s="25" t="s">
        <v>1913</v>
      </c>
      <c r="D1271" s="26" t="n">
        <v>3.34998000041563</v>
      </c>
      <c r="E1271" s="26" t="n">
        <v>2.27639778605298</v>
      </c>
      <c r="F1271" s="26" t="n">
        <v>-4.31819889302649</v>
      </c>
      <c r="G1271" s="26" t="n">
        <v>-4.31819889302649</v>
      </c>
      <c r="H1271" s="26" t="n">
        <v>-1.54180110697351</v>
      </c>
      <c r="I1271" s="26" t="n">
        <v>-1.54180110697351</v>
      </c>
      <c r="J1271" s="26" t="n">
        <v>11.74</v>
      </c>
      <c r="K1271" s="27" t="n">
        <f aca="false">MIN(F1271,G1271)</f>
        <v>-4.31819889302649</v>
      </c>
      <c r="L1271" s="27" t="n">
        <f aca="false">AVERAGE(F1271,G1271)</f>
        <v>-4.31819889302649</v>
      </c>
      <c r="M1271" s="27" t="n">
        <f aca="false">MAX(0,NG-L1271)</f>
        <v>3.61819889302649</v>
      </c>
      <c r="N1271" s="27" t="n">
        <f aca="false">MAX(0,GWL-K1271)</f>
        <v>2.81819889302649</v>
      </c>
      <c r="O1271" s="27" t="n">
        <f aca="false">MAX(0,NG-MAX(K1271,GWL))</f>
        <v>0.8</v>
      </c>
      <c r="P1271" s="27" t="n">
        <f aca="false">E1271/2+WS+SLOPE_A*O1271+SLOPE_B*N1271</f>
        <v>8.97459667907948</v>
      </c>
      <c r="Q1271" s="28" t="str">
        <f aca="false">IF(AND(P1271&lt;J1271,N1271&lt;=MAXOC),"Open cut","Shoring")</f>
        <v>Shoring</v>
      </c>
      <c r="R1271" s="27" t="n">
        <f aca="false">IF(Q1271="Shoring",D1271,0)</f>
        <v>3.34998000041563</v>
      </c>
      <c r="S1271" s="27" t="n">
        <f aca="false">MAX(0,GWL-L1271)</f>
        <v>2.81819889302649</v>
      </c>
      <c r="T1271" s="27" t="n">
        <f aca="false">MAX(0,NG-MAX(L1271,GWL))</f>
        <v>0.8</v>
      </c>
      <c r="U1271" s="27" t="n">
        <f aca="false">E1271+2*WS</f>
        <v>4.27639778605298</v>
      </c>
      <c r="V1271" s="27" t="n">
        <f aca="false">IF(Q1271="Shoring",D1271*M1271*U1271,0)</f>
        <v>51.8337639636631</v>
      </c>
      <c r="W1271" s="27" t="n">
        <f aca="false">IF(Q1271="Open cut",D1271*(U1271*M1271+SLOPE_B*S1271^2+2*SLOPE_B*S1271*T1271+SLOPE_A*T1271^2),0)</f>
        <v>0</v>
      </c>
      <c r="X1271" s="27" t="n">
        <f aca="false">IF(M1271&gt;0,D1271*(E1271+2*SLABOVH)*SLAB,0)</f>
        <v>5.48793352834177</v>
      </c>
      <c r="Y1271" s="27" t="n">
        <f aca="false">IF(M1271&gt;0,D1271*PI()*E1271^2/4,0)</f>
        <v>13.6341605814554</v>
      </c>
      <c r="Z1271" s="27" t="n">
        <f aca="false">IF(H1271-E1271&gt;=GWL,99,E1271*(MAX(0,GWL-H1271)*(GAM_S-GAM_W)+MAX(0,NG-MAX(H1271,GWL))*GAM_D)/(GAM_W*PI()*E1271^2/4))</f>
        <v>0.840542554867215</v>
      </c>
      <c r="AA1271" s="27" t="n">
        <f aca="false">IF(I1271-E1271&gt;=GWL,99,E1271*(MAX(0,GWL-I1271)*(GAM_S-GAM_W)+MAX(0,NG-MAX(I1271,GWL))*GAM_D)/(GAM_W*PI()*E1271^2/4))</f>
        <v>0.840542554867215</v>
      </c>
      <c r="AB1271" s="27" t="n">
        <f aca="false">IF(H1271-E1271&gt;=GWL,99,E1271*(MAX(0,GWL-H1271)*(GAM_S-GAM_W)+MAX(0,FL-MAX(H1271,GWL))*GAM_D)/(GAM_W*PI()*E1271^2/4))</f>
        <v>2.58521693303058</v>
      </c>
      <c r="AC1271" s="27" t="n">
        <f aca="false">IF(I1271-E1271&gt;=GWL,99,E1271*(MAX(0,GWL-I1271)*(GAM_S-GAM_W)+MAX(0,FL-MAX(I1271,GWL))*GAM_D)/(GAM_W*PI()*E1271^2/4))</f>
        <v>2.58521693303058</v>
      </c>
    </row>
    <row r="1272" customFormat="false" ht="15" hidden="false" customHeight="false" outlineLevel="0" collapsed="false">
      <c r="A1272" s="25" t="s">
        <v>1872</v>
      </c>
      <c r="B1272" s="25" t="s">
        <v>1891</v>
      </c>
      <c r="C1272" s="25" t="s">
        <v>1914</v>
      </c>
      <c r="D1272" s="26" t="n">
        <v>2.28901745632275</v>
      </c>
      <c r="E1272" s="26" t="n">
        <v>2.24900548244979</v>
      </c>
      <c r="F1272" s="26" t="n">
        <v>-4.30450274122489</v>
      </c>
      <c r="G1272" s="26" t="n">
        <v>-4.30450274122489</v>
      </c>
      <c r="H1272" s="26" t="n">
        <v>-1.55549725877511</v>
      </c>
      <c r="I1272" s="26" t="n">
        <v>-1.55549725877511</v>
      </c>
      <c r="J1272" s="26" t="n">
        <v>11.69</v>
      </c>
      <c r="K1272" s="27" t="n">
        <f aca="false">MIN(F1272,G1272)</f>
        <v>-4.30450274122489</v>
      </c>
      <c r="L1272" s="27" t="n">
        <f aca="false">AVERAGE(F1272,G1272)</f>
        <v>-4.30450274122489</v>
      </c>
      <c r="M1272" s="27" t="n">
        <f aca="false">MAX(0,NG-L1272)</f>
        <v>3.60450274122489</v>
      </c>
      <c r="N1272" s="27" t="n">
        <f aca="false">MAX(0,GWL-K1272)</f>
        <v>2.80450274122489</v>
      </c>
      <c r="O1272" s="27" t="n">
        <f aca="false">MAX(0,NG-MAX(K1272,GWL))</f>
        <v>0.8</v>
      </c>
      <c r="P1272" s="27" t="n">
        <f aca="false">E1272/2+WS+SLOPE_A*O1272+SLOPE_B*N1272</f>
        <v>8.93350822367468</v>
      </c>
      <c r="Q1272" s="28" t="str">
        <f aca="false">IF(AND(P1272&lt;J1272,N1272&lt;=MAXOC),"Open cut","Shoring")</f>
        <v>Shoring</v>
      </c>
      <c r="R1272" s="27" t="n">
        <f aca="false">IF(Q1272="Shoring",D1272,0)</f>
        <v>2.28901745632275</v>
      </c>
      <c r="S1272" s="27" t="n">
        <f aca="false">MAX(0,GWL-L1272)</f>
        <v>2.80450274122489</v>
      </c>
      <c r="T1272" s="27" t="n">
        <f aca="false">MAX(0,NG-MAX(L1272,GWL))</f>
        <v>0.8</v>
      </c>
      <c r="U1272" s="27" t="n">
        <f aca="false">E1272+2*WS</f>
        <v>4.24900548244979</v>
      </c>
      <c r="V1272" s="27" t="n">
        <f aca="false">IF(Q1272="Shoring",D1272*M1272*U1272,0)</f>
        <v>35.0575656728492</v>
      </c>
      <c r="W1272" s="27" t="n">
        <f aca="false">IF(Q1272="Open cut",D1272*(U1272*M1272+SLOPE_B*S1272^2+2*SLOPE_B*S1272*T1272+SLOPE_A*T1272^2),0)</f>
        <v>0</v>
      </c>
      <c r="X1272" s="27" t="n">
        <f aca="false">IF(M1272&gt;0,D1272*(E1272+2*SLABOVH)*SLAB,0)</f>
        <v>3.71851513250794</v>
      </c>
      <c r="Y1272" s="27" t="n">
        <f aca="false">IF(M1272&gt;0,D1272*PI()*E1272^2/4,0)</f>
        <v>9.09326848851588</v>
      </c>
      <c r="Z1272" s="27" t="n">
        <f aca="false">IF(H1272-E1272&gt;=GWL,99,E1272*(MAX(0,GWL-H1272)*(GAM_S-GAM_W)+MAX(0,NG-MAX(H1272,GWL))*GAM_D)/(GAM_W*PI()*E1272^2/4))</f>
        <v>0.857253554416595</v>
      </c>
      <c r="AA1272" s="27" t="n">
        <f aca="false">IF(I1272-E1272&gt;=GWL,99,E1272*(MAX(0,GWL-I1272)*(GAM_S-GAM_W)+MAX(0,NG-MAX(I1272,GWL))*GAM_D)/(GAM_W*PI()*E1272^2/4))</f>
        <v>0.857253554416595</v>
      </c>
      <c r="AB1272" s="27" t="n">
        <f aca="false">IF(H1272-E1272&gt;=GWL,99,E1272*(MAX(0,GWL-H1272)*(GAM_S-GAM_W)+MAX(0,FL-MAX(H1272,GWL))*GAM_D)/(GAM_W*PI()*E1272^2/4))</f>
        <v>2.62317761410733</v>
      </c>
      <c r="AC1272" s="27" t="n">
        <f aca="false">IF(I1272-E1272&gt;=GWL,99,E1272*(MAX(0,GWL-I1272)*(GAM_S-GAM_W)+MAX(0,FL-MAX(I1272,GWL))*GAM_D)/(GAM_W*PI()*E1272^2/4))</f>
        <v>2.62317761410733</v>
      </c>
    </row>
    <row r="1273" customFormat="false" ht="15" hidden="false" customHeight="false" outlineLevel="0" collapsed="false">
      <c r="A1273" s="25" t="s">
        <v>1872</v>
      </c>
      <c r="B1273" s="25" t="s">
        <v>1891</v>
      </c>
      <c r="C1273" s="25" t="s">
        <v>1915</v>
      </c>
      <c r="D1273" s="26" t="n">
        <v>1.06099415193353</v>
      </c>
      <c r="E1273" s="26" t="n">
        <v>2.24900548244979</v>
      </c>
      <c r="F1273" s="26" t="n">
        <v>-4.30450274122489</v>
      </c>
      <c r="G1273" s="26" t="n">
        <v>-4.30450274122489</v>
      </c>
      <c r="H1273" s="26" t="n">
        <v>-1.55549725877511</v>
      </c>
      <c r="I1273" s="26" t="n">
        <v>-1.55549725877511</v>
      </c>
      <c r="J1273" s="26" t="n">
        <v>11.3</v>
      </c>
      <c r="K1273" s="27" t="n">
        <f aca="false">MIN(F1273,G1273)</f>
        <v>-4.30450274122489</v>
      </c>
      <c r="L1273" s="27" t="n">
        <f aca="false">AVERAGE(F1273,G1273)</f>
        <v>-4.30450274122489</v>
      </c>
      <c r="M1273" s="27" t="n">
        <f aca="false">MAX(0,NG-L1273)</f>
        <v>3.60450274122489</v>
      </c>
      <c r="N1273" s="27" t="n">
        <f aca="false">MAX(0,GWL-K1273)</f>
        <v>2.80450274122489</v>
      </c>
      <c r="O1273" s="27" t="n">
        <f aca="false">MAX(0,NG-MAX(K1273,GWL))</f>
        <v>0.8</v>
      </c>
      <c r="P1273" s="27" t="n">
        <f aca="false">E1273/2+WS+SLOPE_A*O1273+SLOPE_B*N1273</f>
        <v>8.93350822367468</v>
      </c>
      <c r="Q1273" s="28" t="str">
        <f aca="false">IF(AND(P1273&lt;J1273,N1273&lt;=MAXOC),"Open cut","Shoring")</f>
        <v>Shoring</v>
      </c>
      <c r="R1273" s="27" t="n">
        <f aca="false">IF(Q1273="Shoring",D1273,0)</f>
        <v>1.06099415193353</v>
      </c>
      <c r="S1273" s="27" t="n">
        <f aca="false">MAX(0,GWL-L1273)</f>
        <v>2.80450274122489</v>
      </c>
      <c r="T1273" s="27" t="n">
        <f aca="false">MAX(0,NG-MAX(L1273,GWL))</f>
        <v>0.8</v>
      </c>
      <c r="U1273" s="27" t="n">
        <f aca="false">E1273+2*WS</f>
        <v>4.24900548244979</v>
      </c>
      <c r="V1273" s="27" t="n">
        <f aca="false">IF(Q1273="Shoring",D1273*M1273*U1273,0)</f>
        <v>16.2497110090515</v>
      </c>
      <c r="W1273" s="27" t="n">
        <f aca="false">IF(Q1273="Open cut",D1273*(U1273*M1273+SLOPE_B*S1273^2+2*SLOPE_B*S1273*T1273+SLOPE_A*T1273^2),0)</f>
        <v>0</v>
      </c>
      <c r="X1273" s="27" t="n">
        <f aca="false">IF(M1273&gt;0,D1273*(E1273+2*SLABOVH)*SLAB,0)</f>
        <v>1.7235879082396</v>
      </c>
      <c r="Y1273" s="27" t="n">
        <f aca="false">IF(M1273&gt;0,D1273*PI()*E1273^2/4,0)</f>
        <v>4.21486723992745</v>
      </c>
      <c r="Z1273" s="27" t="n">
        <f aca="false">IF(H1273-E1273&gt;=GWL,99,E1273*(MAX(0,GWL-H1273)*(GAM_S-GAM_W)+MAX(0,NG-MAX(H1273,GWL))*GAM_D)/(GAM_W*PI()*E1273^2/4))</f>
        <v>0.857253554416595</v>
      </c>
      <c r="AA1273" s="27" t="n">
        <f aca="false">IF(I1273-E1273&gt;=GWL,99,E1273*(MAX(0,GWL-I1273)*(GAM_S-GAM_W)+MAX(0,NG-MAX(I1273,GWL))*GAM_D)/(GAM_W*PI()*E1273^2/4))</f>
        <v>0.857253554416595</v>
      </c>
      <c r="AB1273" s="27" t="n">
        <f aca="false">IF(H1273-E1273&gt;=GWL,99,E1273*(MAX(0,GWL-H1273)*(GAM_S-GAM_W)+MAX(0,FL-MAX(H1273,GWL))*GAM_D)/(GAM_W*PI()*E1273^2/4))</f>
        <v>2.62317761410733</v>
      </c>
      <c r="AC1273" s="27" t="n">
        <f aca="false">IF(I1273-E1273&gt;=GWL,99,E1273*(MAX(0,GWL-I1273)*(GAM_S-GAM_W)+MAX(0,FL-MAX(I1273,GWL))*GAM_D)/(GAM_W*PI()*E1273^2/4))</f>
        <v>2.62317761410733</v>
      </c>
    </row>
    <row r="1274" customFormat="false" ht="15" hidden="false" customHeight="false" outlineLevel="0" collapsed="false">
      <c r="A1274" s="25" t="s">
        <v>1872</v>
      </c>
      <c r="B1274" s="25" t="s">
        <v>1891</v>
      </c>
      <c r="C1274" s="25" t="s">
        <v>1916</v>
      </c>
      <c r="D1274" s="26" t="n">
        <v>8.93900584803661</v>
      </c>
      <c r="E1274" s="26" t="n">
        <v>2.24900548244979</v>
      </c>
      <c r="F1274" s="26" t="n">
        <v>-4.30450274122489</v>
      </c>
      <c r="G1274" s="26" t="n">
        <v>-4.30450274122489</v>
      </c>
      <c r="H1274" s="26" t="n">
        <v>-1.55549725877511</v>
      </c>
      <c r="I1274" s="26" t="n">
        <v>-1.55549725877511</v>
      </c>
      <c r="J1274" s="26" t="n">
        <v>9.03</v>
      </c>
      <c r="K1274" s="27" t="n">
        <f aca="false">MIN(F1274,G1274)</f>
        <v>-4.30450274122489</v>
      </c>
      <c r="L1274" s="27" t="n">
        <f aca="false">AVERAGE(F1274,G1274)</f>
        <v>-4.30450274122489</v>
      </c>
      <c r="M1274" s="27" t="n">
        <f aca="false">MAX(0,NG-L1274)</f>
        <v>3.60450274122489</v>
      </c>
      <c r="N1274" s="27" t="n">
        <f aca="false">MAX(0,GWL-K1274)</f>
        <v>2.80450274122489</v>
      </c>
      <c r="O1274" s="27" t="n">
        <f aca="false">MAX(0,NG-MAX(K1274,GWL))</f>
        <v>0.8</v>
      </c>
      <c r="P1274" s="27" t="n">
        <f aca="false">E1274/2+WS+SLOPE_A*O1274+SLOPE_B*N1274</f>
        <v>8.93350822367468</v>
      </c>
      <c r="Q1274" s="28" t="str">
        <f aca="false">IF(AND(P1274&lt;J1274,N1274&lt;=MAXOC),"Open cut","Shoring")</f>
        <v>Shoring</v>
      </c>
      <c r="R1274" s="27" t="n">
        <f aca="false">IF(Q1274="Shoring",D1274,0)</f>
        <v>8.93900584803661</v>
      </c>
      <c r="S1274" s="27" t="n">
        <f aca="false">MAX(0,GWL-L1274)</f>
        <v>2.80450274122489</v>
      </c>
      <c r="T1274" s="27" t="n">
        <f aca="false">MAX(0,NG-MAX(L1274,GWL))</f>
        <v>0.8</v>
      </c>
      <c r="U1274" s="27" t="n">
        <f aca="false">E1274+2*WS</f>
        <v>4.24900548244979</v>
      </c>
      <c r="V1274" s="27" t="n">
        <f aca="false">IF(Q1274="Shoring",D1274*M1274*U1274,0)</f>
        <v>136.90580808019</v>
      </c>
      <c r="W1274" s="27" t="n">
        <f aca="false">IF(Q1274="Open cut",D1274*(U1274*M1274+SLOPE_B*S1274^2+2*SLOPE_B*S1274*T1274+SLOPE_A*T1274^2),0)</f>
        <v>0</v>
      </c>
      <c r="X1274" s="27" t="n">
        <f aca="false">IF(M1274&gt;0,D1274*(E1274+2*SLABOVH)*SLAB,0)</f>
        <v>14.5214395039608</v>
      </c>
      <c r="Y1274" s="27" t="n">
        <f aca="false">IF(M1274&gt;0,D1274*PI()*E1274^2/4,0)</f>
        <v>35.5107733984661</v>
      </c>
      <c r="Z1274" s="27" t="n">
        <f aca="false">IF(H1274-E1274&gt;=GWL,99,E1274*(MAX(0,GWL-H1274)*(GAM_S-GAM_W)+MAX(0,NG-MAX(H1274,GWL))*GAM_D)/(GAM_W*PI()*E1274^2/4))</f>
        <v>0.857253554416595</v>
      </c>
      <c r="AA1274" s="27" t="n">
        <f aca="false">IF(I1274-E1274&gt;=GWL,99,E1274*(MAX(0,GWL-I1274)*(GAM_S-GAM_W)+MAX(0,NG-MAX(I1274,GWL))*GAM_D)/(GAM_W*PI()*E1274^2/4))</f>
        <v>0.857253554416595</v>
      </c>
      <c r="AB1274" s="27" t="n">
        <f aca="false">IF(H1274-E1274&gt;=GWL,99,E1274*(MAX(0,GWL-H1274)*(GAM_S-GAM_W)+MAX(0,FL-MAX(H1274,GWL))*GAM_D)/(GAM_W*PI()*E1274^2/4))</f>
        <v>2.62317761410733</v>
      </c>
      <c r="AC1274" s="27" t="n">
        <f aca="false">IF(I1274-E1274&gt;=GWL,99,E1274*(MAX(0,GWL-I1274)*(GAM_S-GAM_W)+MAX(0,FL-MAX(I1274,GWL))*GAM_D)/(GAM_W*PI()*E1274^2/4))</f>
        <v>2.62317761410733</v>
      </c>
    </row>
    <row r="1275" customFormat="false" ht="15" hidden="false" customHeight="false" outlineLevel="0" collapsed="false">
      <c r="A1275" s="25" t="s">
        <v>1872</v>
      </c>
      <c r="B1275" s="25" t="s">
        <v>1891</v>
      </c>
      <c r="C1275" s="25" t="s">
        <v>1917</v>
      </c>
      <c r="D1275" s="26" t="n">
        <v>10.0000000002202</v>
      </c>
      <c r="E1275" s="26" t="n">
        <v>2.24900548244979</v>
      </c>
      <c r="F1275" s="26" t="n">
        <v>-4.30450274122489</v>
      </c>
      <c r="G1275" s="26" t="n">
        <v>-4.30450274122489</v>
      </c>
      <c r="H1275" s="26" t="n">
        <v>-1.55549725877511</v>
      </c>
      <c r="I1275" s="26" t="n">
        <v>-1.55549725877511</v>
      </c>
      <c r="J1275" s="26" t="n">
        <v>8.64</v>
      </c>
      <c r="K1275" s="27" t="n">
        <f aca="false">MIN(F1275,G1275)</f>
        <v>-4.30450274122489</v>
      </c>
      <c r="L1275" s="27" t="n">
        <f aca="false">AVERAGE(F1275,G1275)</f>
        <v>-4.30450274122489</v>
      </c>
      <c r="M1275" s="27" t="n">
        <f aca="false">MAX(0,NG-L1275)</f>
        <v>3.60450274122489</v>
      </c>
      <c r="N1275" s="27" t="n">
        <f aca="false">MAX(0,GWL-K1275)</f>
        <v>2.80450274122489</v>
      </c>
      <c r="O1275" s="27" t="n">
        <f aca="false">MAX(0,NG-MAX(K1275,GWL))</f>
        <v>0.8</v>
      </c>
      <c r="P1275" s="27" t="n">
        <f aca="false">E1275/2+WS+SLOPE_A*O1275+SLOPE_B*N1275</f>
        <v>8.93350822367468</v>
      </c>
      <c r="Q1275" s="28" t="str">
        <f aca="false">IF(AND(P1275&lt;J1275,N1275&lt;=MAXOC),"Open cut","Shoring")</f>
        <v>Shoring</v>
      </c>
      <c r="R1275" s="27" t="n">
        <f aca="false">IF(Q1275="Shoring",D1275,0)</f>
        <v>10.0000000002202</v>
      </c>
      <c r="S1275" s="27" t="n">
        <f aca="false">MAX(0,GWL-L1275)</f>
        <v>2.80450274122489</v>
      </c>
      <c r="T1275" s="27" t="n">
        <f aca="false">MAX(0,NG-MAX(L1275,GWL))</f>
        <v>0.8</v>
      </c>
      <c r="U1275" s="27" t="n">
        <f aca="false">E1275+2*WS</f>
        <v>4.24900548244979</v>
      </c>
      <c r="V1275" s="27" t="n">
        <f aca="false">IF(Q1275="Shoring",D1275*M1275*U1275,0)</f>
        <v>153.155519093071</v>
      </c>
      <c r="W1275" s="27" t="n">
        <f aca="false">IF(Q1275="Open cut",D1275*(U1275*M1275+SLOPE_B*S1275^2+2*SLOPE_B*S1275*T1275+SLOPE_A*T1275^2),0)</f>
        <v>0</v>
      </c>
      <c r="X1275" s="27" t="n">
        <f aca="false">IF(M1275&gt;0,D1275*(E1275+2*SLABOVH)*SLAB,0)</f>
        <v>16.2450274126067</v>
      </c>
      <c r="Y1275" s="27" t="n">
        <f aca="false">IF(M1275&gt;0,D1275*PI()*E1275^2/4,0)</f>
        <v>39.725640639387</v>
      </c>
      <c r="Z1275" s="27" t="n">
        <f aca="false">IF(H1275-E1275&gt;=GWL,99,E1275*(MAX(0,GWL-H1275)*(GAM_S-GAM_W)+MAX(0,NG-MAX(H1275,GWL))*GAM_D)/(GAM_W*PI()*E1275^2/4))</f>
        <v>0.857253554416595</v>
      </c>
      <c r="AA1275" s="27" t="n">
        <f aca="false">IF(I1275-E1275&gt;=GWL,99,E1275*(MAX(0,GWL-I1275)*(GAM_S-GAM_W)+MAX(0,NG-MAX(I1275,GWL))*GAM_D)/(GAM_W*PI()*E1275^2/4))</f>
        <v>0.857253554416595</v>
      </c>
      <c r="AB1275" s="27" t="n">
        <f aca="false">IF(H1275-E1275&gt;=GWL,99,E1275*(MAX(0,GWL-H1275)*(GAM_S-GAM_W)+MAX(0,FL-MAX(H1275,GWL))*GAM_D)/(GAM_W*PI()*E1275^2/4))</f>
        <v>2.62317761410733</v>
      </c>
      <c r="AC1275" s="27" t="n">
        <f aca="false">IF(I1275-E1275&gt;=GWL,99,E1275*(MAX(0,GWL-I1275)*(GAM_S-GAM_W)+MAX(0,FL-MAX(I1275,GWL))*GAM_D)/(GAM_W*PI()*E1275^2/4))</f>
        <v>2.62317761410733</v>
      </c>
    </row>
    <row r="1276" customFormat="false" ht="15" hidden="false" customHeight="false" outlineLevel="0" collapsed="false">
      <c r="A1276" s="25" t="s">
        <v>1872</v>
      </c>
      <c r="B1276" s="25" t="s">
        <v>1891</v>
      </c>
      <c r="C1276" s="25" t="s">
        <v>1918</v>
      </c>
      <c r="D1276" s="26" t="n">
        <v>9.99999999961762</v>
      </c>
      <c r="E1276" s="26" t="n">
        <v>2.24900548244979</v>
      </c>
      <c r="F1276" s="26" t="n">
        <v>-4.30450274122489</v>
      </c>
      <c r="G1276" s="26" t="n">
        <v>-4.30450274122489</v>
      </c>
      <c r="H1276" s="26" t="n">
        <v>-1.55549725877511</v>
      </c>
      <c r="I1276" s="26" t="n">
        <v>-1.55549725877511</v>
      </c>
      <c r="J1276" s="26" t="n">
        <v>8.92</v>
      </c>
      <c r="K1276" s="27" t="n">
        <f aca="false">MIN(F1276,G1276)</f>
        <v>-4.30450274122489</v>
      </c>
      <c r="L1276" s="27" t="n">
        <f aca="false">AVERAGE(F1276,G1276)</f>
        <v>-4.30450274122489</v>
      </c>
      <c r="M1276" s="27" t="n">
        <f aca="false">MAX(0,NG-L1276)</f>
        <v>3.60450274122489</v>
      </c>
      <c r="N1276" s="27" t="n">
        <f aca="false">MAX(0,GWL-K1276)</f>
        <v>2.80450274122489</v>
      </c>
      <c r="O1276" s="27" t="n">
        <f aca="false">MAX(0,NG-MAX(K1276,GWL))</f>
        <v>0.8</v>
      </c>
      <c r="P1276" s="27" t="n">
        <f aca="false">E1276/2+WS+SLOPE_A*O1276+SLOPE_B*N1276</f>
        <v>8.93350822367468</v>
      </c>
      <c r="Q1276" s="28" t="str">
        <f aca="false">IF(AND(P1276&lt;J1276,N1276&lt;=MAXOC),"Open cut","Shoring")</f>
        <v>Shoring</v>
      </c>
      <c r="R1276" s="27" t="n">
        <f aca="false">IF(Q1276="Shoring",D1276,0)</f>
        <v>9.99999999961762</v>
      </c>
      <c r="S1276" s="27" t="n">
        <f aca="false">MAX(0,GWL-L1276)</f>
        <v>2.80450274122489</v>
      </c>
      <c r="T1276" s="27" t="n">
        <f aca="false">MAX(0,NG-MAX(L1276,GWL))</f>
        <v>0.8</v>
      </c>
      <c r="U1276" s="27" t="n">
        <f aca="false">E1276+2*WS</f>
        <v>4.24900548244979</v>
      </c>
      <c r="V1276" s="27" t="n">
        <f aca="false">IF(Q1276="Shoring",D1276*M1276*U1276,0)</f>
        <v>153.155519083842</v>
      </c>
      <c r="W1276" s="27" t="n">
        <f aca="false">IF(Q1276="Open cut",D1276*(U1276*M1276+SLOPE_B*S1276^2+2*SLOPE_B*S1276*T1276+SLOPE_A*T1276^2),0)</f>
        <v>0</v>
      </c>
      <c r="X1276" s="27" t="n">
        <f aca="false">IF(M1276&gt;0,D1276*(E1276+2*SLABOVH)*SLAB,0)</f>
        <v>16.2450274116278</v>
      </c>
      <c r="Y1276" s="27" t="n">
        <f aca="false">IF(M1276&gt;0,D1276*PI()*E1276^2/4,0)</f>
        <v>39.7256406369931</v>
      </c>
      <c r="Z1276" s="27" t="n">
        <f aca="false">IF(H1276-E1276&gt;=GWL,99,E1276*(MAX(0,GWL-H1276)*(GAM_S-GAM_W)+MAX(0,NG-MAX(H1276,GWL))*GAM_D)/(GAM_W*PI()*E1276^2/4))</f>
        <v>0.857253554416595</v>
      </c>
      <c r="AA1276" s="27" t="n">
        <f aca="false">IF(I1276-E1276&gt;=GWL,99,E1276*(MAX(0,GWL-I1276)*(GAM_S-GAM_W)+MAX(0,NG-MAX(I1276,GWL))*GAM_D)/(GAM_W*PI()*E1276^2/4))</f>
        <v>0.857253554416595</v>
      </c>
      <c r="AB1276" s="27" t="n">
        <f aca="false">IF(H1276-E1276&gt;=GWL,99,E1276*(MAX(0,GWL-H1276)*(GAM_S-GAM_W)+MAX(0,FL-MAX(H1276,GWL))*GAM_D)/(GAM_W*PI()*E1276^2/4))</f>
        <v>2.62317761410733</v>
      </c>
      <c r="AC1276" s="27" t="n">
        <f aca="false">IF(I1276-E1276&gt;=GWL,99,E1276*(MAX(0,GWL-I1276)*(GAM_S-GAM_W)+MAX(0,FL-MAX(I1276,GWL))*GAM_D)/(GAM_W*PI()*E1276^2/4))</f>
        <v>2.62317761410733</v>
      </c>
    </row>
    <row r="1277" customFormat="false" ht="15" hidden="false" customHeight="false" outlineLevel="0" collapsed="false">
      <c r="A1277" s="25" t="s">
        <v>1872</v>
      </c>
      <c r="B1277" s="25" t="s">
        <v>1891</v>
      </c>
      <c r="C1277" s="25" t="s">
        <v>1919</v>
      </c>
      <c r="D1277" s="26" t="n">
        <v>9.99999999996784</v>
      </c>
      <c r="E1277" s="26" t="n">
        <v>2.24900548244979</v>
      </c>
      <c r="F1277" s="26" t="n">
        <v>-4.30450274122489</v>
      </c>
      <c r="G1277" s="26" t="n">
        <v>-4.30450274122489</v>
      </c>
      <c r="H1277" s="26" t="n">
        <v>-1.55549725877511</v>
      </c>
      <c r="I1277" s="26" t="n">
        <v>-1.55549725877511</v>
      </c>
      <c r="J1277" s="26" t="n">
        <v>11.36</v>
      </c>
      <c r="K1277" s="27" t="n">
        <f aca="false">MIN(F1277,G1277)</f>
        <v>-4.30450274122489</v>
      </c>
      <c r="L1277" s="27" t="n">
        <f aca="false">AVERAGE(F1277,G1277)</f>
        <v>-4.30450274122489</v>
      </c>
      <c r="M1277" s="27" t="n">
        <f aca="false">MAX(0,NG-L1277)</f>
        <v>3.60450274122489</v>
      </c>
      <c r="N1277" s="27" t="n">
        <f aca="false">MAX(0,GWL-K1277)</f>
        <v>2.80450274122489</v>
      </c>
      <c r="O1277" s="27" t="n">
        <f aca="false">MAX(0,NG-MAX(K1277,GWL))</f>
        <v>0.8</v>
      </c>
      <c r="P1277" s="27" t="n">
        <f aca="false">E1277/2+WS+SLOPE_A*O1277+SLOPE_B*N1277</f>
        <v>8.93350822367468</v>
      </c>
      <c r="Q1277" s="28" t="str">
        <f aca="false">IF(AND(P1277&lt;J1277,N1277&lt;=MAXOC),"Open cut","Shoring")</f>
        <v>Shoring</v>
      </c>
      <c r="R1277" s="27" t="n">
        <f aca="false">IF(Q1277="Shoring",D1277,0)</f>
        <v>9.99999999996784</v>
      </c>
      <c r="S1277" s="27" t="n">
        <f aca="false">MAX(0,GWL-L1277)</f>
        <v>2.80450274122489</v>
      </c>
      <c r="T1277" s="27" t="n">
        <f aca="false">MAX(0,NG-MAX(L1277,GWL))</f>
        <v>0.8</v>
      </c>
      <c r="U1277" s="27" t="n">
        <f aca="false">E1277+2*WS</f>
        <v>4.24900548244979</v>
      </c>
      <c r="V1277" s="27" t="n">
        <f aca="false">IF(Q1277="Shoring",D1277*M1277*U1277,0)</f>
        <v>153.155519089206</v>
      </c>
      <c r="W1277" s="27" t="n">
        <f aca="false">IF(Q1277="Open cut",D1277*(U1277*M1277+SLOPE_B*S1277^2+2*SLOPE_B*S1277*T1277+SLOPE_A*T1277^2),0)</f>
        <v>0</v>
      </c>
      <c r="X1277" s="27" t="n">
        <f aca="false">IF(M1277&gt;0,D1277*(E1277+2*SLABOVH)*SLAB,0)</f>
        <v>16.2450274121967</v>
      </c>
      <c r="Y1277" s="27" t="n">
        <f aca="false">IF(M1277&gt;0,D1277*PI()*E1277^2/4,0)</f>
        <v>39.7256406383844</v>
      </c>
      <c r="Z1277" s="27" t="n">
        <f aca="false">IF(H1277-E1277&gt;=GWL,99,E1277*(MAX(0,GWL-H1277)*(GAM_S-GAM_W)+MAX(0,NG-MAX(H1277,GWL))*GAM_D)/(GAM_W*PI()*E1277^2/4))</f>
        <v>0.857253554416595</v>
      </c>
      <c r="AA1277" s="27" t="n">
        <f aca="false">IF(I1277-E1277&gt;=GWL,99,E1277*(MAX(0,GWL-I1277)*(GAM_S-GAM_W)+MAX(0,NG-MAX(I1277,GWL))*GAM_D)/(GAM_W*PI()*E1277^2/4))</f>
        <v>0.857253554416595</v>
      </c>
      <c r="AB1277" s="27" t="n">
        <f aca="false">IF(H1277-E1277&gt;=GWL,99,E1277*(MAX(0,GWL-H1277)*(GAM_S-GAM_W)+MAX(0,FL-MAX(H1277,GWL))*GAM_D)/(GAM_W*PI()*E1277^2/4))</f>
        <v>2.62317761410733</v>
      </c>
      <c r="AC1277" s="27" t="n">
        <f aca="false">IF(I1277-E1277&gt;=GWL,99,E1277*(MAX(0,GWL-I1277)*(GAM_S-GAM_W)+MAX(0,FL-MAX(I1277,GWL))*GAM_D)/(GAM_W*PI()*E1277^2/4))</f>
        <v>2.62317761410733</v>
      </c>
    </row>
    <row r="1278" customFormat="false" ht="15" hidden="false" customHeight="false" outlineLevel="0" collapsed="false">
      <c r="A1278" s="25" t="s">
        <v>1872</v>
      </c>
      <c r="B1278" s="25" t="s">
        <v>1891</v>
      </c>
      <c r="C1278" s="25" t="s">
        <v>1920</v>
      </c>
      <c r="D1278" s="26" t="n">
        <v>10.0000000002202</v>
      </c>
      <c r="E1278" s="26" t="n">
        <v>2.24900548244979</v>
      </c>
      <c r="F1278" s="26" t="n">
        <v>-4.30450274122489</v>
      </c>
      <c r="G1278" s="26" t="n">
        <v>-4.30450274122489</v>
      </c>
      <c r="H1278" s="26" t="n">
        <v>-1.55549725877511</v>
      </c>
      <c r="I1278" s="26" t="n">
        <v>-1.55549725877511</v>
      </c>
      <c r="J1278" s="26" t="n">
        <v>15.95</v>
      </c>
      <c r="K1278" s="27" t="n">
        <f aca="false">MIN(F1278,G1278)</f>
        <v>-4.30450274122489</v>
      </c>
      <c r="L1278" s="27" t="n">
        <f aca="false">AVERAGE(F1278,G1278)</f>
        <v>-4.30450274122489</v>
      </c>
      <c r="M1278" s="27" t="n">
        <f aca="false">MAX(0,NG-L1278)</f>
        <v>3.60450274122489</v>
      </c>
      <c r="N1278" s="27" t="n">
        <f aca="false">MAX(0,GWL-K1278)</f>
        <v>2.80450274122489</v>
      </c>
      <c r="O1278" s="27" t="n">
        <f aca="false">MAX(0,NG-MAX(K1278,GWL))</f>
        <v>0.8</v>
      </c>
      <c r="P1278" s="27" t="n">
        <f aca="false">E1278/2+WS+SLOPE_A*O1278+SLOPE_B*N1278</f>
        <v>8.93350822367468</v>
      </c>
      <c r="Q1278" s="28" t="str">
        <f aca="false">IF(AND(P1278&lt;J1278,N1278&lt;=MAXOC),"Open cut","Shoring")</f>
        <v>Shoring</v>
      </c>
      <c r="R1278" s="27" t="n">
        <f aca="false">IF(Q1278="Shoring",D1278,0)</f>
        <v>10.0000000002202</v>
      </c>
      <c r="S1278" s="27" t="n">
        <f aca="false">MAX(0,GWL-L1278)</f>
        <v>2.80450274122489</v>
      </c>
      <c r="T1278" s="27" t="n">
        <f aca="false">MAX(0,NG-MAX(L1278,GWL))</f>
        <v>0.8</v>
      </c>
      <c r="U1278" s="27" t="n">
        <f aca="false">E1278+2*WS</f>
        <v>4.24900548244979</v>
      </c>
      <c r="V1278" s="27" t="n">
        <f aca="false">IF(Q1278="Shoring",D1278*M1278*U1278,0)</f>
        <v>153.155519093071</v>
      </c>
      <c r="W1278" s="27" t="n">
        <f aca="false">IF(Q1278="Open cut",D1278*(U1278*M1278+SLOPE_B*S1278^2+2*SLOPE_B*S1278*T1278+SLOPE_A*T1278^2),0)</f>
        <v>0</v>
      </c>
      <c r="X1278" s="27" t="n">
        <f aca="false">IF(M1278&gt;0,D1278*(E1278+2*SLABOVH)*SLAB,0)</f>
        <v>16.2450274126067</v>
      </c>
      <c r="Y1278" s="27" t="n">
        <f aca="false">IF(M1278&gt;0,D1278*PI()*E1278^2/4,0)</f>
        <v>39.725640639387</v>
      </c>
      <c r="Z1278" s="27" t="n">
        <f aca="false">IF(H1278-E1278&gt;=GWL,99,E1278*(MAX(0,GWL-H1278)*(GAM_S-GAM_W)+MAX(0,NG-MAX(H1278,GWL))*GAM_D)/(GAM_W*PI()*E1278^2/4))</f>
        <v>0.857253554416595</v>
      </c>
      <c r="AA1278" s="27" t="n">
        <f aca="false">IF(I1278-E1278&gt;=GWL,99,E1278*(MAX(0,GWL-I1278)*(GAM_S-GAM_W)+MAX(0,NG-MAX(I1278,GWL))*GAM_D)/(GAM_W*PI()*E1278^2/4))</f>
        <v>0.857253554416595</v>
      </c>
      <c r="AB1278" s="27" t="n">
        <f aca="false">IF(H1278-E1278&gt;=GWL,99,E1278*(MAX(0,GWL-H1278)*(GAM_S-GAM_W)+MAX(0,FL-MAX(H1278,GWL))*GAM_D)/(GAM_W*PI()*E1278^2/4))</f>
        <v>2.62317761410733</v>
      </c>
      <c r="AC1278" s="27" t="n">
        <f aca="false">IF(I1278-E1278&gt;=GWL,99,E1278*(MAX(0,GWL-I1278)*(GAM_S-GAM_W)+MAX(0,FL-MAX(I1278,GWL))*GAM_D)/(GAM_W*PI()*E1278^2/4))</f>
        <v>2.62317761410733</v>
      </c>
    </row>
    <row r="1279" customFormat="false" ht="15" hidden="false" customHeight="false" outlineLevel="0" collapsed="false">
      <c r="A1279" s="25" t="s">
        <v>1872</v>
      </c>
      <c r="B1279" s="25" t="s">
        <v>1891</v>
      </c>
      <c r="C1279" s="25" t="s">
        <v>1921</v>
      </c>
      <c r="D1279" s="26" t="n">
        <v>7.10000000025182</v>
      </c>
      <c r="E1279" s="26" t="n">
        <v>2.24900548244979</v>
      </c>
      <c r="F1279" s="26" t="n">
        <v>-4.30450274122489</v>
      </c>
      <c r="G1279" s="26" t="n">
        <v>-4.30450274122489</v>
      </c>
      <c r="H1279" s="26" t="n">
        <v>-1.55549725877511</v>
      </c>
      <c r="I1279" s="26" t="n">
        <v>-1.55549725877511</v>
      </c>
      <c r="J1279" s="26" t="n">
        <v>20.33</v>
      </c>
      <c r="K1279" s="27" t="n">
        <f aca="false">MIN(F1279,G1279)</f>
        <v>-4.30450274122489</v>
      </c>
      <c r="L1279" s="27" t="n">
        <f aca="false">AVERAGE(F1279,G1279)</f>
        <v>-4.30450274122489</v>
      </c>
      <c r="M1279" s="27" t="n">
        <f aca="false">MAX(0,NG-L1279)</f>
        <v>3.60450274122489</v>
      </c>
      <c r="N1279" s="27" t="n">
        <f aca="false">MAX(0,GWL-K1279)</f>
        <v>2.80450274122489</v>
      </c>
      <c r="O1279" s="27" t="n">
        <f aca="false">MAX(0,NG-MAX(K1279,GWL))</f>
        <v>0.8</v>
      </c>
      <c r="P1279" s="27" t="n">
        <f aca="false">E1279/2+WS+SLOPE_A*O1279+SLOPE_B*N1279</f>
        <v>8.93350822367468</v>
      </c>
      <c r="Q1279" s="28" t="str">
        <f aca="false">IF(AND(P1279&lt;J1279,N1279&lt;=MAXOC),"Open cut","Shoring")</f>
        <v>Shoring</v>
      </c>
      <c r="R1279" s="27" t="n">
        <f aca="false">IF(Q1279="Shoring",D1279,0)</f>
        <v>7.10000000025182</v>
      </c>
      <c r="S1279" s="27" t="n">
        <f aca="false">MAX(0,GWL-L1279)</f>
        <v>2.80450274122489</v>
      </c>
      <c r="T1279" s="27" t="n">
        <f aca="false">MAX(0,NG-MAX(L1279,GWL))</f>
        <v>0.8</v>
      </c>
      <c r="U1279" s="27" t="n">
        <f aca="false">E1279+2*WS</f>
        <v>4.24900548244979</v>
      </c>
      <c r="V1279" s="27" t="n">
        <f aca="false">IF(Q1279="Shoring",D1279*M1279*U1279,0)</f>
        <v>108.740418557543</v>
      </c>
      <c r="W1279" s="27" t="n">
        <f aca="false">IF(Q1279="Open cut",D1279*(U1279*M1279+SLOPE_B*S1279^2+2*SLOPE_B*S1279*T1279+SLOPE_A*T1279^2),0)</f>
        <v>0</v>
      </c>
      <c r="X1279" s="27" t="n">
        <f aca="false">IF(M1279&gt;0,D1279*(E1279+2*SLABOVH)*SLAB,0)</f>
        <v>11.5339694631058</v>
      </c>
      <c r="Y1279" s="27" t="n">
        <f aca="false">IF(M1279&gt;0,D1279*PI()*E1279^2/4,0)</f>
        <v>28.205204854344</v>
      </c>
      <c r="Z1279" s="27" t="n">
        <f aca="false">IF(H1279-E1279&gt;=GWL,99,E1279*(MAX(0,GWL-H1279)*(GAM_S-GAM_W)+MAX(0,NG-MAX(H1279,GWL))*GAM_D)/(GAM_W*PI()*E1279^2/4))</f>
        <v>0.857253554416595</v>
      </c>
      <c r="AA1279" s="27" t="n">
        <f aca="false">IF(I1279-E1279&gt;=GWL,99,E1279*(MAX(0,GWL-I1279)*(GAM_S-GAM_W)+MAX(0,NG-MAX(I1279,GWL))*GAM_D)/(GAM_W*PI()*E1279^2/4))</f>
        <v>0.857253554416595</v>
      </c>
      <c r="AB1279" s="27" t="n">
        <f aca="false">IF(H1279-E1279&gt;=GWL,99,E1279*(MAX(0,GWL-H1279)*(GAM_S-GAM_W)+MAX(0,FL-MAX(H1279,GWL))*GAM_D)/(GAM_W*PI()*E1279^2/4))</f>
        <v>2.62317761410733</v>
      </c>
      <c r="AC1279" s="27" t="n">
        <f aca="false">IF(I1279-E1279&gt;=GWL,99,E1279*(MAX(0,GWL-I1279)*(GAM_S-GAM_W)+MAX(0,FL-MAX(I1279,GWL))*GAM_D)/(GAM_W*PI()*E1279^2/4))</f>
        <v>2.62317761410733</v>
      </c>
    </row>
    <row r="1280" customFormat="false" ht="15" hidden="false" customHeight="false" outlineLevel="0" collapsed="false">
      <c r="A1280" s="25" t="s">
        <v>1872</v>
      </c>
      <c r="B1280" s="25" t="s">
        <v>1922</v>
      </c>
      <c r="C1280" s="25" t="s">
        <v>1923</v>
      </c>
      <c r="D1280" s="26" t="n">
        <v>2.89999999987058</v>
      </c>
      <c r="E1280" s="26" t="n">
        <v>2.24900548244979</v>
      </c>
      <c r="F1280" s="26" t="n">
        <v>-4.30450274122489</v>
      </c>
      <c r="G1280" s="26" t="n">
        <v>-4.30450274122489</v>
      </c>
      <c r="H1280" s="26" t="n">
        <v>-1.55549725877511</v>
      </c>
      <c r="I1280" s="26" t="n">
        <v>-1.55549725877511</v>
      </c>
      <c r="J1280" s="26" t="n">
        <v>18.72</v>
      </c>
      <c r="K1280" s="27" t="n">
        <f aca="false">MIN(F1280,G1280)</f>
        <v>-4.30450274122489</v>
      </c>
      <c r="L1280" s="27" t="n">
        <f aca="false">AVERAGE(F1280,G1280)</f>
        <v>-4.30450274122489</v>
      </c>
      <c r="M1280" s="27" t="n">
        <f aca="false">MAX(0,NG-L1280)</f>
        <v>3.60450274122489</v>
      </c>
      <c r="N1280" s="27" t="n">
        <f aca="false">MAX(0,GWL-K1280)</f>
        <v>2.80450274122489</v>
      </c>
      <c r="O1280" s="27" t="n">
        <f aca="false">MAX(0,NG-MAX(K1280,GWL))</f>
        <v>0.8</v>
      </c>
      <c r="P1280" s="27" t="n">
        <f aca="false">E1280/2+WS+SLOPE_A*O1280+SLOPE_B*N1280</f>
        <v>8.93350822367468</v>
      </c>
      <c r="Q1280" s="28" t="str">
        <f aca="false">IF(AND(P1280&lt;J1280,N1280&lt;=MAXOC),"Open cut","Shoring")</f>
        <v>Shoring</v>
      </c>
      <c r="R1280" s="27" t="n">
        <f aca="false">IF(Q1280="Shoring",D1280,0)</f>
        <v>2.89999999987058</v>
      </c>
      <c r="S1280" s="27" t="n">
        <f aca="false">MAX(0,GWL-L1280)</f>
        <v>2.80450274122489</v>
      </c>
      <c r="T1280" s="27" t="n">
        <f aca="false">MAX(0,NG-MAX(L1280,GWL))</f>
        <v>0.8</v>
      </c>
      <c r="U1280" s="27" t="n">
        <f aca="false">E1280+2*WS</f>
        <v>4.24900548244979</v>
      </c>
      <c r="V1280" s="27" t="n">
        <f aca="false">IF(Q1280="Shoring",D1280*M1280*U1280,0)</f>
        <v>44.4151005340304</v>
      </c>
      <c r="W1280" s="27" t="n">
        <f aca="false">IF(Q1280="Open cut",D1280*(U1280*M1280+SLOPE_B*S1280^2+2*SLOPE_B*S1280*T1280+SLOPE_A*T1280^2),0)</f>
        <v>0</v>
      </c>
      <c r="X1280" s="27" t="n">
        <f aca="false">IF(M1280&gt;0,D1280*(E1280+2*SLABOVH)*SLAB,0)</f>
        <v>4.71105794934194</v>
      </c>
      <c r="Y1280" s="27" t="n">
        <f aca="false">IF(M1280&gt;0,D1280*PI()*E1280^2/4,0)</f>
        <v>11.5204357846544</v>
      </c>
      <c r="Z1280" s="27" t="n">
        <f aca="false">IF(H1280-E1280&gt;=GWL,99,E1280*(MAX(0,GWL-H1280)*(GAM_S-GAM_W)+MAX(0,NG-MAX(H1280,GWL))*GAM_D)/(GAM_W*PI()*E1280^2/4))</f>
        <v>0.857253554416595</v>
      </c>
      <c r="AA1280" s="27" t="n">
        <f aca="false">IF(I1280-E1280&gt;=GWL,99,E1280*(MAX(0,GWL-I1280)*(GAM_S-GAM_W)+MAX(0,NG-MAX(I1280,GWL))*GAM_D)/(GAM_W*PI()*E1280^2/4))</f>
        <v>0.857253554416595</v>
      </c>
      <c r="AB1280" s="27" t="n">
        <f aca="false">IF(H1280-E1280&gt;=GWL,99,E1280*(MAX(0,GWL-H1280)*(GAM_S-GAM_W)+MAX(0,FL-MAX(H1280,GWL))*GAM_D)/(GAM_W*PI()*E1280^2/4))</f>
        <v>2.62317761410733</v>
      </c>
      <c r="AC1280" s="27" t="n">
        <f aca="false">IF(I1280-E1280&gt;=GWL,99,E1280*(MAX(0,GWL-I1280)*(GAM_S-GAM_W)+MAX(0,FL-MAX(I1280,GWL))*GAM_D)/(GAM_W*PI()*E1280^2/4))</f>
        <v>2.62317761410733</v>
      </c>
    </row>
    <row r="1281" customFormat="false" ht="15" hidden="false" customHeight="false" outlineLevel="0" collapsed="false">
      <c r="A1281" s="25" t="s">
        <v>1872</v>
      </c>
      <c r="B1281" s="25" t="s">
        <v>1922</v>
      </c>
      <c r="C1281" s="25" t="s">
        <v>1924</v>
      </c>
      <c r="D1281" s="26" t="n">
        <v>9.99999999996784</v>
      </c>
      <c r="E1281" s="26" t="n">
        <v>2.24900548244979</v>
      </c>
      <c r="F1281" s="26" t="n">
        <v>-4.30450274122489</v>
      </c>
      <c r="G1281" s="26" t="n">
        <v>-4.30450274122489</v>
      </c>
      <c r="H1281" s="26" t="n">
        <v>-1.55549725877511</v>
      </c>
      <c r="I1281" s="26" t="n">
        <v>-1.55549725877511</v>
      </c>
      <c r="J1281" s="26" t="n">
        <v>14.24</v>
      </c>
      <c r="K1281" s="27" t="n">
        <f aca="false">MIN(F1281,G1281)</f>
        <v>-4.30450274122489</v>
      </c>
      <c r="L1281" s="27" t="n">
        <f aca="false">AVERAGE(F1281,G1281)</f>
        <v>-4.30450274122489</v>
      </c>
      <c r="M1281" s="27" t="n">
        <f aca="false">MAX(0,NG-L1281)</f>
        <v>3.60450274122489</v>
      </c>
      <c r="N1281" s="27" t="n">
        <f aca="false">MAX(0,GWL-K1281)</f>
        <v>2.80450274122489</v>
      </c>
      <c r="O1281" s="27" t="n">
        <f aca="false">MAX(0,NG-MAX(K1281,GWL))</f>
        <v>0.8</v>
      </c>
      <c r="P1281" s="27" t="n">
        <f aca="false">E1281/2+WS+SLOPE_A*O1281+SLOPE_B*N1281</f>
        <v>8.93350822367468</v>
      </c>
      <c r="Q1281" s="28" t="str">
        <f aca="false">IF(AND(P1281&lt;J1281,N1281&lt;=MAXOC),"Open cut","Shoring")</f>
        <v>Shoring</v>
      </c>
      <c r="R1281" s="27" t="n">
        <f aca="false">IF(Q1281="Shoring",D1281,0)</f>
        <v>9.99999999996784</v>
      </c>
      <c r="S1281" s="27" t="n">
        <f aca="false">MAX(0,GWL-L1281)</f>
        <v>2.80450274122489</v>
      </c>
      <c r="T1281" s="27" t="n">
        <f aca="false">MAX(0,NG-MAX(L1281,GWL))</f>
        <v>0.8</v>
      </c>
      <c r="U1281" s="27" t="n">
        <f aca="false">E1281+2*WS</f>
        <v>4.24900548244979</v>
      </c>
      <c r="V1281" s="27" t="n">
        <f aca="false">IF(Q1281="Shoring",D1281*M1281*U1281,0)</f>
        <v>153.155519089206</v>
      </c>
      <c r="W1281" s="27" t="n">
        <f aca="false">IF(Q1281="Open cut",D1281*(U1281*M1281+SLOPE_B*S1281^2+2*SLOPE_B*S1281*T1281+SLOPE_A*T1281^2),0)</f>
        <v>0</v>
      </c>
      <c r="X1281" s="27" t="n">
        <f aca="false">IF(M1281&gt;0,D1281*(E1281+2*SLABOVH)*SLAB,0)</f>
        <v>16.2450274121967</v>
      </c>
      <c r="Y1281" s="27" t="n">
        <f aca="false">IF(M1281&gt;0,D1281*PI()*E1281^2/4,0)</f>
        <v>39.7256406383844</v>
      </c>
      <c r="Z1281" s="27" t="n">
        <f aca="false">IF(H1281-E1281&gt;=GWL,99,E1281*(MAX(0,GWL-H1281)*(GAM_S-GAM_W)+MAX(0,NG-MAX(H1281,GWL))*GAM_D)/(GAM_W*PI()*E1281^2/4))</f>
        <v>0.857253554416595</v>
      </c>
      <c r="AA1281" s="27" t="n">
        <f aca="false">IF(I1281-E1281&gt;=GWL,99,E1281*(MAX(0,GWL-I1281)*(GAM_S-GAM_W)+MAX(0,NG-MAX(I1281,GWL))*GAM_D)/(GAM_W*PI()*E1281^2/4))</f>
        <v>0.857253554416595</v>
      </c>
      <c r="AB1281" s="27" t="n">
        <f aca="false">IF(H1281-E1281&gt;=GWL,99,E1281*(MAX(0,GWL-H1281)*(GAM_S-GAM_W)+MAX(0,FL-MAX(H1281,GWL))*GAM_D)/(GAM_W*PI()*E1281^2/4))</f>
        <v>2.62317761410733</v>
      </c>
      <c r="AC1281" s="27" t="n">
        <f aca="false">IF(I1281-E1281&gt;=GWL,99,E1281*(MAX(0,GWL-I1281)*(GAM_S-GAM_W)+MAX(0,FL-MAX(I1281,GWL))*GAM_D)/(GAM_W*PI()*E1281^2/4))</f>
        <v>2.62317761410733</v>
      </c>
    </row>
    <row r="1282" customFormat="false" ht="15" hidden="false" customHeight="false" outlineLevel="0" collapsed="false">
      <c r="A1282" s="25" t="s">
        <v>1872</v>
      </c>
      <c r="B1282" s="25" t="s">
        <v>1922</v>
      </c>
      <c r="C1282" s="25" t="s">
        <v>1925</v>
      </c>
      <c r="D1282" s="26" t="n">
        <v>10.0000000001224</v>
      </c>
      <c r="E1282" s="26" t="n">
        <v>2.24900548244979</v>
      </c>
      <c r="F1282" s="26" t="n">
        <v>-4.30450274122489</v>
      </c>
      <c r="G1282" s="26" t="n">
        <v>-4.30450274122489</v>
      </c>
      <c r="H1282" s="26" t="n">
        <v>-1.55549725877511</v>
      </c>
      <c r="I1282" s="26" t="n">
        <v>-1.55549725877511</v>
      </c>
      <c r="J1282" s="26" t="n">
        <v>11.77</v>
      </c>
      <c r="K1282" s="27" t="n">
        <f aca="false">MIN(F1282,G1282)</f>
        <v>-4.30450274122489</v>
      </c>
      <c r="L1282" s="27" t="n">
        <f aca="false">AVERAGE(F1282,G1282)</f>
        <v>-4.30450274122489</v>
      </c>
      <c r="M1282" s="27" t="n">
        <f aca="false">MAX(0,NG-L1282)</f>
        <v>3.60450274122489</v>
      </c>
      <c r="N1282" s="27" t="n">
        <f aca="false">MAX(0,GWL-K1282)</f>
        <v>2.80450274122489</v>
      </c>
      <c r="O1282" s="27" t="n">
        <f aca="false">MAX(0,NG-MAX(K1282,GWL))</f>
        <v>0.8</v>
      </c>
      <c r="P1282" s="27" t="n">
        <f aca="false">E1282/2+WS+SLOPE_A*O1282+SLOPE_B*N1282</f>
        <v>8.93350822367468</v>
      </c>
      <c r="Q1282" s="28" t="str">
        <f aca="false">IF(AND(P1282&lt;J1282,N1282&lt;=MAXOC),"Open cut","Shoring")</f>
        <v>Shoring</v>
      </c>
      <c r="R1282" s="27" t="n">
        <f aca="false">IF(Q1282="Shoring",D1282,0)</f>
        <v>10.0000000001224</v>
      </c>
      <c r="S1282" s="27" t="n">
        <f aca="false">MAX(0,GWL-L1282)</f>
        <v>2.80450274122489</v>
      </c>
      <c r="T1282" s="27" t="n">
        <f aca="false">MAX(0,NG-MAX(L1282,GWL))</f>
        <v>0.8</v>
      </c>
      <c r="U1282" s="27" t="n">
        <f aca="false">E1282+2*WS</f>
        <v>4.24900548244979</v>
      </c>
      <c r="V1282" s="27" t="n">
        <f aca="false">IF(Q1282="Shoring",D1282*M1282*U1282,0)</f>
        <v>153.155519091573</v>
      </c>
      <c r="W1282" s="27" t="n">
        <f aca="false">IF(Q1282="Open cut",D1282*(U1282*M1282+SLOPE_B*S1282^2+2*SLOPE_B*S1282*T1282+SLOPE_A*T1282^2),0)</f>
        <v>0</v>
      </c>
      <c r="X1282" s="27" t="n">
        <f aca="false">IF(M1282&gt;0,D1282*(E1282+2*SLABOVH)*SLAB,0)</f>
        <v>16.2450274124478</v>
      </c>
      <c r="Y1282" s="27" t="n">
        <f aca="false">IF(M1282&gt;0,D1282*PI()*E1282^2/4,0)</f>
        <v>39.7256406389984</v>
      </c>
      <c r="Z1282" s="27" t="n">
        <f aca="false">IF(H1282-E1282&gt;=GWL,99,E1282*(MAX(0,GWL-H1282)*(GAM_S-GAM_W)+MAX(0,NG-MAX(H1282,GWL))*GAM_D)/(GAM_W*PI()*E1282^2/4))</f>
        <v>0.857253554416595</v>
      </c>
      <c r="AA1282" s="27" t="n">
        <f aca="false">IF(I1282-E1282&gt;=GWL,99,E1282*(MAX(0,GWL-I1282)*(GAM_S-GAM_W)+MAX(0,NG-MAX(I1282,GWL))*GAM_D)/(GAM_W*PI()*E1282^2/4))</f>
        <v>0.857253554416595</v>
      </c>
      <c r="AB1282" s="27" t="n">
        <f aca="false">IF(H1282-E1282&gt;=GWL,99,E1282*(MAX(0,GWL-H1282)*(GAM_S-GAM_W)+MAX(0,FL-MAX(H1282,GWL))*GAM_D)/(GAM_W*PI()*E1282^2/4))</f>
        <v>2.62317761410733</v>
      </c>
      <c r="AC1282" s="27" t="n">
        <f aca="false">IF(I1282-E1282&gt;=GWL,99,E1282*(MAX(0,GWL-I1282)*(GAM_S-GAM_W)+MAX(0,FL-MAX(I1282,GWL))*GAM_D)/(GAM_W*PI()*E1282^2/4))</f>
        <v>2.62317761410733</v>
      </c>
    </row>
    <row r="1283" customFormat="false" ht="15" hidden="false" customHeight="false" outlineLevel="0" collapsed="false">
      <c r="A1283" s="25" t="s">
        <v>1872</v>
      </c>
      <c r="B1283" s="25" t="s">
        <v>1922</v>
      </c>
      <c r="C1283" s="25" t="s">
        <v>1926</v>
      </c>
      <c r="D1283" s="26" t="n">
        <v>9.99999999946306</v>
      </c>
      <c r="E1283" s="26" t="n">
        <v>2.24900548244979</v>
      </c>
      <c r="F1283" s="26" t="n">
        <v>-4.30450274122489</v>
      </c>
      <c r="G1283" s="26" t="n">
        <v>-4.30450274122489</v>
      </c>
      <c r="H1283" s="26" t="n">
        <v>-1.55549725877511</v>
      </c>
      <c r="I1283" s="26" t="n">
        <v>-1.55549725877511</v>
      </c>
      <c r="J1283" s="26" t="n">
        <v>11.41</v>
      </c>
      <c r="K1283" s="27" t="n">
        <f aca="false">MIN(F1283,G1283)</f>
        <v>-4.30450274122489</v>
      </c>
      <c r="L1283" s="27" t="n">
        <f aca="false">AVERAGE(F1283,G1283)</f>
        <v>-4.30450274122489</v>
      </c>
      <c r="M1283" s="27" t="n">
        <f aca="false">MAX(0,NG-L1283)</f>
        <v>3.60450274122489</v>
      </c>
      <c r="N1283" s="27" t="n">
        <f aca="false">MAX(0,GWL-K1283)</f>
        <v>2.80450274122489</v>
      </c>
      <c r="O1283" s="27" t="n">
        <f aca="false">MAX(0,NG-MAX(K1283,GWL))</f>
        <v>0.8</v>
      </c>
      <c r="P1283" s="27" t="n">
        <f aca="false">E1283/2+WS+SLOPE_A*O1283+SLOPE_B*N1283</f>
        <v>8.93350822367468</v>
      </c>
      <c r="Q1283" s="28" t="str">
        <f aca="false">IF(AND(P1283&lt;J1283,N1283&lt;=MAXOC),"Open cut","Shoring")</f>
        <v>Shoring</v>
      </c>
      <c r="R1283" s="27" t="n">
        <f aca="false">IF(Q1283="Shoring",D1283,0)</f>
        <v>9.99999999946306</v>
      </c>
      <c r="S1283" s="27" t="n">
        <f aca="false">MAX(0,GWL-L1283)</f>
        <v>2.80450274122489</v>
      </c>
      <c r="T1283" s="27" t="n">
        <f aca="false">MAX(0,NG-MAX(L1283,GWL))</f>
        <v>0.8</v>
      </c>
      <c r="U1283" s="27" t="n">
        <f aca="false">E1283+2*WS</f>
        <v>4.24900548244979</v>
      </c>
      <c r="V1283" s="27" t="n">
        <f aca="false">IF(Q1283="Shoring",D1283*M1283*U1283,0)</f>
        <v>153.155519081475</v>
      </c>
      <c r="W1283" s="27" t="n">
        <f aca="false">IF(Q1283="Open cut",D1283*(U1283*M1283+SLOPE_B*S1283^2+2*SLOPE_B*S1283*T1283+SLOPE_A*T1283^2),0)</f>
        <v>0</v>
      </c>
      <c r="X1283" s="27" t="n">
        <f aca="false">IF(M1283&gt;0,D1283*(E1283+2*SLABOVH)*SLAB,0)</f>
        <v>16.2450274113767</v>
      </c>
      <c r="Y1283" s="27" t="n">
        <f aca="false">IF(M1283&gt;0,D1283*PI()*E1283^2/4,0)</f>
        <v>39.7256406363792</v>
      </c>
      <c r="Z1283" s="27" t="n">
        <f aca="false">IF(H1283-E1283&gt;=GWL,99,E1283*(MAX(0,GWL-H1283)*(GAM_S-GAM_W)+MAX(0,NG-MAX(H1283,GWL))*GAM_D)/(GAM_W*PI()*E1283^2/4))</f>
        <v>0.857253554416595</v>
      </c>
      <c r="AA1283" s="27" t="n">
        <f aca="false">IF(I1283-E1283&gt;=GWL,99,E1283*(MAX(0,GWL-I1283)*(GAM_S-GAM_W)+MAX(0,NG-MAX(I1283,GWL))*GAM_D)/(GAM_W*PI()*E1283^2/4))</f>
        <v>0.857253554416595</v>
      </c>
      <c r="AB1283" s="27" t="n">
        <f aca="false">IF(H1283-E1283&gt;=GWL,99,E1283*(MAX(0,GWL-H1283)*(GAM_S-GAM_W)+MAX(0,FL-MAX(H1283,GWL))*GAM_D)/(GAM_W*PI()*E1283^2/4))</f>
        <v>2.62317761410733</v>
      </c>
      <c r="AC1283" s="27" t="n">
        <f aca="false">IF(I1283-E1283&gt;=GWL,99,E1283*(MAX(0,GWL-I1283)*(GAM_S-GAM_W)+MAX(0,FL-MAX(I1283,GWL))*GAM_D)/(GAM_W*PI()*E1283^2/4))</f>
        <v>2.62317761410733</v>
      </c>
    </row>
    <row r="1284" customFormat="false" ht="15" hidden="false" customHeight="false" outlineLevel="0" collapsed="false">
      <c r="A1284" s="25" t="s">
        <v>1872</v>
      </c>
      <c r="B1284" s="25" t="s">
        <v>1922</v>
      </c>
      <c r="C1284" s="25" t="s">
        <v>1927</v>
      </c>
      <c r="D1284" s="26" t="n">
        <v>10.0000000001224</v>
      </c>
      <c r="E1284" s="26" t="n">
        <v>2.24900548244979</v>
      </c>
      <c r="F1284" s="26" t="n">
        <v>-4.30450274122489</v>
      </c>
      <c r="G1284" s="26" t="n">
        <v>-4.30450274122489</v>
      </c>
      <c r="H1284" s="26" t="n">
        <v>-1.55549725877511</v>
      </c>
      <c r="I1284" s="26" t="n">
        <v>-1.55549725877511</v>
      </c>
      <c r="J1284" s="26" t="n">
        <v>11.68</v>
      </c>
      <c r="K1284" s="27" t="n">
        <f aca="false">MIN(F1284,G1284)</f>
        <v>-4.30450274122489</v>
      </c>
      <c r="L1284" s="27" t="n">
        <f aca="false">AVERAGE(F1284,G1284)</f>
        <v>-4.30450274122489</v>
      </c>
      <c r="M1284" s="27" t="n">
        <f aca="false">MAX(0,NG-L1284)</f>
        <v>3.60450274122489</v>
      </c>
      <c r="N1284" s="27" t="n">
        <f aca="false">MAX(0,GWL-K1284)</f>
        <v>2.80450274122489</v>
      </c>
      <c r="O1284" s="27" t="n">
        <f aca="false">MAX(0,NG-MAX(K1284,GWL))</f>
        <v>0.8</v>
      </c>
      <c r="P1284" s="27" t="n">
        <f aca="false">E1284/2+WS+SLOPE_A*O1284+SLOPE_B*N1284</f>
        <v>8.93350822367468</v>
      </c>
      <c r="Q1284" s="28" t="str">
        <f aca="false">IF(AND(P1284&lt;J1284,N1284&lt;=MAXOC),"Open cut","Shoring")</f>
        <v>Shoring</v>
      </c>
      <c r="R1284" s="27" t="n">
        <f aca="false">IF(Q1284="Shoring",D1284,0)</f>
        <v>10.0000000001224</v>
      </c>
      <c r="S1284" s="27" t="n">
        <f aca="false">MAX(0,GWL-L1284)</f>
        <v>2.80450274122489</v>
      </c>
      <c r="T1284" s="27" t="n">
        <f aca="false">MAX(0,NG-MAX(L1284,GWL))</f>
        <v>0.8</v>
      </c>
      <c r="U1284" s="27" t="n">
        <f aca="false">E1284+2*WS</f>
        <v>4.24900548244979</v>
      </c>
      <c r="V1284" s="27" t="n">
        <f aca="false">IF(Q1284="Shoring",D1284*M1284*U1284,0)</f>
        <v>153.155519091573</v>
      </c>
      <c r="W1284" s="27" t="n">
        <f aca="false">IF(Q1284="Open cut",D1284*(U1284*M1284+SLOPE_B*S1284^2+2*SLOPE_B*S1284*T1284+SLOPE_A*T1284^2),0)</f>
        <v>0</v>
      </c>
      <c r="X1284" s="27" t="n">
        <f aca="false">IF(M1284&gt;0,D1284*(E1284+2*SLABOVH)*SLAB,0)</f>
        <v>16.2450274124478</v>
      </c>
      <c r="Y1284" s="27" t="n">
        <f aca="false">IF(M1284&gt;0,D1284*PI()*E1284^2/4,0)</f>
        <v>39.7256406389984</v>
      </c>
      <c r="Z1284" s="27" t="n">
        <f aca="false">IF(H1284-E1284&gt;=GWL,99,E1284*(MAX(0,GWL-H1284)*(GAM_S-GAM_W)+MAX(0,NG-MAX(H1284,GWL))*GAM_D)/(GAM_W*PI()*E1284^2/4))</f>
        <v>0.857253554416595</v>
      </c>
      <c r="AA1284" s="27" t="n">
        <f aca="false">IF(I1284-E1284&gt;=GWL,99,E1284*(MAX(0,GWL-I1284)*(GAM_S-GAM_W)+MAX(0,NG-MAX(I1284,GWL))*GAM_D)/(GAM_W*PI()*E1284^2/4))</f>
        <v>0.857253554416595</v>
      </c>
      <c r="AB1284" s="27" t="n">
        <f aca="false">IF(H1284-E1284&gt;=GWL,99,E1284*(MAX(0,GWL-H1284)*(GAM_S-GAM_W)+MAX(0,FL-MAX(H1284,GWL))*GAM_D)/(GAM_W*PI()*E1284^2/4))</f>
        <v>2.62317761410733</v>
      </c>
      <c r="AC1284" s="27" t="n">
        <f aca="false">IF(I1284-E1284&gt;=GWL,99,E1284*(MAX(0,GWL-I1284)*(GAM_S-GAM_W)+MAX(0,FL-MAX(I1284,GWL))*GAM_D)/(GAM_W*PI()*E1284^2/4))</f>
        <v>2.62317761410733</v>
      </c>
    </row>
    <row r="1285" customFormat="false" ht="15" hidden="false" customHeight="false" outlineLevel="0" collapsed="false">
      <c r="A1285" s="25" t="s">
        <v>1872</v>
      </c>
      <c r="B1285" s="25" t="s">
        <v>1922</v>
      </c>
      <c r="C1285" s="25" t="s">
        <v>1928</v>
      </c>
      <c r="D1285" s="26" t="n">
        <v>10.0000000002202</v>
      </c>
      <c r="E1285" s="26" t="n">
        <v>2.24900548244979</v>
      </c>
      <c r="F1285" s="26" t="n">
        <v>-4.30450274122489</v>
      </c>
      <c r="G1285" s="26" t="n">
        <v>-4.30450274122489</v>
      </c>
      <c r="H1285" s="26" t="n">
        <v>-1.55549725877511</v>
      </c>
      <c r="I1285" s="26" t="n">
        <v>-1.55549725877511</v>
      </c>
      <c r="J1285" s="26" t="n">
        <v>13.97</v>
      </c>
      <c r="K1285" s="27" t="n">
        <f aca="false">MIN(F1285,G1285)</f>
        <v>-4.30450274122489</v>
      </c>
      <c r="L1285" s="27" t="n">
        <f aca="false">AVERAGE(F1285,G1285)</f>
        <v>-4.30450274122489</v>
      </c>
      <c r="M1285" s="27" t="n">
        <f aca="false">MAX(0,NG-L1285)</f>
        <v>3.60450274122489</v>
      </c>
      <c r="N1285" s="27" t="n">
        <f aca="false">MAX(0,GWL-K1285)</f>
        <v>2.80450274122489</v>
      </c>
      <c r="O1285" s="27" t="n">
        <f aca="false">MAX(0,NG-MAX(K1285,GWL))</f>
        <v>0.8</v>
      </c>
      <c r="P1285" s="27" t="n">
        <f aca="false">E1285/2+WS+SLOPE_A*O1285+SLOPE_B*N1285</f>
        <v>8.93350822367468</v>
      </c>
      <c r="Q1285" s="28" t="str">
        <f aca="false">IF(AND(P1285&lt;J1285,N1285&lt;=MAXOC),"Open cut","Shoring")</f>
        <v>Shoring</v>
      </c>
      <c r="R1285" s="27" t="n">
        <f aca="false">IF(Q1285="Shoring",D1285,0)</f>
        <v>10.0000000002202</v>
      </c>
      <c r="S1285" s="27" t="n">
        <f aca="false">MAX(0,GWL-L1285)</f>
        <v>2.80450274122489</v>
      </c>
      <c r="T1285" s="27" t="n">
        <f aca="false">MAX(0,NG-MAX(L1285,GWL))</f>
        <v>0.8</v>
      </c>
      <c r="U1285" s="27" t="n">
        <f aca="false">E1285+2*WS</f>
        <v>4.24900548244979</v>
      </c>
      <c r="V1285" s="27" t="n">
        <f aca="false">IF(Q1285="Shoring",D1285*M1285*U1285,0)</f>
        <v>153.155519093071</v>
      </c>
      <c r="W1285" s="27" t="n">
        <f aca="false">IF(Q1285="Open cut",D1285*(U1285*M1285+SLOPE_B*S1285^2+2*SLOPE_B*S1285*T1285+SLOPE_A*T1285^2),0)</f>
        <v>0</v>
      </c>
      <c r="X1285" s="27" t="n">
        <f aca="false">IF(M1285&gt;0,D1285*(E1285+2*SLABOVH)*SLAB,0)</f>
        <v>16.2450274126067</v>
      </c>
      <c r="Y1285" s="27" t="n">
        <f aca="false">IF(M1285&gt;0,D1285*PI()*E1285^2/4,0)</f>
        <v>39.725640639387</v>
      </c>
      <c r="Z1285" s="27" t="n">
        <f aca="false">IF(H1285-E1285&gt;=GWL,99,E1285*(MAX(0,GWL-H1285)*(GAM_S-GAM_W)+MAX(0,NG-MAX(H1285,GWL))*GAM_D)/(GAM_W*PI()*E1285^2/4))</f>
        <v>0.857253554416595</v>
      </c>
      <c r="AA1285" s="27" t="n">
        <f aca="false">IF(I1285-E1285&gt;=GWL,99,E1285*(MAX(0,GWL-I1285)*(GAM_S-GAM_W)+MAX(0,NG-MAX(I1285,GWL))*GAM_D)/(GAM_W*PI()*E1285^2/4))</f>
        <v>0.857253554416595</v>
      </c>
      <c r="AB1285" s="27" t="n">
        <f aca="false">IF(H1285-E1285&gt;=GWL,99,E1285*(MAX(0,GWL-H1285)*(GAM_S-GAM_W)+MAX(0,FL-MAX(H1285,GWL))*GAM_D)/(GAM_W*PI()*E1285^2/4))</f>
        <v>2.62317761410733</v>
      </c>
      <c r="AC1285" s="27" t="n">
        <f aca="false">IF(I1285-E1285&gt;=GWL,99,E1285*(MAX(0,GWL-I1285)*(GAM_S-GAM_W)+MAX(0,FL-MAX(I1285,GWL))*GAM_D)/(GAM_W*PI()*E1285^2/4))</f>
        <v>2.62317761410733</v>
      </c>
    </row>
    <row r="1286" customFormat="false" ht="15" hidden="false" customHeight="false" outlineLevel="0" collapsed="false">
      <c r="A1286" s="25" t="s">
        <v>1872</v>
      </c>
      <c r="B1286" s="25" t="s">
        <v>1922</v>
      </c>
      <c r="C1286" s="25" t="s">
        <v>1929</v>
      </c>
      <c r="D1286" s="26" t="n">
        <v>9.99999999996784</v>
      </c>
      <c r="E1286" s="26" t="n">
        <v>2.24900548244979</v>
      </c>
      <c r="F1286" s="26" t="n">
        <v>-4.30450274122489</v>
      </c>
      <c r="G1286" s="26" t="n">
        <v>-4.30450274122489</v>
      </c>
      <c r="H1286" s="26" t="n">
        <v>-1.55549725877511</v>
      </c>
      <c r="I1286" s="26" t="n">
        <v>-1.55549725877511</v>
      </c>
      <c r="J1286" s="26" t="n">
        <v>18.32</v>
      </c>
      <c r="K1286" s="27" t="n">
        <f aca="false">MIN(F1286,G1286)</f>
        <v>-4.30450274122489</v>
      </c>
      <c r="L1286" s="27" t="n">
        <f aca="false">AVERAGE(F1286,G1286)</f>
        <v>-4.30450274122489</v>
      </c>
      <c r="M1286" s="27" t="n">
        <f aca="false">MAX(0,NG-L1286)</f>
        <v>3.60450274122489</v>
      </c>
      <c r="N1286" s="27" t="n">
        <f aca="false">MAX(0,GWL-K1286)</f>
        <v>2.80450274122489</v>
      </c>
      <c r="O1286" s="27" t="n">
        <f aca="false">MAX(0,NG-MAX(K1286,GWL))</f>
        <v>0.8</v>
      </c>
      <c r="P1286" s="27" t="n">
        <f aca="false">E1286/2+WS+SLOPE_A*O1286+SLOPE_B*N1286</f>
        <v>8.93350822367468</v>
      </c>
      <c r="Q1286" s="28" t="str">
        <f aca="false">IF(AND(P1286&lt;J1286,N1286&lt;=MAXOC),"Open cut","Shoring")</f>
        <v>Shoring</v>
      </c>
      <c r="R1286" s="27" t="n">
        <f aca="false">IF(Q1286="Shoring",D1286,0)</f>
        <v>9.99999999996784</v>
      </c>
      <c r="S1286" s="27" t="n">
        <f aca="false">MAX(0,GWL-L1286)</f>
        <v>2.80450274122489</v>
      </c>
      <c r="T1286" s="27" t="n">
        <f aca="false">MAX(0,NG-MAX(L1286,GWL))</f>
        <v>0.8</v>
      </c>
      <c r="U1286" s="27" t="n">
        <f aca="false">E1286+2*WS</f>
        <v>4.24900548244979</v>
      </c>
      <c r="V1286" s="27" t="n">
        <f aca="false">IF(Q1286="Shoring",D1286*M1286*U1286,0)</f>
        <v>153.155519089206</v>
      </c>
      <c r="W1286" s="27" t="n">
        <f aca="false">IF(Q1286="Open cut",D1286*(U1286*M1286+SLOPE_B*S1286^2+2*SLOPE_B*S1286*T1286+SLOPE_A*T1286^2),0)</f>
        <v>0</v>
      </c>
      <c r="X1286" s="27" t="n">
        <f aca="false">IF(M1286&gt;0,D1286*(E1286+2*SLABOVH)*SLAB,0)</f>
        <v>16.2450274121967</v>
      </c>
      <c r="Y1286" s="27" t="n">
        <f aca="false">IF(M1286&gt;0,D1286*PI()*E1286^2/4,0)</f>
        <v>39.7256406383844</v>
      </c>
      <c r="Z1286" s="27" t="n">
        <f aca="false">IF(H1286-E1286&gt;=GWL,99,E1286*(MAX(0,GWL-H1286)*(GAM_S-GAM_W)+MAX(0,NG-MAX(H1286,GWL))*GAM_D)/(GAM_W*PI()*E1286^2/4))</f>
        <v>0.857253554416595</v>
      </c>
      <c r="AA1286" s="27" t="n">
        <f aca="false">IF(I1286-E1286&gt;=GWL,99,E1286*(MAX(0,GWL-I1286)*(GAM_S-GAM_W)+MAX(0,NG-MAX(I1286,GWL))*GAM_D)/(GAM_W*PI()*E1286^2/4))</f>
        <v>0.857253554416595</v>
      </c>
      <c r="AB1286" s="27" t="n">
        <f aca="false">IF(H1286-E1286&gt;=GWL,99,E1286*(MAX(0,GWL-H1286)*(GAM_S-GAM_W)+MAX(0,FL-MAX(H1286,GWL))*GAM_D)/(GAM_W*PI()*E1286^2/4))</f>
        <v>2.62317761410733</v>
      </c>
      <c r="AC1286" s="27" t="n">
        <f aca="false">IF(I1286-E1286&gt;=GWL,99,E1286*(MAX(0,GWL-I1286)*(GAM_S-GAM_W)+MAX(0,FL-MAX(I1286,GWL))*GAM_D)/(GAM_W*PI()*E1286^2/4))</f>
        <v>2.62317761410733</v>
      </c>
    </row>
    <row r="1287" customFormat="false" ht="15" hidden="false" customHeight="false" outlineLevel="0" collapsed="false">
      <c r="A1287" s="25" t="s">
        <v>1872</v>
      </c>
      <c r="B1287" s="25" t="s">
        <v>1922</v>
      </c>
      <c r="C1287" s="25" t="s">
        <v>1930</v>
      </c>
      <c r="D1287" s="26" t="n">
        <v>10.0000000001224</v>
      </c>
      <c r="E1287" s="26" t="n">
        <v>2.24900548244979</v>
      </c>
      <c r="F1287" s="26" t="n">
        <v>-4.30450274122489</v>
      </c>
      <c r="G1287" s="26" t="n">
        <v>-4.30450274122489</v>
      </c>
      <c r="H1287" s="26" t="n">
        <v>-1.55549725877511</v>
      </c>
      <c r="I1287" s="26" t="n">
        <v>-1.55549725877511</v>
      </c>
      <c r="J1287" s="26" t="n">
        <v>24.21</v>
      </c>
      <c r="K1287" s="27" t="n">
        <f aca="false">MIN(F1287,G1287)</f>
        <v>-4.30450274122489</v>
      </c>
      <c r="L1287" s="27" t="n">
        <f aca="false">AVERAGE(F1287,G1287)</f>
        <v>-4.30450274122489</v>
      </c>
      <c r="M1287" s="27" t="n">
        <f aca="false">MAX(0,NG-L1287)</f>
        <v>3.60450274122489</v>
      </c>
      <c r="N1287" s="27" t="n">
        <f aca="false">MAX(0,GWL-K1287)</f>
        <v>2.80450274122489</v>
      </c>
      <c r="O1287" s="27" t="n">
        <f aca="false">MAX(0,NG-MAX(K1287,GWL))</f>
        <v>0.8</v>
      </c>
      <c r="P1287" s="27" t="n">
        <f aca="false">E1287/2+WS+SLOPE_A*O1287+SLOPE_B*N1287</f>
        <v>8.93350822367468</v>
      </c>
      <c r="Q1287" s="28" t="str">
        <f aca="false">IF(AND(P1287&lt;J1287,N1287&lt;=MAXOC),"Open cut","Shoring")</f>
        <v>Shoring</v>
      </c>
      <c r="R1287" s="27" t="n">
        <f aca="false">IF(Q1287="Shoring",D1287,0)</f>
        <v>10.0000000001224</v>
      </c>
      <c r="S1287" s="27" t="n">
        <f aca="false">MAX(0,GWL-L1287)</f>
        <v>2.80450274122489</v>
      </c>
      <c r="T1287" s="27" t="n">
        <f aca="false">MAX(0,NG-MAX(L1287,GWL))</f>
        <v>0.8</v>
      </c>
      <c r="U1287" s="27" t="n">
        <f aca="false">E1287+2*WS</f>
        <v>4.24900548244979</v>
      </c>
      <c r="V1287" s="27" t="n">
        <f aca="false">IF(Q1287="Shoring",D1287*M1287*U1287,0)</f>
        <v>153.155519091573</v>
      </c>
      <c r="W1287" s="27" t="n">
        <f aca="false">IF(Q1287="Open cut",D1287*(U1287*M1287+SLOPE_B*S1287^2+2*SLOPE_B*S1287*T1287+SLOPE_A*T1287^2),0)</f>
        <v>0</v>
      </c>
      <c r="X1287" s="27" t="n">
        <f aca="false">IF(M1287&gt;0,D1287*(E1287+2*SLABOVH)*SLAB,0)</f>
        <v>16.2450274124478</v>
      </c>
      <c r="Y1287" s="27" t="n">
        <f aca="false">IF(M1287&gt;0,D1287*PI()*E1287^2/4,0)</f>
        <v>39.7256406389984</v>
      </c>
      <c r="Z1287" s="27" t="n">
        <f aca="false">IF(H1287-E1287&gt;=GWL,99,E1287*(MAX(0,GWL-H1287)*(GAM_S-GAM_W)+MAX(0,NG-MAX(H1287,GWL))*GAM_D)/(GAM_W*PI()*E1287^2/4))</f>
        <v>0.857253554416595</v>
      </c>
      <c r="AA1287" s="27" t="n">
        <f aca="false">IF(I1287-E1287&gt;=GWL,99,E1287*(MAX(0,GWL-I1287)*(GAM_S-GAM_W)+MAX(0,NG-MAX(I1287,GWL))*GAM_D)/(GAM_W*PI()*E1287^2/4))</f>
        <v>0.857253554416595</v>
      </c>
      <c r="AB1287" s="27" t="n">
        <f aca="false">IF(H1287-E1287&gt;=GWL,99,E1287*(MAX(0,GWL-H1287)*(GAM_S-GAM_W)+MAX(0,FL-MAX(H1287,GWL))*GAM_D)/(GAM_W*PI()*E1287^2/4))</f>
        <v>2.62317761410733</v>
      </c>
      <c r="AC1287" s="27" t="n">
        <f aca="false">IF(I1287-E1287&gt;=GWL,99,E1287*(MAX(0,GWL-I1287)*(GAM_S-GAM_W)+MAX(0,FL-MAX(I1287,GWL))*GAM_D)/(GAM_W*PI()*E1287^2/4))</f>
        <v>2.62317761410733</v>
      </c>
    </row>
    <row r="1288" customFormat="false" ht="15" hidden="false" customHeight="false" outlineLevel="0" collapsed="false">
      <c r="A1288" s="25" t="s">
        <v>1872</v>
      </c>
      <c r="B1288" s="25" t="s">
        <v>1922</v>
      </c>
      <c r="C1288" s="25" t="s">
        <v>1931</v>
      </c>
      <c r="D1288" s="26" t="n">
        <v>3.09999999986908</v>
      </c>
      <c r="E1288" s="26" t="n">
        <v>2.24900548244979</v>
      </c>
      <c r="F1288" s="26" t="n">
        <v>-4.30450274122489</v>
      </c>
      <c r="G1288" s="26" t="n">
        <v>-4.30450274122489</v>
      </c>
      <c r="H1288" s="26" t="n">
        <v>-1.55549725877511</v>
      </c>
      <c r="I1288" s="26" t="n">
        <v>-1.55549725877511</v>
      </c>
      <c r="J1288" s="26" t="n">
        <v>99</v>
      </c>
      <c r="K1288" s="27" t="n">
        <f aca="false">MIN(F1288,G1288)</f>
        <v>-4.30450274122489</v>
      </c>
      <c r="L1288" s="27" t="n">
        <f aca="false">AVERAGE(F1288,G1288)</f>
        <v>-4.30450274122489</v>
      </c>
      <c r="M1288" s="27" t="n">
        <f aca="false">MAX(0,NG-L1288)</f>
        <v>3.60450274122489</v>
      </c>
      <c r="N1288" s="27" t="n">
        <f aca="false">MAX(0,GWL-K1288)</f>
        <v>2.80450274122489</v>
      </c>
      <c r="O1288" s="27" t="n">
        <f aca="false">MAX(0,NG-MAX(K1288,GWL))</f>
        <v>0.8</v>
      </c>
      <c r="P1288" s="27" t="n">
        <f aca="false">E1288/2+WS+SLOPE_A*O1288+SLOPE_B*N1288</f>
        <v>8.93350822367468</v>
      </c>
      <c r="Q1288" s="28" t="str">
        <f aca="false">IF(AND(P1288&lt;J1288,N1288&lt;=MAXOC),"Open cut","Shoring")</f>
        <v>Shoring</v>
      </c>
      <c r="R1288" s="27" t="n">
        <f aca="false">IF(Q1288="Shoring",D1288,0)</f>
        <v>3.09999999986908</v>
      </c>
      <c r="S1288" s="27" t="n">
        <f aca="false">MAX(0,GWL-L1288)</f>
        <v>2.80450274122489</v>
      </c>
      <c r="T1288" s="27" t="n">
        <f aca="false">MAX(0,NG-MAX(L1288,GWL))</f>
        <v>0.8</v>
      </c>
      <c r="U1288" s="27" t="n">
        <f aca="false">E1288+2*WS</f>
        <v>4.24900548244979</v>
      </c>
      <c r="V1288" s="27" t="n">
        <f aca="false">IF(Q1288="Shoring",D1288*M1288*U1288,0)</f>
        <v>47.4782109158015</v>
      </c>
      <c r="W1288" s="27" t="n">
        <f aca="false">IF(Q1288="Open cut",D1288*(U1288*M1288+SLOPE_B*S1288^2+2*SLOPE_B*S1288*T1288+SLOPE_A*T1288^2),0)</f>
        <v>0</v>
      </c>
      <c r="X1288" s="27" t="n">
        <f aca="false">IF(M1288&gt;0,D1288*(E1288+2*SLABOVH)*SLAB,0)</f>
        <v>5.03595849758449</v>
      </c>
      <c r="Y1288" s="27" t="n">
        <f aca="false">IF(M1288&gt;0,D1288*PI()*E1288^2/4,0)</f>
        <v>12.3149485974187</v>
      </c>
      <c r="Z1288" s="27" t="n">
        <f aca="false">IF(H1288-E1288&gt;=GWL,99,E1288*(MAX(0,GWL-H1288)*(GAM_S-GAM_W)+MAX(0,NG-MAX(H1288,GWL))*GAM_D)/(GAM_W*PI()*E1288^2/4))</f>
        <v>0.857253554416595</v>
      </c>
      <c r="AA1288" s="27" t="n">
        <f aca="false">IF(I1288-E1288&gt;=GWL,99,E1288*(MAX(0,GWL-I1288)*(GAM_S-GAM_W)+MAX(0,NG-MAX(I1288,GWL))*GAM_D)/(GAM_W*PI()*E1288^2/4))</f>
        <v>0.857253554416595</v>
      </c>
      <c r="AB1288" s="27" t="n">
        <f aca="false">IF(H1288-E1288&gt;=GWL,99,E1288*(MAX(0,GWL-H1288)*(GAM_S-GAM_W)+MAX(0,FL-MAX(H1288,GWL))*GAM_D)/(GAM_W*PI()*E1288^2/4))</f>
        <v>2.62317761410733</v>
      </c>
      <c r="AC1288" s="27" t="n">
        <f aca="false">IF(I1288-E1288&gt;=GWL,99,E1288*(MAX(0,GWL-I1288)*(GAM_S-GAM_W)+MAX(0,FL-MAX(I1288,GWL))*GAM_D)/(GAM_W*PI()*E1288^2/4))</f>
        <v>2.62317761410733</v>
      </c>
    </row>
    <row r="1289" customFormat="false" ht="15" hidden="false" customHeight="false" outlineLevel="0" collapsed="false">
      <c r="A1289" s="25" t="s">
        <v>1872</v>
      </c>
      <c r="B1289" s="25" t="s">
        <v>1932</v>
      </c>
      <c r="C1289" s="25" t="s">
        <v>1933</v>
      </c>
      <c r="D1289" s="26" t="n">
        <v>6.90000000035115</v>
      </c>
      <c r="E1289" s="26" t="n">
        <v>2.24900548244979</v>
      </c>
      <c r="F1289" s="26" t="n">
        <v>-4.30450274122489</v>
      </c>
      <c r="G1289" s="26" t="n">
        <v>-4.30450274122489</v>
      </c>
      <c r="H1289" s="26" t="n">
        <v>-1.55549725877511</v>
      </c>
      <c r="I1289" s="26" t="n">
        <v>-1.55549725877511</v>
      </c>
      <c r="J1289" s="26" t="n">
        <v>20.78</v>
      </c>
      <c r="K1289" s="27" t="n">
        <f aca="false">MIN(F1289,G1289)</f>
        <v>-4.30450274122489</v>
      </c>
      <c r="L1289" s="27" t="n">
        <f aca="false">AVERAGE(F1289,G1289)</f>
        <v>-4.30450274122489</v>
      </c>
      <c r="M1289" s="27" t="n">
        <f aca="false">MAX(0,NG-L1289)</f>
        <v>3.60450274122489</v>
      </c>
      <c r="N1289" s="27" t="n">
        <f aca="false">MAX(0,GWL-K1289)</f>
        <v>2.80450274122489</v>
      </c>
      <c r="O1289" s="27" t="n">
        <f aca="false">MAX(0,NG-MAX(K1289,GWL))</f>
        <v>0.8</v>
      </c>
      <c r="P1289" s="27" t="n">
        <f aca="false">E1289/2+WS+SLOPE_A*O1289+SLOPE_B*N1289</f>
        <v>8.93350822367468</v>
      </c>
      <c r="Q1289" s="28" t="str">
        <f aca="false">IF(AND(P1289&lt;J1289,N1289&lt;=MAXOC),"Open cut","Shoring")</f>
        <v>Shoring</v>
      </c>
      <c r="R1289" s="27" t="n">
        <f aca="false">IF(Q1289="Shoring",D1289,0)</f>
        <v>6.90000000035115</v>
      </c>
      <c r="S1289" s="27" t="n">
        <f aca="false">MAX(0,GWL-L1289)</f>
        <v>2.80450274122489</v>
      </c>
      <c r="T1289" s="27" t="n">
        <f aca="false">MAX(0,NG-MAX(L1289,GWL))</f>
        <v>0.8</v>
      </c>
      <c r="U1289" s="27" t="n">
        <f aca="false">E1289+2*WS</f>
        <v>4.24900548244979</v>
      </c>
      <c r="V1289" s="27" t="n">
        <f aca="false">IF(Q1289="Shoring",D1289*M1289*U1289,0)</f>
        <v>105.67730817727</v>
      </c>
      <c r="W1289" s="27" t="n">
        <f aca="false">IF(Q1289="Open cut",D1289*(U1289*M1289+SLOPE_B*S1289^2+2*SLOPE_B*S1289*T1289+SLOPE_A*T1289^2),0)</f>
        <v>0</v>
      </c>
      <c r="X1289" s="27" t="n">
        <f aca="false">IF(M1289&gt;0,D1289*(E1289+2*SLABOVH)*SLAB,0)</f>
        <v>11.2090689150222</v>
      </c>
      <c r="Y1289" s="27" t="n">
        <f aca="false">IF(M1289&gt;0,D1289*PI()*E1289^2/4,0)</f>
        <v>27.4106920419684</v>
      </c>
      <c r="Z1289" s="27" t="n">
        <f aca="false">IF(H1289-E1289&gt;=GWL,99,E1289*(MAX(0,GWL-H1289)*(GAM_S-GAM_W)+MAX(0,NG-MAX(H1289,GWL))*GAM_D)/(GAM_W*PI()*E1289^2/4))</f>
        <v>0.857253554416595</v>
      </c>
      <c r="AA1289" s="27" t="n">
        <f aca="false">IF(I1289-E1289&gt;=GWL,99,E1289*(MAX(0,GWL-I1289)*(GAM_S-GAM_W)+MAX(0,NG-MAX(I1289,GWL))*GAM_D)/(GAM_W*PI()*E1289^2/4))</f>
        <v>0.857253554416595</v>
      </c>
      <c r="AB1289" s="27" t="n">
        <f aca="false">IF(H1289-E1289&gt;=GWL,99,E1289*(MAX(0,GWL-H1289)*(GAM_S-GAM_W)+MAX(0,FL-MAX(H1289,GWL))*GAM_D)/(GAM_W*PI()*E1289^2/4))</f>
        <v>2.62317761410733</v>
      </c>
      <c r="AC1289" s="27" t="n">
        <f aca="false">IF(I1289-E1289&gt;=GWL,99,E1289*(MAX(0,GWL-I1289)*(GAM_S-GAM_W)+MAX(0,FL-MAX(I1289,GWL))*GAM_D)/(GAM_W*PI()*E1289^2/4))</f>
        <v>2.62317761410733</v>
      </c>
    </row>
    <row r="1290" customFormat="false" ht="15" hidden="false" customHeight="false" outlineLevel="0" collapsed="false">
      <c r="A1290" s="25" t="s">
        <v>1872</v>
      </c>
      <c r="B1290" s="25" t="s">
        <v>1932</v>
      </c>
      <c r="C1290" s="25" t="s">
        <v>1934</v>
      </c>
      <c r="D1290" s="26" t="n">
        <v>9.99999999936523</v>
      </c>
      <c r="E1290" s="26" t="n">
        <v>2.24900548244979</v>
      </c>
      <c r="F1290" s="26" t="n">
        <v>-4.30450274122489</v>
      </c>
      <c r="G1290" s="26" t="n">
        <v>-4.30450274122489</v>
      </c>
      <c r="H1290" s="26" t="n">
        <v>-1.55549725877511</v>
      </c>
      <c r="I1290" s="26" t="n">
        <v>-1.55549725877511</v>
      </c>
      <c r="J1290" s="26" t="n">
        <v>12.97</v>
      </c>
      <c r="K1290" s="27" t="n">
        <f aca="false">MIN(F1290,G1290)</f>
        <v>-4.30450274122489</v>
      </c>
      <c r="L1290" s="27" t="n">
        <f aca="false">AVERAGE(F1290,G1290)</f>
        <v>-4.30450274122489</v>
      </c>
      <c r="M1290" s="27" t="n">
        <f aca="false">MAX(0,NG-L1290)</f>
        <v>3.60450274122489</v>
      </c>
      <c r="N1290" s="27" t="n">
        <f aca="false">MAX(0,GWL-K1290)</f>
        <v>2.80450274122489</v>
      </c>
      <c r="O1290" s="27" t="n">
        <f aca="false">MAX(0,NG-MAX(K1290,GWL))</f>
        <v>0.8</v>
      </c>
      <c r="P1290" s="27" t="n">
        <f aca="false">E1290/2+WS+SLOPE_A*O1290+SLOPE_B*N1290</f>
        <v>8.93350822367468</v>
      </c>
      <c r="Q1290" s="28" t="str">
        <f aca="false">IF(AND(P1290&lt;J1290,N1290&lt;=MAXOC),"Open cut","Shoring")</f>
        <v>Shoring</v>
      </c>
      <c r="R1290" s="27" t="n">
        <f aca="false">IF(Q1290="Shoring",D1290,0)</f>
        <v>9.99999999936523</v>
      </c>
      <c r="S1290" s="27" t="n">
        <f aca="false">MAX(0,GWL-L1290)</f>
        <v>2.80450274122489</v>
      </c>
      <c r="T1290" s="27" t="n">
        <f aca="false">MAX(0,NG-MAX(L1290,GWL))</f>
        <v>0.8</v>
      </c>
      <c r="U1290" s="27" t="n">
        <f aca="false">E1290+2*WS</f>
        <v>4.24900548244979</v>
      </c>
      <c r="V1290" s="27" t="n">
        <f aca="false">IF(Q1290="Shoring",D1290*M1290*U1290,0)</f>
        <v>153.155519079977</v>
      </c>
      <c r="W1290" s="27" t="n">
        <f aca="false">IF(Q1290="Open cut",D1290*(U1290*M1290+SLOPE_B*S1290^2+2*SLOPE_B*S1290*T1290+SLOPE_A*T1290^2),0)</f>
        <v>0</v>
      </c>
      <c r="X1290" s="27" t="n">
        <f aca="false">IF(M1290&gt;0,D1290*(E1290+2*SLABOVH)*SLAB,0)</f>
        <v>16.2450274112177</v>
      </c>
      <c r="Y1290" s="27" t="n">
        <f aca="false">IF(M1290&gt;0,D1290*PI()*E1290^2/4,0)</f>
        <v>39.7256406359905</v>
      </c>
      <c r="Z1290" s="27" t="n">
        <f aca="false">IF(H1290-E1290&gt;=GWL,99,E1290*(MAX(0,GWL-H1290)*(GAM_S-GAM_W)+MAX(0,NG-MAX(H1290,GWL))*GAM_D)/(GAM_W*PI()*E1290^2/4))</f>
        <v>0.857253554416595</v>
      </c>
      <c r="AA1290" s="27" t="n">
        <f aca="false">IF(I1290-E1290&gt;=GWL,99,E1290*(MAX(0,GWL-I1290)*(GAM_S-GAM_W)+MAX(0,NG-MAX(I1290,GWL))*GAM_D)/(GAM_W*PI()*E1290^2/4))</f>
        <v>0.857253554416595</v>
      </c>
      <c r="AB1290" s="27" t="n">
        <f aca="false">IF(H1290-E1290&gt;=GWL,99,E1290*(MAX(0,GWL-H1290)*(GAM_S-GAM_W)+MAX(0,FL-MAX(H1290,GWL))*GAM_D)/(GAM_W*PI()*E1290^2/4))</f>
        <v>2.62317761410733</v>
      </c>
      <c r="AC1290" s="27" t="n">
        <f aca="false">IF(I1290-E1290&gt;=GWL,99,E1290*(MAX(0,GWL-I1290)*(GAM_S-GAM_W)+MAX(0,FL-MAX(I1290,GWL))*GAM_D)/(GAM_W*PI()*E1290^2/4))</f>
        <v>2.62317761410733</v>
      </c>
    </row>
    <row r="1291" customFormat="false" ht="15" hidden="false" customHeight="false" outlineLevel="0" collapsed="false">
      <c r="A1291" s="25" t="s">
        <v>1872</v>
      </c>
      <c r="B1291" s="25" t="s">
        <v>1932</v>
      </c>
      <c r="C1291" s="25" t="s">
        <v>1935</v>
      </c>
      <c r="D1291" s="26" t="n">
        <v>8.073464152143</v>
      </c>
      <c r="E1291" s="26" t="n">
        <v>2.24900548244979</v>
      </c>
      <c r="F1291" s="26" t="n">
        <v>-4.30450274122489</v>
      </c>
      <c r="G1291" s="26" t="n">
        <v>-4.30450274122489</v>
      </c>
      <c r="H1291" s="26" t="n">
        <v>-1.55549725877511</v>
      </c>
      <c r="I1291" s="26" t="n">
        <v>-1.55549725877511</v>
      </c>
      <c r="J1291" s="26" t="n">
        <v>10.05</v>
      </c>
      <c r="K1291" s="27" t="n">
        <f aca="false">MIN(F1291,G1291)</f>
        <v>-4.30450274122489</v>
      </c>
      <c r="L1291" s="27" t="n">
        <f aca="false">AVERAGE(F1291,G1291)</f>
        <v>-4.30450274122489</v>
      </c>
      <c r="M1291" s="27" t="n">
        <f aca="false">MAX(0,NG-L1291)</f>
        <v>3.60450274122489</v>
      </c>
      <c r="N1291" s="27" t="n">
        <f aca="false">MAX(0,GWL-K1291)</f>
        <v>2.80450274122489</v>
      </c>
      <c r="O1291" s="27" t="n">
        <f aca="false">MAX(0,NG-MAX(K1291,GWL))</f>
        <v>0.8</v>
      </c>
      <c r="P1291" s="27" t="n">
        <f aca="false">E1291/2+WS+SLOPE_A*O1291+SLOPE_B*N1291</f>
        <v>8.93350822367468</v>
      </c>
      <c r="Q1291" s="28" t="str">
        <f aca="false">IF(AND(P1291&lt;J1291,N1291&lt;=MAXOC),"Open cut","Shoring")</f>
        <v>Shoring</v>
      </c>
      <c r="R1291" s="27" t="n">
        <f aca="false">IF(Q1291="Shoring",D1291,0)</f>
        <v>8.073464152143</v>
      </c>
      <c r="S1291" s="27" t="n">
        <f aca="false">MAX(0,GWL-L1291)</f>
        <v>2.80450274122489</v>
      </c>
      <c r="T1291" s="27" t="n">
        <f aca="false">MAX(0,NG-MAX(L1291,GWL))</f>
        <v>0.8</v>
      </c>
      <c r="U1291" s="27" t="n">
        <f aca="false">E1291+2*WS</f>
        <v>4.24900548244979</v>
      </c>
      <c r="V1291" s="27" t="n">
        <f aca="false">IF(Q1291="Shoring",D1291*M1291*U1291,0)</f>
        <v>123.649559307353</v>
      </c>
      <c r="W1291" s="27" t="n">
        <f aca="false">IF(Q1291="Open cut",D1291*(U1291*M1291+SLOPE_B*S1291^2+2*SLOPE_B*S1291*T1291+SLOPE_A*T1291^2),0)</f>
        <v>0</v>
      </c>
      <c r="X1291" s="27" t="n">
        <f aca="false">IF(M1291&gt;0,D1291*(E1291+2*SLABOVH)*SLAB,0)</f>
        <v>13.1153646463372</v>
      </c>
      <c r="Y1291" s="27" t="n">
        <f aca="false">IF(M1291&gt;0,D1291*PI()*E1291^2/4,0)</f>
        <v>32.0723535615943</v>
      </c>
      <c r="Z1291" s="27" t="n">
        <f aca="false">IF(H1291-E1291&gt;=GWL,99,E1291*(MAX(0,GWL-H1291)*(GAM_S-GAM_W)+MAX(0,NG-MAX(H1291,GWL))*GAM_D)/(GAM_W*PI()*E1291^2/4))</f>
        <v>0.857253554416595</v>
      </c>
      <c r="AA1291" s="27" t="n">
        <f aca="false">IF(I1291-E1291&gt;=GWL,99,E1291*(MAX(0,GWL-I1291)*(GAM_S-GAM_W)+MAX(0,NG-MAX(I1291,GWL))*GAM_D)/(GAM_W*PI()*E1291^2/4))</f>
        <v>0.857253554416595</v>
      </c>
      <c r="AB1291" s="27" t="n">
        <f aca="false">IF(H1291-E1291&gt;=GWL,99,E1291*(MAX(0,GWL-H1291)*(GAM_S-GAM_W)+MAX(0,FL-MAX(H1291,GWL))*GAM_D)/(GAM_W*PI()*E1291^2/4))</f>
        <v>2.62317761410733</v>
      </c>
      <c r="AC1291" s="27" t="n">
        <f aca="false">IF(I1291-E1291&gt;=GWL,99,E1291*(MAX(0,GWL-I1291)*(GAM_S-GAM_W)+MAX(0,FL-MAX(I1291,GWL))*GAM_D)/(GAM_W*PI()*E1291^2/4))</f>
        <v>2.62317761410733</v>
      </c>
    </row>
    <row r="1292" customFormat="false" ht="15" hidden="false" customHeight="false" outlineLevel="0" collapsed="false">
      <c r="A1292" s="25" t="s">
        <v>1936</v>
      </c>
      <c r="B1292" s="25" t="s">
        <v>1937</v>
      </c>
      <c r="C1292" s="25" t="s">
        <v>1938</v>
      </c>
      <c r="D1292" s="26" t="n">
        <v>1.80392000058673</v>
      </c>
      <c r="E1292" s="26" t="n">
        <v>2.27639861220404</v>
      </c>
      <c r="F1292" s="26" t="n">
        <v>-3.92819930610202</v>
      </c>
      <c r="G1292" s="26" t="n">
        <v>-3.92819930610202</v>
      </c>
      <c r="H1292" s="26" t="n">
        <v>-1.15180069389798</v>
      </c>
      <c r="I1292" s="26" t="n">
        <v>-1.15180069389798</v>
      </c>
      <c r="J1292" s="26" t="n">
        <v>19.95</v>
      </c>
      <c r="K1292" s="27" t="n">
        <f aca="false">MIN(F1292,G1292)</f>
        <v>-3.92819930610202</v>
      </c>
      <c r="L1292" s="27" t="n">
        <f aca="false">AVERAGE(F1292,G1292)</f>
        <v>-3.92819930610202</v>
      </c>
      <c r="M1292" s="27" t="n">
        <f aca="false">MAX(0,NG-L1292)</f>
        <v>3.22819930610202</v>
      </c>
      <c r="N1292" s="27" t="n">
        <f aca="false">MAX(0,GWL-K1292)</f>
        <v>2.42819930610202</v>
      </c>
      <c r="O1292" s="27" t="n">
        <f aca="false">MAX(0,NG-MAX(K1292,GWL))</f>
        <v>0.8</v>
      </c>
      <c r="P1292" s="27" t="n">
        <f aca="false">E1292/2+WS+SLOPE_A*O1292+SLOPE_B*N1292</f>
        <v>8.19459791830607</v>
      </c>
      <c r="Q1292" s="28" t="str">
        <f aca="false">IF(AND(P1292&lt;J1292,N1292&lt;=MAXOC),"Open cut","Shoring")</f>
        <v>Open cut</v>
      </c>
      <c r="R1292" s="27" t="n">
        <f aca="false">IF(Q1292="Shoring",D1292,0)</f>
        <v>0</v>
      </c>
      <c r="S1292" s="27" t="n">
        <f aca="false">MAX(0,GWL-L1292)</f>
        <v>2.42819930610202</v>
      </c>
      <c r="T1292" s="27" t="n">
        <f aca="false">MAX(0,NG-MAX(L1292,GWL))</f>
        <v>0.8</v>
      </c>
      <c r="U1292" s="27" t="n">
        <f aca="false">E1292+2*WS</f>
        <v>4.27639861220404</v>
      </c>
      <c r="V1292" s="27" t="n">
        <f aca="false">IF(Q1292="Shoring",D1292*M1292*U1292,0)</f>
        <v>0</v>
      </c>
      <c r="W1292" s="27" t="n">
        <f aca="false">IF(Q1292="Open cut",D1292*(U1292*M1292+SLOPE_B*S1292^2+2*SLOPE_B*S1292*T1292+SLOPE_A*T1292^2),0)</f>
        <v>61.9242596399286</v>
      </c>
      <c r="X1292" s="27" t="n">
        <f aca="false">IF(M1292&gt;0,D1292*(E1292+2*SLABOVH)*SLAB,0)</f>
        <v>2.95518049322474</v>
      </c>
      <c r="Y1292" s="27" t="n">
        <f aca="false">IF(M1292&gt;0,D1292*PI()*E1292^2/4,0)</f>
        <v>7.34182079088673</v>
      </c>
      <c r="Z1292" s="27" t="n">
        <f aca="false">IF(H1292-E1292&gt;=GWL,99,E1292*(MAX(0,GWL-H1292)*(GAM_S-GAM_W)+MAX(0,NG-MAX(H1292,GWL))*GAM_D)/(GAM_W*PI()*E1292^2/4))</f>
        <v>0.463673416829504</v>
      </c>
      <c r="AA1292" s="27" t="n">
        <f aca="false">IF(I1292-E1292&gt;=GWL,99,E1292*(MAX(0,GWL-I1292)*(GAM_S-GAM_W)+MAX(0,NG-MAX(I1292,GWL))*GAM_D)/(GAM_W*PI()*E1292^2/4))</f>
        <v>0.463673416829504</v>
      </c>
      <c r="AB1292" s="27" t="n">
        <f aca="false">IF(H1292-E1292&gt;=GWL,99,E1292*(MAX(0,GWL-H1292)*(GAM_S-GAM_W)+MAX(0,FL-MAX(H1292,GWL))*GAM_D)/(GAM_W*PI()*E1292^2/4))</f>
        <v>2.20834716181528</v>
      </c>
      <c r="AC1292" s="27" t="n">
        <f aca="false">IF(I1292-E1292&gt;=GWL,99,E1292*(MAX(0,GWL-I1292)*(GAM_S-GAM_W)+MAX(0,FL-MAX(I1292,GWL))*GAM_D)/(GAM_W*PI()*E1292^2/4))</f>
        <v>2.20834716181528</v>
      </c>
    </row>
    <row r="1293" customFormat="false" ht="15" hidden="false" customHeight="false" outlineLevel="0" collapsed="false">
      <c r="A1293" s="25" t="s">
        <v>1936</v>
      </c>
      <c r="B1293" s="25" t="s">
        <v>1937</v>
      </c>
      <c r="C1293" s="25" t="s">
        <v>1939</v>
      </c>
      <c r="D1293" s="26" t="n">
        <v>2.19998999982824</v>
      </c>
      <c r="E1293" s="26" t="n">
        <v>2.27639861220404</v>
      </c>
      <c r="F1293" s="26" t="n">
        <v>-3.92819930610202</v>
      </c>
      <c r="G1293" s="26" t="n">
        <v>-3.92819930610202</v>
      </c>
      <c r="H1293" s="26" t="n">
        <v>-1.15180069389798</v>
      </c>
      <c r="I1293" s="26" t="n">
        <v>-1.15180069389798</v>
      </c>
      <c r="J1293" s="26" t="n">
        <v>19.23</v>
      </c>
      <c r="K1293" s="27" t="n">
        <f aca="false">MIN(F1293,G1293)</f>
        <v>-3.92819930610202</v>
      </c>
      <c r="L1293" s="27" t="n">
        <f aca="false">AVERAGE(F1293,G1293)</f>
        <v>-3.92819930610202</v>
      </c>
      <c r="M1293" s="27" t="n">
        <f aca="false">MAX(0,NG-L1293)</f>
        <v>3.22819930610202</v>
      </c>
      <c r="N1293" s="27" t="n">
        <f aca="false">MAX(0,GWL-K1293)</f>
        <v>2.42819930610202</v>
      </c>
      <c r="O1293" s="27" t="n">
        <f aca="false">MAX(0,NG-MAX(K1293,GWL))</f>
        <v>0.8</v>
      </c>
      <c r="P1293" s="27" t="n">
        <f aca="false">E1293/2+WS+SLOPE_A*O1293+SLOPE_B*N1293</f>
        <v>8.19459791830607</v>
      </c>
      <c r="Q1293" s="28" t="str">
        <f aca="false">IF(AND(P1293&lt;J1293,N1293&lt;=MAXOC),"Open cut","Shoring")</f>
        <v>Open cut</v>
      </c>
      <c r="R1293" s="27" t="n">
        <f aca="false">IF(Q1293="Shoring",D1293,0)</f>
        <v>0</v>
      </c>
      <c r="S1293" s="27" t="n">
        <f aca="false">MAX(0,GWL-L1293)</f>
        <v>2.42819930610202</v>
      </c>
      <c r="T1293" s="27" t="n">
        <f aca="false">MAX(0,NG-MAX(L1293,GWL))</f>
        <v>0.8</v>
      </c>
      <c r="U1293" s="27" t="n">
        <f aca="false">E1293+2*WS</f>
        <v>4.27639861220404</v>
      </c>
      <c r="V1293" s="27" t="n">
        <f aca="false">IF(Q1293="Shoring",D1293*M1293*U1293,0)</f>
        <v>0</v>
      </c>
      <c r="W1293" s="27" t="n">
        <f aca="false">IF(Q1293="Open cut",D1293*(U1293*M1293+SLOPE_B*S1293^2+2*SLOPE_B*S1293*T1293+SLOPE_A*T1293^2),0)</f>
        <v>75.5203955332278</v>
      </c>
      <c r="X1293" s="27" t="n">
        <f aca="false">IF(M1293&gt;0,D1293*(E1293+2*SLABOVH)*SLAB,0)</f>
        <v>3.60402209115001</v>
      </c>
      <c r="Y1293" s="27" t="n">
        <f aca="false">IF(M1293&gt;0,D1293*PI()*E1293^2/4,0)</f>
        <v>8.95379635196041</v>
      </c>
      <c r="Z1293" s="27" t="n">
        <f aca="false">IF(H1293-E1293&gt;=GWL,99,E1293*(MAX(0,GWL-H1293)*(GAM_S-GAM_W)+MAX(0,NG-MAX(H1293,GWL))*GAM_D)/(GAM_W*PI()*E1293^2/4))</f>
        <v>0.463673416829504</v>
      </c>
      <c r="AA1293" s="27" t="n">
        <f aca="false">IF(I1293-E1293&gt;=GWL,99,E1293*(MAX(0,GWL-I1293)*(GAM_S-GAM_W)+MAX(0,NG-MAX(I1293,GWL))*GAM_D)/(GAM_W*PI()*E1293^2/4))</f>
        <v>0.463673416829504</v>
      </c>
      <c r="AB1293" s="27" t="n">
        <f aca="false">IF(H1293-E1293&gt;=GWL,99,E1293*(MAX(0,GWL-H1293)*(GAM_S-GAM_W)+MAX(0,FL-MAX(H1293,GWL))*GAM_D)/(GAM_W*PI()*E1293^2/4))</f>
        <v>2.20834716181528</v>
      </c>
      <c r="AC1293" s="27" t="n">
        <f aca="false">IF(I1293-E1293&gt;=GWL,99,E1293*(MAX(0,GWL-I1293)*(GAM_S-GAM_W)+MAX(0,FL-MAX(I1293,GWL))*GAM_D)/(GAM_W*PI()*E1293^2/4))</f>
        <v>2.20834716181528</v>
      </c>
    </row>
    <row r="1294" customFormat="false" ht="15" hidden="false" customHeight="false" outlineLevel="0" collapsed="false">
      <c r="A1294" s="25" t="s">
        <v>1936</v>
      </c>
      <c r="B1294" s="25" t="s">
        <v>1937</v>
      </c>
      <c r="C1294" s="25" t="s">
        <v>1940</v>
      </c>
      <c r="D1294" s="26" t="n">
        <v>2.20001721907811</v>
      </c>
      <c r="E1294" s="26" t="n">
        <v>2.24899394743954</v>
      </c>
      <c r="F1294" s="26" t="n">
        <v>-3.91449697371977</v>
      </c>
      <c r="G1294" s="26" t="n">
        <v>-3.91449697371977</v>
      </c>
      <c r="H1294" s="26" t="n">
        <v>-1.16550302628023</v>
      </c>
      <c r="I1294" s="26" t="n">
        <v>-1.16550302628023</v>
      </c>
      <c r="J1294" s="26" t="n">
        <v>17.47</v>
      </c>
      <c r="K1294" s="27" t="n">
        <f aca="false">MIN(F1294,G1294)</f>
        <v>-3.91449697371977</v>
      </c>
      <c r="L1294" s="27" t="n">
        <f aca="false">AVERAGE(F1294,G1294)</f>
        <v>-3.91449697371977</v>
      </c>
      <c r="M1294" s="27" t="n">
        <f aca="false">MAX(0,NG-L1294)</f>
        <v>3.21449697371977</v>
      </c>
      <c r="N1294" s="27" t="n">
        <f aca="false">MAX(0,GWL-K1294)</f>
        <v>2.41449697371977</v>
      </c>
      <c r="O1294" s="27" t="n">
        <f aca="false">MAX(0,NG-MAX(K1294,GWL))</f>
        <v>0.8</v>
      </c>
      <c r="P1294" s="27" t="n">
        <f aca="false">E1294/2+WS+SLOPE_A*O1294+SLOPE_B*N1294</f>
        <v>8.15349092115931</v>
      </c>
      <c r="Q1294" s="28" t="str">
        <f aca="false">IF(AND(P1294&lt;J1294,N1294&lt;=MAXOC),"Open cut","Shoring")</f>
        <v>Open cut</v>
      </c>
      <c r="R1294" s="27" t="n">
        <f aca="false">IF(Q1294="Shoring",D1294,0)</f>
        <v>0</v>
      </c>
      <c r="S1294" s="27" t="n">
        <f aca="false">MAX(0,GWL-L1294)</f>
        <v>2.41449697371977</v>
      </c>
      <c r="T1294" s="27" t="n">
        <f aca="false">MAX(0,NG-MAX(L1294,GWL))</f>
        <v>0.8</v>
      </c>
      <c r="U1294" s="27" t="n">
        <f aca="false">E1294+2*WS</f>
        <v>4.24899394743954</v>
      </c>
      <c r="V1294" s="27" t="n">
        <f aca="false">IF(Q1294="Shoring",D1294*M1294*U1294,0)</f>
        <v>0</v>
      </c>
      <c r="W1294" s="27" t="n">
        <f aca="false">IF(Q1294="Open cut",D1294*(U1294*M1294+SLOPE_B*S1294^2+2*SLOPE_B*S1294*T1294+SLOPE_A*T1294^2),0)</f>
        <v>74.8101770254384</v>
      </c>
      <c r="X1294" s="27" t="n">
        <f aca="false">IF(M1294&gt;0,D1294*(E1294+2*SLABOVH)*SLAB,0)</f>
        <v>3.57392131452378</v>
      </c>
      <c r="Y1294" s="27" t="n">
        <f aca="false">IF(M1294&gt;0,D1294*PI()*E1294^2/4,0)</f>
        <v>8.73961969373437</v>
      </c>
      <c r="Z1294" s="27" t="n">
        <f aca="false">IF(H1294-E1294&gt;=GWL,99,E1294*(MAX(0,GWL-H1294)*(GAM_S-GAM_W)+MAX(0,NG-MAX(H1294,GWL))*GAM_D)/(GAM_W*PI()*E1294^2/4))</f>
        <v>0.483557182468526</v>
      </c>
      <c r="AA1294" s="27" t="n">
        <f aca="false">IF(I1294-E1294&gt;=GWL,99,E1294*(MAX(0,GWL-I1294)*(GAM_S-GAM_W)+MAX(0,NG-MAX(I1294,GWL))*GAM_D)/(GAM_W*PI()*E1294^2/4))</f>
        <v>0.483557182468526</v>
      </c>
      <c r="AB1294" s="27" t="n">
        <f aca="false">IF(H1294-E1294&gt;=GWL,99,E1294*(MAX(0,GWL-H1294)*(GAM_S-GAM_W)+MAX(0,FL-MAX(H1294,GWL))*GAM_D)/(GAM_W*PI()*E1294^2/4))</f>
        <v>2.24949029952118</v>
      </c>
      <c r="AC1294" s="27" t="n">
        <f aca="false">IF(I1294-E1294&gt;=GWL,99,E1294*(MAX(0,GWL-I1294)*(GAM_S-GAM_W)+MAX(0,FL-MAX(I1294,GWL))*GAM_D)/(GAM_W*PI()*E1294^2/4))</f>
        <v>2.24949029952118</v>
      </c>
    </row>
    <row r="1295" customFormat="false" ht="15" hidden="false" customHeight="false" outlineLevel="0" collapsed="false">
      <c r="A1295" s="25" t="s">
        <v>1936</v>
      </c>
      <c r="B1295" s="25" t="s">
        <v>1937</v>
      </c>
      <c r="C1295" s="25" t="s">
        <v>1941</v>
      </c>
      <c r="D1295" s="26" t="n">
        <v>1.4709765866342</v>
      </c>
      <c r="E1295" s="26" t="n">
        <v>2.24899394743954</v>
      </c>
      <c r="F1295" s="26" t="n">
        <v>-3.91449697371977</v>
      </c>
      <c r="G1295" s="26" t="n">
        <v>-3.91449697371977</v>
      </c>
      <c r="H1295" s="26" t="n">
        <v>-1.16550302628023</v>
      </c>
      <c r="I1295" s="26" t="n">
        <v>-1.16550302628023</v>
      </c>
      <c r="J1295" s="26" t="n">
        <v>16.31</v>
      </c>
      <c r="K1295" s="27" t="n">
        <f aca="false">MIN(F1295,G1295)</f>
        <v>-3.91449697371977</v>
      </c>
      <c r="L1295" s="27" t="n">
        <f aca="false">AVERAGE(F1295,G1295)</f>
        <v>-3.91449697371977</v>
      </c>
      <c r="M1295" s="27" t="n">
        <f aca="false">MAX(0,NG-L1295)</f>
        <v>3.21449697371977</v>
      </c>
      <c r="N1295" s="27" t="n">
        <f aca="false">MAX(0,GWL-K1295)</f>
        <v>2.41449697371977</v>
      </c>
      <c r="O1295" s="27" t="n">
        <f aca="false">MAX(0,NG-MAX(K1295,GWL))</f>
        <v>0.8</v>
      </c>
      <c r="P1295" s="27" t="n">
        <f aca="false">E1295/2+WS+SLOPE_A*O1295+SLOPE_B*N1295</f>
        <v>8.15349092115931</v>
      </c>
      <c r="Q1295" s="28" t="str">
        <f aca="false">IF(AND(P1295&lt;J1295,N1295&lt;=MAXOC),"Open cut","Shoring")</f>
        <v>Open cut</v>
      </c>
      <c r="R1295" s="27" t="n">
        <f aca="false">IF(Q1295="Shoring",D1295,0)</f>
        <v>0</v>
      </c>
      <c r="S1295" s="27" t="n">
        <f aca="false">MAX(0,GWL-L1295)</f>
        <v>2.41449697371977</v>
      </c>
      <c r="T1295" s="27" t="n">
        <f aca="false">MAX(0,NG-MAX(L1295,GWL))</f>
        <v>0.8</v>
      </c>
      <c r="U1295" s="27" t="n">
        <f aca="false">E1295+2*WS</f>
        <v>4.24899394743954</v>
      </c>
      <c r="V1295" s="27" t="n">
        <f aca="false">IF(Q1295="Shoring",D1295*M1295*U1295,0)</f>
        <v>0</v>
      </c>
      <c r="W1295" s="27" t="n">
        <f aca="false">IF(Q1295="Open cut",D1295*(U1295*M1295+SLOPE_B*S1295^2+2*SLOPE_B*S1295*T1295+SLOPE_A*T1295^2),0)</f>
        <v>50.0196170703119</v>
      </c>
      <c r="X1295" s="27" t="n">
        <f aca="false">IF(M1295&gt;0,D1295*(E1295+2*SLABOVH)*SLAB,0)</f>
        <v>2.38959701339989</v>
      </c>
      <c r="Y1295" s="27" t="n">
        <f aca="false">IF(M1295&gt;0,D1295*PI()*E1295^2/4,0)</f>
        <v>5.84348878458208</v>
      </c>
      <c r="Z1295" s="27" t="n">
        <f aca="false">IF(H1295-E1295&gt;=GWL,99,E1295*(MAX(0,GWL-H1295)*(GAM_S-GAM_W)+MAX(0,NG-MAX(H1295,GWL))*GAM_D)/(GAM_W*PI()*E1295^2/4))</f>
        <v>0.483557182468526</v>
      </c>
      <c r="AA1295" s="27" t="n">
        <f aca="false">IF(I1295-E1295&gt;=GWL,99,E1295*(MAX(0,GWL-I1295)*(GAM_S-GAM_W)+MAX(0,NG-MAX(I1295,GWL))*GAM_D)/(GAM_W*PI()*E1295^2/4))</f>
        <v>0.483557182468526</v>
      </c>
      <c r="AB1295" s="27" t="n">
        <f aca="false">IF(H1295-E1295&gt;=GWL,99,E1295*(MAX(0,GWL-H1295)*(GAM_S-GAM_W)+MAX(0,FL-MAX(H1295,GWL))*GAM_D)/(GAM_W*PI()*E1295^2/4))</f>
        <v>2.24949029952118</v>
      </c>
      <c r="AC1295" s="27" t="n">
        <f aca="false">IF(I1295-E1295&gt;=GWL,99,E1295*(MAX(0,GWL-I1295)*(GAM_S-GAM_W)+MAX(0,FL-MAX(I1295,GWL))*GAM_D)/(GAM_W*PI()*E1295^2/4))</f>
        <v>2.24949029952118</v>
      </c>
    </row>
    <row r="1296" customFormat="false" ht="15" hidden="false" customHeight="false" outlineLevel="0" collapsed="false">
      <c r="A1296" s="25" t="s">
        <v>1936</v>
      </c>
      <c r="B1296" s="25" t="s">
        <v>1937</v>
      </c>
      <c r="C1296" s="25" t="s">
        <v>1942</v>
      </c>
      <c r="D1296" s="26" t="n">
        <v>0.686723165181167</v>
      </c>
      <c r="E1296" s="26" t="n">
        <v>2.20578090566817</v>
      </c>
      <c r="F1296" s="26" t="n">
        <v>-3.89289045283409</v>
      </c>
      <c r="G1296" s="26" t="n">
        <v>-3.89289045283409</v>
      </c>
      <c r="H1296" s="26" t="n">
        <v>-1.18710954716592</v>
      </c>
      <c r="I1296" s="26" t="n">
        <v>-1.18710954716592</v>
      </c>
      <c r="J1296" s="26" t="n">
        <v>15.87</v>
      </c>
      <c r="K1296" s="27" t="n">
        <f aca="false">MIN(F1296,G1296)</f>
        <v>-3.89289045283409</v>
      </c>
      <c r="L1296" s="27" t="n">
        <f aca="false">AVERAGE(F1296,G1296)</f>
        <v>-3.89289045283409</v>
      </c>
      <c r="M1296" s="27" t="n">
        <f aca="false">MAX(0,NG-L1296)</f>
        <v>3.19289045283409</v>
      </c>
      <c r="N1296" s="27" t="n">
        <f aca="false">MAX(0,GWL-K1296)</f>
        <v>2.39289045283409</v>
      </c>
      <c r="O1296" s="27" t="n">
        <f aca="false">MAX(0,NG-MAX(K1296,GWL))</f>
        <v>0.8</v>
      </c>
      <c r="P1296" s="27" t="n">
        <f aca="false">E1296/2+WS+SLOPE_A*O1296+SLOPE_B*N1296</f>
        <v>8.08867135850226</v>
      </c>
      <c r="Q1296" s="28" t="str">
        <f aca="false">IF(AND(P1296&lt;J1296,N1296&lt;=MAXOC),"Open cut","Shoring")</f>
        <v>Open cut</v>
      </c>
      <c r="R1296" s="27" t="n">
        <f aca="false">IF(Q1296="Shoring",D1296,0)</f>
        <v>0</v>
      </c>
      <c r="S1296" s="27" t="n">
        <f aca="false">MAX(0,GWL-L1296)</f>
        <v>2.39289045283409</v>
      </c>
      <c r="T1296" s="27" t="n">
        <f aca="false">MAX(0,NG-MAX(L1296,GWL))</f>
        <v>0.8</v>
      </c>
      <c r="U1296" s="27" t="n">
        <f aca="false">E1296+2*WS</f>
        <v>4.20578090566817</v>
      </c>
      <c r="V1296" s="27" t="n">
        <f aca="false">IF(Q1296="Shoring",D1296*M1296*U1296,0)</f>
        <v>0</v>
      </c>
      <c r="W1296" s="27" t="n">
        <f aca="false">IF(Q1296="Open cut",D1296*(U1296*M1296+SLOPE_B*S1296^2+2*SLOPE_B*S1296*T1296+SLOPE_A*T1296^2),0)</f>
        <v>23.003644227202</v>
      </c>
      <c r="X1296" s="27" t="n">
        <f aca="false">IF(M1296&gt;0,D1296*(E1296+2*SLABOVH)*SLAB,0)</f>
        <v>1.1007420052089</v>
      </c>
      <c r="Y1296" s="27" t="n">
        <f aca="false">IF(M1296&gt;0,D1296*PI()*E1296^2/4,0)</f>
        <v>2.62419633673231</v>
      </c>
      <c r="Z1296" s="27" t="n">
        <f aca="false">IF(H1296-E1296&gt;=GWL,99,E1296*(MAX(0,GWL-H1296)*(GAM_S-GAM_W)+MAX(0,NG-MAX(H1296,GWL))*GAM_D)/(GAM_W*PI()*E1296^2/4))</f>
        <v>0.515914679389696</v>
      </c>
      <c r="AA1296" s="27" t="n">
        <f aca="false">IF(I1296-E1296&gt;=GWL,99,E1296*(MAX(0,GWL-I1296)*(GAM_S-GAM_W)+MAX(0,NG-MAX(I1296,GWL))*GAM_D)/(GAM_W*PI()*E1296^2/4))</f>
        <v>0.515914679389696</v>
      </c>
      <c r="AB1296" s="27" t="n">
        <f aca="false">IF(H1296-E1296&gt;=GWL,99,E1296*(MAX(0,GWL-H1296)*(GAM_S-GAM_W)+MAX(0,FL-MAX(H1296,GWL))*GAM_D)/(GAM_W*PI()*E1296^2/4))</f>
        <v>2.31644386233291</v>
      </c>
      <c r="AC1296" s="27" t="n">
        <f aca="false">IF(I1296-E1296&gt;=GWL,99,E1296*(MAX(0,GWL-I1296)*(GAM_S-GAM_W)+MAX(0,FL-MAX(I1296,GWL))*GAM_D)/(GAM_W*PI()*E1296^2/4))</f>
        <v>2.31644386233291</v>
      </c>
    </row>
    <row r="1297" customFormat="false" ht="15" hidden="false" customHeight="false" outlineLevel="0" collapsed="false">
      <c r="A1297" s="25" t="s">
        <v>1936</v>
      </c>
      <c r="B1297" s="25" t="s">
        <v>1937</v>
      </c>
      <c r="C1297" s="25" t="s">
        <v>1943</v>
      </c>
      <c r="D1297" s="26" t="n">
        <v>0.686561101406093</v>
      </c>
      <c r="E1297" s="26" t="n">
        <v>2.20578599890906</v>
      </c>
      <c r="F1297" s="26" t="n">
        <v>-3.89289299945453</v>
      </c>
      <c r="G1297" s="26" t="n">
        <v>-3.89289299945453</v>
      </c>
      <c r="H1297" s="26" t="n">
        <v>-1.18710700054547</v>
      </c>
      <c r="I1297" s="26" t="n">
        <v>-1.18710700054547</v>
      </c>
      <c r="J1297" s="26" t="n">
        <v>15.68</v>
      </c>
      <c r="K1297" s="27" t="n">
        <f aca="false">MIN(F1297,G1297)</f>
        <v>-3.89289299945453</v>
      </c>
      <c r="L1297" s="27" t="n">
        <f aca="false">AVERAGE(F1297,G1297)</f>
        <v>-3.89289299945453</v>
      </c>
      <c r="M1297" s="27" t="n">
        <f aca="false">MAX(0,NG-L1297)</f>
        <v>3.19289299945453</v>
      </c>
      <c r="N1297" s="27" t="n">
        <f aca="false">MAX(0,GWL-K1297)</f>
        <v>2.39289299945453</v>
      </c>
      <c r="O1297" s="27" t="n">
        <f aca="false">MAX(0,NG-MAX(K1297,GWL))</f>
        <v>0.8</v>
      </c>
      <c r="P1297" s="27" t="n">
        <f aca="false">E1297/2+WS+SLOPE_A*O1297+SLOPE_B*N1297</f>
        <v>8.08867899836359</v>
      </c>
      <c r="Q1297" s="28" t="str">
        <f aca="false">IF(AND(P1297&lt;J1297,N1297&lt;=MAXOC),"Open cut","Shoring")</f>
        <v>Open cut</v>
      </c>
      <c r="R1297" s="27" t="n">
        <f aca="false">IF(Q1297="Shoring",D1297,0)</f>
        <v>0</v>
      </c>
      <c r="S1297" s="27" t="n">
        <f aca="false">MAX(0,GWL-L1297)</f>
        <v>2.39289299945453</v>
      </c>
      <c r="T1297" s="27" t="n">
        <f aca="false">MAX(0,NG-MAX(L1297,GWL))</f>
        <v>0.8</v>
      </c>
      <c r="U1297" s="27" t="n">
        <f aca="false">E1297+2*WS</f>
        <v>4.20578599890906</v>
      </c>
      <c r="V1297" s="27" t="n">
        <f aca="false">IF(Q1297="Shoring",D1297*M1297*U1297,0)</f>
        <v>0</v>
      </c>
      <c r="W1297" s="27" t="n">
        <f aca="false">IF(Q1297="Open cut",D1297*(U1297*M1297+SLOPE_B*S1297^2+2*SLOPE_B*S1297*T1297+SLOPE_A*T1297^2),0)</f>
        <v>22.998256312386</v>
      </c>
      <c r="X1297" s="27" t="n">
        <f aca="false">IF(M1297&gt;0,D1297*(E1297+2*SLABOVH)*SLAB,0)</f>
        <v>1.10048398314162</v>
      </c>
      <c r="Y1297" s="27" t="n">
        <f aca="false">IF(M1297&gt;0,D1297*PI()*E1297^2/4,0)</f>
        <v>2.62358915336123</v>
      </c>
      <c r="Z1297" s="27" t="n">
        <f aca="false">IF(H1297-E1297&gt;=GWL,99,E1297*(MAX(0,GWL-H1297)*(GAM_S-GAM_W)+MAX(0,NG-MAX(H1297,GWL))*GAM_D)/(GAM_W*PI()*E1297^2/4))</f>
        <v>0.51591079091561</v>
      </c>
      <c r="AA1297" s="27" t="n">
        <f aca="false">IF(I1297-E1297&gt;=GWL,99,E1297*(MAX(0,GWL-I1297)*(GAM_S-GAM_W)+MAX(0,NG-MAX(I1297,GWL))*GAM_D)/(GAM_W*PI()*E1297^2/4))</f>
        <v>0.51591079091561</v>
      </c>
      <c r="AB1297" s="27" t="n">
        <f aca="false">IF(H1297-E1297&gt;=GWL,99,E1297*(MAX(0,GWL-H1297)*(GAM_S-GAM_W)+MAX(0,FL-MAX(H1297,GWL))*GAM_D)/(GAM_W*PI()*E1297^2/4))</f>
        <v>2.31643581637081</v>
      </c>
      <c r="AC1297" s="27" t="n">
        <f aca="false">IF(I1297-E1297&gt;=GWL,99,E1297*(MAX(0,GWL-I1297)*(GAM_S-GAM_W)+MAX(0,FL-MAX(I1297,GWL))*GAM_D)/(GAM_W*PI()*E1297^2/4))</f>
        <v>2.31643581637081</v>
      </c>
    </row>
    <row r="1298" customFormat="false" ht="15" hidden="false" customHeight="false" outlineLevel="0" collapsed="false">
      <c r="A1298" s="25" t="s">
        <v>1936</v>
      </c>
      <c r="B1298" s="25" t="s">
        <v>1937</v>
      </c>
      <c r="C1298" s="25" t="s">
        <v>1944</v>
      </c>
      <c r="D1298" s="26" t="n">
        <v>0.951811927783224</v>
      </c>
      <c r="E1298" s="26" t="n">
        <v>2.24899883217454</v>
      </c>
      <c r="F1298" s="26" t="n">
        <v>-3.91449941608727</v>
      </c>
      <c r="G1298" s="26" t="n">
        <v>-3.91449941608727</v>
      </c>
      <c r="H1298" s="26" t="n">
        <v>-1.16550058391273</v>
      </c>
      <c r="I1298" s="26" t="n">
        <v>-1.16550058391273</v>
      </c>
      <c r="J1298" s="26" t="n">
        <v>15.61</v>
      </c>
      <c r="K1298" s="27" t="n">
        <f aca="false">MIN(F1298,G1298)</f>
        <v>-3.91449941608727</v>
      </c>
      <c r="L1298" s="27" t="n">
        <f aca="false">AVERAGE(F1298,G1298)</f>
        <v>-3.91449941608727</v>
      </c>
      <c r="M1298" s="27" t="n">
        <f aca="false">MAX(0,NG-L1298)</f>
        <v>3.21449941608727</v>
      </c>
      <c r="N1298" s="27" t="n">
        <f aca="false">MAX(0,GWL-K1298)</f>
        <v>2.41449941608727</v>
      </c>
      <c r="O1298" s="27" t="n">
        <f aca="false">MAX(0,NG-MAX(K1298,GWL))</f>
        <v>0.8</v>
      </c>
      <c r="P1298" s="27" t="n">
        <f aca="false">E1298/2+WS+SLOPE_A*O1298+SLOPE_B*N1298</f>
        <v>8.15349824826181</v>
      </c>
      <c r="Q1298" s="28" t="str">
        <f aca="false">IF(AND(P1298&lt;J1298,N1298&lt;=MAXOC),"Open cut","Shoring")</f>
        <v>Open cut</v>
      </c>
      <c r="R1298" s="27" t="n">
        <f aca="false">IF(Q1298="Shoring",D1298,0)</f>
        <v>0</v>
      </c>
      <c r="S1298" s="27" t="n">
        <f aca="false">MAX(0,GWL-L1298)</f>
        <v>2.41449941608727</v>
      </c>
      <c r="T1298" s="27" t="n">
        <f aca="false">MAX(0,NG-MAX(L1298,GWL))</f>
        <v>0.8</v>
      </c>
      <c r="U1298" s="27" t="n">
        <f aca="false">E1298+2*WS</f>
        <v>4.24899883217454</v>
      </c>
      <c r="V1298" s="27" t="n">
        <f aca="false">IF(Q1298="Shoring",D1298*M1298*U1298,0)</f>
        <v>0</v>
      </c>
      <c r="W1298" s="27" t="n">
        <f aca="false">IF(Q1298="Open cut",D1298*(U1298*M1298+SLOPE_B*S1298^2+2*SLOPE_B*S1298*T1298+SLOPE_A*T1298^2),0)</f>
        <v>32.3658099425601</v>
      </c>
      <c r="X1298" s="27" t="n">
        <f aca="false">IF(M1298&gt;0,D1298*(E1298+2*SLABOVH)*SLAB,0)</f>
        <v>1.54621792090874</v>
      </c>
      <c r="Y1298" s="27" t="n">
        <f aca="false">IF(M1298&gt;0,D1298*PI()*E1298^2/4,0)</f>
        <v>3.7811114983782</v>
      </c>
      <c r="Z1298" s="27" t="n">
        <f aca="false">IF(H1298-E1298&gt;=GWL,99,E1298*(MAX(0,GWL-H1298)*(GAM_S-GAM_W)+MAX(0,NG-MAX(H1298,GWL))*GAM_D)/(GAM_W*PI()*E1298^2/4))</f>
        <v>0.48355359511455</v>
      </c>
      <c r="AA1298" s="27" t="n">
        <f aca="false">IF(I1298-E1298&gt;=GWL,99,E1298*(MAX(0,GWL-I1298)*(GAM_S-GAM_W)+MAX(0,NG-MAX(I1298,GWL))*GAM_D)/(GAM_W*PI()*E1298^2/4))</f>
        <v>0.48355359511455</v>
      </c>
      <c r="AB1298" s="27" t="n">
        <f aca="false">IF(H1298-E1298&gt;=GWL,99,E1298*(MAX(0,GWL-H1298)*(GAM_S-GAM_W)+MAX(0,FL-MAX(H1298,GWL))*GAM_D)/(GAM_W*PI()*E1298^2/4))</f>
        <v>2.24948287663151</v>
      </c>
      <c r="AC1298" s="27" t="n">
        <f aca="false">IF(I1298-E1298&gt;=GWL,99,E1298*(MAX(0,GWL-I1298)*(GAM_S-GAM_W)+MAX(0,FL-MAX(I1298,GWL))*GAM_D)/(GAM_W*PI()*E1298^2/4))</f>
        <v>2.24948287663151</v>
      </c>
    </row>
    <row r="1299" customFormat="false" ht="15" hidden="false" customHeight="false" outlineLevel="0" collapsed="false">
      <c r="A1299" s="25" t="s">
        <v>1936</v>
      </c>
      <c r="B1299" s="25" t="s">
        <v>1937</v>
      </c>
      <c r="C1299" s="25" t="s">
        <v>1945</v>
      </c>
      <c r="D1299" s="26" t="n">
        <v>0.519139761521583</v>
      </c>
      <c r="E1299" s="26" t="n">
        <v>2.24899883217454</v>
      </c>
      <c r="F1299" s="26" t="n">
        <v>-3.91449941608727</v>
      </c>
      <c r="G1299" s="26" t="n">
        <v>-3.91449941608727</v>
      </c>
      <c r="H1299" s="26" t="n">
        <v>-1.16550058391273</v>
      </c>
      <c r="I1299" s="26" t="n">
        <v>-1.16550058391273</v>
      </c>
      <c r="J1299" s="26" t="n">
        <v>15.58</v>
      </c>
      <c r="K1299" s="27" t="n">
        <f aca="false">MIN(F1299,G1299)</f>
        <v>-3.91449941608727</v>
      </c>
      <c r="L1299" s="27" t="n">
        <f aca="false">AVERAGE(F1299,G1299)</f>
        <v>-3.91449941608727</v>
      </c>
      <c r="M1299" s="27" t="n">
        <f aca="false">MAX(0,NG-L1299)</f>
        <v>3.21449941608727</v>
      </c>
      <c r="N1299" s="27" t="n">
        <f aca="false">MAX(0,GWL-K1299)</f>
        <v>2.41449941608727</v>
      </c>
      <c r="O1299" s="27" t="n">
        <f aca="false">MAX(0,NG-MAX(K1299,GWL))</f>
        <v>0.8</v>
      </c>
      <c r="P1299" s="27" t="n">
        <f aca="false">E1299/2+WS+SLOPE_A*O1299+SLOPE_B*N1299</f>
        <v>8.15349824826181</v>
      </c>
      <c r="Q1299" s="28" t="str">
        <f aca="false">IF(AND(P1299&lt;J1299,N1299&lt;=MAXOC),"Open cut","Shoring")</f>
        <v>Open cut</v>
      </c>
      <c r="R1299" s="27" t="n">
        <f aca="false">IF(Q1299="Shoring",D1299,0)</f>
        <v>0</v>
      </c>
      <c r="S1299" s="27" t="n">
        <f aca="false">MAX(0,GWL-L1299)</f>
        <v>2.41449941608727</v>
      </c>
      <c r="T1299" s="27" t="n">
        <f aca="false">MAX(0,NG-MAX(L1299,GWL))</f>
        <v>0.8</v>
      </c>
      <c r="U1299" s="27" t="n">
        <f aca="false">E1299+2*WS</f>
        <v>4.24899883217454</v>
      </c>
      <c r="V1299" s="27" t="n">
        <f aca="false">IF(Q1299="Shoring",D1299*M1299*U1299,0)</f>
        <v>0</v>
      </c>
      <c r="W1299" s="27" t="n">
        <f aca="false">IF(Q1299="Open cut",D1299*(U1299*M1299+SLOPE_B*S1299^2+2*SLOPE_B*S1299*T1299+SLOPE_A*T1299^2),0)</f>
        <v>17.6530450654956</v>
      </c>
      <c r="X1299" s="27" t="n">
        <f aca="false">IF(M1299&gt;0,D1299*(E1299+2*SLABOVH)*SLAB,0)</f>
        <v>0.843342239459495</v>
      </c>
      <c r="Y1299" s="27" t="n">
        <f aca="false">IF(M1299&gt;0,D1299*PI()*E1299^2/4,0)</f>
        <v>2.06230376428066</v>
      </c>
      <c r="Z1299" s="27" t="n">
        <f aca="false">IF(H1299-E1299&gt;=GWL,99,E1299*(MAX(0,GWL-H1299)*(GAM_S-GAM_W)+MAX(0,NG-MAX(H1299,GWL))*GAM_D)/(GAM_W*PI()*E1299^2/4))</f>
        <v>0.48355359511455</v>
      </c>
      <c r="AA1299" s="27" t="n">
        <f aca="false">IF(I1299-E1299&gt;=GWL,99,E1299*(MAX(0,GWL-I1299)*(GAM_S-GAM_W)+MAX(0,NG-MAX(I1299,GWL))*GAM_D)/(GAM_W*PI()*E1299^2/4))</f>
        <v>0.48355359511455</v>
      </c>
      <c r="AB1299" s="27" t="n">
        <f aca="false">IF(H1299-E1299&gt;=GWL,99,E1299*(MAX(0,GWL-H1299)*(GAM_S-GAM_W)+MAX(0,FL-MAX(H1299,GWL))*GAM_D)/(GAM_W*PI()*E1299^2/4))</f>
        <v>2.24948287663151</v>
      </c>
      <c r="AC1299" s="27" t="n">
        <f aca="false">IF(I1299-E1299&gt;=GWL,99,E1299*(MAX(0,GWL-I1299)*(GAM_S-GAM_W)+MAX(0,FL-MAX(I1299,GWL))*GAM_D)/(GAM_W*PI()*E1299^2/4))</f>
        <v>2.24948287663151</v>
      </c>
    </row>
    <row r="1300" customFormat="false" ht="15" hidden="false" customHeight="false" outlineLevel="0" collapsed="false">
      <c r="A1300" s="25" t="s">
        <v>1936</v>
      </c>
      <c r="B1300" s="25" t="s">
        <v>1946</v>
      </c>
      <c r="C1300" s="25" t="s">
        <v>1947</v>
      </c>
      <c r="D1300" s="26" t="n">
        <v>9.48086023869514</v>
      </c>
      <c r="E1300" s="26" t="n">
        <v>2.27639788623891</v>
      </c>
      <c r="F1300" s="26" t="n">
        <v>-3.92819894311945</v>
      </c>
      <c r="G1300" s="26" t="n">
        <v>-4.04399058092023</v>
      </c>
      <c r="H1300" s="26" t="n">
        <v>-1.15180105688055</v>
      </c>
      <c r="I1300" s="26" t="n">
        <v>-1.26759269468133</v>
      </c>
      <c r="J1300" s="26" t="n">
        <v>15.53</v>
      </c>
      <c r="K1300" s="27" t="n">
        <f aca="false">MIN(F1300,G1300)</f>
        <v>-4.04399058092023</v>
      </c>
      <c r="L1300" s="27" t="n">
        <f aca="false">AVERAGE(F1300,G1300)</f>
        <v>-3.98609476201984</v>
      </c>
      <c r="M1300" s="27" t="n">
        <f aca="false">MAX(0,NG-L1300)</f>
        <v>3.28609476201984</v>
      </c>
      <c r="N1300" s="27" t="n">
        <f aca="false">MAX(0,GWL-K1300)</f>
        <v>2.54399058092023</v>
      </c>
      <c r="O1300" s="27" t="n">
        <f aca="false">MAX(0,NG-MAX(K1300,GWL))</f>
        <v>0.8</v>
      </c>
      <c r="P1300" s="27" t="n">
        <f aca="false">E1300/2+WS+SLOPE_A*O1300+SLOPE_B*N1300</f>
        <v>8.42618010495992</v>
      </c>
      <c r="Q1300" s="28" t="str">
        <f aca="false">IF(AND(P1300&lt;J1300,N1300&lt;=MAXOC),"Open cut","Shoring")</f>
        <v>Shoring</v>
      </c>
      <c r="R1300" s="27" t="n">
        <f aca="false">IF(Q1300="Shoring",D1300,0)</f>
        <v>9.48086023869514</v>
      </c>
      <c r="S1300" s="27" t="n">
        <f aca="false">MAX(0,GWL-L1300)</f>
        <v>2.48609476201984</v>
      </c>
      <c r="T1300" s="27" t="n">
        <f aca="false">MAX(0,NG-MAX(L1300,GWL))</f>
        <v>0.8</v>
      </c>
      <c r="U1300" s="27" t="n">
        <f aca="false">E1300+2*WS</f>
        <v>4.27639788623891</v>
      </c>
      <c r="V1300" s="27" t="n">
        <f aca="false">IF(Q1300="Shoring",D1300*M1300*U1300,0)</f>
        <v>133.231198253973</v>
      </c>
      <c r="W1300" s="27" t="n">
        <f aca="false">IF(Q1300="Open cut",D1300*(U1300*M1300+SLOPE_B*S1300^2+2*SLOPE_B*S1300*T1300+SLOPE_A*T1300^2),0)</f>
        <v>0</v>
      </c>
      <c r="X1300" s="27" t="n">
        <f aca="false">IF(M1300&gt;0,D1300*(E1300+2*SLABOVH)*SLAB,0)</f>
        <v>15.5315352228936</v>
      </c>
      <c r="Y1300" s="27" t="n">
        <f aca="false">IF(M1300&gt;0,D1300*PI()*E1300^2/4,0)</f>
        <v>38.5863743385439</v>
      </c>
      <c r="Z1300" s="27" t="n">
        <f aca="false">IF(H1300-E1300&gt;=GWL,99,E1300*(MAX(0,GWL-H1300)*(GAM_S-GAM_W)+MAX(0,NG-MAX(H1300,GWL))*GAM_D)/(GAM_W*PI()*E1300^2/4))</f>
        <v>0.463673937220796</v>
      </c>
      <c r="AA1300" s="27" t="n">
        <f aca="false">IF(I1300-E1300&gt;=GWL,99,E1300*(MAX(0,GWL-I1300)*(GAM_S-GAM_W)+MAX(0,NG-MAX(I1300,GWL))*GAM_D)/(GAM_W*PI()*E1300^2/4))</f>
        <v>0.582508463565269</v>
      </c>
      <c r="AB1300" s="27" t="n">
        <f aca="false">IF(H1300-E1300&gt;=GWL,99,E1300*(MAX(0,GWL-H1300)*(GAM_S-GAM_W)+MAX(0,FL-MAX(H1300,GWL))*GAM_D)/(GAM_W*PI()*E1300^2/4))</f>
        <v>2.20834823859978</v>
      </c>
      <c r="AC1300" s="27" t="n">
        <f aca="false">IF(I1300-E1300&gt;=GWL,99,E1300*(MAX(0,GWL-I1300)*(GAM_S-GAM_W)+MAX(0,FL-MAX(I1300,GWL))*GAM_D)/(GAM_W*PI()*E1300^2/4))</f>
        <v>2.32718276494425</v>
      </c>
    </row>
    <row r="1301" customFormat="false" ht="15" hidden="false" customHeight="false" outlineLevel="0" collapsed="false">
      <c r="A1301" s="25" t="s">
        <v>1936</v>
      </c>
      <c r="B1301" s="25" t="s">
        <v>1946</v>
      </c>
      <c r="C1301" s="25" t="s">
        <v>1948</v>
      </c>
      <c r="D1301" s="26" t="n">
        <v>9.99999999974318</v>
      </c>
      <c r="E1301" s="26" t="n">
        <v>2.27639788623891</v>
      </c>
      <c r="F1301" s="26" t="n">
        <v>-4.04399058092023</v>
      </c>
      <c r="G1301" s="26" t="n">
        <v>-4.16612257620985</v>
      </c>
      <c r="H1301" s="26" t="n">
        <v>-1.26759269468133</v>
      </c>
      <c r="I1301" s="26" t="n">
        <v>-1.38972468997094</v>
      </c>
      <c r="J1301" s="26" t="n">
        <v>7.49</v>
      </c>
      <c r="K1301" s="27" t="n">
        <f aca="false">MIN(F1301,G1301)</f>
        <v>-4.16612257620985</v>
      </c>
      <c r="L1301" s="27" t="n">
        <f aca="false">AVERAGE(F1301,G1301)</f>
        <v>-4.10505657856504</v>
      </c>
      <c r="M1301" s="27" t="n">
        <f aca="false">MAX(0,NG-L1301)</f>
        <v>3.40505657856504</v>
      </c>
      <c r="N1301" s="27" t="n">
        <f aca="false">MAX(0,GWL-K1301)</f>
        <v>2.66612257620985</v>
      </c>
      <c r="O1301" s="27" t="n">
        <f aca="false">MAX(0,NG-MAX(K1301,GWL))</f>
        <v>0.8</v>
      </c>
      <c r="P1301" s="27" t="n">
        <f aca="false">E1301/2+WS+SLOPE_A*O1301+SLOPE_B*N1301</f>
        <v>8.67044409553915</v>
      </c>
      <c r="Q1301" s="28" t="str">
        <f aca="false">IF(AND(P1301&lt;J1301,N1301&lt;=MAXOC),"Open cut","Shoring")</f>
        <v>Shoring</v>
      </c>
      <c r="R1301" s="27" t="n">
        <f aca="false">IF(Q1301="Shoring",D1301,0)</f>
        <v>9.99999999974318</v>
      </c>
      <c r="S1301" s="27" t="n">
        <f aca="false">MAX(0,GWL-L1301)</f>
        <v>2.60505657856504</v>
      </c>
      <c r="T1301" s="27" t="n">
        <f aca="false">MAX(0,NG-MAX(L1301,GWL))</f>
        <v>0.8</v>
      </c>
      <c r="U1301" s="27" t="n">
        <f aca="false">E1301+2*WS</f>
        <v>4.27639788623891</v>
      </c>
      <c r="V1301" s="27" t="n">
        <f aca="false">IF(Q1301="Shoring",D1301*M1301*U1301,0)</f>
        <v>145.613767547255</v>
      </c>
      <c r="W1301" s="27" t="n">
        <f aca="false">IF(Q1301="Open cut",D1301*(U1301*M1301+SLOPE_B*S1301^2+2*SLOPE_B*S1301*T1301+SLOPE_A*T1301^2),0)</f>
        <v>0</v>
      </c>
      <c r="X1301" s="27" t="n">
        <f aca="false">IF(M1301&gt;0,D1301*(E1301+2*SLABOVH)*SLAB,0)</f>
        <v>16.3819894307738</v>
      </c>
      <c r="Y1301" s="27" t="n">
        <f aca="false">IF(M1301&gt;0,D1301*PI()*E1301^2/4,0)</f>
        <v>40.6992333671017</v>
      </c>
      <c r="Z1301" s="27" t="n">
        <f aca="false">IF(H1301-E1301&gt;=GWL,99,E1301*(MAX(0,GWL-H1301)*(GAM_S-GAM_W)+MAX(0,NG-MAX(H1301,GWL))*GAM_D)/(GAM_W*PI()*E1301^2/4))</f>
        <v>0.582508463565269</v>
      </c>
      <c r="AA1301" s="27" t="n">
        <f aca="false">IF(I1301-E1301&gt;=GWL,99,E1301*(MAX(0,GWL-I1301)*(GAM_S-GAM_W)+MAX(0,NG-MAX(I1301,GWL))*GAM_D)/(GAM_W*PI()*E1301^2/4))</f>
        <v>0.70784996565817</v>
      </c>
      <c r="AB1301" s="27" t="n">
        <f aca="false">IF(H1301-E1301&gt;=GWL,99,E1301*(MAX(0,GWL-H1301)*(GAM_S-GAM_W)+MAX(0,FL-MAX(H1301,GWL))*GAM_D)/(GAM_W*PI()*E1301^2/4))</f>
        <v>2.32718276494425</v>
      </c>
      <c r="AC1301" s="27" t="n">
        <f aca="false">IF(I1301-E1301&gt;=GWL,99,E1301*(MAX(0,GWL-I1301)*(GAM_S-GAM_W)+MAX(0,FL-MAX(I1301,GWL))*GAM_D)/(GAM_W*PI()*E1301^2/4))</f>
        <v>2.45252426703715</v>
      </c>
    </row>
    <row r="1302" customFormat="false" ht="15" hidden="false" customHeight="false" outlineLevel="0" collapsed="false">
      <c r="A1302" s="25" t="s">
        <v>1936</v>
      </c>
      <c r="B1302" s="25" t="s">
        <v>1946</v>
      </c>
      <c r="C1302" s="25" t="s">
        <v>1949</v>
      </c>
      <c r="D1302" s="26" t="n">
        <v>4.93288976154649</v>
      </c>
      <c r="E1302" s="26" t="n">
        <v>2.27639788623891</v>
      </c>
      <c r="F1302" s="26" t="n">
        <v>-4.16612257620985</v>
      </c>
      <c r="G1302" s="26" t="n">
        <v>-4.22636894311945</v>
      </c>
      <c r="H1302" s="26" t="n">
        <v>-1.38972468997094</v>
      </c>
      <c r="I1302" s="26" t="n">
        <v>-1.44997105688055</v>
      </c>
      <c r="J1302" s="26" t="n">
        <v>10.64</v>
      </c>
      <c r="K1302" s="27" t="n">
        <f aca="false">MIN(F1302,G1302)</f>
        <v>-4.22636894311945</v>
      </c>
      <c r="L1302" s="27" t="n">
        <f aca="false">AVERAGE(F1302,G1302)</f>
        <v>-4.19624575966465</v>
      </c>
      <c r="M1302" s="27" t="n">
        <f aca="false">MAX(0,NG-L1302)</f>
        <v>3.49624575966465</v>
      </c>
      <c r="N1302" s="27" t="n">
        <f aca="false">MAX(0,GWL-K1302)</f>
        <v>2.72636894311945</v>
      </c>
      <c r="O1302" s="27" t="n">
        <f aca="false">MAX(0,NG-MAX(K1302,GWL))</f>
        <v>0.8</v>
      </c>
      <c r="P1302" s="27" t="n">
        <f aca="false">E1302/2+WS+SLOPE_A*O1302+SLOPE_B*N1302</f>
        <v>8.79093682935836</v>
      </c>
      <c r="Q1302" s="28" t="str">
        <f aca="false">IF(AND(P1302&lt;J1302,N1302&lt;=MAXOC),"Open cut","Shoring")</f>
        <v>Shoring</v>
      </c>
      <c r="R1302" s="27" t="n">
        <f aca="false">IF(Q1302="Shoring",D1302,0)</f>
        <v>4.93288976154649</v>
      </c>
      <c r="S1302" s="27" t="n">
        <f aca="false">MAX(0,GWL-L1302)</f>
        <v>2.69624575966465</v>
      </c>
      <c r="T1302" s="27" t="n">
        <f aca="false">MAX(0,NG-MAX(L1302,GWL))</f>
        <v>0.8</v>
      </c>
      <c r="U1302" s="27" t="n">
        <f aca="false">E1302+2*WS</f>
        <v>4.27639788623891</v>
      </c>
      <c r="V1302" s="27" t="n">
        <f aca="false">IF(Q1302="Shoring",D1302*M1302*U1302,0)</f>
        <v>73.7533020252129</v>
      </c>
      <c r="W1302" s="27" t="n">
        <f aca="false">IF(Q1302="Open cut",D1302*(U1302*M1302+SLOPE_B*S1302^2+2*SLOPE_B*S1302*T1302+SLOPE_A*T1302^2),0)</f>
        <v>0</v>
      </c>
      <c r="X1302" s="27" t="n">
        <f aca="false">IF(M1302&gt;0,D1302*(E1302+2*SLABOVH)*SLAB,0)</f>
        <v>8.08105479389023</v>
      </c>
      <c r="Y1302" s="27" t="n">
        <f aca="false">IF(M1302&gt;0,D1302*PI()*E1302^2/4,0)</f>
        <v>20.0764831584523</v>
      </c>
      <c r="Z1302" s="27" t="n">
        <f aca="false">IF(H1302-E1302&gt;=GWL,99,E1302*(MAX(0,GWL-H1302)*(GAM_S-GAM_W)+MAX(0,NG-MAX(H1302,GWL))*GAM_D)/(GAM_W*PI()*E1302^2/4))</f>
        <v>0.70784996565817</v>
      </c>
      <c r="AA1302" s="27" t="n">
        <f aca="false">IF(I1302-E1302&gt;=GWL,99,E1302*(MAX(0,GWL-I1302)*(GAM_S-GAM_W)+MAX(0,NG-MAX(I1302,GWL))*GAM_D)/(GAM_W*PI()*E1302^2/4))</f>
        <v>0.769679546892662</v>
      </c>
      <c r="AB1302" s="27" t="n">
        <f aca="false">IF(H1302-E1302&gt;=GWL,99,E1302*(MAX(0,GWL-H1302)*(GAM_S-GAM_W)+MAX(0,FL-MAX(H1302,GWL))*GAM_D)/(GAM_W*PI()*E1302^2/4))</f>
        <v>2.45252426703715</v>
      </c>
      <c r="AC1302" s="27" t="n">
        <f aca="false">IF(I1302-E1302&gt;=GWL,99,E1302*(MAX(0,GWL-I1302)*(GAM_S-GAM_W)+MAX(0,FL-MAX(I1302,GWL))*GAM_D)/(GAM_W*PI()*E1302^2/4))</f>
        <v>2.51435384827164</v>
      </c>
    </row>
    <row r="1303" customFormat="false" ht="15" hidden="false" customHeight="false" outlineLevel="0" collapsed="false">
      <c r="A1303" s="25" t="s">
        <v>1936</v>
      </c>
      <c r="B1303" s="25" t="s">
        <v>1946</v>
      </c>
      <c r="C1303" s="25" t="s">
        <v>1950</v>
      </c>
      <c r="D1303" s="26" t="n">
        <v>3.34929796308787</v>
      </c>
      <c r="E1303" s="26" t="n">
        <v>2.27639788623891</v>
      </c>
      <c r="F1303" s="26" t="n">
        <v>-4.22636894311945</v>
      </c>
      <c r="G1303" s="26" t="n">
        <v>-4.26727894311945</v>
      </c>
      <c r="H1303" s="26" t="n">
        <v>-1.44997105688055</v>
      </c>
      <c r="I1303" s="26" t="n">
        <v>-1.49088105688055</v>
      </c>
      <c r="J1303" s="26" t="n">
        <v>13.34</v>
      </c>
      <c r="K1303" s="27" t="n">
        <f aca="false">MIN(F1303,G1303)</f>
        <v>-4.26727894311945</v>
      </c>
      <c r="L1303" s="27" t="n">
        <f aca="false">AVERAGE(F1303,G1303)</f>
        <v>-4.24682394311945</v>
      </c>
      <c r="M1303" s="27" t="n">
        <f aca="false">MAX(0,NG-L1303)</f>
        <v>3.54682394311945</v>
      </c>
      <c r="N1303" s="27" t="n">
        <f aca="false">MAX(0,GWL-K1303)</f>
        <v>2.76727894311945</v>
      </c>
      <c r="O1303" s="27" t="n">
        <f aca="false">MAX(0,NG-MAX(K1303,GWL))</f>
        <v>0.8</v>
      </c>
      <c r="P1303" s="27" t="n">
        <f aca="false">E1303/2+WS+SLOPE_A*O1303+SLOPE_B*N1303</f>
        <v>8.87275682935836</v>
      </c>
      <c r="Q1303" s="28" t="str">
        <f aca="false">IF(AND(P1303&lt;J1303,N1303&lt;=MAXOC),"Open cut","Shoring")</f>
        <v>Shoring</v>
      </c>
      <c r="R1303" s="27" t="n">
        <f aca="false">IF(Q1303="Shoring",D1303,0)</f>
        <v>3.34929796308787</v>
      </c>
      <c r="S1303" s="27" t="n">
        <f aca="false">MAX(0,GWL-L1303)</f>
        <v>2.74682394311945</v>
      </c>
      <c r="T1303" s="27" t="n">
        <f aca="false">MAX(0,NG-MAX(L1303,GWL))</f>
        <v>0.8</v>
      </c>
      <c r="U1303" s="27" t="n">
        <f aca="false">E1303+2*WS</f>
        <v>4.27639788623891</v>
      </c>
      <c r="V1303" s="27" t="n">
        <f aca="false">IF(Q1303="Shoring",D1303*M1303*U1303,0)</f>
        <v>50.8009136478592</v>
      </c>
      <c r="W1303" s="27" t="n">
        <f aca="false">IF(Q1303="Open cut",D1303*(U1303*M1303+SLOPE_B*S1303^2+2*SLOPE_B*S1303*T1303+SLOPE_A*T1303^2),0)</f>
        <v>0</v>
      </c>
      <c r="X1303" s="27" t="n">
        <f aca="false">IF(M1303&gt;0,D1303*(E1303+2*SLABOVH)*SLAB,0)</f>
        <v>5.48681638332268</v>
      </c>
      <c r="Y1303" s="27" t="n">
        <f aca="false">IF(M1303&gt;0,D1303*PI()*E1303^2/4,0)</f>
        <v>13.6313859419172</v>
      </c>
      <c r="Z1303" s="27" t="n">
        <f aca="false">IF(H1303-E1303&gt;=GWL,99,E1303*(MAX(0,GWL-H1303)*(GAM_S-GAM_W)+MAX(0,NG-MAX(H1303,GWL))*GAM_D)/(GAM_W*PI()*E1303^2/4))</f>
        <v>0.769679546892662</v>
      </c>
      <c r="AA1303" s="27" t="n">
        <f aca="false">IF(I1303-E1303&gt;=GWL,99,E1303*(MAX(0,GWL-I1303)*(GAM_S-GAM_W)+MAX(0,NG-MAX(I1303,GWL))*GAM_D)/(GAM_W*PI()*E1303^2/4))</f>
        <v>0.811664620815847</v>
      </c>
      <c r="AB1303" s="27" t="n">
        <f aca="false">IF(H1303-E1303&gt;=GWL,99,E1303*(MAX(0,GWL-H1303)*(GAM_S-GAM_W)+MAX(0,FL-MAX(H1303,GWL))*GAM_D)/(GAM_W*PI()*E1303^2/4))</f>
        <v>2.51435384827164</v>
      </c>
      <c r="AC1303" s="27" t="n">
        <f aca="false">IF(I1303-E1303&gt;=GWL,99,E1303*(MAX(0,GWL-I1303)*(GAM_S-GAM_W)+MAX(0,FL-MAX(I1303,GWL))*GAM_D)/(GAM_W*PI()*E1303^2/4))</f>
        <v>2.55633892219483</v>
      </c>
    </row>
    <row r="1304" customFormat="false" ht="15" hidden="false" customHeight="false" outlineLevel="0" collapsed="false">
      <c r="A1304" s="25" t="s">
        <v>1936</v>
      </c>
      <c r="B1304" s="25" t="s">
        <v>1946</v>
      </c>
      <c r="C1304" s="25" t="s">
        <v>1951</v>
      </c>
      <c r="D1304" s="26" t="n">
        <v>1.71781227607875</v>
      </c>
      <c r="E1304" s="26" t="n">
        <v>2.27640745621576</v>
      </c>
      <c r="F1304" s="26" t="n">
        <v>-4.26728372810788</v>
      </c>
      <c r="G1304" s="26" t="n">
        <v>-4.2882632116791</v>
      </c>
      <c r="H1304" s="26" t="n">
        <v>-1.49087627189212</v>
      </c>
      <c r="I1304" s="26" t="n">
        <v>-1.51185575546334</v>
      </c>
      <c r="J1304" s="26" t="n">
        <v>15.47</v>
      </c>
      <c r="K1304" s="27" t="n">
        <f aca="false">MIN(F1304,G1304)</f>
        <v>-4.2882632116791</v>
      </c>
      <c r="L1304" s="27" t="n">
        <f aca="false">AVERAGE(F1304,G1304)</f>
        <v>-4.27777346989349</v>
      </c>
      <c r="M1304" s="27" t="n">
        <f aca="false">MAX(0,NG-L1304)</f>
        <v>3.57777346989349</v>
      </c>
      <c r="N1304" s="27" t="n">
        <f aca="false">MAX(0,GWL-K1304)</f>
        <v>2.7882632116791</v>
      </c>
      <c r="O1304" s="27" t="n">
        <f aca="false">MAX(0,NG-MAX(K1304,GWL))</f>
        <v>0.8</v>
      </c>
      <c r="P1304" s="27" t="n">
        <f aca="false">E1304/2+WS+SLOPE_A*O1304+SLOPE_B*N1304</f>
        <v>8.91473015146609</v>
      </c>
      <c r="Q1304" s="28" t="str">
        <f aca="false">IF(AND(P1304&lt;J1304,N1304&lt;=MAXOC),"Open cut","Shoring")</f>
        <v>Shoring</v>
      </c>
      <c r="R1304" s="27" t="n">
        <f aca="false">IF(Q1304="Shoring",D1304,0)</f>
        <v>1.71781227607875</v>
      </c>
      <c r="S1304" s="27" t="n">
        <f aca="false">MAX(0,GWL-L1304)</f>
        <v>2.77777346989349</v>
      </c>
      <c r="T1304" s="27" t="n">
        <f aca="false">MAX(0,NG-MAX(L1304,GWL))</f>
        <v>0.8</v>
      </c>
      <c r="U1304" s="27" t="n">
        <f aca="false">E1304+2*WS</f>
        <v>4.27640745621576</v>
      </c>
      <c r="V1304" s="27" t="n">
        <f aca="false">IF(Q1304="Shoring",D1304*M1304*U1304,0)</f>
        <v>26.2825572729821</v>
      </c>
      <c r="W1304" s="27" t="n">
        <f aca="false">IF(Q1304="Open cut",D1304*(U1304*M1304+SLOPE_B*S1304^2+2*SLOPE_B*S1304*T1304+SLOPE_A*T1304^2),0)</f>
        <v>0</v>
      </c>
      <c r="X1304" s="27" t="n">
        <f aca="false">IF(M1304&gt;0,D1304*(E1304+2*SLABOVH)*SLAB,0)</f>
        <v>2.8141264748617</v>
      </c>
      <c r="Y1304" s="27" t="n">
        <f aca="false">IF(M1304&gt;0,D1304*PI()*E1304^2/4,0)</f>
        <v>6.9914230541949</v>
      </c>
      <c r="Z1304" s="27" t="n">
        <f aca="false">IF(H1304-E1304&gt;=GWL,99,E1304*(MAX(0,GWL-H1304)*(GAM_S-GAM_W)+MAX(0,NG-MAX(H1304,GWL))*GAM_D)/(GAM_W*PI()*E1304^2/4))</f>
        <v>0.811656297879578</v>
      </c>
      <c r="AA1304" s="27" t="n">
        <f aca="false">IF(I1304-E1304&gt;=GWL,99,E1304*(MAX(0,GWL-I1304)*(GAM_S-GAM_W)+MAX(0,NG-MAX(I1304,GWL))*GAM_D)/(GAM_W*PI()*E1304^2/4))</f>
        <v>0.826555853164279</v>
      </c>
      <c r="AB1304" s="27" t="n">
        <f aca="false">IF(H1304-E1304&gt;=GWL,99,E1304*(MAX(0,GWL-H1304)*(GAM_S-GAM_W)+MAX(0,FL-MAX(H1304,GWL))*GAM_D)/(GAM_W*PI()*E1304^2/4))</f>
        <v>2.55632326467852</v>
      </c>
      <c r="AC1304" s="27" t="n">
        <f aca="false">IF(I1304-E1304&gt;=GWL,99,E1304*(MAX(0,GWL-I1304)*(GAM_S-GAM_W)+MAX(0,FL-MAX(I1304,GWL))*GAM_D)/(GAM_W*PI()*E1304^2/4))</f>
        <v>2.57122281996322</v>
      </c>
    </row>
    <row r="1305" customFormat="false" ht="15" hidden="false" customHeight="false" outlineLevel="0" collapsed="false">
      <c r="A1305" s="25" t="s">
        <v>1936</v>
      </c>
      <c r="B1305" s="25" t="s">
        <v>1946</v>
      </c>
      <c r="C1305" s="25" t="s">
        <v>1952</v>
      </c>
      <c r="D1305" s="26" t="n">
        <v>1.6327410436647</v>
      </c>
      <c r="E1305" s="26" t="n">
        <v>2.27640745621576</v>
      </c>
      <c r="F1305" s="26" t="n">
        <v>-4.2882632116791</v>
      </c>
      <c r="G1305" s="26" t="n">
        <v>-4.30820372810788</v>
      </c>
      <c r="H1305" s="26" t="n">
        <v>-1.51185575546334</v>
      </c>
      <c r="I1305" s="26" t="n">
        <v>-1.53179627189212</v>
      </c>
      <c r="J1305" s="26" t="n">
        <v>16.59</v>
      </c>
      <c r="K1305" s="27" t="n">
        <f aca="false">MIN(F1305,G1305)</f>
        <v>-4.30820372810788</v>
      </c>
      <c r="L1305" s="27" t="n">
        <f aca="false">AVERAGE(F1305,G1305)</f>
        <v>-4.29823346989349</v>
      </c>
      <c r="M1305" s="27" t="n">
        <f aca="false">MAX(0,NG-L1305)</f>
        <v>3.59823346989349</v>
      </c>
      <c r="N1305" s="27" t="n">
        <f aca="false">MAX(0,GWL-K1305)</f>
        <v>2.80820372810788</v>
      </c>
      <c r="O1305" s="27" t="n">
        <f aca="false">MAX(0,NG-MAX(K1305,GWL))</f>
        <v>0.8</v>
      </c>
      <c r="P1305" s="27" t="n">
        <f aca="false">E1305/2+WS+SLOPE_A*O1305+SLOPE_B*N1305</f>
        <v>8.95461118432364</v>
      </c>
      <c r="Q1305" s="28" t="str">
        <f aca="false">IF(AND(P1305&lt;J1305,N1305&lt;=MAXOC),"Open cut","Shoring")</f>
        <v>Shoring</v>
      </c>
      <c r="R1305" s="27" t="n">
        <f aca="false">IF(Q1305="Shoring",D1305,0)</f>
        <v>1.6327410436647</v>
      </c>
      <c r="S1305" s="27" t="n">
        <f aca="false">MAX(0,GWL-L1305)</f>
        <v>2.79823346989349</v>
      </c>
      <c r="T1305" s="27" t="n">
        <f aca="false">MAX(0,NG-MAX(L1305,GWL))</f>
        <v>0.8</v>
      </c>
      <c r="U1305" s="27" t="n">
        <f aca="false">E1305+2*WS</f>
        <v>4.27640745621576</v>
      </c>
      <c r="V1305" s="27" t="n">
        <f aca="false">IF(Q1305="Shoring",D1305*M1305*U1305,0)</f>
        <v>25.1238231204567</v>
      </c>
      <c r="W1305" s="27" t="n">
        <f aca="false">IF(Q1305="Open cut",D1305*(U1305*M1305+SLOPE_B*S1305^2+2*SLOPE_B*S1305*T1305+SLOPE_A*T1305^2),0)</f>
        <v>0</v>
      </c>
      <c r="X1305" s="27" t="n">
        <f aca="false">IF(M1305&gt;0,D1305*(E1305+2*SLABOVH)*SLAB,0)</f>
        <v>2.67476246476626</v>
      </c>
      <c r="Y1305" s="27" t="n">
        <f aca="false">IF(M1305&gt;0,D1305*PI()*E1305^2/4,0)</f>
        <v>6.64518674896481</v>
      </c>
      <c r="Z1305" s="27" t="n">
        <f aca="false">IF(H1305-E1305&gt;=GWL,99,E1305*(MAX(0,GWL-H1305)*(GAM_S-GAM_W)+MAX(0,NG-MAX(H1305,GWL))*GAM_D)/(GAM_W*PI()*E1305^2/4))</f>
        <v>0.826555853164279</v>
      </c>
      <c r="AA1305" s="27" t="n">
        <f aca="false">IF(I1305-E1305&gt;=GWL,99,E1305*(MAX(0,GWL-I1305)*(GAM_S-GAM_W)+MAX(0,NG-MAX(I1305,GWL))*GAM_D)/(GAM_W*PI()*E1305^2/4))</f>
        <v>0.835867176660139</v>
      </c>
      <c r="AB1305" s="27" t="n">
        <f aca="false">IF(H1305-E1305&gt;=GWL,99,E1305*(MAX(0,GWL-H1305)*(GAM_S-GAM_W)+MAX(0,FL-MAX(H1305,GWL))*GAM_D)/(GAM_W*PI()*E1305^2/4))</f>
        <v>2.57122281996322</v>
      </c>
      <c r="AC1305" s="27" t="n">
        <f aca="false">IF(I1305-E1305&gt;=GWL,99,E1305*(MAX(0,GWL-I1305)*(GAM_S-GAM_W)+MAX(0,FL-MAX(I1305,GWL))*GAM_D)/(GAM_W*PI()*E1305^2/4))</f>
        <v>2.58053414345908</v>
      </c>
    </row>
    <row r="1306" customFormat="false" ht="15" hidden="false" customHeight="false" outlineLevel="0" collapsed="false">
      <c r="A1306" s="25" t="s">
        <v>1936</v>
      </c>
      <c r="B1306" s="25" t="s">
        <v>1946</v>
      </c>
      <c r="C1306" s="25" t="s">
        <v>1953</v>
      </c>
      <c r="D1306" s="26" t="n">
        <v>8.36725895611461</v>
      </c>
      <c r="E1306" s="26" t="n">
        <v>2.27640745621576</v>
      </c>
      <c r="F1306" s="26" t="n">
        <v>-4.30820372810788</v>
      </c>
      <c r="G1306" s="26" t="n">
        <v>-4.30820372810788</v>
      </c>
      <c r="H1306" s="26" t="n">
        <v>-1.53179627189212</v>
      </c>
      <c r="I1306" s="26" t="n">
        <v>-1.53179627189212</v>
      </c>
      <c r="J1306" s="26" t="n">
        <v>17.74</v>
      </c>
      <c r="K1306" s="27" t="n">
        <f aca="false">MIN(F1306,G1306)</f>
        <v>-4.30820372810788</v>
      </c>
      <c r="L1306" s="27" t="n">
        <f aca="false">AVERAGE(F1306,G1306)</f>
        <v>-4.30820372810788</v>
      </c>
      <c r="M1306" s="27" t="n">
        <f aca="false">MAX(0,NG-L1306)</f>
        <v>3.60820372810788</v>
      </c>
      <c r="N1306" s="27" t="n">
        <f aca="false">MAX(0,GWL-K1306)</f>
        <v>2.80820372810788</v>
      </c>
      <c r="O1306" s="27" t="n">
        <f aca="false">MAX(0,NG-MAX(K1306,GWL))</f>
        <v>0.8</v>
      </c>
      <c r="P1306" s="27" t="n">
        <f aca="false">E1306/2+WS+SLOPE_A*O1306+SLOPE_B*N1306</f>
        <v>8.95461118432364</v>
      </c>
      <c r="Q1306" s="28" t="str">
        <f aca="false">IF(AND(P1306&lt;J1306,N1306&lt;=MAXOC),"Open cut","Shoring")</f>
        <v>Shoring</v>
      </c>
      <c r="R1306" s="27" t="n">
        <f aca="false">IF(Q1306="Shoring",D1306,0)</f>
        <v>8.36725895611461</v>
      </c>
      <c r="S1306" s="27" t="n">
        <f aca="false">MAX(0,GWL-L1306)</f>
        <v>2.80820372810788</v>
      </c>
      <c r="T1306" s="27" t="n">
        <f aca="false">MAX(0,NG-MAX(L1306,GWL))</f>
        <v>0.8</v>
      </c>
      <c r="U1306" s="27" t="n">
        <f aca="false">E1306+2*WS</f>
        <v>4.27640745621576</v>
      </c>
      <c r="V1306" s="27" t="n">
        <f aca="false">IF(Q1306="Shoring",D1306*M1306*U1306,0)</f>
        <v>129.108055145724</v>
      </c>
      <c r="W1306" s="27" t="n">
        <f aca="false">IF(Q1306="Open cut",D1306*(U1306*M1306+SLOPE_B*S1306^2+2*SLOPE_B*S1306*T1306+SLOPE_A*T1306^2),0)</f>
        <v>0</v>
      </c>
      <c r="X1306" s="27" t="n">
        <f aca="false">IF(M1306&gt;0,D1306*(E1306+2*SLABOVH)*SLAB,0)</f>
        <v>13.707274815951</v>
      </c>
      <c r="Y1306" s="27" t="n">
        <f aca="false">IF(M1306&gt;0,D1306*PI()*E1306^2/4,0)</f>
        <v>34.0543888181624</v>
      </c>
      <c r="Z1306" s="27" t="n">
        <f aca="false">IF(H1306-E1306&gt;=GWL,99,E1306*(MAX(0,GWL-H1306)*(GAM_S-GAM_W)+MAX(0,NG-MAX(H1306,GWL))*GAM_D)/(GAM_W*PI()*E1306^2/4))</f>
        <v>0.835867176660139</v>
      </c>
      <c r="AA1306" s="27" t="n">
        <f aca="false">IF(I1306-E1306&gt;=GWL,99,E1306*(MAX(0,GWL-I1306)*(GAM_S-GAM_W)+MAX(0,NG-MAX(I1306,GWL))*GAM_D)/(GAM_W*PI()*E1306^2/4))</f>
        <v>0.835867176660139</v>
      </c>
      <c r="AB1306" s="27" t="n">
        <f aca="false">IF(H1306-E1306&gt;=GWL,99,E1306*(MAX(0,GWL-H1306)*(GAM_S-GAM_W)+MAX(0,FL-MAX(H1306,GWL))*GAM_D)/(GAM_W*PI()*E1306^2/4))</f>
        <v>2.58053414345908</v>
      </c>
      <c r="AC1306" s="27" t="n">
        <f aca="false">IF(I1306-E1306&gt;=GWL,99,E1306*(MAX(0,GWL-I1306)*(GAM_S-GAM_W)+MAX(0,FL-MAX(I1306,GWL))*GAM_D)/(GAM_W*PI()*E1306^2/4))</f>
        <v>2.58053414345908</v>
      </c>
    </row>
    <row r="1307" customFormat="false" ht="15" hidden="false" customHeight="false" outlineLevel="0" collapsed="false">
      <c r="A1307" s="25" t="s">
        <v>1936</v>
      </c>
      <c r="B1307" s="25" t="s">
        <v>1946</v>
      </c>
      <c r="C1307" s="25" t="s">
        <v>1954</v>
      </c>
      <c r="D1307" s="26" t="n">
        <v>9.99999999989787</v>
      </c>
      <c r="E1307" s="26" t="n">
        <v>2.27640745621576</v>
      </c>
      <c r="F1307" s="26" t="n">
        <v>-4.30820372810788</v>
      </c>
      <c r="G1307" s="26" t="n">
        <v>-4.30820372810788</v>
      </c>
      <c r="H1307" s="26" t="n">
        <v>-1.53179627189212</v>
      </c>
      <c r="I1307" s="26" t="n">
        <v>-1.53179627189212</v>
      </c>
      <c r="J1307" s="26" t="n">
        <v>20.57</v>
      </c>
      <c r="K1307" s="27" t="n">
        <f aca="false">MIN(F1307,G1307)</f>
        <v>-4.30820372810788</v>
      </c>
      <c r="L1307" s="27" t="n">
        <f aca="false">AVERAGE(F1307,G1307)</f>
        <v>-4.30820372810788</v>
      </c>
      <c r="M1307" s="27" t="n">
        <f aca="false">MAX(0,NG-L1307)</f>
        <v>3.60820372810788</v>
      </c>
      <c r="N1307" s="27" t="n">
        <f aca="false">MAX(0,GWL-K1307)</f>
        <v>2.80820372810788</v>
      </c>
      <c r="O1307" s="27" t="n">
        <f aca="false">MAX(0,NG-MAX(K1307,GWL))</f>
        <v>0.8</v>
      </c>
      <c r="P1307" s="27" t="n">
        <f aca="false">E1307/2+WS+SLOPE_A*O1307+SLOPE_B*N1307</f>
        <v>8.95461118432364</v>
      </c>
      <c r="Q1307" s="28" t="str">
        <f aca="false">IF(AND(P1307&lt;J1307,N1307&lt;=MAXOC),"Open cut","Shoring")</f>
        <v>Shoring</v>
      </c>
      <c r="R1307" s="27" t="n">
        <f aca="false">IF(Q1307="Shoring",D1307,0)</f>
        <v>9.99999999989787</v>
      </c>
      <c r="S1307" s="27" t="n">
        <f aca="false">MAX(0,GWL-L1307)</f>
        <v>2.80820372810788</v>
      </c>
      <c r="T1307" s="27" t="n">
        <f aca="false">MAX(0,NG-MAX(L1307,GWL))</f>
        <v>0.8</v>
      </c>
      <c r="U1307" s="27" t="n">
        <f aca="false">E1307+2*WS</f>
        <v>4.27640745621576</v>
      </c>
      <c r="V1307" s="27" t="n">
        <f aca="false">IF(Q1307="Shoring",D1307*M1307*U1307,0)</f>
        <v>154.301493262685</v>
      </c>
      <c r="W1307" s="27" t="n">
        <f aca="false">IF(Q1307="Open cut",D1307*(U1307*M1307+SLOPE_B*S1307^2+2*SLOPE_B*S1307*T1307+SLOPE_A*T1307^2),0)</f>
        <v>0</v>
      </c>
      <c r="X1307" s="27" t="n">
        <f aca="false">IF(M1307&gt;0,D1307*(E1307+2*SLABOVH)*SLAB,0)</f>
        <v>16.3820372809115</v>
      </c>
      <c r="Y1307" s="27" t="n">
        <f aca="false">IF(M1307&gt;0,D1307*PI()*E1307^2/4,0)</f>
        <v>40.6995755676098</v>
      </c>
      <c r="Z1307" s="27" t="n">
        <f aca="false">IF(H1307-E1307&gt;=GWL,99,E1307*(MAX(0,GWL-H1307)*(GAM_S-GAM_W)+MAX(0,NG-MAX(H1307,GWL))*GAM_D)/(GAM_W*PI()*E1307^2/4))</f>
        <v>0.835867176660139</v>
      </c>
      <c r="AA1307" s="27" t="n">
        <f aca="false">IF(I1307-E1307&gt;=GWL,99,E1307*(MAX(0,GWL-I1307)*(GAM_S-GAM_W)+MAX(0,NG-MAX(I1307,GWL))*GAM_D)/(GAM_W*PI()*E1307^2/4))</f>
        <v>0.835867176660139</v>
      </c>
      <c r="AB1307" s="27" t="n">
        <f aca="false">IF(H1307-E1307&gt;=GWL,99,E1307*(MAX(0,GWL-H1307)*(GAM_S-GAM_W)+MAX(0,FL-MAX(H1307,GWL))*GAM_D)/(GAM_W*PI()*E1307^2/4))</f>
        <v>2.58053414345908</v>
      </c>
      <c r="AC1307" s="27" t="n">
        <f aca="false">IF(I1307-E1307&gt;=GWL,99,E1307*(MAX(0,GWL-I1307)*(GAM_S-GAM_W)+MAX(0,FL-MAX(I1307,GWL))*GAM_D)/(GAM_W*PI()*E1307^2/4))</f>
        <v>2.58053414345908</v>
      </c>
    </row>
    <row r="1308" customFormat="false" ht="15" hidden="false" customHeight="false" outlineLevel="0" collapsed="false">
      <c r="A1308" s="25" t="s">
        <v>1936</v>
      </c>
      <c r="B1308" s="25" t="s">
        <v>1946</v>
      </c>
      <c r="C1308" s="25" t="s">
        <v>1955</v>
      </c>
      <c r="D1308" s="26" t="n">
        <v>2.91559104397536</v>
      </c>
      <c r="E1308" s="26" t="n">
        <v>2.27640745621576</v>
      </c>
      <c r="F1308" s="26" t="n">
        <v>-4.30820372810788</v>
      </c>
      <c r="G1308" s="26" t="n">
        <v>-4.30820372810788</v>
      </c>
      <c r="H1308" s="26" t="n">
        <v>-1.53179627189212</v>
      </c>
      <c r="I1308" s="26" t="n">
        <v>-1.53179627189212</v>
      </c>
      <c r="J1308" s="26" t="n">
        <v>21.26</v>
      </c>
      <c r="K1308" s="27" t="n">
        <f aca="false">MIN(F1308,G1308)</f>
        <v>-4.30820372810788</v>
      </c>
      <c r="L1308" s="27" t="n">
        <f aca="false">AVERAGE(F1308,G1308)</f>
        <v>-4.30820372810788</v>
      </c>
      <c r="M1308" s="27" t="n">
        <f aca="false">MAX(0,NG-L1308)</f>
        <v>3.60820372810788</v>
      </c>
      <c r="N1308" s="27" t="n">
        <f aca="false">MAX(0,GWL-K1308)</f>
        <v>2.80820372810788</v>
      </c>
      <c r="O1308" s="27" t="n">
        <f aca="false">MAX(0,NG-MAX(K1308,GWL))</f>
        <v>0.8</v>
      </c>
      <c r="P1308" s="27" t="n">
        <f aca="false">E1308/2+WS+SLOPE_A*O1308+SLOPE_B*N1308</f>
        <v>8.95461118432364</v>
      </c>
      <c r="Q1308" s="28" t="str">
        <f aca="false">IF(AND(P1308&lt;J1308,N1308&lt;=MAXOC),"Open cut","Shoring")</f>
        <v>Shoring</v>
      </c>
      <c r="R1308" s="27" t="n">
        <f aca="false">IF(Q1308="Shoring",D1308,0)</f>
        <v>2.91559104397536</v>
      </c>
      <c r="S1308" s="27" t="n">
        <f aca="false">MAX(0,GWL-L1308)</f>
        <v>2.80820372810788</v>
      </c>
      <c r="T1308" s="27" t="n">
        <f aca="false">MAX(0,NG-MAX(L1308,GWL))</f>
        <v>0.8</v>
      </c>
      <c r="U1308" s="27" t="n">
        <f aca="false">E1308+2*WS</f>
        <v>4.27640745621576</v>
      </c>
      <c r="V1308" s="27" t="n">
        <f aca="false">IF(Q1308="Shoring",D1308*M1308*U1308,0)</f>
        <v>44.9880051833301</v>
      </c>
      <c r="W1308" s="27" t="n">
        <f aca="false">IF(Q1308="Open cut",D1308*(U1308*M1308+SLOPE_B*S1308^2+2*SLOPE_B*S1308*T1308+SLOPE_A*T1308^2),0)</f>
        <v>0</v>
      </c>
      <c r="X1308" s="27" t="n">
        <f aca="false">IF(M1308&gt;0,D1308*(E1308+2*SLABOVH)*SLAB,0)</f>
        <v>4.77633211787837</v>
      </c>
      <c r="Y1308" s="27" t="n">
        <f aca="false">IF(M1308&gt;0,D1308*PI()*E1308^2/4,0)</f>
        <v>11.8663318019733</v>
      </c>
      <c r="Z1308" s="27" t="n">
        <f aca="false">IF(H1308-E1308&gt;=GWL,99,E1308*(MAX(0,GWL-H1308)*(GAM_S-GAM_W)+MAX(0,NG-MAX(H1308,GWL))*GAM_D)/(GAM_W*PI()*E1308^2/4))</f>
        <v>0.835867176660139</v>
      </c>
      <c r="AA1308" s="27" t="n">
        <f aca="false">IF(I1308-E1308&gt;=GWL,99,E1308*(MAX(0,GWL-I1308)*(GAM_S-GAM_W)+MAX(0,NG-MAX(I1308,GWL))*GAM_D)/(GAM_W*PI()*E1308^2/4))</f>
        <v>0.835867176660139</v>
      </c>
      <c r="AB1308" s="27" t="n">
        <f aca="false">IF(H1308-E1308&gt;=GWL,99,E1308*(MAX(0,GWL-H1308)*(GAM_S-GAM_W)+MAX(0,FL-MAX(H1308,GWL))*GAM_D)/(GAM_W*PI()*E1308^2/4))</f>
        <v>2.58053414345908</v>
      </c>
      <c r="AC1308" s="27" t="n">
        <f aca="false">IF(I1308-E1308&gt;=GWL,99,E1308*(MAX(0,GWL-I1308)*(GAM_S-GAM_W)+MAX(0,FL-MAX(I1308,GWL))*GAM_D)/(GAM_W*PI()*E1308^2/4))</f>
        <v>2.58053414345908</v>
      </c>
    </row>
    <row r="1309" customFormat="false" ht="15" hidden="false" customHeight="false" outlineLevel="0" collapsed="false">
      <c r="A1309" s="25" t="s">
        <v>1936</v>
      </c>
      <c r="B1309" s="25" t="s">
        <v>1946</v>
      </c>
      <c r="C1309" s="25" t="s">
        <v>1956</v>
      </c>
      <c r="D1309" s="26" t="n">
        <v>3.3500000001206</v>
      </c>
      <c r="E1309" s="26" t="n">
        <v>2.24899847379727</v>
      </c>
      <c r="F1309" s="26" t="n">
        <v>-4.29449923689863</v>
      </c>
      <c r="G1309" s="26" t="n">
        <v>-4.29449923689863</v>
      </c>
      <c r="H1309" s="26" t="n">
        <v>-1.54550076310137</v>
      </c>
      <c r="I1309" s="26" t="n">
        <v>-1.54550076310137</v>
      </c>
      <c r="J1309" s="26" t="n">
        <v>21.82</v>
      </c>
      <c r="K1309" s="27" t="n">
        <f aca="false">MIN(F1309,G1309)</f>
        <v>-4.29449923689863</v>
      </c>
      <c r="L1309" s="27" t="n">
        <f aca="false">AVERAGE(F1309,G1309)</f>
        <v>-4.29449923689863</v>
      </c>
      <c r="M1309" s="27" t="n">
        <f aca="false">MAX(0,NG-L1309)</f>
        <v>3.59449923689863</v>
      </c>
      <c r="N1309" s="27" t="n">
        <f aca="false">MAX(0,GWL-K1309)</f>
        <v>2.79449923689863</v>
      </c>
      <c r="O1309" s="27" t="n">
        <f aca="false">MAX(0,NG-MAX(K1309,GWL))</f>
        <v>0.8</v>
      </c>
      <c r="P1309" s="27" t="n">
        <f aca="false">E1309/2+WS+SLOPE_A*O1309+SLOPE_B*N1309</f>
        <v>8.9134977106959</v>
      </c>
      <c r="Q1309" s="28" t="str">
        <f aca="false">IF(AND(P1309&lt;J1309,N1309&lt;=MAXOC),"Open cut","Shoring")</f>
        <v>Shoring</v>
      </c>
      <c r="R1309" s="27" t="n">
        <f aca="false">IF(Q1309="Shoring",D1309,0)</f>
        <v>3.3500000001206</v>
      </c>
      <c r="S1309" s="27" t="n">
        <f aca="false">MAX(0,GWL-L1309)</f>
        <v>2.79449923689863</v>
      </c>
      <c r="T1309" s="27" t="n">
        <f aca="false">MAX(0,NG-MAX(L1309,GWL))</f>
        <v>0.8</v>
      </c>
      <c r="U1309" s="27" t="n">
        <f aca="false">E1309+2*WS</f>
        <v>4.24899847379727</v>
      </c>
      <c r="V1309" s="27" t="n">
        <f aca="false">IF(Q1309="Shoring",D1309*M1309*U1309,0)</f>
        <v>51.1646229368619</v>
      </c>
      <c r="W1309" s="27" t="n">
        <f aca="false">IF(Q1309="Open cut",D1309*(U1309*M1309+SLOPE_B*S1309^2+2*SLOPE_B*S1309*T1309+SLOPE_A*T1309^2),0)</f>
        <v>0</v>
      </c>
      <c r="X1309" s="27" t="n">
        <f aca="false">IF(M1309&gt;0,D1309*(E1309+2*SLABOVH)*SLAB,0)</f>
        <v>5.44207244380634</v>
      </c>
      <c r="Y1309" s="27" t="n">
        <f aca="false">IF(M1309&gt;0,D1309*PI()*E1309^2/4,0)</f>
        <v>13.3080066696025</v>
      </c>
      <c r="Z1309" s="27" t="n">
        <f aca="false">IF(H1309-E1309&gt;=GWL,99,E1309*(MAX(0,GWL-H1309)*(GAM_S-GAM_W)+MAX(0,NG-MAX(H1309,GWL))*GAM_D)/(GAM_W*PI()*E1309^2/4))</f>
        <v>0.852531423682652</v>
      </c>
      <c r="AA1309" s="27" t="n">
        <f aca="false">IF(I1309-E1309&gt;=GWL,99,E1309*(MAX(0,GWL-I1309)*(GAM_S-GAM_W)+MAX(0,NG-MAX(I1309,GWL))*GAM_D)/(GAM_W*PI()*E1309^2/4))</f>
        <v>0.852531423682652</v>
      </c>
      <c r="AB1309" s="27" t="n">
        <f aca="false">IF(H1309-E1309&gt;=GWL,99,E1309*(MAX(0,GWL-H1309)*(GAM_S-GAM_W)+MAX(0,FL-MAX(H1309,GWL))*GAM_D)/(GAM_W*PI()*E1309^2/4))</f>
        <v>2.61846098659994</v>
      </c>
      <c r="AC1309" s="27" t="n">
        <f aca="false">IF(I1309-E1309&gt;=GWL,99,E1309*(MAX(0,GWL-I1309)*(GAM_S-GAM_W)+MAX(0,FL-MAX(I1309,GWL))*GAM_D)/(GAM_W*PI()*E1309^2/4))</f>
        <v>2.61846098659994</v>
      </c>
    </row>
    <row r="1310" customFormat="false" ht="15" hidden="false" customHeight="false" outlineLevel="0" collapsed="false">
      <c r="A1310" s="25" t="s">
        <v>1936</v>
      </c>
      <c r="B1310" s="25" t="s">
        <v>1946</v>
      </c>
      <c r="C1310" s="25" t="s">
        <v>1957</v>
      </c>
      <c r="D1310" s="26" t="n">
        <v>3.34999745274738</v>
      </c>
      <c r="E1310" s="26" t="n">
        <v>2.24899426484932</v>
      </c>
      <c r="F1310" s="26" t="n">
        <v>-4.29449713242466</v>
      </c>
      <c r="G1310" s="26" t="n">
        <v>-4.29449713242466</v>
      </c>
      <c r="H1310" s="26" t="n">
        <v>-1.54550286757534</v>
      </c>
      <c r="I1310" s="26" t="n">
        <v>-1.54550286757534</v>
      </c>
      <c r="J1310" s="26" t="n">
        <v>21.15</v>
      </c>
      <c r="K1310" s="27" t="n">
        <f aca="false">MIN(F1310,G1310)</f>
        <v>-4.29449713242466</v>
      </c>
      <c r="L1310" s="27" t="n">
        <f aca="false">AVERAGE(F1310,G1310)</f>
        <v>-4.29449713242466</v>
      </c>
      <c r="M1310" s="27" t="n">
        <f aca="false">MAX(0,NG-L1310)</f>
        <v>3.59449713242466</v>
      </c>
      <c r="N1310" s="27" t="n">
        <f aca="false">MAX(0,GWL-K1310)</f>
        <v>2.79449713242466</v>
      </c>
      <c r="O1310" s="27" t="n">
        <f aca="false">MAX(0,NG-MAX(K1310,GWL))</f>
        <v>0.8</v>
      </c>
      <c r="P1310" s="27" t="n">
        <f aca="false">E1310/2+WS+SLOPE_A*O1310+SLOPE_B*N1310</f>
        <v>8.91349139727398</v>
      </c>
      <c r="Q1310" s="28" t="str">
        <f aca="false">IF(AND(P1310&lt;J1310,N1310&lt;=MAXOC),"Open cut","Shoring")</f>
        <v>Shoring</v>
      </c>
      <c r="R1310" s="27" t="n">
        <f aca="false">IF(Q1310="Shoring",D1310,0)</f>
        <v>3.34999745274738</v>
      </c>
      <c r="S1310" s="27" t="n">
        <f aca="false">MAX(0,GWL-L1310)</f>
        <v>2.79449713242466</v>
      </c>
      <c r="T1310" s="27" t="n">
        <f aca="false">MAX(0,NG-MAX(L1310,GWL))</f>
        <v>0.8</v>
      </c>
      <c r="U1310" s="27" t="n">
        <f aca="false">E1310+2*WS</f>
        <v>4.24899426484932</v>
      </c>
      <c r="V1310" s="27" t="n">
        <f aca="false">IF(Q1310="Shoring",D1310*M1310*U1310,0)</f>
        <v>51.1645033931272</v>
      </c>
      <c r="W1310" s="27" t="n">
        <f aca="false">IF(Q1310="Open cut",D1310*(U1310*M1310+SLOPE_B*S1310^2+2*SLOPE_B*S1310*T1310+SLOPE_A*T1310^2),0)</f>
        <v>0</v>
      </c>
      <c r="X1310" s="27" t="n">
        <f aca="false">IF(M1310&gt;0,D1310*(E1310+2*SLABOVH)*SLAB,0)</f>
        <v>5.44206125561804</v>
      </c>
      <c r="Y1310" s="27" t="n">
        <f aca="false">IF(M1310&gt;0,D1310*PI()*E1310^2/4,0)</f>
        <v>13.3079467389014</v>
      </c>
      <c r="Z1310" s="27" t="n">
        <f aca="false">IF(H1310-E1310&gt;=GWL,99,E1310*(MAX(0,GWL-H1310)*(GAM_S-GAM_W)+MAX(0,NG-MAX(H1310,GWL))*GAM_D)/(GAM_W*PI()*E1310^2/4))</f>
        <v>0.852534013850981</v>
      </c>
      <c r="AA1310" s="27" t="n">
        <f aca="false">IF(I1310-E1310&gt;=GWL,99,E1310*(MAX(0,GWL-I1310)*(GAM_S-GAM_W)+MAX(0,NG-MAX(I1310,GWL))*GAM_D)/(GAM_W*PI()*E1310^2/4))</f>
        <v>0.852534013850981</v>
      </c>
      <c r="AB1310" s="27" t="n">
        <f aca="false">IF(H1310-E1310&gt;=GWL,99,E1310*(MAX(0,GWL-H1310)*(GAM_S-GAM_W)+MAX(0,FL-MAX(H1310,GWL))*GAM_D)/(GAM_W*PI()*E1310^2/4))</f>
        <v>2.61846688167025</v>
      </c>
      <c r="AC1310" s="27" t="n">
        <f aca="false">IF(I1310-E1310&gt;=GWL,99,E1310*(MAX(0,GWL-I1310)*(GAM_S-GAM_W)+MAX(0,FL-MAX(I1310,GWL))*GAM_D)/(GAM_W*PI()*E1310^2/4))</f>
        <v>2.61846688167025</v>
      </c>
    </row>
    <row r="1311" customFormat="false" ht="15" hidden="false" customHeight="false" outlineLevel="0" collapsed="false">
      <c r="A1311" s="25" t="s">
        <v>1936</v>
      </c>
      <c r="B1311" s="25" t="s">
        <v>1946</v>
      </c>
      <c r="C1311" s="25" t="s">
        <v>1958</v>
      </c>
      <c r="D1311" s="26" t="n">
        <v>0.384411503627416</v>
      </c>
      <c r="E1311" s="26" t="n">
        <v>2.27639861240004</v>
      </c>
      <c r="F1311" s="26" t="n">
        <v>-4.30819930620002</v>
      </c>
      <c r="G1311" s="26" t="n">
        <v>-4.30819930620002</v>
      </c>
      <c r="H1311" s="26" t="n">
        <v>-1.53180069379998</v>
      </c>
      <c r="I1311" s="26" t="n">
        <v>-1.53180069379998</v>
      </c>
      <c r="J1311" s="26" t="n">
        <v>20.98</v>
      </c>
      <c r="K1311" s="27" t="n">
        <f aca="false">MIN(F1311,G1311)</f>
        <v>-4.30819930620002</v>
      </c>
      <c r="L1311" s="27" t="n">
        <f aca="false">AVERAGE(F1311,G1311)</f>
        <v>-4.30819930620002</v>
      </c>
      <c r="M1311" s="27" t="n">
        <f aca="false">MAX(0,NG-L1311)</f>
        <v>3.60819930620002</v>
      </c>
      <c r="N1311" s="27" t="n">
        <f aca="false">MAX(0,GWL-K1311)</f>
        <v>2.80819930620002</v>
      </c>
      <c r="O1311" s="27" t="n">
        <f aca="false">MAX(0,NG-MAX(K1311,GWL))</f>
        <v>0.8</v>
      </c>
      <c r="P1311" s="27" t="n">
        <f aca="false">E1311/2+WS+SLOPE_A*O1311+SLOPE_B*N1311</f>
        <v>8.95459791860005</v>
      </c>
      <c r="Q1311" s="28" t="str">
        <f aca="false">IF(AND(P1311&lt;J1311,N1311&lt;=MAXOC),"Open cut","Shoring")</f>
        <v>Shoring</v>
      </c>
      <c r="R1311" s="27" t="n">
        <f aca="false">IF(Q1311="Shoring",D1311,0)</f>
        <v>0.384411503627416</v>
      </c>
      <c r="S1311" s="27" t="n">
        <f aca="false">MAX(0,GWL-L1311)</f>
        <v>2.80819930620002</v>
      </c>
      <c r="T1311" s="27" t="n">
        <f aca="false">MAX(0,NG-MAX(L1311,GWL))</f>
        <v>0.8</v>
      </c>
      <c r="U1311" s="27" t="n">
        <f aca="false">E1311+2*WS</f>
        <v>4.27639861240004</v>
      </c>
      <c r="V1311" s="27" t="n">
        <f aca="false">IF(Q1311="Shoring",D1311*M1311*U1311,0)</f>
        <v>5.9315073679246</v>
      </c>
      <c r="W1311" s="27" t="n">
        <f aca="false">IF(Q1311="Open cut",D1311*(U1311*M1311+SLOPE_B*S1311^2+2*SLOPE_B*S1311*T1311+SLOPE_A*T1311^2),0)</f>
        <v>0</v>
      </c>
      <c r="X1311" s="27" t="n">
        <f aca="false">IF(M1311&gt;0,D1311*(E1311+2*SLABOVH)*SLAB,0)</f>
        <v>0.629742658537739</v>
      </c>
      <c r="Y1311" s="27" t="n">
        <f aca="false">IF(M1311&gt;0,D1311*PI()*E1311^2/4,0)</f>
        <v>1.56452634770712</v>
      </c>
      <c r="Z1311" s="27" t="n">
        <f aca="false">IF(H1311-E1311&gt;=GWL,99,E1311*(MAX(0,GWL-H1311)*(GAM_S-GAM_W)+MAX(0,NG-MAX(H1311,GWL))*GAM_D)/(GAM_W*PI()*E1311^2/4))</f>
        <v>0.835872488846662</v>
      </c>
      <c r="AA1311" s="27" t="n">
        <f aca="false">IF(I1311-E1311&gt;=GWL,99,E1311*(MAX(0,GWL-I1311)*(GAM_S-GAM_W)+MAX(0,NG-MAX(I1311,GWL))*GAM_D)/(GAM_W*PI()*E1311^2/4))</f>
        <v>0.835872488846662</v>
      </c>
      <c r="AB1311" s="27" t="n">
        <f aca="false">IF(H1311-E1311&gt;=GWL,99,E1311*(MAX(0,GWL-H1311)*(GAM_S-GAM_W)+MAX(0,FL-MAX(H1311,GWL))*GAM_D)/(GAM_W*PI()*E1311^2/4))</f>
        <v>2.58054623368223</v>
      </c>
      <c r="AC1311" s="27" t="n">
        <f aca="false">IF(I1311-E1311&gt;=GWL,99,E1311*(MAX(0,GWL-I1311)*(GAM_S-GAM_W)+MAX(0,FL-MAX(I1311,GWL))*GAM_D)/(GAM_W*PI()*E1311^2/4))</f>
        <v>2.58054623368223</v>
      </c>
    </row>
    <row r="1312" customFormat="false" ht="15" hidden="false" customHeight="false" outlineLevel="0" collapsed="false">
      <c r="A1312" s="25" t="s">
        <v>1936</v>
      </c>
      <c r="B1312" s="25" t="s">
        <v>1946</v>
      </c>
      <c r="C1312" s="25" t="s">
        <v>1959</v>
      </c>
      <c r="D1312" s="26" t="n">
        <v>9.99999999954045</v>
      </c>
      <c r="E1312" s="26" t="n">
        <v>2.27639861240004</v>
      </c>
      <c r="F1312" s="26" t="n">
        <v>-4.30819930620002</v>
      </c>
      <c r="G1312" s="26" t="n">
        <v>-4.30819930620002</v>
      </c>
      <c r="H1312" s="26" t="n">
        <v>-1.53180069379998</v>
      </c>
      <c r="I1312" s="26" t="n">
        <v>-1.53180069379998</v>
      </c>
      <c r="J1312" s="26" t="n">
        <v>17.67</v>
      </c>
      <c r="K1312" s="27" t="n">
        <f aca="false">MIN(F1312,G1312)</f>
        <v>-4.30819930620002</v>
      </c>
      <c r="L1312" s="27" t="n">
        <f aca="false">AVERAGE(F1312,G1312)</f>
        <v>-4.30819930620002</v>
      </c>
      <c r="M1312" s="27" t="n">
        <f aca="false">MAX(0,NG-L1312)</f>
        <v>3.60819930620002</v>
      </c>
      <c r="N1312" s="27" t="n">
        <f aca="false">MAX(0,GWL-K1312)</f>
        <v>2.80819930620002</v>
      </c>
      <c r="O1312" s="27" t="n">
        <f aca="false">MAX(0,NG-MAX(K1312,GWL))</f>
        <v>0.8</v>
      </c>
      <c r="P1312" s="27" t="n">
        <f aca="false">E1312/2+WS+SLOPE_A*O1312+SLOPE_B*N1312</f>
        <v>8.95459791860005</v>
      </c>
      <c r="Q1312" s="28" t="str">
        <f aca="false">IF(AND(P1312&lt;J1312,N1312&lt;=MAXOC),"Open cut","Shoring")</f>
        <v>Shoring</v>
      </c>
      <c r="R1312" s="27" t="n">
        <f aca="false">IF(Q1312="Shoring",D1312,0)</f>
        <v>9.99999999954045</v>
      </c>
      <c r="S1312" s="27" t="n">
        <f aca="false">MAX(0,GWL-L1312)</f>
        <v>2.80819930620002</v>
      </c>
      <c r="T1312" s="27" t="n">
        <f aca="false">MAX(0,NG-MAX(L1312,GWL))</f>
        <v>0.8</v>
      </c>
      <c r="U1312" s="27" t="n">
        <f aca="false">E1312+2*WS</f>
        <v>4.27639861240004</v>
      </c>
      <c r="V1312" s="27" t="n">
        <f aca="false">IF(Q1312="Shoring",D1312*M1312*U1312,0)</f>
        <v>154.300985055874</v>
      </c>
      <c r="W1312" s="27" t="n">
        <f aca="false">IF(Q1312="Open cut",D1312*(U1312*M1312+SLOPE_B*S1312^2+2*SLOPE_B*S1312*T1312+SLOPE_A*T1312^2),0)</f>
        <v>0</v>
      </c>
      <c r="X1312" s="27" t="n">
        <f aca="false">IF(M1312&gt;0,D1312*(E1312+2*SLABOVH)*SLAB,0)</f>
        <v>16.3819930612473</v>
      </c>
      <c r="Y1312" s="27" t="n">
        <f aca="false">IF(M1312&gt;0,D1312*PI()*E1312^2/4,0)</f>
        <v>40.6992593320414</v>
      </c>
      <c r="Z1312" s="27" t="n">
        <f aca="false">IF(H1312-E1312&gt;=GWL,99,E1312*(MAX(0,GWL-H1312)*(GAM_S-GAM_W)+MAX(0,NG-MAX(H1312,GWL))*GAM_D)/(GAM_W*PI()*E1312^2/4))</f>
        <v>0.835872488846662</v>
      </c>
      <c r="AA1312" s="27" t="n">
        <f aca="false">IF(I1312-E1312&gt;=GWL,99,E1312*(MAX(0,GWL-I1312)*(GAM_S-GAM_W)+MAX(0,NG-MAX(I1312,GWL))*GAM_D)/(GAM_W*PI()*E1312^2/4))</f>
        <v>0.835872488846662</v>
      </c>
      <c r="AB1312" s="27" t="n">
        <f aca="false">IF(H1312-E1312&gt;=GWL,99,E1312*(MAX(0,GWL-H1312)*(GAM_S-GAM_W)+MAX(0,FL-MAX(H1312,GWL))*GAM_D)/(GAM_W*PI()*E1312^2/4))</f>
        <v>2.58054623368223</v>
      </c>
      <c r="AC1312" s="27" t="n">
        <f aca="false">IF(I1312-E1312&gt;=GWL,99,E1312*(MAX(0,GWL-I1312)*(GAM_S-GAM_W)+MAX(0,FL-MAX(I1312,GWL))*GAM_D)/(GAM_W*PI()*E1312^2/4))</f>
        <v>2.58054623368223</v>
      </c>
    </row>
    <row r="1313" customFormat="false" ht="15" hidden="false" customHeight="false" outlineLevel="0" collapsed="false">
      <c r="A1313" s="25" t="s">
        <v>1936</v>
      </c>
      <c r="B1313" s="25" t="s">
        <v>1946</v>
      </c>
      <c r="C1313" s="25" t="s">
        <v>1960</v>
      </c>
      <c r="D1313" s="26" t="n">
        <v>9.9999999999427</v>
      </c>
      <c r="E1313" s="26" t="n">
        <v>2.27639861240004</v>
      </c>
      <c r="F1313" s="26" t="n">
        <v>-4.30819930620002</v>
      </c>
      <c r="G1313" s="26" t="n">
        <v>-4.30819930620002</v>
      </c>
      <c r="H1313" s="26" t="n">
        <v>-1.53180069379998</v>
      </c>
      <c r="I1313" s="26" t="n">
        <v>-1.53180069379998</v>
      </c>
      <c r="J1313" s="26" t="n">
        <v>16.37</v>
      </c>
      <c r="K1313" s="27" t="n">
        <f aca="false">MIN(F1313,G1313)</f>
        <v>-4.30819930620002</v>
      </c>
      <c r="L1313" s="27" t="n">
        <f aca="false">AVERAGE(F1313,G1313)</f>
        <v>-4.30819930620002</v>
      </c>
      <c r="M1313" s="27" t="n">
        <f aca="false">MAX(0,NG-L1313)</f>
        <v>3.60819930620002</v>
      </c>
      <c r="N1313" s="27" t="n">
        <f aca="false">MAX(0,GWL-K1313)</f>
        <v>2.80819930620002</v>
      </c>
      <c r="O1313" s="27" t="n">
        <f aca="false">MAX(0,NG-MAX(K1313,GWL))</f>
        <v>0.8</v>
      </c>
      <c r="P1313" s="27" t="n">
        <f aca="false">E1313/2+WS+SLOPE_A*O1313+SLOPE_B*N1313</f>
        <v>8.95459791860005</v>
      </c>
      <c r="Q1313" s="28" t="str">
        <f aca="false">IF(AND(P1313&lt;J1313,N1313&lt;=MAXOC),"Open cut","Shoring")</f>
        <v>Shoring</v>
      </c>
      <c r="R1313" s="27" t="n">
        <f aca="false">IF(Q1313="Shoring",D1313,0)</f>
        <v>9.9999999999427</v>
      </c>
      <c r="S1313" s="27" t="n">
        <f aca="false">MAX(0,GWL-L1313)</f>
        <v>2.80819930620002</v>
      </c>
      <c r="T1313" s="27" t="n">
        <f aca="false">MAX(0,NG-MAX(L1313,GWL))</f>
        <v>0.8</v>
      </c>
      <c r="U1313" s="27" t="n">
        <f aca="false">E1313+2*WS</f>
        <v>4.27639861240004</v>
      </c>
      <c r="V1313" s="27" t="n">
        <f aca="false">IF(Q1313="Shoring",D1313*M1313*U1313,0)</f>
        <v>154.300985062081</v>
      </c>
      <c r="W1313" s="27" t="n">
        <f aca="false">IF(Q1313="Open cut",D1313*(U1313*M1313+SLOPE_B*S1313^2+2*SLOPE_B*S1313*T1313+SLOPE_A*T1313^2),0)</f>
        <v>0</v>
      </c>
      <c r="X1313" s="27" t="n">
        <f aca="false">IF(M1313&gt;0,D1313*(E1313+2*SLABOVH)*SLAB,0)</f>
        <v>16.3819930619063</v>
      </c>
      <c r="Y1313" s="27" t="n">
        <f aca="false">IF(M1313&gt;0,D1313*PI()*E1313^2/4,0)</f>
        <v>40.6992593336786</v>
      </c>
      <c r="Z1313" s="27" t="n">
        <f aca="false">IF(H1313-E1313&gt;=GWL,99,E1313*(MAX(0,GWL-H1313)*(GAM_S-GAM_W)+MAX(0,NG-MAX(H1313,GWL))*GAM_D)/(GAM_W*PI()*E1313^2/4))</f>
        <v>0.835872488846662</v>
      </c>
      <c r="AA1313" s="27" t="n">
        <f aca="false">IF(I1313-E1313&gt;=GWL,99,E1313*(MAX(0,GWL-I1313)*(GAM_S-GAM_W)+MAX(0,NG-MAX(I1313,GWL))*GAM_D)/(GAM_W*PI()*E1313^2/4))</f>
        <v>0.835872488846662</v>
      </c>
      <c r="AB1313" s="27" t="n">
        <f aca="false">IF(H1313-E1313&gt;=GWL,99,E1313*(MAX(0,GWL-H1313)*(GAM_S-GAM_W)+MAX(0,FL-MAX(H1313,GWL))*GAM_D)/(GAM_W*PI()*E1313^2/4))</f>
        <v>2.58054623368223</v>
      </c>
      <c r="AC1313" s="27" t="n">
        <f aca="false">IF(I1313-E1313&gt;=GWL,99,E1313*(MAX(0,GWL-I1313)*(GAM_S-GAM_W)+MAX(0,FL-MAX(I1313,GWL))*GAM_D)/(GAM_W*PI()*E1313^2/4))</f>
        <v>2.58054623368223</v>
      </c>
    </row>
    <row r="1314" customFormat="false" ht="15" hidden="false" customHeight="false" outlineLevel="0" collapsed="false">
      <c r="A1314" s="25" t="s">
        <v>1936</v>
      </c>
      <c r="B1314" s="25" t="s">
        <v>1946</v>
      </c>
      <c r="C1314" s="25" t="s">
        <v>1961</v>
      </c>
      <c r="D1314" s="26" t="n">
        <v>10.0000000006886</v>
      </c>
      <c r="E1314" s="26" t="n">
        <v>2.27639861240004</v>
      </c>
      <c r="F1314" s="26" t="n">
        <v>-4.30819930620002</v>
      </c>
      <c r="G1314" s="26" t="n">
        <v>-4.30819930620002</v>
      </c>
      <c r="H1314" s="26" t="n">
        <v>-1.53180069379998</v>
      </c>
      <c r="I1314" s="26" t="n">
        <v>-1.53180069379998</v>
      </c>
      <c r="J1314" s="26" t="n">
        <v>16.36</v>
      </c>
      <c r="K1314" s="27" t="n">
        <f aca="false">MIN(F1314,G1314)</f>
        <v>-4.30819930620002</v>
      </c>
      <c r="L1314" s="27" t="n">
        <f aca="false">AVERAGE(F1314,G1314)</f>
        <v>-4.30819930620002</v>
      </c>
      <c r="M1314" s="27" t="n">
        <f aca="false">MAX(0,NG-L1314)</f>
        <v>3.60819930620002</v>
      </c>
      <c r="N1314" s="27" t="n">
        <f aca="false">MAX(0,GWL-K1314)</f>
        <v>2.80819930620002</v>
      </c>
      <c r="O1314" s="27" t="n">
        <f aca="false">MAX(0,NG-MAX(K1314,GWL))</f>
        <v>0.8</v>
      </c>
      <c r="P1314" s="27" t="n">
        <f aca="false">E1314/2+WS+SLOPE_A*O1314+SLOPE_B*N1314</f>
        <v>8.95459791860005</v>
      </c>
      <c r="Q1314" s="28" t="str">
        <f aca="false">IF(AND(P1314&lt;J1314,N1314&lt;=MAXOC),"Open cut","Shoring")</f>
        <v>Shoring</v>
      </c>
      <c r="R1314" s="27" t="n">
        <f aca="false">IF(Q1314="Shoring",D1314,0)</f>
        <v>10.0000000006886</v>
      </c>
      <c r="S1314" s="27" t="n">
        <f aca="false">MAX(0,GWL-L1314)</f>
        <v>2.80819930620002</v>
      </c>
      <c r="T1314" s="27" t="n">
        <f aca="false">MAX(0,NG-MAX(L1314,GWL))</f>
        <v>0.8</v>
      </c>
      <c r="U1314" s="27" t="n">
        <f aca="false">E1314+2*WS</f>
        <v>4.27639861240004</v>
      </c>
      <c r="V1314" s="27" t="n">
        <f aca="false">IF(Q1314="Shoring",D1314*M1314*U1314,0)</f>
        <v>154.30098507359</v>
      </c>
      <c r="W1314" s="27" t="n">
        <f aca="false">IF(Q1314="Open cut",D1314*(U1314*M1314+SLOPE_B*S1314^2+2*SLOPE_B*S1314*T1314+SLOPE_A*T1314^2),0)</f>
        <v>0</v>
      </c>
      <c r="X1314" s="27" t="n">
        <f aca="false">IF(M1314&gt;0,D1314*(E1314+2*SLABOVH)*SLAB,0)</f>
        <v>16.3819930631282</v>
      </c>
      <c r="Y1314" s="27" t="n">
        <f aca="false">IF(M1314&gt;0,D1314*PI()*E1314^2/4,0)</f>
        <v>40.6992593367142</v>
      </c>
      <c r="Z1314" s="27" t="n">
        <f aca="false">IF(H1314-E1314&gt;=GWL,99,E1314*(MAX(0,GWL-H1314)*(GAM_S-GAM_W)+MAX(0,NG-MAX(H1314,GWL))*GAM_D)/(GAM_W*PI()*E1314^2/4))</f>
        <v>0.835872488846662</v>
      </c>
      <c r="AA1314" s="27" t="n">
        <f aca="false">IF(I1314-E1314&gt;=GWL,99,E1314*(MAX(0,GWL-I1314)*(GAM_S-GAM_W)+MAX(0,NG-MAX(I1314,GWL))*GAM_D)/(GAM_W*PI()*E1314^2/4))</f>
        <v>0.835872488846662</v>
      </c>
      <c r="AB1314" s="27" t="n">
        <f aca="false">IF(H1314-E1314&gt;=GWL,99,E1314*(MAX(0,GWL-H1314)*(GAM_S-GAM_W)+MAX(0,FL-MAX(H1314,GWL))*GAM_D)/(GAM_W*PI()*E1314^2/4))</f>
        <v>2.58054623368223</v>
      </c>
      <c r="AC1314" s="27" t="n">
        <f aca="false">IF(I1314-E1314&gt;=GWL,99,E1314*(MAX(0,GWL-I1314)*(GAM_S-GAM_W)+MAX(0,FL-MAX(I1314,GWL))*GAM_D)/(GAM_W*PI()*E1314^2/4))</f>
        <v>2.58054623368223</v>
      </c>
    </row>
    <row r="1315" customFormat="false" ht="15" hidden="false" customHeight="false" outlineLevel="0" collapsed="false">
      <c r="A1315" s="25" t="s">
        <v>1936</v>
      </c>
      <c r="B1315" s="25" t="s">
        <v>1946</v>
      </c>
      <c r="C1315" s="25" t="s">
        <v>1962</v>
      </c>
      <c r="D1315" s="26" t="n">
        <v>9.99999999954045</v>
      </c>
      <c r="E1315" s="26" t="n">
        <v>2.27639861240004</v>
      </c>
      <c r="F1315" s="26" t="n">
        <v>-4.30819930620002</v>
      </c>
      <c r="G1315" s="26" t="n">
        <v>-4.30819930620002</v>
      </c>
      <c r="H1315" s="26" t="n">
        <v>-1.53180069379998</v>
      </c>
      <c r="I1315" s="26" t="n">
        <v>-1.53180069379998</v>
      </c>
      <c r="J1315" s="26" t="n">
        <v>17.24</v>
      </c>
      <c r="K1315" s="27" t="n">
        <f aca="false">MIN(F1315,G1315)</f>
        <v>-4.30819930620002</v>
      </c>
      <c r="L1315" s="27" t="n">
        <f aca="false">AVERAGE(F1315,G1315)</f>
        <v>-4.30819930620002</v>
      </c>
      <c r="M1315" s="27" t="n">
        <f aca="false">MAX(0,NG-L1315)</f>
        <v>3.60819930620002</v>
      </c>
      <c r="N1315" s="27" t="n">
        <f aca="false">MAX(0,GWL-K1315)</f>
        <v>2.80819930620002</v>
      </c>
      <c r="O1315" s="27" t="n">
        <f aca="false">MAX(0,NG-MAX(K1315,GWL))</f>
        <v>0.8</v>
      </c>
      <c r="P1315" s="27" t="n">
        <f aca="false">E1315/2+WS+SLOPE_A*O1315+SLOPE_B*N1315</f>
        <v>8.95459791860005</v>
      </c>
      <c r="Q1315" s="28" t="str">
        <f aca="false">IF(AND(P1315&lt;J1315,N1315&lt;=MAXOC),"Open cut","Shoring")</f>
        <v>Shoring</v>
      </c>
      <c r="R1315" s="27" t="n">
        <f aca="false">IF(Q1315="Shoring",D1315,0)</f>
        <v>9.99999999954045</v>
      </c>
      <c r="S1315" s="27" t="n">
        <f aca="false">MAX(0,GWL-L1315)</f>
        <v>2.80819930620002</v>
      </c>
      <c r="T1315" s="27" t="n">
        <f aca="false">MAX(0,NG-MAX(L1315,GWL))</f>
        <v>0.8</v>
      </c>
      <c r="U1315" s="27" t="n">
        <f aca="false">E1315+2*WS</f>
        <v>4.27639861240004</v>
      </c>
      <c r="V1315" s="27" t="n">
        <f aca="false">IF(Q1315="Shoring",D1315*M1315*U1315,0)</f>
        <v>154.300985055874</v>
      </c>
      <c r="W1315" s="27" t="n">
        <f aca="false">IF(Q1315="Open cut",D1315*(U1315*M1315+SLOPE_B*S1315^2+2*SLOPE_B*S1315*T1315+SLOPE_A*T1315^2),0)</f>
        <v>0</v>
      </c>
      <c r="X1315" s="27" t="n">
        <f aca="false">IF(M1315&gt;0,D1315*(E1315+2*SLABOVH)*SLAB,0)</f>
        <v>16.3819930612473</v>
      </c>
      <c r="Y1315" s="27" t="n">
        <f aca="false">IF(M1315&gt;0,D1315*PI()*E1315^2/4,0)</f>
        <v>40.6992593320414</v>
      </c>
      <c r="Z1315" s="27" t="n">
        <f aca="false">IF(H1315-E1315&gt;=GWL,99,E1315*(MAX(0,GWL-H1315)*(GAM_S-GAM_W)+MAX(0,NG-MAX(H1315,GWL))*GAM_D)/(GAM_W*PI()*E1315^2/4))</f>
        <v>0.835872488846662</v>
      </c>
      <c r="AA1315" s="27" t="n">
        <f aca="false">IF(I1315-E1315&gt;=GWL,99,E1315*(MAX(0,GWL-I1315)*(GAM_S-GAM_W)+MAX(0,NG-MAX(I1315,GWL))*GAM_D)/(GAM_W*PI()*E1315^2/4))</f>
        <v>0.835872488846662</v>
      </c>
      <c r="AB1315" s="27" t="n">
        <f aca="false">IF(H1315-E1315&gt;=GWL,99,E1315*(MAX(0,GWL-H1315)*(GAM_S-GAM_W)+MAX(0,FL-MAX(H1315,GWL))*GAM_D)/(GAM_W*PI()*E1315^2/4))</f>
        <v>2.58054623368223</v>
      </c>
      <c r="AC1315" s="27" t="n">
        <f aca="false">IF(I1315-E1315&gt;=GWL,99,E1315*(MAX(0,GWL-I1315)*(GAM_S-GAM_W)+MAX(0,FL-MAX(I1315,GWL))*GAM_D)/(GAM_W*PI()*E1315^2/4))</f>
        <v>2.58054623368223</v>
      </c>
    </row>
    <row r="1316" customFormat="false" ht="15" hidden="false" customHeight="false" outlineLevel="0" collapsed="false">
      <c r="A1316" s="25" t="s">
        <v>1936</v>
      </c>
      <c r="B1316" s="25" t="s">
        <v>1946</v>
      </c>
      <c r="C1316" s="25" t="s">
        <v>1963</v>
      </c>
      <c r="D1316" s="26" t="n">
        <v>9.9999999999427</v>
      </c>
      <c r="E1316" s="26" t="n">
        <v>2.27639861240004</v>
      </c>
      <c r="F1316" s="26" t="n">
        <v>-4.30819930620002</v>
      </c>
      <c r="G1316" s="26" t="n">
        <v>-4.30819930620002</v>
      </c>
      <c r="H1316" s="26" t="n">
        <v>-1.53180069379998</v>
      </c>
      <c r="I1316" s="26" t="n">
        <v>-1.53180069379998</v>
      </c>
      <c r="J1316" s="26" t="n">
        <v>20.17</v>
      </c>
      <c r="K1316" s="27" t="n">
        <f aca="false">MIN(F1316,G1316)</f>
        <v>-4.30819930620002</v>
      </c>
      <c r="L1316" s="27" t="n">
        <f aca="false">AVERAGE(F1316,G1316)</f>
        <v>-4.30819930620002</v>
      </c>
      <c r="M1316" s="27" t="n">
        <f aca="false">MAX(0,NG-L1316)</f>
        <v>3.60819930620002</v>
      </c>
      <c r="N1316" s="27" t="n">
        <f aca="false">MAX(0,GWL-K1316)</f>
        <v>2.80819930620002</v>
      </c>
      <c r="O1316" s="27" t="n">
        <f aca="false">MAX(0,NG-MAX(K1316,GWL))</f>
        <v>0.8</v>
      </c>
      <c r="P1316" s="27" t="n">
        <f aca="false">E1316/2+WS+SLOPE_A*O1316+SLOPE_B*N1316</f>
        <v>8.95459791860005</v>
      </c>
      <c r="Q1316" s="28" t="str">
        <f aca="false">IF(AND(P1316&lt;J1316,N1316&lt;=MAXOC),"Open cut","Shoring")</f>
        <v>Shoring</v>
      </c>
      <c r="R1316" s="27" t="n">
        <f aca="false">IF(Q1316="Shoring",D1316,0)</f>
        <v>9.9999999999427</v>
      </c>
      <c r="S1316" s="27" t="n">
        <f aca="false">MAX(0,GWL-L1316)</f>
        <v>2.80819930620002</v>
      </c>
      <c r="T1316" s="27" t="n">
        <f aca="false">MAX(0,NG-MAX(L1316,GWL))</f>
        <v>0.8</v>
      </c>
      <c r="U1316" s="27" t="n">
        <f aca="false">E1316+2*WS</f>
        <v>4.27639861240004</v>
      </c>
      <c r="V1316" s="27" t="n">
        <f aca="false">IF(Q1316="Shoring",D1316*M1316*U1316,0)</f>
        <v>154.300985062081</v>
      </c>
      <c r="W1316" s="27" t="n">
        <f aca="false">IF(Q1316="Open cut",D1316*(U1316*M1316+SLOPE_B*S1316^2+2*SLOPE_B*S1316*T1316+SLOPE_A*T1316^2),0)</f>
        <v>0</v>
      </c>
      <c r="X1316" s="27" t="n">
        <f aca="false">IF(M1316&gt;0,D1316*(E1316+2*SLABOVH)*SLAB,0)</f>
        <v>16.3819930619063</v>
      </c>
      <c r="Y1316" s="27" t="n">
        <f aca="false">IF(M1316&gt;0,D1316*PI()*E1316^2/4,0)</f>
        <v>40.6992593336786</v>
      </c>
      <c r="Z1316" s="27" t="n">
        <f aca="false">IF(H1316-E1316&gt;=GWL,99,E1316*(MAX(0,GWL-H1316)*(GAM_S-GAM_W)+MAX(0,NG-MAX(H1316,GWL))*GAM_D)/(GAM_W*PI()*E1316^2/4))</f>
        <v>0.835872488846662</v>
      </c>
      <c r="AA1316" s="27" t="n">
        <f aca="false">IF(I1316-E1316&gt;=GWL,99,E1316*(MAX(0,GWL-I1316)*(GAM_S-GAM_W)+MAX(0,NG-MAX(I1316,GWL))*GAM_D)/(GAM_W*PI()*E1316^2/4))</f>
        <v>0.835872488846662</v>
      </c>
      <c r="AB1316" s="27" t="n">
        <f aca="false">IF(H1316-E1316&gt;=GWL,99,E1316*(MAX(0,GWL-H1316)*(GAM_S-GAM_W)+MAX(0,FL-MAX(H1316,GWL))*GAM_D)/(GAM_W*PI()*E1316^2/4))</f>
        <v>2.58054623368223</v>
      </c>
      <c r="AC1316" s="27" t="n">
        <f aca="false">IF(I1316-E1316&gt;=GWL,99,E1316*(MAX(0,GWL-I1316)*(GAM_S-GAM_W)+MAX(0,FL-MAX(I1316,GWL))*GAM_D)/(GAM_W*PI()*E1316^2/4))</f>
        <v>2.58054623368223</v>
      </c>
    </row>
    <row r="1317" customFormat="false" ht="15" hidden="false" customHeight="false" outlineLevel="0" collapsed="false">
      <c r="A1317" s="25" t="s">
        <v>1936</v>
      </c>
      <c r="B1317" s="25" t="s">
        <v>1946</v>
      </c>
      <c r="C1317" s="25" t="s">
        <v>1964</v>
      </c>
      <c r="D1317" s="26" t="n">
        <v>9.9999999999427</v>
      </c>
      <c r="E1317" s="26" t="n">
        <v>2.27639861240004</v>
      </c>
      <c r="F1317" s="26" t="n">
        <v>-4.30819930620002</v>
      </c>
      <c r="G1317" s="26" t="n">
        <v>-4.30819930620002</v>
      </c>
      <c r="H1317" s="26" t="n">
        <v>-1.53180069379998</v>
      </c>
      <c r="I1317" s="26" t="n">
        <v>-1.53180069379998</v>
      </c>
      <c r="J1317" s="26" t="n">
        <v>24.83</v>
      </c>
      <c r="K1317" s="27" t="n">
        <f aca="false">MIN(F1317,G1317)</f>
        <v>-4.30819930620002</v>
      </c>
      <c r="L1317" s="27" t="n">
        <f aca="false">AVERAGE(F1317,G1317)</f>
        <v>-4.30819930620002</v>
      </c>
      <c r="M1317" s="27" t="n">
        <f aca="false">MAX(0,NG-L1317)</f>
        <v>3.60819930620002</v>
      </c>
      <c r="N1317" s="27" t="n">
        <f aca="false">MAX(0,GWL-K1317)</f>
        <v>2.80819930620002</v>
      </c>
      <c r="O1317" s="27" t="n">
        <f aca="false">MAX(0,NG-MAX(K1317,GWL))</f>
        <v>0.8</v>
      </c>
      <c r="P1317" s="27" t="n">
        <f aca="false">E1317/2+WS+SLOPE_A*O1317+SLOPE_B*N1317</f>
        <v>8.95459791860005</v>
      </c>
      <c r="Q1317" s="28" t="str">
        <f aca="false">IF(AND(P1317&lt;J1317,N1317&lt;=MAXOC),"Open cut","Shoring")</f>
        <v>Shoring</v>
      </c>
      <c r="R1317" s="27" t="n">
        <f aca="false">IF(Q1317="Shoring",D1317,0)</f>
        <v>9.9999999999427</v>
      </c>
      <c r="S1317" s="27" t="n">
        <f aca="false">MAX(0,GWL-L1317)</f>
        <v>2.80819930620002</v>
      </c>
      <c r="T1317" s="27" t="n">
        <f aca="false">MAX(0,NG-MAX(L1317,GWL))</f>
        <v>0.8</v>
      </c>
      <c r="U1317" s="27" t="n">
        <f aca="false">E1317+2*WS</f>
        <v>4.27639861240004</v>
      </c>
      <c r="V1317" s="27" t="n">
        <f aca="false">IF(Q1317="Shoring",D1317*M1317*U1317,0)</f>
        <v>154.300985062081</v>
      </c>
      <c r="W1317" s="27" t="n">
        <f aca="false">IF(Q1317="Open cut",D1317*(U1317*M1317+SLOPE_B*S1317^2+2*SLOPE_B*S1317*T1317+SLOPE_A*T1317^2),0)</f>
        <v>0</v>
      </c>
      <c r="X1317" s="27" t="n">
        <f aca="false">IF(M1317&gt;0,D1317*(E1317+2*SLABOVH)*SLAB,0)</f>
        <v>16.3819930619063</v>
      </c>
      <c r="Y1317" s="27" t="n">
        <f aca="false">IF(M1317&gt;0,D1317*PI()*E1317^2/4,0)</f>
        <v>40.6992593336786</v>
      </c>
      <c r="Z1317" s="27" t="n">
        <f aca="false">IF(H1317-E1317&gt;=GWL,99,E1317*(MAX(0,GWL-H1317)*(GAM_S-GAM_W)+MAX(0,NG-MAX(H1317,GWL))*GAM_D)/(GAM_W*PI()*E1317^2/4))</f>
        <v>0.835872488846662</v>
      </c>
      <c r="AA1317" s="27" t="n">
        <f aca="false">IF(I1317-E1317&gt;=GWL,99,E1317*(MAX(0,GWL-I1317)*(GAM_S-GAM_W)+MAX(0,NG-MAX(I1317,GWL))*GAM_D)/(GAM_W*PI()*E1317^2/4))</f>
        <v>0.835872488846662</v>
      </c>
      <c r="AB1317" s="27" t="n">
        <f aca="false">IF(H1317-E1317&gt;=GWL,99,E1317*(MAX(0,GWL-H1317)*(GAM_S-GAM_W)+MAX(0,FL-MAX(H1317,GWL))*GAM_D)/(GAM_W*PI()*E1317^2/4))</f>
        <v>2.58054623368223</v>
      </c>
      <c r="AC1317" s="27" t="n">
        <f aca="false">IF(I1317-E1317&gt;=GWL,99,E1317*(MAX(0,GWL-I1317)*(GAM_S-GAM_W)+MAX(0,FL-MAX(I1317,GWL))*GAM_D)/(GAM_W*PI()*E1317^2/4))</f>
        <v>2.58054623368223</v>
      </c>
    </row>
    <row r="1318" customFormat="false" ht="15" hidden="false" customHeight="false" outlineLevel="0" collapsed="false">
      <c r="A1318" s="25" t="s">
        <v>1936</v>
      </c>
      <c r="B1318" s="25" t="s">
        <v>1946</v>
      </c>
      <c r="C1318" s="25" t="s">
        <v>1965</v>
      </c>
      <c r="D1318" s="26" t="n">
        <v>9.9999999994818</v>
      </c>
      <c r="E1318" s="26" t="n">
        <v>2.27639861240004</v>
      </c>
      <c r="F1318" s="26" t="n">
        <v>-4.30819930620002</v>
      </c>
      <c r="G1318" s="26" t="n">
        <v>-4.30819930620002</v>
      </c>
      <c r="H1318" s="26" t="n">
        <v>-1.53180069379998</v>
      </c>
      <c r="I1318" s="26" t="n">
        <v>-1.53180069379998</v>
      </c>
      <c r="J1318" s="26" t="n">
        <v>21.26</v>
      </c>
      <c r="K1318" s="27" t="n">
        <f aca="false">MIN(F1318,G1318)</f>
        <v>-4.30819930620002</v>
      </c>
      <c r="L1318" s="27" t="n">
        <f aca="false">AVERAGE(F1318,G1318)</f>
        <v>-4.30819930620002</v>
      </c>
      <c r="M1318" s="27" t="n">
        <f aca="false">MAX(0,NG-L1318)</f>
        <v>3.60819930620002</v>
      </c>
      <c r="N1318" s="27" t="n">
        <f aca="false">MAX(0,GWL-K1318)</f>
        <v>2.80819930620002</v>
      </c>
      <c r="O1318" s="27" t="n">
        <f aca="false">MAX(0,NG-MAX(K1318,GWL))</f>
        <v>0.8</v>
      </c>
      <c r="P1318" s="27" t="n">
        <f aca="false">E1318/2+WS+SLOPE_A*O1318+SLOPE_B*N1318</f>
        <v>8.95459791860005</v>
      </c>
      <c r="Q1318" s="28" t="str">
        <f aca="false">IF(AND(P1318&lt;J1318,N1318&lt;=MAXOC),"Open cut","Shoring")</f>
        <v>Shoring</v>
      </c>
      <c r="R1318" s="27" t="n">
        <f aca="false">IF(Q1318="Shoring",D1318,0)</f>
        <v>9.9999999994818</v>
      </c>
      <c r="S1318" s="27" t="n">
        <f aca="false">MAX(0,GWL-L1318)</f>
        <v>2.80819930620002</v>
      </c>
      <c r="T1318" s="27" t="n">
        <f aca="false">MAX(0,NG-MAX(L1318,GWL))</f>
        <v>0.8</v>
      </c>
      <c r="U1318" s="27" t="n">
        <f aca="false">E1318+2*WS</f>
        <v>4.27639861240004</v>
      </c>
      <c r="V1318" s="27" t="n">
        <f aca="false">IF(Q1318="Shoring",D1318*M1318*U1318,0)</f>
        <v>154.300985054969</v>
      </c>
      <c r="W1318" s="27" t="n">
        <f aca="false">IF(Q1318="Open cut",D1318*(U1318*M1318+SLOPE_B*S1318^2+2*SLOPE_B*S1318*T1318+SLOPE_A*T1318^2),0)</f>
        <v>0</v>
      </c>
      <c r="X1318" s="27" t="n">
        <f aca="false">IF(M1318&gt;0,D1318*(E1318+2*SLABOVH)*SLAB,0)</f>
        <v>16.3819930611513</v>
      </c>
      <c r="Y1318" s="27" t="n">
        <f aca="false">IF(M1318&gt;0,D1318*PI()*E1318^2/4,0)</f>
        <v>40.6992593318027</v>
      </c>
      <c r="Z1318" s="27" t="n">
        <f aca="false">IF(H1318-E1318&gt;=GWL,99,E1318*(MAX(0,GWL-H1318)*(GAM_S-GAM_W)+MAX(0,NG-MAX(H1318,GWL))*GAM_D)/(GAM_W*PI()*E1318^2/4))</f>
        <v>0.835872488846662</v>
      </c>
      <c r="AA1318" s="27" t="n">
        <f aca="false">IF(I1318-E1318&gt;=GWL,99,E1318*(MAX(0,GWL-I1318)*(GAM_S-GAM_W)+MAX(0,NG-MAX(I1318,GWL))*GAM_D)/(GAM_W*PI()*E1318^2/4))</f>
        <v>0.835872488846662</v>
      </c>
      <c r="AB1318" s="27" t="n">
        <f aca="false">IF(H1318-E1318&gt;=GWL,99,E1318*(MAX(0,GWL-H1318)*(GAM_S-GAM_W)+MAX(0,FL-MAX(H1318,GWL))*GAM_D)/(GAM_W*PI()*E1318^2/4))</f>
        <v>2.58054623368223</v>
      </c>
      <c r="AC1318" s="27" t="n">
        <f aca="false">IF(I1318-E1318&gt;=GWL,99,E1318*(MAX(0,GWL-I1318)*(GAM_S-GAM_W)+MAX(0,FL-MAX(I1318,GWL))*GAM_D)/(GAM_W*PI()*E1318^2/4))</f>
        <v>2.58054623368223</v>
      </c>
    </row>
    <row r="1319" customFormat="false" ht="15" hidden="false" customHeight="false" outlineLevel="0" collapsed="false">
      <c r="A1319" s="25" t="s">
        <v>1936</v>
      </c>
      <c r="B1319" s="25" t="s">
        <v>1946</v>
      </c>
      <c r="C1319" s="25" t="s">
        <v>1966</v>
      </c>
      <c r="D1319" s="26" t="n">
        <v>10.0000000007472</v>
      </c>
      <c r="E1319" s="26" t="n">
        <v>2.27639861240004</v>
      </c>
      <c r="F1319" s="26" t="n">
        <v>-4.30819930620002</v>
      </c>
      <c r="G1319" s="26" t="n">
        <v>-4.30819930620002</v>
      </c>
      <c r="H1319" s="26" t="n">
        <v>-1.53180069379998</v>
      </c>
      <c r="I1319" s="26" t="n">
        <v>-1.53180069379998</v>
      </c>
      <c r="J1319" s="26" t="n">
        <v>17.91</v>
      </c>
      <c r="K1319" s="27" t="n">
        <f aca="false">MIN(F1319,G1319)</f>
        <v>-4.30819930620002</v>
      </c>
      <c r="L1319" s="27" t="n">
        <f aca="false">AVERAGE(F1319,G1319)</f>
        <v>-4.30819930620002</v>
      </c>
      <c r="M1319" s="27" t="n">
        <f aca="false">MAX(0,NG-L1319)</f>
        <v>3.60819930620002</v>
      </c>
      <c r="N1319" s="27" t="n">
        <f aca="false">MAX(0,GWL-K1319)</f>
        <v>2.80819930620002</v>
      </c>
      <c r="O1319" s="27" t="n">
        <f aca="false">MAX(0,NG-MAX(K1319,GWL))</f>
        <v>0.8</v>
      </c>
      <c r="P1319" s="27" t="n">
        <f aca="false">E1319/2+WS+SLOPE_A*O1319+SLOPE_B*N1319</f>
        <v>8.95459791860005</v>
      </c>
      <c r="Q1319" s="28" t="str">
        <f aca="false">IF(AND(P1319&lt;J1319,N1319&lt;=MAXOC),"Open cut","Shoring")</f>
        <v>Shoring</v>
      </c>
      <c r="R1319" s="27" t="n">
        <f aca="false">IF(Q1319="Shoring",D1319,0)</f>
        <v>10.0000000007472</v>
      </c>
      <c r="S1319" s="27" t="n">
        <f aca="false">MAX(0,GWL-L1319)</f>
        <v>2.80819930620002</v>
      </c>
      <c r="T1319" s="27" t="n">
        <f aca="false">MAX(0,NG-MAX(L1319,GWL))</f>
        <v>0.8</v>
      </c>
      <c r="U1319" s="27" t="n">
        <f aca="false">E1319+2*WS</f>
        <v>4.27639861240004</v>
      </c>
      <c r="V1319" s="27" t="n">
        <f aca="false">IF(Q1319="Shoring",D1319*M1319*U1319,0)</f>
        <v>154.300985074495</v>
      </c>
      <c r="W1319" s="27" t="n">
        <f aca="false">IF(Q1319="Open cut",D1319*(U1319*M1319+SLOPE_B*S1319^2+2*SLOPE_B*S1319*T1319+SLOPE_A*T1319^2),0)</f>
        <v>0</v>
      </c>
      <c r="X1319" s="27" t="n">
        <f aca="false">IF(M1319&gt;0,D1319*(E1319+2*SLABOVH)*SLAB,0)</f>
        <v>16.3819930632243</v>
      </c>
      <c r="Y1319" s="27" t="n">
        <f aca="false">IF(M1319&gt;0,D1319*PI()*E1319^2/4,0)</f>
        <v>40.6992593369529</v>
      </c>
      <c r="Z1319" s="27" t="n">
        <f aca="false">IF(H1319-E1319&gt;=GWL,99,E1319*(MAX(0,GWL-H1319)*(GAM_S-GAM_W)+MAX(0,NG-MAX(H1319,GWL))*GAM_D)/(GAM_W*PI()*E1319^2/4))</f>
        <v>0.835872488846662</v>
      </c>
      <c r="AA1319" s="27" t="n">
        <f aca="false">IF(I1319-E1319&gt;=GWL,99,E1319*(MAX(0,GWL-I1319)*(GAM_S-GAM_W)+MAX(0,NG-MAX(I1319,GWL))*GAM_D)/(GAM_W*PI()*E1319^2/4))</f>
        <v>0.835872488846662</v>
      </c>
      <c r="AB1319" s="27" t="n">
        <f aca="false">IF(H1319-E1319&gt;=GWL,99,E1319*(MAX(0,GWL-H1319)*(GAM_S-GAM_W)+MAX(0,FL-MAX(H1319,GWL))*GAM_D)/(GAM_W*PI()*E1319^2/4))</f>
        <v>2.58054623368223</v>
      </c>
      <c r="AC1319" s="27" t="n">
        <f aca="false">IF(I1319-E1319&gt;=GWL,99,E1319*(MAX(0,GWL-I1319)*(GAM_S-GAM_W)+MAX(0,FL-MAX(I1319,GWL))*GAM_D)/(GAM_W*PI()*E1319^2/4))</f>
        <v>2.58054623368223</v>
      </c>
    </row>
    <row r="1320" customFormat="false" ht="15" hidden="false" customHeight="false" outlineLevel="0" collapsed="false">
      <c r="A1320" s="25" t="s">
        <v>1936</v>
      </c>
      <c r="B1320" s="25" t="s">
        <v>1946</v>
      </c>
      <c r="C1320" s="25" t="s">
        <v>1967</v>
      </c>
      <c r="D1320" s="26" t="n">
        <v>9.9999999999427</v>
      </c>
      <c r="E1320" s="26" t="n">
        <v>2.27639861240004</v>
      </c>
      <c r="F1320" s="26" t="n">
        <v>-4.30819930620002</v>
      </c>
      <c r="G1320" s="26" t="n">
        <v>-4.30819930620002</v>
      </c>
      <c r="H1320" s="26" t="n">
        <v>-1.53180069379998</v>
      </c>
      <c r="I1320" s="26" t="n">
        <v>-1.53180069379998</v>
      </c>
      <c r="J1320" s="26" t="n">
        <v>16.55</v>
      </c>
      <c r="K1320" s="27" t="n">
        <f aca="false">MIN(F1320,G1320)</f>
        <v>-4.30819930620002</v>
      </c>
      <c r="L1320" s="27" t="n">
        <f aca="false">AVERAGE(F1320,G1320)</f>
        <v>-4.30819930620002</v>
      </c>
      <c r="M1320" s="27" t="n">
        <f aca="false">MAX(0,NG-L1320)</f>
        <v>3.60819930620002</v>
      </c>
      <c r="N1320" s="27" t="n">
        <f aca="false">MAX(0,GWL-K1320)</f>
        <v>2.80819930620002</v>
      </c>
      <c r="O1320" s="27" t="n">
        <f aca="false">MAX(0,NG-MAX(K1320,GWL))</f>
        <v>0.8</v>
      </c>
      <c r="P1320" s="27" t="n">
        <f aca="false">E1320/2+WS+SLOPE_A*O1320+SLOPE_B*N1320</f>
        <v>8.95459791860005</v>
      </c>
      <c r="Q1320" s="28" t="str">
        <f aca="false">IF(AND(P1320&lt;J1320,N1320&lt;=MAXOC),"Open cut","Shoring")</f>
        <v>Shoring</v>
      </c>
      <c r="R1320" s="27" t="n">
        <f aca="false">IF(Q1320="Shoring",D1320,0)</f>
        <v>9.9999999999427</v>
      </c>
      <c r="S1320" s="27" t="n">
        <f aca="false">MAX(0,GWL-L1320)</f>
        <v>2.80819930620002</v>
      </c>
      <c r="T1320" s="27" t="n">
        <f aca="false">MAX(0,NG-MAX(L1320,GWL))</f>
        <v>0.8</v>
      </c>
      <c r="U1320" s="27" t="n">
        <f aca="false">E1320+2*WS</f>
        <v>4.27639861240004</v>
      </c>
      <c r="V1320" s="27" t="n">
        <f aca="false">IF(Q1320="Shoring",D1320*M1320*U1320,0)</f>
        <v>154.300985062081</v>
      </c>
      <c r="W1320" s="27" t="n">
        <f aca="false">IF(Q1320="Open cut",D1320*(U1320*M1320+SLOPE_B*S1320^2+2*SLOPE_B*S1320*T1320+SLOPE_A*T1320^2),0)</f>
        <v>0</v>
      </c>
      <c r="X1320" s="27" t="n">
        <f aca="false">IF(M1320&gt;0,D1320*(E1320+2*SLABOVH)*SLAB,0)</f>
        <v>16.3819930619063</v>
      </c>
      <c r="Y1320" s="27" t="n">
        <f aca="false">IF(M1320&gt;0,D1320*PI()*E1320^2/4,0)</f>
        <v>40.6992593336786</v>
      </c>
      <c r="Z1320" s="27" t="n">
        <f aca="false">IF(H1320-E1320&gt;=GWL,99,E1320*(MAX(0,GWL-H1320)*(GAM_S-GAM_W)+MAX(0,NG-MAX(H1320,GWL))*GAM_D)/(GAM_W*PI()*E1320^2/4))</f>
        <v>0.835872488846662</v>
      </c>
      <c r="AA1320" s="27" t="n">
        <f aca="false">IF(I1320-E1320&gt;=GWL,99,E1320*(MAX(0,GWL-I1320)*(GAM_S-GAM_W)+MAX(0,NG-MAX(I1320,GWL))*GAM_D)/(GAM_W*PI()*E1320^2/4))</f>
        <v>0.835872488846662</v>
      </c>
      <c r="AB1320" s="27" t="n">
        <f aca="false">IF(H1320-E1320&gt;=GWL,99,E1320*(MAX(0,GWL-H1320)*(GAM_S-GAM_W)+MAX(0,FL-MAX(H1320,GWL))*GAM_D)/(GAM_W*PI()*E1320^2/4))</f>
        <v>2.58054623368223</v>
      </c>
      <c r="AC1320" s="27" t="n">
        <f aca="false">IF(I1320-E1320&gt;=GWL,99,E1320*(MAX(0,GWL-I1320)*(GAM_S-GAM_W)+MAX(0,FL-MAX(I1320,GWL))*GAM_D)/(GAM_W*PI()*E1320^2/4))</f>
        <v>2.58054623368223</v>
      </c>
    </row>
    <row r="1321" customFormat="false" ht="15" hidden="false" customHeight="false" outlineLevel="0" collapsed="false">
      <c r="A1321" s="25" t="s">
        <v>1936</v>
      </c>
      <c r="B1321" s="25" t="s">
        <v>1946</v>
      </c>
      <c r="C1321" s="25" t="s">
        <v>1968</v>
      </c>
      <c r="D1321" s="26" t="n">
        <v>9.9999999999427</v>
      </c>
      <c r="E1321" s="26" t="n">
        <v>2.27639861240004</v>
      </c>
      <c r="F1321" s="26" t="n">
        <v>-4.30819930620002</v>
      </c>
      <c r="G1321" s="26" t="n">
        <v>-4.30819930620002</v>
      </c>
      <c r="H1321" s="26" t="n">
        <v>-1.53180069379998</v>
      </c>
      <c r="I1321" s="26" t="n">
        <v>-1.53180069379998</v>
      </c>
      <c r="J1321" s="26" t="n">
        <v>16.53</v>
      </c>
      <c r="K1321" s="27" t="n">
        <f aca="false">MIN(F1321,G1321)</f>
        <v>-4.30819930620002</v>
      </c>
      <c r="L1321" s="27" t="n">
        <f aca="false">AVERAGE(F1321,G1321)</f>
        <v>-4.30819930620002</v>
      </c>
      <c r="M1321" s="27" t="n">
        <f aca="false">MAX(0,NG-L1321)</f>
        <v>3.60819930620002</v>
      </c>
      <c r="N1321" s="27" t="n">
        <f aca="false">MAX(0,GWL-K1321)</f>
        <v>2.80819930620002</v>
      </c>
      <c r="O1321" s="27" t="n">
        <f aca="false">MAX(0,NG-MAX(K1321,GWL))</f>
        <v>0.8</v>
      </c>
      <c r="P1321" s="27" t="n">
        <f aca="false">E1321/2+WS+SLOPE_A*O1321+SLOPE_B*N1321</f>
        <v>8.95459791860005</v>
      </c>
      <c r="Q1321" s="28" t="str">
        <f aca="false">IF(AND(P1321&lt;J1321,N1321&lt;=MAXOC),"Open cut","Shoring")</f>
        <v>Shoring</v>
      </c>
      <c r="R1321" s="27" t="n">
        <f aca="false">IF(Q1321="Shoring",D1321,0)</f>
        <v>9.9999999999427</v>
      </c>
      <c r="S1321" s="27" t="n">
        <f aca="false">MAX(0,GWL-L1321)</f>
        <v>2.80819930620002</v>
      </c>
      <c r="T1321" s="27" t="n">
        <f aca="false">MAX(0,NG-MAX(L1321,GWL))</f>
        <v>0.8</v>
      </c>
      <c r="U1321" s="27" t="n">
        <f aca="false">E1321+2*WS</f>
        <v>4.27639861240004</v>
      </c>
      <c r="V1321" s="27" t="n">
        <f aca="false">IF(Q1321="Shoring",D1321*M1321*U1321,0)</f>
        <v>154.300985062081</v>
      </c>
      <c r="W1321" s="27" t="n">
        <f aca="false">IF(Q1321="Open cut",D1321*(U1321*M1321+SLOPE_B*S1321^2+2*SLOPE_B*S1321*T1321+SLOPE_A*T1321^2),0)</f>
        <v>0</v>
      </c>
      <c r="X1321" s="27" t="n">
        <f aca="false">IF(M1321&gt;0,D1321*(E1321+2*SLABOVH)*SLAB,0)</f>
        <v>16.3819930619063</v>
      </c>
      <c r="Y1321" s="27" t="n">
        <f aca="false">IF(M1321&gt;0,D1321*PI()*E1321^2/4,0)</f>
        <v>40.6992593336786</v>
      </c>
      <c r="Z1321" s="27" t="n">
        <f aca="false">IF(H1321-E1321&gt;=GWL,99,E1321*(MAX(0,GWL-H1321)*(GAM_S-GAM_W)+MAX(0,NG-MAX(H1321,GWL))*GAM_D)/(GAM_W*PI()*E1321^2/4))</f>
        <v>0.835872488846662</v>
      </c>
      <c r="AA1321" s="27" t="n">
        <f aca="false">IF(I1321-E1321&gt;=GWL,99,E1321*(MAX(0,GWL-I1321)*(GAM_S-GAM_W)+MAX(0,NG-MAX(I1321,GWL))*GAM_D)/(GAM_W*PI()*E1321^2/4))</f>
        <v>0.835872488846662</v>
      </c>
      <c r="AB1321" s="27" t="n">
        <f aca="false">IF(H1321-E1321&gt;=GWL,99,E1321*(MAX(0,GWL-H1321)*(GAM_S-GAM_W)+MAX(0,FL-MAX(H1321,GWL))*GAM_D)/(GAM_W*PI()*E1321^2/4))</f>
        <v>2.58054623368223</v>
      </c>
      <c r="AC1321" s="27" t="n">
        <f aca="false">IF(I1321-E1321&gt;=GWL,99,E1321*(MAX(0,GWL-I1321)*(GAM_S-GAM_W)+MAX(0,FL-MAX(I1321,GWL))*GAM_D)/(GAM_W*PI()*E1321^2/4))</f>
        <v>2.58054623368223</v>
      </c>
    </row>
    <row r="1322" customFormat="false" ht="15" hidden="false" customHeight="false" outlineLevel="0" collapsed="false">
      <c r="A1322" s="25" t="s">
        <v>1936</v>
      </c>
      <c r="B1322" s="25" t="s">
        <v>1946</v>
      </c>
      <c r="C1322" s="25" t="s">
        <v>1969</v>
      </c>
      <c r="D1322" s="26" t="n">
        <v>6.22128587609941</v>
      </c>
      <c r="E1322" s="26" t="n">
        <v>2.27639861240004</v>
      </c>
      <c r="F1322" s="26" t="n">
        <v>-4.30819930620002</v>
      </c>
      <c r="G1322" s="26" t="n">
        <v>-4.30819930620002</v>
      </c>
      <c r="H1322" s="26" t="n">
        <v>-1.53180069379998</v>
      </c>
      <c r="I1322" s="26" t="n">
        <v>-1.53180069379998</v>
      </c>
      <c r="J1322" s="26" t="n">
        <v>17.36</v>
      </c>
      <c r="K1322" s="27" t="n">
        <f aca="false">MIN(F1322,G1322)</f>
        <v>-4.30819930620002</v>
      </c>
      <c r="L1322" s="27" t="n">
        <f aca="false">AVERAGE(F1322,G1322)</f>
        <v>-4.30819930620002</v>
      </c>
      <c r="M1322" s="27" t="n">
        <f aca="false">MAX(0,NG-L1322)</f>
        <v>3.60819930620002</v>
      </c>
      <c r="N1322" s="27" t="n">
        <f aca="false">MAX(0,GWL-K1322)</f>
        <v>2.80819930620002</v>
      </c>
      <c r="O1322" s="27" t="n">
        <f aca="false">MAX(0,NG-MAX(K1322,GWL))</f>
        <v>0.8</v>
      </c>
      <c r="P1322" s="27" t="n">
        <f aca="false">E1322/2+WS+SLOPE_A*O1322+SLOPE_B*N1322</f>
        <v>8.95459791860005</v>
      </c>
      <c r="Q1322" s="28" t="str">
        <f aca="false">IF(AND(P1322&lt;J1322,N1322&lt;=MAXOC),"Open cut","Shoring")</f>
        <v>Shoring</v>
      </c>
      <c r="R1322" s="27" t="n">
        <f aca="false">IF(Q1322="Shoring",D1322,0)</f>
        <v>6.22128587609941</v>
      </c>
      <c r="S1322" s="27" t="n">
        <f aca="false">MAX(0,GWL-L1322)</f>
        <v>2.80819930620002</v>
      </c>
      <c r="T1322" s="27" t="n">
        <f aca="false">MAX(0,NG-MAX(L1322,GWL))</f>
        <v>0.8</v>
      </c>
      <c r="U1322" s="27" t="n">
        <f aca="false">E1322+2*WS</f>
        <v>4.27639861240004</v>
      </c>
      <c r="V1322" s="27" t="n">
        <f aca="false">IF(Q1322="Shoring",D1322*M1322*U1322,0)</f>
        <v>95.9950539040452</v>
      </c>
      <c r="W1322" s="27" t="n">
        <f aca="false">IF(Q1322="Open cut",D1322*(U1322*M1322+SLOPE_B*S1322^2+2*SLOPE_B*S1322*T1322+SLOPE_A*T1322^2),0)</f>
        <v>0</v>
      </c>
      <c r="X1322" s="27" t="n">
        <f aca="false">IF(M1322&gt;0,D1322*(E1322+2*SLABOVH)*SLAB,0)</f>
        <v>10.191706205898</v>
      </c>
      <c r="Y1322" s="27" t="n">
        <f aca="false">IF(M1322&gt;0,D1322*PI()*E1322^2/4,0)</f>
        <v>25.3201727261772</v>
      </c>
      <c r="Z1322" s="27" t="n">
        <f aca="false">IF(H1322-E1322&gt;=GWL,99,E1322*(MAX(0,GWL-H1322)*(GAM_S-GAM_W)+MAX(0,NG-MAX(H1322,GWL))*GAM_D)/(GAM_W*PI()*E1322^2/4))</f>
        <v>0.835872488846662</v>
      </c>
      <c r="AA1322" s="27" t="n">
        <f aca="false">IF(I1322-E1322&gt;=GWL,99,E1322*(MAX(0,GWL-I1322)*(GAM_S-GAM_W)+MAX(0,NG-MAX(I1322,GWL))*GAM_D)/(GAM_W*PI()*E1322^2/4))</f>
        <v>0.835872488846662</v>
      </c>
      <c r="AB1322" s="27" t="n">
        <f aca="false">IF(H1322-E1322&gt;=GWL,99,E1322*(MAX(0,GWL-H1322)*(GAM_S-GAM_W)+MAX(0,FL-MAX(H1322,GWL))*GAM_D)/(GAM_W*PI()*E1322^2/4))</f>
        <v>2.58054623368223</v>
      </c>
      <c r="AC1322" s="27" t="n">
        <f aca="false">IF(I1322-E1322&gt;=GWL,99,E1322*(MAX(0,GWL-I1322)*(GAM_S-GAM_W)+MAX(0,FL-MAX(I1322,GWL))*GAM_D)/(GAM_W*PI()*E1322^2/4))</f>
        <v>2.58054623368223</v>
      </c>
    </row>
    <row r="1323" customFormat="false" ht="15" hidden="false" customHeight="false" outlineLevel="0" collapsed="false">
      <c r="A1323" s="25" t="s">
        <v>1936</v>
      </c>
      <c r="B1323" s="25" t="s">
        <v>1946</v>
      </c>
      <c r="C1323" s="25" t="s">
        <v>1970</v>
      </c>
      <c r="D1323" s="26" t="n">
        <v>3.35000105400767</v>
      </c>
      <c r="E1323" s="26" t="n">
        <v>2.24899289986599</v>
      </c>
      <c r="F1323" s="26" t="n">
        <v>-4.294496449933</v>
      </c>
      <c r="G1323" s="26" t="n">
        <v>-4.294496449933</v>
      </c>
      <c r="H1323" s="26" t="n">
        <v>-1.545503550067</v>
      </c>
      <c r="I1323" s="26" t="n">
        <v>-1.545503550067</v>
      </c>
      <c r="J1323" s="26" t="n">
        <v>18.93</v>
      </c>
      <c r="K1323" s="27" t="n">
        <f aca="false">MIN(F1323,G1323)</f>
        <v>-4.294496449933</v>
      </c>
      <c r="L1323" s="27" t="n">
        <f aca="false">AVERAGE(F1323,G1323)</f>
        <v>-4.294496449933</v>
      </c>
      <c r="M1323" s="27" t="n">
        <f aca="false">MAX(0,NG-L1323)</f>
        <v>3.594496449933</v>
      </c>
      <c r="N1323" s="27" t="n">
        <f aca="false">MAX(0,GWL-K1323)</f>
        <v>2.794496449933</v>
      </c>
      <c r="O1323" s="27" t="n">
        <f aca="false">MAX(0,NG-MAX(K1323,GWL))</f>
        <v>0.8</v>
      </c>
      <c r="P1323" s="27" t="n">
        <f aca="false">E1323/2+WS+SLOPE_A*O1323+SLOPE_B*N1323</f>
        <v>8.91348934979899</v>
      </c>
      <c r="Q1323" s="28" t="str">
        <f aca="false">IF(AND(P1323&lt;J1323,N1323&lt;=MAXOC),"Open cut","Shoring")</f>
        <v>Shoring</v>
      </c>
      <c r="R1323" s="27" t="n">
        <f aca="false">IF(Q1323="Shoring",D1323,0)</f>
        <v>3.35000105400767</v>
      </c>
      <c r="S1323" s="27" t="n">
        <f aca="false">MAX(0,GWL-L1323)</f>
        <v>2.794496449933</v>
      </c>
      <c r="T1323" s="27" t="n">
        <f aca="false">MAX(0,NG-MAX(L1323,GWL))</f>
        <v>0.8</v>
      </c>
      <c r="U1323" s="27" t="n">
        <f aca="false">E1323+2*WS</f>
        <v>4.24899289986599</v>
      </c>
      <c r="V1323" s="27" t="n">
        <f aca="false">IF(Q1323="Shoring",D1323*M1323*U1323,0)</f>
        <v>51.1645322439506</v>
      </c>
      <c r="W1323" s="27" t="n">
        <f aca="false">IF(Q1323="Open cut",D1323*(U1323*M1323+SLOPE_B*S1323^2+2*SLOPE_B*S1323*T1323+SLOPE_A*T1323^2),0)</f>
        <v>0</v>
      </c>
      <c r="X1323" s="27" t="n">
        <f aca="false">IF(M1323&gt;0,D1323*(E1323+2*SLABOVH)*SLAB,0)</f>
        <v>5.44206481950726</v>
      </c>
      <c r="Y1323" s="27" t="n">
        <f aca="false">IF(M1323&gt;0,D1323*PI()*E1323^2/4,0)</f>
        <v>13.3079448909846</v>
      </c>
      <c r="Z1323" s="27" t="n">
        <f aca="false">IF(H1323-E1323&gt;=GWL,99,E1323*(MAX(0,GWL-H1323)*(GAM_S-GAM_W)+MAX(0,NG-MAX(H1323,GWL))*GAM_D)/(GAM_W*PI()*E1323^2/4))</f>
        <v>0.852534853857888</v>
      </c>
      <c r="AA1323" s="27" t="n">
        <f aca="false">IF(I1323-E1323&gt;=GWL,99,E1323*(MAX(0,GWL-I1323)*(GAM_S-GAM_W)+MAX(0,NG-MAX(I1323,GWL))*GAM_D)/(GAM_W*PI()*E1323^2/4))</f>
        <v>0.852534853857888</v>
      </c>
      <c r="AB1323" s="27" t="n">
        <f aca="false">IF(H1323-E1323&gt;=GWL,99,E1323*(MAX(0,GWL-H1323)*(GAM_S-GAM_W)+MAX(0,FL-MAX(H1323,GWL))*GAM_D)/(GAM_W*PI()*E1323^2/4))</f>
        <v>2.61846879347642</v>
      </c>
      <c r="AC1323" s="27" t="n">
        <f aca="false">IF(I1323-E1323&gt;=GWL,99,E1323*(MAX(0,GWL-I1323)*(GAM_S-GAM_W)+MAX(0,FL-MAX(I1323,GWL))*GAM_D)/(GAM_W*PI()*E1323^2/4))</f>
        <v>2.61846879347642</v>
      </c>
    </row>
    <row r="1324" customFormat="false" ht="15" hidden="false" customHeight="false" outlineLevel="0" collapsed="false">
      <c r="A1324" s="25" t="s">
        <v>1936</v>
      </c>
      <c r="B1324" s="25" t="s">
        <v>1946</v>
      </c>
      <c r="C1324" s="25" t="s">
        <v>1971</v>
      </c>
      <c r="D1324" s="26" t="n">
        <v>0.428713069630142</v>
      </c>
      <c r="E1324" s="26" t="n">
        <v>2.24899383631311</v>
      </c>
      <c r="F1324" s="26" t="n">
        <v>-4.29449691815655</v>
      </c>
      <c r="G1324" s="26" t="n">
        <v>-4.29449691815655</v>
      </c>
      <c r="H1324" s="26" t="n">
        <v>-1.54550308184345</v>
      </c>
      <c r="I1324" s="26" t="n">
        <v>-1.54550308184345</v>
      </c>
      <c r="J1324" s="26" t="n">
        <v>19.91</v>
      </c>
      <c r="K1324" s="27" t="n">
        <f aca="false">MIN(F1324,G1324)</f>
        <v>-4.29449691815655</v>
      </c>
      <c r="L1324" s="27" t="n">
        <f aca="false">AVERAGE(F1324,G1324)</f>
        <v>-4.29449691815655</v>
      </c>
      <c r="M1324" s="27" t="n">
        <f aca="false">MAX(0,NG-L1324)</f>
        <v>3.59449691815655</v>
      </c>
      <c r="N1324" s="27" t="n">
        <f aca="false">MAX(0,GWL-K1324)</f>
        <v>2.79449691815655</v>
      </c>
      <c r="O1324" s="27" t="n">
        <f aca="false">MAX(0,NG-MAX(K1324,GWL))</f>
        <v>0.8</v>
      </c>
      <c r="P1324" s="27" t="n">
        <f aca="false">E1324/2+WS+SLOPE_A*O1324+SLOPE_B*N1324</f>
        <v>8.91349075446966</v>
      </c>
      <c r="Q1324" s="28" t="str">
        <f aca="false">IF(AND(P1324&lt;J1324,N1324&lt;=MAXOC),"Open cut","Shoring")</f>
        <v>Shoring</v>
      </c>
      <c r="R1324" s="27" t="n">
        <f aca="false">IF(Q1324="Shoring",D1324,0)</f>
        <v>0.428713069630142</v>
      </c>
      <c r="S1324" s="27" t="n">
        <f aca="false">MAX(0,GWL-L1324)</f>
        <v>2.79449691815655</v>
      </c>
      <c r="T1324" s="27" t="n">
        <f aca="false">MAX(0,NG-MAX(L1324,GWL))</f>
        <v>0.8</v>
      </c>
      <c r="U1324" s="27" t="n">
        <f aca="false">E1324+2*WS</f>
        <v>4.24899383631311</v>
      </c>
      <c r="V1324" s="27" t="n">
        <f aca="false">IF(Q1324="Shoring",D1324*M1324*U1324,0)</f>
        <v>6.54773267602848</v>
      </c>
      <c r="W1324" s="27" t="n">
        <f aca="false">IF(Q1324="Open cut",D1324*(U1324*M1324+SLOPE_B*S1324^2+2*SLOPE_B*S1324*T1324+SLOPE_A*T1324^2),0)</f>
        <v>0</v>
      </c>
      <c r="X1324" s="27" t="n">
        <f aca="false">IF(M1324&gt;0,D1324*(E1324+2*SLABOVH)*SLAB,0)</f>
        <v>0.696443060387601</v>
      </c>
      <c r="Y1324" s="27" t="n">
        <f aca="false">IF(M1324&gt;0,D1324*PI()*E1324^2/4,0)</f>
        <v>1.70307249576942</v>
      </c>
      <c r="Z1324" s="27" t="n">
        <f aca="false">IF(H1324-E1324&gt;=GWL,99,E1324*(MAX(0,GWL-H1324)*(GAM_S-GAM_W)+MAX(0,NG-MAX(H1324,GWL))*GAM_D)/(GAM_W*PI()*E1324^2/4))</f>
        <v>0.852534277570854</v>
      </c>
      <c r="AA1324" s="27" t="n">
        <f aca="false">IF(I1324-E1324&gt;=GWL,99,E1324*(MAX(0,GWL-I1324)*(GAM_S-GAM_W)+MAX(0,NG-MAX(I1324,GWL))*GAM_D)/(GAM_W*PI()*E1324^2/4))</f>
        <v>0.852534277570854</v>
      </c>
      <c r="AB1324" s="27" t="n">
        <f aca="false">IF(H1324-E1324&gt;=GWL,99,E1324*(MAX(0,GWL-H1324)*(GAM_S-GAM_W)+MAX(0,FL-MAX(H1324,GWL))*GAM_D)/(GAM_W*PI()*E1324^2/4))</f>
        <v>2.61846748188113</v>
      </c>
      <c r="AC1324" s="27" t="n">
        <f aca="false">IF(I1324-E1324&gt;=GWL,99,E1324*(MAX(0,GWL-I1324)*(GAM_S-GAM_W)+MAX(0,FL-MAX(I1324,GWL))*GAM_D)/(GAM_W*PI()*E1324^2/4))</f>
        <v>2.61846748188113</v>
      </c>
    </row>
    <row r="1325" customFormat="false" ht="15" hidden="false" customHeight="false" outlineLevel="0" collapsed="false">
      <c r="A1325" s="25" t="s">
        <v>1936</v>
      </c>
      <c r="B1325" s="25" t="s">
        <v>1946</v>
      </c>
      <c r="C1325" s="25" t="s">
        <v>1972</v>
      </c>
      <c r="D1325" s="26" t="n">
        <v>2.92128692972607</v>
      </c>
      <c r="E1325" s="26" t="n">
        <v>2.24899383631311</v>
      </c>
      <c r="F1325" s="26" t="n">
        <v>-4.29449691815655</v>
      </c>
      <c r="G1325" s="26" t="n">
        <v>-4.29449691815655</v>
      </c>
      <c r="H1325" s="26" t="n">
        <v>-1.54550308184345</v>
      </c>
      <c r="I1325" s="26" t="n">
        <v>-1.54550308184345</v>
      </c>
      <c r="J1325" s="26" t="n">
        <v>18.86</v>
      </c>
      <c r="K1325" s="27" t="n">
        <f aca="false">MIN(F1325,G1325)</f>
        <v>-4.29449691815655</v>
      </c>
      <c r="L1325" s="27" t="n">
        <f aca="false">AVERAGE(F1325,G1325)</f>
        <v>-4.29449691815655</v>
      </c>
      <c r="M1325" s="27" t="n">
        <f aca="false">MAX(0,NG-L1325)</f>
        <v>3.59449691815655</v>
      </c>
      <c r="N1325" s="27" t="n">
        <f aca="false">MAX(0,GWL-K1325)</f>
        <v>2.79449691815655</v>
      </c>
      <c r="O1325" s="27" t="n">
        <f aca="false">MAX(0,NG-MAX(K1325,GWL))</f>
        <v>0.8</v>
      </c>
      <c r="P1325" s="27" t="n">
        <f aca="false">E1325/2+WS+SLOPE_A*O1325+SLOPE_B*N1325</f>
        <v>8.91349075446966</v>
      </c>
      <c r="Q1325" s="28" t="str">
        <f aca="false">IF(AND(P1325&lt;J1325,N1325&lt;=MAXOC),"Open cut","Shoring")</f>
        <v>Shoring</v>
      </c>
      <c r="R1325" s="27" t="n">
        <f aca="false">IF(Q1325="Shoring",D1325,0)</f>
        <v>2.92128692972607</v>
      </c>
      <c r="S1325" s="27" t="n">
        <f aca="false">MAX(0,GWL-L1325)</f>
        <v>2.79449691815655</v>
      </c>
      <c r="T1325" s="27" t="n">
        <f aca="false">MAX(0,NG-MAX(L1325,GWL))</f>
        <v>0.8</v>
      </c>
      <c r="U1325" s="27" t="n">
        <f aca="false">E1325+2*WS</f>
        <v>4.24899383631311</v>
      </c>
      <c r="V1325" s="27" t="n">
        <f aca="false">IF(Q1325="Shoring",D1325*M1325*U1325,0)</f>
        <v>44.6168014012826</v>
      </c>
      <c r="W1325" s="27" t="n">
        <f aca="false">IF(Q1325="Open cut",D1325*(U1325*M1325+SLOPE_B*S1325^2+2*SLOPE_B*S1325*T1325+SLOPE_A*T1325^2),0)</f>
        <v>0</v>
      </c>
      <c r="X1325" s="27" t="n">
        <f aca="false">IF(M1325&gt;0,D1325*(E1325+2*SLABOVH)*SLAB,0)</f>
        <v>4.74562161439101</v>
      </c>
      <c r="Y1325" s="27" t="n">
        <f aca="false">IF(M1325&gt;0,D1325*PI()*E1325^2/4,0)</f>
        <v>11.60487928805</v>
      </c>
      <c r="Z1325" s="27" t="n">
        <f aca="false">IF(H1325-E1325&gt;=GWL,99,E1325*(MAX(0,GWL-H1325)*(GAM_S-GAM_W)+MAX(0,NG-MAX(H1325,GWL))*GAM_D)/(GAM_W*PI()*E1325^2/4))</f>
        <v>0.852534277570854</v>
      </c>
      <c r="AA1325" s="27" t="n">
        <f aca="false">IF(I1325-E1325&gt;=GWL,99,E1325*(MAX(0,GWL-I1325)*(GAM_S-GAM_W)+MAX(0,NG-MAX(I1325,GWL))*GAM_D)/(GAM_W*PI()*E1325^2/4))</f>
        <v>0.852534277570854</v>
      </c>
      <c r="AB1325" s="27" t="n">
        <f aca="false">IF(H1325-E1325&gt;=GWL,99,E1325*(MAX(0,GWL-H1325)*(GAM_S-GAM_W)+MAX(0,FL-MAX(H1325,GWL))*GAM_D)/(GAM_W*PI()*E1325^2/4))</f>
        <v>2.61846748188113</v>
      </c>
      <c r="AC1325" s="27" t="n">
        <f aca="false">IF(I1325-E1325&gt;=GWL,99,E1325*(MAX(0,GWL-I1325)*(GAM_S-GAM_W)+MAX(0,FL-MAX(I1325,GWL))*GAM_D)/(GAM_W*PI()*E1325^2/4))</f>
        <v>2.61846748188113</v>
      </c>
    </row>
    <row r="1326" customFormat="false" ht="15" hidden="false" customHeight="false" outlineLevel="0" collapsed="false">
      <c r="A1326" s="25" t="s">
        <v>1936</v>
      </c>
      <c r="B1326" s="25" t="s">
        <v>1946</v>
      </c>
      <c r="C1326" s="25" t="s">
        <v>1973</v>
      </c>
      <c r="D1326" s="26" t="n">
        <v>7.07871306988985</v>
      </c>
      <c r="E1326" s="26" t="n">
        <v>2.2763977860523</v>
      </c>
      <c r="F1326" s="26" t="n">
        <v>-4.30819889302615</v>
      </c>
      <c r="G1326" s="26" t="n">
        <v>-4.31045935028674</v>
      </c>
      <c r="H1326" s="26" t="n">
        <v>-1.53180110697385</v>
      </c>
      <c r="I1326" s="26" t="n">
        <v>-1.53406156423444</v>
      </c>
      <c r="J1326" s="26" t="n">
        <v>16.99</v>
      </c>
      <c r="K1326" s="27" t="n">
        <f aca="false">MIN(F1326,G1326)</f>
        <v>-4.31045935028674</v>
      </c>
      <c r="L1326" s="27" t="n">
        <f aca="false">AVERAGE(F1326,G1326)</f>
        <v>-4.30932912165645</v>
      </c>
      <c r="M1326" s="27" t="n">
        <f aca="false">MAX(0,NG-L1326)</f>
        <v>3.60932912165645</v>
      </c>
      <c r="N1326" s="27" t="n">
        <f aca="false">MAX(0,GWL-K1326)</f>
        <v>2.81045935028674</v>
      </c>
      <c r="O1326" s="27" t="n">
        <f aca="false">MAX(0,NG-MAX(K1326,GWL))</f>
        <v>0.8</v>
      </c>
      <c r="P1326" s="27" t="n">
        <f aca="false">E1326/2+WS+SLOPE_A*O1326+SLOPE_B*N1326</f>
        <v>8.95911759359964</v>
      </c>
      <c r="Q1326" s="28" t="str">
        <f aca="false">IF(AND(P1326&lt;J1326,N1326&lt;=MAXOC),"Open cut","Shoring")</f>
        <v>Shoring</v>
      </c>
      <c r="R1326" s="27" t="n">
        <f aca="false">IF(Q1326="Shoring",D1326,0)</f>
        <v>7.07871306988985</v>
      </c>
      <c r="S1326" s="27" t="n">
        <f aca="false">MAX(0,GWL-L1326)</f>
        <v>2.80932912165645</v>
      </c>
      <c r="T1326" s="27" t="n">
        <f aca="false">MAX(0,NG-MAX(L1326,GWL))</f>
        <v>0.8</v>
      </c>
      <c r="U1326" s="27" t="n">
        <f aca="false">E1326+2*WS</f>
        <v>4.2763977860523</v>
      </c>
      <c r="V1326" s="27" t="n">
        <f aca="false">IF(Q1326="Shoring",D1326*M1326*U1326,0)</f>
        <v>109.259419947711</v>
      </c>
      <c r="W1326" s="27" t="n">
        <f aca="false">IF(Q1326="Open cut",D1326*(U1326*M1326+SLOPE_B*S1326^2+2*SLOPE_B*S1326*T1326+SLOPE_A*T1326^2),0)</f>
        <v>0</v>
      </c>
      <c r="X1326" s="27" t="n">
        <f aca="false">IF(M1326&gt;0,D1326*(E1326+2*SLABOVH)*SLAB,0)</f>
        <v>11.5963399151433</v>
      </c>
      <c r="Y1326" s="27" t="n">
        <f aca="false">IF(M1326&gt;0,D1326*PI()*E1326^2/4,0)</f>
        <v>28.8098169818606</v>
      </c>
      <c r="Z1326" s="27" t="n">
        <f aca="false">IF(H1326-E1326&gt;=GWL,99,E1326*(MAX(0,GWL-H1326)*(GAM_S-GAM_W)+MAX(0,NG-MAX(H1326,GWL))*GAM_D)/(GAM_W*PI()*E1326^2/4))</f>
        <v>0.835872985208422</v>
      </c>
      <c r="AA1326" s="27" t="n">
        <f aca="false">IF(I1326-E1326&gt;=GWL,99,E1326*(MAX(0,GWL-I1326)*(GAM_S-GAM_W)+MAX(0,NG-MAX(I1326,GWL))*GAM_D)/(GAM_W*PI()*E1326^2/4))</f>
        <v>0.836928521472419</v>
      </c>
      <c r="AB1326" s="27" t="n">
        <f aca="false">IF(H1326-E1326&gt;=GWL,99,E1326*(MAX(0,GWL-H1326)*(GAM_S-GAM_W)+MAX(0,FL-MAX(H1326,GWL))*GAM_D)/(GAM_W*PI()*E1326^2/4))</f>
        <v>2.58054736337231</v>
      </c>
      <c r="AC1326" s="27" t="n">
        <f aca="false">IF(I1326-E1326&gt;=GWL,99,E1326*(MAX(0,GWL-I1326)*(GAM_S-GAM_W)+MAX(0,FL-MAX(I1326,GWL))*GAM_D)/(GAM_W*PI()*E1326^2/4))</f>
        <v>2.58160289963631</v>
      </c>
    </row>
    <row r="1327" customFormat="false" ht="15" hidden="false" customHeight="false" outlineLevel="0" collapsed="false">
      <c r="A1327" s="25" t="s">
        <v>1936</v>
      </c>
      <c r="B1327" s="25" t="s">
        <v>1946</v>
      </c>
      <c r="C1327" s="25" t="s">
        <v>1974</v>
      </c>
      <c r="D1327" s="26" t="n">
        <v>10.0000000009897</v>
      </c>
      <c r="E1327" s="26" t="n">
        <v>2.2763977860523</v>
      </c>
      <c r="F1327" s="26" t="n">
        <v>-4.31045935028674</v>
      </c>
      <c r="G1327" s="26" t="n">
        <v>-4.31365266697893</v>
      </c>
      <c r="H1327" s="26" t="n">
        <v>-1.53406156423444</v>
      </c>
      <c r="I1327" s="26" t="n">
        <v>-1.53725488092663</v>
      </c>
      <c r="J1327" s="26" t="n">
        <v>16.14</v>
      </c>
      <c r="K1327" s="27" t="n">
        <f aca="false">MIN(F1327,G1327)</f>
        <v>-4.31365266697893</v>
      </c>
      <c r="L1327" s="27" t="n">
        <f aca="false">AVERAGE(F1327,G1327)</f>
        <v>-4.31205600863284</v>
      </c>
      <c r="M1327" s="27" t="n">
        <f aca="false">MAX(0,NG-L1327)</f>
        <v>3.61205600863284</v>
      </c>
      <c r="N1327" s="27" t="n">
        <f aca="false">MAX(0,GWL-K1327)</f>
        <v>2.81365266697893</v>
      </c>
      <c r="O1327" s="27" t="n">
        <f aca="false">MAX(0,NG-MAX(K1327,GWL))</f>
        <v>0.8</v>
      </c>
      <c r="P1327" s="27" t="n">
        <f aca="false">E1327/2+WS+SLOPE_A*O1327+SLOPE_B*N1327</f>
        <v>8.96550422698402</v>
      </c>
      <c r="Q1327" s="28" t="str">
        <f aca="false">IF(AND(P1327&lt;J1327,N1327&lt;=MAXOC),"Open cut","Shoring")</f>
        <v>Shoring</v>
      </c>
      <c r="R1327" s="27" t="n">
        <f aca="false">IF(Q1327="Shoring",D1327,0)</f>
        <v>10.0000000009897</v>
      </c>
      <c r="S1327" s="27" t="n">
        <f aca="false">MAX(0,GWL-L1327)</f>
        <v>2.81205600863284</v>
      </c>
      <c r="T1327" s="27" t="n">
        <f aca="false">MAX(0,NG-MAX(L1327,GWL))</f>
        <v>0.8</v>
      </c>
      <c r="U1327" s="27" t="n">
        <f aca="false">E1327+2*WS</f>
        <v>4.2763977860523</v>
      </c>
      <c r="V1327" s="27" t="n">
        <f aca="false">IF(Q1327="Shoring",D1327*M1327*U1327,0)</f>
        <v>154.465883199431</v>
      </c>
      <c r="W1327" s="27" t="n">
        <f aca="false">IF(Q1327="Open cut",D1327*(U1327*M1327+SLOPE_B*S1327^2+2*SLOPE_B*S1327*T1327+SLOPE_A*T1327^2),0)</f>
        <v>0</v>
      </c>
      <c r="X1327" s="27" t="n">
        <f aca="false">IF(M1327&gt;0,D1327*(E1327+2*SLABOVH)*SLAB,0)</f>
        <v>16.3819889318828</v>
      </c>
      <c r="Y1327" s="27" t="n">
        <f aca="false">IF(M1327&gt;0,D1327*PI()*E1327^2/4,0)</f>
        <v>40.699229789745</v>
      </c>
      <c r="Z1327" s="27" t="n">
        <f aca="false">IF(H1327-E1327&gt;=GWL,99,E1327*(MAX(0,GWL-H1327)*(GAM_S-GAM_W)+MAX(0,NG-MAX(H1327,GWL))*GAM_D)/(GAM_W*PI()*E1327^2/4))</f>
        <v>0.836928521472419</v>
      </c>
      <c r="AA1327" s="27" t="n">
        <f aca="false">IF(I1327-E1327&gt;=GWL,99,E1327*(MAX(0,GWL-I1327)*(GAM_S-GAM_W)+MAX(0,NG-MAX(I1327,GWL))*GAM_D)/(GAM_W*PI()*E1327^2/4))</f>
        <v>0.838419662946228</v>
      </c>
      <c r="AB1327" s="27" t="n">
        <f aca="false">IF(H1327-E1327&gt;=GWL,99,E1327*(MAX(0,GWL-H1327)*(GAM_S-GAM_W)+MAX(0,FL-MAX(H1327,GWL))*GAM_D)/(GAM_W*PI()*E1327^2/4))</f>
        <v>2.58160289963631</v>
      </c>
      <c r="AC1327" s="27" t="n">
        <f aca="false">IF(I1327-E1327&gt;=GWL,99,E1327*(MAX(0,GWL-I1327)*(GAM_S-GAM_W)+MAX(0,FL-MAX(I1327,GWL))*GAM_D)/(GAM_W*PI()*E1327^2/4))</f>
        <v>2.58309404111012</v>
      </c>
    </row>
    <row r="1328" customFormat="false" ht="15" hidden="false" customHeight="false" outlineLevel="0" collapsed="false">
      <c r="A1328" s="25" t="s">
        <v>1936</v>
      </c>
      <c r="B1328" s="25" t="s">
        <v>1946</v>
      </c>
      <c r="C1328" s="25" t="s">
        <v>1975</v>
      </c>
      <c r="D1328" s="26" t="n">
        <v>7.53519390353223</v>
      </c>
      <c r="E1328" s="26" t="n">
        <v>2.2763977860523</v>
      </c>
      <c r="F1328" s="26" t="n">
        <v>-4.31365266697893</v>
      </c>
      <c r="G1328" s="26" t="n">
        <v>-4.31605889302615</v>
      </c>
      <c r="H1328" s="26" t="n">
        <v>-1.53725488092663</v>
      </c>
      <c r="I1328" s="26" t="n">
        <v>-1.53966110697385</v>
      </c>
      <c r="J1328" s="26" t="n">
        <v>16.15</v>
      </c>
      <c r="K1328" s="27" t="n">
        <f aca="false">MIN(F1328,G1328)</f>
        <v>-4.31605889302615</v>
      </c>
      <c r="L1328" s="27" t="n">
        <f aca="false">AVERAGE(F1328,G1328)</f>
        <v>-4.31485578000254</v>
      </c>
      <c r="M1328" s="27" t="n">
        <f aca="false">MAX(0,NG-L1328)</f>
        <v>3.61485578000254</v>
      </c>
      <c r="N1328" s="27" t="n">
        <f aca="false">MAX(0,GWL-K1328)</f>
        <v>2.81605889302615</v>
      </c>
      <c r="O1328" s="27" t="n">
        <f aca="false">MAX(0,NG-MAX(K1328,GWL))</f>
        <v>0.8</v>
      </c>
      <c r="P1328" s="27" t="n">
        <f aca="false">E1328/2+WS+SLOPE_A*O1328+SLOPE_B*N1328</f>
        <v>8.97031667907845</v>
      </c>
      <c r="Q1328" s="28" t="str">
        <f aca="false">IF(AND(P1328&lt;J1328,N1328&lt;=MAXOC),"Open cut","Shoring")</f>
        <v>Shoring</v>
      </c>
      <c r="R1328" s="27" t="n">
        <f aca="false">IF(Q1328="Shoring",D1328,0)</f>
        <v>7.53519390353223</v>
      </c>
      <c r="S1328" s="27" t="n">
        <f aca="false">MAX(0,GWL-L1328)</f>
        <v>2.81485578000254</v>
      </c>
      <c r="T1328" s="27" t="n">
        <f aca="false">MAX(0,NG-MAX(L1328,GWL))</f>
        <v>0.8</v>
      </c>
      <c r="U1328" s="27" t="n">
        <f aca="false">E1328+2*WS</f>
        <v>4.2763977860523</v>
      </c>
      <c r="V1328" s="27" t="n">
        <f aca="false">IF(Q1328="Shoring",D1328*M1328*U1328,0)</f>
        <v>116.483256522297</v>
      </c>
      <c r="W1328" s="27" t="n">
        <f aca="false">IF(Q1328="Open cut",D1328*(U1328*M1328+SLOPE_B*S1328^2+2*SLOPE_B*S1328*T1328+SLOPE_A*T1328^2),0)</f>
        <v>0</v>
      </c>
      <c r="X1328" s="27" t="n">
        <f aca="false">IF(M1328&gt;0,D1328*(E1328+2*SLABOVH)*SLAB,0)</f>
        <v>12.3441463115039</v>
      </c>
      <c r="Y1328" s="27" t="n">
        <f aca="false">IF(M1328&gt;0,D1328*PI()*E1328^2/4,0)</f>
        <v>30.6676588159793</v>
      </c>
      <c r="Z1328" s="27" t="n">
        <f aca="false">IF(H1328-E1328&gt;=GWL,99,E1328*(MAX(0,GWL-H1328)*(GAM_S-GAM_W)+MAX(0,NG-MAX(H1328,GWL))*GAM_D)/(GAM_W*PI()*E1328^2/4))</f>
        <v>0.838419662946228</v>
      </c>
      <c r="AA1328" s="27" t="n">
        <f aca="false">IF(I1328-E1328&gt;=GWL,99,E1328*(MAX(0,GWL-I1328)*(GAM_S-GAM_W)+MAX(0,NG-MAX(I1328,GWL))*GAM_D)/(GAM_W*PI()*E1328^2/4))</f>
        <v>0.839543266960556</v>
      </c>
      <c r="AB1328" s="27" t="n">
        <f aca="false">IF(H1328-E1328&gt;=GWL,99,E1328*(MAX(0,GWL-H1328)*(GAM_S-GAM_W)+MAX(0,FL-MAX(H1328,GWL))*GAM_D)/(GAM_W*PI()*E1328^2/4))</f>
        <v>2.58309404111012</v>
      </c>
      <c r="AC1328" s="27" t="n">
        <f aca="false">IF(I1328-E1328&gt;=GWL,99,E1328*(MAX(0,GWL-I1328)*(GAM_S-GAM_W)+MAX(0,FL-MAX(I1328,GWL))*GAM_D)/(GAM_W*PI()*E1328^2/4))</f>
        <v>2.58421764512444</v>
      </c>
    </row>
    <row r="1329" customFormat="false" ht="15" hidden="false" customHeight="false" outlineLevel="0" collapsed="false">
      <c r="A1329" s="25" t="s">
        <v>1936</v>
      </c>
      <c r="B1329" s="25" t="s">
        <v>1946</v>
      </c>
      <c r="C1329" s="25" t="s">
        <v>1976</v>
      </c>
      <c r="D1329" s="26" t="n">
        <v>2.46480609610648</v>
      </c>
      <c r="E1329" s="26" t="n">
        <v>2.2763977860523</v>
      </c>
      <c r="F1329" s="26" t="n">
        <v>-4.31605889302615</v>
      </c>
      <c r="G1329" s="26" t="n">
        <v>-4.31684615710089</v>
      </c>
      <c r="H1329" s="26" t="n">
        <v>-1.53966110697385</v>
      </c>
      <c r="I1329" s="26" t="n">
        <v>-1.54044837104858</v>
      </c>
      <c r="J1329" s="26" t="n">
        <v>16.97</v>
      </c>
      <c r="K1329" s="27" t="n">
        <f aca="false">MIN(F1329,G1329)</f>
        <v>-4.31684615710089</v>
      </c>
      <c r="L1329" s="27" t="n">
        <f aca="false">AVERAGE(F1329,G1329)</f>
        <v>-4.31645252506352</v>
      </c>
      <c r="M1329" s="27" t="n">
        <f aca="false">MAX(0,NG-L1329)</f>
        <v>3.61645252506352</v>
      </c>
      <c r="N1329" s="27" t="n">
        <f aca="false">MAX(0,GWL-K1329)</f>
        <v>2.81684615710089</v>
      </c>
      <c r="O1329" s="27" t="n">
        <f aca="false">MAX(0,NG-MAX(K1329,GWL))</f>
        <v>0.8</v>
      </c>
      <c r="P1329" s="27" t="n">
        <f aca="false">E1329/2+WS+SLOPE_A*O1329+SLOPE_B*N1329</f>
        <v>8.97189120722793</v>
      </c>
      <c r="Q1329" s="28" t="str">
        <f aca="false">IF(AND(P1329&lt;J1329,N1329&lt;=MAXOC),"Open cut","Shoring")</f>
        <v>Shoring</v>
      </c>
      <c r="R1329" s="27" t="n">
        <f aca="false">IF(Q1329="Shoring",D1329,0)</f>
        <v>2.46480609610648</v>
      </c>
      <c r="S1329" s="27" t="n">
        <f aca="false">MAX(0,GWL-L1329)</f>
        <v>2.81645252506352</v>
      </c>
      <c r="T1329" s="27" t="n">
        <f aca="false">MAX(0,NG-MAX(L1329,GWL))</f>
        <v>0.8</v>
      </c>
      <c r="U1329" s="27" t="n">
        <f aca="false">E1329+2*WS</f>
        <v>4.2763977860523</v>
      </c>
      <c r="V1329" s="27" t="n">
        <f aca="false">IF(Q1329="Shoring",D1329*M1329*U1329,0)</f>
        <v>38.1191864946055</v>
      </c>
      <c r="W1329" s="27" t="n">
        <f aca="false">IF(Q1329="Open cut",D1329*(U1329*M1329+SLOPE_B*S1329^2+2*SLOPE_B*S1329*T1329+SLOPE_A*T1329^2),0)</f>
        <v>0</v>
      </c>
      <c r="X1329" s="27" t="n">
        <f aca="false">IF(M1329&gt;0,D1329*(E1329+2*SLABOVH)*SLAB,0)</f>
        <v>4.03784261816575</v>
      </c>
      <c r="Y1329" s="27" t="n">
        <f aca="false">IF(M1329&gt;0,D1329*PI()*E1329^2/4,0)</f>
        <v>10.0315709682674</v>
      </c>
      <c r="Z1329" s="27" t="n">
        <f aca="false">IF(H1329-E1329&gt;=GWL,99,E1329*(MAX(0,GWL-H1329)*(GAM_S-GAM_W)+MAX(0,NG-MAX(H1329,GWL))*GAM_D)/(GAM_W*PI()*E1329^2/4))</f>
        <v>0.839543266960556</v>
      </c>
      <c r="AA1329" s="27" t="n">
        <f aca="false">IF(I1329-E1329&gt;=GWL,99,E1329*(MAX(0,GWL-I1329)*(GAM_S-GAM_W)+MAX(0,NG-MAX(I1329,GWL))*GAM_D)/(GAM_W*PI()*E1329^2/4))</f>
        <v>0.839910885404272</v>
      </c>
      <c r="AB1329" s="27" t="n">
        <f aca="false">IF(H1329-E1329&gt;=GWL,99,E1329*(MAX(0,GWL-H1329)*(GAM_S-GAM_W)+MAX(0,FL-MAX(H1329,GWL))*GAM_D)/(GAM_W*PI()*E1329^2/4))</f>
        <v>2.58421764512444</v>
      </c>
      <c r="AC1329" s="27" t="n">
        <f aca="false">IF(I1329-E1329&gt;=GWL,99,E1329*(MAX(0,GWL-I1329)*(GAM_S-GAM_W)+MAX(0,FL-MAX(I1329,GWL))*GAM_D)/(GAM_W*PI()*E1329^2/4))</f>
        <v>2.58458526356816</v>
      </c>
    </row>
    <row r="1330" customFormat="false" ht="15" hidden="false" customHeight="false" outlineLevel="0" collapsed="false">
      <c r="A1330" s="25" t="s">
        <v>1936</v>
      </c>
      <c r="B1330" s="25" t="s">
        <v>1946</v>
      </c>
      <c r="C1330" s="25" t="s">
        <v>1977</v>
      </c>
      <c r="D1330" s="26" t="n">
        <v>0.885203904135861</v>
      </c>
      <c r="E1330" s="26" t="n">
        <v>2.2763977860523</v>
      </c>
      <c r="F1330" s="26" t="n">
        <v>-4.31684615710089</v>
      </c>
      <c r="G1330" s="26" t="n">
        <v>-4.31712889302615</v>
      </c>
      <c r="H1330" s="26" t="n">
        <v>-1.54044837104858</v>
      </c>
      <c r="I1330" s="26" t="n">
        <v>-1.54073110697385</v>
      </c>
      <c r="J1330" s="26" t="n">
        <v>17.5</v>
      </c>
      <c r="K1330" s="27" t="n">
        <f aca="false">MIN(F1330,G1330)</f>
        <v>-4.31712889302615</v>
      </c>
      <c r="L1330" s="27" t="n">
        <f aca="false">AVERAGE(F1330,G1330)</f>
        <v>-4.31698752506352</v>
      </c>
      <c r="M1330" s="27" t="n">
        <f aca="false">MAX(0,NG-L1330)</f>
        <v>3.61698752506352</v>
      </c>
      <c r="N1330" s="27" t="n">
        <f aca="false">MAX(0,GWL-K1330)</f>
        <v>2.81712889302615</v>
      </c>
      <c r="O1330" s="27" t="n">
        <f aca="false">MAX(0,NG-MAX(K1330,GWL))</f>
        <v>0.8</v>
      </c>
      <c r="P1330" s="27" t="n">
        <f aca="false">E1330/2+WS+SLOPE_A*O1330+SLOPE_B*N1330</f>
        <v>8.97245667907846</v>
      </c>
      <c r="Q1330" s="28" t="str">
        <f aca="false">IF(AND(P1330&lt;J1330,N1330&lt;=MAXOC),"Open cut","Shoring")</f>
        <v>Shoring</v>
      </c>
      <c r="R1330" s="27" t="n">
        <f aca="false">IF(Q1330="Shoring",D1330,0)</f>
        <v>0.885203904135861</v>
      </c>
      <c r="S1330" s="27" t="n">
        <f aca="false">MAX(0,GWL-L1330)</f>
        <v>2.81698752506352</v>
      </c>
      <c r="T1330" s="27" t="n">
        <f aca="false">MAX(0,NG-MAX(L1330,GWL))</f>
        <v>0.8</v>
      </c>
      <c r="U1330" s="27" t="n">
        <f aca="false">E1330+2*WS</f>
        <v>4.2763977860523</v>
      </c>
      <c r="V1330" s="27" t="n">
        <f aca="false">IF(Q1330="Shoring",D1330*M1330*U1330,0)</f>
        <v>13.692048461662</v>
      </c>
      <c r="W1330" s="27" t="n">
        <f aca="false">IF(Q1330="Open cut",D1330*(U1330*M1330+SLOPE_B*S1330^2+2*SLOPE_B*S1330*T1330+SLOPE_A*T1330^2),0)</f>
        <v>0</v>
      </c>
      <c r="X1330" s="27" t="n">
        <f aca="false">IF(M1330&gt;0,D1330*(E1330+2*SLABOVH)*SLAB,0)</f>
        <v>1.4501400558578</v>
      </c>
      <c r="Y1330" s="27" t="n">
        <f aca="false">IF(M1330&gt;0,D1330*PI()*E1330^2/4,0)</f>
        <v>3.60271171016394</v>
      </c>
      <c r="Z1330" s="27" t="n">
        <f aca="false">IF(H1330-E1330&gt;=GWL,99,E1330*(MAX(0,GWL-H1330)*(GAM_S-GAM_W)+MAX(0,NG-MAX(H1330,GWL))*GAM_D)/(GAM_W*PI()*E1330^2/4))</f>
        <v>0.839910885404272</v>
      </c>
      <c r="AA1330" s="27" t="n">
        <f aca="false">IF(I1330-E1330&gt;=GWL,99,E1330*(MAX(0,GWL-I1330)*(GAM_S-GAM_W)+MAX(0,NG-MAX(I1330,GWL))*GAM_D)/(GAM_W*PI()*E1330^2/4))</f>
        <v>0.84004291091409</v>
      </c>
      <c r="AB1330" s="27" t="n">
        <f aca="false">IF(H1330-E1330&gt;=GWL,99,E1330*(MAX(0,GWL-H1330)*(GAM_S-GAM_W)+MAX(0,FL-MAX(H1330,GWL))*GAM_D)/(GAM_W*PI()*E1330^2/4))</f>
        <v>2.58458526356816</v>
      </c>
      <c r="AC1330" s="27" t="n">
        <f aca="false">IF(I1330-E1330&gt;=GWL,99,E1330*(MAX(0,GWL-I1330)*(GAM_S-GAM_W)+MAX(0,FL-MAX(I1330,GWL))*GAM_D)/(GAM_W*PI()*E1330^2/4))</f>
        <v>2.58471728907798</v>
      </c>
    </row>
    <row r="1331" customFormat="false" ht="15" hidden="false" customHeight="false" outlineLevel="0" collapsed="false">
      <c r="A1331" s="25" t="s">
        <v>1936</v>
      </c>
      <c r="B1331" s="25" t="s">
        <v>1946</v>
      </c>
      <c r="C1331" s="25" t="s">
        <v>1978</v>
      </c>
      <c r="D1331" s="26" t="n">
        <v>3.34999589271847</v>
      </c>
      <c r="E1331" s="26" t="n">
        <v>2.24899793031739</v>
      </c>
      <c r="F1331" s="26" t="n">
        <v>-4.3034289651587</v>
      </c>
      <c r="G1331" s="26" t="n">
        <v>-4.3044989651587</v>
      </c>
      <c r="H1331" s="26" t="n">
        <v>-1.5544310348413</v>
      </c>
      <c r="I1331" s="26" t="n">
        <v>-1.5555010348413</v>
      </c>
      <c r="J1331" s="26" t="n">
        <v>16.27</v>
      </c>
      <c r="K1331" s="27" t="n">
        <f aca="false">MIN(F1331,G1331)</f>
        <v>-4.3044989651587</v>
      </c>
      <c r="L1331" s="27" t="n">
        <f aca="false">AVERAGE(F1331,G1331)</f>
        <v>-4.3039639651587</v>
      </c>
      <c r="M1331" s="27" t="n">
        <f aca="false">MAX(0,NG-L1331)</f>
        <v>3.6039639651587</v>
      </c>
      <c r="N1331" s="27" t="n">
        <f aca="false">MAX(0,GWL-K1331)</f>
        <v>2.8044989651587</v>
      </c>
      <c r="O1331" s="27" t="n">
        <f aca="false">MAX(0,NG-MAX(K1331,GWL))</f>
        <v>0.8</v>
      </c>
      <c r="P1331" s="27" t="n">
        <f aca="false">E1331/2+WS+SLOPE_A*O1331+SLOPE_B*N1331</f>
        <v>8.93349689547609</v>
      </c>
      <c r="Q1331" s="28" t="str">
        <f aca="false">IF(AND(P1331&lt;J1331,N1331&lt;=MAXOC),"Open cut","Shoring")</f>
        <v>Shoring</v>
      </c>
      <c r="R1331" s="27" t="n">
        <f aca="false">IF(Q1331="Shoring",D1331,0)</f>
        <v>3.34999589271847</v>
      </c>
      <c r="S1331" s="27" t="n">
        <f aca="false">MAX(0,GWL-L1331)</f>
        <v>2.8039639651587</v>
      </c>
      <c r="T1331" s="27" t="n">
        <f aca="false">MAX(0,NG-MAX(L1331,GWL))</f>
        <v>0.8</v>
      </c>
      <c r="U1331" s="27" t="n">
        <f aca="false">E1331+2*WS</f>
        <v>4.24899793031739</v>
      </c>
      <c r="V1331" s="27" t="n">
        <f aca="false">IF(Q1331="Shoring",D1331*M1331*U1331,0)</f>
        <v>51.2992757910385</v>
      </c>
      <c r="W1331" s="27" t="n">
        <f aca="false">IF(Q1331="Open cut",D1331*(U1331*M1331+SLOPE_B*S1331^2+2*SLOPE_B*S1331*T1331+SLOPE_A*T1331^2),0)</f>
        <v>0</v>
      </c>
      <c r="X1331" s="27" t="n">
        <f aca="false">IF(M1331&gt;0,D1331*(E1331+2*SLABOVH)*SLAB,0)</f>
        <v>5.44206486100704</v>
      </c>
      <c r="Y1331" s="27" t="n">
        <f aca="false">IF(M1331&gt;0,D1331*PI()*E1331^2/4,0)</f>
        <v>13.3079839209239</v>
      </c>
      <c r="Z1331" s="27" t="n">
        <f aca="false">IF(H1331-E1331&gt;=GWL,99,E1331*(MAX(0,GWL-H1331)*(GAM_S-GAM_W)+MAX(0,NG-MAX(H1331,GWL))*GAM_D)/(GAM_W*PI()*E1331^2/4))</f>
        <v>0.85675248662991</v>
      </c>
      <c r="AA1331" s="27" t="n">
        <f aca="false">IF(I1331-E1331&gt;=GWL,99,E1331*(MAX(0,GWL-I1331)*(GAM_S-GAM_W)+MAX(0,NG-MAX(I1331,GWL))*GAM_D)/(GAM_W*PI()*E1331^2/4))</f>
        <v>0.857258217815479</v>
      </c>
      <c r="AB1331" s="27" t="n">
        <f aca="false">IF(H1331-E1331&gt;=GWL,99,E1331*(MAX(0,GWL-H1331)*(GAM_S-GAM_W)+MAX(0,FL-MAX(H1331,GWL))*GAM_D)/(GAM_W*PI()*E1331^2/4))</f>
        <v>2.62268247629156</v>
      </c>
      <c r="AC1331" s="27" t="n">
        <f aca="false">IF(I1331-E1331&gt;=GWL,99,E1331*(MAX(0,GWL-I1331)*(GAM_S-GAM_W)+MAX(0,FL-MAX(I1331,GWL))*GAM_D)/(GAM_W*PI()*E1331^2/4))</f>
        <v>2.62318820747712</v>
      </c>
    </row>
    <row r="1332" customFormat="false" ht="15" hidden="false" customHeight="false" outlineLevel="0" collapsed="false">
      <c r="A1332" s="25" t="s">
        <v>1936</v>
      </c>
      <c r="B1332" s="25" t="s">
        <v>1946</v>
      </c>
      <c r="C1332" s="25" t="s">
        <v>1979</v>
      </c>
      <c r="D1332" s="26" t="n">
        <v>5.76480020359269</v>
      </c>
      <c r="E1332" s="26" t="n">
        <v>2.24899793031739</v>
      </c>
      <c r="F1332" s="26" t="n">
        <v>-4.3044989651587</v>
      </c>
      <c r="G1332" s="26" t="n">
        <v>-4.3044989651587</v>
      </c>
      <c r="H1332" s="26" t="n">
        <v>-1.5555010348413</v>
      </c>
      <c r="I1332" s="26" t="n">
        <v>-1.5555010348413</v>
      </c>
      <c r="J1332" s="26" t="n">
        <v>14.27</v>
      </c>
      <c r="K1332" s="27" t="n">
        <f aca="false">MIN(F1332,G1332)</f>
        <v>-4.3044989651587</v>
      </c>
      <c r="L1332" s="27" t="n">
        <f aca="false">AVERAGE(F1332,G1332)</f>
        <v>-4.3044989651587</v>
      </c>
      <c r="M1332" s="27" t="n">
        <f aca="false">MAX(0,NG-L1332)</f>
        <v>3.6044989651587</v>
      </c>
      <c r="N1332" s="27" t="n">
        <f aca="false">MAX(0,GWL-K1332)</f>
        <v>2.8044989651587</v>
      </c>
      <c r="O1332" s="27" t="n">
        <f aca="false">MAX(0,NG-MAX(K1332,GWL))</f>
        <v>0.8</v>
      </c>
      <c r="P1332" s="27" t="n">
        <f aca="false">E1332/2+WS+SLOPE_A*O1332+SLOPE_B*N1332</f>
        <v>8.93349689547609</v>
      </c>
      <c r="Q1332" s="28" t="str">
        <f aca="false">IF(AND(P1332&lt;J1332,N1332&lt;=MAXOC),"Open cut","Shoring")</f>
        <v>Shoring</v>
      </c>
      <c r="R1332" s="27" t="n">
        <f aca="false">IF(Q1332="Shoring",D1332,0)</f>
        <v>5.76480020359269</v>
      </c>
      <c r="S1332" s="27" t="n">
        <f aca="false">MAX(0,GWL-L1332)</f>
        <v>2.8044989651587</v>
      </c>
      <c r="T1332" s="27" t="n">
        <f aca="false">MAX(0,NG-MAX(L1332,GWL))</f>
        <v>0.8</v>
      </c>
      <c r="U1332" s="27" t="n">
        <f aca="false">E1332+2*WS</f>
        <v>4.24899793031739</v>
      </c>
      <c r="V1332" s="27" t="n">
        <f aca="false">IF(Q1332="Shoring",D1332*M1332*U1332,0)</f>
        <v>88.2908473420841</v>
      </c>
      <c r="W1332" s="27" t="n">
        <f aca="false">IF(Q1332="Open cut",D1332*(U1332*M1332+SLOPE_B*S1332^2+2*SLOPE_B*S1332*T1332+SLOPE_A*T1332^2),0)</f>
        <v>0</v>
      </c>
      <c r="X1332" s="27" t="n">
        <f aca="false">IF(M1332&gt;0,D1332*(E1332+2*SLABOVH)*SLAB,0)</f>
        <v>9.36491196508296</v>
      </c>
      <c r="Y1332" s="27" t="n">
        <f aca="false">IF(M1332&gt;0,D1332*PI()*E1332^2/4,0)</f>
        <v>22.9008843215313</v>
      </c>
      <c r="Z1332" s="27" t="n">
        <f aca="false">IF(H1332-E1332&gt;=GWL,99,E1332*(MAX(0,GWL-H1332)*(GAM_S-GAM_W)+MAX(0,NG-MAX(H1332,GWL))*GAM_D)/(GAM_W*PI()*E1332^2/4))</f>
        <v>0.857258217815479</v>
      </c>
      <c r="AA1332" s="27" t="n">
        <f aca="false">IF(I1332-E1332&gt;=GWL,99,E1332*(MAX(0,GWL-I1332)*(GAM_S-GAM_W)+MAX(0,NG-MAX(I1332,GWL))*GAM_D)/(GAM_W*PI()*E1332^2/4))</f>
        <v>0.857258217815479</v>
      </c>
      <c r="AB1332" s="27" t="n">
        <f aca="false">IF(H1332-E1332&gt;=GWL,99,E1332*(MAX(0,GWL-H1332)*(GAM_S-GAM_W)+MAX(0,FL-MAX(H1332,GWL))*GAM_D)/(GAM_W*PI()*E1332^2/4))</f>
        <v>2.62318820747712</v>
      </c>
      <c r="AC1332" s="27" t="n">
        <f aca="false">IF(I1332-E1332&gt;=GWL,99,E1332*(MAX(0,GWL-I1332)*(GAM_S-GAM_W)+MAX(0,FL-MAX(I1332,GWL))*GAM_D)/(GAM_W*PI()*E1332^2/4))</f>
        <v>2.62318820747712</v>
      </c>
    </row>
    <row r="1333" customFormat="false" ht="15" hidden="false" customHeight="false" outlineLevel="0" collapsed="false">
      <c r="A1333" s="25" t="s">
        <v>1936</v>
      </c>
      <c r="B1333" s="25" t="s">
        <v>1946</v>
      </c>
      <c r="C1333" s="25" t="s">
        <v>1980</v>
      </c>
      <c r="D1333" s="26" t="n">
        <v>9.99999999982255</v>
      </c>
      <c r="E1333" s="26" t="n">
        <v>2.24899793031739</v>
      </c>
      <c r="F1333" s="26" t="n">
        <v>-4.3044989651587</v>
      </c>
      <c r="G1333" s="26" t="n">
        <v>-4.3044989651587</v>
      </c>
      <c r="H1333" s="26" t="n">
        <v>-1.5555010348413</v>
      </c>
      <c r="I1333" s="26" t="n">
        <v>-1.5555010348413</v>
      </c>
      <c r="J1333" s="26" t="n">
        <v>12.51</v>
      </c>
      <c r="K1333" s="27" t="n">
        <f aca="false">MIN(F1333,G1333)</f>
        <v>-4.3044989651587</v>
      </c>
      <c r="L1333" s="27" t="n">
        <f aca="false">AVERAGE(F1333,G1333)</f>
        <v>-4.3044989651587</v>
      </c>
      <c r="M1333" s="27" t="n">
        <f aca="false">MAX(0,NG-L1333)</f>
        <v>3.6044989651587</v>
      </c>
      <c r="N1333" s="27" t="n">
        <f aca="false">MAX(0,GWL-K1333)</f>
        <v>2.8044989651587</v>
      </c>
      <c r="O1333" s="27" t="n">
        <f aca="false">MAX(0,NG-MAX(K1333,GWL))</f>
        <v>0.8</v>
      </c>
      <c r="P1333" s="27" t="n">
        <f aca="false">E1333/2+WS+SLOPE_A*O1333+SLOPE_B*N1333</f>
        <v>8.93349689547609</v>
      </c>
      <c r="Q1333" s="28" t="str">
        <f aca="false">IF(AND(P1333&lt;J1333,N1333&lt;=MAXOC),"Open cut","Shoring")</f>
        <v>Shoring</v>
      </c>
      <c r="R1333" s="27" t="n">
        <f aca="false">IF(Q1333="Shoring",D1333,0)</f>
        <v>9.99999999982255</v>
      </c>
      <c r="S1333" s="27" t="n">
        <f aca="false">MAX(0,GWL-L1333)</f>
        <v>2.8044989651587</v>
      </c>
      <c r="T1333" s="27" t="n">
        <f aca="false">MAX(0,NG-MAX(L1333,GWL))</f>
        <v>0.8</v>
      </c>
      <c r="U1333" s="27" t="n">
        <f aca="false">E1333+2*WS</f>
        <v>4.24899793031739</v>
      </c>
      <c r="V1333" s="27" t="n">
        <f aca="false">IF(Q1333="Shoring",D1333*M1333*U1333,0)</f>
        <v>153.155086425187</v>
      </c>
      <c r="W1333" s="27" t="n">
        <f aca="false">IF(Q1333="Open cut",D1333*(U1333*M1333+SLOPE_B*S1333^2+2*SLOPE_B*S1333*T1333+SLOPE_A*T1333^2),0)</f>
        <v>0</v>
      </c>
      <c r="X1333" s="27" t="n">
        <f aca="false">IF(M1333&gt;0,D1333*(E1333+2*SLABOVH)*SLAB,0)</f>
        <v>16.2449896512987</v>
      </c>
      <c r="Y1333" s="27" t="n">
        <f aca="false">IF(M1333&gt;0,D1333*PI()*E1333^2/4,0)</f>
        <v>39.7253738418424</v>
      </c>
      <c r="Z1333" s="27" t="n">
        <f aca="false">IF(H1333-E1333&gt;=GWL,99,E1333*(MAX(0,GWL-H1333)*(GAM_S-GAM_W)+MAX(0,NG-MAX(H1333,GWL))*GAM_D)/(GAM_W*PI()*E1333^2/4))</f>
        <v>0.857258217815479</v>
      </c>
      <c r="AA1333" s="27" t="n">
        <f aca="false">IF(I1333-E1333&gt;=GWL,99,E1333*(MAX(0,GWL-I1333)*(GAM_S-GAM_W)+MAX(0,NG-MAX(I1333,GWL))*GAM_D)/(GAM_W*PI()*E1333^2/4))</f>
        <v>0.857258217815479</v>
      </c>
      <c r="AB1333" s="27" t="n">
        <f aca="false">IF(H1333-E1333&gt;=GWL,99,E1333*(MAX(0,GWL-H1333)*(GAM_S-GAM_W)+MAX(0,FL-MAX(H1333,GWL))*GAM_D)/(GAM_W*PI()*E1333^2/4))</f>
        <v>2.62318820747712</v>
      </c>
      <c r="AC1333" s="27" t="n">
        <f aca="false">IF(I1333-E1333&gt;=GWL,99,E1333*(MAX(0,GWL-I1333)*(GAM_S-GAM_W)+MAX(0,FL-MAX(I1333,GWL))*GAM_D)/(GAM_W*PI()*E1333^2/4))</f>
        <v>2.62318820747712</v>
      </c>
    </row>
    <row r="1334" customFormat="false" ht="15" hidden="false" customHeight="false" outlineLevel="0" collapsed="false">
      <c r="A1334" s="25" t="s">
        <v>1936</v>
      </c>
      <c r="B1334" s="25" t="s">
        <v>1946</v>
      </c>
      <c r="C1334" s="25" t="s">
        <v>1981</v>
      </c>
      <c r="D1334" s="26" t="n">
        <v>10.0000000000747</v>
      </c>
      <c r="E1334" s="26" t="n">
        <v>2.24899793031739</v>
      </c>
      <c r="F1334" s="26" t="n">
        <v>-4.3044989651587</v>
      </c>
      <c r="G1334" s="26" t="n">
        <v>-4.3044989651587</v>
      </c>
      <c r="H1334" s="26" t="n">
        <v>-1.5555010348413</v>
      </c>
      <c r="I1334" s="26" t="n">
        <v>-1.5555010348413</v>
      </c>
      <c r="J1334" s="26" t="n">
        <v>12.43</v>
      </c>
      <c r="K1334" s="27" t="n">
        <f aca="false">MIN(F1334,G1334)</f>
        <v>-4.3044989651587</v>
      </c>
      <c r="L1334" s="27" t="n">
        <f aca="false">AVERAGE(F1334,G1334)</f>
        <v>-4.3044989651587</v>
      </c>
      <c r="M1334" s="27" t="n">
        <f aca="false">MAX(0,NG-L1334)</f>
        <v>3.6044989651587</v>
      </c>
      <c r="N1334" s="27" t="n">
        <f aca="false">MAX(0,GWL-K1334)</f>
        <v>2.8044989651587</v>
      </c>
      <c r="O1334" s="27" t="n">
        <f aca="false">MAX(0,NG-MAX(K1334,GWL))</f>
        <v>0.8</v>
      </c>
      <c r="P1334" s="27" t="n">
        <f aca="false">E1334/2+WS+SLOPE_A*O1334+SLOPE_B*N1334</f>
        <v>8.93349689547609</v>
      </c>
      <c r="Q1334" s="28" t="str">
        <f aca="false">IF(AND(P1334&lt;J1334,N1334&lt;=MAXOC),"Open cut","Shoring")</f>
        <v>Shoring</v>
      </c>
      <c r="R1334" s="27" t="n">
        <f aca="false">IF(Q1334="Shoring",D1334,0)</f>
        <v>10.0000000000747</v>
      </c>
      <c r="S1334" s="27" t="n">
        <f aca="false">MAX(0,GWL-L1334)</f>
        <v>2.8044989651587</v>
      </c>
      <c r="T1334" s="27" t="n">
        <f aca="false">MAX(0,NG-MAX(L1334,GWL))</f>
        <v>0.8</v>
      </c>
      <c r="U1334" s="27" t="n">
        <f aca="false">E1334+2*WS</f>
        <v>4.24899793031739</v>
      </c>
      <c r="V1334" s="27" t="n">
        <f aca="false">IF(Q1334="Shoring",D1334*M1334*U1334,0)</f>
        <v>153.155086429048</v>
      </c>
      <c r="W1334" s="27" t="n">
        <f aca="false">IF(Q1334="Open cut",D1334*(U1334*M1334+SLOPE_B*S1334^2+2*SLOPE_B*S1334*T1334+SLOPE_A*T1334^2),0)</f>
        <v>0</v>
      </c>
      <c r="X1334" s="27" t="n">
        <f aca="false">IF(M1334&gt;0,D1334*(E1334+2*SLABOVH)*SLAB,0)</f>
        <v>16.2449896517082</v>
      </c>
      <c r="Y1334" s="27" t="n">
        <f aca="false">IF(M1334&gt;0,D1334*PI()*E1334^2/4,0)</f>
        <v>39.7253738428439</v>
      </c>
      <c r="Z1334" s="27" t="n">
        <f aca="false">IF(H1334-E1334&gt;=GWL,99,E1334*(MAX(0,GWL-H1334)*(GAM_S-GAM_W)+MAX(0,NG-MAX(H1334,GWL))*GAM_D)/(GAM_W*PI()*E1334^2/4))</f>
        <v>0.857258217815479</v>
      </c>
      <c r="AA1334" s="27" t="n">
        <f aca="false">IF(I1334-E1334&gt;=GWL,99,E1334*(MAX(0,GWL-I1334)*(GAM_S-GAM_W)+MAX(0,NG-MAX(I1334,GWL))*GAM_D)/(GAM_W*PI()*E1334^2/4))</f>
        <v>0.857258217815479</v>
      </c>
      <c r="AB1334" s="27" t="n">
        <f aca="false">IF(H1334-E1334&gt;=GWL,99,E1334*(MAX(0,GWL-H1334)*(GAM_S-GAM_W)+MAX(0,FL-MAX(H1334,GWL))*GAM_D)/(GAM_W*PI()*E1334^2/4))</f>
        <v>2.62318820747712</v>
      </c>
      <c r="AC1334" s="27" t="n">
        <f aca="false">IF(I1334-E1334&gt;=GWL,99,E1334*(MAX(0,GWL-I1334)*(GAM_S-GAM_W)+MAX(0,FL-MAX(I1334,GWL))*GAM_D)/(GAM_W*PI()*E1334^2/4))</f>
        <v>2.62318820747712</v>
      </c>
    </row>
    <row r="1335" customFormat="false" ht="15" hidden="false" customHeight="false" outlineLevel="0" collapsed="false">
      <c r="A1335" s="25" t="s">
        <v>1936</v>
      </c>
      <c r="B1335" s="25" t="s">
        <v>1946</v>
      </c>
      <c r="C1335" s="25" t="s">
        <v>1982</v>
      </c>
      <c r="D1335" s="26" t="n">
        <v>10.0000000000747</v>
      </c>
      <c r="E1335" s="26" t="n">
        <v>2.24899793031739</v>
      </c>
      <c r="F1335" s="26" t="n">
        <v>-4.3044989651587</v>
      </c>
      <c r="G1335" s="26" t="n">
        <v>-4.3044989651587</v>
      </c>
      <c r="H1335" s="26" t="n">
        <v>-1.5555010348413</v>
      </c>
      <c r="I1335" s="26" t="n">
        <v>-1.5555010348413</v>
      </c>
      <c r="J1335" s="26" t="n">
        <v>13.11</v>
      </c>
      <c r="K1335" s="27" t="n">
        <f aca="false">MIN(F1335,G1335)</f>
        <v>-4.3044989651587</v>
      </c>
      <c r="L1335" s="27" t="n">
        <f aca="false">AVERAGE(F1335,G1335)</f>
        <v>-4.3044989651587</v>
      </c>
      <c r="M1335" s="27" t="n">
        <f aca="false">MAX(0,NG-L1335)</f>
        <v>3.6044989651587</v>
      </c>
      <c r="N1335" s="27" t="n">
        <f aca="false">MAX(0,GWL-K1335)</f>
        <v>2.8044989651587</v>
      </c>
      <c r="O1335" s="27" t="n">
        <f aca="false">MAX(0,NG-MAX(K1335,GWL))</f>
        <v>0.8</v>
      </c>
      <c r="P1335" s="27" t="n">
        <f aca="false">E1335/2+WS+SLOPE_A*O1335+SLOPE_B*N1335</f>
        <v>8.93349689547609</v>
      </c>
      <c r="Q1335" s="28" t="str">
        <f aca="false">IF(AND(P1335&lt;J1335,N1335&lt;=MAXOC),"Open cut","Shoring")</f>
        <v>Shoring</v>
      </c>
      <c r="R1335" s="27" t="n">
        <f aca="false">IF(Q1335="Shoring",D1335,0)</f>
        <v>10.0000000000747</v>
      </c>
      <c r="S1335" s="27" t="n">
        <f aca="false">MAX(0,GWL-L1335)</f>
        <v>2.8044989651587</v>
      </c>
      <c r="T1335" s="27" t="n">
        <f aca="false">MAX(0,NG-MAX(L1335,GWL))</f>
        <v>0.8</v>
      </c>
      <c r="U1335" s="27" t="n">
        <f aca="false">E1335+2*WS</f>
        <v>4.24899793031739</v>
      </c>
      <c r="V1335" s="27" t="n">
        <f aca="false">IF(Q1335="Shoring",D1335*M1335*U1335,0)</f>
        <v>153.155086429048</v>
      </c>
      <c r="W1335" s="27" t="n">
        <f aca="false">IF(Q1335="Open cut",D1335*(U1335*M1335+SLOPE_B*S1335^2+2*SLOPE_B*S1335*T1335+SLOPE_A*T1335^2),0)</f>
        <v>0</v>
      </c>
      <c r="X1335" s="27" t="n">
        <f aca="false">IF(M1335&gt;0,D1335*(E1335+2*SLABOVH)*SLAB,0)</f>
        <v>16.2449896517082</v>
      </c>
      <c r="Y1335" s="27" t="n">
        <f aca="false">IF(M1335&gt;0,D1335*PI()*E1335^2/4,0)</f>
        <v>39.7253738428439</v>
      </c>
      <c r="Z1335" s="27" t="n">
        <f aca="false">IF(H1335-E1335&gt;=GWL,99,E1335*(MAX(0,GWL-H1335)*(GAM_S-GAM_W)+MAX(0,NG-MAX(H1335,GWL))*GAM_D)/(GAM_W*PI()*E1335^2/4))</f>
        <v>0.857258217815479</v>
      </c>
      <c r="AA1335" s="27" t="n">
        <f aca="false">IF(I1335-E1335&gt;=GWL,99,E1335*(MAX(0,GWL-I1335)*(GAM_S-GAM_W)+MAX(0,NG-MAX(I1335,GWL))*GAM_D)/(GAM_W*PI()*E1335^2/4))</f>
        <v>0.857258217815479</v>
      </c>
      <c r="AB1335" s="27" t="n">
        <f aca="false">IF(H1335-E1335&gt;=GWL,99,E1335*(MAX(0,GWL-H1335)*(GAM_S-GAM_W)+MAX(0,FL-MAX(H1335,GWL))*GAM_D)/(GAM_W*PI()*E1335^2/4))</f>
        <v>2.62318820747712</v>
      </c>
      <c r="AC1335" s="27" t="n">
        <f aca="false">IF(I1335-E1335&gt;=GWL,99,E1335*(MAX(0,GWL-I1335)*(GAM_S-GAM_W)+MAX(0,FL-MAX(I1335,GWL))*GAM_D)/(GAM_W*PI()*E1335^2/4))</f>
        <v>2.62318820747712</v>
      </c>
    </row>
    <row r="1336" customFormat="false" ht="15" hidden="false" customHeight="false" outlineLevel="0" collapsed="false">
      <c r="A1336" s="25" t="s">
        <v>1936</v>
      </c>
      <c r="B1336" s="25" t="s">
        <v>1946</v>
      </c>
      <c r="C1336" s="25" t="s">
        <v>1983</v>
      </c>
      <c r="D1336" s="26" t="n">
        <v>9.99999999992043</v>
      </c>
      <c r="E1336" s="26" t="n">
        <v>2.24899793031739</v>
      </c>
      <c r="F1336" s="26" t="n">
        <v>-4.3044989651587</v>
      </c>
      <c r="G1336" s="26" t="n">
        <v>-4.3044989651587</v>
      </c>
      <c r="H1336" s="26" t="n">
        <v>-1.5555010348413</v>
      </c>
      <c r="I1336" s="26" t="n">
        <v>-1.5555010348413</v>
      </c>
      <c r="J1336" s="26" t="n">
        <v>15.99</v>
      </c>
      <c r="K1336" s="27" t="n">
        <f aca="false">MIN(F1336,G1336)</f>
        <v>-4.3044989651587</v>
      </c>
      <c r="L1336" s="27" t="n">
        <f aca="false">AVERAGE(F1336,G1336)</f>
        <v>-4.3044989651587</v>
      </c>
      <c r="M1336" s="27" t="n">
        <f aca="false">MAX(0,NG-L1336)</f>
        <v>3.6044989651587</v>
      </c>
      <c r="N1336" s="27" t="n">
        <f aca="false">MAX(0,GWL-K1336)</f>
        <v>2.8044989651587</v>
      </c>
      <c r="O1336" s="27" t="n">
        <f aca="false">MAX(0,NG-MAX(K1336,GWL))</f>
        <v>0.8</v>
      </c>
      <c r="P1336" s="27" t="n">
        <f aca="false">E1336/2+WS+SLOPE_A*O1336+SLOPE_B*N1336</f>
        <v>8.93349689547609</v>
      </c>
      <c r="Q1336" s="28" t="str">
        <f aca="false">IF(AND(P1336&lt;J1336,N1336&lt;=MAXOC),"Open cut","Shoring")</f>
        <v>Shoring</v>
      </c>
      <c r="R1336" s="27" t="n">
        <f aca="false">IF(Q1336="Shoring",D1336,0)</f>
        <v>9.99999999992043</v>
      </c>
      <c r="S1336" s="27" t="n">
        <f aca="false">MAX(0,GWL-L1336)</f>
        <v>2.8044989651587</v>
      </c>
      <c r="T1336" s="27" t="n">
        <f aca="false">MAX(0,NG-MAX(L1336,GWL))</f>
        <v>0.8</v>
      </c>
      <c r="U1336" s="27" t="n">
        <f aca="false">E1336+2*WS</f>
        <v>4.24899793031739</v>
      </c>
      <c r="V1336" s="27" t="n">
        <f aca="false">IF(Q1336="Shoring",D1336*M1336*U1336,0)</f>
        <v>153.155086426686</v>
      </c>
      <c r="W1336" s="27" t="n">
        <f aca="false">IF(Q1336="Open cut",D1336*(U1336*M1336+SLOPE_B*S1336^2+2*SLOPE_B*S1336*T1336+SLOPE_A*T1336^2),0)</f>
        <v>0</v>
      </c>
      <c r="X1336" s="27" t="n">
        <f aca="false">IF(M1336&gt;0,D1336*(E1336+2*SLABOVH)*SLAB,0)</f>
        <v>16.2449896514577</v>
      </c>
      <c r="Y1336" s="27" t="n">
        <f aca="false">IF(M1336&gt;0,D1336*PI()*E1336^2/4,0)</f>
        <v>39.7253738422312</v>
      </c>
      <c r="Z1336" s="27" t="n">
        <f aca="false">IF(H1336-E1336&gt;=GWL,99,E1336*(MAX(0,GWL-H1336)*(GAM_S-GAM_W)+MAX(0,NG-MAX(H1336,GWL))*GAM_D)/(GAM_W*PI()*E1336^2/4))</f>
        <v>0.857258217815479</v>
      </c>
      <c r="AA1336" s="27" t="n">
        <f aca="false">IF(I1336-E1336&gt;=GWL,99,E1336*(MAX(0,GWL-I1336)*(GAM_S-GAM_W)+MAX(0,NG-MAX(I1336,GWL))*GAM_D)/(GAM_W*PI()*E1336^2/4))</f>
        <v>0.857258217815479</v>
      </c>
      <c r="AB1336" s="27" t="n">
        <f aca="false">IF(H1336-E1336&gt;=GWL,99,E1336*(MAX(0,GWL-H1336)*(GAM_S-GAM_W)+MAX(0,FL-MAX(H1336,GWL))*GAM_D)/(GAM_W*PI()*E1336^2/4))</f>
        <v>2.62318820747712</v>
      </c>
      <c r="AC1336" s="27" t="n">
        <f aca="false">IF(I1336-E1336&gt;=GWL,99,E1336*(MAX(0,GWL-I1336)*(GAM_S-GAM_W)+MAX(0,FL-MAX(I1336,GWL))*GAM_D)/(GAM_W*PI()*E1336^2/4))</f>
        <v>2.62318820747712</v>
      </c>
    </row>
    <row r="1337" customFormat="false" ht="15" hidden="false" customHeight="false" outlineLevel="0" collapsed="false">
      <c r="A1337" s="25" t="s">
        <v>1936</v>
      </c>
      <c r="B1337" s="25" t="s">
        <v>1946</v>
      </c>
      <c r="C1337" s="25" t="s">
        <v>1984</v>
      </c>
      <c r="D1337" s="26" t="n">
        <v>10.0000000000747</v>
      </c>
      <c r="E1337" s="26" t="n">
        <v>2.24899793031739</v>
      </c>
      <c r="F1337" s="26" t="n">
        <v>-4.3044989651587</v>
      </c>
      <c r="G1337" s="26" t="n">
        <v>-4.3044989651587</v>
      </c>
      <c r="H1337" s="26" t="n">
        <v>-1.5555010348413</v>
      </c>
      <c r="I1337" s="26" t="n">
        <v>-1.5555010348413</v>
      </c>
      <c r="J1337" s="26" t="n">
        <v>20.75</v>
      </c>
      <c r="K1337" s="27" t="n">
        <f aca="false">MIN(F1337,G1337)</f>
        <v>-4.3044989651587</v>
      </c>
      <c r="L1337" s="27" t="n">
        <f aca="false">AVERAGE(F1337,G1337)</f>
        <v>-4.3044989651587</v>
      </c>
      <c r="M1337" s="27" t="n">
        <f aca="false">MAX(0,NG-L1337)</f>
        <v>3.6044989651587</v>
      </c>
      <c r="N1337" s="27" t="n">
        <f aca="false">MAX(0,GWL-K1337)</f>
        <v>2.8044989651587</v>
      </c>
      <c r="O1337" s="27" t="n">
        <f aca="false">MAX(0,NG-MAX(K1337,GWL))</f>
        <v>0.8</v>
      </c>
      <c r="P1337" s="27" t="n">
        <f aca="false">E1337/2+WS+SLOPE_A*O1337+SLOPE_B*N1337</f>
        <v>8.93349689547609</v>
      </c>
      <c r="Q1337" s="28" t="str">
        <f aca="false">IF(AND(P1337&lt;J1337,N1337&lt;=MAXOC),"Open cut","Shoring")</f>
        <v>Shoring</v>
      </c>
      <c r="R1337" s="27" t="n">
        <f aca="false">IF(Q1337="Shoring",D1337,0)</f>
        <v>10.0000000000747</v>
      </c>
      <c r="S1337" s="27" t="n">
        <f aca="false">MAX(0,GWL-L1337)</f>
        <v>2.8044989651587</v>
      </c>
      <c r="T1337" s="27" t="n">
        <f aca="false">MAX(0,NG-MAX(L1337,GWL))</f>
        <v>0.8</v>
      </c>
      <c r="U1337" s="27" t="n">
        <f aca="false">E1337+2*WS</f>
        <v>4.24899793031739</v>
      </c>
      <c r="V1337" s="27" t="n">
        <f aca="false">IF(Q1337="Shoring",D1337*M1337*U1337,0)</f>
        <v>153.155086429048</v>
      </c>
      <c r="W1337" s="27" t="n">
        <f aca="false">IF(Q1337="Open cut",D1337*(U1337*M1337+SLOPE_B*S1337^2+2*SLOPE_B*S1337*T1337+SLOPE_A*T1337^2),0)</f>
        <v>0</v>
      </c>
      <c r="X1337" s="27" t="n">
        <f aca="false">IF(M1337&gt;0,D1337*(E1337+2*SLABOVH)*SLAB,0)</f>
        <v>16.2449896517082</v>
      </c>
      <c r="Y1337" s="27" t="n">
        <f aca="false">IF(M1337&gt;0,D1337*PI()*E1337^2/4,0)</f>
        <v>39.7253738428439</v>
      </c>
      <c r="Z1337" s="27" t="n">
        <f aca="false">IF(H1337-E1337&gt;=GWL,99,E1337*(MAX(0,GWL-H1337)*(GAM_S-GAM_W)+MAX(0,NG-MAX(H1337,GWL))*GAM_D)/(GAM_W*PI()*E1337^2/4))</f>
        <v>0.857258217815479</v>
      </c>
      <c r="AA1337" s="27" t="n">
        <f aca="false">IF(I1337-E1337&gt;=GWL,99,E1337*(MAX(0,GWL-I1337)*(GAM_S-GAM_W)+MAX(0,NG-MAX(I1337,GWL))*GAM_D)/(GAM_W*PI()*E1337^2/4))</f>
        <v>0.857258217815479</v>
      </c>
      <c r="AB1337" s="27" t="n">
        <f aca="false">IF(H1337-E1337&gt;=GWL,99,E1337*(MAX(0,GWL-H1337)*(GAM_S-GAM_W)+MAX(0,FL-MAX(H1337,GWL))*GAM_D)/(GAM_W*PI()*E1337^2/4))</f>
        <v>2.62318820747712</v>
      </c>
      <c r="AC1337" s="27" t="n">
        <f aca="false">IF(I1337-E1337&gt;=GWL,99,E1337*(MAX(0,GWL-I1337)*(GAM_S-GAM_W)+MAX(0,FL-MAX(I1337,GWL))*GAM_D)/(GAM_W*PI()*E1337^2/4))</f>
        <v>2.62318820747712</v>
      </c>
    </row>
    <row r="1338" customFormat="false" ht="15" hidden="false" customHeight="false" outlineLevel="0" collapsed="false">
      <c r="A1338" s="25" t="s">
        <v>1936</v>
      </c>
      <c r="B1338" s="25" t="s">
        <v>1946</v>
      </c>
      <c r="C1338" s="25" t="s">
        <v>1985</v>
      </c>
      <c r="D1338" s="26" t="n">
        <v>10.0000000000747</v>
      </c>
      <c r="E1338" s="26" t="n">
        <v>2.24899793031739</v>
      </c>
      <c r="F1338" s="26" t="n">
        <v>-4.3044989651587</v>
      </c>
      <c r="G1338" s="26" t="n">
        <v>-4.3044989651587</v>
      </c>
      <c r="H1338" s="26" t="n">
        <v>-1.5555010348413</v>
      </c>
      <c r="I1338" s="26" t="n">
        <v>-1.5555010348413</v>
      </c>
      <c r="J1338" s="26" t="n">
        <v>20.52</v>
      </c>
      <c r="K1338" s="27" t="n">
        <f aca="false">MIN(F1338,G1338)</f>
        <v>-4.3044989651587</v>
      </c>
      <c r="L1338" s="27" t="n">
        <f aca="false">AVERAGE(F1338,G1338)</f>
        <v>-4.3044989651587</v>
      </c>
      <c r="M1338" s="27" t="n">
        <f aca="false">MAX(0,NG-L1338)</f>
        <v>3.6044989651587</v>
      </c>
      <c r="N1338" s="27" t="n">
        <f aca="false">MAX(0,GWL-K1338)</f>
        <v>2.8044989651587</v>
      </c>
      <c r="O1338" s="27" t="n">
        <f aca="false">MAX(0,NG-MAX(K1338,GWL))</f>
        <v>0.8</v>
      </c>
      <c r="P1338" s="27" t="n">
        <f aca="false">E1338/2+WS+SLOPE_A*O1338+SLOPE_B*N1338</f>
        <v>8.93349689547609</v>
      </c>
      <c r="Q1338" s="28" t="str">
        <f aca="false">IF(AND(P1338&lt;J1338,N1338&lt;=MAXOC),"Open cut","Shoring")</f>
        <v>Shoring</v>
      </c>
      <c r="R1338" s="27" t="n">
        <f aca="false">IF(Q1338="Shoring",D1338,0)</f>
        <v>10.0000000000747</v>
      </c>
      <c r="S1338" s="27" t="n">
        <f aca="false">MAX(0,GWL-L1338)</f>
        <v>2.8044989651587</v>
      </c>
      <c r="T1338" s="27" t="n">
        <f aca="false">MAX(0,NG-MAX(L1338,GWL))</f>
        <v>0.8</v>
      </c>
      <c r="U1338" s="27" t="n">
        <f aca="false">E1338+2*WS</f>
        <v>4.24899793031739</v>
      </c>
      <c r="V1338" s="27" t="n">
        <f aca="false">IF(Q1338="Shoring",D1338*M1338*U1338,0)</f>
        <v>153.155086429048</v>
      </c>
      <c r="W1338" s="27" t="n">
        <f aca="false">IF(Q1338="Open cut",D1338*(U1338*M1338+SLOPE_B*S1338^2+2*SLOPE_B*S1338*T1338+SLOPE_A*T1338^2),0)</f>
        <v>0</v>
      </c>
      <c r="X1338" s="27" t="n">
        <f aca="false">IF(M1338&gt;0,D1338*(E1338+2*SLABOVH)*SLAB,0)</f>
        <v>16.2449896517082</v>
      </c>
      <c r="Y1338" s="27" t="n">
        <f aca="false">IF(M1338&gt;0,D1338*PI()*E1338^2/4,0)</f>
        <v>39.7253738428439</v>
      </c>
      <c r="Z1338" s="27" t="n">
        <f aca="false">IF(H1338-E1338&gt;=GWL,99,E1338*(MAX(0,GWL-H1338)*(GAM_S-GAM_W)+MAX(0,NG-MAX(H1338,GWL))*GAM_D)/(GAM_W*PI()*E1338^2/4))</f>
        <v>0.857258217815479</v>
      </c>
      <c r="AA1338" s="27" t="n">
        <f aca="false">IF(I1338-E1338&gt;=GWL,99,E1338*(MAX(0,GWL-I1338)*(GAM_S-GAM_W)+MAX(0,NG-MAX(I1338,GWL))*GAM_D)/(GAM_W*PI()*E1338^2/4))</f>
        <v>0.857258217815479</v>
      </c>
      <c r="AB1338" s="27" t="n">
        <f aca="false">IF(H1338-E1338&gt;=GWL,99,E1338*(MAX(0,GWL-H1338)*(GAM_S-GAM_W)+MAX(0,FL-MAX(H1338,GWL))*GAM_D)/(GAM_W*PI()*E1338^2/4))</f>
        <v>2.62318820747712</v>
      </c>
      <c r="AC1338" s="27" t="n">
        <f aca="false">IF(I1338-E1338&gt;=GWL,99,E1338*(MAX(0,GWL-I1338)*(GAM_S-GAM_W)+MAX(0,FL-MAX(I1338,GWL))*GAM_D)/(GAM_W*PI()*E1338^2/4))</f>
        <v>2.62318820747712</v>
      </c>
    </row>
    <row r="1339" customFormat="false" ht="15" hidden="false" customHeight="false" outlineLevel="0" collapsed="false">
      <c r="A1339" s="25" t="s">
        <v>1936</v>
      </c>
      <c r="B1339" s="25" t="s">
        <v>1946</v>
      </c>
      <c r="C1339" s="25" t="s">
        <v>1986</v>
      </c>
      <c r="D1339" s="26" t="n">
        <v>9.99999999931834</v>
      </c>
      <c r="E1339" s="26" t="n">
        <v>2.24899793031739</v>
      </c>
      <c r="F1339" s="26" t="n">
        <v>-4.3044989651587</v>
      </c>
      <c r="G1339" s="26" t="n">
        <v>-4.3044989651587</v>
      </c>
      <c r="H1339" s="26" t="n">
        <v>-1.5555010348413</v>
      </c>
      <c r="I1339" s="26" t="n">
        <v>-1.5555010348413</v>
      </c>
      <c r="J1339" s="26" t="n">
        <v>16.86</v>
      </c>
      <c r="K1339" s="27" t="n">
        <f aca="false">MIN(F1339,G1339)</f>
        <v>-4.3044989651587</v>
      </c>
      <c r="L1339" s="27" t="n">
        <f aca="false">AVERAGE(F1339,G1339)</f>
        <v>-4.3044989651587</v>
      </c>
      <c r="M1339" s="27" t="n">
        <f aca="false">MAX(0,NG-L1339)</f>
        <v>3.6044989651587</v>
      </c>
      <c r="N1339" s="27" t="n">
        <f aca="false">MAX(0,GWL-K1339)</f>
        <v>2.8044989651587</v>
      </c>
      <c r="O1339" s="27" t="n">
        <f aca="false">MAX(0,NG-MAX(K1339,GWL))</f>
        <v>0.8</v>
      </c>
      <c r="P1339" s="27" t="n">
        <f aca="false">E1339/2+WS+SLOPE_A*O1339+SLOPE_B*N1339</f>
        <v>8.93349689547609</v>
      </c>
      <c r="Q1339" s="28" t="str">
        <f aca="false">IF(AND(P1339&lt;J1339,N1339&lt;=MAXOC),"Open cut","Shoring")</f>
        <v>Shoring</v>
      </c>
      <c r="R1339" s="27" t="n">
        <f aca="false">IF(Q1339="Shoring",D1339,0)</f>
        <v>9.99999999931834</v>
      </c>
      <c r="S1339" s="27" t="n">
        <f aca="false">MAX(0,GWL-L1339)</f>
        <v>2.8044989651587</v>
      </c>
      <c r="T1339" s="27" t="n">
        <f aca="false">MAX(0,NG-MAX(L1339,GWL))</f>
        <v>0.8</v>
      </c>
      <c r="U1339" s="27" t="n">
        <f aca="false">E1339+2*WS</f>
        <v>4.24899793031739</v>
      </c>
      <c r="V1339" s="27" t="n">
        <f aca="false">IF(Q1339="Shoring",D1339*M1339*U1339,0)</f>
        <v>153.155086417465</v>
      </c>
      <c r="W1339" s="27" t="n">
        <f aca="false">IF(Q1339="Open cut",D1339*(U1339*M1339+SLOPE_B*S1339^2+2*SLOPE_B*S1339*T1339+SLOPE_A*T1339^2),0)</f>
        <v>0</v>
      </c>
      <c r="X1339" s="27" t="n">
        <f aca="false">IF(M1339&gt;0,D1339*(E1339+2*SLABOVH)*SLAB,0)</f>
        <v>16.2449896504796</v>
      </c>
      <c r="Y1339" s="27" t="n">
        <f aca="false">IF(M1339&gt;0,D1339*PI()*E1339^2/4,0)</f>
        <v>39.7253738398394</v>
      </c>
      <c r="Z1339" s="27" t="n">
        <f aca="false">IF(H1339-E1339&gt;=GWL,99,E1339*(MAX(0,GWL-H1339)*(GAM_S-GAM_W)+MAX(0,NG-MAX(H1339,GWL))*GAM_D)/(GAM_W*PI()*E1339^2/4))</f>
        <v>0.857258217815479</v>
      </c>
      <c r="AA1339" s="27" t="n">
        <f aca="false">IF(I1339-E1339&gt;=GWL,99,E1339*(MAX(0,GWL-I1339)*(GAM_S-GAM_W)+MAX(0,NG-MAX(I1339,GWL))*GAM_D)/(GAM_W*PI()*E1339^2/4))</f>
        <v>0.857258217815479</v>
      </c>
      <c r="AB1339" s="27" t="n">
        <f aca="false">IF(H1339-E1339&gt;=GWL,99,E1339*(MAX(0,GWL-H1339)*(GAM_S-GAM_W)+MAX(0,FL-MAX(H1339,GWL))*GAM_D)/(GAM_W*PI()*E1339^2/4))</f>
        <v>2.62318820747712</v>
      </c>
      <c r="AC1339" s="27" t="n">
        <f aca="false">IF(I1339-E1339&gt;=GWL,99,E1339*(MAX(0,GWL-I1339)*(GAM_S-GAM_W)+MAX(0,FL-MAX(I1339,GWL))*GAM_D)/(GAM_W*PI()*E1339^2/4))</f>
        <v>2.62318820747712</v>
      </c>
    </row>
    <row r="1340" customFormat="false" ht="15" hidden="false" customHeight="false" outlineLevel="0" collapsed="false">
      <c r="A1340" s="25" t="s">
        <v>1936</v>
      </c>
      <c r="B1340" s="25" t="s">
        <v>1946</v>
      </c>
      <c r="C1340" s="25" t="s">
        <v>1987</v>
      </c>
      <c r="D1340" s="26" t="n">
        <v>10.0000000005789</v>
      </c>
      <c r="E1340" s="26" t="n">
        <v>2.24899793031739</v>
      </c>
      <c r="F1340" s="26" t="n">
        <v>-4.3044989651587</v>
      </c>
      <c r="G1340" s="26" t="n">
        <v>-4.3044989651587</v>
      </c>
      <c r="H1340" s="26" t="n">
        <v>-1.5555010348413</v>
      </c>
      <c r="I1340" s="26" t="n">
        <v>-1.5555010348413</v>
      </c>
      <c r="J1340" s="26" t="n">
        <v>15.22</v>
      </c>
      <c r="K1340" s="27" t="n">
        <f aca="false">MIN(F1340,G1340)</f>
        <v>-4.3044989651587</v>
      </c>
      <c r="L1340" s="27" t="n">
        <f aca="false">AVERAGE(F1340,G1340)</f>
        <v>-4.3044989651587</v>
      </c>
      <c r="M1340" s="27" t="n">
        <f aca="false">MAX(0,NG-L1340)</f>
        <v>3.6044989651587</v>
      </c>
      <c r="N1340" s="27" t="n">
        <f aca="false">MAX(0,GWL-K1340)</f>
        <v>2.8044989651587</v>
      </c>
      <c r="O1340" s="27" t="n">
        <f aca="false">MAX(0,NG-MAX(K1340,GWL))</f>
        <v>0.8</v>
      </c>
      <c r="P1340" s="27" t="n">
        <f aca="false">E1340/2+WS+SLOPE_A*O1340+SLOPE_B*N1340</f>
        <v>8.93349689547609</v>
      </c>
      <c r="Q1340" s="28" t="str">
        <f aca="false">IF(AND(P1340&lt;J1340,N1340&lt;=MAXOC),"Open cut","Shoring")</f>
        <v>Shoring</v>
      </c>
      <c r="R1340" s="27" t="n">
        <f aca="false">IF(Q1340="Shoring",D1340,0)</f>
        <v>10.0000000005789</v>
      </c>
      <c r="S1340" s="27" t="n">
        <f aca="false">MAX(0,GWL-L1340)</f>
        <v>2.8044989651587</v>
      </c>
      <c r="T1340" s="27" t="n">
        <f aca="false">MAX(0,NG-MAX(L1340,GWL))</f>
        <v>0.8</v>
      </c>
      <c r="U1340" s="27" t="n">
        <f aca="false">E1340+2*WS</f>
        <v>4.24899793031739</v>
      </c>
      <c r="V1340" s="27" t="n">
        <f aca="false">IF(Q1340="Shoring",D1340*M1340*U1340,0)</f>
        <v>153.15508643677</v>
      </c>
      <c r="W1340" s="27" t="n">
        <f aca="false">IF(Q1340="Open cut",D1340*(U1340*M1340+SLOPE_B*S1340^2+2*SLOPE_B*S1340*T1340+SLOPE_A*T1340^2),0)</f>
        <v>0</v>
      </c>
      <c r="X1340" s="27" t="n">
        <f aca="false">IF(M1340&gt;0,D1340*(E1340+2*SLABOVH)*SLAB,0)</f>
        <v>16.2449896525273</v>
      </c>
      <c r="Y1340" s="27" t="n">
        <f aca="false">IF(M1340&gt;0,D1340*PI()*E1340^2/4,0)</f>
        <v>39.7253738448469</v>
      </c>
      <c r="Z1340" s="27" t="n">
        <f aca="false">IF(H1340-E1340&gt;=GWL,99,E1340*(MAX(0,GWL-H1340)*(GAM_S-GAM_W)+MAX(0,NG-MAX(H1340,GWL))*GAM_D)/(GAM_W*PI()*E1340^2/4))</f>
        <v>0.857258217815479</v>
      </c>
      <c r="AA1340" s="27" t="n">
        <f aca="false">IF(I1340-E1340&gt;=GWL,99,E1340*(MAX(0,GWL-I1340)*(GAM_S-GAM_W)+MAX(0,NG-MAX(I1340,GWL))*GAM_D)/(GAM_W*PI()*E1340^2/4))</f>
        <v>0.857258217815479</v>
      </c>
      <c r="AB1340" s="27" t="n">
        <f aca="false">IF(H1340-E1340&gt;=GWL,99,E1340*(MAX(0,GWL-H1340)*(GAM_S-GAM_W)+MAX(0,FL-MAX(H1340,GWL))*GAM_D)/(GAM_W*PI()*E1340^2/4))</f>
        <v>2.62318820747712</v>
      </c>
      <c r="AC1340" s="27" t="n">
        <f aca="false">IF(I1340-E1340&gt;=GWL,99,E1340*(MAX(0,GWL-I1340)*(GAM_S-GAM_W)+MAX(0,FL-MAX(I1340,GWL))*GAM_D)/(GAM_W*PI()*E1340^2/4))</f>
        <v>2.62318820747712</v>
      </c>
    </row>
    <row r="1341" customFormat="false" ht="15" hidden="false" customHeight="false" outlineLevel="0" collapsed="false">
      <c r="A1341" s="25" t="s">
        <v>1936</v>
      </c>
      <c r="B1341" s="25" t="s">
        <v>1946</v>
      </c>
      <c r="C1341" s="25" t="s">
        <v>1988</v>
      </c>
      <c r="D1341" s="26" t="n">
        <v>10.0000000001725</v>
      </c>
      <c r="E1341" s="26" t="n">
        <v>2.24899793031739</v>
      </c>
      <c r="F1341" s="26" t="n">
        <v>-4.3044989651587</v>
      </c>
      <c r="G1341" s="26" t="n">
        <v>-4.3044989651587</v>
      </c>
      <c r="H1341" s="26" t="n">
        <v>-1.5555010348413</v>
      </c>
      <c r="I1341" s="26" t="n">
        <v>-1.5555010348413</v>
      </c>
      <c r="J1341" s="26" t="n">
        <v>15.15</v>
      </c>
      <c r="K1341" s="27" t="n">
        <f aca="false">MIN(F1341,G1341)</f>
        <v>-4.3044989651587</v>
      </c>
      <c r="L1341" s="27" t="n">
        <f aca="false">AVERAGE(F1341,G1341)</f>
        <v>-4.3044989651587</v>
      </c>
      <c r="M1341" s="27" t="n">
        <f aca="false">MAX(0,NG-L1341)</f>
        <v>3.6044989651587</v>
      </c>
      <c r="N1341" s="27" t="n">
        <f aca="false">MAX(0,GWL-K1341)</f>
        <v>2.8044989651587</v>
      </c>
      <c r="O1341" s="27" t="n">
        <f aca="false">MAX(0,NG-MAX(K1341,GWL))</f>
        <v>0.8</v>
      </c>
      <c r="P1341" s="27" t="n">
        <f aca="false">E1341/2+WS+SLOPE_A*O1341+SLOPE_B*N1341</f>
        <v>8.93349689547609</v>
      </c>
      <c r="Q1341" s="28" t="str">
        <f aca="false">IF(AND(P1341&lt;J1341,N1341&lt;=MAXOC),"Open cut","Shoring")</f>
        <v>Shoring</v>
      </c>
      <c r="R1341" s="27" t="n">
        <f aca="false">IF(Q1341="Shoring",D1341,0)</f>
        <v>10.0000000001725</v>
      </c>
      <c r="S1341" s="27" t="n">
        <f aca="false">MAX(0,GWL-L1341)</f>
        <v>2.8044989651587</v>
      </c>
      <c r="T1341" s="27" t="n">
        <f aca="false">MAX(0,NG-MAX(L1341,GWL))</f>
        <v>0.8</v>
      </c>
      <c r="U1341" s="27" t="n">
        <f aca="false">E1341+2*WS</f>
        <v>4.24899793031739</v>
      </c>
      <c r="V1341" s="27" t="n">
        <f aca="false">IF(Q1341="Shoring",D1341*M1341*U1341,0)</f>
        <v>153.155086430547</v>
      </c>
      <c r="W1341" s="27" t="n">
        <f aca="false">IF(Q1341="Open cut",D1341*(U1341*M1341+SLOPE_B*S1341^2+2*SLOPE_B*S1341*T1341+SLOPE_A*T1341^2),0)</f>
        <v>0</v>
      </c>
      <c r="X1341" s="27" t="n">
        <f aca="false">IF(M1341&gt;0,D1341*(E1341+2*SLABOVH)*SLAB,0)</f>
        <v>16.2449896518672</v>
      </c>
      <c r="Y1341" s="27" t="n">
        <f aca="false">IF(M1341&gt;0,D1341*PI()*E1341^2/4,0)</f>
        <v>39.7253738432327</v>
      </c>
      <c r="Z1341" s="27" t="n">
        <f aca="false">IF(H1341-E1341&gt;=GWL,99,E1341*(MAX(0,GWL-H1341)*(GAM_S-GAM_W)+MAX(0,NG-MAX(H1341,GWL))*GAM_D)/(GAM_W*PI()*E1341^2/4))</f>
        <v>0.857258217815479</v>
      </c>
      <c r="AA1341" s="27" t="n">
        <f aca="false">IF(I1341-E1341&gt;=GWL,99,E1341*(MAX(0,GWL-I1341)*(GAM_S-GAM_W)+MAX(0,NG-MAX(I1341,GWL))*GAM_D)/(GAM_W*PI()*E1341^2/4))</f>
        <v>0.857258217815479</v>
      </c>
      <c r="AB1341" s="27" t="n">
        <f aca="false">IF(H1341-E1341&gt;=GWL,99,E1341*(MAX(0,GWL-H1341)*(GAM_S-GAM_W)+MAX(0,FL-MAX(H1341,GWL))*GAM_D)/(GAM_W*PI()*E1341^2/4))</f>
        <v>2.62318820747712</v>
      </c>
      <c r="AC1341" s="27" t="n">
        <f aca="false">IF(I1341-E1341&gt;=GWL,99,E1341*(MAX(0,GWL-I1341)*(GAM_S-GAM_W)+MAX(0,FL-MAX(I1341,GWL))*GAM_D)/(GAM_W*PI()*E1341^2/4))</f>
        <v>2.62318820747712</v>
      </c>
    </row>
    <row r="1342" customFormat="false" ht="15" hidden="false" customHeight="false" outlineLevel="0" collapsed="false">
      <c r="A1342" s="25" t="s">
        <v>1936</v>
      </c>
      <c r="B1342" s="25" t="s">
        <v>1946</v>
      </c>
      <c r="C1342" s="25" t="s">
        <v>1989</v>
      </c>
      <c r="D1342" s="26" t="n">
        <v>9.99999999931834</v>
      </c>
      <c r="E1342" s="26" t="n">
        <v>2.24899793031739</v>
      </c>
      <c r="F1342" s="26" t="n">
        <v>-4.3044989651587</v>
      </c>
      <c r="G1342" s="26" t="n">
        <v>-4.3044989651587</v>
      </c>
      <c r="H1342" s="26" t="n">
        <v>-1.5555010348413</v>
      </c>
      <c r="I1342" s="26" t="n">
        <v>-1.5555010348413</v>
      </c>
      <c r="J1342" s="26" t="n">
        <v>15.79</v>
      </c>
      <c r="K1342" s="27" t="n">
        <f aca="false">MIN(F1342,G1342)</f>
        <v>-4.3044989651587</v>
      </c>
      <c r="L1342" s="27" t="n">
        <f aca="false">AVERAGE(F1342,G1342)</f>
        <v>-4.3044989651587</v>
      </c>
      <c r="M1342" s="27" t="n">
        <f aca="false">MAX(0,NG-L1342)</f>
        <v>3.6044989651587</v>
      </c>
      <c r="N1342" s="27" t="n">
        <f aca="false">MAX(0,GWL-K1342)</f>
        <v>2.8044989651587</v>
      </c>
      <c r="O1342" s="27" t="n">
        <f aca="false">MAX(0,NG-MAX(K1342,GWL))</f>
        <v>0.8</v>
      </c>
      <c r="P1342" s="27" t="n">
        <f aca="false">E1342/2+WS+SLOPE_A*O1342+SLOPE_B*N1342</f>
        <v>8.93349689547609</v>
      </c>
      <c r="Q1342" s="28" t="str">
        <f aca="false">IF(AND(P1342&lt;J1342,N1342&lt;=MAXOC),"Open cut","Shoring")</f>
        <v>Shoring</v>
      </c>
      <c r="R1342" s="27" t="n">
        <f aca="false">IF(Q1342="Shoring",D1342,0)</f>
        <v>9.99999999931834</v>
      </c>
      <c r="S1342" s="27" t="n">
        <f aca="false">MAX(0,GWL-L1342)</f>
        <v>2.8044989651587</v>
      </c>
      <c r="T1342" s="27" t="n">
        <f aca="false">MAX(0,NG-MAX(L1342,GWL))</f>
        <v>0.8</v>
      </c>
      <c r="U1342" s="27" t="n">
        <f aca="false">E1342+2*WS</f>
        <v>4.24899793031739</v>
      </c>
      <c r="V1342" s="27" t="n">
        <f aca="false">IF(Q1342="Shoring",D1342*M1342*U1342,0)</f>
        <v>153.155086417465</v>
      </c>
      <c r="W1342" s="27" t="n">
        <f aca="false">IF(Q1342="Open cut",D1342*(U1342*M1342+SLOPE_B*S1342^2+2*SLOPE_B*S1342*T1342+SLOPE_A*T1342^2),0)</f>
        <v>0</v>
      </c>
      <c r="X1342" s="27" t="n">
        <f aca="false">IF(M1342&gt;0,D1342*(E1342+2*SLABOVH)*SLAB,0)</f>
        <v>16.2449896504796</v>
      </c>
      <c r="Y1342" s="27" t="n">
        <f aca="false">IF(M1342&gt;0,D1342*PI()*E1342^2/4,0)</f>
        <v>39.7253738398394</v>
      </c>
      <c r="Z1342" s="27" t="n">
        <f aca="false">IF(H1342-E1342&gt;=GWL,99,E1342*(MAX(0,GWL-H1342)*(GAM_S-GAM_W)+MAX(0,NG-MAX(H1342,GWL))*GAM_D)/(GAM_W*PI()*E1342^2/4))</f>
        <v>0.857258217815479</v>
      </c>
      <c r="AA1342" s="27" t="n">
        <f aca="false">IF(I1342-E1342&gt;=GWL,99,E1342*(MAX(0,GWL-I1342)*(GAM_S-GAM_W)+MAX(0,NG-MAX(I1342,GWL))*GAM_D)/(GAM_W*PI()*E1342^2/4))</f>
        <v>0.857258217815479</v>
      </c>
      <c r="AB1342" s="27" t="n">
        <f aca="false">IF(H1342-E1342&gt;=GWL,99,E1342*(MAX(0,GWL-H1342)*(GAM_S-GAM_W)+MAX(0,FL-MAX(H1342,GWL))*GAM_D)/(GAM_W*PI()*E1342^2/4))</f>
        <v>2.62318820747712</v>
      </c>
      <c r="AC1342" s="27" t="n">
        <f aca="false">IF(I1342-E1342&gt;=GWL,99,E1342*(MAX(0,GWL-I1342)*(GAM_S-GAM_W)+MAX(0,FL-MAX(I1342,GWL))*GAM_D)/(GAM_W*PI()*E1342^2/4))</f>
        <v>2.62318820747712</v>
      </c>
    </row>
    <row r="1343" customFormat="false" ht="15" hidden="false" customHeight="false" outlineLevel="0" collapsed="false">
      <c r="A1343" s="25" t="s">
        <v>1936</v>
      </c>
      <c r="B1343" s="25" t="s">
        <v>1946</v>
      </c>
      <c r="C1343" s="25" t="s">
        <v>1990</v>
      </c>
      <c r="D1343" s="26" t="n">
        <v>10.0000000000747</v>
      </c>
      <c r="E1343" s="26" t="n">
        <v>2.24899793031739</v>
      </c>
      <c r="F1343" s="26" t="n">
        <v>-4.3044989651587</v>
      </c>
      <c r="G1343" s="26" t="n">
        <v>-4.3044989651587</v>
      </c>
      <c r="H1343" s="26" t="n">
        <v>-1.5555010348413</v>
      </c>
      <c r="I1343" s="26" t="n">
        <v>-1.5555010348413</v>
      </c>
      <c r="J1343" s="26" t="n">
        <v>18.52</v>
      </c>
      <c r="K1343" s="27" t="n">
        <f aca="false">MIN(F1343,G1343)</f>
        <v>-4.3044989651587</v>
      </c>
      <c r="L1343" s="27" t="n">
        <f aca="false">AVERAGE(F1343,G1343)</f>
        <v>-4.3044989651587</v>
      </c>
      <c r="M1343" s="27" t="n">
        <f aca="false">MAX(0,NG-L1343)</f>
        <v>3.6044989651587</v>
      </c>
      <c r="N1343" s="27" t="n">
        <f aca="false">MAX(0,GWL-K1343)</f>
        <v>2.8044989651587</v>
      </c>
      <c r="O1343" s="27" t="n">
        <f aca="false">MAX(0,NG-MAX(K1343,GWL))</f>
        <v>0.8</v>
      </c>
      <c r="P1343" s="27" t="n">
        <f aca="false">E1343/2+WS+SLOPE_A*O1343+SLOPE_B*N1343</f>
        <v>8.93349689547609</v>
      </c>
      <c r="Q1343" s="28" t="str">
        <f aca="false">IF(AND(P1343&lt;J1343,N1343&lt;=MAXOC),"Open cut","Shoring")</f>
        <v>Shoring</v>
      </c>
      <c r="R1343" s="27" t="n">
        <f aca="false">IF(Q1343="Shoring",D1343,0)</f>
        <v>10.0000000000747</v>
      </c>
      <c r="S1343" s="27" t="n">
        <f aca="false">MAX(0,GWL-L1343)</f>
        <v>2.8044989651587</v>
      </c>
      <c r="T1343" s="27" t="n">
        <f aca="false">MAX(0,NG-MAX(L1343,GWL))</f>
        <v>0.8</v>
      </c>
      <c r="U1343" s="27" t="n">
        <f aca="false">E1343+2*WS</f>
        <v>4.24899793031739</v>
      </c>
      <c r="V1343" s="27" t="n">
        <f aca="false">IF(Q1343="Shoring",D1343*M1343*U1343,0)</f>
        <v>153.155086429048</v>
      </c>
      <c r="W1343" s="27" t="n">
        <f aca="false">IF(Q1343="Open cut",D1343*(U1343*M1343+SLOPE_B*S1343^2+2*SLOPE_B*S1343*T1343+SLOPE_A*T1343^2),0)</f>
        <v>0</v>
      </c>
      <c r="X1343" s="27" t="n">
        <f aca="false">IF(M1343&gt;0,D1343*(E1343+2*SLABOVH)*SLAB,0)</f>
        <v>16.2449896517082</v>
      </c>
      <c r="Y1343" s="27" t="n">
        <f aca="false">IF(M1343&gt;0,D1343*PI()*E1343^2/4,0)</f>
        <v>39.7253738428439</v>
      </c>
      <c r="Z1343" s="27" t="n">
        <f aca="false">IF(H1343-E1343&gt;=GWL,99,E1343*(MAX(0,GWL-H1343)*(GAM_S-GAM_W)+MAX(0,NG-MAX(H1343,GWL))*GAM_D)/(GAM_W*PI()*E1343^2/4))</f>
        <v>0.857258217815479</v>
      </c>
      <c r="AA1343" s="27" t="n">
        <f aca="false">IF(I1343-E1343&gt;=GWL,99,E1343*(MAX(0,GWL-I1343)*(GAM_S-GAM_W)+MAX(0,NG-MAX(I1343,GWL))*GAM_D)/(GAM_W*PI()*E1343^2/4))</f>
        <v>0.857258217815479</v>
      </c>
      <c r="AB1343" s="27" t="n">
        <f aca="false">IF(H1343-E1343&gt;=GWL,99,E1343*(MAX(0,GWL-H1343)*(GAM_S-GAM_W)+MAX(0,FL-MAX(H1343,GWL))*GAM_D)/(GAM_W*PI()*E1343^2/4))</f>
        <v>2.62318820747712</v>
      </c>
      <c r="AC1343" s="27" t="n">
        <f aca="false">IF(I1343-E1343&gt;=GWL,99,E1343*(MAX(0,GWL-I1343)*(GAM_S-GAM_W)+MAX(0,FL-MAX(I1343,GWL))*GAM_D)/(GAM_W*PI()*E1343^2/4))</f>
        <v>2.62318820747712</v>
      </c>
    </row>
    <row r="1344" customFormat="false" ht="15" hidden="false" customHeight="false" outlineLevel="0" collapsed="false">
      <c r="A1344" s="25" t="s">
        <v>1936</v>
      </c>
      <c r="B1344" s="25" t="s">
        <v>1946</v>
      </c>
      <c r="C1344" s="25" t="s">
        <v>1991</v>
      </c>
      <c r="D1344" s="26" t="n">
        <v>10.0000000005789</v>
      </c>
      <c r="E1344" s="26" t="n">
        <v>2.24899793031739</v>
      </c>
      <c r="F1344" s="26" t="n">
        <v>-4.3044989651587</v>
      </c>
      <c r="G1344" s="26" t="n">
        <v>-4.3044989651587</v>
      </c>
      <c r="H1344" s="26" t="n">
        <v>-1.5555010348413</v>
      </c>
      <c r="I1344" s="26" t="n">
        <v>-1.5555010348413</v>
      </c>
      <c r="J1344" s="26" t="n">
        <v>23.06</v>
      </c>
      <c r="K1344" s="27" t="n">
        <f aca="false">MIN(F1344,G1344)</f>
        <v>-4.3044989651587</v>
      </c>
      <c r="L1344" s="27" t="n">
        <f aca="false">AVERAGE(F1344,G1344)</f>
        <v>-4.3044989651587</v>
      </c>
      <c r="M1344" s="27" t="n">
        <f aca="false">MAX(0,NG-L1344)</f>
        <v>3.6044989651587</v>
      </c>
      <c r="N1344" s="27" t="n">
        <f aca="false">MAX(0,GWL-K1344)</f>
        <v>2.8044989651587</v>
      </c>
      <c r="O1344" s="27" t="n">
        <f aca="false">MAX(0,NG-MAX(K1344,GWL))</f>
        <v>0.8</v>
      </c>
      <c r="P1344" s="27" t="n">
        <f aca="false">E1344/2+WS+SLOPE_A*O1344+SLOPE_B*N1344</f>
        <v>8.93349689547609</v>
      </c>
      <c r="Q1344" s="28" t="str">
        <f aca="false">IF(AND(P1344&lt;J1344,N1344&lt;=MAXOC),"Open cut","Shoring")</f>
        <v>Shoring</v>
      </c>
      <c r="R1344" s="27" t="n">
        <f aca="false">IF(Q1344="Shoring",D1344,0)</f>
        <v>10.0000000005789</v>
      </c>
      <c r="S1344" s="27" t="n">
        <f aca="false">MAX(0,GWL-L1344)</f>
        <v>2.8044989651587</v>
      </c>
      <c r="T1344" s="27" t="n">
        <f aca="false">MAX(0,NG-MAX(L1344,GWL))</f>
        <v>0.8</v>
      </c>
      <c r="U1344" s="27" t="n">
        <f aca="false">E1344+2*WS</f>
        <v>4.24899793031739</v>
      </c>
      <c r="V1344" s="27" t="n">
        <f aca="false">IF(Q1344="Shoring",D1344*M1344*U1344,0)</f>
        <v>153.15508643677</v>
      </c>
      <c r="W1344" s="27" t="n">
        <f aca="false">IF(Q1344="Open cut",D1344*(U1344*M1344+SLOPE_B*S1344^2+2*SLOPE_B*S1344*T1344+SLOPE_A*T1344^2),0)</f>
        <v>0</v>
      </c>
      <c r="X1344" s="27" t="n">
        <f aca="false">IF(M1344&gt;0,D1344*(E1344+2*SLABOVH)*SLAB,0)</f>
        <v>16.2449896525273</v>
      </c>
      <c r="Y1344" s="27" t="n">
        <f aca="false">IF(M1344&gt;0,D1344*PI()*E1344^2/4,0)</f>
        <v>39.7253738448469</v>
      </c>
      <c r="Z1344" s="27" t="n">
        <f aca="false">IF(H1344-E1344&gt;=GWL,99,E1344*(MAX(0,GWL-H1344)*(GAM_S-GAM_W)+MAX(0,NG-MAX(H1344,GWL))*GAM_D)/(GAM_W*PI()*E1344^2/4))</f>
        <v>0.857258217815479</v>
      </c>
      <c r="AA1344" s="27" t="n">
        <f aca="false">IF(I1344-E1344&gt;=GWL,99,E1344*(MAX(0,GWL-I1344)*(GAM_S-GAM_W)+MAX(0,NG-MAX(I1344,GWL))*GAM_D)/(GAM_W*PI()*E1344^2/4))</f>
        <v>0.857258217815479</v>
      </c>
      <c r="AB1344" s="27" t="n">
        <f aca="false">IF(H1344-E1344&gt;=GWL,99,E1344*(MAX(0,GWL-H1344)*(GAM_S-GAM_W)+MAX(0,FL-MAX(H1344,GWL))*GAM_D)/(GAM_W*PI()*E1344^2/4))</f>
        <v>2.62318820747712</v>
      </c>
      <c r="AC1344" s="27" t="n">
        <f aca="false">IF(I1344-E1344&gt;=GWL,99,E1344*(MAX(0,GWL-I1344)*(GAM_S-GAM_W)+MAX(0,FL-MAX(I1344,GWL))*GAM_D)/(GAM_W*PI()*E1344^2/4))</f>
        <v>2.62318820747712</v>
      </c>
    </row>
    <row r="1345" customFormat="false" ht="15" hidden="false" customHeight="false" outlineLevel="0" collapsed="false">
      <c r="A1345" s="25" t="s">
        <v>1936</v>
      </c>
      <c r="B1345" s="25" t="s">
        <v>1946</v>
      </c>
      <c r="C1345" s="25" t="s">
        <v>1992</v>
      </c>
      <c r="D1345" s="26" t="n">
        <v>9.99999999931834</v>
      </c>
      <c r="E1345" s="26" t="n">
        <v>2.24899793031739</v>
      </c>
      <c r="F1345" s="26" t="n">
        <v>-4.3044989651587</v>
      </c>
      <c r="G1345" s="26" t="n">
        <v>-4.3044989651587</v>
      </c>
      <c r="H1345" s="26" t="n">
        <v>-1.5555010348413</v>
      </c>
      <c r="I1345" s="26" t="n">
        <v>-1.5555010348413</v>
      </c>
      <c r="J1345" s="26" t="n">
        <v>99</v>
      </c>
      <c r="K1345" s="27" t="n">
        <f aca="false">MIN(F1345,G1345)</f>
        <v>-4.3044989651587</v>
      </c>
      <c r="L1345" s="27" t="n">
        <f aca="false">AVERAGE(F1345,G1345)</f>
        <v>-4.3044989651587</v>
      </c>
      <c r="M1345" s="27" t="n">
        <f aca="false">MAX(0,NG-L1345)</f>
        <v>3.6044989651587</v>
      </c>
      <c r="N1345" s="27" t="n">
        <f aca="false">MAX(0,GWL-K1345)</f>
        <v>2.8044989651587</v>
      </c>
      <c r="O1345" s="27" t="n">
        <f aca="false">MAX(0,NG-MAX(K1345,GWL))</f>
        <v>0.8</v>
      </c>
      <c r="P1345" s="27" t="n">
        <f aca="false">E1345/2+WS+SLOPE_A*O1345+SLOPE_B*N1345</f>
        <v>8.93349689547609</v>
      </c>
      <c r="Q1345" s="28" t="str">
        <f aca="false">IF(AND(P1345&lt;J1345,N1345&lt;=MAXOC),"Open cut","Shoring")</f>
        <v>Shoring</v>
      </c>
      <c r="R1345" s="27" t="n">
        <f aca="false">IF(Q1345="Shoring",D1345,0)</f>
        <v>9.99999999931834</v>
      </c>
      <c r="S1345" s="27" t="n">
        <f aca="false">MAX(0,GWL-L1345)</f>
        <v>2.8044989651587</v>
      </c>
      <c r="T1345" s="27" t="n">
        <f aca="false">MAX(0,NG-MAX(L1345,GWL))</f>
        <v>0.8</v>
      </c>
      <c r="U1345" s="27" t="n">
        <f aca="false">E1345+2*WS</f>
        <v>4.24899793031739</v>
      </c>
      <c r="V1345" s="27" t="n">
        <f aca="false">IF(Q1345="Shoring",D1345*M1345*U1345,0)</f>
        <v>153.155086417465</v>
      </c>
      <c r="W1345" s="27" t="n">
        <f aca="false">IF(Q1345="Open cut",D1345*(U1345*M1345+SLOPE_B*S1345^2+2*SLOPE_B*S1345*T1345+SLOPE_A*T1345^2),0)</f>
        <v>0</v>
      </c>
      <c r="X1345" s="27" t="n">
        <f aca="false">IF(M1345&gt;0,D1345*(E1345+2*SLABOVH)*SLAB,0)</f>
        <v>16.2449896504796</v>
      </c>
      <c r="Y1345" s="27" t="n">
        <f aca="false">IF(M1345&gt;0,D1345*PI()*E1345^2/4,0)</f>
        <v>39.7253738398394</v>
      </c>
      <c r="Z1345" s="27" t="n">
        <f aca="false">IF(H1345-E1345&gt;=GWL,99,E1345*(MAX(0,GWL-H1345)*(GAM_S-GAM_W)+MAX(0,NG-MAX(H1345,GWL))*GAM_D)/(GAM_W*PI()*E1345^2/4))</f>
        <v>0.857258217815479</v>
      </c>
      <c r="AA1345" s="27" t="n">
        <f aca="false">IF(I1345-E1345&gt;=GWL,99,E1345*(MAX(0,GWL-I1345)*(GAM_S-GAM_W)+MAX(0,NG-MAX(I1345,GWL))*GAM_D)/(GAM_W*PI()*E1345^2/4))</f>
        <v>0.857258217815479</v>
      </c>
      <c r="AB1345" s="27" t="n">
        <f aca="false">IF(H1345-E1345&gt;=GWL,99,E1345*(MAX(0,GWL-H1345)*(GAM_S-GAM_W)+MAX(0,FL-MAX(H1345,GWL))*GAM_D)/(GAM_W*PI()*E1345^2/4))</f>
        <v>2.62318820747712</v>
      </c>
      <c r="AC1345" s="27" t="n">
        <f aca="false">IF(I1345-E1345&gt;=GWL,99,E1345*(MAX(0,GWL-I1345)*(GAM_S-GAM_W)+MAX(0,FL-MAX(I1345,GWL))*GAM_D)/(GAM_W*PI()*E1345^2/4))</f>
        <v>2.62318820747712</v>
      </c>
    </row>
    <row r="1346" customFormat="false" ht="15" hidden="false" customHeight="false" outlineLevel="0" collapsed="false">
      <c r="A1346" s="25" t="s">
        <v>1936</v>
      </c>
      <c r="B1346" s="25" t="s">
        <v>1946</v>
      </c>
      <c r="C1346" s="25" t="s">
        <v>1993</v>
      </c>
      <c r="D1346" s="26" t="n">
        <v>10.0000000001725</v>
      </c>
      <c r="E1346" s="26" t="n">
        <v>2.24899793031739</v>
      </c>
      <c r="F1346" s="26" t="n">
        <v>-4.3044989651587</v>
      </c>
      <c r="G1346" s="26" t="n">
        <v>-4.3044989651587</v>
      </c>
      <c r="H1346" s="26" t="n">
        <v>-1.5555010348413</v>
      </c>
      <c r="I1346" s="26" t="n">
        <v>-1.5555010348413</v>
      </c>
      <c r="J1346" s="26" t="n">
        <v>20.49</v>
      </c>
      <c r="K1346" s="27" t="n">
        <f aca="false">MIN(F1346,G1346)</f>
        <v>-4.3044989651587</v>
      </c>
      <c r="L1346" s="27" t="n">
        <f aca="false">AVERAGE(F1346,G1346)</f>
        <v>-4.3044989651587</v>
      </c>
      <c r="M1346" s="27" t="n">
        <f aca="false">MAX(0,NG-L1346)</f>
        <v>3.6044989651587</v>
      </c>
      <c r="N1346" s="27" t="n">
        <f aca="false">MAX(0,GWL-K1346)</f>
        <v>2.8044989651587</v>
      </c>
      <c r="O1346" s="27" t="n">
        <f aca="false">MAX(0,NG-MAX(K1346,GWL))</f>
        <v>0.8</v>
      </c>
      <c r="P1346" s="27" t="n">
        <f aca="false">E1346/2+WS+SLOPE_A*O1346+SLOPE_B*N1346</f>
        <v>8.93349689547609</v>
      </c>
      <c r="Q1346" s="28" t="str">
        <f aca="false">IF(AND(P1346&lt;J1346,N1346&lt;=MAXOC),"Open cut","Shoring")</f>
        <v>Shoring</v>
      </c>
      <c r="R1346" s="27" t="n">
        <f aca="false">IF(Q1346="Shoring",D1346,0)</f>
        <v>10.0000000001725</v>
      </c>
      <c r="S1346" s="27" t="n">
        <f aca="false">MAX(0,GWL-L1346)</f>
        <v>2.8044989651587</v>
      </c>
      <c r="T1346" s="27" t="n">
        <f aca="false">MAX(0,NG-MAX(L1346,GWL))</f>
        <v>0.8</v>
      </c>
      <c r="U1346" s="27" t="n">
        <f aca="false">E1346+2*WS</f>
        <v>4.24899793031739</v>
      </c>
      <c r="V1346" s="27" t="n">
        <f aca="false">IF(Q1346="Shoring",D1346*M1346*U1346,0)</f>
        <v>153.155086430547</v>
      </c>
      <c r="W1346" s="27" t="n">
        <f aca="false">IF(Q1346="Open cut",D1346*(U1346*M1346+SLOPE_B*S1346^2+2*SLOPE_B*S1346*T1346+SLOPE_A*T1346^2),0)</f>
        <v>0</v>
      </c>
      <c r="X1346" s="27" t="n">
        <f aca="false">IF(M1346&gt;0,D1346*(E1346+2*SLABOVH)*SLAB,0)</f>
        <v>16.2449896518672</v>
      </c>
      <c r="Y1346" s="27" t="n">
        <f aca="false">IF(M1346&gt;0,D1346*PI()*E1346^2/4,0)</f>
        <v>39.7253738432327</v>
      </c>
      <c r="Z1346" s="27" t="n">
        <f aca="false">IF(H1346-E1346&gt;=GWL,99,E1346*(MAX(0,GWL-H1346)*(GAM_S-GAM_W)+MAX(0,NG-MAX(H1346,GWL))*GAM_D)/(GAM_W*PI()*E1346^2/4))</f>
        <v>0.857258217815479</v>
      </c>
      <c r="AA1346" s="27" t="n">
        <f aca="false">IF(I1346-E1346&gt;=GWL,99,E1346*(MAX(0,GWL-I1346)*(GAM_S-GAM_W)+MAX(0,NG-MAX(I1346,GWL))*GAM_D)/(GAM_W*PI()*E1346^2/4))</f>
        <v>0.857258217815479</v>
      </c>
      <c r="AB1346" s="27" t="n">
        <f aca="false">IF(H1346-E1346&gt;=GWL,99,E1346*(MAX(0,GWL-H1346)*(GAM_S-GAM_W)+MAX(0,FL-MAX(H1346,GWL))*GAM_D)/(GAM_W*PI()*E1346^2/4))</f>
        <v>2.62318820747712</v>
      </c>
      <c r="AC1346" s="27" t="n">
        <f aca="false">IF(I1346-E1346&gt;=GWL,99,E1346*(MAX(0,GWL-I1346)*(GAM_S-GAM_W)+MAX(0,FL-MAX(I1346,GWL))*GAM_D)/(GAM_W*PI()*E1346^2/4))</f>
        <v>2.62318820747712</v>
      </c>
    </row>
    <row r="1347" customFormat="false" ht="15" hidden="false" customHeight="false" outlineLevel="0" collapsed="false">
      <c r="A1347" s="25" t="s">
        <v>1936</v>
      </c>
      <c r="B1347" s="25" t="s">
        <v>1946</v>
      </c>
      <c r="C1347" s="25" t="s">
        <v>1994</v>
      </c>
      <c r="D1347" s="26" t="n">
        <v>10.0000000000747</v>
      </c>
      <c r="E1347" s="26" t="n">
        <v>2.24899793031739</v>
      </c>
      <c r="F1347" s="26" t="n">
        <v>-4.3044989651587</v>
      </c>
      <c r="G1347" s="26" t="n">
        <v>-4.3044989651587</v>
      </c>
      <c r="H1347" s="26" t="n">
        <v>-1.5555010348413</v>
      </c>
      <c r="I1347" s="26" t="n">
        <v>-1.5555010348413</v>
      </c>
      <c r="J1347" s="26" t="n">
        <v>14.69</v>
      </c>
      <c r="K1347" s="27" t="n">
        <f aca="false">MIN(F1347,G1347)</f>
        <v>-4.3044989651587</v>
      </c>
      <c r="L1347" s="27" t="n">
        <f aca="false">AVERAGE(F1347,G1347)</f>
        <v>-4.3044989651587</v>
      </c>
      <c r="M1347" s="27" t="n">
        <f aca="false">MAX(0,NG-L1347)</f>
        <v>3.6044989651587</v>
      </c>
      <c r="N1347" s="27" t="n">
        <f aca="false">MAX(0,GWL-K1347)</f>
        <v>2.8044989651587</v>
      </c>
      <c r="O1347" s="27" t="n">
        <f aca="false">MAX(0,NG-MAX(K1347,GWL))</f>
        <v>0.8</v>
      </c>
      <c r="P1347" s="27" t="n">
        <f aca="false">E1347/2+WS+SLOPE_A*O1347+SLOPE_B*N1347</f>
        <v>8.93349689547609</v>
      </c>
      <c r="Q1347" s="28" t="str">
        <f aca="false">IF(AND(P1347&lt;J1347,N1347&lt;=MAXOC),"Open cut","Shoring")</f>
        <v>Shoring</v>
      </c>
      <c r="R1347" s="27" t="n">
        <f aca="false">IF(Q1347="Shoring",D1347,0)</f>
        <v>10.0000000000747</v>
      </c>
      <c r="S1347" s="27" t="n">
        <f aca="false">MAX(0,GWL-L1347)</f>
        <v>2.8044989651587</v>
      </c>
      <c r="T1347" s="27" t="n">
        <f aca="false">MAX(0,NG-MAX(L1347,GWL))</f>
        <v>0.8</v>
      </c>
      <c r="U1347" s="27" t="n">
        <f aca="false">E1347+2*WS</f>
        <v>4.24899793031739</v>
      </c>
      <c r="V1347" s="27" t="n">
        <f aca="false">IF(Q1347="Shoring",D1347*M1347*U1347,0)</f>
        <v>153.155086429048</v>
      </c>
      <c r="W1347" s="27" t="n">
        <f aca="false">IF(Q1347="Open cut",D1347*(U1347*M1347+SLOPE_B*S1347^2+2*SLOPE_B*S1347*T1347+SLOPE_A*T1347^2),0)</f>
        <v>0</v>
      </c>
      <c r="X1347" s="27" t="n">
        <f aca="false">IF(M1347&gt;0,D1347*(E1347+2*SLABOVH)*SLAB,0)</f>
        <v>16.2449896517082</v>
      </c>
      <c r="Y1347" s="27" t="n">
        <f aca="false">IF(M1347&gt;0,D1347*PI()*E1347^2/4,0)</f>
        <v>39.7253738428439</v>
      </c>
      <c r="Z1347" s="27" t="n">
        <f aca="false">IF(H1347-E1347&gt;=GWL,99,E1347*(MAX(0,GWL-H1347)*(GAM_S-GAM_W)+MAX(0,NG-MAX(H1347,GWL))*GAM_D)/(GAM_W*PI()*E1347^2/4))</f>
        <v>0.857258217815479</v>
      </c>
      <c r="AA1347" s="27" t="n">
        <f aca="false">IF(I1347-E1347&gt;=GWL,99,E1347*(MAX(0,GWL-I1347)*(GAM_S-GAM_W)+MAX(0,NG-MAX(I1347,GWL))*GAM_D)/(GAM_W*PI()*E1347^2/4))</f>
        <v>0.857258217815479</v>
      </c>
      <c r="AB1347" s="27" t="n">
        <f aca="false">IF(H1347-E1347&gt;=GWL,99,E1347*(MAX(0,GWL-H1347)*(GAM_S-GAM_W)+MAX(0,FL-MAX(H1347,GWL))*GAM_D)/(GAM_W*PI()*E1347^2/4))</f>
        <v>2.62318820747712</v>
      </c>
      <c r="AC1347" s="27" t="n">
        <f aca="false">IF(I1347-E1347&gt;=GWL,99,E1347*(MAX(0,GWL-I1347)*(GAM_S-GAM_W)+MAX(0,FL-MAX(I1347,GWL))*GAM_D)/(GAM_W*PI()*E1347^2/4))</f>
        <v>2.62318820747712</v>
      </c>
    </row>
    <row r="1348" customFormat="false" ht="15" hidden="false" customHeight="false" outlineLevel="0" collapsed="false">
      <c r="A1348" s="25" t="s">
        <v>1936</v>
      </c>
      <c r="B1348" s="25" t="s">
        <v>1946</v>
      </c>
      <c r="C1348" s="25" t="s">
        <v>1995</v>
      </c>
      <c r="D1348" s="26" t="n">
        <v>5.06093979694958</v>
      </c>
      <c r="E1348" s="26" t="n">
        <v>2.24899793031739</v>
      </c>
      <c r="F1348" s="26" t="n">
        <v>-4.3044989651587</v>
      </c>
      <c r="G1348" s="26" t="n">
        <v>-4.3044989651587</v>
      </c>
      <c r="H1348" s="26" t="n">
        <v>-1.5555010348413</v>
      </c>
      <c r="I1348" s="26" t="n">
        <v>-1.5555010348413</v>
      </c>
      <c r="J1348" s="26" t="n">
        <v>13.73</v>
      </c>
      <c r="K1348" s="27" t="n">
        <f aca="false">MIN(F1348,G1348)</f>
        <v>-4.3044989651587</v>
      </c>
      <c r="L1348" s="27" t="n">
        <f aca="false">AVERAGE(F1348,G1348)</f>
        <v>-4.3044989651587</v>
      </c>
      <c r="M1348" s="27" t="n">
        <f aca="false">MAX(0,NG-L1348)</f>
        <v>3.6044989651587</v>
      </c>
      <c r="N1348" s="27" t="n">
        <f aca="false">MAX(0,GWL-K1348)</f>
        <v>2.8044989651587</v>
      </c>
      <c r="O1348" s="27" t="n">
        <f aca="false">MAX(0,NG-MAX(K1348,GWL))</f>
        <v>0.8</v>
      </c>
      <c r="P1348" s="27" t="n">
        <f aca="false">E1348/2+WS+SLOPE_A*O1348+SLOPE_B*N1348</f>
        <v>8.93349689547609</v>
      </c>
      <c r="Q1348" s="28" t="str">
        <f aca="false">IF(AND(P1348&lt;J1348,N1348&lt;=MAXOC),"Open cut","Shoring")</f>
        <v>Shoring</v>
      </c>
      <c r="R1348" s="27" t="n">
        <f aca="false">IF(Q1348="Shoring",D1348,0)</f>
        <v>5.06093979694958</v>
      </c>
      <c r="S1348" s="27" t="n">
        <f aca="false">MAX(0,GWL-L1348)</f>
        <v>2.8044989651587</v>
      </c>
      <c r="T1348" s="27" t="n">
        <f aca="false">MAX(0,NG-MAX(L1348,GWL))</f>
        <v>0.8</v>
      </c>
      <c r="U1348" s="27" t="n">
        <f aca="false">E1348+2*WS</f>
        <v>4.24899793031739</v>
      </c>
      <c r="V1348" s="27" t="n">
        <f aca="false">IF(Q1348="Shoring",D1348*M1348*U1348,0)</f>
        <v>77.5108672008237</v>
      </c>
      <c r="W1348" s="27" t="n">
        <f aca="false">IF(Q1348="Open cut",D1348*(U1348*M1348+SLOPE_B*S1348^2+2*SLOPE_B*S1348*T1348+SLOPE_A*T1348^2),0)</f>
        <v>0</v>
      </c>
      <c r="X1348" s="27" t="n">
        <f aca="false">IF(M1348&gt;0,D1348*(E1348+2*SLABOVH)*SLAB,0)</f>
        <v>8.22149146287506</v>
      </c>
      <c r="Y1348" s="27" t="n">
        <f aca="false">IF(M1348&gt;0,D1348*PI()*E1348^2/4,0)</f>
        <v>20.1047725428448</v>
      </c>
      <c r="Z1348" s="27" t="n">
        <f aca="false">IF(H1348-E1348&gt;=GWL,99,E1348*(MAX(0,GWL-H1348)*(GAM_S-GAM_W)+MAX(0,NG-MAX(H1348,GWL))*GAM_D)/(GAM_W*PI()*E1348^2/4))</f>
        <v>0.857258217815479</v>
      </c>
      <c r="AA1348" s="27" t="n">
        <f aca="false">IF(I1348-E1348&gt;=GWL,99,E1348*(MAX(0,GWL-I1348)*(GAM_S-GAM_W)+MAX(0,NG-MAX(I1348,GWL))*GAM_D)/(GAM_W*PI()*E1348^2/4))</f>
        <v>0.857258217815479</v>
      </c>
      <c r="AB1348" s="27" t="n">
        <f aca="false">IF(H1348-E1348&gt;=GWL,99,E1348*(MAX(0,GWL-H1348)*(GAM_S-GAM_W)+MAX(0,FL-MAX(H1348,GWL))*GAM_D)/(GAM_W*PI()*E1348^2/4))</f>
        <v>2.62318820747712</v>
      </c>
      <c r="AC1348" s="27" t="n">
        <f aca="false">IF(I1348-E1348&gt;=GWL,99,E1348*(MAX(0,GWL-I1348)*(GAM_S-GAM_W)+MAX(0,FL-MAX(I1348,GWL))*GAM_D)/(GAM_W*PI()*E1348^2/4))</f>
        <v>2.62318820747712</v>
      </c>
    </row>
    <row r="1349" customFormat="false" ht="15" hidden="false" customHeight="false" outlineLevel="0" collapsed="false">
      <c r="A1349" s="25" t="s">
        <v>1996</v>
      </c>
      <c r="B1349" s="25" t="s">
        <v>1997</v>
      </c>
      <c r="C1349" s="25" t="s">
        <v>1998</v>
      </c>
      <c r="D1349" s="26" t="n">
        <v>0.810680000244596</v>
      </c>
      <c r="E1349" s="26" t="n">
        <v>1.86260028689554</v>
      </c>
      <c r="F1349" s="26" t="n">
        <v>-4.03130014344777</v>
      </c>
      <c r="G1349" s="26" t="n">
        <v>-4.03130014344777</v>
      </c>
      <c r="H1349" s="26" t="n">
        <v>-1.66869985655223</v>
      </c>
      <c r="I1349" s="26" t="n">
        <v>-1.66869985655223</v>
      </c>
      <c r="J1349" s="26" t="n">
        <v>11.67</v>
      </c>
      <c r="K1349" s="27" t="n">
        <f aca="false">MIN(F1349,G1349)</f>
        <v>-4.03130014344777</v>
      </c>
      <c r="L1349" s="27" t="n">
        <f aca="false">AVERAGE(F1349,G1349)</f>
        <v>-4.03130014344777</v>
      </c>
      <c r="M1349" s="27" t="n">
        <f aca="false">MAX(0,NG-L1349)</f>
        <v>3.33130014344777</v>
      </c>
      <c r="N1349" s="27" t="n">
        <f aca="false">MAX(0,GWL-K1349)</f>
        <v>2.53130014344777</v>
      </c>
      <c r="O1349" s="27" t="n">
        <f aca="false">MAX(0,NG-MAX(K1349,GWL))</f>
        <v>0.8</v>
      </c>
      <c r="P1349" s="27" t="n">
        <f aca="false">E1349/2+WS+SLOPE_A*O1349+SLOPE_B*N1349</f>
        <v>8.19390043034331</v>
      </c>
      <c r="Q1349" s="28" t="str">
        <f aca="false">IF(AND(P1349&lt;J1349,N1349&lt;=MAXOC),"Open cut","Shoring")</f>
        <v>Shoring</v>
      </c>
      <c r="R1349" s="27" t="n">
        <f aca="false">IF(Q1349="Shoring",D1349,0)</f>
        <v>0.810680000244596</v>
      </c>
      <c r="S1349" s="27" t="n">
        <f aca="false">MAX(0,GWL-L1349)</f>
        <v>2.53130014344777</v>
      </c>
      <c r="T1349" s="27" t="n">
        <f aca="false">MAX(0,NG-MAX(L1349,GWL))</f>
        <v>0.8</v>
      </c>
      <c r="U1349" s="27" t="n">
        <f aca="false">E1349+2*WS</f>
        <v>3.86260028689554</v>
      </c>
      <c r="V1349" s="27" t="n">
        <f aca="false">IF(Q1349="Shoring",D1349*M1349*U1349,0)</f>
        <v>10.4314094109038</v>
      </c>
      <c r="W1349" s="27" t="n">
        <f aca="false">IF(Q1349="Open cut",D1349*(U1349*M1349+SLOPE_B*S1349^2+2*SLOPE_B*S1349*T1349+SLOPE_A*T1349^2),0)</f>
        <v>0</v>
      </c>
      <c r="X1349" s="27" t="n">
        <f aca="false">IF(M1349&gt;0,D1349*(E1349+2*SLABOVH)*SLAB,0)</f>
        <v>1.16032640064033</v>
      </c>
      <c r="Y1349" s="27" t="n">
        <f aca="false">IF(M1349&gt;0,D1349*PI()*E1349^2/4,0)</f>
        <v>2.20891330625396</v>
      </c>
      <c r="Z1349" s="27" t="n">
        <f aca="false">IF(H1349-E1349&gt;=GWL,99,E1349*(MAX(0,GWL-H1349)*(GAM_S-GAM_W)+MAX(0,NG-MAX(H1349,GWL))*GAM_D)/(GAM_W*PI()*E1349^2/4))</f>
        <v>1.09969918574224</v>
      </c>
      <c r="AA1349" s="27" t="n">
        <f aca="false">IF(I1349-E1349&gt;=GWL,99,E1349*(MAX(0,GWL-I1349)*(GAM_S-GAM_W)+MAX(0,NG-MAX(I1349,GWL))*GAM_D)/(GAM_W*PI()*E1349^2/4))</f>
        <v>1.09969918574224</v>
      </c>
      <c r="AB1349" s="27" t="n">
        <f aca="false">IF(H1349-E1349&gt;=GWL,99,E1349*(MAX(0,GWL-H1349)*(GAM_S-GAM_W)+MAX(0,FL-MAX(H1349,GWL))*GAM_D)/(GAM_W*PI()*E1349^2/4))</f>
        <v>3.231972502662</v>
      </c>
      <c r="AC1349" s="27" t="n">
        <f aca="false">IF(I1349-E1349&gt;=GWL,99,E1349*(MAX(0,GWL-I1349)*(GAM_S-GAM_W)+MAX(0,FL-MAX(I1349,GWL))*GAM_D)/(GAM_W*PI()*E1349^2/4))</f>
        <v>3.231972502662</v>
      </c>
    </row>
    <row r="1350" customFormat="false" ht="15" hidden="false" customHeight="false" outlineLevel="0" collapsed="false">
      <c r="A1350" s="25" t="s">
        <v>1996</v>
      </c>
      <c r="B1350" s="25" t="s">
        <v>1997</v>
      </c>
      <c r="C1350" s="25" t="s">
        <v>1999</v>
      </c>
      <c r="D1350" s="26" t="n">
        <v>0.814710258705705</v>
      </c>
      <c r="E1350" s="26" t="n">
        <v>1.86260028689554</v>
      </c>
      <c r="F1350" s="26" t="n">
        <v>-4.03130014344777</v>
      </c>
      <c r="G1350" s="26" t="n">
        <v>-4.03130014344777</v>
      </c>
      <c r="H1350" s="26" t="n">
        <v>-1.66869985655223</v>
      </c>
      <c r="I1350" s="26" t="n">
        <v>-1.66869985655223</v>
      </c>
      <c r="J1350" s="26" t="n">
        <v>10.85</v>
      </c>
      <c r="K1350" s="27" t="n">
        <f aca="false">MIN(F1350,G1350)</f>
        <v>-4.03130014344777</v>
      </c>
      <c r="L1350" s="27" t="n">
        <f aca="false">AVERAGE(F1350,G1350)</f>
        <v>-4.03130014344777</v>
      </c>
      <c r="M1350" s="27" t="n">
        <f aca="false">MAX(0,NG-L1350)</f>
        <v>3.33130014344777</v>
      </c>
      <c r="N1350" s="27" t="n">
        <f aca="false">MAX(0,GWL-K1350)</f>
        <v>2.53130014344777</v>
      </c>
      <c r="O1350" s="27" t="n">
        <f aca="false">MAX(0,NG-MAX(K1350,GWL))</f>
        <v>0.8</v>
      </c>
      <c r="P1350" s="27" t="n">
        <f aca="false">E1350/2+WS+SLOPE_A*O1350+SLOPE_B*N1350</f>
        <v>8.19390043034331</v>
      </c>
      <c r="Q1350" s="28" t="str">
        <f aca="false">IF(AND(P1350&lt;J1350,N1350&lt;=MAXOC),"Open cut","Shoring")</f>
        <v>Shoring</v>
      </c>
      <c r="R1350" s="27" t="n">
        <f aca="false">IF(Q1350="Shoring",D1350,0)</f>
        <v>0.814710258705705</v>
      </c>
      <c r="S1350" s="27" t="n">
        <f aca="false">MAX(0,GWL-L1350)</f>
        <v>2.53130014344777</v>
      </c>
      <c r="T1350" s="27" t="n">
        <f aca="false">MAX(0,NG-MAX(L1350,GWL))</f>
        <v>0.8</v>
      </c>
      <c r="U1350" s="27" t="n">
        <f aca="false">E1350+2*WS</f>
        <v>3.86260028689554</v>
      </c>
      <c r="V1350" s="27" t="n">
        <f aca="false">IF(Q1350="Shoring",D1350*M1350*U1350,0)</f>
        <v>10.4832686846331</v>
      </c>
      <c r="W1350" s="27" t="n">
        <f aca="false">IF(Q1350="Open cut",D1350*(U1350*M1350+SLOPE_B*S1350^2+2*SLOPE_B*S1350*T1350+SLOPE_A*T1350^2),0)</f>
        <v>0</v>
      </c>
      <c r="X1350" s="27" t="n">
        <f aca="false">IF(M1350&gt;0,D1350*(E1350+2*SLABOVH)*SLAB,0)</f>
        <v>1.16609491015385</v>
      </c>
      <c r="Y1350" s="27" t="n">
        <f aca="false">IF(M1350&gt;0,D1350*PI()*E1350^2/4,0)</f>
        <v>2.21989481750341</v>
      </c>
      <c r="Z1350" s="27" t="n">
        <f aca="false">IF(H1350-E1350&gt;=GWL,99,E1350*(MAX(0,GWL-H1350)*(GAM_S-GAM_W)+MAX(0,NG-MAX(H1350,GWL))*GAM_D)/(GAM_W*PI()*E1350^2/4))</f>
        <v>1.09969918574224</v>
      </c>
      <c r="AA1350" s="27" t="n">
        <f aca="false">IF(I1350-E1350&gt;=GWL,99,E1350*(MAX(0,GWL-I1350)*(GAM_S-GAM_W)+MAX(0,NG-MAX(I1350,GWL))*GAM_D)/(GAM_W*PI()*E1350^2/4))</f>
        <v>1.09969918574224</v>
      </c>
      <c r="AB1350" s="27" t="n">
        <f aca="false">IF(H1350-E1350&gt;=GWL,99,E1350*(MAX(0,GWL-H1350)*(GAM_S-GAM_W)+MAX(0,FL-MAX(H1350,GWL))*GAM_D)/(GAM_W*PI()*E1350^2/4))</f>
        <v>3.231972502662</v>
      </c>
      <c r="AC1350" s="27" t="n">
        <f aca="false">IF(I1350-E1350&gt;=GWL,99,E1350*(MAX(0,GWL-I1350)*(GAM_S-GAM_W)+MAX(0,FL-MAX(I1350,GWL))*GAM_D)/(GAM_W*PI()*E1350^2/4))</f>
        <v>3.231972502662</v>
      </c>
    </row>
    <row r="1351" customFormat="false" ht="15" hidden="false" customHeight="false" outlineLevel="0" collapsed="false">
      <c r="A1351" s="25" t="s">
        <v>1996</v>
      </c>
      <c r="B1351" s="25" t="s">
        <v>1997</v>
      </c>
      <c r="C1351" s="25" t="s">
        <v>2000</v>
      </c>
      <c r="D1351" s="26" t="n">
        <v>0.880703055978006</v>
      </c>
      <c r="E1351" s="26" t="n">
        <v>1.86259778216107</v>
      </c>
      <c r="F1351" s="26" t="n">
        <v>-4.03129889108054</v>
      </c>
      <c r="G1351" s="26" t="n">
        <v>-4.03129889108054</v>
      </c>
      <c r="H1351" s="26" t="n">
        <v>-1.66870110891947</v>
      </c>
      <c r="I1351" s="26" t="n">
        <v>-1.66870110891947</v>
      </c>
      <c r="J1351" s="26" t="n">
        <v>10.08</v>
      </c>
      <c r="K1351" s="27" t="n">
        <f aca="false">MIN(F1351,G1351)</f>
        <v>-4.03129889108054</v>
      </c>
      <c r="L1351" s="27" t="n">
        <f aca="false">AVERAGE(F1351,G1351)</f>
        <v>-4.03129889108054</v>
      </c>
      <c r="M1351" s="27" t="n">
        <f aca="false">MAX(0,NG-L1351)</f>
        <v>3.33129889108054</v>
      </c>
      <c r="N1351" s="27" t="n">
        <f aca="false">MAX(0,GWL-K1351)</f>
        <v>2.53129889108054</v>
      </c>
      <c r="O1351" s="27" t="n">
        <f aca="false">MAX(0,NG-MAX(K1351,GWL))</f>
        <v>0.8</v>
      </c>
      <c r="P1351" s="27" t="n">
        <f aca="false">E1351/2+WS+SLOPE_A*O1351+SLOPE_B*N1351</f>
        <v>8.19389667324161</v>
      </c>
      <c r="Q1351" s="28" t="str">
        <f aca="false">IF(AND(P1351&lt;J1351,N1351&lt;=MAXOC),"Open cut","Shoring")</f>
        <v>Shoring</v>
      </c>
      <c r="R1351" s="27" t="n">
        <f aca="false">IF(Q1351="Shoring",D1351,0)</f>
        <v>0.880703055978006</v>
      </c>
      <c r="S1351" s="27" t="n">
        <f aca="false">MAX(0,GWL-L1351)</f>
        <v>2.53129889108054</v>
      </c>
      <c r="T1351" s="27" t="n">
        <f aca="false">MAX(0,NG-MAX(L1351,GWL))</f>
        <v>0.8</v>
      </c>
      <c r="U1351" s="27" t="n">
        <f aca="false">E1351+2*WS</f>
        <v>3.86259778216107</v>
      </c>
      <c r="V1351" s="27" t="n">
        <f aca="false">IF(Q1351="Shoring",D1351*M1351*U1351,0)</f>
        <v>11.3324181334891</v>
      </c>
      <c r="W1351" s="27" t="n">
        <f aca="false">IF(Q1351="Open cut",D1351*(U1351*M1351+SLOPE_B*S1351^2+2*SLOPE_B*S1351*T1351+SLOPE_A*T1351^2),0)</f>
        <v>0</v>
      </c>
      <c r="X1351" s="27" t="n">
        <f aca="false">IF(M1351&gt;0,D1351*(E1351+2*SLABOVH)*SLAB,0)</f>
        <v>1.26054930739256</v>
      </c>
      <c r="Y1351" s="27" t="n">
        <f aca="false">IF(M1351&gt;0,D1351*PI()*E1351^2/4,0)</f>
        <v>2.39970329411699</v>
      </c>
      <c r="Z1351" s="27" t="n">
        <f aca="false">IF(H1351-E1351&gt;=GWL,99,E1351*(MAX(0,GWL-H1351)*(GAM_S-GAM_W)+MAX(0,NG-MAX(H1351,GWL))*GAM_D)/(GAM_W*PI()*E1351^2/4))</f>
        <v>1.09970137928911</v>
      </c>
      <c r="AA1351" s="27" t="n">
        <f aca="false">IF(I1351-E1351&gt;=GWL,99,E1351*(MAX(0,GWL-I1351)*(GAM_S-GAM_W)+MAX(0,NG-MAX(I1351,GWL))*GAM_D)/(GAM_W*PI()*E1351^2/4))</f>
        <v>1.09970137928911</v>
      </c>
      <c r="AB1351" s="27" t="n">
        <f aca="false">IF(H1351-E1351&gt;=GWL,99,E1351*(MAX(0,GWL-H1351)*(GAM_S-GAM_W)+MAX(0,FL-MAX(H1351,GWL))*GAM_D)/(GAM_W*PI()*E1351^2/4))</f>
        <v>3.2319775635904</v>
      </c>
      <c r="AC1351" s="27" t="n">
        <f aca="false">IF(I1351-E1351&gt;=GWL,99,E1351*(MAX(0,GWL-I1351)*(GAM_S-GAM_W)+MAX(0,FL-MAX(I1351,GWL))*GAM_D)/(GAM_W*PI()*E1351^2/4))</f>
        <v>3.2319775635904</v>
      </c>
    </row>
    <row r="1352" customFormat="false" ht="15" hidden="false" customHeight="false" outlineLevel="0" collapsed="false">
      <c r="A1352" s="25" t="s">
        <v>1996</v>
      </c>
      <c r="B1352" s="25" t="s">
        <v>2001</v>
      </c>
      <c r="C1352" s="25" t="s">
        <v>2002</v>
      </c>
      <c r="D1352" s="26" t="n">
        <v>7.49390668531849</v>
      </c>
      <c r="E1352" s="26" t="n">
        <v>1.86259778216107</v>
      </c>
      <c r="F1352" s="26" t="n">
        <v>-4.03129889108054</v>
      </c>
      <c r="G1352" s="26" t="n">
        <v>-4.0952105395728</v>
      </c>
      <c r="H1352" s="26" t="n">
        <v>-1.66870110891947</v>
      </c>
      <c r="I1352" s="26" t="n">
        <v>-1.73261275741173</v>
      </c>
      <c r="J1352" s="26" t="n">
        <v>4.61</v>
      </c>
      <c r="K1352" s="27" t="n">
        <f aca="false">MIN(F1352,G1352)</f>
        <v>-4.0952105395728</v>
      </c>
      <c r="L1352" s="27" t="n">
        <f aca="false">AVERAGE(F1352,G1352)</f>
        <v>-4.06325471532667</v>
      </c>
      <c r="M1352" s="27" t="n">
        <f aca="false">MAX(0,NG-L1352)</f>
        <v>3.36325471532667</v>
      </c>
      <c r="N1352" s="27" t="n">
        <f aca="false">MAX(0,GWL-K1352)</f>
        <v>2.5952105395728</v>
      </c>
      <c r="O1352" s="27" t="n">
        <f aca="false">MAX(0,NG-MAX(K1352,GWL))</f>
        <v>0.8</v>
      </c>
      <c r="P1352" s="27" t="n">
        <f aca="false">E1352/2+WS+SLOPE_A*O1352+SLOPE_B*N1352</f>
        <v>8.32171997022613</v>
      </c>
      <c r="Q1352" s="28" t="str">
        <f aca="false">IF(AND(P1352&lt;J1352,N1352&lt;=MAXOC),"Open cut","Shoring")</f>
        <v>Shoring</v>
      </c>
      <c r="R1352" s="27" t="n">
        <f aca="false">IF(Q1352="Shoring",D1352,0)</f>
        <v>7.49390668531849</v>
      </c>
      <c r="S1352" s="27" t="n">
        <f aca="false">MAX(0,GWL-L1352)</f>
        <v>2.56325471532667</v>
      </c>
      <c r="T1352" s="27" t="n">
        <f aca="false">MAX(0,NG-MAX(L1352,GWL))</f>
        <v>0.8</v>
      </c>
      <c r="U1352" s="27" t="n">
        <f aca="false">E1352+2*WS</f>
        <v>3.86259778216107</v>
      </c>
      <c r="V1352" s="27" t="n">
        <f aca="false">IF(Q1352="Shoring",D1352*M1352*U1352,0)</f>
        <v>97.3525938890359</v>
      </c>
      <c r="W1352" s="27" t="n">
        <f aca="false">IF(Q1352="Open cut",D1352*(U1352*M1352+SLOPE_B*S1352^2+2*SLOPE_B*S1352*T1352+SLOPE_A*T1352^2),0)</f>
        <v>0</v>
      </c>
      <c r="X1352" s="27" t="n">
        <f aca="false">IF(M1352&gt;0,D1352*(E1352+2*SLABOVH)*SLAB,0)</f>
        <v>10.7260203285574</v>
      </c>
      <c r="Y1352" s="27" t="n">
        <f aca="false">IF(M1352&gt;0,D1352*PI()*E1352^2/4,0)</f>
        <v>20.4190872695385</v>
      </c>
      <c r="Z1352" s="27" t="n">
        <f aca="false">IF(H1352-E1352&gt;=GWL,99,E1352*(MAX(0,GWL-H1352)*(GAM_S-GAM_W)+MAX(0,NG-MAX(H1352,GWL))*GAM_D)/(GAM_W*PI()*E1352^2/4))</f>
        <v>1.09970137928911</v>
      </c>
      <c r="AA1352" s="27" t="n">
        <f aca="false">IF(I1352-E1352&gt;=GWL,99,E1352*(MAX(0,GWL-I1352)*(GAM_S-GAM_W)+MAX(0,NG-MAX(I1352,GWL))*GAM_D)/(GAM_W*PI()*E1352^2/4))</f>
        <v>1.13617559406597</v>
      </c>
      <c r="AB1352" s="27" t="n">
        <f aca="false">IF(H1352-E1352&gt;=GWL,99,E1352*(MAX(0,GWL-H1352)*(GAM_S-GAM_W)+MAX(0,FL-MAX(H1352,GWL))*GAM_D)/(GAM_W*PI()*E1352^2/4))</f>
        <v>3.2319775635904</v>
      </c>
      <c r="AC1352" s="27" t="n">
        <f aca="false">IF(I1352-E1352&gt;=GWL,99,E1352*(MAX(0,GWL-I1352)*(GAM_S-GAM_W)+MAX(0,FL-MAX(I1352,GWL))*GAM_D)/(GAM_W*PI()*E1352^2/4))</f>
        <v>3.26845177836727</v>
      </c>
    </row>
    <row r="1353" customFormat="false" ht="15" hidden="false" customHeight="false" outlineLevel="0" collapsed="false">
      <c r="A1353" s="25" t="s">
        <v>1996</v>
      </c>
      <c r="B1353" s="25" t="s">
        <v>2001</v>
      </c>
      <c r="C1353" s="25" t="s">
        <v>2003</v>
      </c>
      <c r="D1353" s="26" t="n">
        <v>9.99999999999156</v>
      </c>
      <c r="E1353" s="26" t="n">
        <v>1.86259778216107</v>
      </c>
      <c r="F1353" s="26" t="n">
        <v>-4.0952105395728</v>
      </c>
      <c r="G1353" s="26" t="n">
        <v>-4.18049535986243</v>
      </c>
      <c r="H1353" s="26" t="n">
        <v>-1.73261275741173</v>
      </c>
      <c r="I1353" s="26" t="n">
        <v>-1.81789757770136</v>
      </c>
      <c r="J1353" s="26" t="n">
        <v>4.31</v>
      </c>
      <c r="K1353" s="27" t="n">
        <f aca="false">MIN(F1353,G1353)</f>
        <v>-4.18049535986243</v>
      </c>
      <c r="L1353" s="27" t="n">
        <f aca="false">AVERAGE(F1353,G1353)</f>
        <v>-4.13785294971761</v>
      </c>
      <c r="M1353" s="27" t="n">
        <f aca="false">MAX(0,NG-L1353)</f>
        <v>3.43785294971761</v>
      </c>
      <c r="N1353" s="27" t="n">
        <f aca="false">MAX(0,GWL-K1353)</f>
        <v>2.68049535986243</v>
      </c>
      <c r="O1353" s="27" t="n">
        <f aca="false">MAX(0,NG-MAX(K1353,GWL))</f>
        <v>0.8</v>
      </c>
      <c r="P1353" s="27" t="n">
        <f aca="false">E1353/2+WS+SLOPE_A*O1353+SLOPE_B*N1353</f>
        <v>8.49228961080539</v>
      </c>
      <c r="Q1353" s="28" t="str">
        <f aca="false">IF(AND(P1353&lt;J1353,N1353&lt;=MAXOC),"Open cut","Shoring")</f>
        <v>Shoring</v>
      </c>
      <c r="R1353" s="27" t="n">
        <f aca="false">IF(Q1353="Shoring",D1353,0)</f>
        <v>9.99999999999156</v>
      </c>
      <c r="S1353" s="27" t="n">
        <f aca="false">MAX(0,GWL-L1353)</f>
        <v>2.63785294971761</v>
      </c>
      <c r="T1353" s="27" t="n">
        <f aca="false">MAX(0,NG-MAX(L1353,GWL))</f>
        <v>0.8</v>
      </c>
      <c r="U1353" s="27" t="n">
        <f aca="false">E1353+2*WS</f>
        <v>3.86259778216107</v>
      </c>
      <c r="V1353" s="27" t="n">
        <f aca="false">IF(Q1353="Shoring",D1353*M1353*U1353,0)</f>
        <v>132.790431789639</v>
      </c>
      <c r="W1353" s="27" t="n">
        <f aca="false">IF(Q1353="Open cut",D1353*(U1353*M1353+SLOPE_B*S1353^2+2*SLOPE_B*S1353*T1353+SLOPE_A*T1353^2),0)</f>
        <v>0</v>
      </c>
      <c r="X1353" s="27" t="n">
        <f aca="false">IF(M1353&gt;0,D1353*(E1353+2*SLABOVH)*SLAB,0)</f>
        <v>14.3129889107933</v>
      </c>
      <c r="Y1353" s="27" t="n">
        <f aca="false">IF(M1353&gt;0,D1353*PI()*E1353^2/4,0)</f>
        <v>27.2475867754329</v>
      </c>
      <c r="Z1353" s="27" t="n">
        <f aca="false">IF(H1353-E1353&gt;=GWL,99,E1353*(MAX(0,GWL-H1353)*(GAM_S-GAM_W)+MAX(0,NG-MAX(H1353,GWL))*GAM_D)/(GAM_W*PI()*E1353^2/4))</f>
        <v>1.13617559406597</v>
      </c>
      <c r="AA1353" s="27" t="n">
        <f aca="false">IF(I1353-E1353&gt;=GWL,99,E1353*(MAX(0,GWL-I1353)*(GAM_S-GAM_W)+MAX(0,NG-MAX(I1353,GWL))*GAM_D)/(GAM_W*PI()*E1353^2/4))</f>
        <v>1.18484742347164</v>
      </c>
      <c r="AB1353" s="27" t="n">
        <f aca="false">IF(H1353-E1353&gt;=GWL,99,E1353*(MAX(0,GWL-H1353)*(GAM_S-GAM_W)+MAX(0,FL-MAX(H1353,GWL))*GAM_D)/(GAM_W*PI()*E1353^2/4))</f>
        <v>3.26845177836727</v>
      </c>
      <c r="AC1353" s="27" t="n">
        <f aca="false">IF(I1353-E1353&gt;=GWL,99,E1353*(MAX(0,GWL-I1353)*(GAM_S-GAM_W)+MAX(0,FL-MAX(I1353,GWL))*GAM_D)/(GAM_W*PI()*E1353^2/4))</f>
        <v>3.31712360777293</v>
      </c>
    </row>
    <row r="1354" customFormat="false" ht="15" hidden="false" customHeight="false" outlineLevel="0" collapsed="false">
      <c r="A1354" s="25" t="s">
        <v>1996</v>
      </c>
      <c r="B1354" s="25" t="s">
        <v>2001</v>
      </c>
      <c r="C1354" s="25" t="s">
        <v>2004</v>
      </c>
      <c r="D1354" s="26" t="n">
        <v>9.99999999996877</v>
      </c>
      <c r="E1354" s="26" t="n">
        <v>1.86259778216107</v>
      </c>
      <c r="F1354" s="26" t="n">
        <v>-4.18049535986243</v>
      </c>
      <c r="G1354" s="26" t="n">
        <v>-4.26578018015206</v>
      </c>
      <c r="H1354" s="26" t="n">
        <v>-1.81789757770136</v>
      </c>
      <c r="I1354" s="26" t="n">
        <v>-1.90318239799099</v>
      </c>
      <c r="J1354" s="26" t="n">
        <v>7.83</v>
      </c>
      <c r="K1354" s="27" t="n">
        <f aca="false">MIN(F1354,G1354)</f>
        <v>-4.26578018015206</v>
      </c>
      <c r="L1354" s="27" t="n">
        <f aca="false">AVERAGE(F1354,G1354)</f>
        <v>-4.22313777000724</v>
      </c>
      <c r="M1354" s="27" t="n">
        <f aca="false">MAX(0,NG-L1354)</f>
        <v>3.52313777000724</v>
      </c>
      <c r="N1354" s="27" t="n">
        <f aca="false">MAX(0,GWL-K1354)</f>
        <v>2.76578018015206</v>
      </c>
      <c r="O1354" s="27" t="n">
        <f aca="false">MAX(0,NG-MAX(K1354,GWL))</f>
        <v>0.8</v>
      </c>
      <c r="P1354" s="27" t="n">
        <f aca="false">E1354/2+WS+SLOPE_A*O1354+SLOPE_B*N1354</f>
        <v>8.66285925138465</v>
      </c>
      <c r="Q1354" s="28" t="str">
        <f aca="false">IF(AND(P1354&lt;J1354,N1354&lt;=MAXOC),"Open cut","Shoring")</f>
        <v>Shoring</v>
      </c>
      <c r="R1354" s="27" t="n">
        <f aca="false">IF(Q1354="Shoring",D1354,0)</f>
        <v>9.99999999996877</v>
      </c>
      <c r="S1354" s="27" t="n">
        <f aca="false">MAX(0,GWL-L1354)</f>
        <v>2.72313777000724</v>
      </c>
      <c r="T1354" s="27" t="n">
        <f aca="false">MAX(0,NG-MAX(L1354,GWL))</f>
        <v>0.8</v>
      </c>
      <c r="U1354" s="27" t="n">
        <f aca="false">E1354+2*WS</f>
        <v>3.86259778216107</v>
      </c>
      <c r="V1354" s="27" t="n">
        <f aca="false">IF(Q1354="Shoring",D1354*M1354*U1354,0)</f>
        <v>136.084641366354</v>
      </c>
      <c r="W1354" s="27" t="n">
        <f aca="false">IF(Q1354="Open cut",D1354*(U1354*M1354+SLOPE_B*S1354^2+2*SLOPE_B*S1354*T1354+SLOPE_A*T1354^2),0)</f>
        <v>0</v>
      </c>
      <c r="X1354" s="27" t="n">
        <f aca="false">IF(M1354&gt;0,D1354*(E1354+2*SLABOVH)*SLAB,0)</f>
        <v>14.3129889107607</v>
      </c>
      <c r="Y1354" s="27" t="n">
        <f aca="false">IF(M1354&gt;0,D1354*PI()*E1354^2/4,0)</f>
        <v>27.2475867753708</v>
      </c>
      <c r="Z1354" s="27" t="n">
        <f aca="false">IF(H1354-E1354&gt;=GWL,99,E1354*(MAX(0,GWL-H1354)*(GAM_S-GAM_W)+MAX(0,NG-MAX(H1354,GWL))*GAM_D)/(GAM_W*PI()*E1354^2/4))</f>
        <v>1.18484742347164</v>
      </c>
      <c r="AA1354" s="27" t="n">
        <f aca="false">IF(I1354-E1354&gt;=GWL,99,E1354*(MAX(0,GWL-I1354)*(GAM_S-GAM_W)+MAX(0,NG-MAX(I1354,GWL))*GAM_D)/(GAM_W*PI()*E1354^2/4))</f>
        <v>1.2335192528773</v>
      </c>
      <c r="AB1354" s="27" t="n">
        <f aca="false">IF(H1354-E1354&gt;=GWL,99,E1354*(MAX(0,GWL-H1354)*(GAM_S-GAM_W)+MAX(0,FL-MAX(H1354,GWL))*GAM_D)/(GAM_W*PI()*E1354^2/4))</f>
        <v>3.31712360777293</v>
      </c>
      <c r="AC1354" s="27" t="n">
        <f aca="false">IF(I1354-E1354&gt;=GWL,99,E1354*(MAX(0,GWL-I1354)*(GAM_S-GAM_W)+MAX(0,FL-MAX(I1354,GWL))*GAM_D)/(GAM_W*PI()*E1354^2/4))</f>
        <v>3.36579543717859</v>
      </c>
    </row>
    <row r="1355" customFormat="false" ht="15" hidden="false" customHeight="false" outlineLevel="0" collapsed="false">
      <c r="A1355" s="25" t="s">
        <v>1996</v>
      </c>
      <c r="B1355" s="25" t="s">
        <v>2001</v>
      </c>
      <c r="C1355" s="25" t="s">
        <v>2005</v>
      </c>
      <c r="D1355" s="26" t="n">
        <v>1.46435331471702</v>
      </c>
      <c r="E1355" s="26" t="n">
        <v>1.86259778216107</v>
      </c>
      <c r="F1355" s="26" t="n">
        <v>-4.26578018015206</v>
      </c>
      <c r="G1355" s="26" t="n">
        <v>-4.27826889108053</v>
      </c>
      <c r="H1355" s="26" t="n">
        <v>-1.90318239799099</v>
      </c>
      <c r="I1355" s="26" t="n">
        <v>-1.91567110891947</v>
      </c>
      <c r="J1355" s="26" t="n">
        <v>12.7</v>
      </c>
      <c r="K1355" s="27" t="n">
        <f aca="false">MIN(F1355,G1355)</f>
        <v>-4.27826889108053</v>
      </c>
      <c r="L1355" s="27" t="n">
        <f aca="false">AVERAGE(F1355,G1355)</f>
        <v>-4.27202453561629</v>
      </c>
      <c r="M1355" s="27" t="n">
        <f aca="false">MAX(0,NG-L1355)</f>
        <v>3.57202453561629</v>
      </c>
      <c r="N1355" s="27" t="n">
        <f aca="false">MAX(0,GWL-K1355)</f>
        <v>2.77826889108053</v>
      </c>
      <c r="O1355" s="27" t="n">
        <f aca="false">MAX(0,NG-MAX(K1355,GWL))</f>
        <v>0.8</v>
      </c>
      <c r="P1355" s="27" t="n">
        <f aca="false">E1355/2+WS+SLOPE_A*O1355+SLOPE_B*N1355</f>
        <v>8.6878366732416</v>
      </c>
      <c r="Q1355" s="28" t="str">
        <f aca="false">IF(AND(P1355&lt;J1355,N1355&lt;=MAXOC),"Open cut","Shoring")</f>
        <v>Shoring</v>
      </c>
      <c r="R1355" s="27" t="n">
        <f aca="false">IF(Q1355="Shoring",D1355,0)</f>
        <v>1.46435331471702</v>
      </c>
      <c r="S1355" s="27" t="n">
        <f aca="false">MAX(0,GWL-L1355)</f>
        <v>2.77202453561629</v>
      </c>
      <c r="T1355" s="27" t="n">
        <f aca="false">MAX(0,NG-MAX(L1355,GWL))</f>
        <v>0.8</v>
      </c>
      <c r="U1355" s="27" t="n">
        <f aca="false">E1355+2*WS</f>
        <v>3.86259778216107</v>
      </c>
      <c r="V1355" s="27" t="n">
        <f aca="false">IF(Q1355="Shoring",D1355*M1355*U1355,0)</f>
        <v>20.2041132749197</v>
      </c>
      <c r="W1355" s="27" t="n">
        <f aca="false">IF(Q1355="Open cut",D1355*(U1355*M1355+SLOPE_B*S1355^2+2*SLOPE_B*S1355*T1355+SLOPE_A*T1355^2),0)</f>
        <v>0</v>
      </c>
      <c r="X1355" s="27" t="n">
        <f aca="false">IF(M1355&gt;0,D1355*(E1355+2*SLABOVH)*SLAB,0)</f>
        <v>2.09592727550457</v>
      </c>
      <c r="Y1355" s="27" t="n">
        <f aca="false">IF(M1355&gt;0,D1355*PI()*E1355^2/4,0)</f>
        <v>3.99000940126785</v>
      </c>
      <c r="Z1355" s="27" t="n">
        <f aca="false">IF(H1355-E1355&gt;=GWL,99,E1355*(MAX(0,GWL-H1355)*(GAM_S-GAM_W)+MAX(0,NG-MAX(H1355,GWL))*GAM_D)/(GAM_W*PI()*E1355^2/4))</f>
        <v>1.2335192528773</v>
      </c>
      <c r="AA1355" s="27" t="n">
        <f aca="false">IF(I1355-E1355&gt;=GWL,99,E1355*(MAX(0,GWL-I1355)*(GAM_S-GAM_W)+MAX(0,NG-MAX(I1355,GWL))*GAM_D)/(GAM_W*PI()*E1355^2/4))</f>
        <v>1.24064652834957</v>
      </c>
      <c r="AB1355" s="27" t="n">
        <f aca="false">IF(H1355-E1355&gt;=GWL,99,E1355*(MAX(0,GWL-H1355)*(GAM_S-GAM_W)+MAX(0,FL-MAX(H1355,GWL))*GAM_D)/(GAM_W*PI()*E1355^2/4))</f>
        <v>3.36579543717859</v>
      </c>
      <c r="AC1355" s="27" t="n">
        <f aca="false">IF(I1355-E1355&gt;=GWL,99,E1355*(MAX(0,GWL-I1355)*(GAM_S-GAM_W)+MAX(0,FL-MAX(I1355,GWL))*GAM_D)/(GAM_W*PI()*E1355^2/4))</f>
        <v>3.37292271265087</v>
      </c>
    </row>
    <row r="1356" customFormat="false" ht="15" hidden="false" customHeight="false" outlineLevel="0" collapsed="false">
      <c r="A1356" s="25" t="s">
        <v>1996</v>
      </c>
      <c r="B1356" s="25" t="s">
        <v>2001</v>
      </c>
      <c r="C1356" s="25" t="s">
        <v>2006</v>
      </c>
      <c r="D1356" s="26" t="n">
        <v>0.108685044818785</v>
      </c>
      <c r="E1356" s="26" t="n">
        <v>1.84099803997984</v>
      </c>
      <c r="F1356" s="26" t="n">
        <v>-4.26746901998992</v>
      </c>
      <c r="G1356" s="26" t="n">
        <v>-4.26839901998992</v>
      </c>
      <c r="H1356" s="26" t="n">
        <v>-1.92647098001008</v>
      </c>
      <c r="I1356" s="26" t="n">
        <v>-1.92740098001008</v>
      </c>
      <c r="J1356" s="26" t="n">
        <v>13.42</v>
      </c>
      <c r="K1356" s="27" t="n">
        <f aca="false">MIN(F1356,G1356)</f>
        <v>-4.26839901998992</v>
      </c>
      <c r="L1356" s="27" t="n">
        <f aca="false">AVERAGE(F1356,G1356)</f>
        <v>-4.26793401998992</v>
      </c>
      <c r="M1356" s="27" t="n">
        <f aca="false">MAX(0,NG-L1356)</f>
        <v>3.56793401998992</v>
      </c>
      <c r="N1356" s="27" t="n">
        <f aca="false">MAX(0,GWL-K1356)</f>
        <v>2.76839901998992</v>
      </c>
      <c r="O1356" s="27" t="n">
        <f aca="false">MAX(0,NG-MAX(K1356,GWL))</f>
        <v>0.8</v>
      </c>
      <c r="P1356" s="27" t="n">
        <f aca="false">E1356/2+WS+SLOPE_A*O1356+SLOPE_B*N1356</f>
        <v>8.65729705996976</v>
      </c>
      <c r="Q1356" s="28" t="str">
        <f aca="false">IF(AND(P1356&lt;J1356,N1356&lt;=MAXOC),"Open cut","Shoring")</f>
        <v>Shoring</v>
      </c>
      <c r="R1356" s="27" t="n">
        <f aca="false">IF(Q1356="Shoring",D1356,0)</f>
        <v>0.108685044818785</v>
      </c>
      <c r="S1356" s="27" t="n">
        <f aca="false">MAX(0,GWL-L1356)</f>
        <v>2.76793401998992</v>
      </c>
      <c r="T1356" s="27" t="n">
        <f aca="false">MAX(0,NG-MAX(L1356,GWL))</f>
        <v>0.8</v>
      </c>
      <c r="U1356" s="27" t="n">
        <f aca="false">E1356+2*WS</f>
        <v>3.84099803997984</v>
      </c>
      <c r="V1356" s="27" t="n">
        <f aca="false">IF(Q1356="Shoring",D1356*M1356*U1356,0)</f>
        <v>1.48946632548276</v>
      </c>
      <c r="W1356" s="27" t="n">
        <f aca="false">IF(Q1356="Open cut",D1356*(U1356*M1356+SLOPE_B*S1356^2+2*SLOPE_B*S1356*T1356+SLOPE_A*T1356^2),0)</f>
        <v>0</v>
      </c>
      <c r="X1356" s="27" t="n">
        <f aca="false">IF(M1356&gt;0,D1356*(E1356+2*SLABOVH)*SLAB,0)</f>
        <v>0.154386999652645</v>
      </c>
      <c r="Y1356" s="27" t="n">
        <f aca="false">IF(M1356&gt;0,D1356*PI()*E1356^2/4,0)</f>
        <v>0.28931191664165</v>
      </c>
      <c r="Z1356" s="27" t="n">
        <f aca="false">IF(H1356-E1356&gt;=GWL,99,E1356*(MAX(0,GWL-H1356)*(GAM_S-GAM_W)+MAX(0,NG-MAX(H1356,GWL))*GAM_D)/(GAM_W*PI()*E1356^2/4))</f>
        <v>1.26143834298914</v>
      </c>
      <c r="AA1356" s="27" t="n">
        <f aca="false">IF(I1356-E1356&gt;=GWL,99,E1356*(MAX(0,GWL-I1356)*(GAM_S-GAM_W)+MAX(0,NG-MAX(I1356,GWL))*GAM_D)/(GAM_W*PI()*E1356^2/4))</f>
        <v>1.26197531869237</v>
      </c>
      <c r="AB1356" s="27" t="n">
        <f aca="false">IF(H1356-E1356&gt;=GWL,99,E1356*(MAX(0,GWL-H1356)*(GAM_S-GAM_W)+MAX(0,FL-MAX(H1356,GWL))*GAM_D)/(GAM_W*PI()*E1356^2/4))</f>
        <v>3.41873172711351</v>
      </c>
      <c r="AC1356" s="27" t="n">
        <f aca="false">IF(I1356-E1356&gt;=GWL,99,E1356*(MAX(0,GWL-I1356)*(GAM_S-GAM_W)+MAX(0,FL-MAX(I1356,GWL))*GAM_D)/(GAM_W*PI()*E1356^2/4))</f>
        <v>3.41926870281675</v>
      </c>
    </row>
    <row r="1357" customFormat="false" ht="15" hidden="false" customHeight="false" outlineLevel="0" collapsed="false">
      <c r="A1357" s="25" t="s">
        <v>1996</v>
      </c>
      <c r="B1357" s="25" t="s">
        <v>2001</v>
      </c>
      <c r="C1357" s="25" t="s">
        <v>2007</v>
      </c>
      <c r="D1357" s="26" t="n">
        <v>0.0296900001056744</v>
      </c>
      <c r="E1357" s="26" t="n">
        <v>1.82637401568629</v>
      </c>
      <c r="F1357" s="26" t="n">
        <v>-4.26108700784315</v>
      </c>
      <c r="G1357" s="26" t="n">
        <v>-4.26120700784315</v>
      </c>
      <c r="H1357" s="26" t="n">
        <v>-1.93471299215685</v>
      </c>
      <c r="I1357" s="26" t="n">
        <v>-1.93483299215685</v>
      </c>
      <c r="J1357" s="26" t="n">
        <v>13.47</v>
      </c>
      <c r="K1357" s="27" t="n">
        <f aca="false">MIN(F1357,G1357)</f>
        <v>-4.26120700784315</v>
      </c>
      <c r="L1357" s="27" t="n">
        <f aca="false">AVERAGE(F1357,G1357)</f>
        <v>-4.26114700784315</v>
      </c>
      <c r="M1357" s="27" t="n">
        <f aca="false">MAX(0,NG-L1357)</f>
        <v>3.56114700784315</v>
      </c>
      <c r="N1357" s="27" t="n">
        <f aca="false">MAX(0,GWL-K1357)</f>
        <v>2.76120700784315</v>
      </c>
      <c r="O1357" s="27" t="n">
        <f aca="false">MAX(0,NG-MAX(K1357,GWL))</f>
        <v>0.8</v>
      </c>
      <c r="P1357" s="27" t="n">
        <f aca="false">E1357/2+WS+SLOPE_A*O1357+SLOPE_B*N1357</f>
        <v>8.63560102352944</v>
      </c>
      <c r="Q1357" s="28" t="str">
        <f aca="false">IF(AND(P1357&lt;J1357,N1357&lt;=MAXOC),"Open cut","Shoring")</f>
        <v>Shoring</v>
      </c>
      <c r="R1357" s="27" t="n">
        <f aca="false">IF(Q1357="Shoring",D1357,0)</f>
        <v>0.0296900001056744</v>
      </c>
      <c r="S1357" s="27" t="n">
        <f aca="false">MAX(0,GWL-L1357)</f>
        <v>2.76114700784315</v>
      </c>
      <c r="T1357" s="27" t="n">
        <f aca="false">MAX(0,NG-MAX(L1357,GWL))</f>
        <v>0.8</v>
      </c>
      <c r="U1357" s="27" t="n">
        <f aca="false">E1357+2*WS</f>
        <v>3.82637401568629</v>
      </c>
      <c r="V1357" s="27" t="n">
        <f aca="false">IF(Q1357="Shoring",D1357*M1357*U1357,0)</f>
        <v>0.404564265828626</v>
      </c>
      <c r="W1357" s="27" t="n">
        <f aca="false">IF(Q1357="Open cut",D1357*(U1357*M1357+SLOPE_B*S1357^2+2*SLOPE_B*S1357*T1357+SLOPE_A*T1357^2),0)</f>
        <v>0</v>
      </c>
      <c r="X1357" s="27" t="n">
        <f aca="false">IF(M1357&gt;0,D1357*(E1357+2*SLABOVH)*SLAB,0)</f>
        <v>0.0419575224122007</v>
      </c>
      <c r="Y1357" s="27" t="n">
        <f aca="false">IF(M1357&gt;0,D1357*PI()*E1357^2/4,0)</f>
        <v>0.0777820741456079</v>
      </c>
      <c r="Z1357" s="27" t="n">
        <f aca="false">IF(H1357-E1357&gt;=GWL,99,E1357*(MAX(0,GWL-H1357)*(GAM_S-GAM_W)+MAX(0,NG-MAX(H1357,GWL))*GAM_D)/(GAM_W*PI()*E1357^2/4))</f>
        <v>1.27633583780149</v>
      </c>
      <c r="AA1357" s="27" t="n">
        <f aca="false">IF(I1357-E1357&gt;=GWL,99,E1357*(MAX(0,GWL-I1357)*(GAM_S-GAM_W)+MAX(0,NG-MAX(I1357,GWL))*GAM_D)/(GAM_W*PI()*E1357^2/4))</f>
        <v>1.27640567978091</v>
      </c>
      <c r="AB1357" s="27" t="n">
        <f aca="false">IF(H1357-E1357&gt;=GWL,99,E1357*(MAX(0,GWL-H1357)*(GAM_S-GAM_W)+MAX(0,FL-MAX(H1357,GWL))*GAM_D)/(GAM_W*PI()*E1357^2/4))</f>
        <v>3.45090296245589</v>
      </c>
      <c r="AC1357" s="27" t="n">
        <f aca="false">IF(I1357-E1357&gt;=GWL,99,E1357*(MAX(0,GWL-I1357)*(GAM_S-GAM_W)+MAX(0,FL-MAX(I1357,GWL))*GAM_D)/(GAM_W*PI()*E1357^2/4))</f>
        <v>3.45097280443531</v>
      </c>
    </row>
    <row r="1358" customFormat="false" ht="15" hidden="false" customHeight="false" outlineLevel="0" collapsed="false">
      <c r="A1358" s="25" t="s">
        <v>1996</v>
      </c>
      <c r="B1358" s="25" t="s">
        <v>2001</v>
      </c>
      <c r="C1358" s="25" t="s">
        <v>2008</v>
      </c>
      <c r="D1358" s="26" t="n">
        <v>0.694590855823604</v>
      </c>
      <c r="E1358" s="26" t="n">
        <v>1.82637401568629</v>
      </c>
      <c r="F1358" s="26" t="n">
        <v>-4.26120700784315</v>
      </c>
      <c r="G1358" s="26" t="n">
        <v>-4.26713700784315</v>
      </c>
      <c r="H1358" s="26" t="n">
        <v>-1.93483299215685</v>
      </c>
      <c r="I1358" s="26" t="n">
        <v>-1.94076299215685</v>
      </c>
      <c r="J1358" s="26" t="n">
        <v>13.49</v>
      </c>
      <c r="K1358" s="27" t="n">
        <f aca="false">MIN(F1358,G1358)</f>
        <v>-4.26713700784315</v>
      </c>
      <c r="L1358" s="27" t="n">
        <f aca="false">AVERAGE(F1358,G1358)</f>
        <v>-4.26417200784315</v>
      </c>
      <c r="M1358" s="27" t="n">
        <f aca="false">MAX(0,NG-L1358)</f>
        <v>3.56417200784315</v>
      </c>
      <c r="N1358" s="27" t="n">
        <f aca="false">MAX(0,GWL-K1358)</f>
        <v>2.76713700784315</v>
      </c>
      <c r="O1358" s="27" t="n">
        <f aca="false">MAX(0,NG-MAX(K1358,GWL))</f>
        <v>0.8</v>
      </c>
      <c r="P1358" s="27" t="n">
        <f aca="false">E1358/2+WS+SLOPE_A*O1358+SLOPE_B*N1358</f>
        <v>8.64746102352944</v>
      </c>
      <c r="Q1358" s="28" t="str">
        <f aca="false">IF(AND(P1358&lt;J1358,N1358&lt;=MAXOC),"Open cut","Shoring")</f>
        <v>Shoring</v>
      </c>
      <c r="R1358" s="27" t="n">
        <f aca="false">IF(Q1358="Shoring",D1358,0)</f>
        <v>0.694590855823604</v>
      </c>
      <c r="S1358" s="27" t="n">
        <f aca="false">MAX(0,GWL-L1358)</f>
        <v>2.76417200784315</v>
      </c>
      <c r="T1358" s="27" t="n">
        <f aca="false">MAX(0,NG-MAX(L1358,GWL))</f>
        <v>0.8</v>
      </c>
      <c r="U1358" s="27" t="n">
        <f aca="false">E1358+2*WS</f>
        <v>3.82637401568629</v>
      </c>
      <c r="V1358" s="27" t="n">
        <f aca="false">IF(Q1358="Shoring",D1358*M1358*U1358,0)</f>
        <v>9.47272948596545</v>
      </c>
      <c r="W1358" s="27" t="n">
        <f aca="false">IF(Q1358="Open cut",D1358*(U1358*M1358+SLOPE_B*S1358^2+2*SLOPE_B*S1358*T1358+SLOPE_A*T1358^2),0)</f>
        <v>0</v>
      </c>
      <c r="X1358" s="27" t="n">
        <f aca="false">IF(M1358&gt;0,D1358*(E1358+2*SLABOVH)*SLAB,0)</f>
        <v>0.981586773216569</v>
      </c>
      <c r="Y1358" s="27" t="n">
        <f aca="false">IF(M1358&gt;0,D1358*PI()*E1358^2/4,0)</f>
        <v>1.81969408070858</v>
      </c>
      <c r="Z1358" s="27" t="n">
        <f aca="false">IF(H1358-E1358&gt;=GWL,99,E1358*(MAX(0,GWL-H1358)*(GAM_S-GAM_W)+MAX(0,NG-MAX(H1358,GWL))*GAM_D)/(GAM_W*PI()*E1358^2/4))</f>
        <v>1.27640567978091</v>
      </c>
      <c r="AA1358" s="27" t="n">
        <f aca="false">IF(I1358-E1358&gt;=GWL,99,E1358*(MAX(0,GWL-I1358)*(GAM_S-GAM_W)+MAX(0,NG-MAX(I1358,GWL))*GAM_D)/(GAM_W*PI()*E1358^2/4))</f>
        <v>1.27985703759702</v>
      </c>
      <c r="AB1358" s="27" t="n">
        <f aca="false">IF(H1358-E1358&gt;=GWL,99,E1358*(MAX(0,GWL-H1358)*(GAM_S-GAM_W)+MAX(0,FL-MAX(H1358,GWL))*GAM_D)/(GAM_W*PI()*E1358^2/4))</f>
        <v>3.45097280443531</v>
      </c>
      <c r="AC1358" s="27" t="n">
        <f aca="false">IF(I1358-E1358&gt;=GWL,99,E1358*(MAX(0,GWL-I1358)*(GAM_S-GAM_W)+MAX(0,FL-MAX(I1358,GWL))*GAM_D)/(GAM_W*PI()*E1358^2/4))</f>
        <v>3.45442416225142</v>
      </c>
    </row>
    <row r="1359" customFormat="false" ht="15" hidden="false" customHeight="false" outlineLevel="0" collapsed="false">
      <c r="A1359" s="25" t="s">
        <v>1996</v>
      </c>
      <c r="B1359" s="25" t="s">
        <v>2001</v>
      </c>
      <c r="C1359" s="25" t="s">
        <v>2009</v>
      </c>
      <c r="D1359" s="26" t="n">
        <v>0.694688062117083</v>
      </c>
      <c r="E1359" s="26" t="n">
        <v>1.82637865161908</v>
      </c>
      <c r="F1359" s="26" t="n">
        <v>-4.26713932580954</v>
      </c>
      <c r="G1359" s="26" t="n">
        <v>-4.27305932580954</v>
      </c>
      <c r="H1359" s="26" t="n">
        <v>-1.94076067419046</v>
      </c>
      <c r="I1359" s="26" t="n">
        <v>-1.94668067419046</v>
      </c>
      <c r="J1359" s="26" t="n">
        <v>13.77</v>
      </c>
      <c r="K1359" s="27" t="n">
        <f aca="false">MIN(F1359,G1359)</f>
        <v>-4.27305932580954</v>
      </c>
      <c r="L1359" s="27" t="n">
        <f aca="false">AVERAGE(F1359,G1359)</f>
        <v>-4.27009932580954</v>
      </c>
      <c r="M1359" s="27" t="n">
        <f aca="false">MAX(0,NG-L1359)</f>
        <v>3.57009932580954</v>
      </c>
      <c r="N1359" s="27" t="n">
        <f aca="false">MAX(0,GWL-K1359)</f>
        <v>2.77305932580954</v>
      </c>
      <c r="O1359" s="27" t="n">
        <f aca="false">MAX(0,NG-MAX(K1359,GWL))</f>
        <v>0.8</v>
      </c>
      <c r="P1359" s="27" t="n">
        <f aca="false">E1359/2+WS+SLOPE_A*O1359+SLOPE_B*N1359</f>
        <v>8.65930797742862</v>
      </c>
      <c r="Q1359" s="28" t="str">
        <f aca="false">IF(AND(P1359&lt;J1359,N1359&lt;=MAXOC),"Open cut","Shoring")</f>
        <v>Shoring</v>
      </c>
      <c r="R1359" s="27" t="n">
        <f aca="false">IF(Q1359="Shoring",D1359,0)</f>
        <v>0.694688062117083</v>
      </c>
      <c r="S1359" s="27" t="n">
        <f aca="false">MAX(0,GWL-L1359)</f>
        <v>2.77009932580954</v>
      </c>
      <c r="T1359" s="27" t="n">
        <f aca="false">MAX(0,NG-MAX(L1359,GWL))</f>
        <v>0.8</v>
      </c>
      <c r="U1359" s="27" t="n">
        <f aca="false">E1359+2*WS</f>
        <v>3.82637865161908</v>
      </c>
      <c r="V1359" s="27" t="n">
        <f aca="false">IF(Q1359="Shoring",D1359*M1359*U1359,0)</f>
        <v>9.48982228826207</v>
      </c>
      <c r="W1359" s="27" t="n">
        <f aca="false">IF(Q1359="Open cut",D1359*(U1359*M1359+SLOPE_B*S1359^2+2*SLOPE_B*S1359*T1359+SLOPE_A*T1359^2),0)</f>
        <v>0</v>
      </c>
      <c r="X1359" s="27" t="n">
        <f aca="false">IF(M1359&gt;0,D1359*(E1359+2*SLABOVH)*SLAB,0)</f>
        <v>0.981725754151175</v>
      </c>
      <c r="Y1359" s="27" t="n">
        <f aca="false">IF(M1359&gt;0,D1359*PI()*E1359^2/4,0)</f>
        <v>1.81995798170832</v>
      </c>
      <c r="Z1359" s="27" t="n">
        <f aca="false">IF(H1359-E1359&gt;=GWL,99,E1359*(MAX(0,GWL-H1359)*(GAM_S-GAM_W)+MAX(0,NG-MAX(H1359,GWL))*GAM_D)/(GAM_W*PI()*E1359^2/4))</f>
        <v>1.27985243981953</v>
      </c>
      <c r="AA1359" s="27" t="n">
        <f aca="false">IF(I1359-E1359&gt;=GWL,99,E1359*(MAX(0,GWL-I1359)*(GAM_S-GAM_W)+MAX(0,NG-MAX(I1359,GWL))*GAM_D)/(GAM_W*PI()*E1359^2/4))</f>
        <v>1.28329796872481</v>
      </c>
      <c r="AB1359" s="27" t="n">
        <f aca="false">IF(H1359-E1359&gt;=GWL,99,E1359*(MAX(0,GWL-H1359)*(GAM_S-GAM_W)+MAX(0,FL-MAX(H1359,GWL))*GAM_D)/(GAM_W*PI()*E1359^2/4))</f>
        <v>3.45441404472751</v>
      </c>
      <c r="AC1359" s="27" t="n">
        <f aca="false">IF(I1359-E1359&gt;=GWL,99,E1359*(MAX(0,GWL-I1359)*(GAM_S-GAM_W)+MAX(0,FL-MAX(I1359,GWL))*GAM_D)/(GAM_W*PI()*E1359^2/4))</f>
        <v>3.45785957363279</v>
      </c>
    </row>
    <row r="1360" customFormat="false" ht="15" hidden="false" customHeight="false" outlineLevel="0" collapsed="false">
      <c r="A1360" s="25" t="s">
        <v>1996</v>
      </c>
      <c r="B1360" s="25" t="s">
        <v>2010</v>
      </c>
      <c r="C1360" s="25" t="s">
        <v>2011</v>
      </c>
      <c r="D1360" s="26" t="n">
        <v>0.0298200001963143</v>
      </c>
      <c r="E1360" s="26" t="n">
        <v>1.84100033200578</v>
      </c>
      <c r="F1360" s="26" t="n">
        <v>-4.28037016600289</v>
      </c>
      <c r="G1360" s="26" t="n">
        <v>-4.28050016600289</v>
      </c>
      <c r="H1360" s="26" t="n">
        <v>-1.93936983399711</v>
      </c>
      <c r="I1360" s="26" t="n">
        <v>-1.93949983399711</v>
      </c>
      <c r="J1360" s="26" t="n">
        <v>13.92</v>
      </c>
      <c r="K1360" s="27" t="n">
        <f aca="false">MIN(F1360,G1360)</f>
        <v>-4.28050016600289</v>
      </c>
      <c r="L1360" s="27" t="n">
        <f aca="false">AVERAGE(F1360,G1360)</f>
        <v>-4.28043516600289</v>
      </c>
      <c r="M1360" s="27" t="n">
        <f aca="false">MAX(0,NG-L1360)</f>
        <v>3.58043516600289</v>
      </c>
      <c r="N1360" s="27" t="n">
        <f aca="false">MAX(0,GWL-K1360)</f>
        <v>2.78050016600289</v>
      </c>
      <c r="O1360" s="27" t="n">
        <f aca="false">MAX(0,NG-MAX(K1360,GWL))</f>
        <v>0.8</v>
      </c>
      <c r="P1360" s="27" t="n">
        <f aca="false">E1360/2+WS+SLOPE_A*O1360+SLOPE_B*N1360</f>
        <v>8.68150049800867</v>
      </c>
      <c r="Q1360" s="28" t="str">
        <f aca="false">IF(AND(P1360&lt;J1360,N1360&lt;=MAXOC),"Open cut","Shoring")</f>
        <v>Shoring</v>
      </c>
      <c r="R1360" s="27" t="n">
        <f aca="false">IF(Q1360="Shoring",D1360,0)</f>
        <v>0.0298200001963143</v>
      </c>
      <c r="S1360" s="27" t="n">
        <f aca="false">MAX(0,GWL-L1360)</f>
        <v>2.78043516600289</v>
      </c>
      <c r="T1360" s="27" t="n">
        <f aca="false">MAX(0,NG-MAX(L1360,GWL))</f>
        <v>0.8</v>
      </c>
      <c r="U1360" s="27" t="n">
        <f aca="false">E1360+2*WS</f>
        <v>3.84100033200578</v>
      </c>
      <c r="V1360" s="27" t="n">
        <f aca="false">IF(Q1360="Shoring",D1360*M1360*U1360,0)</f>
        <v>0.41009814106103</v>
      </c>
      <c r="W1360" s="27" t="n">
        <f aca="false">IF(Q1360="Open cut",D1360*(U1360*M1360+SLOPE_B*S1360^2+2*SLOPE_B*S1360*T1360+SLOPE_A*T1360^2),0)</f>
        <v>0</v>
      </c>
      <c r="X1360" s="27" t="n">
        <f aca="false">IF(M1360&gt;0,D1360*(E1360+2*SLABOVH)*SLAB,0)</f>
        <v>0.0423593152290707</v>
      </c>
      <c r="Y1360" s="27" t="n">
        <f aca="false">IF(M1360&gt;0,D1360*PI()*E1360^2/4,0)</f>
        <v>0.0793789330190093</v>
      </c>
      <c r="Z1360" s="27" t="n">
        <f aca="false">IF(H1360-E1360&gt;=GWL,99,E1360*(MAX(0,GWL-H1360)*(GAM_S-GAM_W)+MAX(0,NG-MAX(H1360,GWL))*GAM_D)/(GAM_W*PI()*E1360^2/4))</f>
        <v>1.26888447419701</v>
      </c>
      <c r="AA1360" s="27" t="n">
        <f aca="false">IF(I1360-E1360&gt;=GWL,99,E1360*(MAX(0,GWL-I1360)*(GAM_S-GAM_W)+MAX(0,NG-MAX(I1360,GWL))*GAM_D)/(GAM_W*PI()*E1360^2/4))</f>
        <v>1.26895953522337</v>
      </c>
      <c r="AB1360" s="27" t="n">
        <f aca="false">IF(H1360-E1360&gt;=GWL,99,E1360*(MAX(0,GWL-H1360)*(GAM_S-GAM_W)+MAX(0,FL-MAX(H1360,GWL))*GAM_D)/(GAM_W*PI()*E1360^2/4))</f>
        <v>3.42617517251394</v>
      </c>
      <c r="AC1360" s="27" t="n">
        <f aca="false">IF(I1360-E1360&gt;=GWL,99,E1360*(MAX(0,GWL-I1360)*(GAM_S-GAM_W)+MAX(0,FL-MAX(I1360,GWL))*GAM_D)/(GAM_W*PI()*E1360^2/4))</f>
        <v>3.4262502335403</v>
      </c>
    </row>
    <row r="1361" customFormat="false" ht="15" hidden="false" customHeight="false" outlineLevel="0" collapsed="false">
      <c r="A1361" s="25" t="s">
        <v>1996</v>
      </c>
      <c r="B1361" s="25" t="s">
        <v>2010</v>
      </c>
      <c r="C1361" s="25" t="s">
        <v>2012</v>
      </c>
      <c r="D1361" s="26" t="n">
        <v>0.1082625362108</v>
      </c>
      <c r="E1361" s="26" t="n">
        <v>1.84100033200578</v>
      </c>
      <c r="F1361" s="26" t="n">
        <v>-4.28050016600289</v>
      </c>
      <c r="G1361" s="26" t="n">
        <v>-4.28050016600289</v>
      </c>
      <c r="H1361" s="26" t="n">
        <v>-1.93949983399711</v>
      </c>
      <c r="I1361" s="26" t="n">
        <v>-1.93949983399711</v>
      </c>
      <c r="J1361" s="26" t="n">
        <v>13.92</v>
      </c>
      <c r="K1361" s="27" t="n">
        <f aca="false">MIN(F1361,G1361)</f>
        <v>-4.28050016600289</v>
      </c>
      <c r="L1361" s="27" t="n">
        <f aca="false">AVERAGE(F1361,G1361)</f>
        <v>-4.28050016600289</v>
      </c>
      <c r="M1361" s="27" t="n">
        <f aca="false">MAX(0,NG-L1361)</f>
        <v>3.58050016600289</v>
      </c>
      <c r="N1361" s="27" t="n">
        <f aca="false">MAX(0,GWL-K1361)</f>
        <v>2.78050016600289</v>
      </c>
      <c r="O1361" s="27" t="n">
        <f aca="false">MAX(0,NG-MAX(K1361,GWL))</f>
        <v>0.8</v>
      </c>
      <c r="P1361" s="27" t="n">
        <f aca="false">E1361/2+WS+SLOPE_A*O1361+SLOPE_B*N1361</f>
        <v>8.68150049800867</v>
      </c>
      <c r="Q1361" s="28" t="str">
        <f aca="false">IF(AND(P1361&lt;J1361,N1361&lt;=MAXOC),"Open cut","Shoring")</f>
        <v>Shoring</v>
      </c>
      <c r="R1361" s="27" t="n">
        <f aca="false">IF(Q1361="Shoring",D1361,0)</f>
        <v>0.1082625362108</v>
      </c>
      <c r="S1361" s="27" t="n">
        <f aca="false">MAX(0,GWL-L1361)</f>
        <v>2.78050016600289</v>
      </c>
      <c r="T1361" s="27" t="n">
        <f aca="false">MAX(0,NG-MAX(L1361,GWL))</f>
        <v>0.8</v>
      </c>
      <c r="U1361" s="27" t="n">
        <f aca="false">E1361+2*WS</f>
        <v>3.84100033200578</v>
      </c>
      <c r="V1361" s="27" t="n">
        <f aca="false">IF(Q1361="Shoring",D1361*M1361*U1361,0)</f>
        <v>1.48890243360432</v>
      </c>
      <c r="W1361" s="27" t="n">
        <f aca="false">IF(Q1361="Open cut",D1361*(U1361*M1361+SLOPE_B*S1361^2+2*SLOPE_B*S1361*T1361+SLOPE_A*T1361^2),0)</f>
        <v>0</v>
      </c>
      <c r="X1361" s="27" t="n">
        <f aca="false">IF(M1361&gt;0,D1361*(E1361+2*SLABOVH)*SLAB,0)</f>
        <v>0.153786950659335</v>
      </c>
      <c r="Y1361" s="27" t="n">
        <f aca="false">IF(M1361&gt;0,D1361*PI()*E1361^2/4,0)</f>
        <v>0.288187946135805</v>
      </c>
      <c r="Z1361" s="27" t="n">
        <f aca="false">IF(H1361-E1361&gt;=GWL,99,E1361*(MAX(0,GWL-H1361)*(GAM_S-GAM_W)+MAX(0,NG-MAX(H1361,GWL))*GAM_D)/(GAM_W*PI()*E1361^2/4))</f>
        <v>1.26895953522337</v>
      </c>
      <c r="AA1361" s="27" t="n">
        <f aca="false">IF(I1361-E1361&gt;=GWL,99,E1361*(MAX(0,GWL-I1361)*(GAM_S-GAM_W)+MAX(0,NG-MAX(I1361,GWL))*GAM_D)/(GAM_W*PI()*E1361^2/4))</f>
        <v>1.26895953522337</v>
      </c>
      <c r="AB1361" s="27" t="n">
        <f aca="false">IF(H1361-E1361&gt;=GWL,99,E1361*(MAX(0,GWL-H1361)*(GAM_S-GAM_W)+MAX(0,FL-MAX(H1361,GWL))*GAM_D)/(GAM_W*PI()*E1361^2/4))</f>
        <v>3.4262502335403</v>
      </c>
      <c r="AC1361" s="27" t="n">
        <f aca="false">IF(I1361-E1361&gt;=GWL,99,E1361*(MAX(0,GWL-I1361)*(GAM_S-GAM_W)+MAX(0,FL-MAX(I1361,GWL))*GAM_D)/(GAM_W*PI()*E1361^2/4))</f>
        <v>3.4262502335403</v>
      </c>
    </row>
    <row r="1362" customFormat="false" ht="15" hidden="false" customHeight="false" outlineLevel="0" collapsed="false">
      <c r="A1362" s="25" t="s">
        <v>1996</v>
      </c>
      <c r="B1362" s="25" t="s">
        <v>2010</v>
      </c>
      <c r="C1362" s="25" t="s">
        <v>2013</v>
      </c>
      <c r="D1362" s="26" t="n">
        <v>6.86991018616029</v>
      </c>
      <c r="E1362" s="26" t="n">
        <v>1.86258</v>
      </c>
      <c r="F1362" s="26" t="n">
        <v>-4.29129</v>
      </c>
      <c r="G1362" s="26" t="n">
        <v>-4.32551171986293</v>
      </c>
      <c r="H1362" s="26" t="n">
        <v>-1.92871</v>
      </c>
      <c r="I1362" s="26" t="n">
        <v>-1.96293171986293</v>
      </c>
      <c r="J1362" s="26" t="n">
        <v>13.94</v>
      </c>
      <c r="K1362" s="27" t="n">
        <f aca="false">MIN(F1362,G1362)</f>
        <v>-4.32551171986293</v>
      </c>
      <c r="L1362" s="27" t="n">
        <f aca="false">AVERAGE(F1362,G1362)</f>
        <v>-4.30840085993146</v>
      </c>
      <c r="M1362" s="27" t="n">
        <f aca="false">MAX(0,NG-L1362)</f>
        <v>3.60840085993146</v>
      </c>
      <c r="N1362" s="27" t="n">
        <f aca="false">MAX(0,GWL-K1362)</f>
        <v>2.82551171986293</v>
      </c>
      <c r="O1362" s="27" t="n">
        <f aca="false">MAX(0,NG-MAX(K1362,GWL))</f>
        <v>0.8</v>
      </c>
      <c r="P1362" s="27" t="n">
        <f aca="false">E1362/2+WS+SLOPE_A*O1362+SLOPE_B*N1362</f>
        <v>8.78231343972586</v>
      </c>
      <c r="Q1362" s="28" t="str">
        <f aca="false">IF(AND(P1362&lt;J1362,N1362&lt;=MAXOC),"Open cut","Shoring")</f>
        <v>Shoring</v>
      </c>
      <c r="R1362" s="27" t="n">
        <f aca="false">IF(Q1362="Shoring",D1362,0)</f>
        <v>6.86991018616029</v>
      </c>
      <c r="S1362" s="27" t="n">
        <f aca="false">MAX(0,GWL-L1362)</f>
        <v>2.80840085993146</v>
      </c>
      <c r="T1362" s="27" t="n">
        <f aca="false">MAX(0,NG-MAX(L1362,GWL))</f>
        <v>0.8</v>
      </c>
      <c r="U1362" s="27" t="n">
        <f aca="false">E1362+2*WS</f>
        <v>3.86258</v>
      </c>
      <c r="V1362" s="27" t="n">
        <f aca="false">IF(Q1362="Shoring",D1362*M1362*U1362,0)</f>
        <v>95.7510013440402</v>
      </c>
      <c r="W1362" s="27" t="n">
        <f aca="false">IF(Q1362="Open cut",D1362*(U1362*M1362+SLOPE_B*S1362^2+2*SLOPE_B*S1362*T1362+SLOPE_A*T1362^2),0)</f>
        <v>0</v>
      </c>
      <c r="X1362" s="27" t="n">
        <f aca="false">IF(M1362&gt;0,D1362*(E1362+2*SLABOVH)*SLAB,0)</f>
        <v>9.83283375034936</v>
      </c>
      <c r="Y1362" s="27" t="n">
        <f aca="false">IF(M1362&gt;0,D1362*PI()*E1362^2/4,0)</f>
        <v>18.7184899789382</v>
      </c>
      <c r="Z1362" s="27" t="n">
        <f aca="false">IF(H1362-E1362&gt;=GWL,99,E1362*(MAX(0,GWL-H1362)*(GAM_S-GAM_W)+MAX(0,NG-MAX(H1362,GWL))*GAM_D)/(GAM_W*PI()*E1362^2/4))</f>
        <v>1.24809970579901</v>
      </c>
      <c r="AA1362" s="27" t="n">
        <f aca="false">IF(I1362-E1362&gt;=GWL,99,E1362*(MAX(0,GWL-I1362)*(GAM_S-GAM_W)+MAX(0,NG-MAX(I1362,GWL))*GAM_D)/(GAM_W*PI()*E1362^2/4))</f>
        <v>1.26763014049282</v>
      </c>
      <c r="AB1362" s="27" t="n">
        <f aca="false">IF(H1362-E1362&gt;=GWL,99,E1362*(MAX(0,GWL-H1362)*(GAM_S-GAM_W)+MAX(0,FL-MAX(H1362,GWL))*GAM_D)/(GAM_W*PI()*E1362^2/4))</f>
        <v>3.38039624706674</v>
      </c>
      <c r="AC1362" s="27" t="n">
        <f aca="false">IF(I1362-E1362&gt;=GWL,99,E1362*(MAX(0,GWL-I1362)*(GAM_S-GAM_W)+MAX(0,FL-MAX(I1362,GWL))*GAM_D)/(GAM_W*PI()*E1362^2/4))</f>
        <v>3.39992668176056</v>
      </c>
    </row>
    <row r="1363" customFormat="false" ht="15" hidden="false" customHeight="false" outlineLevel="0" collapsed="false">
      <c r="A1363" s="25" t="s">
        <v>1996</v>
      </c>
      <c r="B1363" s="25" t="s">
        <v>2010</v>
      </c>
      <c r="C1363" s="25" t="s">
        <v>2014</v>
      </c>
      <c r="D1363" s="26" t="n">
        <v>9.99999999976467</v>
      </c>
      <c r="E1363" s="26" t="n">
        <v>1.86258</v>
      </c>
      <c r="F1363" s="26" t="n">
        <v>-4.32551171986293</v>
      </c>
      <c r="G1363" s="26" t="n">
        <v>-4.37532564600907</v>
      </c>
      <c r="H1363" s="26" t="n">
        <v>-1.96293171986293</v>
      </c>
      <c r="I1363" s="26" t="n">
        <v>-2.01274564600907</v>
      </c>
      <c r="J1363" s="26" t="n">
        <v>15.29</v>
      </c>
      <c r="K1363" s="27" t="n">
        <f aca="false">MIN(F1363,G1363)</f>
        <v>-4.37532564600907</v>
      </c>
      <c r="L1363" s="27" t="n">
        <f aca="false">AVERAGE(F1363,G1363)</f>
        <v>-4.350418682936</v>
      </c>
      <c r="M1363" s="27" t="n">
        <f aca="false">MAX(0,NG-L1363)</f>
        <v>3.650418682936</v>
      </c>
      <c r="N1363" s="27" t="n">
        <f aca="false">MAX(0,GWL-K1363)</f>
        <v>2.87532564600907</v>
      </c>
      <c r="O1363" s="27" t="n">
        <f aca="false">MAX(0,NG-MAX(K1363,GWL))</f>
        <v>0.8</v>
      </c>
      <c r="P1363" s="27" t="n">
        <f aca="false">E1363/2+WS+SLOPE_A*O1363+SLOPE_B*N1363</f>
        <v>8.88194129201813</v>
      </c>
      <c r="Q1363" s="28" t="str">
        <f aca="false">IF(AND(P1363&lt;J1363,N1363&lt;=MAXOC),"Open cut","Shoring")</f>
        <v>Shoring</v>
      </c>
      <c r="R1363" s="27" t="n">
        <f aca="false">IF(Q1363="Shoring",D1363,0)</f>
        <v>9.99999999976467</v>
      </c>
      <c r="S1363" s="27" t="n">
        <f aca="false">MAX(0,GWL-L1363)</f>
        <v>2.850418682936</v>
      </c>
      <c r="T1363" s="27" t="n">
        <f aca="false">MAX(0,NG-MAX(L1363,GWL))</f>
        <v>0.8</v>
      </c>
      <c r="U1363" s="27" t="n">
        <f aca="false">E1363+2*WS</f>
        <v>3.86258</v>
      </c>
      <c r="V1363" s="27" t="n">
        <f aca="false">IF(Q1363="Shoring",D1363*M1363*U1363,0)</f>
        <v>141.000341960031</v>
      </c>
      <c r="W1363" s="27" t="n">
        <f aca="false">IF(Q1363="Open cut",D1363*(U1363*M1363+SLOPE_B*S1363^2+2*SLOPE_B*S1363*T1363+SLOPE_A*T1363^2),0)</f>
        <v>0</v>
      </c>
      <c r="X1363" s="27" t="n">
        <f aca="false">IF(M1363&gt;0,D1363*(E1363+2*SLABOVH)*SLAB,0)</f>
        <v>14.3128999996632</v>
      </c>
      <c r="Y1363" s="27" t="n">
        <f aca="false">IF(M1363&gt;0,D1363*PI()*E1363^2/4,0)</f>
        <v>27.2470665136305</v>
      </c>
      <c r="Z1363" s="27" t="n">
        <f aca="false">IF(H1363-E1363&gt;=GWL,99,E1363*(MAX(0,GWL-H1363)*(GAM_S-GAM_W)+MAX(0,NG-MAX(H1363,GWL))*GAM_D)/(GAM_W*PI()*E1363^2/4))</f>
        <v>1.26763014049282</v>
      </c>
      <c r="AA1363" s="27" t="n">
        <f aca="false">IF(I1363-E1363&gt;=GWL,99,E1363*(MAX(0,GWL-I1363)*(GAM_S-GAM_W)+MAX(0,NG-MAX(I1363,GWL))*GAM_D)/(GAM_W*PI()*E1363^2/4))</f>
        <v>1.29605909249571</v>
      </c>
      <c r="AB1363" s="27" t="n">
        <f aca="false">IF(H1363-E1363&gt;=GWL,99,E1363*(MAX(0,GWL-H1363)*(GAM_S-GAM_W)+MAX(0,FL-MAX(H1363,GWL))*GAM_D)/(GAM_W*PI()*E1363^2/4))</f>
        <v>3.39992668176056</v>
      </c>
      <c r="AC1363" s="27" t="n">
        <f aca="false">IF(I1363-E1363&gt;=GWL,99,E1363*(MAX(0,GWL-I1363)*(GAM_S-GAM_W)+MAX(0,FL-MAX(I1363,GWL))*GAM_D)/(GAM_W*PI()*E1363^2/4))</f>
        <v>3.42835563376344</v>
      </c>
    </row>
    <row r="1364" customFormat="false" ht="15" hidden="false" customHeight="false" outlineLevel="0" collapsed="false">
      <c r="A1364" s="25" t="s">
        <v>1996</v>
      </c>
      <c r="B1364" s="25" t="s">
        <v>2010</v>
      </c>
      <c r="C1364" s="25" t="s">
        <v>2015</v>
      </c>
      <c r="D1364" s="26" t="n">
        <v>10.0000000003308</v>
      </c>
      <c r="E1364" s="26" t="n">
        <v>1.86258</v>
      </c>
      <c r="F1364" s="26" t="n">
        <v>-4.37532564600907</v>
      </c>
      <c r="G1364" s="26" t="n">
        <v>-4.42513957215521</v>
      </c>
      <c r="H1364" s="26" t="n">
        <v>-2.01274564600907</v>
      </c>
      <c r="I1364" s="26" t="n">
        <v>-2.06255957215521</v>
      </c>
      <c r="J1364" s="26" t="n">
        <v>13.16</v>
      </c>
      <c r="K1364" s="27" t="n">
        <f aca="false">MIN(F1364,G1364)</f>
        <v>-4.42513957215521</v>
      </c>
      <c r="L1364" s="27" t="n">
        <f aca="false">AVERAGE(F1364,G1364)</f>
        <v>-4.40023260908214</v>
      </c>
      <c r="M1364" s="27" t="n">
        <f aca="false">MAX(0,NG-L1364)</f>
        <v>3.70023260908214</v>
      </c>
      <c r="N1364" s="27" t="n">
        <f aca="false">MAX(0,GWL-K1364)</f>
        <v>2.9251395721552</v>
      </c>
      <c r="O1364" s="27" t="n">
        <f aca="false">MAX(0,NG-MAX(K1364,GWL))</f>
        <v>0.8</v>
      </c>
      <c r="P1364" s="27" t="n">
        <f aca="false">E1364/2+WS+SLOPE_A*O1364+SLOPE_B*N1364</f>
        <v>8.98156914431041</v>
      </c>
      <c r="Q1364" s="28" t="str">
        <f aca="false">IF(AND(P1364&lt;J1364,N1364&lt;=MAXOC),"Open cut","Shoring")</f>
        <v>Shoring</v>
      </c>
      <c r="R1364" s="27" t="n">
        <f aca="false">IF(Q1364="Shoring",D1364,0)</f>
        <v>10.0000000003308</v>
      </c>
      <c r="S1364" s="27" t="n">
        <f aca="false">MAX(0,GWL-L1364)</f>
        <v>2.90023260908214</v>
      </c>
      <c r="T1364" s="27" t="n">
        <f aca="false">MAX(0,NG-MAX(L1364,GWL))</f>
        <v>0.8</v>
      </c>
      <c r="U1364" s="27" t="n">
        <f aca="false">E1364+2*WS</f>
        <v>3.86258</v>
      </c>
      <c r="V1364" s="27" t="n">
        <f aca="false">IF(Q1364="Shoring",D1364*M1364*U1364,0)</f>
        <v>142.924444716613</v>
      </c>
      <c r="W1364" s="27" t="n">
        <f aca="false">IF(Q1364="Open cut",D1364*(U1364*M1364+SLOPE_B*S1364^2+2*SLOPE_B*S1364*T1364+SLOPE_A*T1364^2),0)</f>
        <v>0</v>
      </c>
      <c r="X1364" s="27" t="n">
        <f aca="false">IF(M1364&gt;0,D1364*(E1364+2*SLABOVH)*SLAB,0)</f>
        <v>14.3129000004735</v>
      </c>
      <c r="Y1364" s="27" t="n">
        <f aca="false">IF(M1364&gt;0,D1364*PI()*E1364^2/4,0)</f>
        <v>27.2470665151731</v>
      </c>
      <c r="Z1364" s="27" t="n">
        <f aca="false">IF(H1364-E1364&gt;=GWL,99,E1364*(MAX(0,GWL-H1364)*(GAM_S-GAM_W)+MAX(0,NG-MAX(H1364,GWL))*GAM_D)/(GAM_W*PI()*E1364^2/4))</f>
        <v>1.29605909249571</v>
      </c>
      <c r="AA1364" s="27" t="n">
        <f aca="false">IF(I1364-E1364&gt;=GWL,99,E1364*(MAX(0,GWL-I1364)*(GAM_S-GAM_W)+MAX(0,NG-MAX(I1364,GWL))*GAM_D)/(GAM_W*PI()*E1364^2/4))</f>
        <v>1.3244880444986</v>
      </c>
      <c r="AB1364" s="27" t="n">
        <f aca="false">IF(H1364-E1364&gt;=GWL,99,E1364*(MAX(0,GWL-H1364)*(GAM_S-GAM_W)+MAX(0,FL-MAX(H1364,GWL))*GAM_D)/(GAM_W*PI()*E1364^2/4))</f>
        <v>3.42835563376344</v>
      </c>
      <c r="AC1364" s="27" t="n">
        <f aca="false">IF(I1364-E1364&gt;=GWL,99,E1364*(MAX(0,GWL-I1364)*(GAM_S-GAM_W)+MAX(0,FL-MAX(I1364,GWL))*GAM_D)/(GAM_W*PI()*E1364^2/4))</f>
        <v>3.45678458576633</v>
      </c>
    </row>
    <row r="1365" customFormat="false" ht="15" hidden="false" customHeight="false" outlineLevel="0" collapsed="false">
      <c r="A1365" s="25" t="s">
        <v>1996</v>
      </c>
      <c r="B1365" s="25" t="s">
        <v>2010</v>
      </c>
      <c r="C1365" s="25" t="s">
        <v>2016</v>
      </c>
      <c r="D1365" s="26" t="n">
        <v>9.99999999963286</v>
      </c>
      <c r="E1365" s="26" t="n">
        <v>1.86258</v>
      </c>
      <c r="F1365" s="26" t="n">
        <v>-4.42513957215521</v>
      </c>
      <c r="G1365" s="26" t="n">
        <v>-4.47495349830135</v>
      </c>
      <c r="H1365" s="26" t="n">
        <v>-2.06255957215521</v>
      </c>
      <c r="I1365" s="26" t="n">
        <v>-2.11237349830135</v>
      </c>
      <c r="J1365" s="26" t="n">
        <v>13.15</v>
      </c>
      <c r="K1365" s="27" t="n">
        <f aca="false">MIN(F1365,G1365)</f>
        <v>-4.47495349830135</v>
      </c>
      <c r="L1365" s="27" t="n">
        <f aca="false">AVERAGE(F1365,G1365)</f>
        <v>-4.45004653522827</v>
      </c>
      <c r="M1365" s="27" t="n">
        <f aca="false">MAX(0,NG-L1365)</f>
        <v>3.75004653522827</v>
      </c>
      <c r="N1365" s="27" t="n">
        <f aca="false">MAX(0,GWL-K1365)</f>
        <v>2.97495349830135</v>
      </c>
      <c r="O1365" s="27" t="n">
        <f aca="false">MAX(0,NG-MAX(K1365,GWL))</f>
        <v>0.8</v>
      </c>
      <c r="P1365" s="27" t="n">
        <f aca="false">E1365/2+WS+SLOPE_A*O1365+SLOPE_B*N1365</f>
        <v>9.08119699660269</v>
      </c>
      <c r="Q1365" s="28" t="str">
        <f aca="false">IF(AND(P1365&lt;J1365,N1365&lt;=MAXOC),"Open cut","Shoring")</f>
        <v>Shoring</v>
      </c>
      <c r="R1365" s="27" t="n">
        <f aca="false">IF(Q1365="Shoring",D1365,0)</f>
        <v>9.99999999963286</v>
      </c>
      <c r="S1365" s="27" t="n">
        <f aca="false">MAX(0,GWL-L1365)</f>
        <v>2.95004653522827</v>
      </c>
      <c r="T1365" s="27" t="n">
        <f aca="false">MAX(0,NG-MAX(L1365,GWL))</f>
        <v>0.8</v>
      </c>
      <c r="U1365" s="27" t="n">
        <f aca="false">E1365+2*WS</f>
        <v>3.86258</v>
      </c>
      <c r="V1365" s="27" t="n">
        <f aca="false">IF(Q1365="Shoring",D1365*M1365*U1365,0)</f>
        <v>144.848547455102</v>
      </c>
      <c r="W1365" s="27" t="n">
        <f aca="false">IF(Q1365="Open cut",D1365*(U1365*M1365+SLOPE_B*S1365^2+2*SLOPE_B*S1365*T1365+SLOPE_A*T1365^2),0)</f>
        <v>0</v>
      </c>
      <c r="X1365" s="27" t="n">
        <f aca="false">IF(M1365&gt;0,D1365*(E1365+2*SLABOVH)*SLAB,0)</f>
        <v>14.3128999994745</v>
      </c>
      <c r="Y1365" s="27" t="n">
        <f aca="false">IF(M1365&gt;0,D1365*PI()*E1365^2/4,0)</f>
        <v>27.2470665132714</v>
      </c>
      <c r="Z1365" s="27" t="n">
        <f aca="false">IF(H1365-E1365&gt;=GWL,99,E1365*(MAX(0,GWL-H1365)*(GAM_S-GAM_W)+MAX(0,NG-MAX(H1365,GWL))*GAM_D)/(GAM_W*PI()*E1365^2/4))</f>
        <v>1.3244880444986</v>
      </c>
      <c r="AA1365" s="27" t="n">
        <f aca="false">IF(I1365-E1365&gt;=GWL,99,E1365*(MAX(0,GWL-I1365)*(GAM_S-GAM_W)+MAX(0,NG-MAX(I1365,GWL))*GAM_D)/(GAM_W*PI()*E1365^2/4))</f>
        <v>1.35291699650149</v>
      </c>
      <c r="AB1365" s="27" t="n">
        <f aca="false">IF(H1365-E1365&gt;=GWL,99,E1365*(MAX(0,GWL-H1365)*(GAM_S-GAM_W)+MAX(0,FL-MAX(H1365,GWL))*GAM_D)/(GAM_W*PI()*E1365^2/4))</f>
        <v>3.45678458576633</v>
      </c>
      <c r="AC1365" s="27" t="n">
        <f aca="false">IF(I1365-E1365&gt;=GWL,99,E1365*(MAX(0,GWL-I1365)*(GAM_S-GAM_W)+MAX(0,FL-MAX(I1365,GWL))*GAM_D)/(GAM_W*PI()*E1365^2/4))</f>
        <v>3.48521353776922</v>
      </c>
    </row>
    <row r="1366" customFormat="false" ht="15" hidden="false" customHeight="false" outlineLevel="0" collapsed="false">
      <c r="A1366" s="25" t="s">
        <v>1996</v>
      </c>
      <c r="B1366" s="25" t="s">
        <v>2010</v>
      </c>
      <c r="C1366" s="25" t="s">
        <v>2017</v>
      </c>
      <c r="D1366" s="26" t="n">
        <v>10.00000000023</v>
      </c>
      <c r="E1366" s="26" t="n">
        <v>1.86258</v>
      </c>
      <c r="F1366" s="26" t="n">
        <v>-4.47495349830135</v>
      </c>
      <c r="G1366" s="26" t="n">
        <v>-4.52476742444748</v>
      </c>
      <c r="H1366" s="26" t="n">
        <v>-2.11237349830135</v>
      </c>
      <c r="I1366" s="26" t="n">
        <v>-2.16218742444748</v>
      </c>
      <c r="J1366" s="26" t="n">
        <v>13.68</v>
      </c>
      <c r="K1366" s="27" t="n">
        <f aca="false">MIN(F1366,G1366)</f>
        <v>-4.52476742444748</v>
      </c>
      <c r="L1366" s="27" t="n">
        <f aca="false">AVERAGE(F1366,G1366)</f>
        <v>-4.49986046137441</v>
      </c>
      <c r="M1366" s="27" t="n">
        <f aca="false">MAX(0,NG-L1366)</f>
        <v>3.79986046137441</v>
      </c>
      <c r="N1366" s="27" t="n">
        <f aca="false">MAX(0,GWL-K1366)</f>
        <v>3.02476742444748</v>
      </c>
      <c r="O1366" s="27" t="n">
        <f aca="false">MAX(0,NG-MAX(K1366,GWL))</f>
        <v>0.8</v>
      </c>
      <c r="P1366" s="27" t="n">
        <f aca="false">E1366/2+WS+SLOPE_A*O1366+SLOPE_B*N1366</f>
        <v>9.18082484889497</v>
      </c>
      <c r="Q1366" s="28" t="str">
        <f aca="false">IF(AND(P1366&lt;J1366,N1366&lt;=MAXOC),"Open cut","Shoring")</f>
        <v>Shoring</v>
      </c>
      <c r="R1366" s="27" t="n">
        <f aca="false">IF(Q1366="Shoring",D1366,0)</f>
        <v>10.00000000023</v>
      </c>
      <c r="S1366" s="27" t="n">
        <f aca="false">MAX(0,GWL-L1366)</f>
        <v>2.99986046137441</v>
      </c>
      <c r="T1366" s="27" t="n">
        <f aca="false">MAX(0,NG-MAX(L1366,GWL))</f>
        <v>0.8</v>
      </c>
      <c r="U1366" s="27" t="n">
        <f aca="false">E1366+2*WS</f>
        <v>3.86258</v>
      </c>
      <c r="V1366" s="27" t="n">
        <f aca="false">IF(Q1366="Shoring",D1366*M1366*U1366,0)</f>
        <v>146.772650212331</v>
      </c>
      <c r="W1366" s="27" t="n">
        <f aca="false">IF(Q1366="Open cut",D1366*(U1366*M1366+SLOPE_B*S1366^2+2*SLOPE_B*S1366*T1366+SLOPE_A*T1366^2),0)</f>
        <v>0</v>
      </c>
      <c r="X1366" s="27" t="n">
        <f aca="false">IF(M1366&gt;0,D1366*(E1366+2*SLABOVH)*SLAB,0)</f>
        <v>14.3129000003292</v>
      </c>
      <c r="Y1366" s="27" t="n">
        <f aca="false">IF(M1366&gt;0,D1366*PI()*E1366^2/4,0)</f>
        <v>27.2470665148983</v>
      </c>
      <c r="Z1366" s="27" t="n">
        <f aca="false">IF(H1366-E1366&gt;=GWL,99,E1366*(MAX(0,GWL-H1366)*(GAM_S-GAM_W)+MAX(0,NG-MAX(H1366,GWL))*GAM_D)/(GAM_W*PI()*E1366^2/4))</f>
        <v>1.35291699650149</v>
      </c>
      <c r="AA1366" s="27" t="n">
        <f aca="false">IF(I1366-E1366&gt;=GWL,99,E1366*(MAX(0,GWL-I1366)*(GAM_S-GAM_W)+MAX(0,NG-MAX(I1366,GWL))*GAM_D)/(GAM_W*PI()*E1366^2/4))</f>
        <v>1.38134594850438</v>
      </c>
      <c r="AB1366" s="27" t="n">
        <f aca="false">IF(H1366-E1366&gt;=GWL,99,E1366*(MAX(0,GWL-H1366)*(GAM_S-GAM_W)+MAX(0,FL-MAX(H1366,GWL))*GAM_D)/(GAM_W*PI()*E1366^2/4))</f>
        <v>3.48521353776922</v>
      </c>
      <c r="AC1366" s="27" t="n">
        <f aca="false">IF(I1366-E1366&gt;=GWL,99,E1366*(MAX(0,GWL-I1366)*(GAM_S-GAM_W)+MAX(0,FL-MAX(I1366,GWL))*GAM_D)/(GAM_W*PI()*E1366^2/4))</f>
        <v>3.51364248977211</v>
      </c>
    </row>
    <row r="1367" customFormat="false" ht="15" hidden="false" customHeight="false" outlineLevel="0" collapsed="false">
      <c r="A1367" s="25" t="s">
        <v>1996</v>
      </c>
      <c r="B1367" s="25" t="s">
        <v>2010</v>
      </c>
      <c r="C1367" s="25" t="s">
        <v>2018</v>
      </c>
      <c r="D1367" s="26" t="n">
        <v>10.0000000003308</v>
      </c>
      <c r="E1367" s="26" t="n">
        <v>1.86258</v>
      </c>
      <c r="F1367" s="26" t="n">
        <v>-4.52476742444748</v>
      </c>
      <c r="G1367" s="26" t="n">
        <v>-4.57458135059362</v>
      </c>
      <c r="H1367" s="26" t="n">
        <v>-2.16218742444748</v>
      </c>
      <c r="I1367" s="26" t="n">
        <v>-2.21200135059362</v>
      </c>
      <c r="J1367" s="26" t="n">
        <v>12.96</v>
      </c>
      <c r="K1367" s="27" t="n">
        <f aca="false">MIN(F1367,G1367)</f>
        <v>-4.57458135059362</v>
      </c>
      <c r="L1367" s="27" t="n">
        <f aca="false">AVERAGE(F1367,G1367)</f>
        <v>-4.54967438752055</v>
      </c>
      <c r="M1367" s="27" t="n">
        <f aca="false">MAX(0,NG-L1367)</f>
        <v>3.84967438752055</v>
      </c>
      <c r="N1367" s="27" t="n">
        <f aca="false">MAX(0,GWL-K1367)</f>
        <v>3.07458135059362</v>
      </c>
      <c r="O1367" s="27" t="n">
        <f aca="false">MAX(0,NG-MAX(K1367,GWL))</f>
        <v>0.8</v>
      </c>
      <c r="P1367" s="27" t="n">
        <f aca="false">E1367/2+WS+SLOPE_A*O1367+SLOPE_B*N1367</f>
        <v>9.28045270118724</v>
      </c>
      <c r="Q1367" s="28" t="str">
        <f aca="false">IF(AND(P1367&lt;J1367,N1367&lt;=MAXOC),"Open cut","Shoring")</f>
        <v>Shoring</v>
      </c>
      <c r="R1367" s="27" t="n">
        <f aca="false">IF(Q1367="Shoring",D1367,0)</f>
        <v>10.0000000003308</v>
      </c>
      <c r="S1367" s="27" t="n">
        <f aca="false">MAX(0,GWL-L1367)</f>
        <v>3.04967438752055</v>
      </c>
      <c r="T1367" s="27" t="n">
        <f aca="false">MAX(0,NG-MAX(L1367,GWL))</f>
        <v>0.8</v>
      </c>
      <c r="U1367" s="27" t="n">
        <f aca="false">E1367+2*WS</f>
        <v>3.86258</v>
      </c>
      <c r="V1367" s="27" t="n">
        <f aca="false">IF(Q1367="Shoring",D1367*M1367*U1367,0)</f>
        <v>148.696752962411</v>
      </c>
      <c r="W1367" s="27" t="n">
        <f aca="false">IF(Q1367="Open cut",D1367*(U1367*M1367+SLOPE_B*S1367^2+2*SLOPE_B*S1367*T1367+SLOPE_A*T1367^2),0)</f>
        <v>0</v>
      </c>
      <c r="X1367" s="27" t="n">
        <f aca="false">IF(M1367&gt;0,D1367*(E1367+2*SLABOVH)*SLAB,0)</f>
        <v>14.3129000004735</v>
      </c>
      <c r="Y1367" s="27" t="n">
        <f aca="false">IF(M1367&gt;0,D1367*PI()*E1367^2/4,0)</f>
        <v>27.2470665151731</v>
      </c>
      <c r="Z1367" s="27" t="n">
        <f aca="false">IF(H1367-E1367&gt;=GWL,99,E1367*(MAX(0,GWL-H1367)*(GAM_S-GAM_W)+MAX(0,NG-MAX(H1367,GWL))*GAM_D)/(GAM_W*PI()*E1367^2/4))</f>
        <v>1.38134594850438</v>
      </c>
      <c r="AA1367" s="27" t="n">
        <f aca="false">IF(I1367-E1367&gt;=GWL,99,E1367*(MAX(0,GWL-I1367)*(GAM_S-GAM_W)+MAX(0,NG-MAX(I1367,GWL))*GAM_D)/(GAM_W*PI()*E1367^2/4))</f>
        <v>1.40977490050727</v>
      </c>
      <c r="AB1367" s="27" t="n">
        <f aca="false">IF(H1367-E1367&gt;=GWL,99,E1367*(MAX(0,GWL-H1367)*(GAM_S-GAM_W)+MAX(0,FL-MAX(H1367,GWL))*GAM_D)/(GAM_W*PI()*E1367^2/4))</f>
        <v>3.51364248977211</v>
      </c>
      <c r="AC1367" s="27" t="n">
        <f aca="false">IF(I1367-E1367&gt;=GWL,99,E1367*(MAX(0,GWL-I1367)*(GAM_S-GAM_W)+MAX(0,FL-MAX(I1367,GWL))*GAM_D)/(GAM_W*PI()*E1367^2/4))</f>
        <v>3.542071441775</v>
      </c>
    </row>
    <row r="1368" customFormat="false" ht="15" hidden="false" customHeight="false" outlineLevel="0" collapsed="false">
      <c r="A1368" s="25" t="s">
        <v>1996</v>
      </c>
      <c r="B1368" s="25" t="s">
        <v>2010</v>
      </c>
      <c r="C1368" s="25" t="s">
        <v>2019</v>
      </c>
      <c r="D1368" s="26" t="n">
        <v>9.99999999953202</v>
      </c>
      <c r="E1368" s="26" t="n">
        <v>1.86258</v>
      </c>
      <c r="F1368" s="26" t="n">
        <v>-4.57458135059362</v>
      </c>
      <c r="G1368" s="26" t="n">
        <v>-4.62439527673976</v>
      </c>
      <c r="H1368" s="26" t="n">
        <v>-2.21200135059362</v>
      </c>
      <c r="I1368" s="26" t="n">
        <v>-2.26181527673976</v>
      </c>
      <c r="J1368" s="26" t="n">
        <v>12.96</v>
      </c>
      <c r="K1368" s="27" t="n">
        <f aca="false">MIN(F1368,G1368)</f>
        <v>-4.62439527673976</v>
      </c>
      <c r="L1368" s="27" t="n">
        <f aca="false">AVERAGE(F1368,G1368)</f>
        <v>-4.59948831366669</v>
      </c>
      <c r="M1368" s="27" t="n">
        <f aca="false">MAX(0,NG-L1368)</f>
        <v>3.89948831366669</v>
      </c>
      <c r="N1368" s="27" t="n">
        <f aca="false">MAX(0,GWL-K1368)</f>
        <v>3.12439527673976</v>
      </c>
      <c r="O1368" s="27" t="n">
        <f aca="false">MAX(0,NG-MAX(K1368,GWL))</f>
        <v>0.8</v>
      </c>
      <c r="P1368" s="27" t="n">
        <f aca="false">E1368/2+WS+SLOPE_A*O1368+SLOPE_B*N1368</f>
        <v>9.38008055347952</v>
      </c>
      <c r="Q1368" s="28" t="str">
        <f aca="false">IF(AND(P1368&lt;J1368,N1368&lt;=MAXOC),"Open cut","Shoring")</f>
        <v>Shoring</v>
      </c>
      <c r="R1368" s="27" t="n">
        <f aca="false">IF(Q1368="Shoring",D1368,0)</f>
        <v>9.99999999953202</v>
      </c>
      <c r="S1368" s="27" t="n">
        <f aca="false">MAX(0,GWL-L1368)</f>
        <v>3.09948831366669</v>
      </c>
      <c r="T1368" s="27" t="n">
        <f aca="false">MAX(0,NG-MAX(L1368,GWL))</f>
        <v>0.8</v>
      </c>
      <c r="U1368" s="27" t="n">
        <f aca="false">E1368+2*WS</f>
        <v>3.86258</v>
      </c>
      <c r="V1368" s="27" t="n">
        <f aca="false">IF(Q1368="Shoring",D1368*M1368*U1368,0)</f>
        <v>150.620855698978</v>
      </c>
      <c r="W1368" s="27" t="n">
        <f aca="false">IF(Q1368="Open cut",D1368*(U1368*M1368+SLOPE_B*S1368^2+2*SLOPE_B*S1368*T1368+SLOPE_A*T1368^2),0)</f>
        <v>0</v>
      </c>
      <c r="X1368" s="27" t="n">
        <f aca="false">IF(M1368&gt;0,D1368*(E1368+2*SLABOVH)*SLAB,0)</f>
        <v>14.3128999993302</v>
      </c>
      <c r="Y1368" s="27" t="n">
        <f aca="false">IF(M1368&gt;0,D1368*PI()*E1368^2/4,0)</f>
        <v>27.2470665129966</v>
      </c>
      <c r="Z1368" s="27" t="n">
        <f aca="false">IF(H1368-E1368&gt;=GWL,99,E1368*(MAX(0,GWL-H1368)*(GAM_S-GAM_W)+MAX(0,NG-MAX(H1368,GWL))*GAM_D)/(GAM_W*PI()*E1368^2/4))</f>
        <v>1.40977490050727</v>
      </c>
      <c r="AA1368" s="27" t="n">
        <f aca="false">IF(I1368-E1368&gt;=GWL,99,E1368*(MAX(0,GWL-I1368)*(GAM_S-GAM_W)+MAX(0,NG-MAX(I1368,GWL))*GAM_D)/(GAM_W*PI()*E1368^2/4))</f>
        <v>1.43820385251016</v>
      </c>
      <c r="AB1368" s="27" t="n">
        <f aca="false">IF(H1368-E1368&gt;=GWL,99,E1368*(MAX(0,GWL-H1368)*(GAM_S-GAM_W)+MAX(0,FL-MAX(H1368,GWL))*GAM_D)/(GAM_W*PI()*E1368^2/4))</f>
        <v>3.542071441775</v>
      </c>
      <c r="AC1368" s="27" t="n">
        <f aca="false">IF(I1368-E1368&gt;=GWL,99,E1368*(MAX(0,GWL-I1368)*(GAM_S-GAM_W)+MAX(0,FL-MAX(I1368,GWL))*GAM_D)/(GAM_W*PI()*E1368^2/4))</f>
        <v>3.57050039377789</v>
      </c>
    </row>
    <row r="1369" customFormat="false" ht="15" hidden="false" customHeight="false" outlineLevel="0" collapsed="false">
      <c r="A1369" s="25" t="s">
        <v>1996</v>
      </c>
      <c r="B1369" s="25" t="s">
        <v>2010</v>
      </c>
      <c r="C1369" s="25" t="s">
        <v>2020</v>
      </c>
      <c r="D1369" s="26" t="n">
        <v>2.40790561795645</v>
      </c>
      <c r="E1369" s="26" t="n">
        <v>1.86258</v>
      </c>
      <c r="F1369" s="26" t="n">
        <v>-4.62439527673976</v>
      </c>
      <c r="G1369" s="26" t="n">
        <v>-4.63639</v>
      </c>
      <c r="H1369" s="26" t="n">
        <v>-2.26181527673976</v>
      </c>
      <c r="I1369" s="26" t="n">
        <v>-2.27381</v>
      </c>
      <c r="J1369" s="26" t="n">
        <v>13.48</v>
      </c>
      <c r="K1369" s="27" t="n">
        <f aca="false">MIN(F1369,G1369)</f>
        <v>-4.63639</v>
      </c>
      <c r="L1369" s="27" t="n">
        <f aca="false">AVERAGE(F1369,G1369)</f>
        <v>-4.63039263836988</v>
      </c>
      <c r="M1369" s="27" t="n">
        <f aca="false">MAX(0,NG-L1369)</f>
        <v>3.93039263836988</v>
      </c>
      <c r="N1369" s="27" t="n">
        <f aca="false">MAX(0,GWL-K1369)</f>
        <v>3.13639</v>
      </c>
      <c r="O1369" s="27" t="n">
        <f aca="false">MAX(0,NG-MAX(K1369,GWL))</f>
        <v>0.8</v>
      </c>
      <c r="P1369" s="27" t="n">
        <f aca="false">E1369/2+WS+SLOPE_A*O1369+SLOPE_B*N1369</f>
        <v>9.40407</v>
      </c>
      <c r="Q1369" s="28" t="str">
        <f aca="false">IF(AND(P1369&lt;J1369,N1369&lt;=MAXOC),"Open cut","Shoring")</f>
        <v>Shoring</v>
      </c>
      <c r="R1369" s="27" t="n">
        <f aca="false">IF(Q1369="Shoring",D1369,0)</f>
        <v>2.40790561795645</v>
      </c>
      <c r="S1369" s="27" t="n">
        <f aca="false">MAX(0,GWL-L1369)</f>
        <v>3.13039263836988</v>
      </c>
      <c r="T1369" s="27" t="n">
        <f aca="false">MAX(0,NG-MAX(L1369,GWL))</f>
        <v>0.8</v>
      </c>
      <c r="U1369" s="27" t="n">
        <f aca="false">E1369+2*WS</f>
        <v>3.86258</v>
      </c>
      <c r="V1369" s="27" t="n">
        <f aca="false">IF(Q1369="Shoring",D1369*M1369*U1369,0)</f>
        <v>36.5555131842112</v>
      </c>
      <c r="W1369" s="27" t="n">
        <f aca="false">IF(Q1369="Open cut",D1369*(U1369*M1369+SLOPE_B*S1369^2+2*SLOPE_B*S1369*T1369+SLOPE_A*T1369^2),0)</f>
        <v>0</v>
      </c>
      <c r="X1369" s="27" t="n">
        <f aca="false">IF(M1369&gt;0,D1369*(E1369+2*SLABOVH)*SLAB,0)</f>
        <v>3.44641123192489</v>
      </c>
      <c r="Y1369" s="27" t="n">
        <f aca="false">IF(M1369&gt;0,D1369*PI()*E1369^2/4,0)</f>
        <v>6.56083645325479</v>
      </c>
      <c r="Z1369" s="27" t="n">
        <f aca="false">IF(H1369-E1369&gt;=GWL,99,E1369*(MAX(0,GWL-H1369)*(GAM_S-GAM_W)+MAX(0,NG-MAX(H1369,GWL))*GAM_D)/(GAM_W*PI()*E1369^2/4))</f>
        <v>1.43820385251016</v>
      </c>
      <c r="AA1369" s="27" t="n">
        <f aca="false">IF(I1369-E1369&gt;=GWL,99,E1369*(MAX(0,GWL-I1369)*(GAM_S-GAM_W)+MAX(0,NG-MAX(I1369,GWL))*GAM_D)/(GAM_W*PI()*E1369^2/4))</f>
        <v>1.44504927583321</v>
      </c>
      <c r="AB1369" s="27" t="n">
        <f aca="false">IF(H1369-E1369&gt;=GWL,99,E1369*(MAX(0,GWL-H1369)*(GAM_S-GAM_W)+MAX(0,FL-MAX(H1369,GWL))*GAM_D)/(GAM_W*PI()*E1369^2/4))</f>
        <v>3.57050039377789</v>
      </c>
      <c r="AC1369" s="27" t="n">
        <f aca="false">IF(I1369-E1369&gt;=GWL,99,E1369*(MAX(0,GWL-I1369)*(GAM_S-GAM_W)+MAX(0,FL-MAX(I1369,GWL))*GAM_D)/(GAM_W*PI()*E1369^2/4))</f>
        <v>3.57734581710094</v>
      </c>
    </row>
    <row r="1370" customFormat="false" ht="15" hidden="false" customHeight="false" outlineLevel="0" collapsed="false">
      <c r="A1370" s="25" t="s">
        <v>1996</v>
      </c>
      <c r="B1370" s="25" t="s">
        <v>2010</v>
      </c>
      <c r="C1370" s="25" t="s">
        <v>2021</v>
      </c>
      <c r="D1370" s="26" t="n">
        <v>0.359730773205674</v>
      </c>
      <c r="E1370" s="26" t="n">
        <v>1.84099501759739</v>
      </c>
      <c r="F1370" s="26" t="n">
        <v>-4.6255975087987</v>
      </c>
      <c r="G1370" s="26" t="n">
        <v>-4.6273875087987</v>
      </c>
      <c r="H1370" s="26" t="n">
        <v>-2.2846024912013</v>
      </c>
      <c r="I1370" s="26" t="n">
        <v>-2.2863924912013</v>
      </c>
      <c r="J1370" s="26" t="n">
        <v>13.67</v>
      </c>
      <c r="K1370" s="27" t="n">
        <f aca="false">MIN(F1370,G1370)</f>
        <v>-4.6273875087987</v>
      </c>
      <c r="L1370" s="27" t="n">
        <f aca="false">AVERAGE(F1370,G1370)</f>
        <v>-4.6264925087987</v>
      </c>
      <c r="M1370" s="27" t="n">
        <f aca="false">MAX(0,NG-L1370)</f>
        <v>3.9264925087987</v>
      </c>
      <c r="N1370" s="27" t="n">
        <f aca="false">MAX(0,GWL-K1370)</f>
        <v>3.1273875087987</v>
      </c>
      <c r="O1370" s="27" t="n">
        <f aca="false">MAX(0,NG-MAX(K1370,GWL))</f>
        <v>0.8</v>
      </c>
      <c r="P1370" s="27" t="n">
        <f aca="false">E1370/2+WS+SLOPE_A*O1370+SLOPE_B*N1370</f>
        <v>9.37527252639609</v>
      </c>
      <c r="Q1370" s="28" t="str">
        <f aca="false">IF(AND(P1370&lt;J1370,N1370&lt;=MAXOC),"Open cut","Shoring")</f>
        <v>Shoring</v>
      </c>
      <c r="R1370" s="27" t="n">
        <f aca="false">IF(Q1370="Shoring",D1370,0)</f>
        <v>0.359730773205674</v>
      </c>
      <c r="S1370" s="27" t="n">
        <f aca="false">MAX(0,GWL-L1370)</f>
        <v>3.1264925087987</v>
      </c>
      <c r="T1370" s="27" t="n">
        <f aca="false">MAX(0,NG-MAX(L1370,GWL))</f>
        <v>0.8</v>
      </c>
      <c r="U1370" s="27" t="n">
        <f aca="false">E1370+2*WS</f>
        <v>3.84099501759739</v>
      </c>
      <c r="V1370" s="27" t="n">
        <f aca="false">IF(Q1370="Shoring",D1370*M1370*U1370,0)</f>
        <v>5.42532935755875</v>
      </c>
      <c r="W1370" s="27" t="n">
        <f aca="false">IF(Q1370="Open cut",D1370*(U1370*M1370+SLOPE_B*S1370^2+2*SLOPE_B*S1370*T1370+SLOPE_A*T1370^2),0)</f>
        <v>0</v>
      </c>
      <c r="X1370" s="27" t="n">
        <f aca="false">IF(M1370&gt;0,D1370*(E1370+2*SLABOVH)*SLAB,0)</f>
        <v>0.510996667176889</v>
      </c>
      <c r="Y1370" s="27" t="n">
        <f aca="false">IF(M1370&gt;0,D1370*PI()*E1370^2/4,0)</f>
        <v>0.957574778804525</v>
      </c>
      <c r="Z1370" s="27" t="n">
        <f aca="false">IF(H1370-E1370&gt;=GWL,99,E1370*(MAX(0,GWL-H1370)*(GAM_S-GAM_W)+MAX(0,NG-MAX(H1370,GWL))*GAM_D)/(GAM_W*PI()*E1370^2/4))</f>
        <v>1.46822346313808</v>
      </c>
      <c r="AA1370" s="27" t="n">
        <f aca="false">IF(I1370-E1370&gt;=GWL,99,E1370*(MAX(0,GWL-I1370)*(GAM_S-GAM_W)+MAX(0,NG-MAX(I1370,GWL))*GAM_D)/(GAM_W*PI()*E1370^2/4))</f>
        <v>1.46925699871526</v>
      </c>
      <c r="AB1370" s="27" t="n">
        <f aca="false">IF(H1370-E1370&gt;=GWL,99,E1370*(MAX(0,GWL-H1370)*(GAM_S-GAM_W)+MAX(0,FL-MAX(H1370,GWL))*GAM_D)/(GAM_W*PI()*E1370^2/4))</f>
        <v>3.62552038891553</v>
      </c>
      <c r="AC1370" s="27" t="n">
        <f aca="false">IF(I1370-E1370&gt;=GWL,99,E1370*(MAX(0,GWL-I1370)*(GAM_S-GAM_W)+MAX(0,FL-MAX(I1370,GWL))*GAM_D)/(GAM_W*PI()*E1370^2/4))</f>
        <v>3.62655392449271</v>
      </c>
    </row>
    <row r="1371" customFormat="false" ht="15" hidden="false" customHeight="false" outlineLevel="0" collapsed="false">
      <c r="A1371" s="25" t="s">
        <v>1996</v>
      </c>
      <c r="B1371" s="25" t="s">
        <v>2010</v>
      </c>
      <c r="C1371" s="25" t="s">
        <v>2022</v>
      </c>
      <c r="D1371" s="26" t="n">
        <v>1.10213018692778</v>
      </c>
      <c r="E1371" s="26" t="n">
        <v>1.70087422246854</v>
      </c>
      <c r="F1371" s="26" t="n">
        <v>-4.55732711123427</v>
      </c>
      <c r="G1371" s="26" t="n">
        <v>-4.56281711123427</v>
      </c>
      <c r="H1371" s="26" t="n">
        <v>-2.35645288876573</v>
      </c>
      <c r="I1371" s="26" t="n">
        <v>-2.36194288876573</v>
      </c>
      <c r="J1371" s="26" t="n">
        <v>13.73</v>
      </c>
      <c r="K1371" s="27" t="n">
        <f aca="false">MIN(F1371,G1371)</f>
        <v>-4.56281711123427</v>
      </c>
      <c r="L1371" s="27" t="n">
        <f aca="false">AVERAGE(F1371,G1371)</f>
        <v>-4.56007211123427</v>
      </c>
      <c r="M1371" s="27" t="n">
        <f aca="false">MAX(0,NG-L1371)</f>
        <v>3.86007211123427</v>
      </c>
      <c r="N1371" s="27" t="n">
        <f aca="false">MAX(0,GWL-K1371)</f>
        <v>3.06281711123427</v>
      </c>
      <c r="O1371" s="27" t="n">
        <f aca="false">MAX(0,NG-MAX(K1371,GWL))</f>
        <v>0.8</v>
      </c>
      <c r="P1371" s="27" t="n">
        <f aca="false">E1371/2+WS+SLOPE_A*O1371+SLOPE_B*N1371</f>
        <v>9.17607133370281</v>
      </c>
      <c r="Q1371" s="28" t="str">
        <f aca="false">IF(AND(P1371&lt;J1371,N1371&lt;=MAXOC),"Open cut","Shoring")</f>
        <v>Shoring</v>
      </c>
      <c r="R1371" s="27" t="n">
        <f aca="false">IF(Q1371="Shoring",D1371,0)</f>
        <v>1.10213018692778</v>
      </c>
      <c r="S1371" s="27" t="n">
        <f aca="false">MAX(0,GWL-L1371)</f>
        <v>3.06007211123427</v>
      </c>
      <c r="T1371" s="27" t="n">
        <f aca="false">MAX(0,NG-MAX(L1371,GWL))</f>
        <v>0.8</v>
      </c>
      <c r="U1371" s="27" t="n">
        <f aca="false">E1371+2*WS</f>
        <v>3.70087422246854</v>
      </c>
      <c r="V1371" s="27" t="n">
        <f aca="false">IF(Q1371="Shoring",D1371*M1371*U1371,0)</f>
        <v>15.7446365971787</v>
      </c>
      <c r="W1371" s="27" t="n">
        <f aca="false">IF(Q1371="Open cut",D1371*(U1371*M1371+SLOPE_B*S1371^2+2*SLOPE_B*S1371*T1371+SLOPE_A*T1371^2),0)</f>
        <v>0</v>
      </c>
      <c r="X1371" s="27" t="n">
        <f aca="false">IF(M1371&gt;0,D1371*(E1371+2*SLABOVH)*SLAB,0)</f>
        <v>1.48835750583883</v>
      </c>
      <c r="Y1371" s="27" t="n">
        <f aca="false">IF(M1371&gt;0,D1371*PI()*E1371^2/4,0)</f>
        <v>2.50418942722282</v>
      </c>
      <c r="Z1371" s="27" t="n">
        <f aca="false">IF(H1371-E1371&gt;=GWL,99,E1371*(MAX(0,GWL-H1371)*(GAM_S-GAM_W)+MAX(0,NG-MAX(H1371,GWL))*GAM_D)/(GAM_W*PI()*E1371^2/4))</f>
        <v>1.63408179459646</v>
      </c>
      <c r="AA1371" s="27" t="n">
        <f aca="false">IF(I1371-E1371&gt;=GWL,99,E1371*(MAX(0,GWL-I1371)*(GAM_S-GAM_W)+MAX(0,NG-MAX(I1371,GWL))*GAM_D)/(GAM_W*PI()*E1371^2/4))</f>
        <v>1.63751282967453</v>
      </c>
      <c r="AB1371" s="27" t="n">
        <f aca="false">IF(H1371-E1371&gt;=GWL,99,E1371*(MAX(0,GWL-H1371)*(GAM_S-GAM_W)+MAX(0,FL-MAX(H1371,GWL))*GAM_D)/(GAM_W*PI()*E1371^2/4))</f>
        <v>3.96910036291268</v>
      </c>
      <c r="AC1371" s="27" t="n">
        <f aca="false">IF(I1371-E1371&gt;=GWL,99,E1371*(MAX(0,GWL-I1371)*(GAM_S-GAM_W)+MAX(0,FL-MAX(I1371,GWL))*GAM_D)/(GAM_W*PI()*E1371^2/4))</f>
        <v>3.97253139799075</v>
      </c>
    </row>
    <row r="1372" customFormat="false" ht="15" hidden="false" customHeight="false" outlineLevel="0" collapsed="false">
      <c r="A1372" s="25" t="s">
        <v>1996</v>
      </c>
      <c r="B1372" s="25" t="s">
        <v>2010</v>
      </c>
      <c r="C1372" s="25" t="s">
        <v>2023</v>
      </c>
      <c r="D1372" s="26" t="n">
        <v>1.10205635019022</v>
      </c>
      <c r="E1372" s="26" t="n">
        <v>1.70085495951719</v>
      </c>
      <c r="F1372" s="26" t="n">
        <v>-4.5628074797586</v>
      </c>
      <c r="G1372" s="26" t="n">
        <v>-4.5682974797586</v>
      </c>
      <c r="H1372" s="26" t="n">
        <v>-2.36195252024141</v>
      </c>
      <c r="I1372" s="26" t="n">
        <v>-2.36744252024141</v>
      </c>
      <c r="J1372" s="26" t="n">
        <v>14.37</v>
      </c>
      <c r="K1372" s="27" t="n">
        <f aca="false">MIN(F1372,G1372)</f>
        <v>-4.5682974797586</v>
      </c>
      <c r="L1372" s="27" t="n">
        <f aca="false">AVERAGE(F1372,G1372)</f>
        <v>-4.5655524797586</v>
      </c>
      <c r="M1372" s="27" t="n">
        <f aca="false">MAX(0,NG-L1372)</f>
        <v>3.8655524797586</v>
      </c>
      <c r="N1372" s="27" t="n">
        <f aca="false">MAX(0,GWL-K1372)</f>
        <v>3.0682974797586</v>
      </c>
      <c r="O1372" s="27" t="n">
        <f aca="false">MAX(0,NG-MAX(K1372,GWL))</f>
        <v>0.8</v>
      </c>
      <c r="P1372" s="27" t="n">
        <f aca="false">E1372/2+WS+SLOPE_A*O1372+SLOPE_B*N1372</f>
        <v>9.18702243927579</v>
      </c>
      <c r="Q1372" s="28" t="str">
        <f aca="false">IF(AND(P1372&lt;J1372,N1372&lt;=MAXOC),"Open cut","Shoring")</f>
        <v>Shoring</v>
      </c>
      <c r="R1372" s="27" t="n">
        <f aca="false">IF(Q1372="Shoring",D1372,0)</f>
        <v>1.10205635019022</v>
      </c>
      <c r="S1372" s="27" t="n">
        <f aca="false">MAX(0,GWL-L1372)</f>
        <v>3.0655524797586</v>
      </c>
      <c r="T1372" s="27" t="n">
        <f aca="false">MAX(0,NG-MAX(L1372,GWL))</f>
        <v>0.8</v>
      </c>
      <c r="U1372" s="27" t="n">
        <f aca="false">E1372+2*WS</f>
        <v>3.70085495951719</v>
      </c>
      <c r="V1372" s="27" t="n">
        <f aca="false">IF(Q1372="Shoring",D1372*M1372*U1372,0)</f>
        <v>15.7658518080356</v>
      </c>
      <c r="W1372" s="27" t="n">
        <f aca="false">IF(Q1372="Open cut",D1372*(U1372*M1372+SLOPE_B*S1372^2+2*SLOPE_B*S1372*T1372+SLOPE_A*T1372^2),0)</f>
        <v>0</v>
      </c>
      <c r="X1372" s="27" t="n">
        <f aca="false">IF(M1372&gt;0,D1372*(E1372+2*SLABOVH)*SLAB,0)</f>
        <v>1.48824717953934</v>
      </c>
      <c r="Y1372" s="27" t="n">
        <f aca="false">IF(M1372&gt;0,D1372*PI()*E1372^2/4,0)</f>
        <v>2.50396494273872</v>
      </c>
      <c r="Z1372" s="27" t="n">
        <f aca="false">IF(H1372-E1372&gt;=GWL,99,E1372*(MAX(0,GWL-H1372)*(GAM_S-GAM_W)+MAX(0,NG-MAX(H1372,GWL))*GAM_D)/(GAM_W*PI()*E1372^2/4))</f>
        <v>1.63753739461104</v>
      </c>
      <c r="AA1372" s="27" t="n">
        <f aca="false">IF(I1372-E1372&gt;=GWL,99,E1372*(MAX(0,GWL-I1372)*(GAM_S-GAM_W)+MAX(0,NG-MAX(I1372,GWL))*GAM_D)/(GAM_W*PI()*E1372^2/4))</f>
        <v>1.64096846854714</v>
      </c>
      <c r="AB1372" s="27" t="n">
        <f aca="false">IF(H1372-E1372&gt;=GWL,99,E1372*(MAX(0,GWL-H1372)*(GAM_S-GAM_W)+MAX(0,FL-MAX(H1372,GWL))*GAM_D)/(GAM_W*PI()*E1372^2/4))</f>
        <v>3.97258240806817</v>
      </c>
      <c r="AC1372" s="27" t="n">
        <f aca="false">IF(I1372-E1372&gt;=GWL,99,E1372*(MAX(0,GWL-I1372)*(GAM_S-GAM_W)+MAX(0,FL-MAX(I1372,GWL))*GAM_D)/(GAM_W*PI()*E1372^2/4))</f>
        <v>3.97601348200427</v>
      </c>
    </row>
    <row r="1373" customFormat="false" ht="15" hidden="false" customHeight="false" outlineLevel="0" collapsed="false">
      <c r="A1373" s="25" t="s">
        <v>1996</v>
      </c>
      <c r="B1373" s="25" t="s">
        <v>2010</v>
      </c>
      <c r="C1373" s="25" t="s">
        <v>2024</v>
      </c>
      <c r="D1373" s="26" t="n">
        <v>0.360080000425246</v>
      </c>
      <c r="E1373" s="26" t="n">
        <v>1.84099501771015</v>
      </c>
      <c r="F1373" s="26" t="n">
        <v>-4.63836750885507</v>
      </c>
      <c r="G1373" s="26" t="n">
        <v>-4.64016750885507</v>
      </c>
      <c r="H1373" s="26" t="n">
        <v>-2.29737249114493</v>
      </c>
      <c r="I1373" s="26" t="n">
        <v>-2.29917249114493</v>
      </c>
      <c r="J1373" s="26" t="n">
        <v>15.46</v>
      </c>
      <c r="K1373" s="27" t="n">
        <f aca="false">MIN(F1373,G1373)</f>
        <v>-4.64016750885507</v>
      </c>
      <c r="L1373" s="27" t="n">
        <f aca="false">AVERAGE(F1373,G1373)</f>
        <v>-4.63926750885507</v>
      </c>
      <c r="M1373" s="27" t="n">
        <f aca="false">MAX(0,NG-L1373)</f>
        <v>3.93926750885507</v>
      </c>
      <c r="N1373" s="27" t="n">
        <f aca="false">MAX(0,GWL-K1373)</f>
        <v>3.14016750885507</v>
      </c>
      <c r="O1373" s="27" t="n">
        <f aca="false">MAX(0,NG-MAX(K1373,GWL))</f>
        <v>0.8</v>
      </c>
      <c r="P1373" s="27" t="n">
        <f aca="false">E1373/2+WS+SLOPE_A*O1373+SLOPE_B*N1373</f>
        <v>9.40083252656522</v>
      </c>
      <c r="Q1373" s="28" t="str">
        <f aca="false">IF(AND(P1373&lt;J1373,N1373&lt;=MAXOC),"Open cut","Shoring")</f>
        <v>Shoring</v>
      </c>
      <c r="R1373" s="27" t="n">
        <f aca="false">IF(Q1373="Shoring",D1373,0)</f>
        <v>0.360080000425246</v>
      </c>
      <c r="S1373" s="27" t="n">
        <f aca="false">MAX(0,GWL-L1373)</f>
        <v>3.13926750885507</v>
      </c>
      <c r="T1373" s="27" t="n">
        <f aca="false">MAX(0,NG-MAX(L1373,GWL))</f>
        <v>0.8</v>
      </c>
      <c r="U1373" s="27" t="n">
        <f aca="false">E1373+2*WS</f>
        <v>3.84099501771015</v>
      </c>
      <c r="V1373" s="27" t="n">
        <f aca="false">IF(Q1373="Shoring",D1373*M1373*U1373,0)</f>
        <v>5.4482649379626</v>
      </c>
      <c r="W1373" s="27" t="n">
        <f aca="false">IF(Q1373="Open cut",D1373*(U1373*M1373+SLOPE_B*S1373^2+2*SLOPE_B*S1373*T1373+SLOPE_A*T1373^2),0)</f>
        <v>0</v>
      </c>
      <c r="X1373" s="27" t="n">
        <f aca="false">IF(M1373&gt;0,D1373*(E1373+2*SLABOVH)*SLAB,0)</f>
        <v>0.511492743592596</v>
      </c>
      <c r="Y1373" s="27" t="n">
        <f aca="false">IF(M1373&gt;0,D1373*PI()*E1373^2/4,0)</f>
        <v>0.958504394074275</v>
      </c>
      <c r="Z1373" s="27" t="n">
        <f aca="false">IF(H1373-E1373&gt;=GWL,99,E1373*(MAX(0,GWL-H1373)*(GAM_S-GAM_W)+MAX(0,NG-MAX(H1373,GWL))*GAM_D)/(GAM_W*PI()*E1373^2/4))</f>
        <v>1.47559678665791</v>
      </c>
      <c r="AA1373" s="27" t="n">
        <f aca="false">IF(I1373-E1373&gt;=GWL,99,E1373*(MAX(0,GWL-I1373)*(GAM_S-GAM_W)+MAX(0,NG-MAX(I1373,GWL))*GAM_D)/(GAM_W*PI()*E1373^2/4))</f>
        <v>1.4766360961768</v>
      </c>
      <c r="AB1373" s="27" t="n">
        <f aca="false">IF(H1373-E1373&gt;=GWL,99,E1373*(MAX(0,GWL-H1373)*(GAM_S-GAM_W)+MAX(0,FL-MAX(H1373,GWL))*GAM_D)/(GAM_W*PI()*E1373^2/4))</f>
        <v>3.63289371230323</v>
      </c>
      <c r="AC1373" s="27" t="n">
        <f aca="false">IF(I1373-E1373&gt;=GWL,99,E1373*(MAX(0,GWL-I1373)*(GAM_S-GAM_W)+MAX(0,FL-MAX(I1373,GWL))*GAM_D)/(GAM_W*PI()*E1373^2/4))</f>
        <v>3.63393302182212</v>
      </c>
    </row>
    <row r="1374" customFormat="false" ht="15" hidden="false" customHeight="false" outlineLevel="0" collapsed="false">
      <c r="A1374" s="25" t="s">
        <v>1996</v>
      </c>
      <c r="B1374" s="25" t="s">
        <v>2010</v>
      </c>
      <c r="C1374" s="25" t="s">
        <v>2025</v>
      </c>
      <c r="D1374" s="26" t="n">
        <v>4.66809707174625</v>
      </c>
      <c r="E1374" s="26" t="n">
        <v>1.86260028695454</v>
      </c>
      <c r="F1374" s="26" t="n">
        <v>-4.65097014347727</v>
      </c>
      <c r="G1374" s="26" t="n">
        <v>-4.67422067007353</v>
      </c>
      <c r="H1374" s="26" t="n">
        <v>-2.28836985652273</v>
      </c>
      <c r="I1374" s="26" t="n">
        <v>-2.311620383119</v>
      </c>
      <c r="J1374" s="26" t="n">
        <v>15.81</v>
      </c>
      <c r="K1374" s="27" t="n">
        <f aca="false">MIN(F1374,G1374)</f>
        <v>-4.67422067007353</v>
      </c>
      <c r="L1374" s="27" t="n">
        <f aca="false">AVERAGE(F1374,G1374)</f>
        <v>-4.6625954067754</v>
      </c>
      <c r="M1374" s="27" t="n">
        <f aca="false">MAX(0,NG-L1374)</f>
        <v>3.9625954067754</v>
      </c>
      <c r="N1374" s="27" t="n">
        <f aca="false">MAX(0,GWL-K1374)</f>
        <v>3.17422067007353</v>
      </c>
      <c r="O1374" s="27" t="n">
        <f aca="false">MAX(0,NG-MAX(K1374,GWL))</f>
        <v>0.8</v>
      </c>
      <c r="P1374" s="27" t="n">
        <f aca="false">E1374/2+WS+SLOPE_A*O1374+SLOPE_B*N1374</f>
        <v>9.47974148362433</v>
      </c>
      <c r="Q1374" s="28" t="str">
        <f aca="false">IF(AND(P1374&lt;J1374,N1374&lt;=MAXOC),"Open cut","Shoring")</f>
        <v>Shoring</v>
      </c>
      <c r="R1374" s="27" t="n">
        <f aca="false">IF(Q1374="Shoring",D1374,0)</f>
        <v>4.66809707174625</v>
      </c>
      <c r="S1374" s="27" t="n">
        <f aca="false">MAX(0,GWL-L1374)</f>
        <v>3.1625954067754</v>
      </c>
      <c r="T1374" s="27" t="n">
        <f aca="false">MAX(0,NG-MAX(L1374,GWL))</f>
        <v>0.8</v>
      </c>
      <c r="U1374" s="27" t="n">
        <f aca="false">E1374+2*WS</f>
        <v>3.86260028695454</v>
      </c>
      <c r="V1374" s="27" t="n">
        <f aca="false">IF(Q1374="Shoring",D1374*M1374*U1374,0)</f>
        <v>71.4495303935103</v>
      </c>
      <c r="W1374" s="27" t="n">
        <f aca="false">IF(Q1374="Open cut",D1374*(U1374*M1374+SLOPE_B*S1374^2+2*SLOPE_B*S1374*T1374+SLOPE_A*T1374^2),0)</f>
        <v>0</v>
      </c>
      <c r="X1374" s="27" t="n">
        <f aca="false">IF(M1374&gt;0,D1374*(E1374+2*SLABOVH)*SLAB,0)</f>
        <v>6.68144800855622</v>
      </c>
      <c r="Y1374" s="27" t="n">
        <f aca="false">IF(M1374&gt;0,D1374*PI()*E1374^2/4,0)</f>
        <v>12.7194722137064</v>
      </c>
      <c r="Z1374" s="27" t="n">
        <f aca="false">IF(H1374-E1374&gt;=GWL,99,E1374*(MAX(0,GWL-H1374)*(GAM_S-GAM_W)+MAX(0,NG-MAX(H1374,GWL))*GAM_D)/(GAM_W*PI()*E1374^2/4))</f>
        <v>1.45334279854086</v>
      </c>
      <c r="AA1374" s="27" t="n">
        <f aca="false">IF(I1374-E1374&gt;=GWL,99,E1374*(MAX(0,GWL-I1374)*(GAM_S-GAM_W)+MAX(0,NG-MAX(I1374,GWL))*GAM_D)/(GAM_W*PI()*E1374^2/4))</f>
        <v>1.46661179692093</v>
      </c>
      <c r="AB1374" s="27" t="n">
        <f aca="false">IF(H1374-E1374&gt;=GWL,99,E1374*(MAX(0,GWL-H1374)*(GAM_S-GAM_W)+MAX(0,FL-MAX(H1374,GWL))*GAM_D)/(GAM_W*PI()*E1374^2/4))</f>
        <v>3.58561611539309</v>
      </c>
      <c r="AC1374" s="27" t="n">
        <f aca="false">IF(I1374-E1374&gt;=GWL,99,E1374*(MAX(0,GWL-I1374)*(GAM_S-GAM_W)+MAX(0,FL-MAX(I1374,GWL))*GAM_D)/(GAM_W*PI()*E1374^2/4))</f>
        <v>3.59888511377315</v>
      </c>
    </row>
    <row r="1375" customFormat="false" ht="15" hidden="false" customHeight="false" outlineLevel="0" collapsed="false">
      <c r="A1375" s="25" t="s">
        <v>1996</v>
      </c>
      <c r="B1375" s="25" t="s">
        <v>2010</v>
      </c>
      <c r="C1375" s="25" t="s">
        <v>2026</v>
      </c>
      <c r="D1375" s="26" t="n">
        <v>1.421372927756</v>
      </c>
      <c r="E1375" s="26" t="n">
        <v>1.86260028695454</v>
      </c>
      <c r="F1375" s="26" t="n">
        <v>-4.67422067007353</v>
      </c>
      <c r="G1375" s="26" t="n">
        <v>-4.68130014347727</v>
      </c>
      <c r="H1375" s="26" t="n">
        <v>-2.311620383119</v>
      </c>
      <c r="I1375" s="26" t="n">
        <v>-2.31869985652273</v>
      </c>
      <c r="J1375" s="26" t="n">
        <v>20.36</v>
      </c>
      <c r="K1375" s="27" t="n">
        <f aca="false">MIN(F1375,G1375)</f>
        <v>-4.68130014347727</v>
      </c>
      <c r="L1375" s="27" t="n">
        <f aca="false">AVERAGE(F1375,G1375)</f>
        <v>-4.6777604067754</v>
      </c>
      <c r="M1375" s="27" t="n">
        <f aca="false">MAX(0,NG-L1375)</f>
        <v>3.9777604067754</v>
      </c>
      <c r="N1375" s="27" t="n">
        <f aca="false">MAX(0,GWL-K1375)</f>
        <v>3.18130014347727</v>
      </c>
      <c r="O1375" s="27" t="n">
        <f aca="false">MAX(0,NG-MAX(K1375,GWL))</f>
        <v>0.8</v>
      </c>
      <c r="P1375" s="27" t="n">
        <f aca="false">E1375/2+WS+SLOPE_A*O1375+SLOPE_B*N1375</f>
        <v>9.4939004304318</v>
      </c>
      <c r="Q1375" s="28" t="str">
        <f aca="false">IF(AND(P1375&lt;J1375,N1375&lt;=MAXOC),"Open cut","Shoring")</f>
        <v>Shoring</v>
      </c>
      <c r="R1375" s="27" t="n">
        <f aca="false">IF(Q1375="Shoring",D1375,0)</f>
        <v>1.421372927756</v>
      </c>
      <c r="S1375" s="27" t="n">
        <f aca="false">MAX(0,GWL-L1375)</f>
        <v>3.1777604067754</v>
      </c>
      <c r="T1375" s="27" t="n">
        <f aca="false">MAX(0,NG-MAX(L1375,GWL))</f>
        <v>0.8</v>
      </c>
      <c r="U1375" s="27" t="n">
        <f aca="false">E1375+2*WS</f>
        <v>3.86260028695454</v>
      </c>
      <c r="V1375" s="27" t="n">
        <f aca="false">IF(Q1375="Shoring",D1375*M1375*U1375,0)</f>
        <v>21.8386822003109</v>
      </c>
      <c r="W1375" s="27" t="n">
        <f aca="false">IF(Q1375="Open cut",D1375*(U1375*M1375+SLOPE_B*S1375^2+2*SLOPE_B*S1375*T1375+SLOPE_A*T1375^2),0)</f>
        <v>0</v>
      </c>
      <c r="X1375" s="27" t="n">
        <f aca="false">IF(M1375&gt;0,D1375*(E1375+2*SLABOVH)*SLAB,0)</f>
        <v>2.03441127543187</v>
      </c>
      <c r="Y1375" s="27" t="n">
        <f aca="false">IF(M1375&gt;0,D1375*PI()*E1375^2/4,0)</f>
        <v>3.87290863536903</v>
      </c>
      <c r="Z1375" s="27" t="n">
        <f aca="false">IF(H1375-E1375&gt;=GWL,99,E1375*(MAX(0,GWL-H1375)*(GAM_S-GAM_W)+MAX(0,NG-MAX(H1375,GWL))*GAM_D)/(GAM_W*PI()*E1375^2/4))</f>
        <v>1.46661179692093</v>
      </c>
      <c r="AA1375" s="27" t="n">
        <f aca="false">IF(I1375-E1375&gt;=GWL,99,E1375*(MAX(0,GWL-I1375)*(GAM_S-GAM_W)+MAX(0,NG-MAX(I1375,GWL))*GAM_D)/(GAM_W*PI()*E1375^2/4))</f>
        <v>1.47065202890178</v>
      </c>
      <c r="AB1375" s="27" t="n">
        <f aca="false">IF(H1375-E1375&gt;=GWL,99,E1375*(MAX(0,GWL-H1375)*(GAM_S-GAM_W)+MAX(0,FL-MAX(H1375,GWL))*GAM_D)/(GAM_W*PI()*E1375^2/4))</f>
        <v>3.59888511377315</v>
      </c>
      <c r="AC1375" s="27" t="n">
        <f aca="false">IF(I1375-E1375&gt;=GWL,99,E1375*(MAX(0,GWL-I1375)*(GAM_S-GAM_W)+MAX(0,FL-MAX(I1375,GWL))*GAM_D)/(GAM_W*PI()*E1375^2/4))</f>
        <v>3.602925345754</v>
      </c>
    </row>
    <row r="1376" customFormat="false" ht="15" hidden="false" customHeight="false" outlineLevel="0" collapsed="false">
      <c r="A1376" s="25" t="s">
        <v>1996</v>
      </c>
      <c r="B1376" s="25" t="s">
        <v>2010</v>
      </c>
      <c r="C1376" s="25" t="s">
        <v>2027</v>
      </c>
      <c r="D1376" s="26" t="n">
        <v>3.76126000047783</v>
      </c>
      <c r="E1376" s="26" t="n">
        <v>1.86260028695454</v>
      </c>
      <c r="F1376" s="26" t="n">
        <v>-4.68130014347727</v>
      </c>
      <c r="G1376" s="26" t="n">
        <v>-4.68130014347727</v>
      </c>
      <c r="H1376" s="26" t="n">
        <v>-2.31869985652273</v>
      </c>
      <c r="I1376" s="26" t="n">
        <v>-2.31869985652273</v>
      </c>
      <c r="J1376" s="26" t="n">
        <v>21.75</v>
      </c>
      <c r="K1376" s="27" t="n">
        <f aca="false">MIN(F1376,G1376)</f>
        <v>-4.68130014347727</v>
      </c>
      <c r="L1376" s="27" t="n">
        <f aca="false">AVERAGE(F1376,G1376)</f>
        <v>-4.68130014347727</v>
      </c>
      <c r="M1376" s="27" t="n">
        <f aca="false">MAX(0,NG-L1376)</f>
        <v>3.98130014347727</v>
      </c>
      <c r="N1376" s="27" t="n">
        <f aca="false">MAX(0,GWL-K1376)</f>
        <v>3.18130014347727</v>
      </c>
      <c r="O1376" s="27" t="n">
        <f aca="false">MAX(0,NG-MAX(K1376,GWL))</f>
        <v>0.8</v>
      </c>
      <c r="P1376" s="27" t="n">
        <f aca="false">E1376/2+WS+SLOPE_A*O1376+SLOPE_B*N1376</f>
        <v>9.4939004304318</v>
      </c>
      <c r="Q1376" s="28" t="str">
        <f aca="false">IF(AND(P1376&lt;J1376,N1376&lt;=MAXOC),"Open cut","Shoring")</f>
        <v>Shoring</v>
      </c>
      <c r="R1376" s="27" t="n">
        <f aca="false">IF(Q1376="Shoring",D1376,0)</f>
        <v>3.76126000047783</v>
      </c>
      <c r="S1376" s="27" t="n">
        <f aca="false">MAX(0,GWL-L1376)</f>
        <v>3.18130014347727</v>
      </c>
      <c r="T1376" s="27" t="n">
        <f aca="false">MAX(0,NG-MAX(L1376,GWL))</f>
        <v>0.8</v>
      </c>
      <c r="U1376" s="27" t="n">
        <f aca="false">E1376+2*WS</f>
        <v>3.86260028695454</v>
      </c>
      <c r="V1376" s="27" t="n">
        <f aca="false">IF(Q1376="Shoring",D1376*M1376*U1376,0)</f>
        <v>57.8412997510991</v>
      </c>
      <c r="W1376" s="27" t="n">
        <f aca="false">IF(Q1376="Open cut",D1376*(U1376*M1376+SLOPE_B*S1376^2+2*SLOPE_B*S1376*T1376+SLOPE_A*T1376^2),0)</f>
        <v>0</v>
      </c>
      <c r="X1376" s="27" t="n">
        <f aca="false">IF(M1376&gt;0,D1376*(E1376+2*SLABOVH)*SLAB,0)</f>
        <v>5.38349197833923</v>
      </c>
      <c r="Y1376" s="27" t="n">
        <f aca="false">IF(M1376&gt;0,D1376*PI()*E1376^2/4,0)</f>
        <v>10.2485533889522</v>
      </c>
      <c r="Z1376" s="27" t="n">
        <f aca="false">IF(H1376-E1376&gt;=GWL,99,E1376*(MAX(0,GWL-H1376)*(GAM_S-GAM_W)+MAX(0,NG-MAX(H1376,GWL))*GAM_D)/(GAM_W*PI()*E1376^2/4))</f>
        <v>1.47065202890178</v>
      </c>
      <c r="AA1376" s="27" t="n">
        <f aca="false">IF(I1376-E1376&gt;=GWL,99,E1376*(MAX(0,GWL-I1376)*(GAM_S-GAM_W)+MAX(0,NG-MAX(I1376,GWL))*GAM_D)/(GAM_W*PI()*E1376^2/4))</f>
        <v>1.47065202890178</v>
      </c>
      <c r="AB1376" s="27" t="n">
        <f aca="false">IF(H1376-E1376&gt;=GWL,99,E1376*(MAX(0,GWL-H1376)*(GAM_S-GAM_W)+MAX(0,FL-MAX(H1376,GWL))*GAM_D)/(GAM_W*PI()*E1376^2/4))</f>
        <v>3.602925345754</v>
      </c>
      <c r="AC1376" s="27" t="n">
        <f aca="false">IF(I1376-E1376&gt;=GWL,99,E1376*(MAX(0,GWL-I1376)*(GAM_S-GAM_W)+MAX(0,FL-MAX(I1376,GWL))*GAM_D)/(GAM_W*PI()*E1376^2/4))</f>
        <v>3.602925345754</v>
      </c>
    </row>
    <row r="1377" customFormat="false" ht="15" hidden="false" customHeight="false" outlineLevel="0" collapsed="false">
      <c r="A1377" s="25" t="s">
        <v>1996</v>
      </c>
      <c r="B1377" s="25" t="s">
        <v>2010</v>
      </c>
      <c r="C1377" s="25" t="s">
        <v>2028</v>
      </c>
      <c r="D1377" s="26" t="n">
        <v>0.0298200001963143</v>
      </c>
      <c r="E1377" s="26" t="n">
        <v>1.82637865161908</v>
      </c>
      <c r="F1377" s="26" t="n">
        <v>-4.27305932580954</v>
      </c>
      <c r="G1377" s="26" t="n">
        <v>-4.27318932580954</v>
      </c>
      <c r="H1377" s="26" t="n">
        <v>-1.94668067419046</v>
      </c>
      <c r="I1377" s="26" t="n">
        <v>-1.94681067419046</v>
      </c>
      <c r="J1377" s="26" t="n">
        <v>13.92</v>
      </c>
      <c r="K1377" s="27" t="n">
        <f aca="false">MIN(F1377,G1377)</f>
        <v>-4.27318932580954</v>
      </c>
      <c r="L1377" s="27" t="n">
        <f aca="false">AVERAGE(F1377,G1377)</f>
        <v>-4.27312432580954</v>
      </c>
      <c r="M1377" s="27" t="n">
        <f aca="false">MAX(0,NG-L1377)</f>
        <v>3.57312432580954</v>
      </c>
      <c r="N1377" s="27" t="n">
        <f aca="false">MAX(0,GWL-K1377)</f>
        <v>2.77318932580954</v>
      </c>
      <c r="O1377" s="27" t="n">
        <f aca="false">MAX(0,NG-MAX(K1377,GWL))</f>
        <v>0.8</v>
      </c>
      <c r="P1377" s="27" t="n">
        <f aca="false">E1377/2+WS+SLOPE_A*O1377+SLOPE_B*N1377</f>
        <v>8.65956797742862</v>
      </c>
      <c r="Q1377" s="28" t="str">
        <f aca="false">IF(AND(P1377&lt;J1377,N1377&lt;=MAXOC),"Open cut","Shoring")</f>
        <v>Shoring</v>
      </c>
      <c r="R1377" s="27" t="n">
        <f aca="false">IF(Q1377="Shoring",D1377,0)</f>
        <v>0.0298200001963143</v>
      </c>
      <c r="S1377" s="27" t="n">
        <f aca="false">MAX(0,GWL-L1377)</f>
        <v>2.77312432580954</v>
      </c>
      <c r="T1377" s="27" t="n">
        <f aca="false">MAX(0,NG-MAX(L1377,GWL))</f>
        <v>0.8</v>
      </c>
      <c r="U1377" s="27" t="n">
        <f aca="false">E1377+2*WS</f>
        <v>3.82637865161908</v>
      </c>
      <c r="V1377" s="27" t="n">
        <f aca="false">IF(Q1377="Shoring",D1377*M1377*U1377,0)</f>
        <v>0.407702819084612</v>
      </c>
      <c r="W1377" s="27" t="n">
        <f aca="false">IF(Q1377="Open cut",D1377*(U1377*M1377+SLOPE_B*S1377^2+2*SLOPE_B*S1377*T1377+SLOPE_A*T1377^2),0)</f>
        <v>0</v>
      </c>
      <c r="X1377" s="27" t="n">
        <f aca="false">IF(M1377&gt;0,D1377*(E1377+2*SLABOVH)*SLAB,0)</f>
        <v>0.0421413059730697</v>
      </c>
      <c r="Y1377" s="27" t="n">
        <f aca="false">IF(M1377&gt;0,D1377*PI()*E1377^2/4,0)</f>
        <v>0.0781230459127696</v>
      </c>
      <c r="Z1377" s="27" t="n">
        <f aca="false">IF(H1377-E1377&gt;=GWL,99,E1377*(MAX(0,GWL-H1377)*(GAM_S-GAM_W)+MAX(0,NG-MAX(H1377,GWL))*GAM_D)/(GAM_W*PI()*E1377^2/4))</f>
        <v>1.28329796872481</v>
      </c>
      <c r="AA1377" s="27" t="n">
        <f aca="false">IF(I1377-E1377&gt;=GWL,99,E1377*(MAX(0,GWL-I1377)*(GAM_S-GAM_W)+MAX(0,NG-MAX(I1377,GWL))*GAM_D)/(GAM_W*PI()*E1377^2/4))</f>
        <v>1.28337363067712</v>
      </c>
      <c r="AB1377" s="27" t="n">
        <f aca="false">IF(H1377-E1377&gt;=GWL,99,E1377*(MAX(0,GWL-H1377)*(GAM_S-GAM_W)+MAX(0,FL-MAX(H1377,GWL))*GAM_D)/(GAM_W*PI()*E1377^2/4))</f>
        <v>3.45785957363279</v>
      </c>
      <c r="AC1377" s="27" t="n">
        <f aca="false">IF(I1377-E1377&gt;=GWL,99,E1377*(MAX(0,GWL-I1377)*(GAM_S-GAM_W)+MAX(0,FL-MAX(I1377,GWL))*GAM_D)/(GAM_W*PI()*E1377^2/4))</f>
        <v>3.4579352355851</v>
      </c>
    </row>
    <row r="1378" customFormat="false" ht="15" hidden="false" customHeight="false" outlineLevel="0" collapsed="false">
      <c r="A1378" s="25" t="s">
        <v>1996</v>
      </c>
      <c r="B1378" s="25" t="s">
        <v>2001</v>
      </c>
      <c r="C1378" s="25" t="s">
        <v>2029</v>
      </c>
      <c r="D1378" s="26" t="n">
        <v>0.0296900001056744</v>
      </c>
      <c r="E1378" s="26" t="n">
        <v>1.84099803997984</v>
      </c>
      <c r="F1378" s="26" t="n">
        <v>-4.26839901998992</v>
      </c>
      <c r="G1378" s="26" t="n">
        <v>-4.26851901998992</v>
      </c>
      <c r="H1378" s="26" t="n">
        <v>-1.92740098001008</v>
      </c>
      <c r="I1378" s="26" t="n">
        <v>-1.92752098001008</v>
      </c>
      <c r="J1378" s="26" t="n">
        <v>13.47</v>
      </c>
      <c r="K1378" s="27" t="n">
        <f aca="false">MIN(F1378,G1378)</f>
        <v>-4.26851901998992</v>
      </c>
      <c r="L1378" s="27" t="n">
        <f aca="false">AVERAGE(F1378,G1378)</f>
        <v>-4.26845901998992</v>
      </c>
      <c r="M1378" s="27" t="n">
        <f aca="false">MAX(0,NG-L1378)</f>
        <v>3.56845901998992</v>
      </c>
      <c r="N1378" s="27" t="n">
        <f aca="false">MAX(0,GWL-K1378)</f>
        <v>2.76851901998992</v>
      </c>
      <c r="O1378" s="27" t="n">
        <f aca="false">MAX(0,NG-MAX(K1378,GWL))</f>
        <v>0.8</v>
      </c>
      <c r="P1378" s="27" t="n">
        <f aca="false">E1378/2+WS+SLOPE_A*O1378+SLOPE_B*N1378</f>
        <v>8.65753705996976</v>
      </c>
      <c r="Q1378" s="28" t="str">
        <f aca="false">IF(AND(P1378&lt;J1378,N1378&lt;=MAXOC),"Open cut","Shoring")</f>
        <v>Shoring</v>
      </c>
      <c r="R1378" s="27" t="n">
        <f aca="false">IF(Q1378="Shoring",D1378,0)</f>
        <v>0.0296900001056744</v>
      </c>
      <c r="S1378" s="27" t="n">
        <f aca="false">MAX(0,GWL-L1378)</f>
        <v>2.76845901998992</v>
      </c>
      <c r="T1378" s="27" t="n">
        <f aca="false">MAX(0,NG-MAX(L1378,GWL))</f>
        <v>0.8</v>
      </c>
      <c r="U1378" s="27" t="n">
        <f aca="false">E1378+2*WS</f>
        <v>3.84099803997984</v>
      </c>
      <c r="V1378" s="27" t="n">
        <f aca="false">IF(Q1378="Shoring",D1378*M1378*U1378,0)</f>
        <v>0.406944326822836</v>
      </c>
      <c r="W1378" s="27" t="n">
        <f aca="false">IF(Q1378="Open cut",D1378*(U1378*M1378+SLOPE_B*S1378^2+2*SLOPE_B*S1378*T1378+SLOPE_A*T1378^2),0)</f>
        <v>0</v>
      </c>
      <c r="X1378" s="27" t="n">
        <f aca="false">IF(M1378&gt;0,D1378*(E1378+2*SLABOVH)*SLAB,0)</f>
        <v>0.0421746160536111</v>
      </c>
      <c r="Y1378" s="27" t="n">
        <f aca="false">IF(M1378&gt;0,D1378*PI()*E1378^2/4,0)</f>
        <v>0.0790326843033954</v>
      </c>
      <c r="Z1378" s="27" t="n">
        <f aca="false">IF(H1378-E1378&gt;=GWL,99,E1378*(MAX(0,GWL-H1378)*(GAM_S-GAM_W)+MAX(0,NG-MAX(H1378,GWL))*GAM_D)/(GAM_W*PI()*E1378^2/4))</f>
        <v>1.26197531869237</v>
      </c>
      <c r="AA1378" s="27" t="n">
        <f aca="false">IF(I1378-E1378&gt;=GWL,99,E1378*(MAX(0,GWL-I1378)*(GAM_S-GAM_W)+MAX(0,NG-MAX(I1378,GWL))*GAM_D)/(GAM_W*PI()*E1378^2/4))</f>
        <v>1.26204460587988</v>
      </c>
      <c r="AB1378" s="27" t="n">
        <f aca="false">IF(H1378-E1378&gt;=GWL,99,E1378*(MAX(0,GWL-H1378)*(GAM_S-GAM_W)+MAX(0,FL-MAX(H1378,GWL))*GAM_D)/(GAM_W*PI()*E1378^2/4))</f>
        <v>3.41926870281675</v>
      </c>
      <c r="AC1378" s="27" t="n">
        <f aca="false">IF(I1378-E1378&gt;=GWL,99,E1378*(MAX(0,GWL-I1378)*(GAM_S-GAM_W)+MAX(0,FL-MAX(I1378,GWL))*GAM_D)/(GAM_W*PI()*E1378^2/4))</f>
        <v>3.41933799000426</v>
      </c>
    </row>
    <row r="1379" customFormat="false" ht="15" hidden="false" customHeight="false" outlineLevel="0" collapsed="false">
      <c r="A1379" s="25" t="s">
        <v>2030</v>
      </c>
      <c r="B1379" s="25" t="s">
        <v>2031</v>
      </c>
      <c r="C1379" s="25" t="s">
        <v>2032</v>
      </c>
      <c r="D1379" s="26" t="n">
        <v>1.02275000009642</v>
      </c>
      <c r="E1379" s="26" t="n">
        <v>1.86259524937589</v>
      </c>
      <c r="F1379" s="26" t="n">
        <v>-4.31129762468795</v>
      </c>
      <c r="G1379" s="26" t="n">
        <v>-4.31129762468795</v>
      </c>
      <c r="H1379" s="26" t="n">
        <v>-1.94870237531205</v>
      </c>
      <c r="I1379" s="26" t="n">
        <v>-1.94870237531205</v>
      </c>
      <c r="J1379" s="26" t="n">
        <v>11.77</v>
      </c>
      <c r="K1379" s="27" t="n">
        <f aca="false">MIN(F1379,G1379)</f>
        <v>-4.31129762468795</v>
      </c>
      <c r="L1379" s="27" t="n">
        <f aca="false">AVERAGE(F1379,G1379)</f>
        <v>-4.31129762468795</v>
      </c>
      <c r="M1379" s="27" t="n">
        <f aca="false">MAX(0,NG-L1379)</f>
        <v>3.61129762468795</v>
      </c>
      <c r="N1379" s="27" t="n">
        <f aca="false">MAX(0,GWL-K1379)</f>
        <v>2.81129762468795</v>
      </c>
      <c r="O1379" s="27" t="n">
        <f aca="false">MAX(0,NG-MAX(K1379,GWL))</f>
        <v>0.8</v>
      </c>
      <c r="P1379" s="27" t="n">
        <f aca="false">E1379/2+WS+SLOPE_A*O1379+SLOPE_B*N1379</f>
        <v>8.75389287406384</v>
      </c>
      <c r="Q1379" s="28" t="str">
        <f aca="false">IF(AND(P1379&lt;J1379,N1379&lt;=MAXOC),"Open cut","Shoring")</f>
        <v>Shoring</v>
      </c>
      <c r="R1379" s="27" t="n">
        <f aca="false">IF(Q1379="Shoring",D1379,0)</f>
        <v>1.02275000009642</v>
      </c>
      <c r="S1379" s="27" t="n">
        <f aca="false">MAX(0,GWL-L1379)</f>
        <v>2.81129762468795</v>
      </c>
      <c r="T1379" s="27" t="n">
        <f aca="false">MAX(0,NG-MAX(L1379,GWL))</f>
        <v>0.8</v>
      </c>
      <c r="U1379" s="27" t="n">
        <f aca="false">E1379+2*WS</f>
        <v>3.86259524937589</v>
      </c>
      <c r="V1379" s="27" t="n">
        <f aca="false">IF(Q1379="Shoring",D1379*M1379*U1379,0)</f>
        <v>14.2663203694164</v>
      </c>
      <c r="W1379" s="27" t="n">
        <f aca="false">IF(Q1379="Open cut",D1379*(U1379*M1379+SLOPE_B*S1379^2+2*SLOPE_B*S1379*T1379+SLOPE_A*T1379^2),0)</f>
        <v>0</v>
      </c>
      <c r="X1379" s="27" t="n">
        <f aca="false">IF(M1379&gt;0,D1379*(E1379+2*SLABOVH)*SLAB,0)</f>
        <v>1.4638596457876</v>
      </c>
      <c r="Y1379" s="27" t="n">
        <f aca="false">IF(M1379&gt;0,D1379*PI()*E1379^2/4,0)</f>
        <v>2.78673935881671</v>
      </c>
      <c r="Z1379" s="27" t="n">
        <f aca="false">IF(H1379-E1379&gt;=GWL,99,E1379*(MAX(0,GWL-H1379)*(GAM_S-GAM_W)+MAX(0,NG-MAX(H1379,GWL))*GAM_D)/(GAM_W*PI()*E1379^2/4))</f>
        <v>1.25949910051147</v>
      </c>
      <c r="AA1379" s="27" t="n">
        <f aca="false">IF(I1379-E1379&gt;=GWL,99,E1379*(MAX(0,GWL-I1379)*(GAM_S-GAM_W)+MAX(0,NG-MAX(I1379,GWL))*GAM_D)/(GAM_W*PI()*E1379^2/4))</f>
        <v>1.25949910051147</v>
      </c>
      <c r="AB1379" s="27" t="n">
        <f aca="false">IF(H1379-E1379&gt;=GWL,99,E1379*(MAX(0,GWL-H1379)*(GAM_S-GAM_W)+MAX(0,FL-MAX(H1379,GWL))*GAM_D)/(GAM_W*PI()*E1379^2/4))</f>
        <v>3.39177818431415</v>
      </c>
      <c r="AC1379" s="27" t="n">
        <f aca="false">IF(I1379-E1379&gt;=GWL,99,E1379*(MAX(0,GWL-I1379)*(GAM_S-GAM_W)+MAX(0,FL-MAX(I1379,GWL))*GAM_D)/(GAM_W*PI()*E1379^2/4))</f>
        <v>3.39177818431415</v>
      </c>
    </row>
    <row r="1380" customFormat="false" ht="15" hidden="false" customHeight="false" outlineLevel="0" collapsed="false">
      <c r="A1380" s="25" t="s">
        <v>2030</v>
      </c>
      <c r="B1380" s="25" t="s">
        <v>2031</v>
      </c>
      <c r="C1380" s="25" t="s">
        <v>2033</v>
      </c>
      <c r="D1380" s="26" t="n">
        <v>0.817049496477379</v>
      </c>
      <c r="E1380" s="26" t="n">
        <v>1.86259524937589</v>
      </c>
      <c r="F1380" s="26" t="n">
        <v>-4.31129762468795</v>
      </c>
      <c r="G1380" s="26" t="n">
        <v>-4.31129762468795</v>
      </c>
      <c r="H1380" s="26" t="n">
        <v>-1.94870237531205</v>
      </c>
      <c r="I1380" s="26" t="n">
        <v>-1.94870237531205</v>
      </c>
      <c r="J1380" s="26" t="n">
        <v>10.98</v>
      </c>
      <c r="K1380" s="27" t="n">
        <f aca="false">MIN(F1380,G1380)</f>
        <v>-4.31129762468795</v>
      </c>
      <c r="L1380" s="27" t="n">
        <f aca="false">AVERAGE(F1380,G1380)</f>
        <v>-4.31129762468795</v>
      </c>
      <c r="M1380" s="27" t="n">
        <f aca="false">MAX(0,NG-L1380)</f>
        <v>3.61129762468795</v>
      </c>
      <c r="N1380" s="27" t="n">
        <f aca="false">MAX(0,GWL-K1380)</f>
        <v>2.81129762468795</v>
      </c>
      <c r="O1380" s="27" t="n">
        <f aca="false">MAX(0,NG-MAX(K1380,GWL))</f>
        <v>0.8</v>
      </c>
      <c r="P1380" s="27" t="n">
        <f aca="false">E1380/2+WS+SLOPE_A*O1380+SLOPE_B*N1380</f>
        <v>8.75389287406384</v>
      </c>
      <c r="Q1380" s="28" t="str">
        <f aca="false">IF(AND(P1380&lt;J1380,N1380&lt;=MAXOC),"Open cut","Shoring")</f>
        <v>Shoring</v>
      </c>
      <c r="R1380" s="27" t="n">
        <f aca="false">IF(Q1380="Shoring",D1380,0)</f>
        <v>0.817049496477379</v>
      </c>
      <c r="S1380" s="27" t="n">
        <f aca="false">MAX(0,GWL-L1380)</f>
        <v>2.81129762468795</v>
      </c>
      <c r="T1380" s="27" t="n">
        <f aca="false">MAX(0,NG-MAX(L1380,GWL))</f>
        <v>0.8</v>
      </c>
      <c r="U1380" s="27" t="n">
        <f aca="false">E1380+2*WS</f>
        <v>3.86259524937589</v>
      </c>
      <c r="V1380" s="27" t="n">
        <f aca="false">IF(Q1380="Shoring",D1380*M1380*U1380,0)</f>
        <v>11.3970079426231</v>
      </c>
      <c r="W1380" s="27" t="n">
        <f aca="false">IF(Q1380="Open cut",D1380*(U1380*M1380+SLOPE_B*S1380^2+2*SLOPE_B*S1380*T1380+SLOPE_A*T1380^2),0)</f>
        <v>0</v>
      </c>
      <c r="X1380" s="27" t="n">
        <f aca="false">IF(M1380&gt;0,D1380*(E1380+2*SLABOVH)*SLAB,0)</f>
        <v>1.16944100356056</v>
      </c>
      <c r="Y1380" s="27" t="n">
        <f aca="false">IF(M1380&gt;0,D1380*PI()*E1380^2/4,0)</f>
        <v>2.22625665091199</v>
      </c>
      <c r="Z1380" s="27" t="n">
        <f aca="false">IF(H1380-E1380&gt;=GWL,99,E1380*(MAX(0,GWL-H1380)*(GAM_S-GAM_W)+MAX(0,NG-MAX(H1380,GWL))*GAM_D)/(GAM_W*PI()*E1380^2/4))</f>
        <v>1.25949910051147</v>
      </c>
      <c r="AA1380" s="27" t="n">
        <f aca="false">IF(I1380-E1380&gt;=GWL,99,E1380*(MAX(0,GWL-I1380)*(GAM_S-GAM_W)+MAX(0,NG-MAX(I1380,GWL))*GAM_D)/(GAM_W*PI()*E1380^2/4))</f>
        <v>1.25949910051147</v>
      </c>
      <c r="AB1380" s="27" t="n">
        <f aca="false">IF(H1380-E1380&gt;=GWL,99,E1380*(MAX(0,GWL-H1380)*(GAM_S-GAM_W)+MAX(0,FL-MAX(H1380,GWL))*GAM_D)/(GAM_W*PI()*E1380^2/4))</f>
        <v>3.39177818431415</v>
      </c>
      <c r="AC1380" s="27" t="n">
        <f aca="false">IF(I1380-E1380&gt;=GWL,99,E1380*(MAX(0,GWL-I1380)*(GAM_S-GAM_W)+MAX(0,FL-MAX(I1380,GWL))*GAM_D)/(GAM_W*PI()*E1380^2/4))</f>
        <v>3.39177818431415</v>
      </c>
    </row>
    <row r="1381" customFormat="false" ht="15" hidden="false" customHeight="false" outlineLevel="0" collapsed="false">
      <c r="A1381" s="25" t="s">
        <v>2030</v>
      </c>
      <c r="B1381" s="25" t="s">
        <v>2031</v>
      </c>
      <c r="C1381" s="25" t="s">
        <v>2034</v>
      </c>
      <c r="D1381" s="26" t="n">
        <v>0.878658282491475</v>
      </c>
      <c r="E1381" s="26" t="n">
        <v>1.86260034870584</v>
      </c>
      <c r="F1381" s="26" t="n">
        <v>-4.31130017435292</v>
      </c>
      <c r="G1381" s="26" t="n">
        <v>-4.31130017435292</v>
      </c>
      <c r="H1381" s="26" t="n">
        <v>-1.94869982564708</v>
      </c>
      <c r="I1381" s="26" t="n">
        <v>-1.94869982564708</v>
      </c>
      <c r="J1381" s="26" t="n">
        <v>10.35</v>
      </c>
      <c r="K1381" s="27" t="n">
        <f aca="false">MIN(F1381,G1381)</f>
        <v>-4.31130017435292</v>
      </c>
      <c r="L1381" s="27" t="n">
        <f aca="false">AVERAGE(F1381,G1381)</f>
        <v>-4.31130017435292</v>
      </c>
      <c r="M1381" s="27" t="n">
        <f aca="false">MAX(0,NG-L1381)</f>
        <v>3.61130017435292</v>
      </c>
      <c r="N1381" s="27" t="n">
        <f aca="false">MAX(0,GWL-K1381)</f>
        <v>2.81130017435292</v>
      </c>
      <c r="O1381" s="27" t="n">
        <f aca="false">MAX(0,NG-MAX(K1381,GWL))</f>
        <v>0.8</v>
      </c>
      <c r="P1381" s="27" t="n">
        <f aca="false">E1381/2+WS+SLOPE_A*O1381+SLOPE_B*N1381</f>
        <v>8.75390052305876</v>
      </c>
      <c r="Q1381" s="28" t="str">
        <f aca="false">IF(AND(P1381&lt;J1381,N1381&lt;=MAXOC),"Open cut","Shoring")</f>
        <v>Shoring</v>
      </c>
      <c r="R1381" s="27" t="n">
        <f aca="false">IF(Q1381="Shoring",D1381,0)</f>
        <v>0.878658282491475</v>
      </c>
      <c r="S1381" s="27" t="n">
        <f aca="false">MAX(0,GWL-L1381)</f>
        <v>2.81130017435292</v>
      </c>
      <c r="T1381" s="27" t="n">
        <f aca="false">MAX(0,NG-MAX(L1381,GWL))</f>
        <v>0.8</v>
      </c>
      <c r="U1381" s="27" t="n">
        <f aca="false">E1381+2*WS</f>
        <v>3.86260034870584</v>
      </c>
      <c r="V1381" s="27" t="n">
        <f aca="false">IF(Q1381="Shoring",D1381*M1381*U1381,0)</f>
        <v>12.2564125651871</v>
      </c>
      <c r="W1381" s="27" t="n">
        <f aca="false">IF(Q1381="Open cut",D1381*(U1381*M1381+SLOPE_B*S1381^2+2*SLOPE_B*S1381*T1381+SLOPE_A*T1381^2),0)</f>
        <v>0</v>
      </c>
      <c r="X1381" s="27" t="n">
        <f aca="false">IF(M1381&gt;0,D1381*(E1381+2*SLABOVH)*SLAB,0)</f>
        <v>1.25762375292668</v>
      </c>
      <c r="Y1381" s="27" t="n">
        <f aca="false">IF(M1381&gt;0,D1381*PI()*E1381^2/4,0)</f>
        <v>2.39413837775211</v>
      </c>
      <c r="Z1381" s="27" t="n">
        <f aca="false">IF(H1381-E1381&gt;=GWL,99,E1381*(MAX(0,GWL-H1381)*(GAM_S-GAM_W)+MAX(0,NG-MAX(H1381,GWL))*GAM_D)/(GAM_W*PI()*E1381^2/4))</f>
        <v>1.25949419723533</v>
      </c>
      <c r="AA1381" s="27" t="n">
        <f aca="false">IF(I1381-E1381&gt;=GWL,99,E1381*(MAX(0,GWL-I1381)*(GAM_S-GAM_W)+MAX(0,NG-MAX(I1381,GWL))*GAM_D)/(GAM_W*PI()*E1381^2/4))</f>
        <v>1.25949419723533</v>
      </c>
      <c r="AB1381" s="27" t="n">
        <f aca="false">IF(H1381-E1381&gt;=GWL,99,E1381*(MAX(0,GWL-H1381)*(GAM_S-GAM_W)+MAX(0,FL-MAX(H1381,GWL))*GAM_D)/(GAM_W*PI()*E1381^2/4))</f>
        <v>3.39176744339571</v>
      </c>
      <c r="AC1381" s="27" t="n">
        <f aca="false">IF(I1381-E1381&gt;=GWL,99,E1381*(MAX(0,GWL-I1381)*(GAM_S-GAM_W)+MAX(0,FL-MAX(I1381,GWL))*GAM_D)/(GAM_W*PI()*E1381^2/4))</f>
        <v>3.39176744339571</v>
      </c>
    </row>
    <row r="1382" customFormat="false" ht="15" hidden="false" customHeight="false" outlineLevel="0" collapsed="false">
      <c r="A1382" s="25" t="s">
        <v>2030</v>
      </c>
      <c r="B1382" s="25" t="s">
        <v>2035</v>
      </c>
      <c r="C1382" s="25" t="s">
        <v>2036</v>
      </c>
      <c r="D1382" s="26" t="n">
        <v>7.28154222094387</v>
      </c>
      <c r="E1382" s="26" t="n">
        <v>1.86260034870584</v>
      </c>
      <c r="F1382" s="26" t="n">
        <v>-4.31130017435292</v>
      </c>
      <c r="G1382" s="26" t="n">
        <v>-4.31130017435292</v>
      </c>
      <c r="H1382" s="26" t="n">
        <v>-1.94869982564708</v>
      </c>
      <c r="I1382" s="26" t="n">
        <v>-1.94869982564708</v>
      </c>
      <c r="J1382" s="26" t="n">
        <v>7.46</v>
      </c>
      <c r="K1382" s="27" t="n">
        <f aca="false">MIN(F1382,G1382)</f>
        <v>-4.31130017435292</v>
      </c>
      <c r="L1382" s="27" t="n">
        <f aca="false">AVERAGE(F1382,G1382)</f>
        <v>-4.31130017435292</v>
      </c>
      <c r="M1382" s="27" t="n">
        <f aca="false">MAX(0,NG-L1382)</f>
        <v>3.61130017435292</v>
      </c>
      <c r="N1382" s="27" t="n">
        <f aca="false">MAX(0,GWL-K1382)</f>
        <v>2.81130017435292</v>
      </c>
      <c r="O1382" s="27" t="n">
        <f aca="false">MAX(0,NG-MAX(K1382,GWL))</f>
        <v>0.8</v>
      </c>
      <c r="P1382" s="27" t="n">
        <f aca="false">E1382/2+WS+SLOPE_A*O1382+SLOPE_B*N1382</f>
        <v>8.75390052305876</v>
      </c>
      <c r="Q1382" s="28" t="str">
        <f aca="false">IF(AND(P1382&lt;J1382,N1382&lt;=MAXOC),"Open cut","Shoring")</f>
        <v>Shoring</v>
      </c>
      <c r="R1382" s="27" t="n">
        <f aca="false">IF(Q1382="Shoring",D1382,0)</f>
        <v>7.28154222094387</v>
      </c>
      <c r="S1382" s="27" t="n">
        <f aca="false">MAX(0,GWL-L1382)</f>
        <v>2.81130017435292</v>
      </c>
      <c r="T1382" s="27" t="n">
        <f aca="false">MAX(0,NG-MAX(L1382,GWL))</f>
        <v>0.8</v>
      </c>
      <c r="U1382" s="27" t="n">
        <f aca="false">E1382+2*WS</f>
        <v>3.86260034870584</v>
      </c>
      <c r="V1382" s="27" t="n">
        <f aca="false">IF(Q1382="Shoring",D1382*M1382*U1382,0)</f>
        <v>101.570300251034</v>
      </c>
      <c r="W1382" s="27" t="n">
        <f aca="false">IF(Q1382="Open cut",D1382*(U1382*M1382+SLOPE_B*S1382^2+2*SLOPE_B*S1382*T1382+SLOPE_A*T1382^2),0)</f>
        <v>0</v>
      </c>
      <c r="X1382" s="27" t="n">
        <f aca="false">IF(M1382&gt;0,D1382*(E1382+2*SLABOVH)*SLAB,0)</f>
        <v>10.4220726503951</v>
      </c>
      <c r="Y1382" s="27" t="n">
        <f aca="false">IF(M1382&gt;0,D1382*PI()*E1382^2/4,0)</f>
        <v>19.840500030287</v>
      </c>
      <c r="Z1382" s="27" t="n">
        <f aca="false">IF(H1382-E1382&gt;=GWL,99,E1382*(MAX(0,GWL-H1382)*(GAM_S-GAM_W)+MAX(0,NG-MAX(H1382,GWL))*GAM_D)/(GAM_W*PI()*E1382^2/4))</f>
        <v>1.25949419723533</v>
      </c>
      <c r="AA1382" s="27" t="n">
        <f aca="false">IF(I1382-E1382&gt;=GWL,99,E1382*(MAX(0,GWL-I1382)*(GAM_S-GAM_W)+MAX(0,NG-MAX(I1382,GWL))*GAM_D)/(GAM_W*PI()*E1382^2/4))</f>
        <v>1.25949419723533</v>
      </c>
      <c r="AB1382" s="27" t="n">
        <f aca="false">IF(H1382-E1382&gt;=GWL,99,E1382*(MAX(0,GWL-H1382)*(GAM_S-GAM_W)+MAX(0,FL-MAX(H1382,GWL))*GAM_D)/(GAM_W*PI()*E1382^2/4))</f>
        <v>3.39176744339571</v>
      </c>
      <c r="AC1382" s="27" t="n">
        <f aca="false">IF(I1382-E1382&gt;=GWL,99,E1382*(MAX(0,GWL-I1382)*(GAM_S-GAM_W)+MAX(0,FL-MAX(I1382,GWL))*GAM_D)/(GAM_W*PI()*E1382^2/4))</f>
        <v>3.39176744339571</v>
      </c>
    </row>
    <row r="1383" customFormat="false" ht="15" hidden="false" customHeight="false" outlineLevel="0" collapsed="false">
      <c r="A1383" s="25" t="s">
        <v>2030</v>
      </c>
      <c r="B1383" s="25" t="s">
        <v>2035</v>
      </c>
      <c r="C1383" s="25" t="s">
        <v>2037</v>
      </c>
      <c r="D1383" s="26" t="n">
        <v>9.99999999994129</v>
      </c>
      <c r="E1383" s="26" t="n">
        <v>1.86260034870584</v>
      </c>
      <c r="F1383" s="26" t="n">
        <v>-4.31130017435292</v>
      </c>
      <c r="G1383" s="26" t="n">
        <v>-4.31130017435292</v>
      </c>
      <c r="H1383" s="26" t="n">
        <v>-1.94869982564708</v>
      </c>
      <c r="I1383" s="26" t="n">
        <v>-1.94869982564708</v>
      </c>
      <c r="J1383" s="26" t="n">
        <v>7.46</v>
      </c>
      <c r="K1383" s="27" t="n">
        <f aca="false">MIN(F1383,G1383)</f>
        <v>-4.31130017435292</v>
      </c>
      <c r="L1383" s="27" t="n">
        <f aca="false">AVERAGE(F1383,G1383)</f>
        <v>-4.31130017435292</v>
      </c>
      <c r="M1383" s="27" t="n">
        <f aca="false">MAX(0,NG-L1383)</f>
        <v>3.61130017435292</v>
      </c>
      <c r="N1383" s="27" t="n">
        <f aca="false">MAX(0,GWL-K1383)</f>
        <v>2.81130017435292</v>
      </c>
      <c r="O1383" s="27" t="n">
        <f aca="false">MAX(0,NG-MAX(K1383,GWL))</f>
        <v>0.8</v>
      </c>
      <c r="P1383" s="27" t="n">
        <f aca="false">E1383/2+WS+SLOPE_A*O1383+SLOPE_B*N1383</f>
        <v>8.75390052305876</v>
      </c>
      <c r="Q1383" s="28" t="str">
        <f aca="false">IF(AND(P1383&lt;J1383,N1383&lt;=MAXOC),"Open cut","Shoring")</f>
        <v>Shoring</v>
      </c>
      <c r="R1383" s="27" t="n">
        <f aca="false">IF(Q1383="Shoring",D1383,0)</f>
        <v>9.99999999994129</v>
      </c>
      <c r="S1383" s="27" t="n">
        <f aca="false">MAX(0,GWL-L1383)</f>
        <v>2.81130017435292</v>
      </c>
      <c r="T1383" s="27" t="n">
        <f aca="false">MAX(0,NG-MAX(L1383,GWL))</f>
        <v>0.8</v>
      </c>
      <c r="U1383" s="27" t="n">
        <f aca="false">E1383+2*WS</f>
        <v>3.86260034870584</v>
      </c>
      <c r="V1383" s="27" t="n">
        <f aca="false">IF(Q1383="Shoring",D1383*M1383*U1383,0)</f>
        <v>139.490093126551</v>
      </c>
      <c r="W1383" s="27" t="n">
        <f aca="false">IF(Q1383="Open cut",D1383*(U1383*M1383+SLOPE_B*S1383^2+2*SLOPE_B*S1383*T1383+SLOPE_A*T1383^2),0)</f>
        <v>0</v>
      </c>
      <c r="X1383" s="27" t="n">
        <f aca="false">IF(M1383&gt;0,D1383*(E1383+2*SLABOVH)*SLAB,0)</f>
        <v>14.3130017434452</v>
      </c>
      <c r="Y1383" s="27" t="n">
        <f aca="false">IF(M1383&gt;0,D1383*PI()*E1383^2/4,0)</f>
        <v>27.247661866333</v>
      </c>
      <c r="Z1383" s="27" t="n">
        <f aca="false">IF(H1383-E1383&gt;=GWL,99,E1383*(MAX(0,GWL-H1383)*(GAM_S-GAM_W)+MAX(0,NG-MAX(H1383,GWL))*GAM_D)/(GAM_W*PI()*E1383^2/4))</f>
        <v>1.25949419723533</v>
      </c>
      <c r="AA1383" s="27" t="n">
        <f aca="false">IF(I1383-E1383&gt;=GWL,99,E1383*(MAX(0,GWL-I1383)*(GAM_S-GAM_W)+MAX(0,NG-MAX(I1383,GWL))*GAM_D)/(GAM_W*PI()*E1383^2/4))</f>
        <v>1.25949419723533</v>
      </c>
      <c r="AB1383" s="27" t="n">
        <f aca="false">IF(H1383-E1383&gt;=GWL,99,E1383*(MAX(0,GWL-H1383)*(GAM_S-GAM_W)+MAX(0,FL-MAX(H1383,GWL))*GAM_D)/(GAM_W*PI()*E1383^2/4))</f>
        <v>3.39176744339571</v>
      </c>
      <c r="AC1383" s="27" t="n">
        <f aca="false">IF(I1383-E1383&gt;=GWL,99,E1383*(MAX(0,GWL-I1383)*(GAM_S-GAM_W)+MAX(0,FL-MAX(I1383,GWL))*GAM_D)/(GAM_W*PI()*E1383^2/4))</f>
        <v>3.39176744339571</v>
      </c>
    </row>
    <row r="1384" customFormat="false" ht="15" hidden="false" customHeight="false" outlineLevel="0" collapsed="false">
      <c r="A1384" s="25" t="s">
        <v>2030</v>
      </c>
      <c r="B1384" s="25" t="s">
        <v>2035</v>
      </c>
      <c r="C1384" s="25" t="s">
        <v>2038</v>
      </c>
      <c r="D1384" s="26" t="n">
        <v>10.0000000001116</v>
      </c>
      <c r="E1384" s="26" t="n">
        <v>1.86260034870584</v>
      </c>
      <c r="F1384" s="26" t="n">
        <v>-4.31130017435292</v>
      </c>
      <c r="G1384" s="26" t="n">
        <v>-4.31130017435292</v>
      </c>
      <c r="H1384" s="26" t="n">
        <v>-1.94869982564708</v>
      </c>
      <c r="I1384" s="26" t="n">
        <v>-1.94869982564708</v>
      </c>
      <c r="J1384" s="26" t="n">
        <v>11.45</v>
      </c>
      <c r="K1384" s="27" t="n">
        <f aca="false">MIN(F1384,G1384)</f>
        <v>-4.31130017435292</v>
      </c>
      <c r="L1384" s="27" t="n">
        <f aca="false">AVERAGE(F1384,G1384)</f>
        <v>-4.31130017435292</v>
      </c>
      <c r="M1384" s="27" t="n">
        <f aca="false">MAX(0,NG-L1384)</f>
        <v>3.61130017435292</v>
      </c>
      <c r="N1384" s="27" t="n">
        <f aca="false">MAX(0,GWL-K1384)</f>
        <v>2.81130017435292</v>
      </c>
      <c r="O1384" s="27" t="n">
        <f aca="false">MAX(0,NG-MAX(K1384,GWL))</f>
        <v>0.8</v>
      </c>
      <c r="P1384" s="27" t="n">
        <f aca="false">E1384/2+WS+SLOPE_A*O1384+SLOPE_B*N1384</f>
        <v>8.75390052305876</v>
      </c>
      <c r="Q1384" s="28" t="str">
        <f aca="false">IF(AND(P1384&lt;J1384,N1384&lt;=MAXOC),"Open cut","Shoring")</f>
        <v>Shoring</v>
      </c>
      <c r="R1384" s="27" t="n">
        <f aca="false">IF(Q1384="Shoring",D1384,0)</f>
        <v>10.0000000001116</v>
      </c>
      <c r="S1384" s="27" t="n">
        <f aca="false">MAX(0,GWL-L1384)</f>
        <v>2.81130017435292</v>
      </c>
      <c r="T1384" s="27" t="n">
        <f aca="false">MAX(0,NG-MAX(L1384,GWL))</f>
        <v>0.8</v>
      </c>
      <c r="U1384" s="27" t="n">
        <f aca="false">E1384+2*WS</f>
        <v>3.86260034870584</v>
      </c>
      <c r="V1384" s="27" t="n">
        <f aca="false">IF(Q1384="Shoring",D1384*M1384*U1384,0)</f>
        <v>139.490093128928</v>
      </c>
      <c r="W1384" s="27" t="n">
        <f aca="false">IF(Q1384="Open cut",D1384*(U1384*M1384+SLOPE_B*S1384^2+2*SLOPE_B*S1384*T1384+SLOPE_A*T1384^2),0)</f>
        <v>0</v>
      </c>
      <c r="X1384" s="27" t="n">
        <f aca="false">IF(M1384&gt;0,D1384*(E1384+2*SLABOVH)*SLAB,0)</f>
        <v>14.313001743689</v>
      </c>
      <c r="Y1384" s="27" t="n">
        <f aca="false">IF(M1384&gt;0,D1384*PI()*E1384^2/4,0)</f>
        <v>27.2476618667971</v>
      </c>
      <c r="Z1384" s="27" t="n">
        <f aca="false">IF(H1384-E1384&gt;=GWL,99,E1384*(MAX(0,GWL-H1384)*(GAM_S-GAM_W)+MAX(0,NG-MAX(H1384,GWL))*GAM_D)/(GAM_W*PI()*E1384^2/4))</f>
        <v>1.25949419723533</v>
      </c>
      <c r="AA1384" s="27" t="n">
        <f aca="false">IF(I1384-E1384&gt;=GWL,99,E1384*(MAX(0,GWL-I1384)*(GAM_S-GAM_W)+MAX(0,NG-MAX(I1384,GWL))*GAM_D)/(GAM_W*PI()*E1384^2/4))</f>
        <v>1.25949419723533</v>
      </c>
      <c r="AB1384" s="27" t="n">
        <f aca="false">IF(H1384-E1384&gt;=GWL,99,E1384*(MAX(0,GWL-H1384)*(GAM_S-GAM_W)+MAX(0,FL-MAX(H1384,GWL))*GAM_D)/(GAM_W*PI()*E1384^2/4))</f>
        <v>3.39176744339571</v>
      </c>
      <c r="AC1384" s="27" t="n">
        <f aca="false">IF(I1384-E1384&gt;=GWL,99,E1384*(MAX(0,GWL-I1384)*(GAM_S-GAM_W)+MAX(0,FL-MAX(I1384,GWL))*GAM_D)/(GAM_W*PI()*E1384^2/4))</f>
        <v>3.39176744339571</v>
      </c>
    </row>
    <row r="1385" customFormat="false" ht="15" hidden="false" customHeight="false" outlineLevel="0" collapsed="false">
      <c r="A1385" s="25" t="s">
        <v>2030</v>
      </c>
      <c r="B1385" s="25" t="s">
        <v>2035</v>
      </c>
      <c r="C1385" s="25" t="s">
        <v>2039</v>
      </c>
      <c r="D1385" s="26" t="n">
        <v>2.18669777906823</v>
      </c>
      <c r="E1385" s="26" t="n">
        <v>1.86260034870584</v>
      </c>
      <c r="F1385" s="26" t="n">
        <v>-4.31130017435292</v>
      </c>
      <c r="G1385" s="26" t="n">
        <v>-4.31130017435292</v>
      </c>
      <c r="H1385" s="26" t="n">
        <v>-1.94869982564708</v>
      </c>
      <c r="I1385" s="26" t="n">
        <v>-1.94869982564708</v>
      </c>
      <c r="J1385" s="26" t="n">
        <v>16.33</v>
      </c>
      <c r="K1385" s="27" t="n">
        <f aca="false">MIN(F1385,G1385)</f>
        <v>-4.31130017435292</v>
      </c>
      <c r="L1385" s="27" t="n">
        <f aca="false">AVERAGE(F1385,G1385)</f>
        <v>-4.31130017435292</v>
      </c>
      <c r="M1385" s="27" t="n">
        <f aca="false">MAX(0,NG-L1385)</f>
        <v>3.61130017435292</v>
      </c>
      <c r="N1385" s="27" t="n">
        <f aca="false">MAX(0,GWL-K1385)</f>
        <v>2.81130017435292</v>
      </c>
      <c r="O1385" s="27" t="n">
        <f aca="false">MAX(0,NG-MAX(K1385,GWL))</f>
        <v>0.8</v>
      </c>
      <c r="P1385" s="27" t="n">
        <f aca="false">E1385/2+WS+SLOPE_A*O1385+SLOPE_B*N1385</f>
        <v>8.75390052305876</v>
      </c>
      <c r="Q1385" s="28" t="str">
        <f aca="false">IF(AND(P1385&lt;J1385,N1385&lt;=MAXOC),"Open cut","Shoring")</f>
        <v>Shoring</v>
      </c>
      <c r="R1385" s="27" t="n">
        <f aca="false">IF(Q1385="Shoring",D1385,0)</f>
        <v>2.18669777906823</v>
      </c>
      <c r="S1385" s="27" t="n">
        <f aca="false">MAX(0,GWL-L1385)</f>
        <v>2.81130017435292</v>
      </c>
      <c r="T1385" s="27" t="n">
        <f aca="false">MAX(0,NG-MAX(L1385,GWL))</f>
        <v>0.8</v>
      </c>
      <c r="U1385" s="27" t="n">
        <f aca="false">E1385+2*WS</f>
        <v>3.86260034870584</v>
      </c>
      <c r="V1385" s="27" t="n">
        <f aca="false">IF(Q1385="Shoring",D1385*M1385*U1385,0)</f>
        <v>30.5022676843641</v>
      </c>
      <c r="W1385" s="27" t="n">
        <f aca="false">IF(Q1385="Open cut",D1385*(U1385*M1385+SLOPE_B*S1385^2+2*SLOPE_B*S1385*T1385+SLOPE_A*T1385^2),0)</f>
        <v>0</v>
      </c>
      <c r="X1385" s="27" t="n">
        <f aca="false">IF(M1385&gt;0,D1385*(E1385+2*SLABOVH)*SLAB,0)</f>
        <v>3.12982091243749</v>
      </c>
      <c r="Y1385" s="27" t="n">
        <f aca="false">IF(M1385&gt;0,D1385*PI()*E1385^2/4,0)</f>
        <v>5.9582401688262</v>
      </c>
      <c r="Z1385" s="27" t="n">
        <f aca="false">IF(H1385-E1385&gt;=GWL,99,E1385*(MAX(0,GWL-H1385)*(GAM_S-GAM_W)+MAX(0,NG-MAX(H1385,GWL))*GAM_D)/(GAM_W*PI()*E1385^2/4))</f>
        <v>1.25949419723533</v>
      </c>
      <c r="AA1385" s="27" t="n">
        <f aca="false">IF(I1385-E1385&gt;=GWL,99,E1385*(MAX(0,GWL-I1385)*(GAM_S-GAM_W)+MAX(0,NG-MAX(I1385,GWL))*GAM_D)/(GAM_W*PI()*E1385^2/4))</f>
        <v>1.25949419723533</v>
      </c>
      <c r="AB1385" s="27" t="n">
        <f aca="false">IF(H1385-E1385&gt;=GWL,99,E1385*(MAX(0,GWL-H1385)*(GAM_S-GAM_W)+MAX(0,FL-MAX(H1385,GWL))*GAM_D)/(GAM_W*PI()*E1385^2/4))</f>
        <v>3.39176744339571</v>
      </c>
      <c r="AC1385" s="27" t="n">
        <f aca="false">IF(I1385-E1385&gt;=GWL,99,E1385*(MAX(0,GWL-I1385)*(GAM_S-GAM_W)+MAX(0,FL-MAX(I1385,GWL))*GAM_D)/(GAM_W*PI()*E1385^2/4))</f>
        <v>3.39176744339571</v>
      </c>
    </row>
    <row r="1386" customFormat="false" ht="15" hidden="false" customHeight="false" outlineLevel="0" collapsed="false">
      <c r="A1386" s="25" t="s">
        <v>2030</v>
      </c>
      <c r="B1386" s="25" t="s">
        <v>2035</v>
      </c>
      <c r="C1386" s="25" t="s">
        <v>2040</v>
      </c>
      <c r="D1386" s="26" t="n">
        <v>0.13660499988396</v>
      </c>
      <c r="E1386" s="26" t="n">
        <v>1.84099908993643</v>
      </c>
      <c r="F1386" s="26" t="n">
        <v>-4.30049954496821</v>
      </c>
      <c r="G1386" s="26" t="n">
        <v>-4.30049954496821</v>
      </c>
      <c r="H1386" s="26" t="n">
        <v>-1.95950045503179</v>
      </c>
      <c r="I1386" s="26" t="n">
        <v>-1.95950045503179</v>
      </c>
      <c r="J1386" s="26" t="n">
        <v>17.4</v>
      </c>
      <c r="K1386" s="27" t="n">
        <f aca="false">MIN(F1386,G1386)</f>
        <v>-4.30049954496821</v>
      </c>
      <c r="L1386" s="27" t="n">
        <f aca="false">AVERAGE(F1386,G1386)</f>
        <v>-4.30049954496821</v>
      </c>
      <c r="M1386" s="27" t="n">
        <f aca="false">MAX(0,NG-L1386)</f>
        <v>3.60049954496821</v>
      </c>
      <c r="N1386" s="27" t="n">
        <f aca="false">MAX(0,GWL-K1386)</f>
        <v>2.80049954496821</v>
      </c>
      <c r="O1386" s="27" t="n">
        <f aca="false">MAX(0,NG-MAX(K1386,GWL))</f>
        <v>0.8</v>
      </c>
      <c r="P1386" s="27" t="n">
        <f aca="false">E1386/2+WS+SLOPE_A*O1386+SLOPE_B*N1386</f>
        <v>8.72149863490464</v>
      </c>
      <c r="Q1386" s="28" t="str">
        <f aca="false">IF(AND(P1386&lt;J1386,N1386&lt;=MAXOC),"Open cut","Shoring")</f>
        <v>Shoring</v>
      </c>
      <c r="R1386" s="27" t="n">
        <f aca="false">IF(Q1386="Shoring",D1386,0)</f>
        <v>0.13660499988396</v>
      </c>
      <c r="S1386" s="27" t="n">
        <f aca="false">MAX(0,GWL-L1386)</f>
        <v>2.80049954496821</v>
      </c>
      <c r="T1386" s="27" t="n">
        <f aca="false">MAX(0,NG-MAX(L1386,GWL))</f>
        <v>0.8</v>
      </c>
      <c r="U1386" s="27" t="n">
        <f aca="false">E1386+2*WS</f>
        <v>3.84099908993643</v>
      </c>
      <c r="V1386" s="27" t="n">
        <f aca="false">IF(Q1386="Shoring",D1386*M1386*U1386,0)</f>
        <v>1.88918095993128</v>
      </c>
      <c r="W1386" s="27" t="n">
        <f aca="false">IF(Q1386="Open cut",D1386*(U1386*M1386+SLOPE_B*S1386^2+2*SLOPE_B*S1386*T1386+SLOPE_A*T1386^2),0)</f>
        <v>0</v>
      </c>
      <c r="X1386" s="27" t="n">
        <f aca="false">IF(M1386&gt;0,D1386*(E1386+2*SLABOVH)*SLAB,0)</f>
        <v>0.194047340175548</v>
      </c>
      <c r="Y1386" s="27" t="n">
        <f aca="false">IF(M1386&gt;0,D1386*PI()*E1386^2/4,0)</f>
        <v>0.363633280778051</v>
      </c>
      <c r="Z1386" s="27" t="n">
        <f aca="false">IF(H1386-E1386&gt;=GWL,99,E1386*(MAX(0,GWL-H1386)*(GAM_S-GAM_W)+MAX(0,NG-MAX(H1386,GWL))*GAM_D)/(GAM_W*PI()*E1386^2/4))</f>
        <v>1.28050860793467</v>
      </c>
      <c r="AA1386" s="27" t="n">
        <f aca="false">IF(I1386-E1386&gt;=GWL,99,E1386*(MAX(0,GWL-I1386)*(GAM_S-GAM_W)+MAX(0,NG-MAX(I1386,GWL))*GAM_D)/(GAM_W*PI()*E1386^2/4))</f>
        <v>1.28050860793467</v>
      </c>
      <c r="AB1386" s="27" t="n">
        <f aca="false">IF(H1386-E1386&gt;=GWL,99,E1386*(MAX(0,GWL-H1386)*(GAM_S-GAM_W)+MAX(0,FL-MAX(H1386,GWL))*GAM_D)/(GAM_W*PI()*E1386^2/4))</f>
        <v>3.43780076171384</v>
      </c>
      <c r="AC1386" s="27" t="n">
        <f aca="false">IF(I1386-E1386&gt;=GWL,99,E1386*(MAX(0,GWL-I1386)*(GAM_S-GAM_W)+MAX(0,FL-MAX(I1386,GWL))*GAM_D)/(GAM_W*PI()*E1386^2/4))</f>
        <v>3.43780076171384</v>
      </c>
    </row>
    <row r="1387" customFormat="false" ht="15" hidden="false" customHeight="false" outlineLevel="0" collapsed="false">
      <c r="A1387" s="25" t="s">
        <v>2030</v>
      </c>
      <c r="B1387" s="25" t="s">
        <v>2035</v>
      </c>
      <c r="C1387" s="25" t="s">
        <v>2041</v>
      </c>
      <c r="D1387" s="26" t="n">
        <v>0.696248639330731</v>
      </c>
      <c r="E1387" s="26" t="n">
        <v>1.82631060185143</v>
      </c>
      <c r="F1387" s="26" t="n">
        <v>-4.29315530092571</v>
      </c>
      <c r="G1387" s="26" t="n">
        <v>-4.29315530092571</v>
      </c>
      <c r="H1387" s="26" t="n">
        <v>-1.96684469907429</v>
      </c>
      <c r="I1387" s="26" t="n">
        <v>-1.96684469907429</v>
      </c>
      <c r="J1387" s="26" t="n">
        <v>17.48</v>
      </c>
      <c r="K1387" s="27" t="n">
        <f aca="false">MIN(F1387,G1387)</f>
        <v>-4.29315530092571</v>
      </c>
      <c r="L1387" s="27" t="n">
        <f aca="false">AVERAGE(F1387,G1387)</f>
        <v>-4.29315530092571</v>
      </c>
      <c r="M1387" s="27" t="n">
        <f aca="false">MAX(0,NG-L1387)</f>
        <v>3.59315530092571</v>
      </c>
      <c r="N1387" s="27" t="n">
        <f aca="false">MAX(0,GWL-K1387)</f>
        <v>2.79315530092571</v>
      </c>
      <c r="O1387" s="27" t="n">
        <f aca="false">MAX(0,NG-MAX(K1387,GWL))</f>
        <v>0.8</v>
      </c>
      <c r="P1387" s="27" t="n">
        <f aca="false">E1387/2+WS+SLOPE_A*O1387+SLOPE_B*N1387</f>
        <v>8.69946590277714</v>
      </c>
      <c r="Q1387" s="28" t="str">
        <f aca="false">IF(AND(P1387&lt;J1387,N1387&lt;=MAXOC),"Open cut","Shoring")</f>
        <v>Shoring</v>
      </c>
      <c r="R1387" s="27" t="n">
        <f aca="false">IF(Q1387="Shoring",D1387,0)</f>
        <v>0.696248639330731</v>
      </c>
      <c r="S1387" s="27" t="n">
        <f aca="false">MAX(0,GWL-L1387)</f>
        <v>2.79315530092571</v>
      </c>
      <c r="T1387" s="27" t="n">
        <f aca="false">MAX(0,NG-MAX(L1387,GWL))</f>
        <v>0.8</v>
      </c>
      <c r="U1387" s="27" t="n">
        <f aca="false">E1387+2*WS</f>
        <v>3.82631060185143</v>
      </c>
      <c r="V1387" s="27" t="n">
        <f aca="false">IF(Q1387="Shoring",D1387*M1387*U1387,0)</f>
        <v>9.57239406738904</v>
      </c>
      <c r="W1387" s="27" t="n">
        <f aca="false">IF(Q1387="Open cut",D1387*(U1387*M1387+SLOPE_B*S1387^2+2*SLOPE_B*S1387*T1387+SLOPE_A*T1387^2),0)</f>
        <v>0</v>
      </c>
      <c r="X1387" s="27" t="n">
        <f aca="false">IF(M1387&gt;0,D1387*(E1387+2*SLABOVH)*SLAB,0)</f>
        <v>0.983907455432538</v>
      </c>
      <c r="Y1387" s="27" t="n">
        <f aca="false">IF(M1387&gt;0,D1387*PI()*E1387^2/4,0)</f>
        <v>1.82391049057694</v>
      </c>
      <c r="Z1387" s="27" t="n">
        <f aca="false">IF(H1387-E1387&gt;=GWL,99,E1387*(MAX(0,GWL-H1387)*(GAM_S-GAM_W)+MAX(0,NG-MAX(H1387,GWL))*GAM_D)/(GAM_W*PI()*E1387^2/4))</f>
        <v>1.29508198800039</v>
      </c>
      <c r="AA1387" s="27" t="n">
        <f aca="false">IF(I1387-E1387&gt;=GWL,99,E1387*(MAX(0,GWL-I1387)*(GAM_S-GAM_W)+MAX(0,NG-MAX(I1387,GWL))*GAM_D)/(GAM_W*PI()*E1387^2/4))</f>
        <v>1.29508198800039</v>
      </c>
      <c r="AB1387" s="27" t="n">
        <f aca="false">IF(H1387-E1387&gt;=GWL,99,E1387*(MAX(0,GWL-H1387)*(GAM_S-GAM_W)+MAX(0,FL-MAX(H1387,GWL))*GAM_D)/(GAM_W*PI()*E1387^2/4))</f>
        <v>3.46972461878195</v>
      </c>
      <c r="AC1387" s="27" t="n">
        <f aca="false">IF(I1387-E1387&gt;=GWL,99,E1387*(MAX(0,GWL-I1387)*(GAM_S-GAM_W)+MAX(0,FL-MAX(I1387,GWL))*GAM_D)/(GAM_W*PI()*E1387^2/4))</f>
        <v>3.46972461878195</v>
      </c>
    </row>
    <row r="1388" customFormat="false" ht="15" hidden="false" customHeight="false" outlineLevel="0" collapsed="false">
      <c r="A1388" s="25" t="s">
        <v>2030</v>
      </c>
      <c r="B1388" s="25" t="s">
        <v>2035</v>
      </c>
      <c r="C1388" s="25" t="s">
        <v>2042</v>
      </c>
      <c r="D1388" s="26" t="n">
        <v>0.696369216362519</v>
      </c>
      <c r="E1388" s="26" t="n">
        <v>1.82630606353953</v>
      </c>
      <c r="F1388" s="26" t="n">
        <v>-4.29315303176977</v>
      </c>
      <c r="G1388" s="26" t="n">
        <v>-4.29315303176977</v>
      </c>
      <c r="H1388" s="26" t="n">
        <v>-1.96684696823023</v>
      </c>
      <c r="I1388" s="26" t="n">
        <v>-1.96684696823023</v>
      </c>
      <c r="J1388" s="26" t="n">
        <v>17.78</v>
      </c>
      <c r="K1388" s="27" t="n">
        <f aca="false">MIN(F1388,G1388)</f>
        <v>-4.29315303176977</v>
      </c>
      <c r="L1388" s="27" t="n">
        <f aca="false">AVERAGE(F1388,G1388)</f>
        <v>-4.29315303176977</v>
      </c>
      <c r="M1388" s="27" t="n">
        <f aca="false">MAX(0,NG-L1388)</f>
        <v>3.59315303176977</v>
      </c>
      <c r="N1388" s="27" t="n">
        <f aca="false">MAX(0,GWL-K1388)</f>
        <v>2.79315303176977</v>
      </c>
      <c r="O1388" s="27" t="n">
        <f aca="false">MAX(0,NG-MAX(K1388,GWL))</f>
        <v>0.8</v>
      </c>
      <c r="P1388" s="27" t="n">
        <f aca="false">E1388/2+WS+SLOPE_A*O1388+SLOPE_B*N1388</f>
        <v>8.6994590953093</v>
      </c>
      <c r="Q1388" s="28" t="str">
        <f aca="false">IF(AND(P1388&lt;J1388,N1388&lt;=MAXOC),"Open cut","Shoring")</f>
        <v>Shoring</v>
      </c>
      <c r="R1388" s="27" t="n">
        <f aca="false">IF(Q1388="Shoring",D1388,0)</f>
        <v>0.696369216362519</v>
      </c>
      <c r="S1388" s="27" t="n">
        <f aca="false">MAX(0,GWL-L1388)</f>
        <v>2.79315303176977</v>
      </c>
      <c r="T1388" s="27" t="n">
        <f aca="false">MAX(0,NG-MAX(L1388,GWL))</f>
        <v>0.8</v>
      </c>
      <c r="U1388" s="27" t="n">
        <f aca="false">E1388+2*WS</f>
        <v>3.82630606353953</v>
      </c>
      <c r="V1388" s="27" t="n">
        <f aca="false">IF(Q1388="Shoring",D1388*M1388*U1388,0)</f>
        <v>9.57403442230319</v>
      </c>
      <c r="W1388" s="27" t="n">
        <f aca="false">IF(Q1388="Open cut",D1388*(U1388*M1388+SLOPE_B*S1388^2+2*SLOPE_B*S1388*T1388+SLOPE_A*T1388^2),0)</f>
        <v>0</v>
      </c>
      <c r="X1388" s="27" t="n">
        <f aca="false">IF(M1388&gt;0,D1388*(E1388+2*SLABOVH)*SLAB,0)</f>
        <v>0.98407626933383</v>
      </c>
      <c r="Y1388" s="27" t="n">
        <f aca="false">IF(M1388&gt;0,D1388*PI()*E1388^2/4,0)</f>
        <v>1.82421729095561</v>
      </c>
      <c r="Z1388" s="27" t="n">
        <f aca="false">IF(H1388-E1388&gt;=GWL,99,E1388*(MAX(0,GWL-H1388)*(GAM_S-GAM_W)+MAX(0,NG-MAX(H1388,GWL))*GAM_D)/(GAM_W*PI()*E1388^2/4))</f>
        <v>1.29508652697285</v>
      </c>
      <c r="AA1388" s="27" t="n">
        <f aca="false">IF(I1388-E1388&gt;=GWL,99,E1388*(MAX(0,GWL-I1388)*(GAM_S-GAM_W)+MAX(0,NG-MAX(I1388,GWL))*GAM_D)/(GAM_W*PI()*E1388^2/4))</f>
        <v>1.29508652697285</v>
      </c>
      <c r="AB1388" s="27" t="n">
        <f aca="false">IF(H1388-E1388&gt;=GWL,99,E1388*(MAX(0,GWL-H1388)*(GAM_S-GAM_W)+MAX(0,FL-MAX(H1388,GWL))*GAM_D)/(GAM_W*PI()*E1388^2/4))</f>
        <v>3.46973456167149</v>
      </c>
      <c r="AC1388" s="27" t="n">
        <f aca="false">IF(I1388-E1388&gt;=GWL,99,E1388*(MAX(0,GWL-I1388)*(GAM_S-GAM_W)+MAX(0,FL-MAX(I1388,GWL))*GAM_D)/(GAM_W*PI()*E1388^2/4))</f>
        <v>3.46973456167149</v>
      </c>
    </row>
    <row r="1389" customFormat="false" ht="15" hidden="false" customHeight="false" outlineLevel="0" collapsed="false">
      <c r="A1389" s="25" t="s">
        <v>2030</v>
      </c>
      <c r="B1389" s="25" t="s">
        <v>2035</v>
      </c>
      <c r="C1389" s="25" t="s">
        <v>2043</v>
      </c>
      <c r="D1389" s="26" t="n">
        <v>0.136503900347177</v>
      </c>
      <c r="E1389" s="26" t="n">
        <v>1.84099076658971</v>
      </c>
      <c r="F1389" s="26" t="n">
        <v>-4.30049538329486</v>
      </c>
      <c r="G1389" s="26" t="n">
        <v>-4.30049538329486</v>
      </c>
      <c r="H1389" s="26" t="n">
        <v>-1.95950461670515</v>
      </c>
      <c r="I1389" s="26" t="n">
        <v>-1.95950461670515</v>
      </c>
      <c r="J1389" s="26" t="n">
        <v>17.94</v>
      </c>
      <c r="K1389" s="27" t="n">
        <f aca="false">MIN(F1389,G1389)</f>
        <v>-4.30049538329486</v>
      </c>
      <c r="L1389" s="27" t="n">
        <f aca="false">AVERAGE(F1389,G1389)</f>
        <v>-4.30049538329486</v>
      </c>
      <c r="M1389" s="27" t="n">
        <f aca="false">MAX(0,NG-L1389)</f>
        <v>3.60049538329486</v>
      </c>
      <c r="N1389" s="27" t="n">
        <f aca="false">MAX(0,GWL-K1389)</f>
        <v>2.80049538329486</v>
      </c>
      <c r="O1389" s="27" t="n">
        <f aca="false">MAX(0,NG-MAX(K1389,GWL))</f>
        <v>0.8</v>
      </c>
      <c r="P1389" s="27" t="n">
        <f aca="false">E1389/2+WS+SLOPE_A*O1389+SLOPE_B*N1389</f>
        <v>8.72148614988457</v>
      </c>
      <c r="Q1389" s="28" t="str">
        <f aca="false">IF(AND(P1389&lt;J1389,N1389&lt;=MAXOC),"Open cut","Shoring")</f>
        <v>Shoring</v>
      </c>
      <c r="R1389" s="27" t="n">
        <f aca="false">IF(Q1389="Shoring",D1389,0)</f>
        <v>0.136503900347177</v>
      </c>
      <c r="S1389" s="27" t="n">
        <f aca="false">MAX(0,GWL-L1389)</f>
        <v>2.80049538329486</v>
      </c>
      <c r="T1389" s="27" t="n">
        <f aca="false">MAX(0,NG-MAX(L1389,GWL))</f>
        <v>0.8</v>
      </c>
      <c r="U1389" s="27" t="n">
        <f aca="false">E1389+2*WS</f>
        <v>3.84099076658971</v>
      </c>
      <c r="V1389" s="27" t="n">
        <f aca="false">IF(Q1389="Shoring",D1389*M1389*U1389,0)</f>
        <v>1.88777652953789</v>
      </c>
      <c r="W1389" s="27" t="n">
        <f aca="false">IF(Q1389="Open cut",D1389*(U1389*M1389+SLOPE_B*S1389^2+2*SLOPE_B*S1389*T1389+SLOPE_A*T1389^2),0)</f>
        <v>0</v>
      </c>
      <c r="X1389" s="27" t="n">
        <f aca="false">IF(M1389&gt;0,D1389*(E1389+2*SLABOVH)*SLAB,0)</f>
        <v>0.193903160244906</v>
      </c>
      <c r="Y1389" s="27" t="n">
        <f aca="false">IF(M1389&gt;0,D1389*PI()*E1389^2/4,0)</f>
        <v>0.363360875035083</v>
      </c>
      <c r="Z1389" s="27" t="n">
        <f aca="false">IF(H1389-E1389&gt;=GWL,99,E1389*(MAX(0,GWL-H1389)*(GAM_S-GAM_W)+MAX(0,NG-MAX(H1389,GWL))*GAM_D)/(GAM_W*PI()*E1389^2/4))</f>
        <v>1.28051680020381</v>
      </c>
      <c r="AA1389" s="27" t="n">
        <f aca="false">IF(I1389-E1389&gt;=GWL,99,E1389*(MAX(0,GWL-I1389)*(GAM_S-GAM_W)+MAX(0,NG-MAX(I1389,GWL))*GAM_D)/(GAM_W*PI()*E1389^2/4))</f>
        <v>1.28051680020381</v>
      </c>
      <c r="AB1389" s="27" t="n">
        <f aca="false">IF(H1389-E1389&gt;=GWL,99,E1389*(MAX(0,GWL-H1389)*(GAM_S-GAM_W)+MAX(0,FL-MAX(H1389,GWL))*GAM_D)/(GAM_W*PI()*E1389^2/4))</f>
        <v>3.43781870736736</v>
      </c>
      <c r="AC1389" s="27" t="n">
        <f aca="false">IF(I1389-E1389&gt;=GWL,99,E1389*(MAX(0,GWL-I1389)*(GAM_S-GAM_W)+MAX(0,FL-MAX(I1389,GWL))*GAM_D)/(GAM_W*PI()*E1389^2/4))</f>
        <v>3.43781870736736</v>
      </c>
    </row>
    <row r="1390" customFormat="false" ht="15" hidden="false" customHeight="false" outlineLevel="0" collapsed="false">
      <c r="A1390" s="25" t="s">
        <v>2030</v>
      </c>
      <c r="B1390" s="25" t="s">
        <v>2035</v>
      </c>
      <c r="C1390" s="25" t="s">
        <v>2044</v>
      </c>
      <c r="D1390" s="26" t="n">
        <v>6.14757546456482</v>
      </c>
      <c r="E1390" s="26" t="n">
        <v>1.86255</v>
      </c>
      <c r="F1390" s="26" t="n">
        <v>-4.311275</v>
      </c>
      <c r="G1390" s="26" t="n">
        <v>-4.3345592565234</v>
      </c>
      <c r="H1390" s="26" t="n">
        <v>-1.948725</v>
      </c>
      <c r="I1390" s="26" t="n">
        <v>-1.9720092565234</v>
      </c>
      <c r="J1390" s="26" t="n">
        <v>17.96</v>
      </c>
      <c r="K1390" s="27" t="n">
        <f aca="false">MIN(F1390,G1390)</f>
        <v>-4.3345592565234</v>
      </c>
      <c r="L1390" s="27" t="n">
        <f aca="false">AVERAGE(F1390,G1390)</f>
        <v>-4.3229171282617</v>
      </c>
      <c r="M1390" s="27" t="n">
        <f aca="false">MAX(0,NG-L1390)</f>
        <v>3.6229171282617</v>
      </c>
      <c r="N1390" s="27" t="n">
        <f aca="false">MAX(0,GWL-K1390)</f>
        <v>2.8345592565234</v>
      </c>
      <c r="O1390" s="27" t="n">
        <f aca="false">MAX(0,NG-MAX(K1390,GWL))</f>
        <v>0.8</v>
      </c>
      <c r="P1390" s="27" t="n">
        <f aca="false">E1390/2+WS+SLOPE_A*O1390+SLOPE_B*N1390</f>
        <v>8.80039351304679</v>
      </c>
      <c r="Q1390" s="28" t="str">
        <f aca="false">IF(AND(P1390&lt;J1390,N1390&lt;=MAXOC),"Open cut","Shoring")</f>
        <v>Shoring</v>
      </c>
      <c r="R1390" s="27" t="n">
        <f aca="false">IF(Q1390="Shoring",D1390,0)</f>
        <v>6.14757546456482</v>
      </c>
      <c r="S1390" s="27" t="n">
        <f aca="false">MAX(0,GWL-L1390)</f>
        <v>2.8229171282617</v>
      </c>
      <c r="T1390" s="27" t="n">
        <f aca="false">MAX(0,NG-MAX(L1390,GWL))</f>
        <v>0.8</v>
      </c>
      <c r="U1390" s="27" t="n">
        <f aca="false">E1390+2*WS</f>
        <v>3.86255</v>
      </c>
      <c r="V1390" s="27" t="n">
        <f aca="false">IF(Q1390="Shoring",D1390*M1390*U1390,0)</f>
        <v>86.0273178876556</v>
      </c>
      <c r="W1390" s="27" t="n">
        <f aca="false">IF(Q1390="Open cut",D1390*(U1390*M1390+SLOPE_B*S1390^2+2*SLOPE_B*S1390*T1390+SLOPE_A*T1390^2),0)</f>
        <v>0</v>
      </c>
      <c r="X1390" s="27" t="n">
        <f aca="false">IF(M1390&gt;0,D1390*(E1390+2*SLABOVH)*SLAB,0)</f>
        <v>8.79887107304501</v>
      </c>
      <c r="Y1390" s="27" t="n">
        <f aca="false">IF(M1390&gt;0,D1390*PI()*E1390^2/4,0)</f>
        <v>16.7498001777118</v>
      </c>
      <c r="Z1390" s="27" t="n">
        <f aca="false">IF(H1390-E1390&gt;=GWL,99,E1390*(MAX(0,GWL-H1390)*(GAM_S-GAM_W)+MAX(0,NG-MAX(H1390,GWL))*GAM_D)/(GAM_W*PI()*E1390^2/4))</f>
        <v>1.25954261136197</v>
      </c>
      <c r="AA1390" s="27" t="n">
        <f aca="false">IF(I1390-E1390&gt;=GWL,99,E1390*(MAX(0,GWL-I1390)*(GAM_S-GAM_W)+MAX(0,NG-MAX(I1390,GWL))*GAM_D)/(GAM_W*PI()*E1390^2/4))</f>
        <v>1.2728312180687</v>
      </c>
      <c r="AB1390" s="27" t="n">
        <f aca="false">IF(H1390-E1390&gt;=GWL,99,E1390*(MAX(0,GWL-H1390)*(GAM_S-GAM_W)+MAX(0,FL-MAX(H1390,GWL))*GAM_D)/(GAM_W*PI()*E1390^2/4))</f>
        <v>3.39187349742379</v>
      </c>
      <c r="AC1390" s="27" t="n">
        <f aca="false">IF(I1390-E1390&gt;=GWL,99,E1390*(MAX(0,GWL-I1390)*(GAM_S-GAM_W)+MAX(0,FL-MAX(I1390,GWL))*GAM_D)/(GAM_W*PI()*E1390^2/4))</f>
        <v>3.40516210413052</v>
      </c>
    </row>
    <row r="1391" customFormat="false" ht="15" hidden="false" customHeight="false" outlineLevel="0" collapsed="false">
      <c r="A1391" s="25" t="s">
        <v>2030</v>
      </c>
      <c r="B1391" s="25" t="s">
        <v>2035</v>
      </c>
      <c r="C1391" s="25" t="s">
        <v>2045</v>
      </c>
      <c r="D1391" s="26" t="n">
        <v>10.0000000002329</v>
      </c>
      <c r="E1391" s="26" t="n">
        <v>1.86255</v>
      </c>
      <c r="F1391" s="26" t="n">
        <v>-4.3345592565234</v>
      </c>
      <c r="G1391" s="26" t="n">
        <v>-4.3724347680275</v>
      </c>
      <c r="H1391" s="26" t="n">
        <v>-1.9720092565234</v>
      </c>
      <c r="I1391" s="26" t="n">
        <v>-2.0098847680275</v>
      </c>
      <c r="J1391" s="26" t="n">
        <v>18.84</v>
      </c>
      <c r="K1391" s="27" t="n">
        <f aca="false">MIN(F1391,G1391)</f>
        <v>-4.3724347680275</v>
      </c>
      <c r="L1391" s="27" t="n">
        <f aca="false">AVERAGE(F1391,G1391)</f>
        <v>-4.35349701227545</v>
      </c>
      <c r="M1391" s="27" t="n">
        <f aca="false">MAX(0,NG-L1391)</f>
        <v>3.65349701227545</v>
      </c>
      <c r="N1391" s="27" t="n">
        <f aca="false">MAX(0,GWL-K1391)</f>
        <v>2.8724347680275</v>
      </c>
      <c r="O1391" s="27" t="n">
        <f aca="false">MAX(0,NG-MAX(K1391,GWL))</f>
        <v>0.8</v>
      </c>
      <c r="P1391" s="27" t="n">
        <f aca="false">E1391/2+WS+SLOPE_A*O1391+SLOPE_B*N1391</f>
        <v>8.87614453605499</v>
      </c>
      <c r="Q1391" s="28" t="str">
        <f aca="false">IF(AND(P1391&lt;J1391,N1391&lt;=MAXOC),"Open cut","Shoring")</f>
        <v>Shoring</v>
      </c>
      <c r="R1391" s="27" t="n">
        <f aca="false">IF(Q1391="Shoring",D1391,0)</f>
        <v>10.0000000002329</v>
      </c>
      <c r="S1391" s="27" t="n">
        <f aca="false">MAX(0,GWL-L1391)</f>
        <v>2.85349701227545</v>
      </c>
      <c r="T1391" s="27" t="n">
        <f aca="false">MAX(0,NG-MAX(L1391,GWL))</f>
        <v>0.8</v>
      </c>
      <c r="U1391" s="27" t="n">
        <f aca="false">E1391+2*WS</f>
        <v>3.86255</v>
      </c>
      <c r="V1391" s="27" t="n">
        <f aca="false">IF(Q1391="Shoring",D1391*M1391*U1391,0)</f>
        <v>141.118148850932</v>
      </c>
      <c r="W1391" s="27" t="n">
        <f aca="false">IF(Q1391="Open cut",D1391*(U1391*M1391+SLOPE_B*S1391^2+2*SLOPE_B*S1391*T1391+SLOPE_A*T1391^2),0)</f>
        <v>0</v>
      </c>
      <c r="X1391" s="27" t="n">
        <f aca="false">IF(M1391&gt;0,D1391*(E1391+2*SLABOVH)*SLAB,0)</f>
        <v>14.3127500003334</v>
      </c>
      <c r="Y1391" s="27" t="n">
        <f aca="false">IF(M1391&gt;0,D1391*PI()*E1391^2/4,0)</f>
        <v>27.2461888018282</v>
      </c>
      <c r="Z1391" s="27" t="n">
        <f aca="false">IF(H1391-E1391&gt;=GWL,99,E1391*(MAX(0,GWL-H1391)*(GAM_S-GAM_W)+MAX(0,NG-MAX(H1391,GWL))*GAM_D)/(GAM_W*PI()*E1391^2/4))</f>
        <v>1.2728312180687</v>
      </c>
      <c r="AA1391" s="27" t="n">
        <f aca="false">IF(I1391-E1391&gt;=GWL,99,E1391*(MAX(0,GWL-I1391)*(GAM_S-GAM_W)+MAX(0,NG-MAX(I1391,GWL))*GAM_D)/(GAM_W*PI()*E1391^2/4))</f>
        <v>1.29444723040254</v>
      </c>
      <c r="AB1391" s="27" t="n">
        <f aca="false">IF(H1391-E1391&gt;=GWL,99,E1391*(MAX(0,GWL-H1391)*(GAM_S-GAM_W)+MAX(0,FL-MAX(H1391,GWL))*GAM_D)/(GAM_W*PI()*E1391^2/4))</f>
        <v>3.40516210413052</v>
      </c>
      <c r="AC1391" s="27" t="n">
        <f aca="false">IF(I1391-E1391&gt;=GWL,99,E1391*(MAX(0,GWL-I1391)*(GAM_S-GAM_W)+MAX(0,FL-MAX(I1391,GWL))*GAM_D)/(GAM_W*PI()*E1391^2/4))</f>
        <v>3.42677811646437</v>
      </c>
    </row>
    <row r="1392" customFormat="false" ht="15" hidden="false" customHeight="false" outlineLevel="0" collapsed="false">
      <c r="A1392" s="25" t="s">
        <v>2030</v>
      </c>
      <c r="B1392" s="25" t="s">
        <v>2035</v>
      </c>
      <c r="C1392" s="25" t="s">
        <v>2046</v>
      </c>
      <c r="D1392" s="26" t="n">
        <v>9.99999999975777</v>
      </c>
      <c r="E1392" s="26" t="n">
        <v>1.86255</v>
      </c>
      <c r="F1392" s="26" t="n">
        <v>-4.3724347680275</v>
      </c>
      <c r="G1392" s="26" t="n">
        <v>-4.4103102795316</v>
      </c>
      <c r="H1392" s="26" t="n">
        <v>-2.0098847680275</v>
      </c>
      <c r="I1392" s="26" t="n">
        <v>-2.0477602795316</v>
      </c>
      <c r="J1392" s="26" t="n">
        <v>16.82</v>
      </c>
      <c r="K1392" s="27" t="n">
        <f aca="false">MIN(F1392,G1392)</f>
        <v>-4.4103102795316</v>
      </c>
      <c r="L1392" s="27" t="n">
        <f aca="false">AVERAGE(F1392,G1392)</f>
        <v>-4.39137252377955</v>
      </c>
      <c r="M1392" s="27" t="n">
        <f aca="false">MAX(0,NG-L1392)</f>
        <v>3.69137252377955</v>
      </c>
      <c r="N1392" s="27" t="n">
        <f aca="false">MAX(0,GWL-K1392)</f>
        <v>2.9103102795316</v>
      </c>
      <c r="O1392" s="27" t="n">
        <f aca="false">MAX(0,NG-MAX(K1392,GWL))</f>
        <v>0.8</v>
      </c>
      <c r="P1392" s="27" t="n">
        <f aca="false">E1392/2+WS+SLOPE_A*O1392+SLOPE_B*N1392</f>
        <v>8.9518955590632</v>
      </c>
      <c r="Q1392" s="28" t="str">
        <f aca="false">IF(AND(P1392&lt;J1392,N1392&lt;=MAXOC),"Open cut","Shoring")</f>
        <v>Shoring</v>
      </c>
      <c r="R1392" s="27" t="n">
        <f aca="false">IF(Q1392="Shoring",D1392,0)</f>
        <v>9.99999999975777</v>
      </c>
      <c r="S1392" s="27" t="n">
        <f aca="false">MAX(0,GWL-L1392)</f>
        <v>2.89137252377955</v>
      </c>
      <c r="T1392" s="27" t="n">
        <f aca="false">MAX(0,NG-MAX(L1392,GWL))</f>
        <v>0.8</v>
      </c>
      <c r="U1392" s="27" t="n">
        <f aca="false">E1392+2*WS</f>
        <v>3.86255</v>
      </c>
      <c r="V1392" s="27" t="n">
        <f aca="false">IF(Q1392="Shoring",D1392*M1392*U1392,0)</f>
        <v>142.581109413793</v>
      </c>
      <c r="W1392" s="27" t="n">
        <f aca="false">IF(Q1392="Open cut",D1392*(U1392*M1392+SLOPE_B*S1392^2+2*SLOPE_B*S1392*T1392+SLOPE_A*T1392^2),0)</f>
        <v>0</v>
      </c>
      <c r="X1392" s="27" t="n">
        <f aca="false">IF(M1392&gt;0,D1392*(E1392+2*SLABOVH)*SLAB,0)</f>
        <v>14.3127499996533</v>
      </c>
      <c r="Y1392" s="27" t="n">
        <f aca="false">IF(M1392&gt;0,D1392*PI()*E1392^2/4,0)</f>
        <v>27.2461888005336</v>
      </c>
      <c r="Z1392" s="27" t="n">
        <f aca="false">IF(H1392-E1392&gt;=GWL,99,E1392*(MAX(0,GWL-H1392)*(GAM_S-GAM_W)+MAX(0,NG-MAX(H1392,GWL))*GAM_D)/(GAM_W*PI()*E1392^2/4))</f>
        <v>1.29444723040254</v>
      </c>
      <c r="AA1392" s="27" t="n">
        <f aca="false">IF(I1392-E1392&gt;=GWL,99,E1392*(MAX(0,GWL-I1392)*(GAM_S-GAM_W)+MAX(0,NG-MAX(I1392,GWL))*GAM_D)/(GAM_W*PI()*E1392^2/4))</f>
        <v>1.31606324273639</v>
      </c>
      <c r="AB1392" s="27" t="n">
        <f aca="false">IF(H1392-E1392&gt;=GWL,99,E1392*(MAX(0,GWL-H1392)*(GAM_S-GAM_W)+MAX(0,FL-MAX(H1392,GWL))*GAM_D)/(GAM_W*PI()*E1392^2/4))</f>
        <v>3.42677811646437</v>
      </c>
      <c r="AC1392" s="27" t="n">
        <f aca="false">IF(I1392-E1392&gt;=GWL,99,E1392*(MAX(0,GWL-I1392)*(GAM_S-GAM_W)+MAX(0,FL-MAX(I1392,GWL))*GAM_D)/(GAM_W*PI()*E1392^2/4))</f>
        <v>3.44839412879822</v>
      </c>
    </row>
    <row r="1393" customFormat="false" ht="15" hidden="false" customHeight="false" outlineLevel="0" collapsed="false">
      <c r="A1393" s="25" t="s">
        <v>2030</v>
      </c>
      <c r="B1393" s="25" t="s">
        <v>2035</v>
      </c>
      <c r="C1393" s="25" t="s">
        <v>2047</v>
      </c>
      <c r="D1393" s="26" t="n">
        <v>10.0000000002329</v>
      </c>
      <c r="E1393" s="26" t="n">
        <v>1.86255</v>
      </c>
      <c r="F1393" s="26" t="n">
        <v>-4.4103102795316</v>
      </c>
      <c r="G1393" s="26" t="n">
        <v>-4.4481857910357</v>
      </c>
      <c r="H1393" s="26" t="n">
        <v>-2.0477602795316</v>
      </c>
      <c r="I1393" s="26" t="n">
        <v>-2.0856357910357</v>
      </c>
      <c r="J1393" s="26" t="n">
        <v>16.79</v>
      </c>
      <c r="K1393" s="27" t="n">
        <f aca="false">MIN(F1393,G1393)</f>
        <v>-4.4481857910357</v>
      </c>
      <c r="L1393" s="27" t="n">
        <f aca="false">AVERAGE(F1393,G1393)</f>
        <v>-4.42924803528365</v>
      </c>
      <c r="M1393" s="27" t="n">
        <f aca="false">MAX(0,NG-L1393)</f>
        <v>3.72924803528365</v>
      </c>
      <c r="N1393" s="27" t="n">
        <f aca="false">MAX(0,GWL-K1393)</f>
        <v>2.9481857910357</v>
      </c>
      <c r="O1393" s="27" t="n">
        <f aca="false">MAX(0,NG-MAX(K1393,GWL))</f>
        <v>0.8</v>
      </c>
      <c r="P1393" s="27" t="n">
        <f aca="false">E1393/2+WS+SLOPE_A*O1393+SLOPE_B*N1393</f>
        <v>9.0276465820714</v>
      </c>
      <c r="Q1393" s="28" t="str">
        <f aca="false">IF(AND(P1393&lt;J1393,N1393&lt;=MAXOC),"Open cut","Shoring")</f>
        <v>Shoring</v>
      </c>
      <c r="R1393" s="27" t="n">
        <f aca="false">IF(Q1393="Shoring",D1393,0)</f>
        <v>10.0000000002329</v>
      </c>
      <c r="S1393" s="27" t="n">
        <f aca="false">MAX(0,GWL-L1393)</f>
        <v>2.92924803528365</v>
      </c>
      <c r="T1393" s="27" t="n">
        <f aca="false">MAX(0,NG-MAX(L1393,GWL))</f>
        <v>0.8</v>
      </c>
      <c r="U1393" s="27" t="n">
        <f aca="false">E1393+2*WS</f>
        <v>3.86255</v>
      </c>
      <c r="V1393" s="27" t="n">
        <f aca="false">IF(Q1393="Shoring",D1393*M1393*U1393,0)</f>
        <v>144.044069990204</v>
      </c>
      <c r="W1393" s="27" t="n">
        <f aca="false">IF(Q1393="Open cut",D1393*(U1393*M1393+SLOPE_B*S1393^2+2*SLOPE_B*S1393*T1393+SLOPE_A*T1393^2),0)</f>
        <v>0</v>
      </c>
      <c r="X1393" s="27" t="n">
        <f aca="false">IF(M1393&gt;0,D1393*(E1393+2*SLABOVH)*SLAB,0)</f>
        <v>14.3127500003334</v>
      </c>
      <c r="Y1393" s="27" t="n">
        <f aca="false">IF(M1393&gt;0,D1393*PI()*E1393^2/4,0)</f>
        <v>27.2461888018282</v>
      </c>
      <c r="Z1393" s="27" t="n">
        <f aca="false">IF(H1393-E1393&gt;=GWL,99,E1393*(MAX(0,GWL-H1393)*(GAM_S-GAM_W)+MAX(0,NG-MAX(H1393,GWL))*GAM_D)/(GAM_W*PI()*E1393^2/4))</f>
        <v>1.31606324273639</v>
      </c>
      <c r="AA1393" s="27" t="n">
        <f aca="false">IF(I1393-E1393&gt;=GWL,99,E1393*(MAX(0,GWL-I1393)*(GAM_S-GAM_W)+MAX(0,NG-MAX(I1393,GWL))*GAM_D)/(GAM_W*PI()*E1393^2/4))</f>
        <v>1.33767925507024</v>
      </c>
      <c r="AB1393" s="27" t="n">
        <f aca="false">IF(H1393-E1393&gt;=GWL,99,E1393*(MAX(0,GWL-H1393)*(GAM_S-GAM_W)+MAX(0,FL-MAX(H1393,GWL))*GAM_D)/(GAM_W*PI()*E1393^2/4))</f>
        <v>3.44839412879822</v>
      </c>
      <c r="AC1393" s="27" t="n">
        <f aca="false">IF(I1393-E1393&gt;=GWL,99,E1393*(MAX(0,GWL-I1393)*(GAM_S-GAM_W)+MAX(0,FL-MAX(I1393,GWL))*GAM_D)/(GAM_W*PI()*E1393^2/4))</f>
        <v>3.47001014113206</v>
      </c>
    </row>
    <row r="1394" customFormat="false" ht="15" hidden="false" customHeight="false" outlineLevel="0" collapsed="false">
      <c r="A1394" s="25" t="s">
        <v>2030</v>
      </c>
      <c r="B1394" s="25" t="s">
        <v>2035</v>
      </c>
      <c r="C1394" s="25" t="s">
        <v>2048</v>
      </c>
      <c r="D1394" s="26" t="n">
        <v>9.99999999975777</v>
      </c>
      <c r="E1394" s="26" t="n">
        <v>1.86255</v>
      </c>
      <c r="F1394" s="26" t="n">
        <v>-4.4481857910357</v>
      </c>
      <c r="G1394" s="26" t="n">
        <v>-4.4860613025398</v>
      </c>
      <c r="H1394" s="26" t="n">
        <v>-2.0856357910357</v>
      </c>
      <c r="I1394" s="26" t="n">
        <v>-2.1235113025398</v>
      </c>
      <c r="J1394" s="26" t="n">
        <v>17.19</v>
      </c>
      <c r="K1394" s="27" t="n">
        <f aca="false">MIN(F1394,G1394)</f>
        <v>-4.4860613025398</v>
      </c>
      <c r="L1394" s="27" t="n">
        <f aca="false">AVERAGE(F1394,G1394)</f>
        <v>-4.46712354678775</v>
      </c>
      <c r="M1394" s="27" t="n">
        <f aca="false">MAX(0,NG-L1394)</f>
        <v>3.76712354678775</v>
      </c>
      <c r="N1394" s="27" t="n">
        <f aca="false">MAX(0,GWL-K1394)</f>
        <v>2.9860613025398</v>
      </c>
      <c r="O1394" s="27" t="n">
        <f aca="false">MAX(0,NG-MAX(K1394,GWL))</f>
        <v>0.8</v>
      </c>
      <c r="P1394" s="27" t="n">
        <f aca="false">E1394/2+WS+SLOPE_A*O1394+SLOPE_B*N1394</f>
        <v>9.1033976050796</v>
      </c>
      <c r="Q1394" s="28" t="str">
        <f aca="false">IF(AND(P1394&lt;J1394,N1394&lt;=MAXOC),"Open cut","Shoring")</f>
        <v>Shoring</v>
      </c>
      <c r="R1394" s="27" t="n">
        <f aca="false">IF(Q1394="Shoring",D1394,0)</f>
        <v>9.99999999975777</v>
      </c>
      <c r="S1394" s="27" t="n">
        <f aca="false">MAX(0,GWL-L1394)</f>
        <v>2.96712354678775</v>
      </c>
      <c r="T1394" s="27" t="n">
        <f aca="false">MAX(0,NG-MAX(L1394,GWL))</f>
        <v>0.8</v>
      </c>
      <c r="U1394" s="27" t="n">
        <f aca="false">E1394+2*WS</f>
        <v>3.86255</v>
      </c>
      <c r="V1394" s="27" t="n">
        <f aca="false">IF(Q1394="Shoring",D1394*M1394*U1394,0)</f>
        <v>145.507030552926</v>
      </c>
      <c r="W1394" s="27" t="n">
        <f aca="false">IF(Q1394="Open cut",D1394*(U1394*M1394+SLOPE_B*S1394^2+2*SLOPE_B*S1394*T1394+SLOPE_A*T1394^2),0)</f>
        <v>0</v>
      </c>
      <c r="X1394" s="27" t="n">
        <f aca="false">IF(M1394&gt;0,D1394*(E1394+2*SLABOVH)*SLAB,0)</f>
        <v>14.3127499996533</v>
      </c>
      <c r="Y1394" s="27" t="n">
        <f aca="false">IF(M1394&gt;0,D1394*PI()*E1394^2/4,0)</f>
        <v>27.2461888005336</v>
      </c>
      <c r="Z1394" s="27" t="n">
        <f aca="false">IF(H1394-E1394&gt;=GWL,99,E1394*(MAX(0,GWL-H1394)*(GAM_S-GAM_W)+MAX(0,NG-MAX(H1394,GWL))*GAM_D)/(GAM_W*PI()*E1394^2/4))</f>
        <v>1.33767925507024</v>
      </c>
      <c r="AA1394" s="27" t="n">
        <f aca="false">IF(I1394-E1394&gt;=GWL,99,E1394*(MAX(0,GWL-I1394)*(GAM_S-GAM_W)+MAX(0,NG-MAX(I1394,GWL))*GAM_D)/(GAM_W*PI()*E1394^2/4))</f>
        <v>1.35929526740409</v>
      </c>
      <c r="AB1394" s="27" t="n">
        <f aca="false">IF(H1394-E1394&gt;=GWL,99,E1394*(MAX(0,GWL-H1394)*(GAM_S-GAM_W)+MAX(0,FL-MAX(H1394,GWL))*GAM_D)/(GAM_W*PI()*E1394^2/4))</f>
        <v>3.47001014113206</v>
      </c>
      <c r="AC1394" s="27" t="n">
        <f aca="false">IF(I1394-E1394&gt;=GWL,99,E1394*(MAX(0,GWL-I1394)*(GAM_S-GAM_W)+MAX(0,FL-MAX(I1394,GWL))*GAM_D)/(GAM_W*PI()*E1394^2/4))</f>
        <v>3.49162615346591</v>
      </c>
    </row>
    <row r="1395" customFormat="false" ht="15" hidden="false" customHeight="false" outlineLevel="0" collapsed="false">
      <c r="A1395" s="25" t="s">
        <v>2030</v>
      </c>
      <c r="B1395" s="25" t="s">
        <v>2035</v>
      </c>
      <c r="C1395" s="25" t="s">
        <v>2049</v>
      </c>
      <c r="D1395" s="26" t="n">
        <v>10.0000000002329</v>
      </c>
      <c r="E1395" s="26" t="n">
        <v>1.86255</v>
      </c>
      <c r="F1395" s="26" t="n">
        <v>-4.4860613025398</v>
      </c>
      <c r="G1395" s="26" t="n">
        <v>-4.5239368140439</v>
      </c>
      <c r="H1395" s="26" t="n">
        <v>-2.1235113025398</v>
      </c>
      <c r="I1395" s="26" t="n">
        <v>-2.1613868140439</v>
      </c>
      <c r="J1395" s="26" t="n">
        <v>16.25</v>
      </c>
      <c r="K1395" s="27" t="n">
        <f aca="false">MIN(F1395,G1395)</f>
        <v>-4.5239368140439</v>
      </c>
      <c r="L1395" s="27" t="n">
        <f aca="false">AVERAGE(F1395,G1395)</f>
        <v>-4.50499905829185</v>
      </c>
      <c r="M1395" s="27" t="n">
        <f aca="false">MAX(0,NG-L1395)</f>
        <v>3.80499905829185</v>
      </c>
      <c r="N1395" s="27" t="n">
        <f aca="false">MAX(0,GWL-K1395)</f>
        <v>3.0239368140439</v>
      </c>
      <c r="O1395" s="27" t="n">
        <f aca="false">MAX(0,NG-MAX(K1395,GWL))</f>
        <v>0.8</v>
      </c>
      <c r="P1395" s="27" t="n">
        <f aca="false">E1395/2+WS+SLOPE_A*O1395+SLOPE_B*N1395</f>
        <v>9.1791486280878</v>
      </c>
      <c r="Q1395" s="28" t="str">
        <f aca="false">IF(AND(P1395&lt;J1395,N1395&lt;=MAXOC),"Open cut","Shoring")</f>
        <v>Shoring</v>
      </c>
      <c r="R1395" s="27" t="n">
        <f aca="false">IF(Q1395="Shoring",D1395,0)</f>
        <v>10.0000000002329</v>
      </c>
      <c r="S1395" s="27" t="n">
        <f aca="false">MAX(0,GWL-L1395)</f>
        <v>3.00499905829185</v>
      </c>
      <c r="T1395" s="27" t="n">
        <f aca="false">MAX(0,NG-MAX(L1395,GWL))</f>
        <v>0.8</v>
      </c>
      <c r="U1395" s="27" t="n">
        <f aca="false">E1395+2*WS</f>
        <v>3.86255</v>
      </c>
      <c r="V1395" s="27" t="n">
        <f aca="false">IF(Q1395="Shoring",D1395*M1395*U1395,0)</f>
        <v>146.969991129475</v>
      </c>
      <c r="W1395" s="27" t="n">
        <f aca="false">IF(Q1395="Open cut",D1395*(U1395*M1395+SLOPE_B*S1395^2+2*SLOPE_B*S1395*T1395+SLOPE_A*T1395^2),0)</f>
        <v>0</v>
      </c>
      <c r="X1395" s="27" t="n">
        <f aca="false">IF(M1395&gt;0,D1395*(E1395+2*SLABOVH)*SLAB,0)</f>
        <v>14.3127500003334</v>
      </c>
      <c r="Y1395" s="27" t="n">
        <f aca="false">IF(M1395&gt;0,D1395*PI()*E1395^2/4,0)</f>
        <v>27.2461888018282</v>
      </c>
      <c r="Z1395" s="27" t="n">
        <f aca="false">IF(H1395-E1395&gt;=GWL,99,E1395*(MAX(0,GWL-H1395)*(GAM_S-GAM_W)+MAX(0,NG-MAX(H1395,GWL))*GAM_D)/(GAM_W*PI()*E1395^2/4))</f>
        <v>1.35929526740409</v>
      </c>
      <c r="AA1395" s="27" t="n">
        <f aca="false">IF(I1395-E1395&gt;=GWL,99,E1395*(MAX(0,GWL-I1395)*(GAM_S-GAM_W)+MAX(0,NG-MAX(I1395,GWL))*GAM_D)/(GAM_W*PI()*E1395^2/4))</f>
        <v>1.38091127973793</v>
      </c>
      <c r="AB1395" s="27" t="n">
        <f aca="false">IF(H1395-E1395&gt;=GWL,99,E1395*(MAX(0,GWL-H1395)*(GAM_S-GAM_W)+MAX(0,FL-MAX(H1395,GWL))*GAM_D)/(GAM_W*PI()*E1395^2/4))</f>
        <v>3.49162615346591</v>
      </c>
      <c r="AC1395" s="27" t="n">
        <f aca="false">IF(I1395-E1395&gt;=GWL,99,E1395*(MAX(0,GWL-I1395)*(GAM_S-GAM_W)+MAX(0,FL-MAX(I1395,GWL))*GAM_D)/(GAM_W*PI()*E1395^2/4))</f>
        <v>3.51324216579976</v>
      </c>
    </row>
    <row r="1396" customFormat="false" ht="15" hidden="false" customHeight="false" outlineLevel="0" collapsed="false">
      <c r="A1396" s="25" t="s">
        <v>2030</v>
      </c>
      <c r="B1396" s="25" t="s">
        <v>2035</v>
      </c>
      <c r="C1396" s="25" t="s">
        <v>2050</v>
      </c>
      <c r="D1396" s="26" t="n">
        <v>9.03966299009106</v>
      </c>
      <c r="E1396" s="26" t="n">
        <v>1.86255</v>
      </c>
      <c r="F1396" s="26" t="n">
        <v>-4.5239368140439</v>
      </c>
      <c r="G1396" s="26" t="n">
        <v>-4.558175</v>
      </c>
      <c r="H1396" s="26" t="n">
        <v>-2.1613868140439</v>
      </c>
      <c r="I1396" s="26" t="n">
        <v>-2.195625</v>
      </c>
      <c r="J1396" s="26" t="n">
        <v>16.25</v>
      </c>
      <c r="K1396" s="27" t="n">
        <f aca="false">MIN(F1396,G1396)</f>
        <v>-4.558175</v>
      </c>
      <c r="L1396" s="27" t="n">
        <f aca="false">AVERAGE(F1396,G1396)</f>
        <v>-4.54105590702195</v>
      </c>
      <c r="M1396" s="27" t="n">
        <f aca="false">MAX(0,NG-L1396)</f>
        <v>3.84105590702195</v>
      </c>
      <c r="N1396" s="27" t="n">
        <f aca="false">MAX(0,GWL-K1396)</f>
        <v>3.058175</v>
      </c>
      <c r="O1396" s="27" t="n">
        <f aca="false">MAX(0,NG-MAX(K1396,GWL))</f>
        <v>0.8</v>
      </c>
      <c r="P1396" s="27" t="n">
        <f aca="false">E1396/2+WS+SLOPE_A*O1396+SLOPE_B*N1396</f>
        <v>9.247625</v>
      </c>
      <c r="Q1396" s="28" t="str">
        <f aca="false">IF(AND(P1396&lt;J1396,N1396&lt;=MAXOC),"Open cut","Shoring")</f>
        <v>Shoring</v>
      </c>
      <c r="R1396" s="27" t="n">
        <f aca="false">IF(Q1396="Shoring",D1396,0)</f>
        <v>9.03966299009106</v>
      </c>
      <c r="S1396" s="27" t="n">
        <f aca="false">MAX(0,GWL-L1396)</f>
        <v>3.04105590702195</v>
      </c>
      <c r="T1396" s="27" t="n">
        <f aca="false">MAX(0,NG-MAX(L1396,GWL))</f>
        <v>0.8</v>
      </c>
      <c r="U1396" s="27" t="n">
        <f aca="false">E1396+2*WS</f>
        <v>3.86255</v>
      </c>
      <c r="V1396" s="27" t="n">
        <f aca="false">IF(Q1396="Shoring",D1396*M1396*U1396,0)</f>
        <v>134.114885292587</v>
      </c>
      <c r="W1396" s="27" t="n">
        <f aca="false">IF(Q1396="Open cut",D1396*(U1396*M1396+SLOPE_B*S1396^2+2*SLOPE_B*S1396*T1396+SLOPE_A*T1396^2),0)</f>
        <v>0</v>
      </c>
      <c r="X1396" s="27" t="n">
        <f aca="false">IF(M1396&gt;0,D1396*(E1396+2*SLABOVH)*SLAB,0)</f>
        <v>12.9382436461426</v>
      </c>
      <c r="Y1396" s="27" t="n">
        <f aca="false">IF(M1396&gt;0,D1396*PI()*E1396^2/4,0)</f>
        <v>24.6296364527183</v>
      </c>
      <c r="Z1396" s="27" t="n">
        <f aca="false">IF(H1396-E1396&gt;=GWL,99,E1396*(MAX(0,GWL-H1396)*(GAM_S-GAM_W)+MAX(0,NG-MAX(H1396,GWL))*GAM_D)/(GAM_W*PI()*E1396^2/4))</f>
        <v>1.38091127973793</v>
      </c>
      <c r="AA1396" s="27" t="n">
        <f aca="false">IF(I1396-E1396&gt;=GWL,99,E1396*(MAX(0,GWL-I1396)*(GAM_S-GAM_W)+MAX(0,NG-MAX(I1396,GWL))*GAM_D)/(GAM_W*PI()*E1396^2/4))</f>
        <v>1.40045142640593</v>
      </c>
      <c r="AB1396" s="27" t="n">
        <f aca="false">IF(H1396-E1396&gt;=GWL,99,E1396*(MAX(0,GWL-H1396)*(GAM_S-GAM_W)+MAX(0,FL-MAX(H1396,GWL))*GAM_D)/(GAM_W*PI()*E1396^2/4))</f>
        <v>3.51324216579976</v>
      </c>
      <c r="AC1396" s="27" t="n">
        <f aca="false">IF(I1396-E1396&gt;=GWL,99,E1396*(MAX(0,GWL-I1396)*(GAM_S-GAM_W)+MAX(0,FL-MAX(I1396,GWL))*GAM_D)/(GAM_W*PI()*E1396^2/4))</f>
        <v>3.53278231246776</v>
      </c>
    </row>
    <row r="1397" customFormat="false" ht="15" hidden="false" customHeight="false" outlineLevel="0" collapsed="false">
      <c r="A1397" s="25" t="s">
        <v>2030</v>
      </c>
      <c r="B1397" s="25" t="s">
        <v>2035</v>
      </c>
      <c r="C1397" s="25" t="s">
        <v>2051</v>
      </c>
      <c r="D1397" s="26" t="n">
        <v>0.359740773292464</v>
      </c>
      <c r="E1397" s="26" t="n">
        <v>1.84099501718031</v>
      </c>
      <c r="F1397" s="26" t="n">
        <v>-4.54739750859015</v>
      </c>
      <c r="G1397" s="26" t="n">
        <v>-4.54875750859015</v>
      </c>
      <c r="H1397" s="26" t="n">
        <v>-2.20640249140985</v>
      </c>
      <c r="I1397" s="26" t="n">
        <v>-2.20776249140985</v>
      </c>
      <c r="J1397" s="26" t="n">
        <v>16.68</v>
      </c>
      <c r="K1397" s="27" t="n">
        <f aca="false">MIN(F1397,G1397)</f>
        <v>-4.54875750859015</v>
      </c>
      <c r="L1397" s="27" t="n">
        <f aca="false">AVERAGE(F1397,G1397)</f>
        <v>-4.54807750859015</v>
      </c>
      <c r="M1397" s="27" t="n">
        <f aca="false">MAX(0,NG-L1397)</f>
        <v>3.84807750859015</v>
      </c>
      <c r="N1397" s="27" t="n">
        <f aca="false">MAX(0,GWL-K1397)</f>
        <v>3.04875750859015</v>
      </c>
      <c r="O1397" s="27" t="n">
        <f aca="false">MAX(0,NG-MAX(K1397,GWL))</f>
        <v>0.8</v>
      </c>
      <c r="P1397" s="27" t="n">
        <f aca="false">E1397/2+WS+SLOPE_A*O1397+SLOPE_B*N1397</f>
        <v>9.21801252577046</v>
      </c>
      <c r="Q1397" s="28" t="str">
        <f aca="false">IF(AND(P1397&lt;J1397,N1397&lt;=MAXOC),"Open cut","Shoring")</f>
        <v>Shoring</v>
      </c>
      <c r="R1397" s="27" t="n">
        <f aca="false">IF(Q1397="Shoring",D1397,0)</f>
        <v>0.359740773292464</v>
      </c>
      <c r="S1397" s="27" t="n">
        <f aca="false">MAX(0,GWL-L1397)</f>
        <v>3.04807750859015</v>
      </c>
      <c r="T1397" s="27" t="n">
        <f aca="false">MAX(0,NG-MAX(L1397,GWL))</f>
        <v>0.8</v>
      </c>
      <c r="U1397" s="27" t="n">
        <f aca="false">E1397+2*WS</f>
        <v>3.84099501718031</v>
      </c>
      <c r="V1397" s="27" t="n">
        <f aca="false">IF(Q1397="Shoring",D1397*M1397*U1397,0)</f>
        <v>5.31712926654713</v>
      </c>
      <c r="W1397" s="27" t="n">
        <f aca="false">IF(Q1397="Open cut",D1397*(U1397*M1397+SLOPE_B*S1397^2+2*SLOPE_B*S1397*T1397+SLOPE_A*T1397^2),0)</f>
        <v>0</v>
      </c>
      <c r="X1397" s="27" t="n">
        <f aca="false">IF(M1397&gt;0,D1397*(E1397+2*SLABOVH)*SLAB,0)</f>
        <v>0.511010872200241</v>
      </c>
      <c r="Y1397" s="27" t="n">
        <f aca="false">IF(M1397&gt;0,D1397*PI()*E1397^2/4,0)</f>
        <v>0.957601397808298</v>
      </c>
      <c r="Z1397" s="27" t="n">
        <f aca="false">IF(H1397-E1397&gt;=GWL,99,E1397*(MAX(0,GWL-H1397)*(GAM_S-GAM_W)+MAX(0,NG-MAX(H1397,GWL))*GAM_D)/(GAM_W*PI()*E1397^2/4))</f>
        <v>1.42307123892438</v>
      </c>
      <c r="AA1397" s="27" t="n">
        <f aca="false">IF(I1397-E1397&gt;=GWL,99,E1397*(MAX(0,GWL-I1397)*(GAM_S-GAM_W)+MAX(0,NG-MAX(I1397,GWL))*GAM_D)/(GAM_W*PI()*E1397^2/4))</f>
        <v>1.42385649500554</v>
      </c>
      <c r="AB1397" s="27" t="n">
        <f aca="false">IF(H1397-E1397&gt;=GWL,99,E1397*(MAX(0,GWL-H1397)*(GAM_S-GAM_W)+MAX(0,FL-MAX(H1397,GWL))*GAM_D)/(GAM_W*PI()*E1397^2/4))</f>
        <v>3.58036816519057</v>
      </c>
      <c r="AC1397" s="27" t="n">
        <f aca="false">IF(I1397-E1397&gt;=GWL,99,E1397*(MAX(0,GWL-I1397)*(GAM_S-GAM_W)+MAX(0,FL-MAX(I1397,GWL))*GAM_D)/(GAM_W*PI()*E1397^2/4))</f>
        <v>3.58115342127173</v>
      </c>
    </row>
    <row r="1398" customFormat="false" ht="15" hidden="false" customHeight="false" outlineLevel="0" collapsed="false">
      <c r="A1398" s="25" t="s">
        <v>2030</v>
      </c>
      <c r="B1398" s="25" t="s">
        <v>2035</v>
      </c>
      <c r="C1398" s="25" t="s">
        <v>2052</v>
      </c>
      <c r="D1398" s="26" t="n">
        <v>0.60059623675686</v>
      </c>
      <c r="E1398" s="26" t="n">
        <v>1.70087422242503</v>
      </c>
      <c r="F1398" s="26" t="n">
        <v>-4.47869711121252</v>
      </c>
      <c r="G1398" s="26" t="n">
        <v>-4.48097496577042</v>
      </c>
      <c r="H1398" s="26" t="n">
        <v>-2.27782288878748</v>
      </c>
      <c r="I1398" s="26" t="n">
        <v>-2.28010074334539</v>
      </c>
      <c r="J1398" s="26" t="n">
        <v>16.68</v>
      </c>
      <c r="K1398" s="27" t="n">
        <f aca="false">MIN(F1398,G1398)</f>
        <v>-4.48097496577042</v>
      </c>
      <c r="L1398" s="27" t="n">
        <f aca="false">AVERAGE(F1398,G1398)</f>
        <v>-4.47983603849147</v>
      </c>
      <c r="M1398" s="27" t="n">
        <f aca="false">MAX(0,NG-L1398)</f>
        <v>3.77983603849147</v>
      </c>
      <c r="N1398" s="27" t="n">
        <f aca="false">MAX(0,GWL-K1398)</f>
        <v>2.98097496577042</v>
      </c>
      <c r="O1398" s="27" t="n">
        <f aca="false">MAX(0,NG-MAX(K1398,GWL))</f>
        <v>0.8</v>
      </c>
      <c r="P1398" s="27" t="n">
        <f aca="false">E1398/2+WS+SLOPE_A*O1398+SLOPE_B*N1398</f>
        <v>9.01238704275336</v>
      </c>
      <c r="Q1398" s="28" t="str">
        <f aca="false">IF(AND(P1398&lt;J1398,N1398&lt;=MAXOC),"Open cut","Shoring")</f>
        <v>Shoring</v>
      </c>
      <c r="R1398" s="27" t="n">
        <f aca="false">IF(Q1398="Shoring",D1398,0)</f>
        <v>0.60059623675686</v>
      </c>
      <c r="S1398" s="27" t="n">
        <f aca="false">MAX(0,GWL-L1398)</f>
        <v>2.97983603849147</v>
      </c>
      <c r="T1398" s="27" t="n">
        <f aca="false">MAX(0,NG-MAX(L1398,GWL))</f>
        <v>0.8</v>
      </c>
      <c r="U1398" s="27" t="n">
        <f aca="false">E1398+2*WS</f>
        <v>3.70087422242503</v>
      </c>
      <c r="V1398" s="27" t="n">
        <f aca="false">IF(Q1398="Shoring",D1398*M1398*U1398,0)</f>
        <v>8.40155923169277</v>
      </c>
      <c r="W1398" s="27" t="n">
        <f aca="false">IF(Q1398="Open cut",D1398*(U1398*M1398+SLOPE_B*S1398^2+2*SLOPE_B*S1398*T1398+SLOPE_A*T1398^2),0)</f>
        <v>0</v>
      </c>
      <c r="X1398" s="27" t="n">
        <f aca="false">IF(M1398&gt;0,D1398*(E1398+2*SLABOVH)*SLAB,0)</f>
        <v>0.811067446971043</v>
      </c>
      <c r="Y1398" s="27" t="n">
        <f aca="false">IF(M1398&gt;0,D1398*PI()*E1398^2/4,0)</f>
        <v>1.36463619623002</v>
      </c>
      <c r="Z1398" s="27" t="n">
        <f aca="false">IF(H1398-E1398&gt;=GWL,99,E1398*(MAX(0,GWL-H1398)*(GAM_S-GAM_W)+MAX(0,NG-MAX(H1398,GWL))*GAM_D)/(GAM_W*PI()*E1398^2/4))</f>
        <v>1.58494112284933</v>
      </c>
      <c r="AA1398" s="27" t="n">
        <f aca="false">IF(I1398-E1398&gt;=GWL,99,E1398*(MAX(0,GWL-I1398)*(GAM_S-GAM_W)+MAX(0,NG-MAX(I1398,GWL))*GAM_D)/(GAM_W*PI()*E1398^2/4))</f>
        <v>1.58636469277485</v>
      </c>
      <c r="AB1398" s="27" t="n">
        <f aca="false">IF(H1398-E1398&gt;=GWL,99,E1398*(MAX(0,GWL-H1398)*(GAM_S-GAM_W)+MAX(0,FL-MAX(H1398,GWL))*GAM_D)/(GAM_W*PI()*E1398^2/4))</f>
        <v>3.91995969122528</v>
      </c>
      <c r="AC1398" s="27" t="n">
        <f aca="false">IF(I1398-E1398&gt;=GWL,99,E1398*(MAX(0,GWL-I1398)*(GAM_S-GAM_W)+MAX(0,FL-MAX(I1398,GWL))*GAM_D)/(GAM_W*PI()*E1398^2/4))</f>
        <v>3.9213832611508</v>
      </c>
    </row>
    <row r="1399" customFormat="false" ht="15" hidden="false" customHeight="false" outlineLevel="0" collapsed="false">
      <c r="A1399" s="25" t="s">
        <v>2030</v>
      </c>
      <c r="B1399" s="25" t="s">
        <v>2035</v>
      </c>
      <c r="C1399" s="25" t="s">
        <v>2053</v>
      </c>
      <c r="D1399" s="26" t="n">
        <v>0.501533950108125</v>
      </c>
      <c r="E1399" s="26" t="n">
        <v>1.70087422242503</v>
      </c>
      <c r="F1399" s="26" t="n">
        <v>-4.48097496577042</v>
      </c>
      <c r="G1399" s="26" t="n">
        <v>-4.48287711121252</v>
      </c>
      <c r="H1399" s="26" t="n">
        <v>-2.28010074334539</v>
      </c>
      <c r="I1399" s="26" t="n">
        <v>-2.28200288878748</v>
      </c>
      <c r="J1399" s="26" t="n">
        <v>16.89</v>
      </c>
      <c r="K1399" s="27" t="n">
        <f aca="false">MIN(F1399,G1399)</f>
        <v>-4.48287711121252</v>
      </c>
      <c r="L1399" s="27" t="n">
        <f aca="false">AVERAGE(F1399,G1399)</f>
        <v>-4.48192603849147</v>
      </c>
      <c r="M1399" s="27" t="n">
        <f aca="false">MAX(0,NG-L1399)</f>
        <v>3.78192603849147</v>
      </c>
      <c r="N1399" s="27" t="n">
        <f aca="false">MAX(0,GWL-K1399)</f>
        <v>2.98287711121252</v>
      </c>
      <c r="O1399" s="27" t="n">
        <f aca="false">MAX(0,NG-MAX(K1399,GWL))</f>
        <v>0.8</v>
      </c>
      <c r="P1399" s="27" t="n">
        <f aca="false">E1399/2+WS+SLOPE_A*O1399+SLOPE_B*N1399</f>
        <v>9.01619133363755</v>
      </c>
      <c r="Q1399" s="28" t="str">
        <f aca="false">IF(AND(P1399&lt;J1399,N1399&lt;=MAXOC),"Open cut","Shoring")</f>
        <v>Shoring</v>
      </c>
      <c r="R1399" s="27" t="n">
        <f aca="false">IF(Q1399="Shoring",D1399,0)</f>
        <v>0.501533950108125</v>
      </c>
      <c r="S1399" s="27" t="n">
        <f aca="false">MAX(0,GWL-L1399)</f>
        <v>2.98192603849147</v>
      </c>
      <c r="T1399" s="27" t="n">
        <f aca="false">MAX(0,NG-MAX(L1399,GWL))</f>
        <v>0.8</v>
      </c>
      <c r="U1399" s="27" t="n">
        <f aca="false">E1399+2*WS</f>
        <v>3.70087422242503</v>
      </c>
      <c r="V1399" s="27" t="n">
        <f aca="false">IF(Q1399="Shoring",D1399*M1399*U1399,0)</f>
        <v>7.01968612276569</v>
      </c>
      <c r="W1399" s="27" t="n">
        <f aca="false">IF(Q1399="Open cut",D1399*(U1399*M1399+SLOPE_B*S1399^2+2*SLOPE_B*S1399*T1399+SLOPE_A*T1399^2),0)</f>
        <v>0</v>
      </c>
      <c r="X1399" s="27" t="n">
        <f aca="false">IF(M1399&gt;0,D1399*(E1399+2*SLABOVH)*SLAB,0)</f>
        <v>0.677290058759018</v>
      </c>
      <c r="Y1399" s="27" t="n">
        <f aca="false">IF(M1399&gt;0,D1399*PI()*E1399^2/4,0)</f>
        <v>1.13955323072202</v>
      </c>
      <c r="Z1399" s="27" t="n">
        <f aca="false">IF(H1399-E1399&gt;=GWL,99,E1399*(MAX(0,GWL-H1399)*(GAM_S-GAM_W)+MAX(0,NG-MAX(H1399,GWL))*GAM_D)/(GAM_W*PI()*E1399^2/4))</f>
        <v>1.58636469277485</v>
      </c>
      <c r="AA1399" s="27" t="n">
        <f aca="false">IF(I1399-E1399&gt;=GWL,99,E1399*(MAX(0,GWL-I1399)*(GAM_S-GAM_W)+MAX(0,NG-MAX(I1399,GWL))*GAM_D)/(GAM_W*PI()*E1399^2/4))</f>
        <v>1.58755345921121</v>
      </c>
      <c r="AB1399" s="27" t="n">
        <f aca="false">IF(H1399-E1399&gt;=GWL,99,E1399*(MAX(0,GWL-H1399)*(GAM_S-GAM_W)+MAX(0,FL-MAX(H1399,GWL))*GAM_D)/(GAM_W*PI()*E1399^2/4))</f>
        <v>3.9213832611508</v>
      </c>
      <c r="AC1399" s="27" t="n">
        <f aca="false">IF(I1399-E1399&gt;=GWL,99,E1399*(MAX(0,GWL-I1399)*(GAM_S-GAM_W)+MAX(0,FL-MAX(I1399,GWL))*GAM_D)/(GAM_W*PI()*E1399^2/4))</f>
        <v>3.92257202758716</v>
      </c>
    </row>
    <row r="1400" customFormat="false" ht="15" hidden="false" customHeight="false" outlineLevel="0" collapsed="false">
      <c r="A1400" s="25" t="s">
        <v>2030</v>
      </c>
      <c r="B1400" s="25" t="s">
        <v>2035</v>
      </c>
      <c r="C1400" s="25" t="s">
        <v>2054</v>
      </c>
      <c r="D1400" s="26" t="n">
        <v>1.10205635009756</v>
      </c>
      <c r="E1400" s="26" t="n">
        <v>1.70085495895123</v>
      </c>
      <c r="F1400" s="26" t="n">
        <v>-4.48286747947562</v>
      </c>
      <c r="G1400" s="26" t="n">
        <v>-4.48703747947562</v>
      </c>
      <c r="H1400" s="26" t="n">
        <v>-2.28201252052438</v>
      </c>
      <c r="I1400" s="26" t="n">
        <v>-2.28618252052439</v>
      </c>
      <c r="J1400" s="26" t="n">
        <v>17.08</v>
      </c>
      <c r="K1400" s="27" t="n">
        <f aca="false">MIN(F1400,G1400)</f>
        <v>-4.48703747947562</v>
      </c>
      <c r="L1400" s="27" t="n">
        <f aca="false">AVERAGE(F1400,G1400)</f>
        <v>-4.48495247947562</v>
      </c>
      <c r="M1400" s="27" t="n">
        <f aca="false">MAX(0,NG-L1400)</f>
        <v>3.78495247947562</v>
      </c>
      <c r="N1400" s="27" t="n">
        <f aca="false">MAX(0,GWL-K1400)</f>
        <v>2.98703747947562</v>
      </c>
      <c r="O1400" s="27" t="n">
        <f aca="false">MAX(0,NG-MAX(K1400,GWL))</f>
        <v>0.8</v>
      </c>
      <c r="P1400" s="27" t="n">
        <f aca="false">E1400/2+WS+SLOPE_A*O1400+SLOPE_B*N1400</f>
        <v>9.02450243842685</v>
      </c>
      <c r="Q1400" s="28" t="str">
        <f aca="false">IF(AND(P1400&lt;J1400,N1400&lt;=MAXOC),"Open cut","Shoring")</f>
        <v>Shoring</v>
      </c>
      <c r="R1400" s="27" t="n">
        <f aca="false">IF(Q1400="Shoring",D1400,0)</f>
        <v>1.10205635009756</v>
      </c>
      <c r="S1400" s="27" t="n">
        <f aca="false">MAX(0,GWL-L1400)</f>
        <v>2.98495247947562</v>
      </c>
      <c r="T1400" s="27" t="n">
        <f aca="false">MAX(0,NG-MAX(L1400,GWL))</f>
        <v>0.8</v>
      </c>
      <c r="U1400" s="27" t="n">
        <f aca="false">E1400+2*WS</f>
        <v>3.70085495895123</v>
      </c>
      <c r="V1400" s="27" t="n">
        <f aca="false">IF(Q1400="Shoring",D1400*M1400*U1400,0)</f>
        <v>15.4371206160556</v>
      </c>
      <c r="W1400" s="27" t="n">
        <f aca="false">IF(Q1400="Open cut",D1400*(U1400*M1400+SLOPE_B*S1400^2+2*SLOPE_B*S1400*T1400+SLOPE_A*T1400^2),0)</f>
        <v>0</v>
      </c>
      <c r="X1400" s="27" t="n">
        <f aca="false">IF(M1400&gt;0,D1400*(E1400+2*SLABOVH)*SLAB,0)</f>
        <v>1.48824717910234</v>
      </c>
      <c r="Y1400" s="27" t="n">
        <f aca="false">IF(M1400&gt;0,D1400*PI()*E1400^2/4,0)</f>
        <v>2.50396494086178</v>
      </c>
      <c r="Z1400" s="27" t="n">
        <f aca="false">IF(H1400-E1400&gt;=GWL,99,E1400*(MAX(0,GWL-H1400)*(GAM_S-GAM_W)+MAX(0,NG-MAX(H1400,GWL))*GAM_D)/(GAM_W*PI()*E1400^2/4))</f>
        <v>1.58757745898617</v>
      </c>
      <c r="AA1400" s="27" t="n">
        <f aca="false">IF(I1400-E1400&gt;=GWL,99,E1400*(MAX(0,GWL-I1400)*(GAM_S-GAM_W)+MAX(0,NG-MAX(I1400,GWL))*GAM_D)/(GAM_W*PI()*E1400^2/4))</f>
        <v>1.59018357525544</v>
      </c>
      <c r="AB1400" s="27" t="n">
        <f aca="false">IF(H1400-E1400&gt;=GWL,99,E1400*(MAX(0,GWL-H1400)*(GAM_S-GAM_W)+MAX(0,FL-MAX(H1400,GWL))*GAM_D)/(GAM_W*PI()*E1400^2/4))</f>
        <v>3.9226224732203</v>
      </c>
      <c r="AC1400" s="27" t="n">
        <f aca="false">IF(I1400-E1400&gt;=GWL,99,E1400*(MAX(0,GWL-I1400)*(GAM_S-GAM_W)+MAX(0,FL-MAX(I1400,GWL))*GAM_D)/(GAM_W*PI()*E1400^2/4))</f>
        <v>3.92522858948957</v>
      </c>
    </row>
    <row r="1401" customFormat="false" ht="15" hidden="false" customHeight="false" outlineLevel="0" collapsed="false">
      <c r="A1401" s="25" t="s">
        <v>2030</v>
      </c>
      <c r="B1401" s="25" t="s">
        <v>2035</v>
      </c>
      <c r="C1401" s="25" t="s">
        <v>2055</v>
      </c>
      <c r="D1401" s="26" t="n">
        <v>0.36008000002299</v>
      </c>
      <c r="E1401" s="26" t="n">
        <v>1.84099501781072</v>
      </c>
      <c r="F1401" s="26" t="n">
        <v>-4.55710750890536</v>
      </c>
      <c r="G1401" s="26" t="n">
        <v>-4.55846750890536</v>
      </c>
      <c r="H1401" s="26" t="n">
        <v>-2.21611249109464</v>
      </c>
      <c r="I1401" s="26" t="n">
        <v>-2.21747249109464</v>
      </c>
      <c r="J1401" s="26" t="n">
        <v>18.1</v>
      </c>
      <c r="K1401" s="27" t="n">
        <f aca="false">MIN(F1401,G1401)</f>
        <v>-4.55846750890536</v>
      </c>
      <c r="L1401" s="27" t="n">
        <f aca="false">AVERAGE(F1401,G1401)</f>
        <v>-4.55778750890536</v>
      </c>
      <c r="M1401" s="27" t="n">
        <f aca="false">MAX(0,NG-L1401)</f>
        <v>3.85778750890536</v>
      </c>
      <c r="N1401" s="27" t="n">
        <f aca="false">MAX(0,GWL-K1401)</f>
        <v>3.05846750890536</v>
      </c>
      <c r="O1401" s="27" t="n">
        <f aca="false">MAX(0,NG-MAX(K1401,GWL))</f>
        <v>0.8</v>
      </c>
      <c r="P1401" s="27" t="n">
        <f aca="false">E1401/2+WS+SLOPE_A*O1401+SLOPE_B*N1401</f>
        <v>9.23743252671607</v>
      </c>
      <c r="Q1401" s="28" t="str">
        <f aca="false">IF(AND(P1401&lt;J1401,N1401&lt;=MAXOC),"Open cut","Shoring")</f>
        <v>Shoring</v>
      </c>
      <c r="R1401" s="27" t="n">
        <f aca="false">IF(Q1401="Shoring",D1401,0)</f>
        <v>0.36008000002299</v>
      </c>
      <c r="S1401" s="27" t="n">
        <f aca="false">MAX(0,GWL-L1401)</f>
        <v>3.05778750890536</v>
      </c>
      <c r="T1401" s="27" t="n">
        <f aca="false">MAX(0,NG-MAX(L1401,GWL))</f>
        <v>0.8</v>
      </c>
      <c r="U1401" s="27" t="n">
        <f aca="false">E1401+2*WS</f>
        <v>3.84099501781072</v>
      </c>
      <c r="V1401" s="27" t="n">
        <f aca="false">IF(Q1401="Shoring",D1401*M1401*U1401,0)</f>
        <v>5.33557275628082</v>
      </c>
      <c r="W1401" s="27" t="n">
        <f aca="false">IF(Q1401="Open cut",D1401*(U1401*M1401+SLOPE_B*S1401^2+2*SLOPE_B*S1401*T1401+SLOPE_A*T1401^2),0)</f>
        <v>0</v>
      </c>
      <c r="X1401" s="27" t="n">
        <f aca="false">IF(M1401&gt;0,D1401*(E1401+2*SLABOVH)*SLAB,0)</f>
        <v>0.511492743039299</v>
      </c>
      <c r="Y1401" s="27" t="n">
        <f aca="false">IF(M1401&gt;0,D1401*PI()*E1401^2/4,0)</f>
        <v>0.958504393108221</v>
      </c>
      <c r="Z1401" s="27" t="n">
        <f aca="false">IF(H1401-E1401&gt;=GWL,99,E1401*(MAX(0,GWL-H1401)*(GAM_S-GAM_W)+MAX(0,NG-MAX(H1401,GWL))*GAM_D)/(GAM_W*PI()*E1401^2/4))</f>
        <v>1.42867773571498</v>
      </c>
      <c r="AA1401" s="27" t="n">
        <f aca="false">IF(I1401-E1401&gt;=GWL,99,E1401*(MAX(0,GWL-I1401)*(GAM_S-GAM_W)+MAX(0,NG-MAX(I1401,GWL))*GAM_D)/(GAM_W*PI()*E1401^2/4))</f>
        <v>1.42946299179587</v>
      </c>
      <c r="AB1401" s="27" t="n">
        <f aca="false">IF(H1401-E1401&gt;=GWL,99,E1401*(MAX(0,GWL-H1401)*(GAM_S-GAM_W)+MAX(0,FL-MAX(H1401,GWL))*GAM_D)/(GAM_W*PI()*E1401^2/4))</f>
        <v>3.58597466124245</v>
      </c>
      <c r="AC1401" s="27" t="n">
        <f aca="false">IF(I1401-E1401&gt;=GWL,99,E1401*(MAX(0,GWL-I1401)*(GAM_S-GAM_W)+MAX(0,FL-MAX(I1401,GWL))*GAM_D)/(GAM_W*PI()*E1401^2/4))</f>
        <v>3.58675991732334</v>
      </c>
    </row>
    <row r="1402" customFormat="false" ht="15" hidden="false" customHeight="false" outlineLevel="0" collapsed="false">
      <c r="A1402" s="25" t="s">
        <v>2030</v>
      </c>
      <c r="B1402" s="25" t="s">
        <v>2035</v>
      </c>
      <c r="C1402" s="25" t="s">
        <v>2056</v>
      </c>
      <c r="D1402" s="26" t="n">
        <v>3.17536999995212</v>
      </c>
      <c r="E1402" s="26" t="n">
        <v>1.86259524909785</v>
      </c>
      <c r="F1402" s="26" t="n">
        <v>-4.56926762454893</v>
      </c>
      <c r="G1402" s="26" t="n">
        <v>-4.58129762454893</v>
      </c>
      <c r="H1402" s="26" t="n">
        <v>-2.20667237545108</v>
      </c>
      <c r="I1402" s="26" t="n">
        <v>-2.21870237545108</v>
      </c>
      <c r="J1402" s="26" t="n">
        <v>18.46</v>
      </c>
      <c r="K1402" s="27" t="n">
        <f aca="false">MIN(F1402,G1402)</f>
        <v>-4.58129762454893</v>
      </c>
      <c r="L1402" s="27" t="n">
        <f aca="false">AVERAGE(F1402,G1402)</f>
        <v>-4.57528262454893</v>
      </c>
      <c r="M1402" s="27" t="n">
        <f aca="false">MAX(0,NG-L1402)</f>
        <v>3.87528262454893</v>
      </c>
      <c r="N1402" s="27" t="n">
        <f aca="false">MAX(0,GWL-K1402)</f>
        <v>3.08129762454892</v>
      </c>
      <c r="O1402" s="27" t="n">
        <f aca="false">MAX(0,NG-MAX(K1402,GWL))</f>
        <v>0.8</v>
      </c>
      <c r="P1402" s="27" t="n">
        <f aca="false">E1402/2+WS+SLOPE_A*O1402+SLOPE_B*N1402</f>
        <v>9.29389287364677</v>
      </c>
      <c r="Q1402" s="28" t="str">
        <f aca="false">IF(AND(P1402&lt;J1402,N1402&lt;=MAXOC),"Open cut","Shoring")</f>
        <v>Shoring</v>
      </c>
      <c r="R1402" s="27" t="n">
        <f aca="false">IF(Q1402="Shoring",D1402,0)</f>
        <v>3.17536999995212</v>
      </c>
      <c r="S1402" s="27" t="n">
        <f aca="false">MAX(0,GWL-L1402)</f>
        <v>3.07528262454893</v>
      </c>
      <c r="T1402" s="27" t="n">
        <f aca="false">MAX(0,NG-MAX(L1402,GWL))</f>
        <v>0.8</v>
      </c>
      <c r="U1402" s="27" t="n">
        <f aca="false">E1402+2*WS</f>
        <v>3.86259524909785</v>
      </c>
      <c r="V1402" s="27" t="n">
        <f aca="false">IF(Q1402="Shoring",D1402*M1402*U1402,0)</f>
        <v>47.5309966071563</v>
      </c>
      <c r="W1402" s="27" t="n">
        <f aca="false">IF(Q1402="Open cut",D1402*(U1402*M1402+SLOPE_B*S1402^2+2*SLOPE_B*S1402*T1402+SLOPE_A*T1402^2),0)</f>
        <v>0</v>
      </c>
      <c r="X1402" s="27" t="n">
        <f aca="false">IF(M1402&gt;0,D1402*(E1402+2*SLABOVH)*SLAB,0)</f>
        <v>4.54489953799539</v>
      </c>
      <c r="Y1402" s="27" t="n">
        <f aca="false">IF(M1402&gt;0,D1402*PI()*E1402^2/4,0)</f>
        <v>8.65209342869349</v>
      </c>
      <c r="Z1402" s="27" t="n">
        <f aca="false">IF(H1402-E1402&gt;=GWL,99,E1402*(MAX(0,GWL-H1402)*(GAM_S-GAM_W)+MAX(0,NG-MAX(H1402,GWL))*GAM_D)/(GAM_W*PI()*E1402^2/4))</f>
        <v>1.40672212199969</v>
      </c>
      <c r="AA1402" s="27" t="n">
        <f aca="false">IF(I1402-E1402&gt;=GWL,99,E1402*(MAX(0,GWL-I1402)*(GAM_S-GAM_W)+MAX(0,NG-MAX(I1402,GWL))*GAM_D)/(GAM_W*PI()*E1402^2/4))</f>
        <v>1.41358762165193</v>
      </c>
      <c r="AB1402" s="27" t="n">
        <f aca="false">IF(H1402-E1402&gt;=GWL,99,E1402*(MAX(0,GWL-H1402)*(GAM_S-GAM_W)+MAX(0,FL-MAX(H1402,GWL))*GAM_D)/(GAM_W*PI()*E1402^2/4))</f>
        <v>3.53900120612067</v>
      </c>
      <c r="AC1402" s="27" t="n">
        <f aca="false">IF(I1402-E1402&gt;=GWL,99,E1402*(MAX(0,GWL-I1402)*(GAM_S-GAM_W)+MAX(0,FL-MAX(I1402,GWL))*GAM_D)/(GAM_W*PI()*E1402^2/4))</f>
        <v>3.54586670577291</v>
      </c>
    </row>
    <row r="1403" customFormat="false" ht="15" hidden="false" customHeight="false" outlineLevel="0" collapsed="false">
      <c r="A1403" s="25" t="s">
        <v>2030</v>
      </c>
      <c r="B1403" s="25" t="s">
        <v>2035</v>
      </c>
      <c r="C1403" s="25" t="s">
        <v>2057</v>
      </c>
      <c r="D1403" s="26" t="n">
        <v>4.58629999959514</v>
      </c>
      <c r="E1403" s="26" t="n">
        <v>1.86259524909785</v>
      </c>
      <c r="F1403" s="26" t="n">
        <v>-4.58129762454893</v>
      </c>
      <c r="G1403" s="26" t="n">
        <v>-4.58129762454893</v>
      </c>
      <c r="H1403" s="26" t="n">
        <v>-2.21870237545108</v>
      </c>
      <c r="I1403" s="26" t="n">
        <v>-2.21870237545108</v>
      </c>
      <c r="J1403" s="26" t="n">
        <v>21.64</v>
      </c>
      <c r="K1403" s="27" t="n">
        <f aca="false">MIN(F1403,G1403)</f>
        <v>-4.58129762454893</v>
      </c>
      <c r="L1403" s="27" t="n">
        <f aca="false">AVERAGE(F1403,G1403)</f>
        <v>-4.58129762454893</v>
      </c>
      <c r="M1403" s="27" t="n">
        <f aca="false">MAX(0,NG-L1403)</f>
        <v>3.88129762454892</v>
      </c>
      <c r="N1403" s="27" t="n">
        <f aca="false">MAX(0,GWL-K1403)</f>
        <v>3.08129762454892</v>
      </c>
      <c r="O1403" s="27" t="n">
        <f aca="false">MAX(0,NG-MAX(K1403,GWL))</f>
        <v>0.8</v>
      </c>
      <c r="P1403" s="27" t="n">
        <f aca="false">E1403/2+WS+SLOPE_A*O1403+SLOPE_B*N1403</f>
        <v>9.29389287364677</v>
      </c>
      <c r="Q1403" s="28" t="str">
        <f aca="false">IF(AND(P1403&lt;J1403,N1403&lt;=MAXOC),"Open cut","Shoring")</f>
        <v>Shoring</v>
      </c>
      <c r="R1403" s="27" t="n">
        <f aca="false">IF(Q1403="Shoring",D1403,0)</f>
        <v>4.58629999959514</v>
      </c>
      <c r="S1403" s="27" t="n">
        <f aca="false">MAX(0,GWL-L1403)</f>
        <v>3.08129762454892</v>
      </c>
      <c r="T1403" s="27" t="n">
        <f aca="false">MAX(0,NG-MAX(L1403,GWL))</f>
        <v>0.8</v>
      </c>
      <c r="U1403" s="27" t="n">
        <f aca="false">E1403+2*WS</f>
        <v>3.86259524909785</v>
      </c>
      <c r="V1403" s="27" t="n">
        <f aca="false">IF(Q1403="Shoring",D1403*M1403*U1403,0)</f>
        <v>68.7572673323712</v>
      </c>
      <c r="W1403" s="27" t="n">
        <f aca="false">IF(Q1403="Open cut",D1403*(U1403*M1403+SLOPE_B*S1403^2+2*SLOPE_B*S1403*T1403+SLOPE_A*T1403^2),0)</f>
        <v>0</v>
      </c>
      <c r="X1403" s="27" t="n">
        <f aca="false">IF(M1403&gt;0,D1403*(E1403+2*SLABOVH)*SLAB,0)</f>
        <v>6.56436029488925</v>
      </c>
      <c r="Y1403" s="27" t="n">
        <f aca="false">IF(M1403&gt;0,D1403*PI()*E1403^2/4,0)</f>
        <v>12.4965267320383</v>
      </c>
      <c r="Z1403" s="27" t="n">
        <f aca="false">IF(H1403-E1403&gt;=GWL,99,E1403*(MAX(0,GWL-H1403)*(GAM_S-GAM_W)+MAX(0,NG-MAX(H1403,GWL))*GAM_D)/(GAM_W*PI()*E1403^2/4))</f>
        <v>1.41358762165193</v>
      </c>
      <c r="AA1403" s="27" t="n">
        <f aca="false">IF(I1403-E1403&gt;=GWL,99,E1403*(MAX(0,GWL-I1403)*(GAM_S-GAM_W)+MAX(0,NG-MAX(I1403,GWL))*GAM_D)/(GAM_W*PI()*E1403^2/4))</f>
        <v>1.41358762165193</v>
      </c>
      <c r="AB1403" s="27" t="n">
        <f aca="false">IF(H1403-E1403&gt;=GWL,99,E1403*(MAX(0,GWL-H1403)*(GAM_S-GAM_W)+MAX(0,FL-MAX(H1403,GWL))*GAM_D)/(GAM_W*PI()*E1403^2/4))</f>
        <v>3.54586670577291</v>
      </c>
      <c r="AC1403" s="27" t="n">
        <f aca="false">IF(I1403-E1403&gt;=GWL,99,E1403*(MAX(0,GWL-I1403)*(GAM_S-GAM_W)+MAX(0,FL-MAX(I1403,GWL))*GAM_D)/(GAM_W*PI()*E1403^2/4))</f>
        <v>3.54586670577291</v>
      </c>
    </row>
    <row r="1404" customFormat="false" ht="15" hidden="false" customHeight="false" outlineLevel="0" collapsed="false">
      <c r="A1404" s="25" t="s">
        <v>2058</v>
      </c>
      <c r="B1404" s="25" t="s">
        <v>2059</v>
      </c>
      <c r="C1404" s="25" t="s">
        <v>2060</v>
      </c>
      <c r="D1404" s="26" t="n">
        <v>10.0000000002758</v>
      </c>
      <c r="E1404" s="26" t="n">
        <v>2.27639798956988</v>
      </c>
      <c r="F1404" s="26" t="n">
        <v>-6.23819899478494</v>
      </c>
      <c r="G1404" s="26" t="n">
        <v>-6.23819899478494</v>
      </c>
      <c r="H1404" s="26" t="n">
        <v>-3.46180100521506</v>
      </c>
      <c r="I1404" s="26" t="n">
        <v>-3.46180100521506</v>
      </c>
      <c r="J1404" s="26" t="n">
        <v>33.79</v>
      </c>
      <c r="K1404" s="27" t="n">
        <f aca="false">MIN(F1404,G1404)</f>
        <v>-6.23819899478494</v>
      </c>
      <c r="L1404" s="27" t="n">
        <f aca="false">AVERAGE(F1404,G1404)</f>
        <v>-6.23819899478494</v>
      </c>
      <c r="M1404" s="27" t="n">
        <f aca="false">MAX(0,NG-L1404)</f>
        <v>5.53819899478494</v>
      </c>
      <c r="N1404" s="27" t="n">
        <f aca="false">MAX(0,GWL-K1404)</f>
        <v>4.73819899478494</v>
      </c>
      <c r="O1404" s="27" t="n">
        <f aca="false">MAX(0,NG-MAX(K1404,GWL))</f>
        <v>0.8</v>
      </c>
      <c r="P1404" s="27" t="n">
        <f aca="false">E1404/2+WS+SLOPE_A*O1404+SLOPE_B*N1404</f>
        <v>12.8145969843548</v>
      </c>
      <c r="Q1404" s="28" t="str">
        <f aca="false">IF(AND(P1404&lt;J1404,N1404&lt;=MAXOC),"Open cut","Shoring")</f>
        <v>Shoring</v>
      </c>
      <c r="R1404" s="27" t="n">
        <f aca="false">IF(Q1404="Shoring",D1404,0)</f>
        <v>10.0000000002758</v>
      </c>
      <c r="S1404" s="27" t="n">
        <f aca="false">MAX(0,GWL-L1404)</f>
        <v>4.73819899478494</v>
      </c>
      <c r="T1404" s="27" t="n">
        <f aca="false">MAX(0,NG-MAX(L1404,GWL))</f>
        <v>0.8</v>
      </c>
      <c r="U1404" s="27" t="n">
        <f aca="false">E1404+2*WS</f>
        <v>4.27639798956988</v>
      </c>
      <c r="V1404" s="27" t="n">
        <f aca="false">IF(Q1404="Shoring",D1404*M1404*U1404,0)</f>
        <v>236.835430477895</v>
      </c>
      <c r="W1404" s="27" t="n">
        <f aca="false">IF(Q1404="Open cut",D1404*(U1404*M1404+SLOPE_B*S1404^2+2*SLOPE_B*S1404*T1404+SLOPE_A*T1404^2),0)</f>
        <v>0</v>
      </c>
      <c r="X1404" s="27" t="n">
        <f aca="false">IF(M1404&gt;0,D1404*(E1404+2*SLABOVH)*SLAB,0)</f>
        <v>16.3819899483013</v>
      </c>
      <c r="Y1404" s="27" t="n">
        <f aca="false">IF(M1404&gt;0,D1404*PI()*E1404^2/4,0)</f>
        <v>40.6992370641347</v>
      </c>
      <c r="Z1404" s="27" t="n">
        <f aca="false">IF(H1404-E1404&gt;=GWL,99,E1404*(MAX(0,GWL-H1404)*(GAM_S-GAM_W)+MAX(0,NG-MAX(H1404,GWL))*GAM_D)/(GAM_W*PI()*E1404^2/4))</f>
        <v>1.73709972661516</v>
      </c>
      <c r="AA1404" s="27" t="n">
        <f aca="false">IF(I1404-E1404&gt;=GWL,99,E1404*(MAX(0,GWL-I1404)*(GAM_S-GAM_W)+MAX(0,NG-MAX(I1404,GWL))*GAM_D)/(GAM_W*PI()*E1404^2/4))</f>
        <v>1.73709972661516</v>
      </c>
      <c r="AB1404" s="27" t="n">
        <f aca="false">IF(H1404-E1404&gt;=GWL,99,E1404*(MAX(0,GWL-H1404)*(GAM_S-GAM_W)+MAX(0,FL-MAX(H1404,GWL))*GAM_D)/(GAM_W*PI()*E1404^2/4))</f>
        <v>3.48177394879934</v>
      </c>
      <c r="AC1404" s="27" t="n">
        <f aca="false">IF(I1404-E1404&gt;=GWL,99,E1404*(MAX(0,GWL-I1404)*(GAM_S-GAM_W)+MAX(0,FL-MAX(I1404,GWL))*GAM_D)/(GAM_W*PI()*E1404^2/4))</f>
        <v>3.48177394879934</v>
      </c>
    </row>
    <row r="1405" customFormat="false" ht="15" hidden="false" customHeight="false" outlineLevel="0" collapsed="false">
      <c r="A1405" s="25" t="s">
        <v>2058</v>
      </c>
      <c r="B1405" s="25" t="s">
        <v>2059</v>
      </c>
      <c r="C1405" s="25" t="s">
        <v>2061</v>
      </c>
      <c r="D1405" s="26" t="n">
        <v>2.20259000003154</v>
      </c>
      <c r="E1405" s="26" t="n">
        <v>2.27639798956988</v>
      </c>
      <c r="F1405" s="26" t="n">
        <v>-6.23819899478494</v>
      </c>
      <c r="G1405" s="26" t="n">
        <v>-6.23819899478494</v>
      </c>
      <c r="H1405" s="26" t="n">
        <v>-3.46180100521506</v>
      </c>
      <c r="I1405" s="26" t="n">
        <v>-3.46180100521506</v>
      </c>
      <c r="J1405" s="26" t="n">
        <v>33.22</v>
      </c>
      <c r="K1405" s="27" t="n">
        <f aca="false">MIN(F1405,G1405)</f>
        <v>-6.23819899478494</v>
      </c>
      <c r="L1405" s="27" t="n">
        <f aca="false">AVERAGE(F1405,G1405)</f>
        <v>-6.23819899478494</v>
      </c>
      <c r="M1405" s="27" t="n">
        <f aca="false">MAX(0,NG-L1405)</f>
        <v>5.53819899478494</v>
      </c>
      <c r="N1405" s="27" t="n">
        <f aca="false">MAX(0,GWL-K1405)</f>
        <v>4.73819899478494</v>
      </c>
      <c r="O1405" s="27" t="n">
        <f aca="false">MAX(0,NG-MAX(K1405,GWL))</f>
        <v>0.8</v>
      </c>
      <c r="P1405" s="27" t="n">
        <f aca="false">E1405/2+WS+SLOPE_A*O1405+SLOPE_B*N1405</f>
        <v>12.8145969843548</v>
      </c>
      <c r="Q1405" s="28" t="str">
        <f aca="false">IF(AND(P1405&lt;J1405,N1405&lt;=MAXOC),"Open cut","Shoring")</f>
        <v>Shoring</v>
      </c>
      <c r="R1405" s="27" t="n">
        <f aca="false">IF(Q1405="Shoring",D1405,0)</f>
        <v>2.20259000003154</v>
      </c>
      <c r="S1405" s="27" t="n">
        <f aca="false">MAX(0,GWL-L1405)</f>
        <v>4.73819899478494</v>
      </c>
      <c r="T1405" s="27" t="n">
        <f aca="false">MAX(0,NG-MAX(L1405,GWL))</f>
        <v>0.8</v>
      </c>
      <c r="U1405" s="27" t="n">
        <f aca="false">E1405+2*WS</f>
        <v>4.27639798956988</v>
      </c>
      <c r="V1405" s="27" t="n">
        <f aca="false">IF(Q1405="Shoring",D1405*M1405*U1405,0)</f>
        <v>52.1651350809389</v>
      </c>
      <c r="W1405" s="27" t="n">
        <f aca="false">IF(Q1405="Open cut",D1405*(U1405*M1405+SLOPE_B*S1405^2+2*SLOPE_B*S1405*T1405+SLOPE_A*T1405^2),0)</f>
        <v>0</v>
      </c>
      <c r="X1405" s="27" t="n">
        <f aca="false">IF(M1405&gt;0,D1405*(E1405+2*SLABOVH)*SLAB,0)</f>
        <v>3.60828072397504</v>
      </c>
      <c r="Y1405" s="27" t="n">
        <f aca="false">IF(M1405&gt;0,D1405*PI()*E1405^2/4,0)</f>
        <v>8.96437325639037</v>
      </c>
      <c r="Z1405" s="27" t="n">
        <f aca="false">IF(H1405-E1405&gt;=GWL,99,E1405*(MAX(0,GWL-H1405)*(GAM_S-GAM_W)+MAX(0,NG-MAX(H1405,GWL))*GAM_D)/(GAM_W*PI()*E1405^2/4))</f>
        <v>1.73709972661516</v>
      </c>
      <c r="AA1405" s="27" t="n">
        <f aca="false">IF(I1405-E1405&gt;=GWL,99,E1405*(MAX(0,GWL-I1405)*(GAM_S-GAM_W)+MAX(0,NG-MAX(I1405,GWL))*GAM_D)/(GAM_W*PI()*E1405^2/4))</f>
        <v>1.73709972661516</v>
      </c>
      <c r="AB1405" s="27" t="n">
        <f aca="false">IF(H1405-E1405&gt;=GWL,99,E1405*(MAX(0,GWL-H1405)*(GAM_S-GAM_W)+MAX(0,FL-MAX(H1405,GWL))*GAM_D)/(GAM_W*PI()*E1405^2/4))</f>
        <v>3.48177394879934</v>
      </c>
      <c r="AC1405" s="27" t="n">
        <f aca="false">IF(I1405-E1405&gt;=GWL,99,E1405*(MAX(0,GWL-I1405)*(GAM_S-GAM_W)+MAX(0,FL-MAX(I1405,GWL))*GAM_D)/(GAM_W*PI()*E1405^2/4))</f>
        <v>3.48177394879934</v>
      </c>
    </row>
    <row r="1406" customFormat="false" ht="15" hidden="false" customHeight="false" outlineLevel="0" collapsed="false">
      <c r="A1406" s="25" t="s">
        <v>2062</v>
      </c>
      <c r="B1406" s="25" t="s">
        <v>2063</v>
      </c>
      <c r="C1406" s="25" t="s">
        <v>2064</v>
      </c>
      <c r="D1406" s="26" t="n">
        <v>9.99999999967578</v>
      </c>
      <c r="E1406" s="26" t="n">
        <v>2.27639779722181</v>
      </c>
      <c r="F1406" s="26" t="n">
        <v>-6.2381988986109</v>
      </c>
      <c r="G1406" s="26" t="n">
        <v>-6.2381988986109</v>
      </c>
      <c r="H1406" s="26" t="n">
        <v>-3.4618011013891</v>
      </c>
      <c r="I1406" s="26" t="n">
        <v>-3.4618011013891</v>
      </c>
      <c r="J1406" s="26" t="n">
        <v>30.68</v>
      </c>
      <c r="K1406" s="27" t="n">
        <f aca="false">MIN(F1406,G1406)</f>
        <v>-6.2381988986109</v>
      </c>
      <c r="L1406" s="27" t="n">
        <f aca="false">AVERAGE(F1406,G1406)</f>
        <v>-6.2381988986109</v>
      </c>
      <c r="M1406" s="27" t="n">
        <f aca="false">MAX(0,NG-L1406)</f>
        <v>5.5381988986109</v>
      </c>
      <c r="N1406" s="27" t="n">
        <f aca="false">MAX(0,GWL-K1406)</f>
        <v>4.7381988986109</v>
      </c>
      <c r="O1406" s="27" t="n">
        <f aca="false">MAX(0,NG-MAX(K1406,GWL))</f>
        <v>0.8</v>
      </c>
      <c r="P1406" s="27" t="n">
        <f aca="false">E1406/2+WS+SLOPE_A*O1406+SLOPE_B*N1406</f>
        <v>12.8145966958327</v>
      </c>
      <c r="Q1406" s="28" t="str">
        <f aca="false">IF(AND(P1406&lt;J1406,N1406&lt;=MAXOC),"Open cut","Shoring")</f>
        <v>Shoring</v>
      </c>
      <c r="R1406" s="27" t="n">
        <f aca="false">IF(Q1406="Shoring",D1406,0)</f>
        <v>9.99999999967578</v>
      </c>
      <c r="S1406" s="27" t="n">
        <f aca="false">MAX(0,GWL-L1406)</f>
        <v>4.7381988986109</v>
      </c>
      <c r="T1406" s="27" t="n">
        <f aca="false">MAX(0,NG-MAX(L1406,GWL))</f>
        <v>0.8</v>
      </c>
      <c r="U1406" s="27" t="n">
        <f aca="false">E1406+2*WS</f>
        <v>4.27639779722181</v>
      </c>
      <c r="V1406" s="27" t="n">
        <f aca="false">IF(Q1406="Shoring",D1406*M1406*U1406,0)</f>
        <v>236.83541569828</v>
      </c>
      <c r="W1406" s="27" t="n">
        <f aca="false">IF(Q1406="Open cut",D1406*(U1406*M1406+SLOPE_B*S1406^2+2*SLOPE_B*S1406*T1406+SLOPE_A*T1406^2),0)</f>
        <v>0</v>
      </c>
      <c r="X1406" s="27" t="n">
        <f aca="false">IF(M1406&gt;0,D1406*(E1406+2*SLABOVH)*SLAB,0)</f>
        <v>16.3819889855779</v>
      </c>
      <c r="Y1406" s="27" t="n">
        <f aca="false">IF(M1406&gt;0,D1406*PI()*E1406^2/4,0)</f>
        <v>40.6992301837919</v>
      </c>
      <c r="Z1406" s="27" t="n">
        <f aca="false">IF(H1406-E1406&gt;=GWL,99,E1406*(MAX(0,GWL-H1406)*(GAM_S-GAM_W)+MAX(0,NG-MAX(H1406,GWL))*GAM_D)/(GAM_W*PI()*E1406^2/4))</f>
        <v>1.73709991830348</v>
      </c>
      <c r="AA1406" s="27" t="n">
        <f aca="false">IF(I1406-E1406&gt;=GWL,99,E1406*(MAX(0,GWL-I1406)*(GAM_S-GAM_W)+MAX(0,NG-MAX(I1406,GWL))*GAM_D)/(GAM_W*PI()*E1406^2/4))</f>
        <v>1.73709991830348</v>
      </c>
      <c r="AB1406" s="27" t="n">
        <f aca="false">IF(H1406-E1406&gt;=GWL,99,E1406*(MAX(0,GWL-H1406)*(GAM_S-GAM_W)+MAX(0,FL-MAX(H1406,GWL))*GAM_D)/(GAM_W*PI()*E1406^2/4))</f>
        <v>3.48177428790684</v>
      </c>
      <c r="AC1406" s="27" t="n">
        <f aca="false">IF(I1406-E1406&gt;=GWL,99,E1406*(MAX(0,GWL-I1406)*(GAM_S-GAM_W)+MAX(0,FL-MAX(I1406,GWL))*GAM_D)/(GAM_W*PI()*E1406^2/4))</f>
        <v>3.48177428790684</v>
      </c>
    </row>
    <row r="1407" customFormat="false" ht="15" hidden="false" customHeight="false" outlineLevel="0" collapsed="false">
      <c r="A1407" s="25" t="s">
        <v>2062</v>
      </c>
      <c r="B1407" s="25" t="s">
        <v>2063</v>
      </c>
      <c r="C1407" s="25" t="s">
        <v>2065</v>
      </c>
      <c r="D1407" s="26" t="n">
        <v>2.21039000014092</v>
      </c>
      <c r="E1407" s="26" t="n">
        <v>2.27639779722181</v>
      </c>
      <c r="F1407" s="26" t="n">
        <v>-6.2381988986109</v>
      </c>
      <c r="G1407" s="26" t="n">
        <v>-6.2381988986109</v>
      </c>
      <c r="H1407" s="26" t="n">
        <v>-3.4618011013891</v>
      </c>
      <c r="I1407" s="26" t="n">
        <v>-3.4618011013891</v>
      </c>
      <c r="J1407" s="26" t="n">
        <v>30.08</v>
      </c>
      <c r="K1407" s="27" t="n">
        <f aca="false">MIN(F1407,G1407)</f>
        <v>-6.2381988986109</v>
      </c>
      <c r="L1407" s="27" t="n">
        <f aca="false">AVERAGE(F1407,G1407)</f>
        <v>-6.2381988986109</v>
      </c>
      <c r="M1407" s="27" t="n">
        <f aca="false">MAX(0,NG-L1407)</f>
        <v>5.5381988986109</v>
      </c>
      <c r="N1407" s="27" t="n">
        <f aca="false">MAX(0,GWL-K1407)</f>
        <v>4.7381988986109</v>
      </c>
      <c r="O1407" s="27" t="n">
        <f aca="false">MAX(0,NG-MAX(K1407,GWL))</f>
        <v>0.8</v>
      </c>
      <c r="P1407" s="27" t="n">
        <f aca="false">E1407/2+WS+SLOPE_A*O1407+SLOPE_B*N1407</f>
        <v>12.8145966958327</v>
      </c>
      <c r="Q1407" s="28" t="str">
        <f aca="false">IF(AND(P1407&lt;J1407,N1407&lt;=MAXOC),"Open cut","Shoring")</f>
        <v>Shoring</v>
      </c>
      <c r="R1407" s="27" t="n">
        <f aca="false">IF(Q1407="Shoring",D1407,0)</f>
        <v>2.21039000014092</v>
      </c>
      <c r="S1407" s="27" t="n">
        <f aca="false">MAX(0,GWL-L1407)</f>
        <v>4.7381988986109</v>
      </c>
      <c r="T1407" s="27" t="n">
        <f aca="false">MAX(0,NG-MAX(L1407,GWL))</f>
        <v>0.8</v>
      </c>
      <c r="U1407" s="27" t="n">
        <f aca="false">E1407+2*WS</f>
        <v>4.27639779722181</v>
      </c>
      <c r="V1407" s="27" t="n">
        <f aca="false">IF(Q1407="Shoring",D1407*M1407*U1407,0)</f>
        <v>52.3498634555669</v>
      </c>
      <c r="W1407" s="27" t="n">
        <f aca="false">IF(Q1407="Open cut",D1407*(U1407*M1407+SLOPE_B*S1407^2+2*SLOPE_B*S1407*T1407+SLOPE_A*T1407^2),0)</f>
        <v>0</v>
      </c>
      <c r="X1407" s="27" t="n">
        <f aca="false">IF(M1407&gt;0,D1407*(E1407+2*SLABOVH)*SLAB,0)</f>
        <v>3.62105846373141</v>
      </c>
      <c r="Y1407" s="27" t="n">
        <f aca="false">IF(M1407&gt;0,D1407*PI()*E1407^2/4,0)</f>
        <v>8.99611714146038</v>
      </c>
      <c r="Z1407" s="27" t="n">
        <f aca="false">IF(H1407-E1407&gt;=GWL,99,E1407*(MAX(0,GWL-H1407)*(GAM_S-GAM_W)+MAX(0,NG-MAX(H1407,GWL))*GAM_D)/(GAM_W*PI()*E1407^2/4))</f>
        <v>1.73709991830348</v>
      </c>
      <c r="AA1407" s="27" t="n">
        <f aca="false">IF(I1407-E1407&gt;=GWL,99,E1407*(MAX(0,GWL-I1407)*(GAM_S-GAM_W)+MAX(0,NG-MAX(I1407,GWL))*GAM_D)/(GAM_W*PI()*E1407^2/4))</f>
        <v>1.73709991830348</v>
      </c>
      <c r="AB1407" s="27" t="n">
        <f aca="false">IF(H1407-E1407&gt;=GWL,99,E1407*(MAX(0,GWL-H1407)*(GAM_S-GAM_W)+MAX(0,FL-MAX(H1407,GWL))*GAM_D)/(GAM_W*PI()*E1407^2/4))</f>
        <v>3.48177428790684</v>
      </c>
      <c r="AC1407" s="27" t="n">
        <f aca="false">IF(I1407-E1407&gt;=GWL,99,E1407*(MAX(0,GWL-I1407)*(GAM_S-GAM_W)+MAX(0,FL-MAX(I1407,GWL))*GAM_D)/(GAM_W*PI()*E1407^2/4))</f>
        <v>3.48177428790684</v>
      </c>
    </row>
    <row r="1408" customFormat="false" ht="15" hidden="false" customHeight="false" outlineLevel="0" collapsed="false">
      <c r="A1408" s="25" t="s">
        <v>2066</v>
      </c>
      <c r="B1408" s="25" t="s">
        <v>2067</v>
      </c>
      <c r="C1408" s="25" t="s">
        <v>2068</v>
      </c>
      <c r="D1408" s="26" t="n">
        <v>8.7967100003122</v>
      </c>
      <c r="E1408" s="26" t="n">
        <v>0.629995705266684</v>
      </c>
      <c r="F1408" s="26" t="n">
        <v>-5.07499785263334</v>
      </c>
      <c r="G1408" s="26" t="n">
        <v>-5.07499785263334</v>
      </c>
      <c r="H1408" s="26" t="n">
        <v>-3.94500214736666</v>
      </c>
      <c r="I1408" s="26" t="n">
        <v>-3.94500214736666</v>
      </c>
      <c r="J1408" s="26" t="n">
        <v>17.55</v>
      </c>
      <c r="K1408" s="27" t="n">
        <f aca="false">MIN(F1408,G1408)</f>
        <v>-5.07499785263334</v>
      </c>
      <c r="L1408" s="27" t="n">
        <f aca="false">AVERAGE(F1408,G1408)</f>
        <v>-5.07499785263334</v>
      </c>
      <c r="M1408" s="27" t="n">
        <f aca="false">MAX(0,NG-L1408)</f>
        <v>4.37499785263334</v>
      </c>
      <c r="N1408" s="27" t="n">
        <f aca="false">MAX(0,GWL-K1408)</f>
        <v>3.57499785263334</v>
      </c>
      <c r="O1408" s="27" t="n">
        <f aca="false">MAX(0,NG-MAX(K1408,GWL))</f>
        <v>0.8</v>
      </c>
      <c r="P1408" s="27" t="n">
        <f aca="false">E1408/2+WS+SLOPE_A*O1408+SLOPE_B*N1408</f>
        <v>9.66499355790002</v>
      </c>
      <c r="Q1408" s="28" t="str">
        <f aca="false">IF(AND(P1408&lt;J1408,N1408&lt;=MAXOC),"Open cut","Shoring")</f>
        <v>Shoring</v>
      </c>
      <c r="R1408" s="27" t="n">
        <f aca="false">IF(Q1408="Shoring",D1408,0)</f>
        <v>8.7967100003122</v>
      </c>
      <c r="S1408" s="27" t="n">
        <f aca="false">MAX(0,GWL-L1408)</f>
        <v>3.57499785263334</v>
      </c>
      <c r="T1408" s="27" t="n">
        <f aca="false">MAX(0,NG-MAX(L1408,GWL))</f>
        <v>0.8</v>
      </c>
      <c r="U1408" s="27" t="n">
        <f aca="false">E1408+2*WS</f>
        <v>2.62999570526668</v>
      </c>
      <c r="V1408" s="27" t="n">
        <f aca="false">IF(Q1408="Shoring",D1408*M1408*U1408,0)</f>
        <v>101.216929475685</v>
      </c>
      <c r="W1408" s="27" t="n">
        <f aca="false">IF(Q1408="Open cut",D1408*(U1408*M1408+SLOPE_B*S1408^2+2*SLOPE_B*S1408*T1408+SLOPE_A*T1408^2),0)</f>
        <v>0</v>
      </c>
      <c r="X1408" s="27" t="n">
        <f aca="false">IF(M1408&gt;0,D1408*(E1408+2*SLABOVH)*SLAB,0)</f>
        <v>7.16929976049269</v>
      </c>
      <c r="Y1408" s="27" t="n">
        <f aca="false">IF(M1408&gt;0,D1408*PI()*E1408^2/4,0)</f>
        <v>2.74211291309897</v>
      </c>
      <c r="Z1408" s="27" t="n">
        <f aca="false">IF(H1408-E1408&gt;=GWL,99,E1408*(MAX(0,GWL-H1408)*(GAM_S-GAM_W)+MAX(0,NG-MAX(H1408,GWL))*GAM_D)/(GAM_W*PI()*E1408^2/4))</f>
        <v>7.09205371256636</v>
      </c>
      <c r="AA1408" s="27" t="n">
        <f aca="false">IF(I1408-E1408&gt;=GWL,99,E1408*(MAX(0,GWL-I1408)*(GAM_S-GAM_W)+MAX(0,NG-MAX(I1408,GWL))*GAM_D)/(GAM_W*PI()*E1408^2/4))</f>
        <v>7.09205371256636</v>
      </c>
      <c r="AB1408" s="27" t="n">
        <f aca="false">IF(H1408-E1408&gt;=GWL,99,E1408*(MAX(0,GWL-H1408)*(GAM_S-GAM_W)+MAX(0,FL-MAX(H1408,GWL))*GAM_D)/(GAM_W*PI()*E1408^2/4))</f>
        <v>13.3961806433257</v>
      </c>
      <c r="AC1408" s="27" t="n">
        <f aca="false">IF(I1408-E1408&gt;=GWL,99,E1408*(MAX(0,GWL-I1408)*(GAM_S-GAM_W)+MAX(0,FL-MAX(I1408,GWL))*GAM_D)/(GAM_W*PI()*E1408^2/4))</f>
        <v>13.3961806433257</v>
      </c>
    </row>
    <row r="1409" customFormat="false" ht="15" hidden="false" customHeight="false" outlineLevel="0" collapsed="false">
      <c r="A1409" s="25" t="s">
        <v>2066</v>
      </c>
      <c r="B1409" s="25" t="s">
        <v>2067</v>
      </c>
      <c r="C1409" s="25" t="s">
        <v>2069</v>
      </c>
      <c r="D1409" s="26" t="n">
        <v>1.20328999955786</v>
      </c>
      <c r="E1409" s="26" t="n">
        <v>0.629995775781875</v>
      </c>
      <c r="F1409" s="26" t="n">
        <v>-5.07499788789094</v>
      </c>
      <c r="G1409" s="26" t="n">
        <v>-5.07499788789094</v>
      </c>
      <c r="H1409" s="26" t="n">
        <v>-3.94500211210906</v>
      </c>
      <c r="I1409" s="26" t="n">
        <v>-3.94500211210906</v>
      </c>
      <c r="J1409" s="26" t="n">
        <v>25.69</v>
      </c>
      <c r="K1409" s="27" t="n">
        <f aca="false">MIN(F1409,G1409)</f>
        <v>-5.07499788789094</v>
      </c>
      <c r="L1409" s="27" t="n">
        <f aca="false">AVERAGE(F1409,G1409)</f>
        <v>-5.07499788789094</v>
      </c>
      <c r="M1409" s="27" t="n">
        <f aca="false">MAX(0,NG-L1409)</f>
        <v>4.37499788789094</v>
      </c>
      <c r="N1409" s="27" t="n">
        <f aca="false">MAX(0,GWL-K1409)</f>
        <v>3.57499788789094</v>
      </c>
      <c r="O1409" s="27" t="n">
        <f aca="false">MAX(0,NG-MAX(K1409,GWL))</f>
        <v>0.8</v>
      </c>
      <c r="P1409" s="27" t="n">
        <f aca="false">E1409/2+WS+SLOPE_A*O1409+SLOPE_B*N1409</f>
        <v>9.66499366367281</v>
      </c>
      <c r="Q1409" s="28" t="str">
        <f aca="false">IF(AND(P1409&lt;J1409,N1409&lt;=MAXOC),"Open cut","Shoring")</f>
        <v>Shoring</v>
      </c>
      <c r="R1409" s="27" t="n">
        <f aca="false">IF(Q1409="Shoring",D1409,0)</f>
        <v>1.20328999955786</v>
      </c>
      <c r="S1409" s="27" t="n">
        <f aca="false">MAX(0,GWL-L1409)</f>
        <v>3.57499788789094</v>
      </c>
      <c r="T1409" s="27" t="n">
        <f aca="false">MAX(0,NG-MAX(L1409,GWL))</f>
        <v>0.8</v>
      </c>
      <c r="U1409" s="27" t="n">
        <f aca="false">E1409+2*WS</f>
        <v>2.62999577578188</v>
      </c>
      <c r="V1409" s="27" t="n">
        <f aca="false">IF(Q1409="Shoring",D1409*M1409*U1409,0)</f>
        <v>13.8453266353843</v>
      </c>
      <c r="W1409" s="27" t="n">
        <f aca="false">IF(Q1409="Open cut",D1409*(U1409*M1409+SLOPE_B*S1409^2+2*SLOPE_B*S1409*T1409+SLOPE_A*T1409^2),0)</f>
        <v>0</v>
      </c>
      <c r="X1409" s="27" t="n">
        <f aca="false">IF(M1409&gt;0,D1409*(E1409+2*SLABOVH)*SLAB,0)</f>
        <v>0.980678808159946</v>
      </c>
      <c r="Y1409" s="27" t="n">
        <f aca="false">IF(M1409&gt;0,D1409*PI()*E1409^2/4,0)</f>
        <v>0.375089980743921</v>
      </c>
      <c r="Z1409" s="27" t="n">
        <f aca="false">IF(H1409-E1409&gt;=GWL,99,E1409*(MAX(0,GWL-H1409)*(GAM_S-GAM_W)+MAX(0,NG-MAX(H1409,GWL))*GAM_D)/(GAM_W*PI()*E1409^2/4))</f>
        <v>7.09205285926597</v>
      </c>
      <c r="AA1409" s="27" t="n">
        <f aca="false">IF(I1409-E1409&gt;=GWL,99,E1409*(MAX(0,GWL-I1409)*(GAM_S-GAM_W)+MAX(0,NG-MAX(I1409,GWL))*GAM_D)/(GAM_W*PI()*E1409^2/4))</f>
        <v>7.09205285926597</v>
      </c>
      <c r="AB1409" s="27" t="n">
        <f aca="false">IF(H1409-E1409&gt;=GWL,99,E1409*(MAX(0,GWL-H1409)*(GAM_S-GAM_W)+MAX(0,FL-MAX(H1409,GWL))*GAM_D)/(GAM_W*PI()*E1409^2/4))</f>
        <v>13.3961790844068</v>
      </c>
      <c r="AC1409" s="27" t="n">
        <f aca="false">IF(I1409-E1409&gt;=GWL,99,E1409*(MAX(0,GWL-I1409)*(GAM_S-GAM_W)+MAX(0,FL-MAX(I1409,GWL))*GAM_D)/(GAM_W*PI()*E1409^2/4))</f>
        <v>13.3961790844068</v>
      </c>
    </row>
    <row r="1410" customFormat="false" ht="15" hidden="false" customHeight="false" outlineLevel="0" collapsed="false">
      <c r="A1410" s="25" t="s">
        <v>2066</v>
      </c>
      <c r="B1410" s="25" t="s">
        <v>2067</v>
      </c>
      <c r="C1410" s="25" t="s">
        <v>2070</v>
      </c>
      <c r="D1410" s="26" t="n">
        <v>0.0917100003998313</v>
      </c>
      <c r="E1410" s="26" t="n">
        <v>0.629995775781875</v>
      </c>
      <c r="F1410" s="26" t="n">
        <v>-5.07499788789094</v>
      </c>
      <c r="G1410" s="26" t="n">
        <v>-5.07499788789094</v>
      </c>
      <c r="H1410" s="26" t="n">
        <v>-3.94500211210906</v>
      </c>
      <c r="I1410" s="26" t="n">
        <v>-3.94500211210906</v>
      </c>
      <c r="J1410" s="26" t="n">
        <v>25.6</v>
      </c>
      <c r="K1410" s="27" t="n">
        <f aca="false">MIN(F1410,G1410)</f>
        <v>-5.07499788789094</v>
      </c>
      <c r="L1410" s="27" t="n">
        <f aca="false">AVERAGE(F1410,G1410)</f>
        <v>-5.07499788789094</v>
      </c>
      <c r="M1410" s="27" t="n">
        <f aca="false">MAX(0,NG-L1410)</f>
        <v>4.37499788789094</v>
      </c>
      <c r="N1410" s="27" t="n">
        <f aca="false">MAX(0,GWL-K1410)</f>
        <v>3.57499788789094</v>
      </c>
      <c r="O1410" s="27" t="n">
        <f aca="false">MAX(0,NG-MAX(K1410,GWL))</f>
        <v>0.8</v>
      </c>
      <c r="P1410" s="27" t="n">
        <f aca="false">E1410/2+WS+SLOPE_A*O1410+SLOPE_B*N1410</f>
        <v>9.66499366367281</v>
      </c>
      <c r="Q1410" s="28" t="str">
        <f aca="false">IF(AND(P1410&lt;J1410,N1410&lt;=MAXOC),"Open cut","Shoring")</f>
        <v>Shoring</v>
      </c>
      <c r="R1410" s="27" t="n">
        <f aca="false">IF(Q1410="Shoring",D1410,0)</f>
        <v>0.0917100003998313</v>
      </c>
      <c r="S1410" s="27" t="n">
        <f aca="false">MAX(0,GWL-L1410)</f>
        <v>3.57499788789094</v>
      </c>
      <c r="T1410" s="27" t="n">
        <f aca="false">MAX(0,NG-MAX(L1410,GWL))</f>
        <v>0.8</v>
      </c>
      <c r="U1410" s="27" t="n">
        <f aca="false">E1410+2*WS</f>
        <v>2.62999577578188</v>
      </c>
      <c r="V1410" s="27" t="n">
        <f aca="false">IF(Q1410="Shoring",D1410*M1410*U1410,0)</f>
        <v>1.05523598777805</v>
      </c>
      <c r="W1410" s="27" t="n">
        <f aca="false">IF(Q1410="Open cut",D1410*(U1410*M1410+SLOPE_B*S1410^2+2*SLOPE_B*S1410*T1410+SLOPE_A*T1410^2),0)</f>
        <v>0</v>
      </c>
      <c r="X1410" s="27" t="n">
        <f aca="false">IF(M1410&gt;0,D1410*(E1410+2*SLABOVH)*SLAB,0)</f>
        <v>0.0747434566243396</v>
      </c>
      <c r="Y1410" s="27" t="n">
        <f aca="false">IF(M1410&gt;0,D1410*PI()*E1410^2/4,0)</f>
        <v>0.0285878734940351</v>
      </c>
      <c r="Z1410" s="27" t="n">
        <f aca="false">IF(H1410-E1410&gt;=GWL,99,E1410*(MAX(0,GWL-H1410)*(GAM_S-GAM_W)+MAX(0,NG-MAX(H1410,GWL))*GAM_D)/(GAM_W*PI()*E1410^2/4))</f>
        <v>7.09205285926597</v>
      </c>
      <c r="AA1410" s="27" t="n">
        <f aca="false">IF(I1410-E1410&gt;=GWL,99,E1410*(MAX(0,GWL-I1410)*(GAM_S-GAM_W)+MAX(0,NG-MAX(I1410,GWL))*GAM_D)/(GAM_W*PI()*E1410^2/4))</f>
        <v>7.09205285926597</v>
      </c>
      <c r="AB1410" s="27" t="n">
        <f aca="false">IF(H1410-E1410&gt;=GWL,99,E1410*(MAX(0,GWL-H1410)*(GAM_S-GAM_W)+MAX(0,FL-MAX(H1410,GWL))*GAM_D)/(GAM_W*PI()*E1410^2/4))</f>
        <v>13.3961790844068</v>
      </c>
      <c r="AC1410" s="27" t="n">
        <f aca="false">IF(I1410-E1410&gt;=GWL,99,E1410*(MAX(0,GWL-I1410)*(GAM_S-GAM_W)+MAX(0,FL-MAX(I1410,GWL))*GAM_D)/(GAM_W*PI()*E1410^2/4))</f>
        <v>13.3961790844068</v>
      </c>
    </row>
    <row r="1411" customFormat="false" ht="15" hidden="false" customHeight="false" outlineLevel="0" collapsed="false">
      <c r="A1411" s="25" t="s">
        <v>2066</v>
      </c>
      <c r="B1411" s="25" t="s">
        <v>2067</v>
      </c>
      <c r="C1411" s="25" t="s">
        <v>2071</v>
      </c>
      <c r="D1411" s="26" t="n">
        <v>1.29500074417366</v>
      </c>
      <c r="E1411" s="26" t="n">
        <v>0.63000314410778</v>
      </c>
      <c r="F1411" s="26" t="n">
        <v>-5.07500157205389</v>
      </c>
      <c r="G1411" s="26" t="n">
        <v>-5.07500157205389</v>
      </c>
      <c r="H1411" s="26" t="n">
        <v>-3.94499842794611</v>
      </c>
      <c r="I1411" s="26" t="n">
        <v>-3.94499842794611</v>
      </c>
      <c r="J1411" s="26" t="n">
        <v>25.6</v>
      </c>
      <c r="K1411" s="27" t="n">
        <f aca="false">MIN(F1411,G1411)</f>
        <v>-5.07500157205389</v>
      </c>
      <c r="L1411" s="27" t="n">
        <f aca="false">AVERAGE(F1411,G1411)</f>
        <v>-5.07500157205389</v>
      </c>
      <c r="M1411" s="27" t="n">
        <f aca="false">MAX(0,NG-L1411)</f>
        <v>4.37500157205389</v>
      </c>
      <c r="N1411" s="27" t="n">
        <f aca="false">MAX(0,GWL-K1411)</f>
        <v>3.57500157205389</v>
      </c>
      <c r="O1411" s="27" t="n">
        <f aca="false">MAX(0,NG-MAX(K1411,GWL))</f>
        <v>0.8</v>
      </c>
      <c r="P1411" s="27" t="n">
        <f aca="false">E1411/2+WS+SLOPE_A*O1411+SLOPE_B*N1411</f>
        <v>9.66500471616167</v>
      </c>
      <c r="Q1411" s="28" t="str">
        <f aca="false">IF(AND(P1411&lt;J1411,N1411&lt;=MAXOC),"Open cut","Shoring")</f>
        <v>Shoring</v>
      </c>
      <c r="R1411" s="27" t="n">
        <f aca="false">IF(Q1411="Shoring",D1411,0)</f>
        <v>1.29500074417366</v>
      </c>
      <c r="S1411" s="27" t="n">
        <f aca="false">MAX(0,GWL-L1411)</f>
        <v>3.57500157205389</v>
      </c>
      <c r="T1411" s="27" t="n">
        <f aca="false">MAX(0,NG-MAX(L1411,GWL))</f>
        <v>0.8</v>
      </c>
      <c r="U1411" s="27" t="n">
        <f aca="false">E1411+2*WS</f>
        <v>2.63000314410778</v>
      </c>
      <c r="V1411" s="27" t="n">
        <f aca="false">IF(Q1411="Shoring",D1411*M1411*U1411,0)</f>
        <v>14.9006254801832</v>
      </c>
      <c r="W1411" s="27" t="n">
        <f aca="false">IF(Q1411="Open cut",D1411*(U1411*M1411+SLOPE_B*S1411^2+2*SLOPE_B*S1411*T1411+SLOPE_A*T1411^2),0)</f>
        <v>0</v>
      </c>
      <c r="X1411" s="27" t="n">
        <f aca="false">IF(M1411&gt;0,D1411*(E1411+2*SLABOVH)*SLAB,0)</f>
        <v>1.05542764231249</v>
      </c>
      <c r="Y1411" s="27" t="n">
        <f aca="false">IF(M1411&gt;0,D1411*PI()*E1411^2/4,0)</f>
        <v>0.403687528984068</v>
      </c>
      <c r="Z1411" s="27" t="n">
        <f aca="false">IF(H1411-E1411&gt;=GWL,99,E1411*(MAX(0,GWL-H1411)*(GAM_S-GAM_W)+MAX(0,NG-MAX(H1411,GWL))*GAM_D)/(GAM_W*PI()*E1411^2/4))</f>
        <v>7.09196369661951</v>
      </c>
      <c r="AA1411" s="27" t="n">
        <f aca="false">IF(I1411-E1411&gt;=GWL,99,E1411*(MAX(0,GWL-I1411)*(GAM_S-GAM_W)+MAX(0,NG-MAX(I1411,GWL))*GAM_D)/(GAM_W*PI()*E1411^2/4))</f>
        <v>7.09196369661951</v>
      </c>
      <c r="AB1411" s="27" t="n">
        <f aca="false">IF(H1411-E1411&gt;=GWL,99,E1411*(MAX(0,GWL-H1411)*(GAM_S-GAM_W)+MAX(0,FL-MAX(H1411,GWL))*GAM_D)/(GAM_W*PI()*E1411^2/4))</f>
        <v>13.3960161906099</v>
      </c>
      <c r="AC1411" s="27" t="n">
        <f aca="false">IF(I1411-E1411&gt;=GWL,99,E1411*(MAX(0,GWL-I1411)*(GAM_S-GAM_W)+MAX(0,FL-MAX(I1411,GWL))*GAM_D)/(GAM_W*PI()*E1411^2/4))</f>
        <v>13.3960161906099</v>
      </c>
    </row>
    <row r="1412" customFormat="false" ht="15" hidden="false" customHeight="false" outlineLevel="0" collapsed="false">
      <c r="A1412" s="25" t="s">
        <v>2066</v>
      </c>
      <c r="B1412" s="25" t="s">
        <v>2072</v>
      </c>
      <c r="C1412" s="25" t="s">
        <v>2073</v>
      </c>
      <c r="D1412" s="26" t="n">
        <v>3.61328925608225</v>
      </c>
      <c r="E1412" s="26" t="n">
        <v>0.629995705026239</v>
      </c>
      <c r="F1412" s="26" t="n">
        <v>-5.07499785251312</v>
      </c>
      <c r="G1412" s="26" t="n">
        <v>-5.07499785251312</v>
      </c>
      <c r="H1412" s="26" t="n">
        <v>-3.94500214748688</v>
      </c>
      <c r="I1412" s="26" t="n">
        <v>-3.94500214748688</v>
      </c>
      <c r="J1412" s="26" t="n">
        <v>25.9</v>
      </c>
      <c r="K1412" s="27" t="n">
        <f aca="false">MIN(F1412,G1412)</f>
        <v>-5.07499785251312</v>
      </c>
      <c r="L1412" s="27" t="n">
        <f aca="false">AVERAGE(F1412,G1412)</f>
        <v>-5.07499785251312</v>
      </c>
      <c r="M1412" s="27" t="n">
        <f aca="false">MAX(0,NG-L1412)</f>
        <v>4.37499785251312</v>
      </c>
      <c r="N1412" s="27" t="n">
        <f aca="false">MAX(0,GWL-K1412)</f>
        <v>3.57499785251312</v>
      </c>
      <c r="O1412" s="27" t="n">
        <f aca="false">MAX(0,NG-MAX(K1412,GWL))</f>
        <v>0.8</v>
      </c>
      <c r="P1412" s="27" t="n">
        <f aca="false">E1412/2+WS+SLOPE_A*O1412+SLOPE_B*N1412</f>
        <v>9.66499355753936</v>
      </c>
      <c r="Q1412" s="28" t="str">
        <f aca="false">IF(AND(P1412&lt;J1412,N1412&lt;=MAXOC),"Open cut","Shoring")</f>
        <v>Shoring</v>
      </c>
      <c r="R1412" s="27" t="n">
        <f aca="false">IF(Q1412="Shoring",D1412,0)</f>
        <v>3.61328925608225</v>
      </c>
      <c r="S1412" s="27" t="n">
        <f aca="false">MAX(0,GWL-L1412)</f>
        <v>3.57499785251312</v>
      </c>
      <c r="T1412" s="27" t="n">
        <f aca="false">MAX(0,NG-MAX(L1412,GWL))</f>
        <v>0.8</v>
      </c>
      <c r="U1412" s="27" t="n">
        <f aca="false">E1412+2*WS</f>
        <v>2.62999570502624</v>
      </c>
      <c r="V1412" s="27" t="n">
        <f aca="false">IF(Q1412="Shoring",D1412*M1412*U1412,0)</f>
        <v>41.5753211998191</v>
      </c>
      <c r="W1412" s="27" t="n">
        <f aca="false">IF(Q1412="Open cut",D1412*(U1412*M1412+SLOPE_B*S1412^2+2*SLOPE_B*S1412*T1412+SLOPE_A*T1412^2),0)</f>
        <v>0</v>
      </c>
      <c r="X1412" s="27" t="n">
        <f aca="false">IF(M1412&gt;0,D1412*(E1412+2*SLABOVH)*SLAB,0)</f>
        <v>2.94482298421576</v>
      </c>
      <c r="Y1412" s="27" t="n">
        <f aca="false">IF(M1412&gt;0,D1412*PI()*E1412^2/4,0)</f>
        <v>1.12633554135015</v>
      </c>
      <c r="Z1412" s="27" t="n">
        <f aca="false">IF(H1412-E1412&gt;=GWL,99,E1412*(MAX(0,GWL-H1412)*(GAM_S-GAM_W)+MAX(0,NG-MAX(H1412,GWL))*GAM_D)/(GAM_W*PI()*E1412^2/4))</f>
        <v>7.09205371547597</v>
      </c>
      <c r="AA1412" s="27" t="n">
        <f aca="false">IF(I1412-E1412&gt;=GWL,99,E1412*(MAX(0,GWL-I1412)*(GAM_S-GAM_W)+MAX(0,NG-MAX(I1412,GWL))*GAM_D)/(GAM_W*PI()*E1412^2/4))</f>
        <v>7.09205371547597</v>
      </c>
      <c r="AB1412" s="27" t="n">
        <f aca="false">IF(H1412-E1412&gt;=GWL,99,E1412*(MAX(0,GWL-H1412)*(GAM_S-GAM_W)+MAX(0,FL-MAX(H1412,GWL))*GAM_D)/(GAM_W*PI()*E1412^2/4))</f>
        <v>13.3961806486414</v>
      </c>
      <c r="AC1412" s="27" t="n">
        <f aca="false">IF(I1412-E1412&gt;=GWL,99,E1412*(MAX(0,GWL-I1412)*(GAM_S-GAM_W)+MAX(0,FL-MAX(I1412,GWL))*GAM_D)/(GAM_W*PI()*E1412^2/4))</f>
        <v>13.3961806486414</v>
      </c>
    </row>
    <row r="1413" customFormat="false" ht="15" hidden="false" customHeight="false" outlineLevel="0" collapsed="false">
      <c r="A1413" s="25" t="s">
        <v>2066</v>
      </c>
      <c r="B1413" s="25" t="s">
        <v>2074</v>
      </c>
      <c r="C1413" s="25" t="s">
        <v>2075</v>
      </c>
      <c r="D1413" s="26" t="n">
        <v>0.107700744121836</v>
      </c>
      <c r="E1413" s="26" t="n">
        <v>0.629995705026239</v>
      </c>
      <c r="F1413" s="26" t="n">
        <v>-5.07499785251312</v>
      </c>
      <c r="G1413" s="26" t="n">
        <v>-5.07499785251312</v>
      </c>
      <c r="H1413" s="26" t="n">
        <v>-3.94500214748688</v>
      </c>
      <c r="I1413" s="26" t="n">
        <v>-3.94500214748688</v>
      </c>
      <c r="J1413" s="26" t="n">
        <v>9.14</v>
      </c>
      <c r="K1413" s="27" t="n">
        <f aca="false">MIN(F1413,G1413)</f>
        <v>-5.07499785251312</v>
      </c>
      <c r="L1413" s="27" t="n">
        <f aca="false">AVERAGE(F1413,G1413)</f>
        <v>-5.07499785251312</v>
      </c>
      <c r="M1413" s="27" t="n">
        <f aca="false">MAX(0,NG-L1413)</f>
        <v>4.37499785251312</v>
      </c>
      <c r="N1413" s="27" t="n">
        <f aca="false">MAX(0,GWL-K1413)</f>
        <v>3.57499785251312</v>
      </c>
      <c r="O1413" s="27" t="n">
        <f aca="false">MAX(0,NG-MAX(K1413,GWL))</f>
        <v>0.8</v>
      </c>
      <c r="P1413" s="27" t="n">
        <f aca="false">E1413/2+WS+SLOPE_A*O1413+SLOPE_B*N1413</f>
        <v>9.66499355753936</v>
      </c>
      <c r="Q1413" s="28" t="str">
        <f aca="false">IF(AND(P1413&lt;J1413,N1413&lt;=MAXOC),"Open cut","Shoring")</f>
        <v>Shoring</v>
      </c>
      <c r="R1413" s="27" t="n">
        <f aca="false">IF(Q1413="Shoring",D1413,0)</f>
        <v>0.107700744121836</v>
      </c>
      <c r="S1413" s="27" t="n">
        <f aca="false">MAX(0,GWL-L1413)</f>
        <v>3.57499785251312</v>
      </c>
      <c r="T1413" s="27" t="n">
        <f aca="false">MAX(0,NG-MAX(L1413,GWL))</f>
        <v>0.8</v>
      </c>
      <c r="U1413" s="27" t="n">
        <f aca="false">E1413+2*WS</f>
        <v>2.62999570502624</v>
      </c>
      <c r="V1413" s="27" t="n">
        <f aca="false">IF(Q1413="Shoring",D1413*M1413*U1413,0)</f>
        <v>1.23922905501892</v>
      </c>
      <c r="W1413" s="27" t="n">
        <f aca="false">IF(Q1413="Open cut",D1413*(U1413*M1413+SLOPE_B*S1413^2+2*SLOPE_B*S1413*T1413+SLOPE_A*T1413^2),0)</f>
        <v>0</v>
      </c>
      <c r="X1413" s="27" t="n">
        <f aca="false">IF(M1413&gt;0,D1413*(E1413+2*SLABOVH)*SLAB,0)</f>
        <v>0.0877758751733609</v>
      </c>
      <c r="Y1413" s="27" t="n">
        <f aca="false">IF(M1413&gt;0,D1413*PI()*E1413^2/4,0)</f>
        <v>0.0335725061950367</v>
      </c>
      <c r="Z1413" s="27" t="n">
        <f aca="false">IF(H1413-E1413&gt;=GWL,99,E1413*(MAX(0,GWL-H1413)*(GAM_S-GAM_W)+MAX(0,NG-MAX(H1413,GWL))*GAM_D)/(GAM_W*PI()*E1413^2/4))</f>
        <v>7.09205371547597</v>
      </c>
      <c r="AA1413" s="27" t="n">
        <f aca="false">IF(I1413-E1413&gt;=GWL,99,E1413*(MAX(0,GWL-I1413)*(GAM_S-GAM_W)+MAX(0,NG-MAX(I1413,GWL))*GAM_D)/(GAM_W*PI()*E1413^2/4))</f>
        <v>7.09205371547597</v>
      </c>
      <c r="AB1413" s="27" t="n">
        <f aca="false">IF(H1413-E1413&gt;=GWL,99,E1413*(MAX(0,GWL-H1413)*(GAM_S-GAM_W)+MAX(0,FL-MAX(H1413,GWL))*GAM_D)/(GAM_W*PI()*E1413^2/4))</f>
        <v>13.3961806486414</v>
      </c>
      <c r="AC1413" s="27" t="n">
        <f aca="false">IF(I1413-E1413&gt;=GWL,99,E1413*(MAX(0,GWL-I1413)*(GAM_S-GAM_W)+MAX(0,FL-MAX(I1413,GWL))*GAM_D)/(GAM_W*PI()*E1413^2/4))</f>
        <v>13.3961806486414</v>
      </c>
    </row>
    <row r="1414" customFormat="false" ht="15" hidden="false" customHeight="false" outlineLevel="0" collapsed="false">
      <c r="A1414" s="25" t="s">
        <v>2066</v>
      </c>
      <c r="B1414" s="25" t="s">
        <v>2074</v>
      </c>
      <c r="C1414" s="25" t="s">
        <v>2076</v>
      </c>
      <c r="D1414" s="26" t="n">
        <v>1.29499999970122</v>
      </c>
      <c r="E1414" s="26" t="n">
        <v>0.629991582618448</v>
      </c>
      <c r="F1414" s="26" t="n">
        <v>-5.07499579130922</v>
      </c>
      <c r="G1414" s="26" t="n">
        <v>-5.07499579130922</v>
      </c>
      <c r="H1414" s="26" t="n">
        <v>-3.94500420869078</v>
      </c>
      <c r="I1414" s="26" t="n">
        <v>-3.94500420869078</v>
      </c>
      <c r="J1414" s="26" t="n">
        <v>9.14</v>
      </c>
      <c r="K1414" s="27" t="n">
        <f aca="false">MIN(F1414,G1414)</f>
        <v>-5.07499579130922</v>
      </c>
      <c r="L1414" s="27" t="n">
        <f aca="false">AVERAGE(F1414,G1414)</f>
        <v>-5.07499579130922</v>
      </c>
      <c r="M1414" s="27" t="n">
        <f aca="false">MAX(0,NG-L1414)</f>
        <v>4.37499579130922</v>
      </c>
      <c r="N1414" s="27" t="n">
        <f aca="false">MAX(0,GWL-K1414)</f>
        <v>3.57499579130922</v>
      </c>
      <c r="O1414" s="27" t="n">
        <f aca="false">MAX(0,NG-MAX(K1414,GWL))</f>
        <v>0.8</v>
      </c>
      <c r="P1414" s="27" t="n">
        <f aca="false">E1414/2+WS+SLOPE_A*O1414+SLOPE_B*N1414</f>
        <v>9.66498737392767</v>
      </c>
      <c r="Q1414" s="28" t="str">
        <f aca="false">IF(AND(P1414&lt;J1414,N1414&lt;=MAXOC),"Open cut","Shoring")</f>
        <v>Shoring</v>
      </c>
      <c r="R1414" s="27" t="n">
        <f aca="false">IF(Q1414="Shoring",D1414,0)</f>
        <v>1.29499999970122</v>
      </c>
      <c r="S1414" s="27" t="n">
        <f aca="false">MAX(0,GWL-L1414)</f>
        <v>3.57499579130922</v>
      </c>
      <c r="T1414" s="27" t="n">
        <f aca="false">MAX(0,NG-MAX(L1414,GWL))</f>
        <v>0.8</v>
      </c>
      <c r="U1414" s="27" t="n">
        <f aca="false">E1414+2*WS</f>
        <v>2.62999158261845</v>
      </c>
      <c r="V1414" s="27" t="n">
        <f aca="false">IF(Q1414="Shoring",D1414*M1414*U1414,0)</f>
        <v>14.9005317227113</v>
      </c>
      <c r="W1414" s="27" t="n">
        <f aca="false">IF(Q1414="Open cut",D1414*(U1414*M1414+SLOPE_B*S1414^2+2*SLOPE_B*S1414*T1414+SLOPE_A*T1414^2),0)</f>
        <v>0</v>
      </c>
      <c r="X1414" s="27" t="n">
        <f aca="false">IF(M1414&gt;0,D1414*(E1414+2*SLABOVH)*SLAB,0)</f>
        <v>1.05541954950194</v>
      </c>
      <c r="Y1414" s="27" t="n">
        <f aca="false">IF(M1414&gt;0,D1414*PI()*E1414^2/4,0)</f>
        <v>0.403672480529657</v>
      </c>
      <c r="Z1414" s="27" t="n">
        <f aca="false">IF(H1414-E1414&gt;=GWL,99,E1414*(MAX(0,GWL-H1414)*(GAM_S-GAM_W)+MAX(0,NG-MAX(H1414,GWL))*GAM_D)/(GAM_W*PI()*E1414^2/4))</f>
        <v>7.09210360083391</v>
      </c>
      <c r="AA1414" s="27" t="n">
        <f aca="false">IF(I1414-E1414&gt;=GWL,99,E1414*(MAX(0,GWL-I1414)*(GAM_S-GAM_W)+MAX(0,NG-MAX(I1414,GWL))*GAM_D)/(GAM_W*PI()*E1414^2/4))</f>
        <v>7.09210360083391</v>
      </c>
      <c r="AB1414" s="27" t="n">
        <f aca="false">IF(H1414-E1414&gt;=GWL,99,E1414*(MAX(0,GWL-H1414)*(GAM_S-GAM_W)+MAX(0,FL-MAX(H1414,GWL))*GAM_D)/(GAM_W*PI()*E1414^2/4))</f>
        <v>13.396271785633</v>
      </c>
      <c r="AC1414" s="27" t="n">
        <f aca="false">IF(I1414-E1414&gt;=GWL,99,E1414*(MAX(0,GWL-I1414)*(GAM_S-GAM_W)+MAX(0,FL-MAX(I1414,GWL))*GAM_D)/(GAM_W*PI()*E1414^2/4))</f>
        <v>13.396271785633</v>
      </c>
    </row>
    <row r="1415" customFormat="false" ht="15" hidden="false" customHeight="false" outlineLevel="0" collapsed="false">
      <c r="A1415" s="25" t="s">
        <v>2066</v>
      </c>
      <c r="B1415" s="25" t="s">
        <v>2074</v>
      </c>
      <c r="C1415" s="25" t="s">
        <v>2077</v>
      </c>
      <c r="D1415" s="26" t="n">
        <v>1.29499893217383</v>
      </c>
      <c r="E1415" s="26" t="n">
        <v>0.629995775781875</v>
      </c>
      <c r="F1415" s="26" t="n">
        <v>-5.07499788789094</v>
      </c>
      <c r="G1415" s="26" t="n">
        <v>-5.07499788789094</v>
      </c>
      <c r="H1415" s="26" t="n">
        <v>-3.94500211210906</v>
      </c>
      <c r="I1415" s="26" t="n">
        <v>-3.94500211210906</v>
      </c>
      <c r="J1415" s="26" t="n">
        <v>9.14</v>
      </c>
      <c r="K1415" s="27" t="n">
        <f aca="false">MIN(F1415,G1415)</f>
        <v>-5.07499788789094</v>
      </c>
      <c r="L1415" s="27" t="n">
        <f aca="false">AVERAGE(F1415,G1415)</f>
        <v>-5.07499788789094</v>
      </c>
      <c r="M1415" s="27" t="n">
        <f aca="false">MAX(0,NG-L1415)</f>
        <v>4.37499788789094</v>
      </c>
      <c r="N1415" s="27" t="n">
        <f aca="false">MAX(0,GWL-K1415)</f>
        <v>3.57499788789094</v>
      </c>
      <c r="O1415" s="27" t="n">
        <f aca="false">MAX(0,NG-MAX(K1415,GWL))</f>
        <v>0.8</v>
      </c>
      <c r="P1415" s="27" t="n">
        <f aca="false">E1415/2+WS+SLOPE_A*O1415+SLOPE_B*N1415</f>
        <v>9.66499366367281</v>
      </c>
      <c r="Q1415" s="28" t="str">
        <f aca="false">IF(AND(P1415&lt;J1415,N1415&lt;=MAXOC),"Open cut","Shoring")</f>
        <v>Shoring</v>
      </c>
      <c r="R1415" s="27" t="n">
        <f aca="false">IF(Q1415="Shoring",D1415,0)</f>
        <v>1.29499893217383</v>
      </c>
      <c r="S1415" s="27" t="n">
        <f aca="false">MAX(0,GWL-L1415)</f>
        <v>3.57499788789094</v>
      </c>
      <c r="T1415" s="27" t="n">
        <f aca="false">MAX(0,NG-MAX(L1415,GWL))</f>
        <v>0.8</v>
      </c>
      <c r="U1415" s="27" t="n">
        <f aca="false">E1415+2*WS</f>
        <v>2.62999577578188</v>
      </c>
      <c r="V1415" s="27" t="n">
        <f aca="false">IF(Q1415="Shoring",D1415*M1415*U1415,0)</f>
        <v>14.9005503369999</v>
      </c>
      <c r="W1415" s="27" t="n">
        <f aca="false">IF(Q1415="Open cut",D1415*(U1415*M1415+SLOPE_B*S1415^2+2*SLOPE_B*S1415*T1415+SLOPE_A*T1415^2),0)</f>
        <v>0</v>
      </c>
      <c r="X1415" s="27" t="n">
        <f aca="false">IF(M1415&gt;0,D1415*(E1415+2*SLABOVH)*SLAB,0)</f>
        <v>1.05542139454269</v>
      </c>
      <c r="Y1415" s="27" t="n">
        <f aca="false">IF(M1415&gt;0,D1415*PI()*E1415^2/4,0)</f>
        <v>0.403677521387997</v>
      </c>
      <c r="Z1415" s="27" t="n">
        <f aca="false">IF(H1415-E1415&gt;=GWL,99,E1415*(MAX(0,GWL-H1415)*(GAM_S-GAM_W)+MAX(0,NG-MAX(H1415,GWL))*GAM_D)/(GAM_W*PI()*E1415^2/4))</f>
        <v>7.09205285926597</v>
      </c>
      <c r="AA1415" s="27" t="n">
        <f aca="false">IF(I1415-E1415&gt;=GWL,99,E1415*(MAX(0,GWL-I1415)*(GAM_S-GAM_W)+MAX(0,NG-MAX(I1415,GWL))*GAM_D)/(GAM_W*PI()*E1415^2/4))</f>
        <v>7.09205285926597</v>
      </c>
      <c r="AB1415" s="27" t="n">
        <f aca="false">IF(H1415-E1415&gt;=GWL,99,E1415*(MAX(0,GWL-H1415)*(GAM_S-GAM_W)+MAX(0,FL-MAX(H1415,GWL))*GAM_D)/(GAM_W*PI()*E1415^2/4))</f>
        <v>13.3961790844068</v>
      </c>
      <c r="AC1415" s="27" t="n">
        <f aca="false">IF(I1415-E1415&gt;=GWL,99,E1415*(MAX(0,GWL-I1415)*(GAM_S-GAM_W)+MAX(0,FL-MAX(I1415,GWL))*GAM_D)/(GAM_W*PI()*E1415^2/4))</f>
        <v>13.3961790844068</v>
      </c>
    </row>
    <row r="1416" customFormat="false" ht="15" hidden="false" customHeight="false" outlineLevel="0" collapsed="false">
      <c r="A1416" s="25" t="s">
        <v>2066</v>
      </c>
      <c r="B1416" s="25" t="s">
        <v>2074</v>
      </c>
      <c r="C1416" s="25" t="s">
        <v>2078</v>
      </c>
      <c r="D1416" s="26" t="n">
        <v>2.30230032403923</v>
      </c>
      <c r="E1416" s="26" t="n">
        <v>0.629998592072013</v>
      </c>
      <c r="F1416" s="26" t="n">
        <v>-5.07499929603601</v>
      </c>
      <c r="G1416" s="26" t="n">
        <v>-5.07499929603601</v>
      </c>
      <c r="H1416" s="26" t="n">
        <v>-3.94500070396399</v>
      </c>
      <c r="I1416" s="26" t="n">
        <v>-3.94500070396399</v>
      </c>
      <c r="J1416" s="26" t="n">
        <v>10.44</v>
      </c>
      <c r="K1416" s="27" t="n">
        <f aca="false">MIN(F1416,G1416)</f>
        <v>-5.07499929603601</v>
      </c>
      <c r="L1416" s="27" t="n">
        <f aca="false">AVERAGE(F1416,G1416)</f>
        <v>-5.07499929603601</v>
      </c>
      <c r="M1416" s="27" t="n">
        <f aca="false">MAX(0,NG-L1416)</f>
        <v>4.37499929603601</v>
      </c>
      <c r="N1416" s="27" t="n">
        <f aca="false">MAX(0,GWL-K1416)</f>
        <v>3.57499929603601</v>
      </c>
      <c r="O1416" s="27" t="n">
        <f aca="false">MAX(0,NG-MAX(K1416,GWL))</f>
        <v>0.8</v>
      </c>
      <c r="P1416" s="27" t="n">
        <f aca="false">E1416/2+WS+SLOPE_A*O1416+SLOPE_B*N1416</f>
        <v>9.66499788810802</v>
      </c>
      <c r="Q1416" s="28" t="str">
        <f aca="false">IF(AND(P1416&lt;J1416,N1416&lt;=MAXOC),"Open cut","Shoring")</f>
        <v>Shoring</v>
      </c>
      <c r="R1416" s="27" t="n">
        <f aca="false">IF(Q1416="Shoring",D1416,0)</f>
        <v>2.30230032403923</v>
      </c>
      <c r="S1416" s="27" t="n">
        <f aca="false">MAX(0,GWL-L1416)</f>
        <v>3.57499929603601</v>
      </c>
      <c r="T1416" s="27" t="n">
        <f aca="false">MAX(0,NG-MAX(L1416,GWL))</f>
        <v>0.8</v>
      </c>
      <c r="U1416" s="27" t="n">
        <f aca="false">E1416+2*WS</f>
        <v>2.62999859207201</v>
      </c>
      <c r="V1416" s="27" t="n">
        <f aca="false">IF(Q1416="Shoring",D1416*M1416*U1416,0)</f>
        <v>26.4908246594969</v>
      </c>
      <c r="W1416" s="27" t="n">
        <f aca="false">IF(Q1416="Open cut",D1416*(U1416*M1416+SLOPE_B*S1416^2+2*SLOPE_B*S1416*T1416+SLOPE_A*T1416^2),0)</f>
        <v>0</v>
      </c>
      <c r="X1416" s="27" t="n">
        <f aca="false">IF(M1416&gt;0,D1416*(E1416+2*SLABOVH)*SLAB,0)</f>
        <v>1.87637314335544</v>
      </c>
      <c r="Y1416" s="27" t="n">
        <f aca="false">IF(M1416&gt;0,D1416*PI()*E1416^2/4,0)</f>
        <v>0.717680281089405</v>
      </c>
      <c r="Z1416" s="27" t="n">
        <f aca="false">IF(H1416-E1416&gt;=GWL,99,E1416*(MAX(0,GWL-H1416)*(GAM_S-GAM_W)+MAX(0,NG-MAX(H1416,GWL))*GAM_D)/(GAM_W*PI()*E1416^2/4))</f>
        <v>7.09201877965284</v>
      </c>
      <c r="AA1416" s="27" t="n">
        <f aca="false">IF(I1416-E1416&gt;=GWL,99,E1416*(MAX(0,GWL-I1416)*(GAM_S-GAM_W)+MAX(0,NG-MAX(I1416,GWL))*GAM_D)/(GAM_W*PI()*E1416^2/4))</f>
        <v>7.09201877965284</v>
      </c>
      <c r="AB1416" s="27" t="n">
        <f aca="false">IF(H1416-E1416&gt;=GWL,99,E1416*(MAX(0,GWL-H1416)*(GAM_S-GAM_W)+MAX(0,FL-MAX(H1416,GWL))*GAM_D)/(GAM_W*PI()*E1416^2/4))</f>
        <v>13.3961168233838</v>
      </c>
      <c r="AC1416" s="27" t="n">
        <f aca="false">IF(I1416-E1416&gt;=GWL,99,E1416*(MAX(0,GWL-I1416)*(GAM_S-GAM_W)+MAX(0,FL-MAX(I1416,GWL))*GAM_D)/(GAM_W*PI()*E1416^2/4))</f>
        <v>13.3961168233838</v>
      </c>
    </row>
    <row r="1417" customFormat="false" ht="15" hidden="false" customHeight="false" outlineLevel="0" collapsed="false">
      <c r="A1417" s="25" t="s">
        <v>2066</v>
      </c>
      <c r="B1417" s="25" t="s">
        <v>2074</v>
      </c>
      <c r="C1417" s="25" t="s">
        <v>2079</v>
      </c>
      <c r="D1417" s="26" t="n">
        <v>10.000000000096</v>
      </c>
      <c r="E1417" s="26" t="n">
        <v>0.629998592072013</v>
      </c>
      <c r="F1417" s="26" t="n">
        <v>-5.07499929603601</v>
      </c>
      <c r="G1417" s="26" t="n">
        <v>-5.07499929603601</v>
      </c>
      <c r="H1417" s="26" t="n">
        <v>-3.94500070396399</v>
      </c>
      <c r="I1417" s="26" t="n">
        <v>-3.94500070396399</v>
      </c>
      <c r="J1417" s="26" t="n">
        <v>12.74</v>
      </c>
      <c r="K1417" s="27" t="n">
        <f aca="false">MIN(F1417,G1417)</f>
        <v>-5.07499929603601</v>
      </c>
      <c r="L1417" s="27" t="n">
        <f aca="false">AVERAGE(F1417,G1417)</f>
        <v>-5.07499929603601</v>
      </c>
      <c r="M1417" s="27" t="n">
        <f aca="false">MAX(0,NG-L1417)</f>
        <v>4.37499929603601</v>
      </c>
      <c r="N1417" s="27" t="n">
        <f aca="false">MAX(0,GWL-K1417)</f>
        <v>3.57499929603601</v>
      </c>
      <c r="O1417" s="27" t="n">
        <f aca="false">MAX(0,NG-MAX(K1417,GWL))</f>
        <v>0.8</v>
      </c>
      <c r="P1417" s="27" t="n">
        <f aca="false">E1417/2+WS+SLOPE_A*O1417+SLOPE_B*N1417</f>
        <v>9.66499788810802</v>
      </c>
      <c r="Q1417" s="28" t="str">
        <f aca="false">IF(AND(P1417&lt;J1417,N1417&lt;=MAXOC),"Open cut","Shoring")</f>
        <v>Shoring</v>
      </c>
      <c r="R1417" s="27" t="n">
        <f aca="false">IF(Q1417="Shoring",D1417,0)</f>
        <v>10.000000000096</v>
      </c>
      <c r="S1417" s="27" t="n">
        <f aca="false">MAX(0,GWL-L1417)</f>
        <v>3.57499929603601</v>
      </c>
      <c r="T1417" s="27" t="n">
        <f aca="false">MAX(0,NG-MAX(L1417,GWL))</f>
        <v>0.8</v>
      </c>
      <c r="U1417" s="27" t="n">
        <f aca="false">E1417+2*WS</f>
        <v>2.62999859207201</v>
      </c>
      <c r="V1417" s="27" t="n">
        <f aca="false">IF(Q1417="Shoring",D1417*M1417*U1417,0)</f>
        <v>115.062419890012</v>
      </c>
      <c r="W1417" s="27" t="n">
        <f aca="false">IF(Q1417="Open cut",D1417*(U1417*M1417+SLOPE_B*S1417^2+2*SLOPE_B*S1417*T1417+SLOPE_A*T1417^2),0)</f>
        <v>0</v>
      </c>
      <c r="X1417" s="27" t="n">
        <f aca="false">IF(M1417&gt;0,D1417*(E1417+2*SLABOVH)*SLAB,0)</f>
        <v>8.1499929604383</v>
      </c>
      <c r="Y1417" s="27" t="n">
        <f aca="false">IF(M1417&gt;0,D1417*PI()*E1417^2/4,0)</f>
        <v>3.11723137769087</v>
      </c>
      <c r="Z1417" s="27" t="n">
        <f aca="false">IF(H1417-E1417&gt;=GWL,99,E1417*(MAX(0,GWL-H1417)*(GAM_S-GAM_W)+MAX(0,NG-MAX(H1417,GWL))*GAM_D)/(GAM_W*PI()*E1417^2/4))</f>
        <v>7.09201877965284</v>
      </c>
      <c r="AA1417" s="27" t="n">
        <f aca="false">IF(I1417-E1417&gt;=GWL,99,E1417*(MAX(0,GWL-I1417)*(GAM_S-GAM_W)+MAX(0,NG-MAX(I1417,GWL))*GAM_D)/(GAM_W*PI()*E1417^2/4))</f>
        <v>7.09201877965284</v>
      </c>
      <c r="AB1417" s="27" t="n">
        <f aca="false">IF(H1417-E1417&gt;=GWL,99,E1417*(MAX(0,GWL-H1417)*(GAM_S-GAM_W)+MAX(0,FL-MAX(H1417,GWL))*GAM_D)/(GAM_W*PI()*E1417^2/4))</f>
        <v>13.3961168233838</v>
      </c>
      <c r="AC1417" s="27" t="n">
        <f aca="false">IF(I1417-E1417&gt;=GWL,99,E1417*(MAX(0,GWL-I1417)*(GAM_S-GAM_W)+MAX(0,FL-MAX(I1417,GWL))*GAM_D)/(GAM_W*PI()*E1417^2/4))</f>
        <v>13.3961168233838</v>
      </c>
    </row>
    <row r="1418" customFormat="false" ht="15" hidden="false" customHeight="false" outlineLevel="0" collapsed="false">
      <c r="A1418" s="25" t="s">
        <v>2066</v>
      </c>
      <c r="B1418" s="25" t="s">
        <v>2074</v>
      </c>
      <c r="C1418" s="25" t="s">
        <v>2080</v>
      </c>
      <c r="D1418" s="26" t="n">
        <v>4.99999999987624</v>
      </c>
      <c r="E1418" s="26" t="n">
        <v>0.629998592072013</v>
      </c>
      <c r="F1418" s="26" t="n">
        <v>-5.07499929603601</v>
      </c>
      <c r="G1418" s="26" t="n">
        <v>-5.07499929603601</v>
      </c>
      <c r="H1418" s="26" t="n">
        <v>-3.94500070396399</v>
      </c>
      <c r="I1418" s="26" t="n">
        <v>-3.94500070396399</v>
      </c>
      <c r="J1418" s="26" t="n">
        <v>13.35</v>
      </c>
      <c r="K1418" s="27" t="n">
        <f aca="false">MIN(F1418,G1418)</f>
        <v>-5.07499929603601</v>
      </c>
      <c r="L1418" s="27" t="n">
        <f aca="false">AVERAGE(F1418,G1418)</f>
        <v>-5.07499929603601</v>
      </c>
      <c r="M1418" s="27" t="n">
        <f aca="false">MAX(0,NG-L1418)</f>
        <v>4.37499929603601</v>
      </c>
      <c r="N1418" s="27" t="n">
        <f aca="false">MAX(0,GWL-K1418)</f>
        <v>3.57499929603601</v>
      </c>
      <c r="O1418" s="27" t="n">
        <f aca="false">MAX(0,NG-MAX(K1418,GWL))</f>
        <v>0.8</v>
      </c>
      <c r="P1418" s="27" t="n">
        <f aca="false">E1418/2+WS+SLOPE_A*O1418+SLOPE_B*N1418</f>
        <v>9.66499788810802</v>
      </c>
      <c r="Q1418" s="28" t="str">
        <f aca="false">IF(AND(P1418&lt;J1418,N1418&lt;=MAXOC),"Open cut","Shoring")</f>
        <v>Shoring</v>
      </c>
      <c r="R1418" s="27" t="n">
        <f aca="false">IF(Q1418="Shoring",D1418,0)</f>
        <v>4.99999999987624</v>
      </c>
      <c r="S1418" s="27" t="n">
        <f aca="false">MAX(0,GWL-L1418)</f>
        <v>3.57499929603601</v>
      </c>
      <c r="T1418" s="27" t="n">
        <f aca="false">MAX(0,NG-MAX(L1418,GWL))</f>
        <v>0.8</v>
      </c>
      <c r="U1418" s="27" t="n">
        <f aca="false">E1418+2*WS</f>
        <v>2.62999859207201</v>
      </c>
      <c r="V1418" s="27" t="n">
        <f aca="false">IF(Q1418="Shoring",D1418*M1418*U1418,0)</f>
        <v>57.5312099430297</v>
      </c>
      <c r="W1418" s="27" t="n">
        <f aca="false">IF(Q1418="Open cut",D1418*(U1418*M1418+SLOPE_B*S1418^2+2*SLOPE_B*S1418*T1418+SLOPE_A*T1418^2),0)</f>
        <v>0</v>
      </c>
      <c r="X1418" s="27" t="n">
        <f aca="false">IF(M1418&gt;0,D1418*(E1418+2*SLABOVH)*SLAB,0)</f>
        <v>4.07499648007917</v>
      </c>
      <c r="Y1418" s="27" t="n">
        <f aca="false">IF(M1418&gt;0,D1418*PI()*E1418^2/4,0)</f>
        <v>1.55861568879189</v>
      </c>
      <c r="Z1418" s="27" t="n">
        <f aca="false">IF(H1418-E1418&gt;=GWL,99,E1418*(MAX(0,GWL-H1418)*(GAM_S-GAM_W)+MAX(0,NG-MAX(H1418,GWL))*GAM_D)/(GAM_W*PI()*E1418^2/4))</f>
        <v>7.09201877965284</v>
      </c>
      <c r="AA1418" s="27" t="n">
        <f aca="false">IF(I1418-E1418&gt;=GWL,99,E1418*(MAX(0,GWL-I1418)*(GAM_S-GAM_W)+MAX(0,NG-MAX(I1418,GWL))*GAM_D)/(GAM_W*PI()*E1418^2/4))</f>
        <v>7.09201877965284</v>
      </c>
      <c r="AB1418" s="27" t="n">
        <f aca="false">IF(H1418-E1418&gt;=GWL,99,E1418*(MAX(0,GWL-H1418)*(GAM_S-GAM_W)+MAX(0,FL-MAX(H1418,GWL))*GAM_D)/(GAM_W*PI()*E1418^2/4))</f>
        <v>13.3961168233838</v>
      </c>
      <c r="AC1418" s="27" t="n">
        <f aca="false">IF(I1418-E1418&gt;=GWL,99,E1418*(MAX(0,GWL-I1418)*(GAM_S-GAM_W)+MAX(0,FL-MAX(I1418,GWL))*GAM_D)/(GAM_W*PI()*E1418^2/4))</f>
        <v>13.3961168233838</v>
      </c>
    </row>
    <row r="1419" customFormat="false" ht="15" hidden="false" customHeight="false" outlineLevel="0" collapsed="false">
      <c r="A1419" s="25" t="s">
        <v>2066</v>
      </c>
      <c r="B1419" s="25" t="s">
        <v>2081</v>
      </c>
      <c r="C1419" s="25" t="s">
        <v>2082</v>
      </c>
      <c r="D1419" s="26" t="n">
        <v>5.00000000021975</v>
      </c>
      <c r="E1419" s="26" t="n">
        <v>0.629998592072013</v>
      </c>
      <c r="F1419" s="26" t="n">
        <v>-5.07499929603601</v>
      </c>
      <c r="G1419" s="26" t="n">
        <v>-5.07499929603601</v>
      </c>
      <c r="H1419" s="26" t="n">
        <v>-3.94500070396399</v>
      </c>
      <c r="I1419" s="26" t="n">
        <v>-3.94500070396399</v>
      </c>
      <c r="J1419" s="26" t="n">
        <v>11.78</v>
      </c>
      <c r="K1419" s="27" t="n">
        <f aca="false">MIN(F1419,G1419)</f>
        <v>-5.07499929603601</v>
      </c>
      <c r="L1419" s="27" t="n">
        <f aca="false">AVERAGE(F1419,G1419)</f>
        <v>-5.07499929603601</v>
      </c>
      <c r="M1419" s="27" t="n">
        <f aca="false">MAX(0,NG-L1419)</f>
        <v>4.37499929603601</v>
      </c>
      <c r="N1419" s="27" t="n">
        <f aca="false">MAX(0,GWL-K1419)</f>
        <v>3.57499929603601</v>
      </c>
      <c r="O1419" s="27" t="n">
        <f aca="false">MAX(0,NG-MAX(K1419,GWL))</f>
        <v>0.8</v>
      </c>
      <c r="P1419" s="27" t="n">
        <f aca="false">E1419/2+WS+SLOPE_A*O1419+SLOPE_B*N1419</f>
        <v>9.66499788810802</v>
      </c>
      <c r="Q1419" s="28" t="str">
        <f aca="false">IF(AND(P1419&lt;J1419,N1419&lt;=MAXOC),"Open cut","Shoring")</f>
        <v>Shoring</v>
      </c>
      <c r="R1419" s="27" t="n">
        <f aca="false">IF(Q1419="Shoring",D1419,0)</f>
        <v>5.00000000021975</v>
      </c>
      <c r="S1419" s="27" t="n">
        <f aca="false">MAX(0,GWL-L1419)</f>
        <v>3.57499929603601</v>
      </c>
      <c r="T1419" s="27" t="n">
        <f aca="false">MAX(0,NG-MAX(L1419,GWL))</f>
        <v>0.8</v>
      </c>
      <c r="U1419" s="27" t="n">
        <f aca="false">E1419+2*WS</f>
        <v>2.62999859207201</v>
      </c>
      <c r="V1419" s="27" t="n">
        <f aca="false">IF(Q1419="Shoring",D1419*M1419*U1419,0)</f>
        <v>57.5312099469822</v>
      </c>
      <c r="W1419" s="27" t="n">
        <f aca="false">IF(Q1419="Open cut",D1419*(U1419*M1419+SLOPE_B*S1419^2+2*SLOPE_B*S1419*T1419+SLOPE_A*T1419^2),0)</f>
        <v>0</v>
      </c>
      <c r="X1419" s="27" t="n">
        <f aca="false">IF(M1419&gt;0,D1419*(E1419+2*SLABOVH)*SLAB,0)</f>
        <v>4.07499648035913</v>
      </c>
      <c r="Y1419" s="27" t="n">
        <f aca="false">IF(M1419&gt;0,D1419*PI()*E1419^2/4,0)</f>
        <v>1.55861568889897</v>
      </c>
      <c r="Z1419" s="27" t="n">
        <f aca="false">IF(H1419-E1419&gt;=GWL,99,E1419*(MAX(0,GWL-H1419)*(GAM_S-GAM_W)+MAX(0,NG-MAX(H1419,GWL))*GAM_D)/(GAM_W*PI()*E1419^2/4))</f>
        <v>7.09201877965284</v>
      </c>
      <c r="AA1419" s="27" t="n">
        <f aca="false">IF(I1419-E1419&gt;=GWL,99,E1419*(MAX(0,GWL-I1419)*(GAM_S-GAM_W)+MAX(0,NG-MAX(I1419,GWL))*GAM_D)/(GAM_W*PI()*E1419^2/4))</f>
        <v>7.09201877965284</v>
      </c>
      <c r="AB1419" s="27" t="n">
        <f aca="false">IF(H1419-E1419&gt;=GWL,99,E1419*(MAX(0,GWL-H1419)*(GAM_S-GAM_W)+MAX(0,FL-MAX(H1419,GWL))*GAM_D)/(GAM_W*PI()*E1419^2/4))</f>
        <v>13.3961168233838</v>
      </c>
      <c r="AC1419" s="27" t="n">
        <f aca="false">IF(I1419-E1419&gt;=GWL,99,E1419*(MAX(0,GWL-I1419)*(GAM_S-GAM_W)+MAX(0,FL-MAX(I1419,GWL))*GAM_D)/(GAM_W*PI()*E1419^2/4))</f>
        <v>13.3961168233838</v>
      </c>
    </row>
    <row r="1420" customFormat="false" ht="15" hidden="false" customHeight="false" outlineLevel="0" collapsed="false">
      <c r="A1420" s="25" t="s">
        <v>2066</v>
      </c>
      <c r="B1420" s="25" t="s">
        <v>2081</v>
      </c>
      <c r="C1420" s="25" t="s">
        <v>2083</v>
      </c>
      <c r="D1420" s="26" t="n">
        <v>10.000000000096</v>
      </c>
      <c r="E1420" s="26" t="n">
        <v>0.629998592072013</v>
      </c>
      <c r="F1420" s="26" t="n">
        <v>-5.07499929603601</v>
      </c>
      <c r="G1420" s="26" t="n">
        <v>-5.07499929603601</v>
      </c>
      <c r="H1420" s="26" t="n">
        <v>-3.94500070396399</v>
      </c>
      <c r="I1420" s="26" t="n">
        <v>-3.94500070396399</v>
      </c>
      <c r="J1420" s="26" t="n">
        <v>9.12</v>
      </c>
      <c r="K1420" s="27" t="n">
        <f aca="false">MIN(F1420,G1420)</f>
        <v>-5.07499929603601</v>
      </c>
      <c r="L1420" s="27" t="n">
        <f aca="false">AVERAGE(F1420,G1420)</f>
        <v>-5.07499929603601</v>
      </c>
      <c r="M1420" s="27" t="n">
        <f aca="false">MAX(0,NG-L1420)</f>
        <v>4.37499929603601</v>
      </c>
      <c r="N1420" s="27" t="n">
        <f aca="false">MAX(0,GWL-K1420)</f>
        <v>3.57499929603601</v>
      </c>
      <c r="O1420" s="27" t="n">
        <f aca="false">MAX(0,NG-MAX(K1420,GWL))</f>
        <v>0.8</v>
      </c>
      <c r="P1420" s="27" t="n">
        <f aca="false">E1420/2+WS+SLOPE_A*O1420+SLOPE_B*N1420</f>
        <v>9.66499788810802</v>
      </c>
      <c r="Q1420" s="28" t="str">
        <f aca="false">IF(AND(P1420&lt;J1420,N1420&lt;=MAXOC),"Open cut","Shoring")</f>
        <v>Shoring</v>
      </c>
      <c r="R1420" s="27" t="n">
        <f aca="false">IF(Q1420="Shoring",D1420,0)</f>
        <v>10.000000000096</v>
      </c>
      <c r="S1420" s="27" t="n">
        <f aca="false">MAX(0,GWL-L1420)</f>
        <v>3.57499929603601</v>
      </c>
      <c r="T1420" s="27" t="n">
        <f aca="false">MAX(0,NG-MAX(L1420,GWL))</f>
        <v>0.8</v>
      </c>
      <c r="U1420" s="27" t="n">
        <f aca="false">E1420+2*WS</f>
        <v>2.62999859207201</v>
      </c>
      <c r="V1420" s="27" t="n">
        <f aca="false">IF(Q1420="Shoring",D1420*M1420*U1420,0)</f>
        <v>115.062419890012</v>
      </c>
      <c r="W1420" s="27" t="n">
        <f aca="false">IF(Q1420="Open cut",D1420*(U1420*M1420+SLOPE_B*S1420^2+2*SLOPE_B*S1420*T1420+SLOPE_A*T1420^2),0)</f>
        <v>0</v>
      </c>
      <c r="X1420" s="27" t="n">
        <f aca="false">IF(M1420&gt;0,D1420*(E1420+2*SLABOVH)*SLAB,0)</f>
        <v>8.1499929604383</v>
      </c>
      <c r="Y1420" s="27" t="n">
        <f aca="false">IF(M1420&gt;0,D1420*PI()*E1420^2/4,0)</f>
        <v>3.11723137769087</v>
      </c>
      <c r="Z1420" s="27" t="n">
        <f aca="false">IF(H1420-E1420&gt;=GWL,99,E1420*(MAX(0,GWL-H1420)*(GAM_S-GAM_W)+MAX(0,NG-MAX(H1420,GWL))*GAM_D)/(GAM_W*PI()*E1420^2/4))</f>
        <v>7.09201877965284</v>
      </c>
      <c r="AA1420" s="27" t="n">
        <f aca="false">IF(I1420-E1420&gt;=GWL,99,E1420*(MAX(0,GWL-I1420)*(GAM_S-GAM_W)+MAX(0,NG-MAX(I1420,GWL))*GAM_D)/(GAM_W*PI()*E1420^2/4))</f>
        <v>7.09201877965284</v>
      </c>
      <c r="AB1420" s="27" t="n">
        <f aca="false">IF(H1420-E1420&gt;=GWL,99,E1420*(MAX(0,GWL-H1420)*(GAM_S-GAM_W)+MAX(0,FL-MAX(H1420,GWL))*GAM_D)/(GAM_W*PI()*E1420^2/4))</f>
        <v>13.3961168233838</v>
      </c>
      <c r="AC1420" s="27" t="n">
        <f aca="false">IF(I1420-E1420&gt;=GWL,99,E1420*(MAX(0,GWL-I1420)*(GAM_S-GAM_W)+MAX(0,FL-MAX(I1420,GWL))*GAM_D)/(GAM_W*PI()*E1420^2/4))</f>
        <v>13.3961168233838</v>
      </c>
    </row>
    <row r="1421" customFormat="false" ht="15" hidden="false" customHeight="false" outlineLevel="0" collapsed="false">
      <c r="A1421" s="25" t="s">
        <v>2066</v>
      </c>
      <c r="B1421" s="25" t="s">
        <v>2081</v>
      </c>
      <c r="C1421" s="25" t="s">
        <v>2084</v>
      </c>
      <c r="D1421" s="26" t="n">
        <v>8.00000000003156</v>
      </c>
      <c r="E1421" s="26" t="n">
        <v>0.629998592072013</v>
      </c>
      <c r="F1421" s="26" t="n">
        <v>-5.07499929603601</v>
      </c>
      <c r="G1421" s="26" t="n">
        <v>-5.07499929603601</v>
      </c>
      <c r="H1421" s="26" t="n">
        <v>-3.94500070396399</v>
      </c>
      <c r="I1421" s="26" t="n">
        <v>-3.94500070396399</v>
      </c>
      <c r="J1421" s="26" t="n">
        <v>7.82</v>
      </c>
      <c r="K1421" s="27" t="n">
        <f aca="false">MIN(F1421,G1421)</f>
        <v>-5.07499929603601</v>
      </c>
      <c r="L1421" s="27" t="n">
        <f aca="false">AVERAGE(F1421,G1421)</f>
        <v>-5.07499929603601</v>
      </c>
      <c r="M1421" s="27" t="n">
        <f aca="false">MAX(0,NG-L1421)</f>
        <v>4.37499929603601</v>
      </c>
      <c r="N1421" s="27" t="n">
        <f aca="false">MAX(0,GWL-K1421)</f>
        <v>3.57499929603601</v>
      </c>
      <c r="O1421" s="27" t="n">
        <f aca="false">MAX(0,NG-MAX(K1421,GWL))</f>
        <v>0.8</v>
      </c>
      <c r="P1421" s="27" t="n">
        <f aca="false">E1421/2+WS+SLOPE_A*O1421+SLOPE_B*N1421</f>
        <v>9.66499788810802</v>
      </c>
      <c r="Q1421" s="28" t="str">
        <f aca="false">IF(AND(P1421&lt;J1421,N1421&lt;=MAXOC),"Open cut","Shoring")</f>
        <v>Shoring</v>
      </c>
      <c r="R1421" s="27" t="n">
        <f aca="false">IF(Q1421="Shoring",D1421,0)</f>
        <v>8.00000000003156</v>
      </c>
      <c r="S1421" s="27" t="n">
        <f aca="false">MAX(0,GWL-L1421)</f>
        <v>3.57499929603601</v>
      </c>
      <c r="T1421" s="27" t="n">
        <f aca="false">MAX(0,NG-MAX(L1421,GWL))</f>
        <v>0.8</v>
      </c>
      <c r="U1421" s="27" t="n">
        <f aca="false">E1421+2*WS</f>
        <v>2.62999859207201</v>
      </c>
      <c r="V1421" s="27" t="n">
        <f aca="false">IF(Q1421="Shoring",D1421*M1421*U1421,0)</f>
        <v>92.0499359114891</v>
      </c>
      <c r="W1421" s="27" t="n">
        <f aca="false">IF(Q1421="Open cut",D1421*(U1421*M1421+SLOPE_B*S1421^2+2*SLOPE_B*S1421*T1421+SLOPE_A*T1421^2),0)</f>
        <v>0</v>
      </c>
      <c r="X1421" s="27" t="n">
        <f aca="false">IF(M1421&gt;0,D1421*(E1421+2*SLABOVH)*SLAB,0)</f>
        <v>6.51999436831378</v>
      </c>
      <c r="Y1421" s="27" t="n">
        <f aca="false">IF(M1421&gt;0,D1421*PI()*E1421^2/4,0)</f>
        <v>2.4937851021386</v>
      </c>
      <c r="Z1421" s="27" t="n">
        <f aca="false">IF(H1421-E1421&gt;=GWL,99,E1421*(MAX(0,GWL-H1421)*(GAM_S-GAM_W)+MAX(0,NG-MAX(H1421,GWL))*GAM_D)/(GAM_W*PI()*E1421^2/4))</f>
        <v>7.09201877965284</v>
      </c>
      <c r="AA1421" s="27" t="n">
        <f aca="false">IF(I1421-E1421&gt;=GWL,99,E1421*(MAX(0,GWL-I1421)*(GAM_S-GAM_W)+MAX(0,NG-MAX(I1421,GWL))*GAM_D)/(GAM_W*PI()*E1421^2/4))</f>
        <v>7.09201877965284</v>
      </c>
      <c r="AB1421" s="27" t="n">
        <f aca="false">IF(H1421-E1421&gt;=GWL,99,E1421*(MAX(0,GWL-H1421)*(GAM_S-GAM_W)+MAX(0,FL-MAX(H1421,GWL))*GAM_D)/(GAM_W*PI()*E1421^2/4))</f>
        <v>13.3961168233838</v>
      </c>
      <c r="AC1421" s="27" t="n">
        <f aca="false">IF(I1421-E1421&gt;=GWL,99,E1421*(MAX(0,GWL-I1421)*(GAM_S-GAM_W)+MAX(0,FL-MAX(I1421,GWL))*GAM_D)/(GAM_W*PI()*E1421^2/4))</f>
        <v>13.3961168233838</v>
      </c>
    </row>
    <row r="1422" customFormat="false" ht="15" hidden="false" customHeight="false" outlineLevel="0" collapsed="false">
      <c r="A1422" s="25" t="s">
        <v>2066</v>
      </c>
      <c r="B1422" s="25" t="s">
        <v>2085</v>
      </c>
      <c r="C1422" s="25" t="s">
        <v>2086</v>
      </c>
      <c r="D1422" s="26" t="n">
        <v>1.99999999931874</v>
      </c>
      <c r="E1422" s="26" t="n">
        <v>0.629998592072013</v>
      </c>
      <c r="F1422" s="26" t="n">
        <v>-5.07499929603601</v>
      </c>
      <c r="G1422" s="26" t="n">
        <v>-5.07499929603601</v>
      </c>
      <c r="H1422" s="26" t="n">
        <v>-3.94500070396399</v>
      </c>
      <c r="I1422" s="26" t="n">
        <v>-3.94500070396399</v>
      </c>
      <c r="J1422" s="26" t="n">
        <v>7.83</v>
      </c>
      <c r="K1422" s="27" t="n">
        <f aca="false">MIN(F1422,G1422)</f>
        <v>-5.07499929603601</v>
      </c>
      <c r="L1422" s="27" t="n">
        <f aca="false">AVERAGE(F1422,G1422)</f>
        <v>-5.07499929603601</v>
      </c>
      <c r="M1422" s="27" t="n">
        <f aca="false">MAX(0,NG-L1422)</f>
        <v>4.37499929603601</v>
      </c>
      <c r="N1422" s="27" t="n">
        <f aca="false">MAX(0,GWL-K1422)</f>
        <v>3.57499929603601</v>
      </c>
      <c r="O1422" s="27" t="n">
        <f aca="false">MAX(0,NG-MAX(K1422,GWL))</f>
        <v>0.8</v>
      </c>
      <c r="P1422" s="27" t="n">
        <f aca="false">E1422/2+WS+SLOPE_A*O1422+SLOPE_B*N1422</f>
        <v>9.66499788810802</v>
      </c>
      <c r="Q1422" s="28" t="str">
        <f aca="false">IF(AND(P1422&lt;J1422,N1422&lt;=MAXOC),"Open cut","Shoring")</f>
        <v>Shoring</v>
      </c>
      <c r="R1422" s="27" t="n">
        <f aca="false">IF(Q1422="Shoring",D1422,0)</f>
        <v>1.99999999931874</v>
      </c>
      <c r="S1422" s="27" t="n">
        <f aca="false">MAX(0,GWL-L1422)</f>
        <v>3.57499929603601</v>
      </c>
      <c r="T1422" s="27" t="n">
        <f aca="false">MAX(0,NG-MAX(L1422,GWL))</f>
        <v>0.8</v>
      </c>
      <c r="U1422" s="27" t="n">
        <f aca="false">E1422+2*WS</f>
        <v>2.62999859207201</v>
      </c>
      <c r="V1422" s="27" t="n">
        <f aca="false">IF(Q1422="Shoring",D1422*M1422*U1422,0)</f>
        <v>23.0124839699427</v>
      </c>
      <c r="W1422" s="27" t="n">
        <f aca="false">IF(Q1422="Open cut",D1422*(U1422*M1422+SLOPE_B*S1422^2+2*SLOPE_B*S1422*T1422+SLOPE_A*T1422^2),0)</f>
        <v>0</v>
      </c>
      <c r="X1422" s="27" t="n">
        <f aca="false">IF(M1422&gt;0,D1422*(E1422+2*SLABOVH)*SLAB,0)</f>
        <v>1.62999859151679</v>
      </c>
      <c r="Y1422" s="27" t="n">
        <f aca="false">IF(M1422&gt;0,D1422*PI()*E1422^2/4,0)</f>
        <v>0.623446275319824</v>
      </c>
      <c r="Z1422" s="27" t="n">
        <f aca="false">IF(H1422-E1422&gt;=GWL,99,E1422*(MAX(0,GWL-H1422)*(GAM_S-GAM_W)+MAX(0,NG-MAX(H1422,GWL))*GAM_D)/(GAM_W*PI()*E1422^2/4))</f>
        <v>7.09201877965284</v>
      </c>
      <c r="AA1422" s="27" t="n">
        <f aca="false">IF(I1422-E1422&gt;=GWL,99,E1422*(MAX(0,GWL-I1422)*(GAM_S-GAM_W)+MAX(0,NG-MAX(I1422,GWL))*GAM_D)/(GAM_W*PI()*E1422^2/4))</f>
        <v>7.09201877965284</v>
      </c>
      <c r="AB1422" s="27" t="n">
        <f aca="false">IF(H1422-E1422&gt;=GWL,99,E1422*(MAX(0,GWL-H1422)*(GAM_S-GAM_W)+MAX(0,FL-MAX(H1422,GWL))*GAM_D)/(GAM_W*PI()*E1422^2/4))</f>
        <v>13.3961168233838</v>
      </c>
      <c r="AC1422" s="27" t="n">
        <f aca="false">IF(I1422-E1422&gt;=GWL,99,E1422*(MAX(0,GWL-I1422)*(GAM_S-GAM_W)+MAX(0,FL-MAX(I1422,GWL))*GAM_D)/(GAM_W*PI()*E1422^2/4))</f>
        <v>13.3961168233838</v>
      </c>
    </row>
    <row r="1423" customFormat="false" ht="15" hidden="false" customHeight="false" outlineLevel="0" collapsed="false">
      <c r="A1423" s="25" t="s">
        <v>2066</v>
      </c>
      <c r="B1423" s="25" t="s">
        <v>2085</v>
      </c>
      <c r="C1423" s="25" t="s">
        <v>2087</v>
      </c>
      <c r="D1423" s="26" t="n">
        <v>10.000000000096</v>
      </c>
      <c r="E1423" s="26" t="n">
        <v>0.629998592072013</v>
      </c>
      <c r="F1423" s="26" t="n">
        <v>-5.07499929603601</v>
      </c>
      <c r="G1423" s="26" t="n">
        <v>-5.07499929603601</v>
      </c>
      <c r="H1423" s="26" t="n">
        <v>-3.94500070396399</v>
      </c>
      <c r="I1423" s="26" t="n">
        <v>-3.94500070396399</v>
      </c>
      <c r="J1423" s="26" t="n">
        <v>7.83</v>
      </c>
      <c r="K1423" s="27" t="n">
        <f aca="false">MIN(F1423,G1423)</f>
        <v>-5.07499929603601</v>
      </c>
      <c r="L1423" s="27" t="n">
        <f aca="false">AVERAGE(F1423,G1423)</f>
        <v>-5.07499929603601</v>
      </c>
      <c r="M1423" s="27" t="n">
        <f aca="false">MAX(0,NG-L1423)</f>
        <v>4.37499929603601</v>
      </c>
      <c r="N1423" s="27" t="n">
        <f aca="false">MAX(0,GWL-K1423)</f>
        <v>3.57499929603601</v>
      </c>
      <c r="O1423" s="27" t="n">
        <f aca="false">MAX(0,NG-MAX(K1423,GWL))</f>
        <v>0.8</v>
      </c>
      <c r="P1423" s="27" t="n">
        <f aca="false">E1423/2+WS+SLOPE_A*O1423+SLOPE_B*N1423</f>
        <v>9.66499788810802</v>
      </c>
      <c r="Q1423" s="28" t="str">
        <f aca="false">IF(AND(P1423&lt;J1423,N1423&lt;=MAXOC),"Open cut","Shoring")</f>
        <v>Shoring</v>
      </c>
      <c r="R1423" s="27" t="n">
        <f aca="false">IF(Q1423="Shoring",D1423,0)</f>
        <v>10.000000000096</v>
      </c>
      <c r="S1423" s="27" t="n">
        <f aca="false">MAX(0,GWL-L1423)</f>
        <v>3.57499929603601</v>
      </c>
      <c r="T1423" s="27" t="n">
        <f aca="false">MAX(0,NG-MAX(L1423,GWL))</f>
        <v>0.8</v>
      </c>
      <c r="U1423" s="27" t="n">
        <f aca="false">E1423+2*WS</f>
        <v>2.62999859207201</v>
      </c>
      <c r="V1423" s="27" t="n">
        <f aca="false">IF(Q1423="Shoring",D1423*M1423*U1423,0)</f>
        <v>115.062419890012</v>
      </c>
      <c r="W1423" s="27" t="n">
        <f aca="false">IF(Q1423="Open cut",D1423*(U1423*M1423+SLOPE_B*S1423^2+2*SLOPE_B*S1423*T1423+SLOPE_A*T1423^2),0)</f>
        <v>0</v>
      </c>
      <c r="X1423" s="27" t="n">
        <f aca="false">IF(M1423&gt;0,D1423*(E1423+2*SLABOVH)*SLAB,0)</f>
        <v>8.1499929604383</v>
      </c>
      <c r="Y1423" s="27" t="n">
        <f aca="false">IF(M1423&gt;0,D1423*PI()*E1423^2/4,0)</f>
        <v>3.11723137769087</v>
      </c>
      <c r="Z1423" s="27" t="n">
        <f aca="false">IF(H1423-E1423&gt;=GWL,99,E1423*(MAX(0,GWL-H1423)*(GAM_S-GAM_W)+MAX(0,NG-MAX(H1423,GWL))*GAM_D)/(GAM_W*PI()*E1423^2/4))</f>
        <v>7.09201877965284</v>
      </c>
      <c r="AA1423" s="27" t="n">
        <f aca="false">IF(I1423-E1423&gt;=GWL,99,E1423*(MAX(0,GWL-I1423)*(GAM_S-GAM_W)+MAX(0,NG-MAX(I1423,GWL))*GAM_D)/(GAM_W*PI()*E1423^2/4))</f>
        <v>7.09201877965284</v>
      </c>
      <c r="AB1423" s="27" t="n">
        <f aca="false">IF(H1423-E1423&gt;=GWL,99,E1423*(MAX(0,GWL-H1423)*(GAM_S-GAM_W)+MAX(0,FL-MAX(H1423,GWL))*GAM_D)/(GAM_W*PI()*E1423^2/4))</f>
        <v>13.3961168233838</v>
      </c>
      <c r="AC1423" s="27" t="n">
        <f aca="false">IF(I1423-E1423&gt;=GWL,99,E1423*(MAX(0,GWL-I1423)*(GAM_S-GAM_W)+MAX(0,FL-MAX(I1423,GWL))*GAM_D)/(GAM_W*PI()*E1423^2/4))</f>
        <v>13.3961168233838</v>
      </c>
    </row>
    <row r="1424" customFormat="false" ht="15" hidden="false" customHeight="false" outlineLevel="0" collapsed="false">
      <c r="A1424" s="25" t="s">
        <v>2066</v>
      </c>
      <c r="B1424" s="25" t="s">
        <v>2085</v>
      </c>
      <c r="C1424" s="25" t="s">
        <v>2088</v>
      </c>
      <c r="D1424" s="26" t="n">
        <v>10.000000000096</v>
      </c>
      <c r="E1424" s="26" t="n">
        <v>0.629998592072013</v>
      </c>
      <c r="F1424" s="26" t="n">
        <v>-5.07499929603601</v>
      </c>
      <c r="G1424" s="26" t="n">
        <v>-5.07499929603601</v>
      </c>
      <c r="H1424" s="26" t="n">
        <v>-3.94500070396399</v>
      </c>
      <c r="I1424" s="26" t="n">
        <v>-3.94500070396399</v>
      </c>
      <c r="J1424" s="26" t="n">
        <v>12.59</v>
      </c>
      <c r="K1424" s="27" t="n">
        <f aca="false">MIN(F1424,G1424)</f>
        <v>-5.07499929603601</v>
      </c>
      <c r="L1424" s="27" t="n">
        <f aca="false">AVERAGE(F1424,G1424)</f>
        <v>-5.07499929603601</v>
      </c>
      <c r="M1424" s="27" t="n">
        <f aca="false">MAX(0,NG-L1424)</f>
        <v>4.37499929603601</v>
      </c>
      <c r="N1424" s="27" t="n">
        <f aca="false">MAX(0,GWL-K1424)</f>
        <v>3.57499929603601</v>
      </c>
      <c r="O1424" s="27" t="n">
        <f aca="false">MAX(0,NG-MAX(K1424,GWL))</f>
        <v>0.8</v>
      </c>
      <c r="P1424" s="27" t="n">
        <f aca="false">E1424/2+WS+SLOPE_A*O1424+SLOPE_B*N1424</f>
        <v>9.66499788810802</v>
      </c>
      <c r="Q1424" s="28" t="str">
        <f aca="false">IF(AND(P1424&lt;J1424,N1424&lt;=MAXOC),"Open cut","Shoring")</f>
        <v>Shoring</v>
      </c>
      <c r="R1424" s="27" t="n">
        <f aca="false">IF(Q1424="Shoring",D1424,0)</f>
        <v>10.000000000096</v>
      </c>
      <c r="S1424" s="27" t="n">
        <f aca="false">MAX(0,GWL-L1424)</f>
        <v>3.57499929603601</v>
      </c>
      <c r="T1424" s="27" t="n">
        <f aca="false">MAX(0,NG-MAX(L1424,GWL))</f>
        <v>0.8</v>
      </c>
      <c r="U1424" s="27" t="n">
        <f aca="false">E1424+2*WS</f>
        <v>2.62999859207201</v>
      </c>
      <c r="V1424" s="27" t="n">
        <f aca="false">IF(Q1424="Shoring",D1424*M1424*U1424,0)</f>
        <v>115.062419890012</v>
      </c>
      <c r="W1424" s="27" t="n">
        <f aca="false">IF(Q1424="Open cut",D1424*(U1424*M1424+SLOPE_B*S1424^2+2*SLOPE_B*S1424*T1424+SLOPE_A*T1424^2),0)</f>
        <v>0</v>
      </c>
      <c r="X1424" s="27" t="n">
        <f aca="false">IF(M1424&gt;0,D1424*(E1424+2*SLABOVH)*SLAB,0)</f>
        <v>8.1499929604383</v>
      </c>
      <c r="Y1424" s="27" t="n">
        <f aca="false">IF(M1424&gt;0,D1424*PI()*E1424^2/4,0)</f>
        <v>3.11723137769087</v>
      </c>
      <c r="Z1424" s="27" t="n">
        <f aca="false">IF(H1424-E1424&gt;=GWL,99,E1424*(MAX(0,GWL-H1424)*(GAM_S-GAM_W)+MAX(0,NG-MAX(H1424,GWL))*GAM_D)/(GAM_W*PI()*E1424^2/4))</f>
        <v>7.09201877965284</v>
      </c>
      <c r="AA1424" s="27" t="n">
        <f aca="false">IF(I1424-E1424&gt;=GWL,99,E1424*(MAX(0,GWL-I1424)*(GAM_S-GAM_W)+MAX(0,NG-MAX(I1424,GWL))*GAM_D)/(GAM_W*PI()*E1424^2/4))</f>
        <v>7.09201877965284</v>
      </c>
      <c r="AB1424" s="27" t="n">
        <f aca="false">IF(H1424-E1424&gt;=GWL,99,E1424*(MAX(0,GWL-H1424)*(GAM_S-GAM_W)+MAX(0,FL-MAX(H1424,GWL))*GAM_D)/(GAM_W*PI()*E1424^2/4))</f>
        <v>13.3961168233838</v>
      </c>
      <c r="AC1424" s="27" t="n">
        <f aca="false">IF(I1424-E1424&gt;=GWL,99,E1424*(MAX(0,GWL-I1424)*(GAM_S-GAM_W)+MAX(0,FL-MAX(I1424,GWL))*GAM_D)/(GAM_W*PI()*E1424^2/4))</f>
        <v>13.3961168233838</v>
      </c>
    </row>
    <row r="1425" customFormat="false" ht="15" hidden="false" customHeight="false" outlineLevel="0" collapsed="false">
      <c r="A1425" s="25" t="s">
        <v>2066</v>
      </c>
      <c r="B1425" s="25" t="s">
        <v>2085</v>
      </c>
      <c r="C1425" s="25" t="s">
        <v>2089</v>
      </c>
      <c r="D1425" s="26" t="n">
        <v>6.45487967580583</v>
      </c>
      <c r="E1425" s="26" t="n">
        <v>0.629998592072013</v>
      </c>
      <c r="F1425" s="26" t="n">
        <v>-5.07499929603601</v>
      </c>
      <c r="G1425" s="26" t="n">
        <v>-5.07499929603601</v>
      </c>
      <c r="H1425" s="26" t="n">
        <v>-3.94500070396399</v>
      </c>
      <c r="I1425" s="26" t="n">
        <v>-3.94500070396399</v>
      </c>
      <c r="J1425" s="26" t="n">
        <v>12.7</v>
      </c>
      <c r="K1425" s="27" t="n">
        <f aca="false">MIN(F1425,G1425)</f>
        <v>-5.07499929603601</v>
      </c>
      <c r="L1425" s="27" t="n">
        <f aca="false">AVERAGE(F1425,G1425)</f>
        <v>-5.07499929603601</v>
      </c>
      <c r="M1425" s="27" t="n">
        <f aca="false">MAX(0,NG-L1425)</f>
        <v>4.37499929603601</v>
      </c>
      <c r="N1425" s="27" t="n">
        <f aca="false">MAX(0,GWL-K1425)</f>
        <v>3.57499929603601</v>
      </c>
      <c r="O1425" s="27" t="n">
        <f aca="false">MAX(0,NG-MAX(K1425,GWL))</f>
        <v>0.8</v>
      </c>
      <c r="P1425" s="27" t="n">
        <f aca="false">E1425/2+WS+SLOPE_A*O1425+SLOPE_B*N1425</f>
        <v>9.66499788810802</v>
      </c>
      <c r="Q1425" s="28" t="str">
        <f aca="false">IF(AND(P1425&lt;J1425,N1425&lt;=MAXOC),"Open cut","Shoring")</f>
        <v>Shoring</v>
      </c>
      <c r="R1425" s="27" t="n">
        <f aca="false">IF(Q1425="Shoring",D1425,0)</f>
        <v>6.45487967580583</v>
      </c>
      <c r="S1425" s="27" t="n">
        <f aca="false">MAX(0,GWL-L1425)</f>
        <v>3.57499929603601</v>
      </c>
      <c r="T1425" s="27" t="n">
        <f aca="false">MAX(0,NG-MAX(L1425,GWL))</f>
        <v>0.8</v>
      </c>
      <c r="U1425" s="27" t="n">
        <f aca="false">E1425+2*WS</f>
        <v>2.62999859207201</v>
      </c>
      <c r="V1425" s="27" t="n">
        <f aca="false">IF(Q1425="Shoring",D1425*M1425*U1425,0)</f>
        <v>74.2714075589945</v>
      </c>
      <c r="W1425" s="27" t="n">
        <f aca="false">IF(Q1425="Open cut",D1425*(U1425*M1425+SLOPE_B*S1425^2+2*SLOPE_B*S1425*T1425+SLOPE_A*T1425^2),0)</f>
        <v>0</v>
      </c>
      <c r="X1425" s="27" t="n">
        <f aca="false">IF(M1425&gt;0,D1425*(E1425+2*SLABOVH)*SLAB,0)</f>
        <v>5.26072239177888</v>
      </c>
      <c r="Y1425" s="27" t="n">
        <f aca="false">IF(M1425&gt;0,D1425*PI()*E1425^2/4,0)</f>
        <v>2.01213534644478</v>
      </c>
      <c r="Z1425" s="27" t="n">
        <f aca="false">IF(H1425-E1425&gt;=GWL,99,E1425*(MAX(0,GWL-H1425)*(GAM_S-GAM_W)+MAX(0,NG-MAX(H1425,GWL))*GAM_D)/(GAM_W*PI()*E1425^2/4))</f>
        <v>7.09201877965284</v>
      </c>
      <c r="AA1425" s="27" t="n">
        <f aca="false">IF(I1425-E1425&gt;=GWL,99,E1425*(MAX(0,GWL-I1425)*(GAM_S-GAM_W)+MAX(0,NG-MAX(I1425,GWL))*GAM_D)/(GAM_W*PI()*E1425^2/4))</f>
        <v>7.09201877965284</v>
      </c>
      <c r="AB1425" s="27" t="n">
        <f aca="false">IF(H1425-E1425&gt;=GWL,99,E1425*(MAX(0,GWL-H1425)*(GAM_S-GAM_W)+MAX(0,FL-MAX(H1425,GWL))*GAM_D)/(GAM_W*PI()*E1425^2/4))</f>
        <v>13.3961168233838</v>
      </c>
      <c r="AC1425" s="27" t="n">
        <f aca="false">IF(I1425-E1425&gt;=GWL,99,E1425*(MAX(0,GWL-I1425)*(GAM_S-GAM_W)+MAX(0,FL-MAX(I1425,GWL))*GAM_D)/(GAM_W*PI()*E1425^2/4))</f>
        <v>13.3961168233838</v>
      </c>
    </row>
    <row r="1426" customFormat="false" ht="15" hidden="false" customHeight="false" outlineLevel="0" collapsed="false">
      <c r="A1426" s="25" t="s">
        <v>2066</v>
      </c>
      <c r="B1426" s="25" t="s">
        <v>2085</v>
      </c>
      <c r="C1426" s="25" t="s">
        <v>2090</v>
      </c>
      <c r="D1426" s="26" t="n">
        <v>0.17481021127984</v>
      </c>
      <c r="E1426" s="26" t="n">
        <v>0.630004343670048</v>
      </c>
      <c r="F1426" s="26" t="n">
        <v>-5.07500217183502</v>
      </c>
      <c r="G1426" s="26" t="n">
        <v>-4.94468217183502</v>
      </c>
      <c r="H1426" s="26" t="n">
        <v>-3.94499782816498</v>
      </c>
      <c r="I1426" s="26" t="n">
        <v>-3.81467782816498</v>
      </c>
      <c r="J1426" s="26" t="n">
        <v>12.52</v>
      </c>
      <c r="K1426" s="27" t="n">
        <f aca="false">MIN(F1426,G1426)</f>
        <v>-5.07500217183502</v>
      </c>
      <c r="L1426" s="27" t="n">
        <f aca="false">AVERAGE(F1426,G1426)</f>
        <v>-5.00984217183502</v>
      </c>
      <c r="M1426" s="27" t="n">
        <f aca="false">MAX(0,NG-L1426)</f>
        <v>4.30984217183502</v>
      </c>
      <c r="N1426" s="27" t="n">
        <f aca="false">MAX(0,GWL-K1426)</f>
        <v>3.57500217183502</v>
      </c>
      <c r="O1426" s="27" t="n">
        <f aca="false">MAX(0,NG-MAX(K1426,GWL))</f>
        <v>0.8</v>
      </c>
      <c r="P1426" s="27" t="n">
        <f aca="false">E1426/2+WS+SLOPE_A*O1426+SLOPE_B*N1426</f>
        <v>9.66500651550507</v>
      </c>
      <c r="Q1426" s="28" t="str">
        <f aca="false">IF(AND(P1426&lt;J1426,N1426&lt;=MAXOC),"Open cut","Shoring")</f>
        <v>Shoring</v>
      </c>
      <c r="R1426" s="27" t="n">
        <f aca="false">IF(Q1426="Shoring",D1426,0)</f>
        <v>0.17481021127984</v>
      </c>
      <c r="S1426" s="27" t="n">
        <f aca="false">MAX(0,GWL-L1426)</f>
        <v>3.50984217183502</v>
      </c>
      <c r="T1426" s="27" t="n">
        <f aca="false">MAX(0,NG-MAX(L1426,GWL))</f>
        <v>0.8</v>
      </c>
      <c r="U1426" s="27" t="n">
        <f aca="false">E1426+2*WS</f>
        <v>2.63000434367005</v>
      </c>
      <c r="V1426" s="27" t="n">
        <f aca="false">IF(Q1426="Shoring",D1426*M1426*U1426,0)</f>
        <v>1.98145689882669</v>
      </c>
      <c r="W1426" s="27" t="n">
        <f aca="false">IF(Q1426="Open cut",D1426*(U1426*M1426+SLOPE_B*S1426^2+2*SLOPE_B*S1426*T1426+SLOPE_A*T1426^2),0)</f>
        <v>0</v>
      </c>
      <c r="X1426" s="27" t="n">
        <f aca="false">IF(M1426&gt;0,D1426*(E1426+2*SLABOVH)*SLAB,0)</f>
        <v>0.142470701852009</v>
      </c>
      <c r="Y1426" s="27" t="n">
        <f aca="false">IF(M1426&gt;0,D1426*PI()*E1426^2/4,0)</f>
        <v>0.0544933825592306</v>
      </c>
      <c r="Z1426" s="27" t="n">
        <f aca="false">IF(H1426-E1426&gt;=GWL,99,E1426*(MAX(0,GWL-H1426)*(GAM_S-GAM_W)+MAX(0,NG-MAX(H1426,GWL))*GAM_D)/(GAM_W*PI()*E1426^2/4))</f>
        <v>7.09194918115246</v>
      </c>
      <c r="AA1426" s="27" t="n">
        <f aca="false">IF(I1426-E1426&gt;=GWL,99,E1426*(MAX(0,GWL-I1426)*(GAM_S-GAM_W)+MAX(0,NG-MAX(I1426,GWL))*GAM_D)/(GAM_W*PI()*E1426^2/4))</f>
        <v>6.87206573213929</v>
      </c>
      <c r="AB1426" s="27" t="n">
        <f aca="false">IF(H1426-E1426&gt;=GWL,99,E1426*(MAX(0,GWL-H1426)*(GAM_S-GAM_W)+MAX(0,FL-MAX(H1426,GWL))*GAM_D)/(GAM_W*PI()*E1426^2/4))</f>
        <v>13.3959896718867</v>
      </c>
      <c r="AC1426" s="27" t="n">
        <f aca="false">IF(I1426-E1426&gt;=GWL,99,E1426*(MAX(0,GWL-I1426)*(GAM_S-GAM_W)+MAX(0,FL-MAX(I1426,GWL))*GAM_D)/(GAM_W*PI()*E1426^2/4))</f>
        <v>13.1761062228736</v>
      </c>
    </row>
    <row r="1427" customFormat="false" ht="15" hidden="false" customHeight="false" outlineLevel="0" collapsed="false">
      <c r="A1427" s="25" t="s">
        <v>2066</v>
      </c>
      <c r="B1427" s="25" t="s">
        <v>2085</v>
      </c>
      <c r="C1427" s="25" t="s">
        <v>2091</v>
      </c>
      <c r="D1427" s="26" t="n">
        <v>0.842959999617818</v>
      </c>
      <c r="E1427" s="26" t="n">
        <v>0.617895442780821</v>
      </c>
      <c r="F1427" s="26" t="n">
        <v>-4.93862772139041</v>
      </c>
      <c r="G1427" s="26" t="n">
        <v>-4.62442772139041</v>
      </c>
      <c r="H1427" s="26" t="n">
        <v>-3.82073227860959</v>
      </c>
      <c r="I1427" s="26" t="n">
        <v>-3.50653227860959</v>
      </c>
      <c r="J1427" s="26" t="n">
        <v>11.69</v>
      </c>
      <c r="K1427" s="27" t="n">
        <f aca="false">MIN(F1427,G1427)</f>
        <v>-4.93862772139041</v>
      </c>
      <c r="L1427" s="27" t="n">
        <f aca="false">AVERAGE(F1427,G1427)</f>
        <v>-4.78152772139041</v>
      </c>
      <c r="M1427" s="27" t="n">
        <f aca="false">MAX(0,NG-L1427)</f>
        <v>4.08152772139041</v>
      </c>
      <c r="N1427" s="27" t="n">
        <f aca="false">MAX(0,GWL-K1427)</f>
        <v>3.43862772139041</v>
      </c>
      <c r="O1427" s="27" t="n">
        <f aca="false">MAX(0,NG-MAX(K1427,GWL))</f>
        <v>0.8</v>
      </c>
      <c r="P1427" s="27" t="n">
        <f aca="false">E1427/2+WS+SLOPE_A*O1427+SLOPE_B*N1427</f>
        <v>9.38620316417123</v>
      </c>
      <c r="Q1427" s="28" t="str">
        <f aca="false">IF(AND(P1427&lt;J1427,N1427&lt;=MAXOC),"Open cut","Shoring")</f>
        <v>Shoring</v>
      </c>
      <c r="R1427" s="27" t="n">
        <f aca="false">IF(Q1427="Shoring",D1427,0)</f>
        <v>0.842959999617818</v>
      </c>
      <c r="S1427" s="27" t="n">
        <f aca="false">MAX(0,GWL-L1427)</f>
        <v>3.28152772139041</v>
      </c>
      <c r="T1427" s="27" t="n">
        <f aca="false">MAX(0,NG-MAX(L1427,GWL))</f>
        <v>0.8</v>
      </c>
      <c r="U1427" s="27" t="n">
        <f aca="false">E1427+2*WS</f>
        <v>2.61789544278082</v>
      </c>
      <c r="V1427" s="27" t="n">
        <f aca="false">IF(Q1427="Shoring",D1427*M1427*U1427,0)</f>
        <v>9.00703840385345</v>
      </c>
      <c r="W1427" s="27" t="n">
        <f aca="false">IF(Q1427="Open cut",D1427*(U1427*M1427+SLOPE_B*S1427^2+2*SLOPE_B*S1427*T1427+SLOPE_A*T1427^2),0)</f>
        <v>0</v>
      </c>
      <c r="X1427" s="27" t="n">
        <f aca="false">IF(M1427&gt;0,D1427*(E1427+2*SLABOVH)*SLAB,0)</f>
        <v>0.681910570914095</v>
      </c>
      <c r="Y1427" s="27" t="n">
        <f aca="false">IF(M1427&gt;0,D1427*PI()*E1427^2/4,0)</f>
        <v>0.252770758985769</v>
      </c>
      <c r="Z1427" s="27" t="n">
        <f aca="false">IF(H1427-E1427&gt;=GWL,99,E1427*(MAX(0,GWL-H1427)*(GAM_S-GAM_W)+MAX(0,NG-MAX(H1427,GWL))*GAM_D)/(GAM_W*PI()*E1427^2/4))</f>
        <v>7.01715325858971</v>
      </c>
      <c r="AA1427" s="27" t="n">
        <f aca="false">IF(I1427-E1427&gt;=GWL,99,E1427*(MAX(0,GWL-I1427)*(GAM_S-GAM_W)+MAX(0,NG-MAX(I1427,GWL))*GAM_D)/(GAM_W*PI()*E1427^2/4))</f>
        <v>6.4766277406703</v>
      </c>
      <c r="AB1427" s="27" t="n">
        <f aca="false">IF(H1427-E1427&gt;=GWL,99,E1427*(MAX(0,GWL-H1427)*(GAM_S-GAM_W)+MAX(0,FL-MAX(H1427,GWL))*GAM_D)/(GAM_W*PI()*E1427^2/4))</f>
        <v>13.4447340705803</v>
      </c>
      <c r="AC1427" s="27" t="n">
        <f aca="false">IF(I1427-E1427&gt;=GWL,99,E1427*(MAX(0,GWL-I1427)*(GAM_S-GAM_W)+MAX(0,FL-MAX(I1427,GWL))*GAM_D)/(GAM_W*PI()*E1427^2/4))</f>
        <v>12.9042085526609</v>
      </c>
    </row>
    <row r="1428" customFormat="false" ht="15" hidden="false" customHeight="false" outlineLevel="0" collapsed="false">
      <c r="A1428" s="25" t="s">
        <v>2066</v>
      </c>
      <c r="B1428" s="25" t="s">
        <v>2085</v>
      </c>
      <c r="C1428" s="25" t="s">
        <v>2092</v>
      </c>
      <c r="D1428" s="26" t="n">
        <v>0.123630000034363</v>
      </c>
      <c r="E1428" s="26" t="n">
        <v>0.630004343670048</v>
      </c>
      <c r="F1428" s="26" t="n">
        <v>-4.63048217183502</v>
      </c>
      <c r="G1428" s="26" t="n">
        <v>-4.53832217183502</v>
      </c>
      <c r="H1428" s="26" t="n">
        <v>-3.50047782816498</v>
      </c>
      <c r="I1428" s="26" t="n">
        <v>-3.40831782816498</v>
      </c>
      <c r="J1428" s="26" t="n">
        <v>11.56</v>
      </c>
      <c r="K1428" s="27" t="n">
        <f aca="false">MIN(F1428,G1428)</f>
        <v>-4.63048217183502</v>
      </c>
      <c r="L1428" s="27" t="n">
        <f aca="false">AVERAGE(F1428,G1428)</f>
        <v>-4.58440217183502</v>
      </c>
      <c r="M1428" s="27" t="n">
        <f aca="false">MAX(0,NG-L1428)</f>
        <v>3.88440217183502</v>
      </c>
      <c r="N1428" s="27" t="n">
        <f aca="false">MAX(0,GWL-K1428)</f>
        <v>3.13048217183502</v>
      </c>
      <c r="O1428" s="27" t="n">
        <f aca="false">MAX(0,NG-MAX(K1428,GWL))</f>
        <v>0.8</v>
      </c>
      <c r="P1428" s="27" t="n">
        <f aca="false">E1428/2+WS+SLOPE_A*O1428+SLOPE_B*N1428</f>
        <v>8.77596651550507</v>
      </c>
      <c r="Q1428" s="28" t="str">
        <f aca="false">IF(AND(P1428&lt;J1428,N1428&lt;=MAXOC),"Open cut","Shoring")</f>
        <v>Shoring</v>
      </c>
      <c r="R1428" s="27" t="n">
        <f aca="false">IF(Q1428="Shoring",D1428,0)</f>
        <v>0.123630000034363</v>
      </c>
      <c r="S1428" s="27" t="n">
        <f aca="false">MAX(0,GWL-L1428)</f>
        <v>3.08440217183502</v>
      </c>
      <c r="T1428" s="27" t="n">
        <f aca="false">MAX(0,NG-MAX(L1428,GWL))</f>
        <v>0.8</v>
      </c>
      <c r="U1428" s="27" t="n">
        <f aca="false">E1428+2*WS</f>
        <v>2.63000434367005</v>
      </c>
      <c r="V1428" s="27" t="n">
        <f aca="false">IF(Q1428="Shoring",D1428*M1428*U1428,0)</f>
        <v>1.26300341083124</v>
      </c>
      <c r="W1428" s="27" t="n">
        <f aca="false">IF(Q1428="Open cut",D1428*(U1428*M1428+SLOPE_B*S1428^2+2*SLOPE_B*S1428*T1428+SLOPE_A*T1428^2),0)</f>
        <v>0</v>
      </c>
      <c r="X1428" s="27" t="n">
        <f aca="false">IF(M1428&gt;0,D1428*(E1428+2*SLABOVH)*SLAB,0)</f>
        <v>0.10075871853197</v>
      </c>
      <c r="Y1428" s="27" t="n">
        <f aca="false">IF(M1428&gt;0,D1428*PI()*E1428^2/4,0)</f>
        <v>0.0385390352105089</v>
      </c>
      <c r="Z1428" s="27" t="n">
        <f aca="false">IF(H1428-E1428&gt;=GWL,99,E1428*(MAX(0,GWL-H1428)*(GAM_S-GAM_W)+MAX(0,NG-MAX(H1428,GWL))*GAM_D)/(GAM_W*PI()*E1428^2/4))</f>
        <v>6.34192930120055</v>
      </c>
      <c r="AA1428" s="27" t="n">
        <f aca="false">IF(I1428-E1428&gt;=GWL,99,E1428*(MAX(0,GWL-I1428)*(GAM_S-GAM_W)+MAX(0,NG-MAX(I1428,GWL))*GAM_D)/(GAM_W*PI()*E1428^2/4))</f>
        <v>6.18643161350063</v>
      </c>
      <c r="AB1428" s="27" t="n">
        <f aca="false">IF(H1428-E1428&gt;=GWL,99,E1428*(MAX(0,GWL-H1428)*(GAM_S-GAM_W)+MAX(0,FL-MAX(H1428,GWL))*GAM_D)/(GAM_W*PI()*E1428^2/4))</f>
        <v>12.6459697919348</v>
      </c>
      <c r="AC1428" s="27" t="n">
        <f aca="false">IF(I1428-E1428&gt;=GWL,99,E1428*(MAX(0,GWL-I1428)*(GAM_S-GAM_W)+MAX(0,FL-MAX(I1428,GWL))*GAM_D)/(GAM_W*PI()*E1428^2/4))</f>
        <v>12.4904721042349</v>
      </c>
    </row>
    <row r="1429" customFormat="false" ht="15" hidden="false" customHeight="false" outlineLevel="0" collapsed="false">
      <c r="A1429" s="25" t="s">
        <v>2066</v>
      </c>
      <c r="B1429" s="25" t="s">
        <v>2085</v>
      </c>
      <c r="C1429" s="25" t="s">
        <v>2093</v>
      </c>
      <c r="D1429" s="26" t="n">
        <v>0.123625663767374</v>
      </c>
      <c r="E1429" s="26" t="n">
        <v>0.629999305739977</v>
      </c>
      <c r="F1429" s="26" t="n">
        <v>-4.53831965286999</v>
      </c>
      <c r="G1429" s="26" t="n">
        <v>-4.44615965286999</v>
      </c>
      <c r="H1429" s="26" t="n">
        <v>-3.40832034713001</v>
      </c>
      <c r="I1429" s="26" t="n">
        <v>-3.31616034713001</v>
      </c>
      <c r="J1429" s="26" t="n">
        <v>11.44</v>
      </c>
      <c r="K1429" s="27" t="n">
        <f aca="false">MIN(F1429,G1429)</f>
        <v>-4.53831965286999</v>
      </c>
      <c r="L1429" s="27" t="n">
        <f aca="false">AVERAGE(F1429,G1429)</f>
        <v>-4.49223965286999</v>
      </c>
      <c r="M1429" s="27" t="n">
        <f aca="false">MAX(0,NG-L1429)</f>
        <v>3.79223965286999</v>
      </c>
      <c r="N1429" s="27" t="n">
        <f aca="false">MAX(0,GWL-K1429)</f>
        <v>3.03831965286999</v>
      </c>
      <c r="O1429" s="27" t="n">
        <f aca="false">MAX(0,NG-MAX(K1429,GWL))</f>
        <v>0.8</v>
      </c>
      <c r="P1429" s="27" t="n">
        <f aca="false">E1429/2+WS+SLOPE_A*O1429+SLOPE_B*N1429</f>
        <v>8.59163895860997</v>
      </c>
      <c r="Q1429" s="28" t="str">
        <f aca="false">IF(AND(P1429&lt;J1429,N1429&lt;=MAXOC),"Open cut","Shoring")</f>
        <v>Shoring</v>
      </c>
      <c r="R1429" s="27" t="n">
        <f aca="false">IF(Q1429="Shoring",D1429,0)</f>
        <v>0.123625663767374</v>
      </c>
      <c r="S1429" s="27" t="n">
        <f aca="false">MAX(0,GWL-L1429)</f>
        <v>2.99223965286999</v>
      </c>
      <c r="T1429" s="27" t="n">
        <f aca="false">MAX(0,NG-MAX(L1429,GWL))</f>
        <v>0.8</v>
      </c>
      <c r="U1429" s="27" t="n">
        <f aca="false">E1429+2*WS</f>
        <v>2.62999930573998</v>
      </c>
      <c r="V1429" s="27" t="n">
        <f aca="false">IF(Q1429="Shoring",D1429*M1429*U1429,0)</f>
        <v>1.23299139389846</v>
      </c>
      <c r="W1429" s="27" t="n">
        <f aca="false">IF(Q1429="Open cut",D1429*(U1429*M1429+SLOPE_B*S1429^2+2*SLOPE_B*S1429*T1429+SLOPE_A*T1429^2),0)</f>
        <v>0</v>
      </c>
      <c r="X1429" s="27" t="n">
        <f aca="false">IF(M1429&gt;0,D1429*(E1429+2*SLABOVH)*SLAB,0)</f>
        <v>0.100754873056232</v>
      </c>
      <c r="Y1429" s="27" t="n">
        <f aca="false">IF(M1429&gt;0,D1429*PI()*E1429^2/4,0)</f>
        <v>0.038537067128093</v>
      </c>
      <c r="Z1429" s="27" t="n">
        <f aca="false">IF(H1429-E1429&gt;=GWL,99,E1429*(MAX(0,GWL-H1429)*(GAM_S-GAM_W)+MAX(0,NG-MAX(H1429,GWL))*GAM_D)/(GAM_W*PI()*E1429^2/4))</f>
        <v>6.18648533485954</v>
      </c>
      <c r="AA1429" s="27" t="n">
        <f aca="false">IF(I1429-E1429&gt;=GWL,99,E1429*(MAX(0,GWL-I1429)*(GAM_S-GAM_W)+MAX(0,NG-MAX(I1429,GWL))*GAM_D)/(GAM_W*PI()*E1429^2/4))</f>
        <v>6.03098640368765</v>
      </c>
      <c r="AB1429" s="27" t="n">
        <f aca="false">IF(H1429-E1429&gt;=GWL,99,E1429*(MAX(0,GWL-H1429)*(GAM_S-GAM_W)+MAX(0,FL-MAX(H1429,GWL))*GAM_D)/(GAM_W*PI()*E1429^2/4))</f>
        <v>12.4905762372607</v>
      </c>
      <c r="AC1429" s="27" t="n">
        <f aca="false">IF(I1429-E1429&gt;=GWL,99,E1429*(MAX(0,GWL-I1429)*(GAM_S-GAM_W)+MAX(0,FL-MAX(I1429,GWL))*GAM_D)/(GAM_W*PI()*E1429^2/4))</f>
        <v>12.3350773060888</v>
      </c>
    </row>
    <row r="1430" customFormat="false" ht="15" hidden="false" customHeight="false" outlineLevel="0" collapsed="false">
      <c r="A1430" s="25" t="s">
        <v>2066</v>
      </c>
      <c r="B1430" s="25" t="s">
        <v>2085</v>
      </c>
      <c r="C1430" s="25" t="s">
        <v>2094</v>
      </c>
      <c r="D1430" s="26" t="n">
        <v>1.99262348633687</v>
      </c>
      <c r="E1430" s="26" t="n">
        <v>0.630004343341636</v>
      </c>
      <c r="F1430" s="26" t="n">
        <v>-4.44616217167082</v>
      </c>
      <c r="G1430" s="26" t="n">
        <v>-2.96071217167082</v>
      </c>
      <c r="H1430" s="26" t="n">
        <v>-3.31615782832918</v>
      </c>
      <c r="I1430" s="26" t="n">
        <v>-1.83070782832918</v>
      </c>
      <c r="J1430" s="26" t="n">
        <v>9.46</v>
      </c>
      <c r="K1430" s="27" t="n">
        <f aca="false">MIN(F1430,G1430)</f>
        <v>-4.44616217167082</v>
      </c>
      <c r="L1430" s="27" t="n">
        <f aca="false">AVERAGE(F1430,G1430)</f>
        <v>-3.70343717167082</v>
      </c>
      <c r="M1430" s="27" t="n">
        <f aca="false">MAX(0,NG-L1430)</f>
        <v>3.00343717167082</v>
      </c>
      <c r="N1430" s="27" t="n">
        <f aca="false">MAX(0,GWL-K1430)</f>
        <v>2.94616217167082</v>
      </c>
      <c r="O1430" s="27" t="n">
        <f aca="false">MAX(0,NG-MAX(K1430,GWL))</f>
        <v>0.8</v>
      </c>
      <c r="P1430" s="27" t="n">
        <f aca="false">E1430/2+WS+SLOPE_A*O1430+SLOPE_B*N1430</f>
        <v>8.40732651501246</v>
      </c>
      <c r="Q1430" s="28" t="str">
        <f aca="false">IF(AND(P1430&lt;J1430,N1430&lt;=MAXOC),"Open cut","Shoring")</f>
        <v>Shoring</v>
      </c>
      <c r="R1430" s="27" t="n">
        <f aca="false">IF(Q1430="Shoring",D1430,0)</f>
        <v>1.99262348633687</v>
      </c>
      <c r="S1430" s="27" t="n">
        <f aca="false">MAX(0,GWL-L1430)</f>
        <v>2.20343717167082</v>
      </c>
      <c r="T1430" s="27" t="n">
        <f aca="false">MAX(0,NG-MAX(L1430,GWL))</f>
        <v>0.8</v>
      </c>
      <c r="U1430" s="27" t="n">
        <f aca="false">E1430+2*WS</f>
        <v>2.63000434334164</v>
      </c>
      <c r="V1430" s="27" t="n">
        <f aca="false">IF(Q1430="Shoring",D1430*M1430*U1430,0)</f>
        <v>15.7398381419434</v>
      </c>
      <c r="W1430" s="27" t="n">
        <f aca="false">IF(Q1430="Open cut",D1430*(U1430*M1430+SLOPE_B*S1430^2+2*SLOPE_B*S1430*T1430+SLOPE_A*T1430^2),0)</f>
        <v>0</v>
      </c>
      <c r="X1430" s="27" t="n">
        <f aca="false">IF(M1430&gt;0,D1430*(E1430+2*SLABOVH)*SLAB,0)</f>
        <v>1.62399246868683</v>
      </c>
      <c r="Y1430" s="27" t="n">
        <f aca="false">IF(M1430&gt;0,D1430*PI()*E1430^2/4,0)</f>
        <v>0.621158186522819</v>
      </c>
      <c r="Z1430" s="27" t="n">
        <f aca="false">IF(H1430-E1430&gt;=GWL,99,E1430*(MAX(0,GWL-H1430)*(GAM_S-GAM_W)+MAX(0,NG-MAX(H1430,GWL))*GAM_D)/(GAM_W*PI()*E1430^2/4))</f>
        <v>6.03093392922161</v>
      </c>
      <c r="AA1430" s="27" t="n">
        <f aca="false">IF(I1430-E1430&gt;=GWL,99,E1430*(MAX(0,GWL-I1430)*(GAM_S-GAM_W)+MAX(0,NG-MAX(I1430,GWL))*GAM_D)/(GAM_W*PI()*E1430^2/4))</f>
        <v>3.52459668622841</v>
      </c>
      <c r="AB1430" s="27" t="n">
        <f aca="false">IF(H1430-E1430&gt;=GWL,99,E1430*(MAX(0,GWL-H1430)*(GAM_S-GAM_W)+MAX(0,FL-MAX(H1430,GWL))*GAM_D)/(GAM_W*PI()*E1430^2/4))</f>
        <v>12.3349744232421</v>
      </c>
      <c r="AC1430" s="27" t="n">
        <f aca="false">IF(I1430-E1430&gt;=GWL,99,E1430*(MAX(0,GWL-I1430)*(GAM_S-GAM_W)+MAX(0,FL-MAX(I1430,GWL))*GAM_D)/(GAM_W*PI()*E1430^2/4))</f>
        <v>9.82863718024888</v>
      </c>
    </row>
    <row r="1431" customFormat="false" ht="15" hidden="false" customHeight="false" outlineLevel="0" collapsed="false">
      <c r="A1431" s="25" t="s">
        <v>2066</v>
      </c>
      <c r="B1431" s="25" t="s">
        <v>2095</v>
      </c>
      <c r="C1431" s="25" t="s">
        <v>2096</v>
      </c>
      <c r="D1431" s="26" t="n">
        <v>0.287470963392285</v>
      </c>
      <c r="E1431" s="26" t="n">
        <v>0.630004343357031</v>
      </c>
      <c r="F1431" s="26" t="n">
        <v>-2.96071217167852</v>
      </c>
      <c r="G1431" s="26" t="n">
        <v>-2.74641164052165</v>
      </c>
      <c r="H1431" s="26" t="n">
        <v>-1.83070782832148</v>
      </c>
      <c r="I1431" s="26" t="n">
        <v>-1.61640729716461</v>
      </c>
      <c r="J1431" s="26" t="n">
        <v>9.18</v>
      </c>
      <c r="K1431" s="27" t="n">
        <f aca="false">MIN(F1431,G1431)</f>
        <v>-2.96071217167852</v>
      </c>
      <c r="L1431" s="27" t="n">
        <f aca="false">AVERAGE(F1431,G1431)</f>
        <v>-2.85356190610008</v>
      </c>
      <c r="M1431" s="27" t="n">
        <f aca="false">MAX(0,NG-L1431)</f>
        <v>2.15356190610008</v>
      </c>
      <c r="N1431" s="27" t="n">
        <f aca="false">MAX(0,GWL-K1431)</f>
        <v>1.46071217167852</v>
      </c>
      <c r="O1431" s="27" t="n">
        <f aca="false">MAX(0,NG-MAX(K1431,GWL))</f>
        <v>0.8</v>
      </c>
      <c r="P1431" s="27" t="n">
        <f aca="false">E1431/2+WS+SLOPE_A*O1431+SLOPE_B*N1431</f>
        <v>5.43642651503555</v>
      </c>
      <c r="Q1431" s="28" t="str">
        <f aca="false">IF(AND(P1431&lt;J1431,N1431&lt;=MAXOC),"Open cut","Shoring")</f>
        <v>Open cut</v>
      </c>
      <c r="R1431" s="27" t="n">
        <f aca="false">IF(Q1431="Shoring",D1431,0)</f>
        <v>0</v>
      </c>
      <c r="S1431" s="27" t="n">
        <f aca="false">MAX(0,GWL-L1431)</f>
        <v>1.35356190610008</v>
      </c>
      <c r="T1431" s="27" t="n">
        <f aca="false">MAX(0,NG-MAX(L1431,GWL))</f>
        <v>0.8</v>
      </c>
      <c r="U1431" s="27" t="n">
        <f aca="false">E1431+2*WS</f>
        <v>2.63000434335703</v>
      </c>
      <c r="V1431" s="27" t="n">
        <f aca="false">IF(Q1431="Shoring",D1431*M1431*U1431,0)</f>
        <v>0</v>
      </c>
      <c r="W1431" s="27" t="n">
        <f aca="false">IF(Q1431="Open cut",D1431*(U1431*M1431+SLOPE_B*S1431^2+2*SLOPE_B*S1431*T1431+SLOPE_A*T1431^2),0)</f>
        <v>4.20269179169256</v>
      </c>
      <c r="X1431" s="27" t="n">
        <f aca="false">IF(M1431&gt;0,D1431*(E1431+2*SLABOVH)*SLAB,0)</f>
        <v>0.234289459459227</v>
      </c>
      <c r="Y1431" s="27" t="n">
        <f aca="false">IF(M1431&gt;0,D1431*PI()*E1431^2/4,0)</f>
        <v>0.0896129868647236</v>
      </c>
      <c r="Z1431" s="27" t="n">
        <f aca="false">IF(H1431-E1431&gt;=GWL,99,E1431*(MAX(0,GWL-H1431)*(GAM_S-GAM_W)+MAX(0,NG-MAX(H1431,GWL))*GAM_D)/(GAM_W*PI()*E1431^2/4))</f>
        <v>3.52459668612929</v>
      </c>
      <c r="AA1431" s="27" t="n">
        <f aca="false">IF(I1431-E1431&gt;=GWL,99,E1431*(MAX(0,GWL-I1431)*(GAM_S-GAM_W)+MAX(0,NG-MAX(I1431,GWL))*GAM_D)/(GAM_W*PI()*E1431^2/4))</f>
        <v>3.16301642262762</v>
      </c>
      <c r="AB1431" s="27" t="n">
        <f aca="false">IF(H1431-E1431&gt;=GWL,99,E1431*(MAX(0,GWL-H1431)*(GAM_S-GAM_W)+MAX(0,FL-MAX(H1431,GWL))*GAM_D)/(GAM_W*PI()*E1431^2/4))</f>
        <v>9.82863717999572</v>
      </c>
      <c r="AC1431" s="27" t="n">
        <f aca="false">IF(I1431-E1431&gt;=GWL,99,E1431*(MAX(0,GWL-I1431)*(GAM_S-GAM_W)+MAX(0,FL-MAX(I1431,GWL))*GAM_D)/(GAM_W*PI()*E1431^2/4))</f>
        <v>9.46705691649404</v>
      </c>
    </row>
    <row r="1432" customFormat="false" ht="15" hidden="false" customHeight="false" outlineLevel="0" collapsed="false">
      <c r="A1432" s="25" t="s">
        <v>2066</v>
      </c>
      <c r="B1432" s="25" t="s">
        <v>2095</v>
      </c>
      <c r="C1432" s="25" t="s">
        <v>2097</v>
      </c>
      <c r="D1432" s="26" t="n">
        <v>0.69858016715131</v>
      </c>
      <c r="E1432" s="26" t="n">
        <v>0.630004343357031</v>
      </c>
      <c r="F1432" s="26" t="n">
        <v>-2.74641164052165</v>
      </c>
      <c r="G1432" s="26" t="n">
        <v>-2.22564217167852</v>
      </c>
      <c r="H1432" s="26" t="n">
        <v>-1.61640729716461</v>
      </c>
      <c r="I1432" s="26" t="n">
        <v>-1.09563782832148</v>
      </c>
      <c r="J1432" s="26" t="n">
        <v>8.49</v>
      </c>
      <c r="K1432" s="27" t="n">
        <f aca="false">MIN(F1432,G1432)</f>
        <v>-2.74641164052165</v>
      </c>
      <c r="L1432" s="27" t="n">
        <f aca="false">AVERAGE(F1432,G1432)</f>
        <v>-2.48602690610008</v>
      </c>
      <c r="M1432" s="27" t="n">
        <f aca="false">MAX(0,NG-L1432)</f>
        <v>1.78602690610008</v>
      </c>
      <c r="N1432" s="27" t="n">
        <f aca="false">MAX(0,GWL-K1432)</f>
        <v>1.24641164052165</v>
      </c>
      <c r="O1432" s="27" t="n">
        <f aca="false">MAX(0,NG-MAX(K1432,GWL))</f>
        <v>0.8</v>
      </c>
      <c r="P1432" s="27" t="n">
        <f aca="false">E1432/2+WS+SLOPE_A*O1432+SLOPE_B*N1432</f>
        <v>5.00782545272181</v>
      </c>
      <c r="Q1432" s="28" t="str">
        <f aca="false">IF(AND(P1432&lt;J1432,N1432&lt;=MAXOC),"Open cut","Shoring")</f>
        <v>Open cut</v>
      </c>
      <c r="R1432" s="27" t="n">
        <f aca="false">IF(Q1432="Shoring",D1432,0)</f>
        <v>0</v>
      </c>
      <c r="S1432" s="27" t="n">
        <f aca="false">MAX(0,GWL-L1432)</f>
        <v>0.986026906100081</v>
      </c>
      <c r="T1432" s="27" t="n">
        <f aca="false">MAX(0,NG-MAX(L1432,GWL))</f>
        <v>0.8</v>
      </c>
      <c r="U1432" s="27" t="n">
        <f aca="false">E1432+2*WS</f>
        <v>2.63000434335703</v>
      </c>
      <c r="V1432" s="27" t="n">
        <f aca="false">IF(Q1432="Shoring",D1432*M1432*U1432,0)</f>
        <v>0</v>
      </c>
      <c r="W1432" s="27" t="n">
        <f aca="false">IF(Q1432="Open cut",D1432*(U1432*M1432+SLOPE_B*S1432^2+2*SLOPE_B*S1432*T1432+SLOPE_A*T1432^2),0)</f>
        <v>7.51465671468018</v>
      </c>
      <c r="X1432" s="27" t="n">
        <f aca="false">IF(M1432&gt;0,D1432*(E1432+2*SLABOVH)*SLAB,0)</f>
        <v>0.569344353319858</v>
      </c>
      <c r="Y1432" s="27" t="n">
        <f aca="false">IF(M1432&gt;0,D1432*PI()*E1432^2/4,0)</f>
        <v>0.217767577650825</v>
      </c>
      <c r="Z1432" s="27" t="n">
        <f aca="false">IF(H1432-E1432&gt;=GWL,99,E1432*(MAX(0,GWL-H1432)*(GAM_S-GAM_W)+MAX(0,NG-MAX(H1432,GWL))*GAM_D)/(GAM_W*PI()*E1432^2/4))</f>
        <v>3.16301642262762</v>
      </c>
      <c r="AA1432" s="27" t="n">
        <f aca="false">IF(I1432-E1432&gt;=GWL,99,E1432*(MAX(0,GWL-I1432)*(GAM_S-GAM_W)+MAX(0,NG-MAX(I1432,GWL))*GAM_D)/(GAM_W*PI()*E1432^2/4))</f>
        <v>1.46712758273177</v>
      </c>
      <c r="AB1432" s="27" t="n">
        <f aca="false">IF(H1432-E1432&gt;=GWL,99,E1432*(MAX(0,GWL-H1432)*(GAM_S-GAM_W)+MAX(0,FL-MAX(H1432,GWL))*GAM_D)/(GAM_W*PI()*E1432^2/4))</f>
        <v>9.46705691649404</v>
      </c>
      <c r="AC1432" s="27" t="n">
        <f aca="false">IF(I1432-E1432&gt;=GWL,99,E1432*(MAX(0,GWL-I1432)*(GAM_S-GAM_W)+MAX(0,FL-MAX(I1432,GWL))*GAM_D)/(GAM_W*PI()*E1432^2/4))</f>
        <v>7.7711680765982</v>
      </c>
    </row>
    <row r="1433" customFormat="false" ht="15" hidden="false" customHeight="false" outlineLevel="0" collapsed="false">
      <c r="A1433" s="25" t="s">
        <v>2066</v>
      </c>
      <c r="B1433" s="25" t="s">
        <v>2095</v>
      </c>
      <c r="C1433" s="25" t="s">
        <v>2098</v>
      </c>
      <c r="D1433" s="26" t="n">
        <v>0.349628413253293</v>
      </c>
      <c r="E1433" s="26" t="n">
        <v>0.630000593638789</v>
      </c>
      <c r="F1433" s="26" t="n">
        <v>-2.22564029681939</v>
      </c>
      <c r="G1433" s="26" t="n">
        <v>-1.96500029681939</v>
      </c>
      <c r="H1433" s="26" t="n">
        <v>-1.09563970318061</v>
      </c>
      <c r="I1433" s="26" t="n">
        <v>-0.834999703180606</v>
      </c>
      <c r="J1433" s="26" t="n">
        <v>8.14</v>
      </c>
      <c r="K1433" s="27" t="n">
        <f aca="false">MIN(F1433,G1433)</f>
        <v>-2.22564029681939</v>
      </c>
      <c r="L1433" s="27" t="n">
        <f aca="false">AVERAGE(F1433,G1433)</f>
        <v>-2.09532029681939</v>
      </c>
      <c r="M1433" s="27" t="n">
        <f aca="false">MAX(0,NG-L1433)</f>
        <v>1.39532029681939</v>
      </c>
      <c r="N1433" s="27" t="n">
        <f aca="false">MAX(0,GWL-K1433)</f>
        <v>0.725640296819394</v>
      </c>
      <c r="O1433" s="27" t="n">
        <f aca="false">MAX(0,NG-MAX(K1433,GWL))</f>
        <v>0.8</v>
      </c>
      <c r="P1433" s="27" t="n">
        <f aca="false">E1433/2+WS+SLOPE_A*O1433+SLOPE_B*N1433</f>
        <v>3.96628089045818</v>
      </c>
      <c r="Q1433" s="28" t="str">
        <f aca="false">IF(AND(P1433&lt;J1433,N1433&lt;=MAXOC),"Open cut","Shoring")</f>
        <v>Open cut</v>
      </c>
      <c r="R1433" s="27" t="n">
        <f aca="false">IF(Q1433="Shoring",D1433,0)</f>
        <v>0</v>
      </c>
      <c r="S1433" s="27" t="n">
        <f aca="false">MAX(0,GWL-L1433)</f>
        <v>0.595320296819394</v>
      </c>
      <c r="T1433" s="27" t="n">
        <f aca="false">MAX(0,NG-MAX(L1433,GWL))</f>
        <v>0.8</v>
      </c>
      <c r="U1433" s="27" t="n">
        <f aca="false">E1433+2*WS</f>
        <v>2.63000059363879</v>
      </c>
      <c r="V1433" s="27" t="n">
        <f aca="false">IF(Q1433="Shoring",D1433*M1433*U1433,0)</f>
        <v>0</v>
      </c>
      <c r="W1433" s="27" t="n">
        <f aca="false">IF(Q1433="Open cut",D1433*(U1433*M1433+SLOPE_B*S1433^2+2*SLOPE_B*S1433*T1433+SLOPE_A*T1433^2),0)</f>
        <v>2.53254413463778</v>
      </c>
      <c r="X1433" s="27" t="n">
        <f aca="false">IF(M1433&gt;0,D1433*(E1433+2*SLABOVH)*SLAB,0)</f>
        <v>0.284947260577928</v>
      </c>
      <c r="Y1433" s="27" t="n">
        <f aca="false">IF(M1433&gt;0,D1433*PI()*E1433^2/4,0)</f>
        <v>0.108987958558878</v>
      </c>
      <c r="Z1433" s="27" t="n">
        <f aca="false">IF(H1433-E1433&gt;=GWL,99,E1433*(MAX(0,GWL-H1433)*(GAM_S-GAM_W)+MAX(0,NG-MAX(H1433,GWL))*GAM_D)/(GAM_W*PI()*E1433^2/4))</f>
        <v>1.46714326747448</v>
      </c>
      <c r="AA1433" s="27" t="n">
        <f aca="false">IF(I1433-E1433&gt;=GWL,99,E1433*(MAX(0,GWL-I1433)*(GAM_S-GAM_W)+MAX(0,NG-MAX(I1433,GWL))*GAM_D)/(GAM_W*PI()*E1433^2/4))</f>
        <v>99</v>
      </c>
      <c r="AB1433" s="27" t="n">
        <f aca="false">IF(H1433-E1433&gt;=GWL,99,E1433*(MAX(0,GWL-H1433)*(GAM_S-GAM_W)+MAX(0,FL-MAX(H1433,GWL))*GAM_D)/(GAM_W*PI()*E1433^2/4))</f>
        <v>7.77122128253672</v>
      </c>
      <c r="AC1433" s="27" t="n">
        <f aca="false">IF(I1433-E1433&gt;=GWL,99,E1433*(MAX(0,GWL-I1433)*(GAM_S-GAM_W)+MAX(0,FL-MAX(I1433,GWL))*GAM_D)/(GAM_W*PI()*E1433^2/4))</f>
        <v>99</v>
      </c>
    </row>
    <row r="1434" customFormat="false" ht="15" hidden="false" customHeight="false" outlineLevel="0" collapsed="false">
      <c r="A1434" s="25" t="s">
        <v>2066</v>
      </c>
      <c r="B1434" s="25" t="s">
        <v>2095</v>
      </c>
      <c r="C1434" s="25" t="s">
        <v>2099</v>
      </c>
      <c r="D1434" s="26" t="n">
        <v>2.60152000016346</v>
      </c>
      <c r="E1434" s="26" t="n">
        <v>0.630002688238012</v>
      </c>
      <c r="F1434" s="26" t="n">
        <v>-1.96500134411901</v>
      </c>
      <c r="G1434" s="26" t="n">
        <v>-1.96500134411901</v>
      </c>
      <c r="H1434" s="26" t="n">
        <v>-0.834998655880994</v>
      </c>
      <c r="I1434" s="26" t="n">
        <v>-0.834998655880994</v>
      </c>
      <c r="J1434" s="26" t="n">
        <v>5.59</v>
      </c>
      <c r="K1434" s="27" t="n">
        <f aca="false">MIN(F1434,G1434)</f>
        <v>-1.96500134411901</v>
      </c>
      <c r="L1434" s="27" t="n">
        <f aca="false">AVERAGE(F1434,G1434)</f>
        <v>-1.96500134411901</v>
      </c>
      <c r="M1434" s="27" t="n">
        <f aca="false">MAX(0,NG-L1434)</f>
        <v>1.26500134411901</v>
      </c>
      <c r="N1434" s="27" t="n">
        <f aca="false">MAX(0,GWL-K1434)</f>
        <v>0.465001344119006</v>
      </c>
      <c r="O1434" s="27" t="n">
        <f aca="false">MAX(0,NG-MAX(K1434,GWL))</f>
        <v>0.8</v>
      </c>
      <c r="P1434" s="27" t="n">
        <f aca="false">E1434/2+WS+SLOPE_A*O1434+SLOPE_B*N1434</f>
        <v>3.44500403235702</v>
      </c>
      <c r="Q1434" s="28" t="str">
        <f aca="false">IF(AND(P1434&lt;J1434,N1434&lt;=MAXOC),"Open cut","Shoring")</f>
        <v>Open cut</v>
      </c>
      <c r="R1434" s="27" t="n">
        <f aca="false">IF(Q1434="Shoring",D1434,0)</f>
        <v>0</v>
      </c>
      <c r="S1434" s="27" t="n">
        <f aca="false">MAX(0,GWL-L1434)</f>
        <v>0.465001344119006</v>
      </c>
      <c r="T1434" s="27" t="n">
        <f aca="false">MAX(0,NG-MAX(L1434,GWL))</f>
        <v>0.8</v>
      </c>
      <c r="U1434" s="27" t="n">
        <f aca="false">E1434+2*WS</f>
        <v>2.63000268823801</v>
      </c>
      <c r="V1434" s="27" t="n">
        <f aca="false">IF(Q1434="Shoring",D1434*M1434*U1434,0)</f>
        <v>0</v>
      </c>
      <c r="W1434" s="27" t="n">
        <f aca="false">IF(Q1434="Open cut",D1434*(U1434*M1434+SLOPE_B*S1434^2+2*SLOPE_B*S1434*T1434+SLOPE_A*T1434^2),0)</f>
        <v>16.1487109858438</v>
      </c>
      <c r="X1434" s="27" t="n">
        <f aca="false">IF(M1434&gt;0,D1434*(E1434+2*SLABOVH)*SLAB,0)</f>
        <v>2.1202422968857</v>
      </c>
      <c r="Y1434" s="27" t="n">
        <f aca="false">IF(M1434&gt;0,D1434*PI()*E1434^2/4,0)</f>
        <v>0.810964522873576</v>
      </c>
      <c r="Z1434" s="27" t="n">
        <f aca="false">IF(H1434-E1434&gt;=GWL,99,E1434*(MAX(0,GWL-H1434)*(GAM_S-GAM_W)+MAX(0,NG-MAX(H1434,GWL))*GAM_D)/(GAM_W*PI()*E1434^2/4))</f>
        <v>99</v>
      </c>
      <c r="AA1434" s="27" t="n">
        <f aca="false">IF(I1434-E1434&gt;=GWL,99,E1434*(MAX(0,GWL-I1434)*(GAM_S-GAM_W)+MAX(0,NG-MAX(I1434,GWL))*GAM_D)/(GAM_W*PI()*E1434^2/4))</f>
        <v>99</v>
      </c>
      <c r="AB1434" s="27" t="n">
        <f aca="false">IF(H1434-E1434&gt;=GWL,99,E1434*(MAX(0,GWL-H1434)*(GAM_S-GAM_W)+MAX(0,FL-MAX(H1434,GWL))*GAM_D)/(GAM_W*PI()*E1434^2/4))</f>
        <v>99</v>
      </c>
      <c r="AC1434" s="27" t="n">
        <f aca="false">IF(I1434-E1434&gt;=GWL,99,E1434*(MAX(0,GWL-I1434)*(GAM_S-GAM_W)+MAX(0,FL-MAX(I1434,GWL))*GAM_D)/(GAM_W*PI()*E1434^2/4))</f>
        <v>99</v>
      </c>
    </row>
    <row r="1435" customFormat="false" ht="15" hidden="false" customHeight="false" outlineLevel="0" collapsed="false">
      <c r="A1435" s="25" t="s">
        <v>2066</v>
      </c>
      <c r="B1435" s="25" t="s">
        <v>2095</v>
      </c>
      <c r="C1435" s="25" t="s">
        <v>2100</v>
      </c>
      <c r="D1435" s="26" t="n">
        <v>1.29505122084208</v>
      </c>
      <c r="E1435" s="26" t="n">
        <v>0.630002688238012</v>
      </c>
      <c r="F1435" s="26" t="n">
        <v>-1.96500134411901</v>
      </c>
      <c r="G1435" s="26" t="n">
        <v>-1.96500134411901</v>
      </c>
      <c r="H1435" s="26" t="n">
        <v>-0.834998655880994</v>
      </c>
      <c r="I1435" s="26" t="n">
        <v>-0.834998655880994</v>
      </c>
      <c r="J1435" s="26" t="n">
        <v>4.34</v>
      </c>
      <c r="K1435" s="27" t="n">
        <f aca="false">MIN(F1435,G1435)</f>
        <v>-1.96500134411901</v>
      </c>
      <c r="L1435" s="27" t="n">
        <f aca="false">AVERAGE(F1435,G1435)</f>
        <v>-1.96500134411901</v>
      </c>
      <c r="M1435" s="27" t="n">
        <f aca="false">MAX(0,NG-L1435)</f>
        <v>1.26500134411901</v>
      </c>
      <c r="N1435" s="27" t="n">
        <f aca="false">MAX(0,GWL-K1435)</f>
        <v>0.465001344119006</v>
      </c>
      <c r="O1435" s="27" t="n">
        <f aca="false">MAX(0,NG-MAX(K1435,GWL))</f>
        <v>0.8</v>
      </c>
      <c r="P1435" s="27" t="n">
        <f aca="false">E1435/2+WS+SLOPE_A*O1435+SLOPE_B*N1435</f>
        <v>3.44500403235702</v>
      </c>
      <c r="Q1435" s="28" t="str">
        <f aca="false">IF(AND(P1435&lt;J1435,N1435&lt;=MAXOC),"Open cut","Shoring")</f>
        <v>Open cut</v>
      </c>
      <c r="R1435" s="27" t="n">
        <f aca="false">IF(Q1435="Shoring",D1435,0)</f>
        <v>0</v>
      </c>
      <c r="S1435" s="27" t="n">
        <f aca="false">MAX(0,GWL-L1435)</f>
        <v>0.465001344119006</v>
      </c>
      <c r="T1435" s="27" t="n">
        <f aca="false">MAX(0,NG-MAX(L1435,GWL))</f>
        <v>0.8</v>
      </c>
      <c r="U1435" s="27" t="n">
        <f aca="false">E1435+2*WS</f>
        <v>2.63000268823801</v>
      </c>
      <c r="V1435" s="27" t="n">
        <f aca="false">IF(Q1435="Shoring",D1435*M1435*U1435,0)</f>
        <v>0</v>
      </c>
      <c r="W1435" s="27" t="n">
        <f aca="false">IF(Q1435="Open cut",D1435*(U1435*M1435+SLOPE_B*S1435^2+2*SLOPE_B*S1435*T1435+SLOPE_A*T1435^2),0)</f>
        <v>8.03891873824874</v>
      </c>
      <c r="X1435" s="27" t="n">
        <f aca="false">IF(M1435&gt;0,D1435*(E1435+2*SLABOVH)*SLAB,0)</f>
        <v>1.05546848568926</v>
      </c>
      <c r="Y1435" s="27" t="n">
        <f aca="false">IF(M1435&gt;0,D1435*PI()*E1435^2/4,0)</f>
        <v>0.403702679718415</v>
      </c>
      <c r="Z1435" s="27" t="n">
        <f aca="false">IF(H1435-E1435&gt;=GWL,99,E1435*(MAX(0,GWL-H1435)*(GAM_S-GAM_W)+MAX(0,NG-MAX(H1435,GWL))*GAM_D)/(GAM_W*PI()*E1435^2/4))</f>
        <v>99</v>
      </c>
      <c r="AA1435" s="27" t="n">
        <f aca="false">IF(I1435-E1435&gt;=GWL,99,E1435*(MAX(0,GWL-I1435)*(GAM_S-GAM_W)+MAX(0,NG-MAX(I1435,GWL))*GAM_D)/(GAM_W*PI()*E1435^2/4))</f>
        <v>99</v>
      </c>
      <c r="AB1435" s="27" t="n">
        <f aca="false">IF(H1435-E1435&gt;=GWL,99,E1435*(MAX(0,GWL-H1435)*(GAM_S-GAM_W)+MAX(0,FL-MAX(H1435,GWL))*GAM_D)/(GAM_W*PI()*E1435^2/4))</f>
        <v>99</v>
      </c>
      <c r="AC1435" s="27" t="n">
        <f aca="false">IF(I1435-E1435&gt;=GWL,99,E1435*(MAX(0,GWL-I1435)*(GAM_S-GAM_W)+MAX(0,FL-MAX(I1435,GWL))*GAM_D)/(GAM_W*PI()*E1435^2/4))</f>
        <v>99</v>
      </c>
    </row>
    <row r="1436" customFormat="false" ht="15" hidden="false" customHeight="false" outlineLevel="0" collapsed="false">
      <c r="A1436" s="25" t="s">
        <v>2066</v>
      </c>
      <c r="B1436" s="25" t="s">
        <v>2095</v>
      </c>
      <c r="C1436" s="25" t="s">
        <v>2101</v>
      </c>
      <c r="D1436" s="26" t="n">
        <v>1.30544501538744</v>
      </c>
      <c r="E1436" s="26" t="n">
        <v>0.629990667331319</v>
      </c>
      <c r="F1436" s="26" t="n">
        <v>-1.96499533366566</v>
      </c>
      <c r="G1436" s="26" t="n">
        <v>-1.96499533366566</v>
      </c>
      <c r="H1436" s="26" t="n">
        <v>-0.83500466633434</v>
      </c>
      <c r="I1436" s="26" t="n">
        <v>-0.83500466633434</v>
      </c>
      <c r="J1436" s="26" t="n">
        <v>4.34</v>
      </c>
      <c r="K1436" s="27" t="n">
        <f aca="false">MIN(F1436,G1436)</f>
        <v>-1.96499533366566</v>
      </c>
      <c r="L1436" s="27" t="n">
        <f aca="false">AVERAGE(F1436,G1436)</f>
        <v>-1.96499533366566</v>
      </c>
      <c r="M1436" s="27" t="n">
        <f aca="false">MAX(0,NG-L1436)</f>
        <v>1.26499533366566</v>
      </c>
      <c r="N1436" s="27" t="n">
        <f aca="false">MAX(0,GWL-K1436)</f>
        <v>0.46499533366566</v>
      </c>
      <c r="O1436" s="27" t="n">
        <f aca="false">MAX(0,NG-MAX(K1436,GWL))</f>
        <v>0.8</v>
      </c>
      <c r="P1436" s="27" t="n">
        <f aca="false">E1436/2+WS+SLOPE_A*O1436+SLOPE_B*N1436</f>
        <v>3.44498600099698</v>
      </c>
      <c r="Q1436" s="28" t="str">
        <f aca="false">IF(AND(P1436&lt;J1436,N1436&lt;=MAXOC),"Open cut","Shoring")</f>
        <v>Open cut</v>
      </c>
      <c r="R1436" s="27" t="n">
        <f aca="false">IF(Q1436="Shoring",D1436,0)</f>
        <v>0</v>
      </c>
      <c r="S1436" s="27" t="n">
        <f aca="false">MAX(0,GWL-L1436)</f>
        <v>0.46499533366566</v>
      </c>
      <c r="T1436" s="27" t="n">
        <f aca="false">MAX(0,NG-MAX(L1436,GWL))</f>
        <v>0.8</v>
      </c>
      <c r="U1436" s="27" t="n">
        <f aca="false">E1436+2*WS</f>
        <v>2.62999066733132</v>
      </c>
      <c r="V1436" s="27" t="n">
        <f aca="false">IF(Q1436="Shoring",D1436*M1436*U1436,0)</f>
        <v>0</v>
      </c>
      <c r="W1436" s="27" t="n">
        <f aca="false">IF(Q1436="Open cut",D1436*(U1436*M1436+SLOPE_B*S1436^2+2*SLOPE_B*S1436*T1436+SLOPE_A*T1436^2),0)</f>
        <v>8.1033571320392</v>
      </c>
      <c r="X1436" s="27" t="n">
        <f aca="false">IF(M1436&gt;0,D1436*(E1436+2*SLABOVH)*SLAB,0)</f>
        <v>1.06393159589786</v>
      </c>
      <c r="Y1436" s="27" t="n">
        <f aca="false">IF(M1436&gt;0,D1436*PI()*E1436^2/4,0)</f>
        <v>0.406927178725529</v>
      </c>
      <c r="Z1436" s="27" t="n">
        <f aca="false">IF(H1436-E1436&gt;=GWL,99,E1436*(MAX(0,GWL-H1436)*(GAM_S-GAM_W)+MAX(0,NG-MAX(H1436,GWL))*GAM_D)/(GAM_W*PI()*E1436^2/4))</f>
        <v>99</v>
      </c>
      <c r="AA1436" s="27" t="n">
        <f aca="false">IF(I1436-E1436&gt;=GWL,99,E1436*(MAX(0,GWL-I1436)*(GAM_S-GAM_W)+MAX(0,NG-MAX(I1436,GWL))*GAM_D)/(GAM_W*PI()*E1436^2/4))</f>
        <v>99</v>
      </c>
      <c r="AB1436" s="27" t="n">
        <f aca="false">IF(H1436-E1436&gt;=GWL,99,E1436*(MAX(0,GWL-H1436)*(GAM_S-GAM_W)+MAX(0,FL-MAX(H1436,GWL))*GAM_D)/(GAM_W*PI()*E1436^2/4))</f>
        <v>99</v>
      </c>
      <c r="AC1436" s="27" t="n">
        <f aca="false">IF(I1436-E1436&gt;=GWL,99,E1436*(MAX(0,GWL-I1436)*(GAM_S-GAM_W)+MAX(0,FL-MAX(I1436,GWL))*GAM_D)/(GAM_W*PI()*E1436^2/4))</f>
        <v>99</v>
      </c>
    </row>
    <row r="1437" customFormat="false" ht="15" hidden="false" customHeight="false" outlineLevel="0" collapsed="false">
      <c r="A1437" s="25" t="s">
        <v>2066</v>
      </c>
      <c r="B1437" s="25" t="s">
        <v>2095</v>
      </c>
      <c r="C1437" s="25" t="s">
        <v>2102</v>
      </c>
      <c r="D1437" s="26" t="n">
        <v>3.74977518349607</v>
      </c>
      <c r="E1437" s="26" t="n">
        <v>0.629990667331319</v>
      </c>
      <c r="F1437" s="26" t="n">
        <v>-1.96499533366566</v>
      </c>
      <c r="G1437" s="26" t="n">
        <v>-1.96499533366566</v>
      </c>
      <c r="H1437" s="26" t="n">
        <v>-0.83500466633434</v>
      </c>
      <c r="I1437" s="26" t="n">
        <v>-0.83500466633434</v>
      </c>
      <c r="J1437" s="26" t="n">
        <v>4.88</v>
      </c>
      <c r="K1437" s="27" t="n">
        <f aca="false">MIN(F1437,G1437)</f>
        <v>-1.96499533366566</v>
      </c>
      <c r="L1437" s="27" t="n">
        <f aca="false">AVERAGE(F1437,G1437)</f>
        <v>-1.96499533366566</v>
      </c>
      <c r="M1437" s="27" t="n">
        <f aca="false">MAX(0,NG-L1437)</f>
        <v>1.26499533366566</v>
      </c>
      <c r="N1437" s="27" t="n">
        <f aca="false">MAX(0,GWL-K1437)</f>
        <v>0.46499533366566</v>
      </c>
      <c r="O1437" s="27" t="n">
        <f aca="false">MAX(0,NG-MAX(K1437,GWL))</f>
        <v>0.8</v>
      </c>
      <c r="P1437" s="27" t="n">
        <f aca="false">E1437/2+WS+SLOPE_A*O1437+SLOPE_B*N1437</f>
        <v>3.44498600099698</v>
      </c>
      <c r="Q1437" s="28" t="str">
        <f aca="false">IF(AND(P1437&lt;J1437,N1437&lt;=MAXOC),"Open cut","Shoring")</f>
        <v>Open cut</v>
      </c>
      <c r="R1437" s="27" t="n">
        <f aca="false">IF(Q1437="Shoring",D1437,0)</f>
        <v>0</v>
      </c>
      <c r="S1437" s="27" t="n">
        <f aca="false">MAX(0,GWL-L1437)</f>
        <v>0.46499533366566</v>
      </c>
      <c r="T1437" s="27" t="n">
        <f aca="false">MAX(0,NG-MAX(L1437,GWL))</f>
        <v>0.8</v>
      </c>
      <c r="U1437" s="27" t="n">
        <f aca="false">E1437+2*WS</f>
        <v>2.62999066733132</v>
      </c>
      <c r="V1437" s="27" t="n">
        <f aca="false">IF(Q1437="Shoring",D1437*M1437*U1437,0)</f>
        <v>0</v>
      </c>
      <c r="W1437" s="27" t="n">
        <f aca="false">IF(Q1437="Open cut",D1437*(U1437*M1437+SLOPE_B*S1437^2+2*SLOPE_B*S1437*T1437+SLOPE_A*T1437^2),0)</f>
        <v>23.276175647818</v>
      </c>
      <c r="X1437" s="27" t="n">
        <f aca="false">IF(M1437&gt;0,D1437*(E1437+2*SLABOVH)*SLAB,0)</f>
        <v>3.05604927684459</v>
      </c>
      <c r="Y1437" s="27" t="n">
        <f aca="false">IF(M1437&gt;0,D1437*PI()*E1437^2/4,0)</f>
        <v>1.16886227936777</v>
      </c>
      <c r="Z1437" s="27" t="n">
        <f aca="false">IF(H1437-E1437&gt;=GWL,99,E1437*(MAX(0,GWL-H1437)*(GAM_S-GAM_W)+MAX(0,NG-MAX(H1437,GWL))*GAM_D)/(GAM_W*PI()*E1437^2/4))</f>
        <v>99</v>
      </c>
      <c r="AA1437" s="27" t="n">
        <f aca="false">IF(I1437-E1437&gt;=GWL,99,E1437*(MAX(0,GWL-I1437)*(GAM_S-GAM_W)+MAX(0,NG-MAX(I1437,GWL))*GAM_D)/(GAM_W*PI()*E1437^2/4))</f>
        <v>99</v>
      </c>
      <c r="AB1437" s="27" t="n">
        <f aca="false">IF(H1437-E1437&gt;=GWL,99,E1437*(MAX(0,GWL-H1437)*(GAM_S-GAM_W)+MAX(0,FL-MAX(H1437,GWL))*GAM_D)/(GAM_W*PI()*E1437^2/4))</f>
        <v>99</v>
      </c>
      <c r="AC1437" s="27" t="n">
        <f aca="false">IF(I1437-E1437&gt;=GWL,99,E1437*(MAX(0,GWL-I1437)*(GAM_S-GAM_W)+MAX(0,FL-MAX(I1437,GWL))*GAM_D)/(GAM_W*PI()*E1437^2/4))</f>
        <v>99</v>
      </c>
    </row>
    <row r="1438" customFormat="false" ht="15" hidden="false" customHeight="false" outlineLevel="0" collapsed="false">
      <c r="A1438" s="25" t="s">
        <v>2066</v>
      </c>
      <c r="B1438" s="25" t="s">
        <v>2095</v>
      </c>
      <c r="C1438" s="25" t="s">
        <v>2103</v>
      </c>
      <c r="D1438" s="26" t="n">
        <v>5.83555481631086</v>
      </c>
      <c r="E1438" s="26" t="n">
        <v>0.629990667331319</v>
      </c>
      <c r="F1438" s="26" t="n">
        <v>-1.96499533366566</v>
      </c>
      <c r="G1438" s="26" t="n">
        <v>-1.96499533366566</v>
      </c>
      <c r="H1438" s="26" t="n">
        <v>-0.83500466633434</v>
      </c>
      <c r="I1438" s="26" t="n">
        <v>-0.83500466633434</v>
      </c>
      <c r="J1438" s="26" t="n">
        <v>7.57</v>
      </c>
      <c r="K1438" s="27" t="n">
        <f aca="false">MIN(F1438,G1438)</f>
        <v>-1.96499533366566</v>
      </c>
      <c r="L1438" s="27" t="n">
        <f aca="false">AVERAGE(F1438,G1438)</f>
        <v>-1.96499533366566</v>
      </c>
      <c r="M1438" s="27" t="n">
        <f aca="false">MAX(0,NG-L1438)</f>
        <v>1.26499533366566</v>
      </c>
      <c r="N1438" s="27" t="n">
        <f aca="false">MAX(0,GWL-K1438)</f>
        <v>0.46499533366566</v>
      </c>
      <c r="O1438" s="27" t="n">
        <f aca="false">MAX(0,NG-MAX(K1438,GWL))</f>
        <v>0.8</v>
      </c>
      <c r="P1438" s="27" t="n">
        <f aca="false">E1438/2+WS+SLOPE_A*O1438+SLOPE_B*N1438</f>
        <v>3.44498600099698</v>
      </c>
      <c r="Q1438" s="28" t="str">
        <f aca="false">IF(AND(P1438&lt;J1438,N1438&lt;=MAXOC),"Open cut","Shoring")</f>
        <v>Open cut</v>
      </c>
      <c r="R1438" s="27" t="n">
        <f aca="false">IF(Q1438="Shoring",D1438,0)</f>
        <v>0</v>
      </c>
      <c r="S1438" s="27" t="n">
        <f aca="false">MAX(0,GWL-L1438)</f>
        <v>0.46499533366566</v>
      </c>
      <c r="T1438" s="27" t="n">
        <f aca="false">MAX(0,NG-MAX(L1438,GWL))</f>
        <v>0.8</v>
      </c>
      <c r="U1438" s="27" t="n">
        <f aca="false">E1438+2*WS</f>
        <v>2.62999066733132</v>
      </c>
      <c r="V1438" s="27" t="n">
        <f aca="false">IF(Q1438="Shoring",D1438*M1438*U1438,0)</f>
        <v>0</v>
      </c>
      <c r="W1438" s="27" t="n">
        <f aca="false">IF(Q1438="Open cut",D1438*(U1438*M1438+SLOPE_B*S1438^2+2*SLOPE_B*S1438*T1438+SLOPE_A*T1438^2),0)</f>
        <v>36.223344670035</v>
      </c>
      <c r="X1438" s="27" t="n">
        <f aca="false">IF(M1438&gt;0,D1438*(E1438+2*SLABOVH)*SLAB,0)</f>
        <v>4.75594994464351</v>
      </c>
      <c r="Y1438" s="27" t="n">
        <f aca="false">IF(M1438&gt;0,D1438*PI()*E1438^2/4,0)</f>
        <v>1.81903169395058</v>
      </c>
      <c r="Z1438" s="27" t="n">
        <f aca="false">IF(H1438-E1438&gt;=GWL,99,E1438*(MAX(0,GWL-H1438)*(GAM_S-GAM_W)+MAX(0,NG-MAX(H1438,GWL))*GAM_D)/(GAM_W*PI()*E1438^2/4))</f>
        <v>99</v>
      </c>
      <c r="AA1438" s="27" t="n">
        <f aca="false">IF(I1438-E1438&gt;=GWL,99,E1438*(MAX(0,GWL-I1438)*(GAM_S-GAM_W)+MAX(0,NG-MAX(I1438,GWL))*GAM_D)/(GAM_W*PI()*E1438^2/4))</f>
        <v>99</v>
      </c>
      <c r="AB1438" s="27" t="n">
        <f aca="false">IF(H1438-E1438&gt;=GWL,99,E1438*(MAX(0,GWL-H1438)*(GAM_S-GAM_W)+MAX(0,FL-MAX(H1438,GWL))*GAM_D)/(GAM_W*PI()*E1438^2/4))</f>
        <v>99</v>
      </c>
      <c r="AC1438" s="27" t="n">
        <f aca="false">IF(I1438-E1438&gt;=GWL,99,E1438*(MAX(0,GWL-I1438)*(GAM_S-GAM_W)+MAX(0,FL-MAX(I1438,GWL))*GAM_D)/(GAM_W*PI()*E1438^2/4))</f>
        <v>99</v>
      </c>
    </row>
    <row r="1439" customFormat="false" ht="15" hidden="false" customHeight="false" outlineLevel="0" collapsed="false">
      <c r="A1439" s="25" t="s">
        <v>2066</v>
      </c>
      <c r="B1439" s="25" t="s">
        <v>2095</v>
      </c>
      <c r="C1439" s="25" t="s">
        <v>2104</v>
      </c>
      <c r="D1439" s="26" t="n">
        <v>0.740989999996672</v>
      </c>
      <c r="E1439" s="26" t="n">
        <v>0.629990667331319</v>
      </c>
      <c r="F1439" s="26" t="n">
        <v>-1.96499533366566</v>
      </c>
      <c r="G1439" s="26" t="n">
        <v>-1.96499533366566</v>
      </c>
      <c r="H1439" s="26" t="n">
        <v>-0.83500466633434</v>
      </c>
      <c r="I1439" s="26" t="n">
        <v>-0.83500466633434</v>
      </c>
      <c r="J1439" s="26" t="n">
        <v>9.27</v>
      </c>
      <c r="K1439" s="27" t="n">
        <f aca="false">MIN(F1439,G1439)</f>
        <v>-1.96499533366566</v>
      </c>
      <c r="L1439" s="27" t="n">
        <f aca="false">AVERAGE(F1439,G1439)</f>
        <v>-1.96499533366566</v>
      </c>
      <c r="M1439" s="27" t="n">
        <f aca="false">MAX(0,NG-L1439)</f>
        <v>1.26499533366566</v>
      </c>
      <c r="N1439" s="27" t="n">
        <f aca="false">MAX(0,GWL-K1439)</f>
        <v>0.46499533366566</v>
      </c>
      <c r="O1439" s="27" t="n">
        <f aca="false">MAX(0,NG-MAX(K1439,GWL))</f>
        <v>0.8</v>
      </c>
      <c r="P1439" s="27" t="n">
        <f aca="false">E1439/2+WS+SLOPE_A*O1439+SLOPE_B*N1439</f>
        <v>3.44498600099698</v>
      </c>
      <c r="Q1439" s="28" t="str">
        <f aca="false">IF(AND(P1439&lt;J1439,N1439&lt;=MAXOC),"Open cut","Shoring")</f>
        <v>Open cut</v>
      </c>
      <c r="R1439" s="27" t="n">
        <f aca="false">IF(Q1439="Shoring",D1439,0)</f>
        <v>0</v>
      </c>
      <c r="S1439" s="27" t="n">
        <f aca="false">MAX(0,GWL-L1439)</f>
        <v>0.46499533366566</v>
      </c>
      <c r="T1439" s="27" t="n">
        <f aca="false">MAX(0,NG-MAX(L1439,GWL))</f>
        <v>0.8</v>
      </c>
      <c r="U1439" s="27" t="n">
        <f aca="false">E1439+2*WS</f>
        <v>2.62999066733132</v>
      </c>
      <c r="V1439" s="27" t="n">
        <f aca="false">IF(Q1439="Shoring",D1439*M1439*U1439,0)</f>
        <v>0</v>
      </c>
      <c r="W1439" s="27" t="n">
        <f aca="false">IF(Q1439="Open cut",D1439*(U1439*M1439+SLOPE_B*S1439^2+2*SLOPE_B*S1439*T1439+SLOPE_A*T1439^2),0)</f>
        <v>4.59958598827749</v>
      </c>
      <c r="X1439" s="27" t="n">
        <f aca="false">IF(M1439&gt;0,D1439*(E1439+2*SLABOVH)*SLAB,0)</f>
        <v>0.603903392290205</v>
      </c>
      <c r="Y1439" s="27" t="n">
        <f aca="false">IF(M1439&gt;0,D1439*PI()*E1439^2/4,0)</f>
        <v>0.230977916808687</v>
      </c>
      <c r="Z1439" s="27" t="n">
        <f aca="false">IF(H1439-E1439&gt;=GWL,99,E1439*(MAX(0,GWL-H1439)*(GAM_S-GAM_W)+MAX(0,NG-MAX(H1439,GWL))*GAM_D)/(GAM_W*PI()*E1439^2/4))</f>
        <v>99</v>
      </c>
      <c r="AA1439" s="27" t="n">
        <f aca="false">IF(I1439-E1439&gt;=GWL,99,E1439*(MAX(0,GWL-I1439)*(GAM_S-GAM_W)+MAX(0,NG-MAX(I1439,GWL))*GAM_D)/(GAM_W*PI()*E1439^2/4))</f>
        <v>99</v>
      </c>
      <c r="AB1439" s="27" t="n">
        <f aca="false">IF(H1439-E1439&gt;=GWL,99,E1439*(MAX(0,GWL-H1439)*(GAM_S-GAM_W)+MAX(0,FL-MAX(H1439,GWL))*GAM_D)/(GAM_W*PI()*E1439^2/4))</f>
        <v>99</v>
      </c>
      <c r="AC1439" s="27" t="n">
        <f aca="false">IF(I1439-E1439&gt;=GWL,99,E1439*(MAX(0,GWL-I1439)*(GAM_S-GAM_W)+MAX(0,FL-MAX(I1439,GWL))*GAM_D)/(GAM_W*PI()*E1439^2/4))</f>
        <v>99</v>
      </c>
    </row>
    <row r="1440" customFormat="false" ht="15" hidden="false" customHeight="false" outlineLevel="0" collapsed="false">
      <c r="A1440" s="25" t="s">
        <v>2066</v>
      </c>
      <c r="B1440" s="25" t="s">
        <v>2095</v>
      </c>
      <c r="C1440" s="25" t="s">
        <v>2105</v>
      </c>
      <c r="D1440" s="26" t="n">
        <v>0.741000941806586</v>
      </c>
      <c r="E1440" s="26" t="n">
        <v>0.630001220199072</v>
      </c>
      <c r="F1440" s="26" t="n">
        <v>-1.96500061009954</v>
      </c>
      <c r="G1440" s="26" t="n">
        <v>-1.96500061009954</v>
      </c>
      <c r="H1440" s="26" t="n">
        <v>-0.834999389900464</v>
      </c>
      <c r="I1440" s="26" t="n">
        <v>-0.834999389900464</v>
      </c>
      <c r="J1440" s="26" t="n">
        <v>8.96</v>
      </c>
      <c r="K1440" s="27" t="n">
        <f aca="false">MIN(F1440,G1440)</f>
        <v>-1.96500061009954</v>
      </c>
      <c r="L1440" s="27" t="n">
        <f aca="false">AVERAGE(F1440,G1440)</f>
        <v>-1.96500061009954</v>
      </c>
      <c r="M1440" s="27" t="n">
        <f aca="false">MAX(0,NG-L1440)</f>
        <v>1.26500061009954</v>
      </c>
      <c r="N1440" s="27" t="n">
        <f aca="false">MAX(0,GWL-K1440)</f>
        <v>0.465000610099536</v>
      </c>
      <c r="O1440" s="27" t="n">
        <f aca="false">MAX(0,NG-MAX(K1440,GWL))</f>
        <v>0.8</v>
      </c>
      <c r="P1440" s="27" t="n">
        <f aca="false">E1440/2+WS+SLOPE_A*O1440+SLOPE_B*N1440</f>
        <v>3.44500183029861</v>
      </c>
      <c r="Q1440" s="28" t="str">
        <f aca="false">IF(AND(P1440&lt;J1440,N1440&lt;=MAXOC),"Open cut","Shoring")</f>
        <v>Open cut</v>
      </c>
      <c r="R1440" s="27" t="n">
        <f aca="false">IF(Q1440="Shoring",D1440,0)</f>
        <v>0</v>
      </c>
      <c r="S1440" s="27" t="n">
        <f aca="false">MAX(0,GWL-L1440)</f>
        <v>0.465000610099536</v>
      </c>
      <c r="T1440" s="27" t="n">
        <f aca="false">MAX(0,NG-MAX(L1440,GWL))</f>
        <v>0.8</v>
      </c>
      <c r="U1440" s="27" t="n">
        <f aca="false">E1440+2*WS</f>
        <v>2.63000122019907</v>
      </c>
      <c r="V1440" s="27" t="n">
        <f aca="false">IF(Q1440="Shoring",D1440*M1440*U1440,0)</f>
        <v>0</v>
      </c>
      <c r="W1440" s="27" t="n">
        <f aca="false">IF(Q1440="Open cut",D1440*(U1440*M1440+SLOPE_B*S1440^2+2*SLOPE_B*S1440*T1440+SLOPE_A*T1440^2),0)</f>
        <v>4.59969386647316</v>
      </c>
      <c r="X1440" s="27" t="n">
        <f aca="false">IF(M1440&gt;0,D1440*(E1440+2*SLABOVH)*SLAB,0)</f>
        <v>0.603916219656698</v>
      </c>
      <c r="Y1440" s="27" t="n">
        <f aca="false">IF(M1440&gt;0,D1440*PI()*E1440^2/4,0)</f>
        <v>0.230989065861778</v>
      </c>
      <c r="Z1440" s="27" t="n">
        <f aca="false">IF(H1440-E1440&gt;=GWL,99,E1440*(MAX(0,GWL-H1440)*(GAM_S-GAM_W)+MAX(0,NG-MAX(H1440,GWL))*GAM_D)/(GAM_W*PI()*E1440^2/4))</f>
        <v>99</v>
      </c>
      <c r="AA1440" s="27" t="n">
        <f aca="false">IF(I1440-E1440&gt;=GWL,99,E1440*(MAX(0,GWL-I1440)*(GAM_S-GAM_W)+MAX(0,NG-MAX(I1440,GWL))*GAM_D)/(GAM_W*PI()*E1440^2/4))</f>
        <v>99</v>
      </c>
      <c r="AB1440" s="27" t="n">
        <f aca="false">IF(H1440-E1440&gt;=GWL,99,E1440*(MAX(0,GWL-H1440)*(GAM_S-GAM_W)+MAX(0,FL-MAX(H1440,GWL))*GAM_D)/(GAM_W*PI()*E1440^2/4))</f>
        <v>99</v>
      </c>
      <c r="AC1440" s="27" t="n">
        <f aca="false">IF(I1440-E1440&gt;=GWL,99,E1440*(MAX(0,GWL-I1440)*(GAM_S-GAM_W)+MAX(0,FL-MAX(I1440,GWL))*GAM_D)/(GAM_W*PI()*E1440^2/4))</f>
        <v>99</v>
      </c>
    </row>
    <row r="1441" customFormat="false" ht="15" hidden="false" customHeight="false" outlineLevel="0" collapsed="false">
      <c r="A1441" s="25" t="s">
        <v>2066</v>
      </c>
      <c r="B1441" s="25" t="s">
        <v>2095</v>
      </c>
      <c r="C1441" s="25" t="s">
        <v>2106</v>
      </c>
      <c r="D1441" s="26" t="n">
        <v>2.68245424176018</v>
      </c>
      <c r="E1441" s="26" t="n">
        <v>0.630001220199072</v>
      </c>
      <c r="F1441" s="26" t="n">
        <v>-1.96500061009954</v>
      </c>
      <c r="G1441" s="26" t="n">
        <v>-1.96500061009954</v>
      </c>
      <c r="H1441" s="26" t="n">
        <v>-0.834999389900464</v>
      </c>
      <c r="I1441" s="26" t="n">
        <v>-0.834999389900464</v>
      </c>
      <c r="J1441" s="26" t="n">
        <v>7.89</v>
      </c>
      <c r="K1441" s="27" t="n">
        <f aca="false">MIN(F1441,G1441)</f>
        <v>-1.96500061009954</v>
      </c>
      <c r="L1441" s="27" t="n">
        <f aca="false">AVERAGE(F1441,G1441)</f>
        <v>-1.96500061009954</v>
      </c>
      <c r="M1441" s="27" t="n">
        <f aca="false">MAX(0,NG-L1441)</f>
        <v>1.26500061009954</v>
      </c>
      <c r="N1441" s="27" t="n">
        <f aca="false">MAX(0,GWL-K1441)</f>
        <v>0.465000610099536</v>
      </c>
      <c r="O1441" s="27" t="n">
        <f aca="false">MAX(0,NG-MAX(K1441,GWL))</f>
        <v>0.8</v>
      </c>
      <c r="P1441" s="27" t="n">
        <f aca="false">E1441/2+WS+SLOPE_A*O1441+SLOPE_B*N1441</f>
        <v>3.44500183029861</v>
      </c>
      <c r="Q1441" s="28" t="str">
        <f aca="false">IF(AND(P1441&lt;J1441,N1441&lt;=MAXOC),"Open cut","Shoring")</f>
        <v>Open cut</v>
      </c>
      <c r="R1441" s="27" t="n">
        <f aca="false">IF(Q1441="Shoring",D1441,0)</f>
        <v>0</v>
      </c>
      <c r="S1441" s="27" t="n">
        <f aca="false">MAX(0,GWL-L1441)</f>
        <v>0.465000610099536</v>
      </c>
      <c r="T1441" s="27" t="n">
        <f aca="false">MAX(0,NG-MAX(L1441,GWL))</f>
        <v>0.8</v>
      </c>
      <c r="U1441" s="27" t="n">
        <f aca="false">E1441+2*WS</f>
        <v>2.63000122019907</v>
      </c>
      <c r="V1441" s="27" t="n">
        <f aca="false">IF(Q1441="Shoring",D1441*M1441*U1441,0)</f>
        <v>0</v>
      </c>
      <c r="W1441" s="27" t="n">
        <f aca="false">IF(Q1441="Open cut",D1441*(U1441*M1441+SLOPE_B*S1441^2+2*SLOPE_B*S1441*T1441+SLOPE_A*T1441^2),0)</f>
        <v>16.6510831859911</v>
      </c>
      <c r="X1441" s="27" t="n">
        <f aca="false">IF(M1441&gt;0,D1441*(E1441+2*SLABOVH)*SLAB,0)</f>
        <v>2.18620184359864</v>
      </c>
      <c r="Y1441" s="27" t="n">
        <f aca="false">IF(M1441&gt;0,D1441*PI()*E1441^2/4,0)</f>
        <v>0.836190029678638</v>
      </c>
      <c r="Z1441" s="27" t="n">
        <f aca="false">IF(H1441-E1441&gt;=GWL,99,E1441*(MAX(0,GWL-H1441)*(GAM_S-GAM_W)+MAX(0,NG-MAX(H1441,GWL))*GAM_D)/(GAM_W*PI()*E1441^2/4))</f>
        <v>99</v>
      </c>
      <c r="AA1441" s="27" t="n">
        <f aca="false">IF(I1441-E1441&gt;=GWL,99,E1441*(MAX(0,GWL-I1441)*(GAM_S-GAM_W)+MAX(0,NG-MAX(I1441,GWL))*GAM_D)/(GAM_W*PI()*E1441^2/4))</f>
        <v>99</v>
      </c>
      <c r="AB1441" s="27" t="n">
        <f aca="false">IF(H1441-E1441&gt;=GWL,99,E1441*(MAX(0,GWL-H1441)*(GAM_S-GAM_W)+MAX(0,FL-MAX(H1441,GWL))*GAM_D)/(GAM_W*PI()*E1441^2/4))</f>
        <v>99</v>
      </c>
      <c r="AC1441" s="27" t="n">
        <f aca="false">IF(I1441-E1441&gt;=GWL,99,E1441*(MAX(0,GWL-I1441)*(GAM_S-GAM_W)+MAX(0,FL-MAX(I1441,GWL))*GAM_D)/(GAM_W*PI()*E1441^2/4))</f>
        <v>99</v>
      </c>
    </row>
    <row r="1442" customFormat="false" ht="15" hidden="false" customHeight="false" outlineLevel="0" collapsed="false">
      <c r="A1442" s="25" t="s">
        <v>2066</v>
      </c>
      <c r="B1442" s="25" t="s">
        <v>2095</v>
      </c>
      <c r="C1442" s="25" t="s">
        <v>2107</v>
      </c>
      <c r="D1442" s="26" t="n">
        <v>4.52888575840672</v>
      </c>
      <c r="E1442" s="26" t="n">
        <v>0.630001220199072</v>
      </c>
      <c r="F1442" s="26" t="n">
        <v>-1.96500061009954</v>
      </c>
      <c r="G1442" s="26" t="n">
        <v>-1.96500061009954</v>
      </c>
      <c r="H1442" s="26" t="n">
        <v>-0.834999389900464</v>
      </c>
      <c r="I1442" s="26" t="n">
        <v>-0.834999389900464</v>
      </c>
      <c r="J1442" s="26" t="n">
        <v>6.06</v>
      </c>
      <c r="K1442" s="27" t="n">
        <f aca="false">MIN(F1442,G1442)</f>
        <v>-1.96500061009954</v>
      </c>
      <c r="L1442" s="27" t="n">
        <f aca="false">AVERAGE(F1442,G1442)</f>
        <v>-1.96500061009954</v>
      </c>
      <c r="M1442" s="27" t="n">
        <f aca="false">MAX(0,NG-L1442)</f>
        <v>1.26500061009954</v>
      </c>
      <c r="N1442" s="27" t="n">
        <f aca="false">MAX(0,GWL-K1442)</f>
        <v>0.465000610099536</v>
      </c>
      <c r="O1442" s="27" t="n">
        <f aca="false">MAX(0,NG-MAX(K1442,GWL))</f>
        <v>0.8</v>
      </c>
      <c r="P1442" s="27" t="n">
        <f aca="false">E1442/2+WS+SLOPE_A*O1442+SLOPE_B*N1442</f>
        <v>3.44500183029861</v>
      </c>
      <c r="Q1442" s="28" t="str">
        <f aca="false">IF(AND(P1442&lt;J1442,N1442&lt;=MAXOC),"Open cut","Shoring")</f>
        <v>Open cut</v>
      </c>
      <c r="R1442" s="27" t="n">
        <f aca="false">IF(Q1442="Shoring",D1442,0)</f>
        <v>0</v>
      </c>
      <c r="S1442" s="27" t="n">
        <f aca="false">MAX(0,GWL-L1442)</f>
        <v>0.465000610099536</v>
      </c>
      <c r="T1442" s="27" t="n">
        <f aca="false">MAX(0,NG-MAX(L1442,GWL))</f>
        <v>0.8</v>
      </c>
      <c r="U1442" s="27" t="n">
        <f aca="false">E1442+2*WS</f>
        <v>2.63000122019907</v>
      </c>
      <c r="V1442" s="27" t="n">
        <f aca="false">IF(Q1442="Shoring",D1442*M1442*U1442,0)</f>
        <v>0</v>
      </c>
      <c r="W1442" s="27" t="n">
        <f aca="false">IF(Q1442="Open cut",D1442*(U1442*M1442+SLOPE_B*S1442^2+2*SLOPE_B*S1442*T1442+SLOPE_A*T1442^2),0)</f>
        <v>28.1126336953272</v>
      </c>
      <c r="X1442" s="27" t="n">
        <f aca="false">IF(M1442&gt;0,D1442*(E1442+2*SLABOVH)*SLAB,0)</f>
        <v>3.69104465617257</v>
      </c>
      <c r="Y1442" s="27" t="n">
        <f aca="false">IF(M1442&gt;0,D1442*PI()*E1442^2/4,0)</f>
        <v>1.41177025791437</v>
      </c>
      <c r="Z1442" s="27" t="n">
        <f aca="false">IF(H1442-E1442&gt;=GWL,99,E1442*(MAX(0,GWL-H1442)*(GAM_S-GAM_W)+MAX(0,NG-MAX(H1442,GWL))*GAM_D)/(GAM_W*PI()*E1442^2/4))</f>
        <v>99</v>
      </c>
      <c r="AA1442" s="27" t="n">
        <f aca="false">IF(I1442-E1442&gt;=GWL,99,E1442*(MAX(0,GWL-I1442)*(GAM_S-GAM_W)+MAX(0,NG-MAX(I1442,GWL))*GAM_D)/(GAM_W*PI()*E1442^2/4))</f>
        <v>99</v>
      </c>
      <c r="AB1442" s="27" t="n">
        <f aca="false">IF(H1442-E1442&gt;=GWL,99,E1442*(MAX(0,GWL-H1442)*(GAM_S-GAM_W)+MAX(0,FL-MAX(H1442,GWL))*GAM_D)/(GAM_W*PI()*E1442^2/4))</f>
        <v>99</v>
      </c>
      <c r="AC1442" s="27" t="n">
        <f aca="false">IF(I1442-E1442&gt;=GWL,99,E1442*(MAX(0,GWL-I1442)*(GAM_S-GAM_W)+MAX(0,FL-MAX(I1442,GWL))*GAM_D)/(GAM_W*PI()*E1442^2/4))</f>
        <v>99</v>
      </c>
    </row>
    <row r="1443" customFormat="false" ht="15" hidden="false" customHeight="false" outlineLevel="0" collapsed="false">
      <c r="A1443" s="25" t="s">
        <v>2066</v>
      </c>
      <c r="B1443" s="25" t="s">
        <v>2095</v>
      </c>
      <c r="C1443" s="25" t="s">
        <v>2108</v>
      </c>
      <c r="D1443" s="26" t="n">
        <v>0.741212956075095</v>
      </c>
      <c r="E1443" s="26" t="n">
        <v>0.630001220199072</v>
      </c>
      <c r="F1443" s="26" t="n">
        <v>-1.96500061009954</v>
      </c>
      <c r="G1443" s="26" t="n">
        <v>-1.96500061009954</v>
      </c>
      <c r="H1443" s="26" t="n">
        <v>-0.834999389900464</v>
      </c>
      <c r="I1443" s="26" t="n">
        <v>-0.834999389900464</v>
      </c>
      <c r="J1443" s="26" t="n">
        <v>5.32</v>
      </c>
      <c r="K1443" s="27" t="n">
        <f aca="false">MIN(F1443,G1443)</f>
        <v>-1.96500061009954</v>
      </c>
      <c r="L1443" s="27" t="n">
        <f aca="false">AVERAGE(F1443,G1443)</f>
        <v>-1.96500061009954</v>
      </c>
      <c r="M1443" s="27" t="n">
        <f aca="false">MAX(0,NG-L1443)</f>
        <v>1.26500061009954</v>
      </c>
      <c r="N1443" s="27" t="n">
        <f aca="false">MAX(0,GWL-K1443)</f>
        <v>0.465000610099536</v>
      </c>
      <c r="O1443" s="27" t="n">
        <f aca="false">MAX(0,NG-MAX(K1443,GWL))</f>
        <v>0.8</v>
      </c>
      <c r="P1443" s="27" t="n">
        <f aca="false">E1443/2+WS+SLOPE_A*O1443+SLOPE_B*N1443</f>
        <v>3.44500183029861</v>
      </c>
      <c r="Q1443" s="28" t="str">
        <f aca="false">IF(AND(P1443&lt;J1443,N1443&lt;=MAXOC),"Open cut","Shoring")</f>
        <v>Open cut</v>
      </c>
      <c r="R1443" s="27" t="n">
        <f aca="false">IF(Q1443="Shoring",D1443,0)</f>
        <v>0</v>
      </c>
      <c r="S1443" s="27" t="n">
        <f aca="false">MAX(0,GWL-L1443)</f>
        <v>0.465000610099536</v>
      </c>
      <c r="T1443" s="27" t="n">
        <f aca="false">MAX(0,NG-MAX(L1443,GWL))</f>
        <v>0.8</v>
      </c>
      <c r="U1443" s="27" t="n">
        <f aca="false">E1443+2*WS</f>
        <v>2.63000122019907</v>
      </c>
      <c r="V1443" s="27" t="n">
        <f aca="false">IF(Q1443="Shoring",D1443*M1443*U1443,0)</f>
        <v>0</v>
      </c>
      <c r="W1443" s="27" t="n">
        <f aca="false">IF(Q1443="Open cut",D1443*(U1443*M1443+SLOPE_B*S1443^2+2*SLOPE_B*S1443*T1443+SLOPE_A*T1443^2),0)</f>
        <v>4.60100992516546</v>
      </c>
      <c r="X1443" s="27" t="n">
        <f aca="false">IF(M1443&gt;0,D1443*(E1443+2*SLABOVH)*SLAB,0)</f>
        <v>0.604089011414883</v>
      </c>
      <c r="Y1443" s="27" t="n">
        <f aca="false">IF(M1443&gt;0,D1443*PI()*E1443^2/4,0)</f>
        <v>0.231055156166215</v>
      </c>
      <c r="Z1443" s="27" t="n">
        <f aca="false">IF(H1443-E1443&gt;=GWL,99,E1443*(MAX(0,GWL-H1443)*(GAM_S-GAM_W)+MAX(0,NG-MAX(H1443,GWL))*GAM_D)/(GAM_W*PI()*E1443^2/4))</f>
        <v>99</v>
      </c>
      <c r="AA1443" s="27" t="n">
        <f aca="false">IF(I1443-E1443&gt;=GWL,99,E1443*(MAX(0,GWL-I1443)*(GAM_S-GAM_W)+MAX(0,NG-MAX(I1443,GWL))*GAM_D)/(GAM_W*PI()*E1443^2/4))</f>
        <v>99</v>
      </c>
      <c r="AB1443" s="27" t="n">
        <f aca="false">IF(H1443-E1443&gt;=GWL,99,E1443*(MAX(0,GWL-H1443)*(GAM_S-GAM_W)+MAX(0,FL-MAX(H1443,GWL))*GAM_D)/(GAM_W*PI()*E1443^2/4))</f>
        <v>99</v>
      </c>
      <c r="AC1443" s="27" t="n">
        <f aca="false">IF(I1443-E1443&gt;=GWL,99,E1443*(MAX(0,GWL-I1443)*(GAM_S-GAM_W)+MAX(0,FL-MAX(I1443,GWL))*GAM_D)/(GAM_W*PI()*E1443^2/4))</f>
        <v>99</v>
      </c>
    </row>
    <row r="1444" customFormat="false" ht="15" hidden="false" customHeight="false" outlineLevel="0" collapsed="false">
      <c r="A1444" s="25" t="s">
        <v>2066</v>
      </c>
      <c r="B1444" s="25" t="s">
        <v>2095</v>
      </c>
      <c r="C1444" s="25" t="s">
        <v>2109</v>
      </c>
      <c r="D1444" s="26" t="n">
        <v>0.740849674518688</v>
      </c>
      <c r="E1444" s="26" t="n">
        <v>0.629994263922249</v>
      </c>
      <c r="F1444" s="26" t="n">
        <v>-1.96499713196113</v>
      </c>
      <c r="G1444" s="26" t="n">
        <v>-1.96499713196113</v>
      </c>
      <c r="H1444" s="26" t="n">
        <v>-0.835002868038875</v>
      </c>
      <c r="I1444" s="26" t="n">
        <v>-0.835002868038875</v>
      </c>
      <c r="J1444" s="26" t="n">
        <v>4.79</v>
      </c>
      <c r="K1444" s="27" t="n">
        <f aca="false">MIN(F1444,G1444)</f>
        <v>-1.96499713196113</v>
      </c>
      <c r="L1444" s="27" t="n">
        <f aca="false">AVERAGE(F1444,G1444)</f>
        <v>-1.96499713196113</v>
      </c>
      <c r="M1444" s="27" t="n">
        <f aca="false">MAX(0,NG-L1444)</f>
        <v>1.26499713196113</v>
      </c>
      <c r="N1444" s="27" t="n">
        <f aca="false">MAX(0,GWL-K1444)</f>
        <v>0.464997131961125</v>
      </c>
      <c r="O1444" s="27" t="n">
        <f aca="false">MAX(0,NG-MAX(K1444,GWL))</f>
        <v>0.8</v>
      </c>
      <c r="P1444" s="27" t="n">
        <f aca="false">E1444/2+WS+SLOPE_A*O1444+SLOPE_B*N1444</f>
        <v>3.44499139588338</v>
      </c>
      <c r="Q1444" s="28" t="str">
        <f aca="false">IF(AND(P1444&lt;J1444,N1444&lt;=MAXOC),"Open cut","Shoring")</f>
        <v>Open cut</v>
      </c>
      <c r="R1444" s="27" t="n">
        <f aca="false">IF(Q1444="Shoring",D1444,0)</f>
        <v>0</v>
      </c>
      <c r="S1444" s="27" t="n">
        <f aca="false">MAX(0,GWL-L1444)</f>
        <v>0.464997131961125</v>
      </c>
      <c r="T1444" s="27" t="n">
        <f aca="false">MAX(0,NG-MAX(L1444,GWL))</f>
        <v>0.8</v>
      </c>
      <c r="U1444" s="27" t="n">
        <f aca="false">E1444+2*WS</f>
        <v>2.62999426392225</v>
      </c>
      <c r="V1444" s="27" t="n">
        <f aca="false">IF(Q1444="Shoring",D1444*M1444*U1444,0)</f>
        <v>0</v>
      </c>
      <c r="W1444" s="27" t="n">
        <f aca="false">IF(Q1444="Open cut",D1444*(U1444*M1444+SLOPE_B*S1444^2+2*SLOPE_B*S1444*T1444+SLOPE_A*T1444^2),0)</f>
        <v>4.59872855432217</v>
      </c>
      <c r="X1444" s="27" t="n">
        <f aca="false">IF(M1444&gt;0,D1444*(E1444+2*SLABOVH)*SLAB,0)</f>
        <v>0.603790359947064</v>
      </c>
      <c r="Y1444" s="27" t="n">
        <f aca="false">IF(M1444&gt;0,D1444*PI()*E1444^2/4,0)</f>
        <v>0.230936812005884</v>
      </c>
      <c r="Z1444" s="27" t="n">
        <f aca="false">IF(H1444-E1444&gt;=GWL,99,E1444*(MAX(0,GWL-H1444)*(GAM_S-GAM_W)+MAX(0,NG-MAX(H1444,GWL))*GAM_D)/(GAM_W*PI()*E1444^2/4))</f>
        <v>99</v>
      </c>
      <c r="AA1444" s="27" t="n">
        <f aca="false">IF(I1444-E1444&gt;=GWL,99,E1444*(MAX(0,GWL-I1444)*(GAM_S-GAM_W)+MAX(0,NG-MAX(I1444,GWL))*GAM_D)/(GAM_W*PI()*E1444^2/4))</f>
        <v>99</v>
      </c>
      <c r="AB1444" s="27" t="n">
        <f aca="false">IF(H1444-E1444&gt;=GWL,99,E1444*(MAX(0,GWL-H1444)*(GAM_S-GAM_W)+MAX(0,FL-MAX(H1444,GWL))*GAM_D)/(GAM_W*PI()*E1444^2/4))</f>
        <v>99</v>
      </c>
      <c r="AC1444" s="27" t="n">
        <f aca="false">IF(I1444-E1444&gt;=GWL,99,E1444*(MAX(0,GWL-I1444)*(GAM_S-GAM_W)+MAX(0,FL-MAX(I1444,GWL))*GAM_D)/(GAM_W*PI()*E1444^2/4))</f>
        <v>99</v>
      </c>
    </row>
    <row r="1445" customFormat="false" ht="15" hidden="false" customHeight="false" outlineLevel="0" collapsed="false">
      <c r="A1445" s="25" t="s">
        <v>2066</v>
      </c>
      <c r="B1445" s="25" t="s">
        <v>2095</v>
      </c>
      <c r="C1445" s="25" t="s">
        <v>2110</v>
      </c>
      <c r="D1445" s="26" t="n">
        <v>3.98905161071961</v>
      </c>
      <c r="E1445" s="26" t="n">
        <v>0.629994263922249</v>
      </c>
      <c r="F1445" s="26" t="n">
        <v>-1.96499713196113</v>
      </c>
      <c r="G1445" s="26" t="n">
        <v>-1.96499713196113</v>
      </c>
      <c r="H1445" s="26" t="n">
        <v>-0.835002868038875</v>
      </c>
      <c r="I1445" s="26" t="n">
        <v>-0.835002868038875</v>
      </c>
      <c r="J1445" s="26" t="n">
        <v>1.95</v>
      </c>
      <c r="K1445" s="27" t="n">
        <f aca="false">MIN(F1445,G1445)</f>
        <v>-1.96499713196113</v>
      </c>
      <c r="L1445" s="27" t="n">
        <f aca="false">AVERAGE(F1445,G1445)</f>
        <v>-1.96499713196113</v>
      </c>
      <c r="M1445" s="27" t="n">
        <f aca="false">MAX(0,NG-L1445)</f>
        <v>1.26499713196113</v>
      </c>
      <c r="N1445" s="27" t="n">
        <f aca="false">MAX(0,GWL-K1445)</f>
        <v>0.464997131961125</v>
      </c>
      <c r="O1445" s="27" t="n">
        <f aca="false">MAX(0,NG-MAX(K1445,GWL))</f>
        <v>0.8</v>
      </c>
      <c r="P1445" s="27" t="n">
        <f aca="false">E1445/2+WS+SLOPE_A*O1445+SLOPE_B*N1445</f>
        <v>3.44499139588338</v>
      </c>
      <c r="Q1445" s="28" t="str">
        <f aca="false">IF(AND(P1445&lt;J1445,N1445&lt;=MAXOC),"Open cut","Shoring")</f>
        <v>Shoring</v>
      </c>
      <c r="R1445" s="27" t="n">
        <f aca="false">IF(Q1445="Shoring",D1445,0)</f>
        <v>3.98905161071961</v>
      </c>
      <c r="S1445" s="27" t="n">
        <f aca="false">MAX(0,GWL-L1445)</f>
        <v>0.464997131961125</v>
      </c>
      <c r="T1445" s="27" t="n">
        <f aca="false">MAX(0,NG-MAX(L1445,GWL))</f>
        <v>0.8</v>
      </c>
      <c r="U1445" s="27" t="n">
        <f aca="false">E1445+2*WS</f>
        <v>2.62999426392225</v>
      </c>
      <c r="V1445" s="27" t="n">
        <f aca="false">IF(Q1445="Shoring",D1445*M1445*U1445,0)</f>
        <v>13.2713162220529</v>
      </c>
      <c r="W1445" s="27" t="n">
        <f aca="false">IF(Q1445="Open cut",D1445*(U1445*M1445+SLOPE_B*S1445^2+2*SLOPE_B*S1445*T1445+SLOPE_A*T1445^2),0)</f>
        <v>0</v>
      </c>
      <c r="X1445" s="27" t="n">
        <f aca="false">IF(M1445&gt;0,D1445*(E1445+2*SLABOVH)*SLAB,0)</f>
        <v>3.25106562198139</v>
      </c>
      <c r="Y1445" s="27" t="n">
        <f aca="false">IF(M1445&gt;0,D1445*PI()*E1445^2/4,0)</f>
        <v>1.2434625992176</v>
      </c>
      <c r="Z1445" s="27" t="n">
        <f aca="false">IF(H1445-E1445&gt;=GWL,99,E1445*(MAX(0,GWL-H1445)*(GAM_S-GAM_W)+MAX(0,NG-MAX(H1445,GWL))*GAM_D)/(GAM_W*PI()*E1445^2/4))</f>
        <v>99</v>
      </c>
      <c r="AA1445" s="27" t="n">
        <f aca="false">IF(I1445-E1445&gt;=GWL,99,E1445*(MAX(0,GWL-I1445)*(GAM_S-GAM_W)+MAX(0,NG-MAX(I1445,GWL))*GAM_D)/(GAM_W*PI()*E1445^2/4))</f>
        <v>99</v>
      </c>
      <c r="AB1445" s="27" t="n">
        <f aca="false">IF(H1445-E1445&gt;=GWL,99,E1445*(MAX(0,GWL-H1445)*(GAM_S-GAM_W)+MAX(0,FL-MAX(H1445,GWL))*GAM_D)/(GAM_W*PI()*E1445^2/4))</f>
        <v>99</v>
      </c>
      <c r="AC1445" s="27" t="n">
        <f aca="false">IF(I1445-E1445&gt;=GWL,99,E1445*(MAX(0,GWL-I1445)*(GAM_S-GAM_W)+MAX(0,FL-MAX(I1445,GWL))*GAM_D)/(GAM_W*PI()*E1445^2/4))</f>
        <v>99</v>
      </c>
    </row>
    <row r="1446" customFormat="false" ht="15" hidden="false" customHeight="false" outlineLevel="0" collapsed="false">
      <c r="A1446" s="25" t="s">
        <v>2066</v>
      </c>
      <c r="B1446" s="25" t="s">
        <v>2095</v>
      </c>
      <c r="C1446" s="25" t="s">
        <v>2111</v>
      </c>
      <c r="D1446" s="26" t="n">
        <v>10.0000000003399</v>
      </c>
      <c r="E1446" s="26" t="n">
        <v>0.629994263922249</v>
      </c>
      <c r="F1446" s="26" t="n">
        <v>-1.96499713196113</v>
      </c>
      <c r="G1446" s="26" t="n">
        <v>-1.96499713196113</v>
      </c>
      <c r="H1446" s="26" t="n">
        <v>-0.835002868038875</v>
      </c>
      <c r="I1446" s="26" t="n">
        <v>-0.835002868038875</v>
      </c>
      <c r="J1446" s="26" t="n">
        <v>0</v>
      </c>
      <c r="K1446" s="27" t="n">
        <f aca="false">MIN(F1446,G1446)</f>
        <v>-1.96499713196113</v>
      </c>
      <c r="L1446" s="27" t="n">
        <f aca="false">AVERAGE(F1446,G1446)</f>
        <v>-1.96499713196113</v>
      </c>
      <c r="M1446" s="27" t="n">
        <f aca="false">MAX(0,NG-L1446)</f>
        <v>1.26499713196113</v>
      </c>
      <c r="N1446" s="27" t="n">
        <f aca="false">MAX(0,GWL-K1446)</f>
        <v>0.464997131961125</v>
      </c>
      <c r="O1446" s="27" t="n">
        <f aca="false">MAX(0,NG-MAX(K1446,GWL))</f>
        <v>0.8</v>
      </c>
      <c r="P1446" s="27" t="n">
        <f aca="false">E1446/2+WS+SLOPE_A*O1446+SLOPE_B*N1446</f>
        <v>3.44499139588338</v>
      </c>
      <c r="Q1446" s="28" t="str">
        <f aca="false">IF(AND(P1446&lt;J1446,N1446&lt;=MAXOC),"Open cut","Shoring")</f>
        <v>Shoring</v>
      </c>
      <c r="R1446" s="27" t="n">
        <f aca="false">IF(Q1446="Shoring",D1446,0)</f>
        <v>10.0000000003399</v>
      </c>
      <c r="S1446" s="27" t="n">
        <f aca="false">MAX(0,GWL-L1446)</f>
        <v>0.464997131961125</v>
      </c>
      <c r="T1446" s="27" t="n">
        <f aca="false">MAX(0,NG-MAX(L1446,GWL))</f>
        <v>0.8</v>
      </c>
      <c r="U1446" s="27" t="n">
        <f aca="false">E1446+2*WS</f>
        <v>2.62999426392225</v>
      </c>
      <c r="V1446" s="27" t="n">
        <f aca="false">IF(Q1446="Shoring",D1446*M1446*U1446,0)</f>
        <v>33.2693520104894</v>
      </c>
      <c r="W1446" s="27" t="n">
        <f aca="false">IF(Q1446="Open cut",D1446*(U1446*M1446+SLOPE_B*S1446^2+2*SLOPE_B*S1446*T1446+SLOPE_A*T1446^2),0)</f>
        <v>0</v>
      </c>
      <c r="X1446" s="27" t="n">
        <f aca="false">IF(M1446&gt;0,D1446*(E1446+2*SLABOVH)*SLAB,0)</f>
        <v>8.14997131988826</v>
      </c>
      <c r="Y1446" s="27" t="n">
        <f aca="false">IF(M1446&gt;0,D1446*PI()*E1446^2/4,0)</f>
        <v>3.11718854656672</v>
      </c>
      <c r="Z1446" s="27" t="n">
        <f aca="false">IF(H1446-E1446&gt;=GWL,99,E1446*(MAX(0,GWL-H1446)*(GAM_S-GAM_W)+MAX(0,NG-MAX(H1446,GWL))*GAM_D)/(GAM_W*PI()*E1446^2/4))</f>
        <v>99</v>
      </c>
      <c r="AA1446" s="27" t="n">
        <f aca="false">IF(I1446-E1446&gt;=GWL,99,E1446*(MAX(0,GWL-I1446)*(GAM_S-GAM_W)+MAX(0,NG-MAX(I1446,GWL))*GAM_D)/(GAM_W*PI()*E1446^2/4))</f>
        <v>99</v>
      </c>
      <c r="AB1446" s="27" t="n">
        <f aca="false">IF(H1446-E1446&gt;=GWL,99,E1446*(MAX(0,GWL-H1446)*(GAM_S-GAM_W)+MAX(0,FL-MAX(H1446,GWL))*GAM_D)/(GAM_W*PI()*E1446^2/4))</f>
        <v>99</v>
      </c>
      <c r="AC1446" s="27" t="n">
        <f aca="false">IF(I1446-E1446&gt;=GWL,99,E1446*(MAX(0,GWL-I1446)*(GAM_S-GAM_W)+MAX(0,FL-MAX(I1446,GWL))*GAM_D)/(GAM_W*PI()*E1446^2/4))</f>
        <v>99</v>
      </c>
    </row>
    <row r="1447" customFormat="false" ht="15" hidden="false" customHeight="false" outlineLevel="0" collapsed="false">
      <c r="A1447" s="25" t="s">
        <v>2066</v>
      </c>
      <c r="B1447" s="25" t="s">
        <v>2095</v>
      </c>
      <c r="C1447" s="25" t="s">
        <v>2112</v>
      </c>
      <c r="D1447" s="26" t="n">
        <v>5.09999999939691</v>
      </c>
      <c r="E1447" s="26" t="n">
        <v>0.629994263922249</v>
      </c>
      <c r="F1447" s="26" t="n">
        <v>-1.96499713196113</v>
      </c>
      <c r="G1447" s="26" t="n">
        <v>-1.96499713196113</v>
      </c>
      <c r="H1447" s="26" t="n">
        <v>-0.835002868038875</v>
      </c>
      <c r="I1447" s="26" t="n">
        <v>-0.835002868038875</v>
      </c>
      <c r="J1447" s="26" t="n">
        <v>3.58</v>
      </c>
      <c r="K1447" s="27" t="n">
        <f aca="false">MIN(F1447,G1447)</f>
        <v>-1.96499713196113</v>
      </c>
      <c r="L1447" s="27" t="n">
        <f aca="false">AVERAGE(F1447,G1447)</f>
        <v>-1.96499713196113</v>
      </c>
      <c r="M1447" s="27" t="n">
        <f aca="false">MAX(0,NG-L1447)</f>
        <v>1.26499713196113</v>
      </c>
      <c r="N1447" s="27" t="n">
        <f aca="false">MAX(0,GWL-K1447)</f>
        <v>0.464997131961125</v>
      </c>
      <c r="O1447" s="27" t="n">
        <f aca="false">MAX(0,NG-MAX(K1447,GWL))</f>
        <v>0.8</v>
      </c>
      <c r="P1447" s="27" t="n">
        <f aca="false">E1447/2+WS+SLOPE_A*O1447+SLOPE_B*N1447</f>
        <v>3.44499139588338</v>
      </c>
      <c r="Q1447" s="28" t="str">
        <f aca="false">IF(AND(P1447&lt;J1447,N1447&lt;=MAXOC),"Open cut","Shoring")</f>
        <v>Open cut</v>
      </c>
      <c r="R1447" s="27" t="n">
        <f aca="false">IF(Q1447="Shoring",D1447,0)</f>
        <v>0</v>
      </c>
      <c r="S1447" s="27" t="n">
        <f aca="false">MAX(0,GWL-L1447)</f>
        <v>0.464997131961125</v>
      </c>
      <c r="T1447" s="27" t="n">
        <f aca="false">MAX(0,NG-MAX(L1447,GWL))</f>
        <v>0.8</v>
      </c>
      <c r="U1447" s="27" t="n">
        <f aca="false">E1447+2*WS</f>
        <v>2.62999426392225</v>
      </c>
      <c r="V1447" s="27" t="n">
        <f aca="false">IF(Q1447="Shoring",D1447*M1447*U1447,0)</f>
        <v>0</v>
      </c>
      <c r="W1447" s="27" t="n">
        <f aca="false">IF(Q1447="Open cut",D1447*(U1447*M1447+SLOPE_B*S1447^2+2*SLOPE_B*S1447*T1447+SLOPE_A*T1447^2),0)</f>
        <v>31.657590508502</v>
      </c>
      <c r="X1447" s="27" t="n">
        <f aca="false">IF(M1447&gt;0,D1447*(E1447+2*SLABOVH)*SLAB,0)</f>
        <v>4.15648537251022</v>
      </c>
      <c r="Y1447" s="27" t="n">
        <f aca="false">IF(M1447&gt;0,D1447*PI()*E1447^2/4,0)</f>
        <v>1.589766158507</v>
      </c>
      <c r="Z1447" s="27" t="n">
        <f aca="false">IF(H1447-E1447&gt;=GWL,99,E1447*(MAX(0,GWL-H1447)*(GAM_S-GAM_W)+MAX(0,NG-MAX(H1447,GWL))*GAM_D)/(GAM_W*PI()*E1447^2/4))</f>
        <v>99</v>
      </c>
      <c r="AA1447" s="27" t="n">
        <f aca="false">IF(I1447-E1447&gt;=GWL,99,E1447*(MAX(0,GWL-I1447)*(GAM_S-GAM_W)+MAX(0,NG-MAX(I1447,GWL))*GAM_D)/(GAM_W*PI()*E1447^2/4))</f>
        <v>99</v>
      </c>
      <c r="AB1447" s="27" t="n">
        <f aca="false">IF(H1447-E1447&gt;=GWL,99,E1447*(MAX(0,GWL-H1447)*(GAM_S-GAM_W)+MAX(0,FL-MAX(H1447,GWL))*GAM_D)/(GAM_W*PI()*E1447^2/4))</f>
        <v>99</v>
      </c>
      <c r="AC1447" s="27" t="n">
        <f aca="false">IF(I1447-E1447&gt;=GWL,99,E1447*(MAX(0,GWL-I1447)*(GAM_S-GAM_W)+MAX(0,FL-MAX(I1447,GWL))*GAM_D)/(GAM_W*PI()*E1447^2/4))</f>
        <v>99</v>
      </c>
    </row>
    <row r="1448" customFormat="false" ht="15" hidden="false" customHeight="false" outlineLevel="0" collapsed="false">
      <c r="A1448" s="25" t="s">
        <v>2066</v>
      </c>
      <c r="B1448" s="25" t="s">
        <v>2113</v>
      </c>
      <c r="C1448" s="25" t="s">
        <v>2114</v>
      </c>
      <c r="D1448" s="26" t="n">
        <v>4.89999999973635</v>
      </c>
      <c r="E1448" s="26" t="n">
        <v>0.629994263922249</v>
      </c>
      <c r="F1448" s="26" t="n">
        <v>-1.96499713196113</v>
      </c>
      <c r="G1448" s="26" t="n">
        <v>-1.96499713196113</v>
      </c>
      <c r="H1448" s="26" t="n">
        <v>-0.835002868038875</v>
      </c>
      <c r="I1448" s="26" t="n">
        <v>-0.835002868038875</v>
      </c>
      <c r="J1448" s="26" t="n">
        <v>7.21</v>
      </c>
      <c r="K1448" s="27" t="n">
        <f aca="false">MIN(F1448,G1448)</f>
        <v>-1.96499713196113</v>
      </c>
      <c r="L1448" s="27" t="n">
        <f aca="false">AVERAGE(F1448,G1448)</f>
        <v>-1.96499713196113</v>
      </c>
      <c r="M1448" s="27" t="n">
        <f aca="false">MAX(0,NG-L1448)</f>
        <v>1.26499713196113</v>
      </c>
      <c r="N1448" s="27" t="n">
        <f aca="false">MAX(0,GWL-K1448)</f>
        <v>0.464997131961125</v>
      </c>
      <c r="O1448" s="27" t="n">
        <f aca="false">MAX(0,NG-MAX(K1448,GWL))</f>
        <v>0.8</v>
      </c>
      <c r="P1448" s="27" t="n">
        <f aca="false">E1448/2+WS+SLOPE_A*O1448+SLOPE_B*N1448</f>
        <v>3.44499139588338</v>
      </c>
      <c r="Q1448" s="28" t="str">
        <f aca="false">IF(AND(P1448&lt;J1448,N1448&lt;=MAXOC),"Open cut","Shoring")</f>
        <v>Open cut</v>
      </c>
      <c r="R1448" s="27" t="n">
        <f aca="false">IF(Q1448="Shoring",D1448,0)</f>
        <v>0</v>
      </c>
      <c r="S1448" s="27" t="n">
        <f aca="false">MAX(0,GWL-L1448)</f>
        <v>0.464997131961125</v>
      </c>
      <c r="T1448" s="27" t="n">
        <f aca="false">MAX(0,NG-MAX(L1448,GWL))</f>
        <v>0.8</v>
      </c>
      <c r="U1448" s="27" t="n">
        <f aca="false">E1448+2*WS</f>
        <v>2.62999426392225</v>
      </c>
      <c r="V1448" s="27" t="n">
        <f aca="false">IF(Q1448="Shoring",D1448*M1448*U1448,0)</f>
        <v>0</v>
      </c>
      <c r="W1448" s="27" t="n">
        <f aca="false">IF(Q1448="Open cut",D1448*(U1448*M1448+SLOPE_B*S1448^2+2*SLOPE_B*S1448*T1448+SLOPE_A*T1448^2),0)</f>
        <v>30.4161163728739</v>
      </c>
      <c r="X1448" s="27" t="n">
        <f aca="false">IF(M1448&gt;0,D1448*(E1448+2*SLABOVH)*SLAB,0)</f>
        <v>3.99348594639464</v>
      </c>
      <c r="Y1448" s="27" t="n">
        <f aca="false">IF(M1448&gt;0,D1448*PI()*E1448^2/4,0)</f>
        <v>1.52742238768359</v>
      </c>
      <c r="Z1448" s="27" t="n">
        <f aca="false">IF(H1448-E1448&gt;=GWL,99,E1448*(MAX(0,GWL-H1448)*(GAM_S-GAM_W)+MAX(0,NG-MAX(H1448,GWL))*GAM_D)/(GAM_W*PI()*E1448^2/4))</f>
        <v>99</v>
      </c>
      <c r="AA1448" s="27" t="n">
        <f aca="false">IF(I1448-E1448&gt;=GWL,99,E1448*(MAX(0,GWL-I1448)*(GAM_S-GAM_W)+MAX(0,NG-MAX(I1448,GWL))*GAM_D)/(GAM_W*PI()*E1448^2/4))</f>
        <v>99</v>
      </c>
      <c r="AB1448" s="27" t="n">
        <f aca="false">IF(H1448-E1448&gt;=GWL,99,E1448*(MAX(0,GWL-H1448)*(GAM_S-GAM_W)+MAX(0,FL-MAX(H1448,GWL))*GAM_D)/(GAM_W*PI()*E1448^2/4))</f>
        <v>99</v>
      </c>
      <c r="AC1448" s="27" t="n">
        <f aca="false">IF(I1448-E1448&gt;=GWL,99,E1448*(MAX(0,GWL-I1448)*(GAM_S-GAM_W)+MAX(0,FL-MAX(I1448,GWL))*GAM_D)/(GAM_W*PI()*E1448^2/4))</f>
        <v>99</v>
      </c>
    </row>
    <row r="1449" customFormat="false" ht="15" hidden="false" customHeight="false" outlineLevel="0" collapsed="false">
      <c r="A1449" s="25" t="s">
        <v>2066</v>
      </c>
      <c r="B1449" s="25" t="s">
        <v>2113</v>
      </c>
      <c r="C1449" s="25" t="s">
        <v>2115</v>
      </c>
      <c r="D1449" s="26" t="n">
        <v>10.0000000003399</v>
      </c>
      <c r="E1449" s="26" t="n">
        <v>0.629994263922249</v>
      </c>
      <c r="F1449" s="26" t="n">
        <v>-1.96499713196113</v>
      </c>
      <c r="G1449" s="26" t="n">
        <v>-1.96499713196113</v>
      </c>
      <c r="H1449" s="26" t="n">
        <v>-0.835002868038875</v>
      </c>
      <c r="I1449" s="26" t="n">
        <v>-0.835002868038875</v>
      </c>
      <c r="J1449" s="26" t="n">
        <v>9.67</v>
      </c>
      <c r="K1449" s="27" t="n">
        <f aca="false">MIN(F1449,G1449)</f>
        <v>-1.96499713196113</v>
      </c>
      <c r="L1449" s="27" t="n">
        <f aca="false">AVERAGE(F1449,G1449)</f>
        <v>-1.96499713196113</v>
      </c>
      <c r="M1449" s="27" t="n">
        <f aca="false">MAX(0,NG-L1449)</f>
        <v>1.26499713196113</v>
      </c>
      <c r="N1449" s="27" t="n">
        <f aca="false">MAX(0,GWL-K1449)</f>
        <v>0.464997131961125</v>
      </c>
      <c r="O1449" s="27" t="n">
        <f aca="false">MAX(0,NG-MAX(K1449,GWL))</f>
        <v>0.8</v>
      </c>
      <c r="P1449" s="27" t="n">
        <f aca="false">E1449/2+WS+SLOPE_A*O1449+SLOPE_B*N1449</f>
        <v>3.44499139588338</v>
      </c>
      <c r="Q1449" s="28" t="str">
        <f aca="false">IF(AND(P1449&lt;J1449,N1449&lt;=MAXOC),"Open cut","Shoring")</f>
        <v>Open cut</v>
      </c>
      <c r="R1449" s="27" t="n">
        <f aca="false">IF(Q1449="Shoring",D1449,0)</f>
        <v>0</v>
      </c>
      <c r="S1449" s="27" t="n">
        <f aca="false">MAX(0,GWL-L1449)</f>
        <v>0.464997131961125</v>
      </c>
      <c r="T1449" s="27" t="n">
        <f aca="false">MAX(0,NG-MAX(L1449,GWL))</f>
        <v>0.8</v>
      </c>
      <c r="U1449" s="27" t="n">
        <f aca="false">E1449+2*WS</f>
        <v>2.62999426392225</v>
      </c>
      <c r="V1449" s="27" t="n">
        <f aca="false">IF(Q1449="Shoring",D1449*M1449*U1449,0)</f>
        <v>0</v>
      </c>
      <c r="W1449" s="27" t="n">
        <f aca="false">IF(Q1449="Open cut",D1449*(U1449*M1449+SLOPE_B*S1449^2+2*SLOPE_B*S1449*T1449+SLOPE_A*T1449^2),0)</f>
        <v>62.0737068888658</v>
      </c>
      <c r="X1449" s="27" t="n">
        <f aca="false">IF(M1449&gt;0,D1449*(E1449+2*SLABOVH)*SLAB,0)</f>
        <v>8.14997131988826</v>
      </c>
      <c r="Y1449" s="27" t="n">
        <f aca="false">IF(M1449&gt;0,D1449*PI()*E1449^2/4,0)</f>
        <v>3.11718854656672</v>
      </c>
      <c r="Z1449" s="27" t="n">
        <f aca="false">IF(H1449-E1449&gt;=GWL,99,E1449*(MAX(0,GWL-H1449)*(GAM_S-GAM_W)+MAX(0,NG-MAX(H1449,GWL))*GAM_D)/(GAM_W*PI()*E1449^2/4))</f>
        <v>99</v>
      </c>
      <c r="AA1449" s="27" t="n">
        <f aca="false">IF(I1449-E1449&gt;=GWL,99,E1449*(MAX(0,GWL-I1449)*(GAM_S-GAM_W)+MAX(0,NG-MAX(I1449,GWL))*GAM_D)/(GAM_W*PI()*E1449^2/4))</f>
        <v>99</v>
      </c>
      <c r="AB1449" s="27" t="n">
        <f aca="false">IF(H1449-E1449&gt;=GWL,99,E1449*(MAX(0,GWL-H1449)*(GAM_S-GAM_W)+MAX(0,FL-MAX(H1449,GWL))*GAM_D)/(GAM_W*PI()*E1449^2/4))</f>
        <v>99</v>
      </c>
      <c r="AC1449" s="27" t="n">
        <f aca="false">IF(I1449-E1449&gt;=GWL,99,E1449*(MAX(0,GWL-I1449)*(GAM_S-GAM_W)+MAX(0,FL-MAX(I1449,GWL))*GAM_D)/(GAM_W*PI()*E1449^2/4))</f>
        <v>99</v>
      </c>
    </row>
    <row r="1450" customFormat="false" ht="15" hidden="false" customHeight="false" outlineLevel="0" collapsed="false">
      <c r="A1450" s="25" t="s">
        <v>2066</v>
      </c>
      <c r="B1450" s="25" t="s">
        <v>2113</v>
      </c>
      <c r="C1450" s="25" t="s">
        <v>2116</v>
      </c>
      <c r="D1450" s="26" t="n">
        <v>1.10000000026146</v>
      </c>
      <c r="E1450" s="26" t="n">
        <v>0.629994263922249</v>
      </c>
      <c r="F1450" s="26" t="n">
        <v>-1.96499713196113</v>
      </c>
      <c r="G1450" s="26" t="n">
        <v>-1.96499713196113</v>
      </c>
      <c r="H1450" s="26" t="n">
        <v>-0.835002868038875</v>
      </c>
      <c r="I1450" s="26" t="n">
        <v>-0.835002868038875</v>
      </c>
      <c r="J1450" s="26" t="n">
        <v>12.25</v>
      </c>
      <c r="K1450" s="27" t="n">
        <f aca="false">MIN(F1450,G1450)</f>
        <v>-1.96499713196113</v>
      </c>
      <c r="L1450" s="27" t="n">
        <f aca="false">AVERAGE(F1450,G1450)</f>
        <v>-1.96499713196113</v>
      </c>
      <c r="M1450" s="27" t="n">
        <f aca="false">MAX(0,NG-L1450)</f>
        <v>1.26499713196113</v>
      </c>
      <c r="N1450" s="27" t="n">
        <f aca="false">MAX(0,GWL-K1450)</f>
        <v>0.464997131961125</v>
      </c>
      <c r="O1450" s="27" t="n">
        <f aca="false">MAX(0,NG-MAX(K1450,GWL))</f>
        <v>0.8</v>
      </c>
      <c r="P1450" s="27" t="n">
        <f aca="false">E1450/2+WS+SLOPE_A*O1450+SLOPE_B*N1450</f>
        <v>3.44499139588338</v>
      </c>
      <c r="Q1450" s="28" t="str">
        <f aca="false">IF(AND(P1450&lt;J1450,N1450&lt;=MAXOC),"Open cut","Shoring")</f>
        <v>Open cut</v>
      </c>
      <c r="R1450" s="27" t="n">
        <f aca="false">IF(Q1450="Shoring",D1450,0)</f>
        <v>0</v>
      </c>
      <c r="S1450" s="27" t="n">
        <f aca="false">MAX(0,GWL-L1450)</f>
        <v>0.464997131961125</v>
      </c>
      <c r="T1450" s="27" t="n">
        <f aca="false">MAX(0,NG-MAX(L1450,GWL))</f>
        <v>0.8</v>
      </c>
      <c r="U1450" s="27" t="n">
        <f aca="false">E1450+2*WS</f>
        <v>2.62999426392225</v>
      </c>
      <c r="V1450" s="27" t="n">
        <f aca="false">IF(Q1450="Shoring",D1450*M1450*U1450,0)</f>
        <v>0</v>
      </c>
      <c r="W1450" s="27" t="n">
        <f aca="false">IF(Q1450="Open cut",D1450*(U1450*M1450+SLOPE_B*S1450^2+2*SLOPE_B*S1450*T1450+SLOPE_A*T1450^2),0)</f>
        <v>6.82810775916612</v>
      </c>
      <c r="X1450" s="27" t="n">
        <f aca="false">IF(M1450&gt;0,D1450*(E1450+2*SLABOVH)*SLAB,0)</f>
        <v>0.896496845370324</v>
      </c>
      <c r="Y1450" s="27" t="n">
        <f aca="false">IF(M1450&gt;0,D1450*PI()*E1450^2/4,0)</f>
        <v>0.342890740192185</v>
      </c>
      <c r="Z1450" s="27" t="n">
        <f aca="false">IF(H1450-E1450&gt;=GWL,99,E1450*(MAX(0,GWL-H1450)*(GAM_S-GAM_W)+MAX(0,NG-MAX(H1450,GWL))*GAM_D)/(GAM_W*PI()*E1450^2/4))</f>
        <v>99</v>
      </c>
      <c r="AA1450" s="27" t="n">
        <f aca="false">IF(I1450-E1450&gt;=GWL,99,E1450*(MAX(0,GWL-I1450)*(GAM_S-GAM_W)+MAX(0,NG-MAX(I1450,GWL))*GAM_D)/(GAM_W*PI()*E1450^2/4))</f>
        <v>99</v>
      </c>
      <c r="AB1450" s="27" t="n">
        <f aca="false">IF(H1450-E1450&gt;=GWL,99,E1450*(MAX(0,GWL-H1450)*(GAM_S-GAM_W)+MAX(0,FL-MAX(H1450,GWL))*GAM_D)/(GAM_W*PI()*E1450^2/4))</f>
        <v>99</v>
      </c>
      <c r="AC1450" s="27" t="n">
        <f aca="false">IF(I1450-E1450&gt;=GWL,99,E1450*(MAX(0,GWL-I1450)*(GAM_S-GAM_W)+MAX(0,FL-MAX(I1450,GWL))*GAM_D)/(GAM_W*PI()*E1450^2/4))</f>
        <v>99</v>
      </c>
    </row>
    <row r="1451" customFormat="false" ht="15" hidden="false" customHeight="false" outlineLevel="0" collapsed="false">
      <c r="A1451" s="25" t="s">
        <v>2066</v>
      </c>
      <c r="B1451" s="25" t="s">
        <v>2117</v>
      </c>
      <c r="C1451" s="25" t="s">
        <v>2118</v>
      </c>
      <c r="D1451" s="26" t="n">
        <v>8.90000000007843</v>
      </c>
      <c r="E1451" s="26" t="n">
        <v>0.629994263922249</v>
      </c>
      <c r="F1451" s="26" t="n">
        <v>-1.96499713196113</v>
      </c>
      <c r="G1451" s="26" t="n">
        <v>-1.96499713196113</v>
      </c>
      <c r="H1451" s="26" t="n">
        <v>-0.835002868038875</v>
      </c>
      <c r="I1451" s="26" t="n">
        <v>-0.835002868038875</v>
      </c>
      <c r="J1451" s="26" t="n">
        <v>12.2</v>
      </c>
      <c r="K1451" s="27" t="n">
        <f aca="false">MIN(F1451,G1451)</f>
        <v>-1.96499713196113</v>
      </c>
      <c r="L1451" s="27" t="n">
        <f aca="false">AVERAGE(F1451,G1451)</f>
        <v>-1.96499713196113</v>
      </c>
      <c r="M1451" s="27" t="n">
        <f aca="false">MAX(0,NG-L1451)</f>
        <v>1.26499713196113</v>
      </c>
      <c r="N1451" s="27" t="n">
        <f aca="false">MAX(0,GWL-K1451)</f>
        <v>0.464997131961125</v>
      </c>
      <c r="O1451" s="27" t="n">
        <f aca="false">MAX(0,NG-MAX(K1451,GWL))</f>
        <v>0.8</v>
      </c>
      <c r="P1451" s="27" t="n">
        <f aca="false">E1451/2+WS+SLOPE_A*O1451+SLOPE_B*N1451</f>
        <v>3.44499139588338</v>
      </c>
      <c r="Q1451" s="28" t="str">
        <f aca="false">IF(AND(P1451&lt;J1451,N1451&lt;=MAXOC),"Open cut","Shoring")</f>
        <v>Open cut</v>
      </c>
      <c r="R1451" s="27" t="n">
        <f aca="false">IF(Q1451="Shoring",D1451,0)</f>
        <v>0</v>
      </c>
      <c r="S1451" s="27" t="n">
        <f aca="false">MAX(0,GWL-L1451)</f>
        <v>0.464997131961125</v>
      </c>
      <c r="T1451" s="27" t="n">
        <f aca="false">MAX(0,NG-MAX(L1451,GWL))</f>
        <v>0.8</v>
      </c>
      <c r="U1451" s="27" t="n">
        <f aca="false">E1451+2*WS</f>
        <v>2.62999426392225</v>
      </c>
      <c r="V1451" s="27" t="n">
        <f aca="false">IF(Q1451="Shoring",D1451*M1451*U1451,0)</f>
        <v>0</v>
      </c>
      <c r="W1451" s="27" t="n">
        <f aca="false">IF(Q1451="Open cut",D1451*(U1451*M1451+SLOPE_B*S1451^2+2*SLOPE_B*S1451*T1451+SLOPE_A*T1451^2),0)</f>
        <v>55.2455991296997</v>
      </c>
      <c r="X1451" s="27" t="n">
        <f aca="false">IF(M1451&gt;0,D1451*(E1451+2*SLABOVH)*SLAB,0)</f>
        <v>7.25347447451793</v>
      </c>
      <c r="Y1451" s="27" t="n">
        <f aca="false">IF(M1451&gt;0,D1451*PI()*E1451^2/4,0)</f>
        <v>2.77429780637453</v>
      </c>
      <c r="Z1451" s="27" t="n">
        <f aca="false">IF(H1451-E1451&gt;=GWL,99,E1451*(MAX(0,GWL-H1451)*(GAM_S-GAM_W)+MAX(0,NG-MAX(H1451,GWL))*GAM_D)/(GAM_W*PI()*E1451^2/4))</f>
        <v>99</v>
      </c>
      <c r="AA1451" s="27" t="n">
        <f aca="false">IF(I1451-E1451&gt;=GWL,99,E1451*(MAX(0,GWL-I1451)*(GAM_S-GAM_W)+MAX(0,NG-MAX(I1451,GWL))*GAM_D)/(GAM_W*PI()*E1451^2/4))</f>
        <v>99</v>
      </c>
      <c r="AB1451" s="27" t="n">
        <f aca="false">IF(H1451-E1451&gt;=GWL,99,E1451*(MAX(0,GWL-H1451)*(GAM_S-GAM_W)+MAX(0,FL-MAX(H1451,GWL))*GAM_D)/(GAM_W*PI()*E1451^2/4))</f>
        <v>99</v>
      </c>
      <c r="AC1451" s="27" t="n">
        <f aca="false">IF(I1451-E1451&gt;=GWL,99,E1451*(MAX(0,GWL-I1451)*(GAM_S-GAM_W)+MAX(0,FL-MAX(I1451,GWL))*GAM_D)/(GAM_W*PI()*E1451^2/4))</f>
        <v>99</v>
      </c>
    </row>
    <row r="1452" customFormat="false" ht="15" hidden="false" customHeight="false" outlineLevel="0" collapsed="false">
      <c r="A1452" s="25" t="s">
        <v>2066</v>
      </c>
      <c r="B1452" s="25" t="s">
        <v>2117</v>
      </c>
      <c r="C1452" s="25" t="s">
        <v>2119</v>
      </c>
      <c r="D1452" s="26" t="n">
        <v>10.0000000003399</v>
      </c>
      <c r="E1452" s="26" t="n">
        <v>0.629994263922249</v>
      </c>
      <c r="F1452" s="26" t="n">
        <v>-1.96499713196113</v>
      </c>
      <c r="G1452" s="26" t="n">
        <v>-1.96499713196113</v>
      </c>
      <c r="H1452" s="26" t="n">
        <v>-0.835002868038875</v>
      </c>
      <c r="I1452" s="26" t="n">
        <v>-0.835002868038875</v>
      </c>
      <c r="J1452" s="26" t="n">
        <v>12.19</v>
      </c>
      <c r="K1452" s="27" t="n">
        <f aca="false">MIN(F1452,G1452)</f>
        <v>-1.96499713196113</v>
      </c>
      <c r="L1452" s="27" t="n">
        <f aca="false">AVERAGE(F1452,G1452)</f>
        <v>-1.96499713196113</v>
      </c>
      <c r="M1452" s="27" t="n">
        <f aca="false">MAX(0,NG-L1452)</f>
        <v>1.26499713196113</v>
      </c>
      <c r="N1452" s="27" t="n">
        <f aca="false">MAX(0,GWL-K1452)</f>
        <v>0.464997131961125</v>
      </c>
      <c r="O1452" s="27" t="n">
        <f aca="false">MAX(0,NG-MAX(K1452,GWL))</f>
        <v>0.8</v>
      </c>
      <c r="P1452" s="27" t="n">
        <f aca="false">E1452/2+WS+SLOPE_A*O1452+SLOPE_B*N1452</f>
        <v>3.44499139588338</v>
      </c>
      <c r="Q1452" s="28" t="str">
        <f aca="false">IF(AND(P1452&lt;J1452,N1452&lt;=MAXOC),"Open cut","Shoring")</f>
        <v>Open cut</v>
      </c>
      <c r="R1452" s="27" t="n">
        <f aca="false">IF(Q1452="Shoring",D1452,0)</f>
        <v>0</v>
      </c>
      <c r="S1452" s="27" t="n">
        <f aca="false">MAX(0,GWL-L1452)</f>
        <v>0.464997131961125</v>
      </c>
      <c r="T1452" s="27" t="n">
        <f aca="false">MAX(0,NG-MAX(L1452,GWL))</f>
        <v>0.8</v>
      </c>
      <c r="U1452" s="27" t="n">
        <f aca="false">E1452+2*WS</f>
        <v>2.62999426392225</v>
      </c>
      <c r="V1452" s="27" t="n">
        <f aca="false">IF(Q1452="Shoring",D1452*M1452*U1452,0)</f>
        <v>0</v>
      </c>
      <c r="W1452" s="27" t="n">
        <f aca="false">IF(Q1452="Open cut",D1452*(U1452*M1452+SLOPE_B*S1452^2+2*SLOPE_B*S1452*T1452+SLOPE_A*T1452^2),0)</f>
        <v>62.0737068888658</v>
      </c>
      <c r="X1452" s="27" t="n">
        <f aca="false">IF(M1452&gt;0,D1452*(E1452+2*SLABOVH)*SLAB,0)</f>
        <v>8.14997131988826</v>
      </c>
      <c r="Y1452" s="27" t="n">
        <f aca="false">IF(M1452&gt;0,D1452*PI()*E1452^2/4,0)</f>
        <v>3.11718854656672</v>
      </c>
      <c r="Z1452" s="27" t="n">
        <f aca="false">IF(H1452-E1452&gt;=GWL,99,E1452*(MAX(0,GWL-H1452)*(GAM_S-GAM_W)+MAX(0,NG-MAX(H1452,GWL))*GAM_D)/(GAM_W*PI()*E1452^2/4))</f>
        <v>99</v>
      </c>
      <c r="AA1452" s="27" t="n">
        <f aca="false">IF(I1452-E1452&gt;=GWL,99,E1452*(MAX(0,GWL-I1452)*(GAM_S-GAM_W)+MAX(0,NG-MAX(I1452,GWL))*GAM_D)/(GAM_W*PI()*E1452^2/4))</f>
        <v>99</v>
      </c>
      <c r="AB1452" s="27" t="n">
        <f aca="false">IF(H1452-E1452&gt;=GWL,99,E1452*(MAX(0,GWL-H1452)*(GAM_S-GAM_W)+MAX(0,FL-MAX(H1452,GWL))*GAM_D)/(GAM_W*PI()*E1452^2/4))</f>
        <v>99</v>
      </c>
      <c r="AC1452" s="27" t="n">
        <f aca="false">IF(I1452-E1452&gt;=GWL,99,E1452*(MAX(0,GWL-I1452)*(GAM_S-GAM_W)+MAX(0,FL-MAX(I1452,GWL))*GAM_D)/(GAM_W*PI()*E1452^2/4))</f>
        <v>99</v>
      </c>
    </row>
    <row r="1453" customFormat="false" ht="15" hidden="false" customHeight="false" outlineLevel="0" collapsed="false">
      <c r="A1453" s="25" t="s">
        <v>2066</v>
      </c>
      <c r="B1453" s="25" t="s">
        <v>2117</v>
      </c>
      <c r="C1453" s="25" t="s">
        <v>2120</v>
      </c>
      <c r="D1453" s="26" t="n">
        <v>9.99999999953547</v>
      </c>
      <c r="E1453" s="26" t="n">
        <v>0.629994263922249</v>
      </c>
      <c r="F1453" s="26" t="n">
        <v>-1.96499713196113</v>
      </c>
      <c r="G1453" s="26" t="n">
        <v>-1.96499713196113</v>
      </c>
      <c r="H1453" s="26" t="n">
        <v>-0.835002868038875</v>
      </c>
      <c r="I1453" s="26" t="n">
        <v>-0.835002868038875</v>
      </c>
      <c r="J1453" s="26" t="n">
        <v>14.49</v>
      </c>
      <c r="K1453" s="27" t="n">
        <f aca="false">MIN(F1453,G1453)</f>
        <v>-1.96499713196113</v>
      </c>
      <c r="L1453" s="27" t="n">
        <f aca="false">AVERAGE(F1453,G1453)</f>
        <v>-1.96499713196113</v>
      </c>
      <c r="M1453" s="27" t="n">
        <f aca="false">MAX(0,NG-L1453)</f>
        <v>1.26499713196113</v>
      </c>
      <c r="N1453" s="27" t="n">
        <f aca="false">MAX(0,GWL-K1453)</f>
        <v>0.464997131961125</v>
      </c>
      <c r="O1453" s="27" t="n">
        <f aca="false">MAX(0,NG-MAX(K1453,GWL))</f>
        <v>0.8</v>
      </c>
      <c r="P1453" s="27" t="n">
        <f aca="false">E1453/2+WS+SLOPE_A*O1453+SLOPE_B*N1453</f>
        <v>3.44499139588338</v>
      </c>
      <c r="Q1453" s="28" t="str">
        <f aca="false">IF(AND(P1453&lt;J1453,N1453&lt;=MAXOC),"Open cut","Shoring")</f>
        <v>Open cut</v>
      </c>
      <c r="R1453" s="27" t="n">
        <f aca="false">IF(Q1453="Shoring",D1453,0)</f>
        <v>0</v>
      </c>
      <c r="S1453" s="27" t="n">
        <f aca="false">MAX(0,GWL-L1453)</f>
        <v>0.464997131961125</v>
      </c>
      <c r="T1453" s="27" t="n">
        <f aca="false">MAX(0,NG-MAX(L1453,GWL))</f>
        <v>0.8</v>
      </c>
      <c r="U1453" s="27" t="n">
        <f aca="false">E1453+2*WS</f>
        <v>2.62999426392225</v>
      </c>
      <c r="V1453" s="27" t="n">
        <f aca="false">IF(Q1453="Shoring",D1453*M1453*U1453,0)</f>
        <v>0</v>
      </c>
      <c r="W1453" s="27" t="n">
        <f aca="false">IF(Q1453="Open cut",D1453*(U1453*M1453+SLOPE_B*S1453^2+2*SLOPE_B*S1453*T1453+SLOPE_A*T1453^2),0)</f>
        <v>62.0737068838725</v>
      </c>
      <c r="X1453" s="27" t="n">
        <f aca="false">IF(M1453&gt;0,D1453*(E1453+2*SLABOVH)*SLAB,0)</f>
        <v>8.14997131923266</v>
      </c>
      <c r="Y1453" s="27" t="n">
        <f aca="false">IF(M1453&gt;0,D1453*PI()*E1453^2/4,0)</f>
        <v>3.11718854631596</v>
      </c>
      <c r="Z1453" s="27" t="n">
        <f aca="false">IF(H1453-E1453&gt;=GWL,99,E1453*(MAX(0,GWL-H1453)*(GAM_S-GAM_W)+MAX(0,NG-MAX(H1453,GWL))*GAM_D)/(GAM_W*PI()*E1453^2/4))</f>
        <v>99</v>
      </c>
      <c r="AA1453" s="27" t="n">
        <f aca="false">IF(I1453-E1453&gt;=GWL,99,E1453*(MAX(0,GWL-I1453)*(GAM_S-GAM_W)+MAX(0,NG-MAX(I1453,GWL))*GAM_D)/(GAM_W*PI()*E1453^2/4))</f>
        <v>99</v>
      </c>
      <c r="AB1453" s="27" t="n">
        <f aca="false">IF(H1453-E1453&gt;=GWL,99,E1453*(MAX(0,GWL-H1453)*(GAM_S-GAM_W)+MAX(0,FL-MAX(H1453,GWL))*GAM_D)/(GAM_W*PI()*E1453^2/4))</f>
        <v>99</v>
      </c>
      <c r="AC1453" s="27" t="n">
        <f aca="false">IF(I1453-E1453&gt;=GWL,99,E1453*(MAX(0,GWL-I1453)*(GAM_S-GAM_W)+MAX(0,FL-MAX(I1453,GWL))*GAM_D)/(GAM_W*PI()*E1453^2/4))</f>
        <v>99</v>
      </c>
    </row>
    <row r="1454" customFormat="false" ht="15" hidden="false" customHeight="false" outlineLevel="0" collapsed="false">
      <c r="A1454" s="25" t="s">
        <v>2066</v>
      </c>
      <c r="B1454" s="25" t="s">
        <v>2117</v>
      </c>
      <c r="C1454" s="25" t="s">
        <v>2121</v>
      </c>
      <c r="D1454" s="26" t="n">
        <v>10.0000000003399</v>
      </c>
      <c r="E1454" s="26" t="n">
        <v>0.629994263922249</v>
      </c>
      <c r="F1454" s="26" t="n">
        <v>-1.96499713196113</v>
      </c>
      <c r="G1454" s="26" t="n">
        <v>-1.96499713196113</v>
      </c>
      <c r="H1454" s="26" t="n">
        <v>-0.835002868038875</v>
      </c>
      <c r="I1454" s="26" t="n">
        <v>-0.835002868038875</v>
      </c>
      <c r="J1454" s="26" t="n">
        <v>21.6</v>
      </c>
      <c r="K1454" s="27" t="n">
        <f aca="false">MIN(F1454,G1454)</f>
        <v>-1.96499713196113</v>
      </c>
      <c r="L1454" s="27" t="n">
        <f aca="false">AVERAGE(F1454,G1454)</f>
        <v>-1.96499713196113</v>
      </c>
      <c r="M1454" s="27" t="n">
        <f aca="false">MAX(0,NG-L1454)</f>
        <v>1.26499713196113</v>
      </c>
      <c r="N1454" s="27" t="n">
        <f aca="false">MAX(0,GWL-K1454)</f>
        <v>0.464997131961125</v>
      </c>
      <c r="O1454" s="27" t="n">
        <f aca="false">MAX(0,NG-MAX(K1454,GWL))</f>
        <v>0.8</v>
      </c>
      <c r="P1454" s="27" t="n">
        <f aca="false">E1454/2+WS+SLOPE_A*O1454+SLOPE_B*N1454</f>
        <v>3.44499139588338</v>
      </c>
      <c r="Q1454" s="28" t="str">
        <f aca="false">IF(AND(P1454&lt;J1454,N1454&lt;=MAXOC),"Open cut","Shoring")</f>
        <v>Open cut</v>
      </c>
      <c r="R1454" s="27" t="n">
        <f aca="false">IF(Q1454="Shoring",D1454,0)</f>
        <v>0</v>
      </c>
      <c r="S1454" s="27" t="n">
        <f aca="false">MAX(0,GWL-L1454)</f>
        <v>0.464997131961125</v>
      </c>
      <c r="T1454" s="27" t="n">
        <f aca="false">MAX(0,NG-MAX(L1454,GWL))</f>
        <v>0.8</v>
      </c>
      <c r="U1454" s="27" t="n">
        <f aca="false">E1454+2*WS</f>
        <v>2.62999426392225</v>
      </c>
      <c r="V1454" s="27" t="n">
        <f aca="false">IF(Q1454="Shoring",D1454*M1454*U1454,0)</f>
        <v>0</v>
      </c>
      <c r="W1454" s="27" t="n">
        <f aca="false">IF(Q1454="Open cut",D1454*(U1454*M1454+SLOPE_B*S1454^2+2*SLOPE_B*S1454*T1454+SLOPE_A*T1454^2),0)</f>
        <v>62.0737068888658</v>
      </c>
      <c r="X1454" s="27" t="n">
        <f aca="false">IF(M1454&gt;0,D1454*(E1454+2*SLABOVH)*SLAB,0)</f>
        <v>8.14997131988826</v>
      </c>
      <c r="Y1454" s="27" t="n">
        <f aca="false">IF(M1454&gt;0,D1454*PI()*E1454^2/4,0)</f>
        <v>3.11718854656672</v>
      </c>
      <c r="Z1454" s="27" t="n">
        <f aca="false">IF(H1454-E1454&gt;=GWL,99,E1454*(MAX(0,GWL-H1454)*(GAM_S-GAM_W)+MAX(0,NG-MAX(H1454,GWL))*GAM_D)/(GAM_W*PI()*E1454^2/4))</f>
        <v>99</v>
      </c>
      <c r="AA1454" s="27" t="n">
        <f aca="false">IF(I1454-E1454&gt;=GWL,99,E1454*(MAX(0,GWL-I1454)*(GAM_S-GAM_W)+MAX(0,NG-MAX(I1454,GWL))*GAM_D)/(GAM_W*PI()*E1454^2/4))</f>
        <v>99</v>
      </c>
      <c r="AB1454" s="27" t="n">
        <f aca="false">IF(H1454-E1454&gt;=GWL,99,E1454*(MAX(0,GWL-H1454)*(GAM_S-GAM_W)+MAX(0,FL-MAX(H1454,GWL))*GAM_D)/(GAM_W*PI()*E1454^2/4))</f>
        <v>99</v>
      </c>
      <c r="AC1454" s="27" t="n">
        <f aca="false">IF(I1454-E1454&gt;=GWL,99,E1454*(MAX(0,GWL-I1454)*(GAM_S-GAM_W)+MAX(0,FL-MAX(I1454,GWL))*GAM_D)/(GAM_W*PI()*E1454^2/4))</f>
        <v>99</v>
      </c>
    </row>
    <row r="1455" customFormat="false" ht="15" hidden="false" customHeight="false" outlineLevel="0" collapsed="false">
      <c r="A1455" s="25" t="s">
        <v>2066</v>
      </c>
      <c r="B1455" s="25" t="s">
        <v>2117</v>
      </c>
      <c r="C1455" s="25" t="s">
        <v>2122</v>
      </c>
      <c r="D1455" s="26" t="n">
        <v>7.1000000002006</v>
      </c>
      <c r="E1455" s="26" t="n">
        <v>0.629994263922249</v>
      </c>
      <c r="F1455" s="26" t="n">
        <v>-1.96499713196113</v>
      </c>
      <c r="G1455" s="26" t="n">
        <v>-1.96499713196113</v>
      </c>
      <c r="H1455" s="26" t="n">
        <v>-0.835002868038875</v>
      </c>
      <c r="I1455" s="26" t="n">
        <v>-0.835002868038875</v>
      </c>
      <c r="J1455" s="26" t="n">
        <v>30.39</v>
      </c>
      <c r="K1455" s="27" t="n">
        <f aca="false">MIN(F1455,G1455)</f>
        <v>-1.96499713196113</v>
      </c>
      <c r="L1455" s="27" t="n">
        <f aca="false">AVERAGE(F1455,G1455)</f>
        <v>-1.96499713196113</v>
      </c>
      <c r="M1455" s="27" t="n">
        <f aca="false">MAX(0,NG-L1455)</f>
        <v>1.26499713196113</v>
      </c>
      <c r="N1455" s="27" t="n">
        <f aca="false">MAX(0,GWL-K1455)</f>
        <v>0.464997131961125</v>
      </c>
      <c r="O1455" s="27" t="n">
        <f aca="false">MAX(0,NG-MAX(K1455,GWL))</f>
        <v>0.8</v>
      </c>
      <c r="P1455" s="27" t="n">
        <f aca="false">E1455/2+WS+SLOPE_A*O1455+SLOPE_B*N1455</f>
        <v>3.44499139588338</v>
      </c>
      <c r="Q1455" s="28" t="str">
        <f aca="false">IF(AND(P1455&lt;J1455,N1455&lt;=MAXOC),"Open cut","Shoring")</f>
        <v>Open cut</v>
      </c>
      <c r="R1455" s="27" t="n">
        <f aca="false">IF(Q1455="Shoring",D1455,0)</f>
        <v>0</v>
      </c>
      <c r="S1455" s="27" t="n">
        <f aca="false">MAX(0,GWL-L1455)</f>
        <v>0.464997131961125</v>
      </c>
      <c r="T1455" s="27" t="n">
        <f aca="false">MAX(0,NG-MAX(L1455,GWL))</f>
        <v>0.8</v>
      </c>
      <c r="U1455" s="27" t="n">
        <f aca="false">E1455+2*WS</f>
        <v>2.62999426392225</v>
      </c>
      <c r="V1455" s="27" t="n">
        <f aca="false">IF(Q1455="Shoring",D1455*M1455*U1455,0)</f>
        <v>0</v>
      </c>
      <c r="W1455" s="27" t="n">
        <f aca="false">IF(Q1455="Open cut",D1455*(U1455*M1455+SLOPE_B*S1455^2+2*SLOPE_B*S1455*T1455+SLOPE_A*T1455^2),0)</f>
        <v>44.072331890842</v>
      </c>
      <c r="X1455" s="27" t="n">
        <f aca="false">IF(M1455&gt;0,D1455*(E1455+2*SLABOVH)*SLAB,0)</f>
        <v>5.78647963708747</v>
      </c>
      <c r="Y1455" s="27" t="n">
        <f aca="false">IF(M1455&gt;0,D1455*PI()*E1455^2/4,0)</f>
        <v>2.21320386804967</v>
      </c>
      <c r="Z1455" s="27" t="n">
        <f aca="false">IF(H1455-E1455&gt;=GWL,99,E1455*(MAX(0,GWL-H1455)*(GAM_S-GAM_W)+MAX(0,NG-MAX(H1455,GWL))*GAM_D)/(GAM_W*PI()*E1455^2/4))</f>
        <v>99</v>
      </c>
      <c r="AA1455" s="27" t="n">
        <f aca="false">IF(I1455-E1455&gt;=GWL,99,E1455*(MAX(0,GWL-I1455)*(GAM_S-GAM_W)+MAX(0,NG-MAX(I1455,GWL))*GAM_D)/(GAM_W*PI()*E1455^2/4))</f>
        <v>99</v>
      </c>
      <c r="AB1455" s="27" t="n">
        <f aca="false">IF(H1455-E1455&gt;=GWL,99,E1455*(MAX(0,GWL-H1455)*(GAM_S-GAM_W)+MAX(0,FL-MAX(H1455,GWL))*GAM_D)/(GAM_W*PI()*E1455^2/4))</f>
        <v>99</v>
      </c>
      <c r="AC1455" s="27" t="n">
        <f aca="false">IF(I1455-E1455&gt;=GWL,99,E1455*(MAX(0,GWL-I1455)*(GAM_S-GAM_W)+MAX(0,FL-MAX(I1455,GWL))*GAM_D)/(GAM_W*PI()*E1455^2/4))</f>
        <v>99</v>
      </c>
    </row>
    <row r="1456" customFormat="false" ht="15" hidden="false" customHeight="false" outlineLevel="0" collapsed="false">
      <c r="A1456" s="25" t="s">
        <v>2066</v>
      </c>
      <c r="B1456" s="25" t="s">
        <v>2123</v>
      </c>
      <c r="C1456" s="25" t="s">
        <v>2124</v>
      </c>
      <c r="D1456" s="26" t="n">
        <v>2.89999999893266</v>
      </c>
      <c r="E1456" s="26" t="n">
        <v>0.629994263922249</v>
      </c>
      <c r="F1456" s="26" t="n">
        <v>-1.96499713196113</v>
      </c>
      <c r="G1456" s="26" t="n">
        <v>-1.96499713196113</v>
      </c>
      <c r="H1456" s="26" t="n">
        <v>-0.835002868038875</v>
      </c>
      <c r="I1456" s="26" t="n">
        <v>-0.835002868038875</v>
      </c>
      <c r="J1456" s="26" t="n">
        <v>99</v>
      </c>
      <c r="K1456" s="27" t="n">
        <f aca="false">MIN(F1456,G1456)</f>
        <v>-1.96499713196113</v>
      </c>
      <c r="L1456" s="27" t="n">
        <f aca="false">AVERAGE(F1456,G1456)</f>
        <v>-1.96499713196113</v>
      </c>
      <c r="M1456" s="27" t="n">
        <f aca="false">MAX(0,NG-L1456)</f>
        <v>1.26499713196113</v>
      </c>
      <c r="N1456" s="27" t="n">
        <f aca="false">MAX(0,GWL-K1456)</f>
        <v>0.464997131961125</v>
      </c>
      <c r="O1456" s="27" t="n">
        <f aca="false">MAX(0,NG-MAX(K1456,GWL))</f>
        <v>0.8</v>
      </c>
      <c r="P1456" s="27" t="n">
        <f aca="false">E1456/2+WS+SLOPE_A*O1456+SLOPE_B*N1456</f>
        <v>3.44499139588338</v>
      </c>
      <c r="Q1456" s="28" t="str">
        <f aca="false">IF(AND(P1456&lt;J1456,N1456&lt;=MAXOC),"Open cut","Shoring")</f>
        <v>Open cut</v>
      </c>
      <c r="R1456" s="27" t="n">
        <f aca="false">IF(Q1456="Shoring",D1456,0)</f>
        <v>0</v>
      </c>
      <c r="S1456" s="27" t="n">
        <f aca="false">MAX(0,GWL-L1456)</f>
        <v>0.464997131961125</v>
      </c>
      <c r="T1456" s="27" t="n">
        <f aca="false">MAX(0,NG-MAX(L1456,GWL))</f>
        <v>0.8</v>
      </c>
      <c r="U1456" s="27" t="n">
        <f aca="false">E1456+2*WS</f>
        <v>2.62999426392225</v>
      </c>
      <c r="V1456" s="27" t="n">
        <f aca="false">IF(Q1456="Shoring",D1456*M1456*U1456,0)</f>
        <v>0</v>
      </c>
      <c r="W1456" s="27" t="n">
        <f aca="false">IF(Q1456="Open cut",D1456*(U1456*M1456+SLOPE_B*S1456^2+2*SLOPE_B*S1456*T1456+SLOPE_A*T1456^2),0)</f>
        <v>18.0013749905339</v>
      </c>
      <c r="X1456" s="27" t="n">
        <f aca="false">IF(M1456&gt;0,D1456*(E1456+2*SLABOVH)*SLAB,0)</f>
        <v>2.36349168181738</v>
      </c>
      <c r="Y1456" s="27" t="n">
        <f aca="false">IF(M1456&gt;0,D1456*PI()*E1456^2/4,0)</f>
        <v>0.903984678140913</v>
      </c>
      <c r="Z1456" s="27" t="n">
        <f aca="false">IF(H1456-E1456&gt;=GWL,99,E1456*(MAX(0,GWL-H1456)*(GAM_S-GAM_W)+MAX(0,NG-MAX(H1456,GWL))*GAM_D)/(GAM_W*PI()*E1456^2/4))</f>
        <v>99</v>
      </c>
      <c r="AA1456" s="27" t="n">
        <f aca="false">IF(I1456-E1456&gt;=GWL,99,E1456*(MAX(0,GWL-I1456)*(GAM_S-GAM_W)+MAX(0,NG-MAX(I1456,GWL))*GAM_D)/(GAM_W*PI()*E1456^2/4))</f>
        <v>99</v>
      </c>
      <c r="AB1456" s="27" t="n">
        <f aca="false">IF(H1456-E1456&gt;=GWL,99,E1456*(MAX(0,GWL-H1456)*(GAM_S-GAM_W)+MAX(0,FL-MAX(H1456,GWL))*GAM_D)/(GAM_W*PI()*E1456^2/4))</f>
        <v>99</v>
      </c>
      <c r="AC1456" s="27" t="n">
        <f aca="false">IF(I1456-E1456&gt;=GWL,99,E1456*(MAX(0,GWL-I1456)*(GAM_S-GAM_W)+MAX(0,FL-MAX(I1456,GWL))*GAM_D)/(GAM_W*PI()*E1456^2/4))</f>
        <v>99</v>
      </c>
    </row>
    <row r="1457" customFormat="false" ht="15" hidden="false" customHeight="false" outlineLevel="0" collapsed="false">
      <c r="A1457" s="25" t="s">
        <v>2066</v>
      </c>
      <c r="B1457" s="25" t="s">
        <v>2123</v>
      </c>
      <c r="C1457" s="25" t="s">
        <v>2125</v>
      </c>
      <c r="D1457" s="26" t="n">
        <v>10.0000000003399</v>
      </c>
      <c r="E1457" s="26" t="n">
        <v>0.629994263922249</v>
      </c>
      <c r="F1457" s="26" t="n">
        <v>-1.96499713196113</v>
      </c>
      <c r="G1457" s="26" t="n">
        <v>-1.96499713196113</v>
      </c>
      <c r="H1457" s="26" t="n">
        <v>-0.835002868038875</v>
      </c>
      <c r="I1457" s="26" t="n">
        <v>-0.835002868038875</v>
      </c>
      <c r="J1457" s="26" t="n">
        <v>99</v>
      </c>
      <c r="K1457" s="27" t="n">
        <f aca="false">MIN(F1457,G1457)</f>
        <v>-1.96499713196113</v>
      </c>
      <c r="L1457" s="27" t="n">
        <f aca="false">AVERAGE(F1457,G1457)</f>
        <v>-1.96499713196113</v>
      </c>
      <c r="M1457" s="27" t="n">
        <f aca="false">MAX(0,NG-L1457)</f>
        <v>1.26499713196113</v>
      </c>
      <c r="N1457" s="27" t="n">
        <f aca="false">MAX(0,GWL-K1457)</f>
        <v>0.464997131961125</v>
      </c>
      <c r="O1457" s="27" t="n">
        <f aca="false">MAX(0,NG-MAX(K1457,GWL))</f>
        <v>0.8</v>
      </c>
      <c r="P1457" s="27" t="n">
        <f aca="false">E1457/2+WS+SLOPE_A*O1457+SLOPE_B*N1457</f>
        <v>3.44499139588338</v>
      </c>
      <c r="Q1457" s="28" t="str">
        <f aca="false">IF(AND(P1457&lt;J1457,N1457&lt;=MAXOC),"Open cut","Shoring")</f>
        <v>Open cut</v>
      </c>
      <c r="R1457" s="27" t="n">
        <f aca="false">IF(Q1457="Shoring",D1457,0)</f>
        <v>0</v>
      </c>
      <c r="S1457" s="27" t="n">
        <f aca="false">MAX(0,GWL-L1457)</f>
        <v>0.464997131961125</v>
      </c>
      <c r="T1457" s="27" t="n">
        <f aca="false">MAX(0,NG-MAX(L1457,GWL))</f>
        <v>0.8</v>
      </c>
      <c r="U1457" s="27" t="n">
        <f aca="false">E1457+2*WS</f>
        <v>2.62999426392225</v>
      </c>
      <c r="V1457" s="27" t="n">
        <f aca="false">IF(Q1457="Shoring",D1457*M1457*U1457,0)</f>
        <v>0</v>
      </c>
      <c r="W1457" s="27" t="n">
        <f aca="false">IF(Q1457="Open cut",D1457*(U1457*M1457+SLOPE_B*S1457^2+2*SLOPE_B*S1457*T1457+SLOPE_A*T1457^2),0)</f>
        <v>62.0737068888658</v>
      </c>
      <c r="X1457" s="27" t="n">
        <f aca="false">IF(M1457&gt;0,D1457*(E1457+2*SLABOVH)*SLAB,0)</f>
        <v>8.14997131988826</v>
      </c>
      <c r="Y1457" s="27" t="n">
        <f aca="false">IF(M1457&gt;0,D1457*PI()*E1457^2/4,0)</f>
        <v>3.11718854656672</v>
      </c>
      <c r="Z1457" s="27" t="n">
        <f aca="false">IF(H1457-E1457&gt;=GWL,99,E1457*(MAX(0,GWL-H1457)*(GAM_S-GAM_W)+MAX(0,NG-MAX(H1457,GWL))*GAM_D)/(GAM_W*PI()*E1457^2/4))</f>
        <v>99</v>
      </c>
      <c r="AA1457" s="27" t="n">
        <f aca="false">IF(I1457-E1457&gt;=GWL,99,E1457*(MAX(0,GWL-I1457)*(GAM_S-GAM_W)+MAX(0,NG-MAX(I1457,GWL))*GAM_D)/(GAM_W*PI()*E1457^2/4))</f>
        <v>99</v>
      </c>
      <c r="AB1457" s="27" t="n">
        <f aca="false">IF(H1457-E1457&gt;=GWL,99,E1457*(MAX(0,GWL-H1457)*(GAM_S-GAM_W)+MAX(0,FL-MAX(H1457,GWL))*GAM_D)/(GAM_W*PI()*E1457^2/4))</f>
        <v>99</v>
      </c>
      <c r="AC1457" s="27" t="n">
        <f aca="false">IF(I1457-E1457&gt;=GWL,99,E1457*(MAX(0,GWL-I1457)*(GAM_S-GAM_W)+MAX(0,FL-MAX(I1457,GWL))*GAM_D)/(GAM_W*PI()*E1457^2/4))</f>
        <v>99</v>
      </c>
    </row>
    <row r="1458" customFormat="false" ht="15" hidden="false" customHeight="false" outlineLevel="0" collapsed="false">
      <c r="A1458" s="25" t="s">
        <v>2066</v>
      </c>
      <c r="B1458" s="25" t="s">
        <v>2123</v>
      </c>
      <c r="C1458" s="25" t="s">
        <v>2126</v>
      </c>
      <c r="D1458" s="26" t="n">
        <v>10.0000000003399</v>
      </c>
      <c r="E1458" s="26" t="n">
        <v>0.629994263922249</v>
      </c>
      <c r="F1458" s="26" t="n">
        <v>-1.96499713196113</v>
      </c>
      <c r="G1458" s="26" t="n">
        <v>-1.96499713196113</v>
      </c>
      <c r="H1458" s="26" t="n">
        <v>-0.835002868038875</v>
      </c>
      <c r="I1458" s="26" t="n">
        <v>-0.835002868038875</v>
      </c>
      <c r="J1458" s="26" t="n">
        <v>38.95</v>
      </c>
      <c r="K1458" s="27" t="n">
        <f aca="false">MIN(F1458,G1458)</f>
        <v>-1.96499713196113</v>
      </c>
      <c r="L1458" s="27" t="n">
        <f aca="false">AVERAGE(F1458,G1458)</f>
        <v>-1.96499713196113</v>
      </c>
      <c r="M1458" s="27" t="n">
        <f aca="false">MAX(0,NG-L1458)</f>
        <v>1.26499713196113</v>
      </c>
      <c r="N1458" s="27" t="n">
        <f aca="false">MAX(0,GWL-K1458)</f>
        <v>0.464997131961125</v>
      </c>
      <c r="O1458" s="27" t="n">
        <f aca="false">MAX(0,NG-MAX(K1458,GWL))</f>
        <v>0.8</v>
      </c>
      <c r="P1458" s="27" t="n">
        <f aca="false">E1458/2+WS+SLOPE_A*O1458+SLOPE_B*N1458</f>
        <v>3.44499139588338</v>
      </c>
      <c r="Q1458" s="28" t="str">
        <f aca="false">IF(AND(P1458&lt;J1458,N1458&lt;=MAXOC),"Open cut","Shoring")</f>
        <v>Open cut</v>
      </c>
      <c r="R1458" s="27" t="n">
        <f aca="false">IF(Q1458="Shoring",D1458,0)</f>
        <v>0</v>
      </c>
      <c r="S1458" s="27" t="n">
        <f aca="false">MAX(0,GWL-L1458)</f>
        <v>0.464997131961125</v>
      </c>
      <c r="T1458" s="27" t="n">
        <f aca="false">MAX(0,NG-MAX(L1458,GWL))</f>
        <v>0.8</v>
      </c>
      <c r="U1458" s="27" t="n">
        <f aca="false">E1458+2*WS</f>
        <v>2.62999426392225</v>
      </c>
      <c r="V1458" s="27" t="n">
        <f aca="false">IF(Q1458="Shoring",D1458*M1458*U1458,0)</f>
        <v>0</v>
      </c>
      <c r="W1458" s="27" t="n">
        <f aca="false">IF(Q1458="Open cut",D1458*(U1458*M1458+SLOPE_B*S1458^2+2*SLOPE_B*S1458*T1458+SLOPE_A*T1458^2),0)</f>
        <v>62.0737068888658</v>
      </c>
      <c r="X1458" s="27" t="n">
        <f aca="false">IF(M1458&gt;0,D1458*(E1458+2*SLABOVH)*SLAB,0)</f>
        <v>8.14997131988826</v>
      </c>
      <c r="Y1458" s="27" t="n">
        <f aca="false">IF(M1458&gt;0,D1458*PI()*E1458^2/4,0)</f>
        <v>3.11718854656672</v>
      </c>
      <c r="Z1458" s="27" t="n">
        <f aca="false">IF(H1458-E1458&gt;=GWL,99,E1458*(MAX(0,GWL-H1458)*(GAM_S-GAM_W)+MAX(0,NG-MAX(H1458,GWL))*GAM_D)/(GAM_W*PI()*E1458^2/4))</f>
        <v>99</v>
      </c>
      <c r="AA1458" s="27" t="n">
        <f aca="false">IF(I1458-E1458&gt;=GWL,99,E1458*(MAX(0,GWL-I1458)*(GAM_S-GAM_W)+MAX(0,NG-MAX(I1458,GWL))*GAM_D)/(GAM_W*PI()*E1458^2/4))</f>
        <v>99</v>
      </c>
      <c r="AB1458" s="27" t="n">
        <f aca="false">IF(H1458-E1458&gt;=GWL,99,E1458*(MAX(0,GWL-H1458)*(GAM_S-GAM_W)+MAX(0,FL-MAX(H1458,GWL))*GAM_D)/(GAM_W*PI()*E1458^2/4))</f>
        <v>99</v>
      </c>
      <c r="AC1458" s="27" t="n">
        <f aca="false">IF(I1458-E1458&gt;=GWL,99,E1458*(MAX(0,GWL-I1458)*(GAM_S-GAM_W)+MAX(0,FL-MAX(I1458,GWL))*GAM_D)/(GAM_W*PI()*E1458^2/4))</f>
        <v>99</v>
      </c>
    </row>
    <row r="1459" customFormat="false" ht="15" hidden="false" customHeight="false" outlineLevel="0" collapsed="false">
      <c r="A1459" s="25" t="s">
        <v>2066</v>
      </c>
      <c r="B1459" s="25" t="s">
        <v>2123</v>
      </c>
      <c r="C1459" s="25" t="s">
        <v>2127</v>
      </c>
      <c r="D1459" s="26" t="n">
        <v>3.7917283887714</v>
      </c>
      <c r="E1459" s="26" t="n">
        <v>0.629994263922249</v>
      </c>
      <c r="F1459" s="26" t="n">
        <v>-1.96499713196113</v>
      </c>
      <c r="G1459" s="26" t="n">
        <v>-1.96499713196113</v>
      </c>
      <c r="H1459" s="26" t="n">
        <v>-0.835002868038875</v>
      </c>
      <c r="I1459" s="26" t="n">
        <v>-0.835002868038875</v>
      </c>
      <c r="J1459" s="26" t="n">
        <v>40.55</v>
      </c>
      <c r="K1459" s="27" t="n">
        <f aca="false">MIN(F1459,G1459)</f>
        <v>-1.96499713196113</v>
      </c>
      <c r="L1459" s="27" t="n">
        <f aca="false">AVERAGE(F1459,G1459)</f>
        <v>-1.96499713196113</v>
      </c>
      <c r="M1459" s="27" t="n">
        <f aca="false">MAX(0,NG-L1459)</f>
        <v>1.26499713196113</v>
      </c>
      <c r="N1459" s="27" t="n">
        <f aca="false">MAX(0,GWL-K1459)</f>
        <v>0.464997131961125</v>
      </c>
      <c r="O1459" s="27" t="n">
        <f aca="false">MAX(0,NG-MAX(K1459,GWL))</f>
        <v>0.8</v>
      </c>
      <c r="P1459" s="27" t="n">
        <f aca="false">E1459/2+WS+SLOPE_A*O1459+SLOPE_B*N1459</f>
        <v>3.44499139588338</v>
      </c>
      <c r="Q1459" s="28" t="str">
        <f aca="false">IF(AND(P1459&lt;J1459,N1459&lt;=MAXOC),"Open cut","Shoring")</f>
        <v>Open cut</v>
      </c>
      <c r="R1459" s="27" t="n">
        <f aca="false">IF(Q1459="Shoring",D1459,0)</f>
        <v>0</v>
      </c>
      <c r="S1459" s="27" t="n">
        <f aca="false">MAX(0,GWL-L1459)</f>
        <v>0.464997131961125</v>
      </c>
      <c r="T1459" s="27" t="n">
        <f aca="false">MAX(0,NG-MAX(L1459,GWL))</f>
        <v>0.8</v>
      </c>
      <c r="U1459" s="27" t="n">
        <f aca="false">E1459+2*WS</f>
        <v>2.62999426392225</v>
      </c>
      <c r="V1459" s="27" t="n">
        <f aca="false">IF(Q1459="Shoring",D1459*M1459*U1459,0)</f>
        <v>0</v>
      </c>
      <c r="W1459" s="27" t="n">
        <f aca="false">IF(Q1459="Open cut",D1459*(U1459*M1459+SLOPE_B*S1459^2+2*SLOPE_B*S1459*T1459+SLOPE_A*T1459^2),0)</f>
        <v>23.5366636598787</v>
      </c>
      <c r="X1459" s="27" t="n">
        <f aca="false">IF(M1459&gt;0,D1459*(E1459+2*SLABOVH)*SLAB,0)</f>
        <v>3.09024776202427</v>
      </c>
      <c r="Y1459" s="27" t="n">
        <f aca="false">IF(M1459&gt;0,D1459*PI()*E1459^2/4,0)</f>
        <v>1.18195323047683</v>
      </c>
      <c r="Z1459" s="27" t="n">
        <f aca="false">IF(H1459-E1459&gt;=GWL,99,E1459*(MAX(0,GWL-H1459)*(GAM_S-GAM_W)+MAX(0,NG-MAX(H1459,GWL))*GAM_D)/(GAM_W*PI()*E1459^2/4))</f>
        <v>99</v>
      </c>
      <c r="AA1459" s="27" t="n">
        <f aca="false">IF(I1459-E1459&gt;=GWL,99,E1459*(MAX(0,GWL-I1459)*(GAM_S-GAM_W)+MAX(0,NG-MAX(I1459,GWL))*GAM_D)/(GAM_W*PI()*E1459^2/4))</f>
        <v>99</v>
      </c>
      <c r="AB1459" s="27" t="n">
        <f aca="false">IF(H1459-E1459&gt;=GWL,99,E1459*(MAX(0,GWL-H1459)*(GAM_S-GAM_W)+MAX(0,FL-MAX(H1459,GWL))*GAM_D)/(GAM_W*PI()*E1459^2/4))</f>
        <v>99</v>
      </c>
      <c r="AC1459" s="27" t="n">
        <f aca="false">IF(I1459-E1459&gt;=GWL,99,E1459*(MAX(0,GWL-I1459)*(GAM_S-GAM_W)+MAX(0,FL-MAX(I1459,GWL))*GAM_D)/(GAM_W*PI()*E1459^2/4))</f>
        <v>99</v>
      </c>
    </row>
    <row r="1460" customFormat="false" ht="15" hidden="false" customHeight="false" outlineLevel="0" collapsed="false">
      <c r="A1460" s="25" t="s">
        <v>2066</v>
      </c>
      <c r="B1460" s="25" t="s">
        <v>2123</v>
      </c>
      <c r="C1460" s="25" t="s">
        <v>2128</v>
      </c>
      <c r="D1460" s="26" t="n">
        <v>1.29500396989505</v>
      </c>
      <c r="E1460" s="26" t="n">
        <v>0.629986689316737</v>
      </c>
      <c r="F1460" s="26" t="n">
        <v>-1.96499334465837</v>
      </c>
      <c r="G1460" s="26" t="n">
        <v>-1.96499334465837</v>
      </c>
      <c r="H1460" s="26" t="n">
        <v>-0.835006655341631</v>
      </c>
      <c r="I1460" s="26" t="n">
        <v>-0.835006655341631</v>
      </c>
      <c r="J1460" s="26" t="n">
        <v>41.51</v>
      </c>
      <c r="K1460" s="27" t="n">
        <f aca="false">MIN(F1460,G1460)</f>
        <v>-1.96499334465837</v>
      </c>
      <c r="L1460" s="27" t="n">
        <f aca="false">AVERAGE(F1460,G1460)</f>
        <v>-1.96499334465837</v>
      </c>
      <c r="M1460" s="27" t="n">
        <f aca="false">MAX(0,NG-L1460)</f>
        <v>1.26499334465837</v>
      </c>
      <c r="N1460" s="27" t="n">
        <f aca="false">MAX(0,GWL-K1460)</f>
        <v>0.464993344658368</v>
      </c>
      <c r="O1460" s="27" t="n">
        <f aca="false">MAX(0,NG-MAX(K1460,GWL))</f>
        <v>0.8</v>
      </c>
      <c r="P1460" s="27" t="n">
        <f aca="false">E1460/2+WS+SLOPE_A*O1460+SLOPE_B*N1460</f>
        <v>3.4449800339751</v>
      </c>
      <c r="Q1460" s="28" t="str">
        <f aca="false">IF(AND(P1460&lt;J1460,N1460&lt;=MAXOC),"Open cut","Shoring")</f>
        <v>Open cut</v>
      </c>
      <c r="R1460" s="27" t="n">
        <f aca="false">IF(Q1460="Shoring",D1460,0)</f>
        <v>0</v>
      </c>
      <c r="S1460" s="27" t="n">
        <f aca="false">MAX(0,GWL-L1460)</f>
        <v>0.464993344658368</v>
      </c>
      <c r="T1460" s="27" t="n">
        <f aca="false">MAX(0,NG-MAX(L1460,GWL))</f>
        <v>0.8</v>
      </c>
      <c r="U1460" s="27" t="n">
        <f aca="false">E1460+2*WS</f>
        <v>2.62998668931674</v>
      </c>
      <c r="V1460" s="27" t="n">
        <f aca="false">IF(Q1460="Shoring",D1460*M1460*U1460,0)</f>
        <v>0</v>
      </c>
      <c r="W1460" s="27" t="n">
        <f aca="false">IF(Q1460="Open cut",D1460*(U1460*M1460+SLOPE_B*S1460^2+2*SLOPE_B*S1460*T1460+SLOPE_A*T1460^2),0)</f>
        <v>8.03851955990497</v>
      </c>
      <c r="X1460" s="27" t="n">
        <f aca="false">IF(M1460&gt;0,D1460*(E1460+2*SLABOVH)*SLAB,0)</f>
        <v>1.05541961677063</v>
      </c>
      <c r="Y1460" s="27" t="n">
        <f aca="false">IF(M1460&gt;0,D1460*PI()*E1460^2/4,0)</f>
        <v>0.403667447258898</v>
      </c>
      <c r="Z1460" s="27" t="n">
        <f aca="false">IF(H1460-E1460&gt;=GWL,99,E1460*(MAX(0,GWL-H1460)*(GAM_S-GAM_W)+MAX(0,NG-MAX(H1460,GWL))*GAM_D)/(GAM_W*PI()*E1460^2/4))</f>
        <v>99</v>
      </c>
      <c r="AA1460" s="27" t="n">
        <f aca="false">IF(I1460-E1460&gt;=GWL,99,E1460*(MAX(0,GWL-I1460)*(GAM_S-GAM_W)+MAX(0,NG-MAX(I1460,GWL))*GAM_D)/(GAM_W*PI()*E1460^2/4))</f>
        <v>99</v>
      </c>
      <c r="AB1460" s="27" t="n">
        <f aca="false">IF(H1460-E1460&gt;=GWL,99,E1460*(MAX(0,GWL-H1460)*(GAM_S-GAM_W)+MAX(0,FL-MAX(H1460,GWL))*GAM_D)/(GAM_W*PI()*E1460^2/4))</f>
        <v>99</v>
      </c>
      <c r="AC1460" s="27" t="n">
        <f aca="false">IF(I1460-E1460&gt;=GWL,99,E1460*(MAX(0,GWL-I1460)*(GAM_S-GAM_W)+MAX(0,FL-MAX(I1460,GWL))*GAM_D)/(GAM_W*PI()*E1460^2/4))</f>
        <v>99</v>
      </c>
    </row>
    <row r="1461" customFormat="false" ht="15" hidden="false" customHeight="false" outlineLevel="0" collapsed="false">
      <c r="A1461" s="25" t="s">
        <v>2066</v>
      </c>
      <c r="B1461" s="25" t="s">
        <v>2123</v>
      </c>
      <c r="C1461" s="25" t="s">
        <v>2129</v>
      </c>
      <c r="D1461" s="26" t="n">
        <v>1.29499999962255</v>
      </c>
      <c r="E1461" s="26" t="n">
        <v>0.630003144225073</v>
      </c>
      <c r="F1461" s="26" t="n">
        <v>-1.96500157211254</v>
      </c>
      <c r="G1461" s="26" t="n">
        <v>-1.96500157211254</v>
      </c>
      <c r="H1461" s="26" t="n">
        <v>-0.834998427887464</v>
      </c>
      <c r="I1461" s="26" t="n">
        <v>-0.834998427887464</v>
      </c>
      <c r="J1461" s="26" t="n">
        <v>41.89</v>
      </c>
      <c r="K1461" s="27" t="n">
        <f aca="false">MIN(F1461,G1461)</f>
        <v>-1.96500157211254</v>
      </c>
      <c r="L1461" s="27" t="n">
        <f aca="false">AVERAGE(F1461,G1461)</f>
        <v>-1.96500157211254</v>
      </c>
      <c r="M1461" s="27" t="n">
        <f aca="false">MAX(0,NG-L1461)</f>
        <v>1.26500157211254</v>
      </c>
      <c r="N1461" s="27" t="n">
        <f aca="false">MAX(0,GWL-K1461)</f>
        <v>0.465001572112536</v>
      </c>
      <c r="O1461" s="27" t="n">
        <f aca="false">MAX(0,NG-MAX(K1461,GWL))</f>
        <v>0.8</v>
      </c>
      <c r="P1461" s="27" t="n">
        <f aca="false">E1461/2+WS+SLOPE_A*O1461+SLOPE_B*N1461</f>
        <v>3.44500471633761</v>
      </c>
      <c r="Q1461" s="28" t="str">
        <f aca="false">IF(AND(P1461&lt;J1461,N1461&lt;=MAXOC),"Open cut","Shoring")</f>
        <v>Open cut</v>
      </c>
      <c r="R1461" s="27" t="n">
        <f aca="false">IF(Q1461="Shoring",D1461,0)</f>
        <v>0</v>
      </c>
      <c r="S1461" s="27" t="n">
        <f aca="false">MAX(0,GWL-L1461)</f>
        <v>0.465001572112536</v>
      </c>
      <c r="T1461" s="27" t="n">
        <f aca="false">MAX(0,NG-MAX(L1461,GWL))</f>
        <v>0.8</v>
      </c>
      <c r="U1461" s="27" t="n">
        <f aca="false">E1461+2*WS</f>
        <v>2.63000314422507</v>
      </c>
      <c r="V1461" s="27" t="n">
        <f aca="false">IF(Q1461="Shoring",D1461*M1461*U1461,0)</f>
        <v>0</v>
      </c>
      <c r="W1461" s="27" t="n">
        <f aca="false">IF(Q1461="Open cut",D1461*(U1461*M1461+SLOPE_B*S1461^2+2*SLOPE_B*S1461*T1461+SLOPE_A*T1461^2),0)</f>
        <v>8.03860380442199</v>
      </c>
      <c r="X1461" s="27" t="n">
        <f aca="false">IF(M1461&gt;0,D1461*(E1461+2*SLABOVH)*SLAB,0)</f>
        <v>1.05542703557811</v>
      </c>
      <c r="Y1461" s="27" t="n">
        <f aca="false">IF(M1461&gt;0,D1461*PI()*E1461^2/4,0)</f>
        <v>0.403687297037221</v>
      </c>
      <c r="Z1461" s="27" t="n">
        <f aca="false">IF(H1461-E1461&gt;=GWL,99,E1461*(MAX(0,GWL-H1461)*(GAM_S-GAM_W)+MAX(0,NG-MAX(H1461,GWL))*GAM_D)/(GAM_W*PI()*E1461^2/4))</f>
        <v>99</v>
      </c>
      <c r="AA1461" s="27" t="n">
        <f aca="false">IF(I1461-E1461&gt;=GWL,99,E1461*(MAX(0,GWL-I1461)*(GAM_S-GAM_W)+MAX(0,NG-MAX(I1461,GWL))*GAM_D)/(GAM_W*PI()*E1461^2/4))</f>
        <v>99</v>
      </c>
      <c r="AB1461" s="27" t="n">
        <f aca="false">IF(H1461-E1461&gt;=GWL,99,E1461*(MAX(0,GWL-H1461)*(GAM_S-GAM_W)+MAX(0,FL-MAX(H1461,GWL))*GAM_D)/(GAM_W*PI()*E1461^2/4))</f>
        <v>99</v>
      </c>
      <c r="AC1461" s="27" t="n">
        <f aca="false">IF(I1461-E1461&gt;=GWL,99,E1461*(MAX(0,GWL-I1461)*(GAM_S-GAM_W)+MAX(0,FL-MAX(I1461,GWL))*GAM_D)/(GAM_W*PI()*E1461^2/4))</f>
        <v>99</v>
      </c>
    </row>
    <row r="1462" customFormat="false" ht="15" hidden="false" customHeight="false" outlineLevel="0" collapsed="false">
      <c r="A1462" s="25" t="s">
        <v>2066</v>
      </c>
      <c r="B1462" s="25" t="s">
        <v>2123</v>
      </c>
      <c r="C1462" s="25" t="s">
        <v>2130</v>
      </c>
      <c r="D1462" s="26" t="n">
        <v>3.61826764142354</v>
      </c>
      <c r="E1462" s="26" t="n">
        <v>0.630004343058801</v>
      </c>
      <c r="F1462" s="26" t="n">
        <v>-1.9650021715294</v>
      </c>
      <c r="G1462" s="26" t="n">
        <v>-1.9650021715294</v>
      </c>
      <c r="H1462" s="26" t="n">
        <v>-0.8349978284706</v>
      </c>
      <c r="I1462" s="26" t="n">
        <v>-0.8349978284706</v>
      </c>
      <c r="J1462" s="26" t="n">
        <v>43.12</v>
      </c>
      <c r="K1462" s="27" t="n">
        <f aca="false">MIN(F1462,G1462)</f>
        <v>-1.9650021715294</v>
      </c>
      <c r="L1462" s="27" t="n">
        <f aca="false">AVERAGE(F1462,G1462)</f>
        <v>-1.9650021715294</v>
      </c>
      <c r="M1462" s="27" t="n">
        <f aca="false">MAX(0,NG-L1462)</f>
        <v>1.2650021715294</v>
      </c>
      <c r="N1462" s="27" t="n">
        <f aca="false">MAX(0,GWL-K1462)</f>
        <v>0.4650021715294</v>
      </c>
      <c r="O1462" s="27" t="n">
        <f aca="false">MAX(0,NG-MAX(K1462,GWL))</f>
        <v>0.8</v>
      </c>
      <c r="P1462" s="27" t="n">
        <f aca="false">E1462/2+WS+SLOPE_A*O1462+SLOPE_B*N1462</f>
        <v>3.4450065145882</v>
      </c>
      <c r="Q1462" s="28" t="str">
        <f aca="false">IF(AND(P1462&lt;J1462,N1462&lt;=MAXOC),"Open cut","Shoring")</f>
        <v>Open cut</v>
      </c>
      <c r="R1462" s="27" t="n">
        <f aca="false">IF(Q1462="Shoring",D1462,0)</f>
        <v>0</v>
      </c>
      <c r="S1462" s="27" t="n">
        <f aca="false">MAX(0,GWL-L1462)</f>
        <v>0.4650021715294</v>
      </c>
      <c r="T1462" s="27" t="n">
        <f aca="false">MAX(0,NG-MAX(L1462,GWL))</f>
        <v>0.8</v>
      </c>
      <c r="U1462" s="27" t="n">
        <f aca="false">E1462+2*WS</f>
        <v>2.6300043430588</v>
      </c>
      <c r="V1462" s="27" t="n">
        <f aca="false">IF(Q1462="Shoring",D1462*M1462*U1462,0)</f>
        <v>0</v>
      </c>
      <c r="W1462" s="27" t="n">
        <f aca="false">IF(Q1462="Open cut",D1462*(U1462*M1462+SLOPE_B*S1462^2+2*SLOPE_B*S1462*T1462+SLOPE_A*T1462^2),0)</f>
        <v>22.4601148577647</v>
      </c>
      <c r="X1462" s="27" t="n">
        <f aca="false">IF(M1462&gt;0,D1462*(E1462+2*SLABOVH)*SLAB,0)</f>
        <v>2.94889598493475</v>
      </c>
      <c r="Y1462" s="27" t="n">
        <f aca="false">IF(M1462&gt;0,D1462*PI()*E1462^2/4,0)</f>
        <v>1.12791833474498</v>
      </c>
      <c r="Z1462" s="27" t="n">
        <f aca="false">IF(H1462-E1462&gt;=GWL,99,E1462*(MAX(0,GWL-H1462)*(GAM_S-GAM_W)+MAX(0,NG-MAX(H1462,GWL))*GAM_D)/(GAM_W*PI()*E1462^2/4))</f>
        <v>99</v>
      </c>
      <c r="AA1462" s="27" t="n">
        <f aca="false">IF(I1462-E1462&gt;=GWL,99,E1462*(MAX(0,GWL-I1462)*(GAM_S-GAM_W)+MAX(0,NG-MAX(I1462,GWL))*GAM_D)/(GAM_W*PI()*E1462^2/4))</f>
        <v>99</v>
      </c>
      <c r="AB1462" s="27" t="n">
        <f aca="false">IF(H1462-E1462&gt;=GWL,99,E1462*(MAX(0,GWL-H1462)*(GAM_S-GAM_W)+MAX(0,FL-MAX(H1462,GWL))*GAM_D)/(GAM_W*PI()*E1462^2/4))</f>
        <v>99</v>
      </c>
      <c r="AC1462" s="27" t="n">
        <f aca="false">IF(I1462-E1462&gt;=GWL,99,E1462*(MAX(0,GWL-I1462)*(GAM_S-GAM_W)+MAX(0,FL-MAX(I1462,GWL))*GAM_D)/(GAM_W*PI()*E1462^2/4))</f>
        <v>99</v>
      </c>
    </row>
    <row r="1463" customFormat="false" ht="15" hidden="false" customHeight="false" outlineLevel="0" collapsed="false">
      <c r="A1463" s="25" t="s">
        <v>2066</v>
      </c>
      <c r="B1463" s="25" t="s">
        <v>2123</v>
      </c>
      <c r="C1463" s="25" t="s">
        <v>2131</v>
      </c>
      <c r="D1463" s="26" t="n">
        <v>10.0000000003008</v>
      </c>
      <c r="E1463" s="26" t="n">
        <v>0.630004343058801</v>
      </c>
      <c r="F1463" s="26" t="n">
        <v>-1.9650021715294</v>
      </c>
      <c r="G1463" s="26" t="n">
        <v>-1.9650021715294</v>
      </c>
      <c r="H1463" s="26" t="n">
        <v>-0.8349978284706</v>
      </c>
      <c r="I1463" s="26" t="n">
        <v>-0.8349978284706</v>
      </c>
      <c r="J1463" s="26" t="n">
        <v>99</v>
      </c>
      <c r="K1463" s="27" t="n">
        <f aca="false">MIN(F1463,G1463)</f>
        <v>-1.9650021715294</v>
      </c>
      <c r="L1463" s="27" t="n">
        <f aca="false">AVERAGE(F1463,G1463)</f>
        <v>-1.9650021715294</v>
      </c>
      <c r="M1463" s="27" t="n">
        <f aca="false">MAX(0,NG-L1463)</f>
        <v>1.2650021715294</v>
      </c>
      <c r="N1463" s="27" t="n">
        <f aca="false">MAX(0,GWL-K1463)</f>
        <v>0.4650021715294</v>
      </c>
      <c r="O1463" s="27" t="n">
        <f aca="false">MAX(0,NG-MAX(K1463,GWL))</f>
        <v>0.8</v>
      </c>
      <c r="P1463" s="27" t="n">
        <f aca="false">E1463/2+WS+SLOPE_A*O1463+SLOPE_B*N1463</f>
        <v>3.4450065145882</v>
      </c>
      <c r="Q1463" s="28" t="str">
        <f aca="false">IF(AND(P1463&lt;J1463,N1463&lt;=MAXOC),"Open cut","Shoring")</f>
        <v>Open cut</v>
      </c>
      <c r="R1463" s="27" t="n">
        <f aca="false">IF(Q1463="Shoring",D1463,0)</f>
        <v>0</v>
      </c>
      <c r="S1463" s="27" t="n">
        <f aca="false">MAX(0,GWL-L1463)</f>
        <v>0.4650021715294</v>
      </c>
      <c r="T1463" s="27" t="n">
        <f aca="false">MAX(0,NG-MAX(L1463,GWL))</f>
        <v>0.8</v>
      </c>
      <c r="U1463" s="27" t="n">
        <f aca="false">E1463+2*WS</f>
        <v>2.6300043430588</v>
      </c>
      <c r="V1463" s="27" t="n">
        <f aca="false">IF(Q1463="Shoring",D1463*M1463*U1463,0)</f>
        <v>0</v>
      </c>
      <c r="W1463" s="27" t="n">
        <f aca="false">IF(Q1463="Open cut",D1463*(U1463*M1463+SLOPE_B*S1463^2+2*SLOPE_B*S1463*T1463+SLOPE_A*T1463^2),0)</f>
        <v>62.0742219323606</v>
      </c>
      <c r="X1463" s="27" t="n">
        <f aca="false">IF(M1463&gt;0,D1463*(E1463+2*SLABOVH)*SLAB,0)</f>
        <v>8.15002171553917</v>
      </c>
      <c r="Y1463" s="27" t="n">
        <f aca="false">IF(M1463&gt;0,D1463*PI()*E1463^2/4,0)</f>
        <v>3.1172882897495</v>
      </c>
      <c r="Z1463" s="27" t="n">
        <f aca="false">IF(H1463-E1463&gt;=GWL,99,E1463*(MAX(0,GWL-H1463)*(GAM_S-GAM_W)+MAX(0,NG-MAX(H1463,GWL))*GAM_D)/(GAM_W*PI()*E1463^2/4))</f>
        <v>99</v>
      </c>
      <c r="AA1463" s="27" t="n">
        <f aca="false">IF(I1463-E1463&gt;=GWL,99,E1463*(MAX(0,GWL-I1463)*(GAM_S-GAM_W)+MAX(0,NG-MAX(I1463,GWL))*GAM_D)/(GAM_W*PI()*E1463^2/4))</f>
        <v>99</v>
      </c>
      <c r="AB1463" s="27" t="n">
        <f aca="false">IF(H1463-E1463&gt;=GWL,99,E1463*(MAX(0,GWL-H1463)*(GAM_S-GAM_W)+MAX(0,FL-MAX(H1463,GWL))*GAM_D)/(GAM_W*PI()*E1463^2/4))</f>
        <v>99</v>
      </c>
      <c r="AC1463" s="27" t="n">
        <f aca="false">IF(I1463-E1463&gt;=GWL,99,E1463*(MAX(0,GWL-I1463)*(GAM_S-GAM_W)+MAX(0,FL-MAX(I1463,GWL))*GAM_D)/(GAM_W*PI()*E1463^2/4))</f>
        <v>99</v>
      </c>
    </row>
    <row r="1464" customFormat="false" ht="15" hidden="false" customHeight="false" outlineLevel="0" collapsed="false">
      <c r="A1464" s="25" t="s">
        <v>2066</v>
      </c>
      <c r="B1464" s="25" t="s">
        <v>2123</v>
      </c>
      <c r="C1464" s="25" t="s">
        <v>2132</v>
      </c>
      <c r="D1464" s="26" t="n">
        <v>10.0000000002003</v>
      </c>
      <c r="E1464" s="26" t="n">
        <v>0.630004343058801</v>
      </c>
      <c r="F1464" s="26" t="n">
        <v>-1.9650021715294</v>
      </c>
      <c r="G1464" s="26" t="n">
        <v>-1.9650021715294</v>
      </c>
      <c r="H1464" s="26" t="n">
        <v>-0.8349978284706</v>
      </c>
      <c r="I1464" s="26" t="n">
        <v>-0.8349978284706</v>
      </c>
      <c r="J1464" s="26" t="n">
        <v>41.55</v>
      </c>
      <c r="K1464" s="27" t="n">
        <f aca="false">MIN(F1464,G1464)</f>
        <v>-1.9650021715294</v>
      </c>
      <c r="L1464" s="27" t="n">
        <f aca="false">AVERAGE(F1464,G1464)</f>
        <v>-1.9650021715294</v>
      </c>
      <c r="M1464" s="27" t="n">
        <f aca="false">MAX(0,NG-L1464)</f>
        <v>1.2650021715294</v>
      </c>
      <c r="N1464" s="27" t="n">
        <f aca="false">MAX(0,GWL-K1464)</f>
        <v>0.4650021715294</v>
      </c>
      <c r="O1464" s="27" t="n">
        <f aca="false">MAX(0,NG-MAX(K1464,GWL))</f>
        <v>0.8</v>
      </c>
      <c r="P1464" s="27" t="n">
        <f aca="false">E1464/2+WS+SLOPE_A*O1464+SLOPE_B*N1464</f>
        <v>3.4450065145882</v>
      </c>
      <c r="Q1464" s="28" t="str">
        <f aca="false">IF(AND(P1464&lt;J1464,N1464&lt;=MAXOC),"Open cut","Shoring")</f>
        <v>Open cut</v>
      </c>
      <c r="R1464" s="27" t="n">
        <f aca="false">IF(Q1464="Shoring",D1464,0)</f>
        <v>0</v>
      </c>
      <c r="S1464" s="27" t="n">
        <f aca="false">MAX(0,GWL-L1464)</f>
        <v>0.4650021715294</v>
      </c>
      <c r="T1464" s="27" t="n">
        <f aca="false">MAX(0,NG-MAX(L1464,GWL))</f>
        <v>0.8</v>
      </c>
      <c r="U1464" s="27" t="n">
        <f aca="false">E1464+2*WS</f>
        <v>2.6300043430588</v>
      </c>
      <c r="V1464" s="27" t="n">
        <f aca="false">IF(Q1464="Shoring",D1464*M1464*U1464,0)</f>
        <v>0</v>
      </c>
      <c r="W1464" s="27" t="n">
        <f aca="false">IF(Q1464="Open cut",D1464*(U1464*M1464+SLOPE_B*S1464^2+2*SLOPE_B*S1464*T1464+SLOPE_A*T1464^2),0)</f>
        <v>62.0742219317364</v>
      </c>
      <c r="X1464" s="27" t="n">
        <f aca="false">IF(M1464&gt;0,D1464*(E1464+2*SLABOVH)*SLAB,0)</f>
        <v>8.15002171545721</v>
      </c>
      <c r="Y1464" s="27" t="n">
        <f aca="false">IF(M1464&gt;0,D1464*PI()*E1464^2/4,0)</f>
        <v>3.11728828971815</v>
      </c>
      <c r="Z1464" s="27" t="n">
        <f aca="false">IF(H1464-E1464&gt;=GWL,99,E1464*(MAX(0,GWL-H1464)*(GAM_S-GAM_W)+MAX(0,NG-MAX(H1464,GWL))*GAM_D)/(GAM_W*PI()*E1464^2/4))</f>
        <v>99</v>
      </c>
      <c r="AA1464" s="27" t="n">
        <f aca="false">IF(I1464-E1464&gt;=GWL,99,E1464*(MAX(0,GWL-I1464)*(GAM_S-GAM_W)+MAX(0,NG-MAX(I1464,GWL))*GAM_D)/(GAM_W*PI()*E1464^2/4))</f>
        <v>99</v>
      </c>
      <c r="AB1464" s="27" t="n">
        <f aca="false">IF(H1464-E1464&gt;=GWL,99,E1464*(MAX(0,GWL-H1464)*(GAM_S-GAM_W)+MAX(0,FL-MAX(H1464,GWL))*GAM_D)/(GAM_W*PI()*E1464^2/4))</f>
        <v>99</v>
      </c>
      <c r="AC1464" s="27" t="n">
        <f aca="false">IF(I1464-E1464&gt;=GWL,99,E1464*(MAX(0,GWL-I1464)*(GAM_S-GAM_W)+MAX(0,FL-MAX(I1464,GWL))*GAM_D)/(GAM_W*PI()*E1464^2/4))</f>
        <v>99</v>
      </c>
    </row>
    <row r="1465" customFormat="false" ht="15" hidden="false" customHeight="false" outlineLevel="0" collapsed="false">
      <c r="A1465" s="25" t="s">
        <v>2066</v>
      </c>
      <c r="B1465" s="25" t="s">
        <v>2123</v>
      </c>
      <c r="C1465" s="25" t="s">
        <v>2133</v>
      </c>
      <c r="D1465" s="26" t="n">
        <v>9.9999999994965</v>
      </c>
      <c r="E1465" s="26" t="n">
        <v>0.630004343058801</v>
      </c>
      <c r="F1465" s="26" t="n">
        <v>-1.9650021715294</v>
      </c>
      <c r="G1465" s="26" t="n">
        <v>-1.9650021715294</v>
      </c>
      <c r="H1465" s="26" t="n">
        <v>-0.8349978284706</v>
      </c>
      <c r="I1465" s="26" t="n">
        <v>-0.8349978284706</v>
      </c>
      <c r="J1465" s="26" t="n">
        <v>31.61</v>
      </c>
      <c r="K1465" s="27" t="n">
        <f aca="false">MIN(F1465,G1465)</f>
        <v>-1.9650021715294</v>
      </c>
      <c r="L1465" s="27" t="n">
        <f aca="false">AVERAGE(F1465,G1465)</f>
        <v>-1.9650021715294</v>
      </c>
      <c r="M1465" s="27" t="n">
        <f aca="false">MAX(0,NG-L1465)</f>
        <v>1.2650021715294</v>
      </c>
      <c r="N1465" s="27" t="n">
        <f aca="false">MAX(0,GWL-K1465)</f>
        <v>0.4650021715294</v>
      </c>
      <c r="O1465" s="27" t="n">
        <f aca="false">MAX(0,NG-MAX(K1465,GWL))</f>
        <v>0.8</v>
      </c>
      <c r="P1465" s="27" t="n">
        <f aca="false">E1465/2+WS+SLOPE_A*O1465+SLOPE_B*N1465</f>
        <v>3.4450065145882</v>
      </c>
      <c r="Q1465" s="28" t="str">
        <f aca="false">IF(AND(P1465&lt;J1465,N1465&lt;=MAXOC),"Open cut","Shoring")</f>
        <v>Open cut</v>
      </c>
      <c r="R1465" s="27" t="n">
        <f aca="false">IF(Q1465="Shoring",D1465,0)</f>
        <v>0</v>
      </c>
      <c r="S1465" s="27" t="n">
        <f aca="false">MAX(0,GWL-L1465)</f>
        <v>0.4650021715294</v>
      </c>
      <c r="T1465" s="27" t="n">
        <f aca="false">MAX(0,NG-MAX(L1465,GWL))</f>
        <v>0.8</v>
      </c>
      <c r="U1465" s="27" t="n">
        <f aca="false">E1465+2*WS</f>
        <v>2.6300043430588</v>
      </c>
      <c r="V1465" s="27" t="n">
        <f aca="false">IF(Q1465="Shoring",D1465*M1465*U1465,0)</f>
        <v>0</v>
      </c>
      <c r="W1465" s="27" t="n">
        <f aca="false">IF(Q1465="Open cut",D1465*(U1465*M1465+SLOPE_B*S1465^2+2*SLOPE_B*S1465*T1465+SLOPE_A*T1465^2),0)</f>
        <v>62.0742219273678</v>
      </c>
      <c r="X1465" s="27" t="n">
        <f aca="false">IF(M1465&gt;0,D1465*(E1465+2*SLABOVH)*SLAB,0)</f>
        <v>8.15002171488364</v>
      </c>
      <c r="Y1465" s="27" t="n">
        <f aca="false">IF(M1465&gt;0,D1465*PI()*E1465^2/4,0)</f>
        <v>3.11728828949877</v>
      </c>
      <c r="Z1465" s="27" t="n">
        <f aca="false">IF(H1465-E1465&gt;=GWL,99,E1465*(MAX(0,GWL-H1465)*(GAM_S-GAM_W)+MAX(0,NG-MAX(H1465,GWL))*GAM_D)/(GAM_W*PI()*E1465^2/4))</f>
        <v>99</v>
      </c>
      <c r="AA1465" s="27" t="n">
        <f aca="false">IF(I1465-E1465&gt;=GWL,99,E1465*(MAX(0,GWL-I1465)*(GAM_S-GAM_W)+MAX(0,NG-MAX(I1465,GWL))*GAM_D)/(GAM_W*PI()*E1465^2/4))</f>
        <v>99</v>
      </c>
      <c r="AB1465" s="27" t="n">
        <f aca="false">IF(H1465-E1465&gt;=GWL,99,E1465*(MAX(0,GWL-H1465)*(GAM_S-GAM_W)+MAX(0,FL-MAX(H1465,GWL))*GAM_D)/(GAM_W*PI()*E1465^2/4))</f>
        <v>99</v>
      </c>
      <c r="AC1465" s="27" t="n">
        <f aca="false">IF(I1465-E1465&gt;=GWL,99,E1465*(MAX(0,GWL-I1465)*(GAM_S-GAM_W)+MAX(0,FL-MAX(I1465,GWL))*GAM_D)/(GAM_W*PI()*E1465^2/4))</f>
        <v>99</v>
      </c>
    </row>
    <row r="1466" customFormat="false" ht="15" hidden="false" customHeight="false" outlineLevel="0" collapsed="false">
      <c r="A1466" s="25" t="s">
        <v>2066</v>
      </c>
      <c r="B1466" s="25" t="s">
        <v>2123</v>
      </c>
      <c r="C1466" s="25" t="s">
        <v>2134</v>
      </c>
      <c r="D1466" s="26" t="n">
        <v>10.0000000003008</v>
      </c>
      <c r="E1466" s="26" t="n">
        <v>0.630004343058801</v>
      </c>
      <c r="F1466" s="26" t="n">
        <v>-1.9650021715294</v>
      </c>
      <c r="G1466" s="26" t="n">
        <v>-1.9650021715294</v>
      </c>
      <c r="H1466" s="26" t="n">
        <v>-0.8349978284706</v>
      </c>
      <c r="I1466" s="26" t="n">
        <v>-0.8349978284706</v>
      </c>
      <c r="J1466" s="26" t="n">
        <v>19.91</v>
      </c>
      <c r="K1466" s="27" t="n">
        <f aca="false">MIN(F1466,G1466)</f>
        <v>-1.9650021715294</v>
      </c>
      <c r="L1466" s="27" t="n">
        <f aca="false">AVERAGE(F1466,G1466)</f>
        <v>-1.9650021715294</v>
      </c>
      <c r="M1466" s="27" t="n">
        <f aca="false">MAX(0,NG-L1466)</f>
        <v>1.2650021715294</v>
      </c>
      <c r="N1466" s="27" t="n">
        <f aca="false">MAX(0,GWL-K1466)</f>
        <v>0.4650021715294</v>
      </c>
      <c r="O1466" s="27" t="n">
        <f aca="false">MAX(0,NG-MAX(K1466,GWL))</f>
        <v>0.8</v>
      </c>
      <c r="P1466" s="27" t="n">
        <f aca="false">E1466/2+WS+SLOPE_A*O1466+SLOPE_B*N1466</f>
        <v>3.4450065145882</v>
      </c>
      <c r="Q1466" s="28" t="str">
        <f aca="false">IF(AND(P1466&lt;J1466,N1466&lt;=MAXOC),"Open cut","Shoring")</f>
        <v>Open cut</v>
      </c>
      <c r="R1466" s="27" t="n">
        <f aca="false">IF(Q1466="Shoring",D1466,0)</f>
        <v>0</v>
      </c>
      <c r="S1466" s="27" t="n">
        <f aca="false">MAX(0,GWL-L1466)</f>
        <v>0.4650021715294</v>
      </c>
      <c r="T1466" s="27" t="n">
        <f aca="false">MAX(0,NG-MAX(L1466,GWL))</f>
        <v>0.8</v>
      </c>
      <c r="U1466" s="27" t="n">
        <f aca="false">E1466+2*WS</f>
        <v>2.6300043430588</v>
      </c>
      <c r="V1466" s="27" t="n">
        <f aca="false">IF(Q1466="Shoring",D1466*M1466*U1466,0)</f>
        <v>0</v>
      </c>
      <c r="W1466" s="27" t="n">
        <f aca="false">IF(Q1466="Open cut",D1466*(U1466*M1466+SLOPE_B*S1466^2+2*SLOPE_B*S1466*T1466+SLOPE_A*T1466^2),0)</f>
        <v>62.0742219323606</v>
      </c>
      <c r="X1466" s="27" t="n">
        <f aca="false">IF(M1466&gt;0,D1466*(E1466+2*SLABOVH)*SLAB,0)</f>
        <v>8.15002171553917</v>
      </c>
      <c r="Y1466" s="27" t="n">
        <f aca="false">IF(M1466&gt;0,D1466*PI()*E1466^2/4,0)</f>
        <v>3.1172882897495</v>
      </c>
      <c r="Z1466" s="27" t="n">
        <f aca="false">IF(H1466-E1466&gt;=GWL,99,E1466*(MAX(0,GWL-H1466)*(GAM_S-GAM_W)+MAX(0,NG-MAX(H1466,GWL))*GAM_D)/(GAM_W*PI()*E1466^2/4))</f>
        <v>99</v>
      </c>
      <c r="AA1466" s="27" t="n">
        <f aca="false">IF(I1466-E1466&gt;=GWL,99,E1466*(MAX(0,GWL-I1466)*(GAM_S-GAM_W)+MAX(0,NG-MAX(I1466,GWL))*GAM_D)/(GAM_W*PI()*E1466^2/4))</f>
        <v>99</v>
      </c>
      <c r="AB1466" s="27" t="n">
        <f aca="false">IF(H1466-E1466&gt;=GWL,99,E1466*(MAX(0,GWL-H1466)*(GAM_S-GAM_W)+MAX(0,FL-MAX(H1466,GWL))*GAM_D)/(GAM_W*PI()*E1466^2/4))</f>
        <v>99</v>
      </c>
      <c r="AC1466" s="27" t="n">
        <f aca="false">IF(I1466-E1466&gt;=GWL,99,E1466*(MAX(0,GWL-I1466)*(GAM_S-GAM_W)+MAX(0,FL-MAX(I1466,GWL))*GAM_D)/(GAM_W*PI()*E1466^2/4))</f>
        <v>99</v>
      </c>
    </row>
    <row r="1467" customFormat="false" ht="15" hidden="false" customHeight="false" outlineLevel="0" collapsed="false">
      <c r="A1467" s="25" t="s">
        <v>2066</v>
      </c>
      <c r="B1467" s="25" t="s">
        <v>2123</v>
      </c>
      <c r="C1467" s="25" t="s">
        <v>2135</v>
      </c>
      <c r="D1467" s="26" t="n">
        <v>9.99999999996567</v>
      </c>
      <c r="E1467" s="26" t="n">
        <v>0.630004343058801</v>
      </c>
      <c r="F1467" s="26" t="n">
        <v>-1.9650021715294</v>
      </c>
      <c r="G1467" s="26" t="n">
        <v>-1.9650021715294</v>
      </c>
      <c r="H1467" s="26" t="n">
        <v>-0.8349978284706</v>
      </c>
      <c r="I1467" s="26" t="n">
        <v>-0.8349978284706</v>
      </c>
      <c r="J1467" s="26" t="n">
        <v>17.06</v>
      </c>
      <c r="K1467" s="27" t="n">
        <f aca="false">MIN(F1467,G1467)</f>
        <v>-1.9650021715294</v>
      </c>
      <c r="L1467" s="27" t="n">
        <f aca="false">AVERAGE(F1467,G1467)</f>
        <v>-1.9650021715294</v>
      </c>
      <c r="M1467" s="27" t="n">
        <f aca="false">MAX(0,NG-L1467)</f>
        <v>1.2650021715294</v>
      </c>
      <c r="N1467" s="27" t="n">
        <f aca="false">MAX(0,GWL-K1467)</f>
        <v>0.4650021715294</v>
      </c>
      <c r="O1467" s="27" t="n">
        <f aca="false">MAX(0,NG-MAX(K1467,GWL))</f>
        <v>0.8</v>
      </c>
      <c r="P1467" s="27" t="n">
        <f aca="false">E1467/2+WS+SLOPE_A*O1467+SLOPE_B*N1467</f>
        <v>3.4450065145882</v>
      </c>
      <c r="Q1467" s="28" t="str">
        <f aca="false">IF(AND(P1467&lt;J1467,N1467&lt;=MAXOC),"Open cut","Shoring")</f>
        <v>Open cut</v>
      </c>
      <c r="R1467" s="27" t="n">
        <f aca="false">IF(Q1467="Shoring",D1467,0)</f>
        <v>0</v>
      </c>
      <c r="S1467" s="27" t="n">
        <f aca="false">MAX(0,GWL-L1467)</f>
        <v>0.4650021715294</v>
      </c>
      <c r="T1467" s="27" t="n">
        <f aca="false">MAX(0,NG-MAX(L1467,GWL))</f>
        <v>0.8</v>
      </c>
      <c r="U1467" s="27" t="n">
        <f aca="false">E1467+2*WS</f>
        <v>2.6300043430588</v>
      </c>
      <c r="V1467" s="27" t="n">
        <f aca="false">IF(Q1467="Shoring",D1467*M1467*U1467,0)</f>
        <v>0</v>
      </c>
      <c r="W1467" s="27" t="n">
        <f aca="false">IF(Q1467="Open cut",D1467*(U1467*M1467+SLOPE_B*S1467^2+2*SLOPE_B*S1467*T1467+SLOPE_A*T1467^2),0)</f>
        <v>62.0742219302802</v>
      </c>
      <c r="X1467" s="27" t="n">
        <f aca="false">IF(M1467&gt;0,D1467*(E1467+2*SLABOVH)*SLAB,0)</f>
        <v>8.15002171526602</v>
      </c>
      <c r="Y1467" s="27" t="n">
        <f aca="false">IF(M1467&gt;0,D1467*PI()*E1467^2/4,0)</f>
        <v>3.11728828964502</v>
      </c>
      <c r="Z1467" s="27" t="n">
        <f aca="false">IF(H1467-E1467&gt;=GWL,99,E1467*(MAX(0,GWL-H1467)*(GAM_S-GAM_W)+MAX(0,NG-MAX(H1467,GWL))*GAM_D)/(GAM_W*PI()*E1467^2/4))</f>
        <v>99</v>
      </c>
      <c r="AA1467" s="27" t="n">
        <f aca="false">IF(I1467-E1467&gt;=GWL,99,E1467*(MAX(0,GWL-I1467)*(GAM_S-GAM_W)+MAX(0,NG-MAX(I1467,GWL))*GAM_D)/(GAM_W*PI()*E1467^2/4))</f>
        <v>99</v>
      </c>
      <c r="AB1467" s="27" t="n">
        <f aca="false">IF(H1467-E1467&gt;=GWL,99,E1467*(MAX(0,GWL-H1467)*(GAM_S-GAM_W)+MAX(0,FL-MAX(H1467,GWL))*GAM_D)/(GAM_W*PI()*E1467^2/4))</f>
        <v>99</v>
      </c>
      <c r="AC1467" s="27" t="n">
        <f aca="false">IF(I1467-E1467&gt;=GWL,99,E1467*(MAX(0,GWL-I1467)*(GAM_S-GAM_W)+MAX(0,FL-MAX(I1467,GWL))*GAM_D)/(GAM_W*PI()*E1467^2/4))</f>
        <v>99</v>
      </c>
    </row>
    <row r="1468" customFormat="false" ht="15" hidden="false" customHeight="false" outlineLevel="0" collapsed="false">
      <c r="A1468" s="25" t="s">
        <v>2066</v>
      </c>
      <c r="B1468" s="25" t="s">
        <v>2123</v>
      </c>
      <c r="C1468" s="25" t="s">
        <v>2136</v>
      </c>
      <c r="D1468" s="26" t="n">
        <v>7.17899999963329</v>
      </c>
      <c r="E1468" s="26" t="n">
        <v>0.630004343058801</v>
      </c>
      <c r="F1468" s="26" t="n">
        <v>-1.9650021715294</v>
      </c>
      <c r="G1468" s="26" t="n">
        <v>-1.9650021715294</v>
      </c>
      <c r="H1468" s="26" t="n">
        <v>-0.8349978284706</v>
      </c>
      <c r="I1468" s="26" t="n">
        <v>-0.8349978284706</v>
      </c>
      <c r="J1468" s="26" t="n">
        <v>17.06</v>
      </c>
      <c r="K1468" s="27" t="n">
        <f aca="false">MIN(F1468,G1468)</f>
        <v>-1.9650021715294</v>
      </c>
      <c r="L1468" s="27" t="n">
        <f aca="false">AVERAGE(F1468,G1468)</f>
        <v>-1.9650021715294</v>
      </c>
      <c r="M1468" s="27" t="n">
        <f aca="false">MAX(0,NG-L1468)</f>
        <v>1.2650021715294</v>
      </c>
      <c r="N1468" s="27" t="n">
        <f aca="false">MAX(0,GWL-K1468)</f>
        <v>0.4650021715294</v>
      </c>
      <c r="O1468" s="27" t="n">
        <f aca="false">MAX(0,NG-MAX(K1468,GWL))</f>
        <v>0.8</v>
      </c>
      <c r="P1468" s="27" t="n">
        <f aca="false">E1468/2+WS+SLOPE_A*O1468+SLOPE_B*N1468</f>
        <v>3.4450065145882</v>
      </c>
      <c r="Q1468" s="28" t="str">
        <f aca="false">IF(AND(P1468&lt;J1468,N1468&lt;=MAXOC),"Open cut","Shoring")</f>
        <v>Open cut</v>
      </c>
      <c r="R1468" s="27" t="n">
        <f aca="false">IF(Q1468="Shoring",D1468,0)</f>
        <v>0</v>
      </c>
      <c r="S1468" s="27" t="n">
        <f aca="false">MAX(0,GWL-L1468)</f>
        <v>0.4650021715294</v>
      </c>
      <c r="T1468" s="27" t="n">
        <f aca="false">MAX(0,NG-MAX(L1468,GWL))</f>
        <v>0.8</v>
      </c>
      <c r="U1468" s="27" t="n">
        <f aca="false">E1468+2*WS</f>
        <v>2.6300043430588</v>
      </c>
      <c r="V1468" s="27" t="n">
        <f aca="false">IF(Q1468="Shoring",D1468*M1468*U1468,0)</f>
        <v>0</v>
      </c>
      <c r="W1468" s="27" t="n">
        <f aca="false">IF(Q1468="Open cut",D1468*(U1468*M1468+SLOPE_B*S1468^2+2*SLOPE_B*S1468*T1468+SLOPE_A*T1468^2),0)</f>
        <v>44.5630839216248</v>
      </c>
      <c r="X1468" s="27" t="n">
        <f aca="false">IF(M1468&gt;0,D1468*(E1468+2*SLABOVH)*SLAB,0)</f>
        <v>5.85090058911069</v>
      </c>
      <c r="Y1468" s="27" t="n">
        <f aca="false">IF(M1468&gt;0,D1468*PI()*E1468^2/4,0)</f>
        <v>2.23790126302953</v>
      </c>
      <c r="Z1468" s="27" t="n">
        <f aca="false">IF(H1468-E1468&gt;=GWL,99,E1468*(MAX(0,GWL-H1468)*(GAM_S-GAM_W)+MAX(0,NG-MAX(H1468,GWL))*GAM_D)/(GAM_W*PI()*E1468^2/4))</f>
        <v>99</v>
      </c>
      <c r="AA1468" s="27" t="n">
        <f aca="false">IF(I1468-E1468&gt;=GWL,99,E1468*(MAX(0,GWL-I1468)*(GAM_S-GAM_W)+MAX(0,NG-MAX(I1468,GWL))*GAM_D)/(GAM_W*PI()*E1468^2/4))</f>
        <v>99</v>
      </c>
      <c r="AB1468" s="27" t="n">
        <f aca="false">IF(H1468-E1468&gt;=GWL,99,E1468*(MAX(0,GWL-H1468)*(GAM_S-GAM_W)+MAX(0,FL-MAX(H1468,GWL))*GAM_D)/(GAM_W*PI()*E1468^2/4))</f>
        <v>99</v>
      </c>
      <c r="AC1468" s="27" t="n">
        <f aca="false">IF(I1468-E1468&gt;=GWL,99,E1468*(MAX(0,GWL-I1468)*(GAM_S-GAM_W)+MAX(0,FL-MAX(I1468,GWL))*GAM_D)/(GAM_W*PI()*E1468^2/4))</f>
        <v>99</v>
      </c>
    </row>
    <row r="1469" customFormat="false" ht="15" hidden="false" customHeight="false" outlineLevel="0" collapsed="false">
      <c r="A1469" s="25" t="s">
        <v>2066</v>
      </c>
      <c r="B1469" s="25" t="s">
        <v>2137</v>
      </c>
      <c r="C1469" s="25" t="s">
        <v>2138</v>
      </c>
      <c r="D1469" s="26" t="n">
        <v>2.82100000056697</v>
      </c>
      <c r="E1469" s="26" t="n">
        <v>0.630004343058801</v>
      </c>
      <c r="F1469" s="26" t="n">
        <v>-1.9650021715294</v>
      </c>
      <c r="G1469" s="26" t="n">
        <v>-1.9650021715294</v>
      </c>
      <c r="H1469" s="26" t="n">
        <v>-0.8349978284706</v>
      </c>
      <c r="I1469" s="26" t="n">
        <v>-0.8349978284706</v>
      </c>
      <c r="J1469" s="26" t="n">
        <v>17.75</v>
      </c>
      <c r="K1469" s="27" t="n">
        <f aca="false">MIN(F1469,G1469)</f>
        <v>-1.9650021715294</v>
      </c>
      <c r="L1469" s="27" t="n">
        <f aca="false">AVERAGE(F1469,G1469)</f>
        <v>-1.9650021715294</v>
      </c>
      <c r="M1469" s="27" t="n">
        <f aca="false">MAX(0,NG-L1469)</f>
        <v>1.2650021715294</v>
      </c>
      <c r="N1469" s="27" t="n">
        <f aca="false">MAX(0,GWL-K1469)</f>
        <v>0.4650021715294</v>
      </c>
      <c r="O1469" s="27" t="n">
        <f aca="false">MAX(0,NG-MAX(K1469,GWL))</f>
        <v>0.8</v>
      </c>
      <c r="P1469" s="27" t="n">
        <f aca="false">E1469/2+WS+SLOPE_A*O1469+SLOPE_B*N1469</f>
        <v>3.4450065145882</v>
      </c>
      <c r="Q1469" s="28" t="str">
        <f aca="false">IF(AND(P1469&lt;J1469,N1469&lt;=MAXOC),"Open cut","Shoring")</f>
        <v>Open cut</v>
      </c>
      <c r="R1469" s="27" t="n">
        <f aca="false">IF(Q1469="Shoring",D1469,0)</f>
        <v>0</v>
      </c>
      <c r="S1469" s="27" t="n">
        <f aca="false">MAX(0,GWL-L1469)</f>
        <v>0.4650021715294</v>
      </c>
      <c r="T1469" s="27" t="n">
        <f aca="false">MAX(0,NG-MAX(L1469,GWL))</f>
        <v>0.8</v>
      </c>
      <c r="U1469" s="27" t="n">
        <f aca="false">E1469+2*WS</f>
        <v>2.6300043430588</v>
      </c>
      <c r="V1469" s="27" t="n">
        <f aca="false">IF(Q1469="Shoring",D1469*M1469*U1469,0)</f>
        <v>0</v>
      </c>
      <c r="W1469" s="27" t="n">
        <f aca="false">IF(Q1469="Open cut",D1469*(U1469*M1469+SLOPE_B*S1469^2+2*SLOPE_B*S1469*T1469+SLOPE_A*T1469^2),0)</f>
        <v>17.5111380101116</v>
      </c>
      <c r="X1469" s="27" t="n">
        <f aca="false">IF(M1469&gt;0,D1469*(E1469+2*SLABOVH)*SLAB,0)</f>
        <v>2.29912112634652</v>
      </c>
      <c r="Y1469" s="27" t="n">
        <f aca="false">IF(M1469&gt;0,D1469*PI()*E1469^2/4,0)</f>
        <v>0.87938702668862</v>
      </c>
      <c r="Z1469" s="27" t="n">
        <f aca="false">IF(H1469-E1469&gt;=GWL,99,E1469*(MAX(0,GWL-H1469)*(GAM_S-GAM_W)+MAX(0,NG-MAX(H1469,GWL))*GAM_D)/(GAM_W*PI()*E1469^2/4))</f>
        <v>99</v>
      </c>
      <c r="AA1469" s="27" t="n">
        <f aca="false">IF(I1469-E1469&gt;=GWL,99,E1469*(MAX(0,GWL-I1469)*(GAM_S-GAM_W)+MAX(0,NG-MAX(I1469,GWL))*GAM_D)/(GAM_W*PI()*E1469^2/4))</f>
        <v>99</v>
      </c>
      <c r="AB1469" s="27" t="n">
        <f aca="false">IF(H1469-E1469&gt;=GWL,99,E1469*(MAX(0,GWL-H1469)*(GAM_S-GAM_W)+MAX(0,FL-MAX(H1469,GWL))*GAM_D)/(GAM_W*PI()*E1469^2/4))</f>
        <v>99</v>
      </c>
      <c r="AC1469" s="27" t="n">
        <f aca="false">IF(I1469-E1469&gt;=GWL,99,E1469*(MAX(0,GWL-I1469)*(GAM_S-GAM_W)+MAX(0,FL-MAX(I1469,GWL))*GAM_D)/(GAM_W*PI()*E1469^2/4))</f>
        <v>99</v>
      </c>
    </row>
    <row r="1470" customFormat="false" ht="15" hidden="false" customHeight="false" outlineLevel="0" collapsed="false">
      <c r="A1470" s="25" t="s">
        <v>2066</v>
      </c>
      <c r="B1470" s="25" t="s">
        <v>2137</v>
      </c>
      <c r="C1470" s="25" t="s">
        <v>2139</v>
      </c>
      <c r="D1470" s="26" t="n">
        <v>3.17894235815236</v>
      </c>
      <c r="E1470" s="26" t="n">
        <v>0.630004343058801</v>
      </c>
      <c r="F1470" s="26" t="n">
        <v>-1.9650021715294</v>
      </c>
      <c r="G1470" s="26" t="n">
        <v>-1.9650021715294</v>
      </c>
      <c r="H1470" s="26" t="n">
        <v>-0.8349978284706</v>
      </c>
      <c r="I1470" s="26" t="n">
        <v>-0.8349978284706</v>
      </c>
      <c r="J1470" s="26" t="n">
        <v>18.69</v>
      </c>
      <c r="K1470" s="27" t="n">
        <f aca="false">MIN(F1470,G1470)</f>
        <v>-1.9650021715294</v>
      </c>
      <c r="L1470" s="27" t="n">
        <f aca="false">AVERAGE(F1470,G1470)</f>
        <v>-1.9650021715294</v>
      </c>
      <c r="M1470" s="27" t="n">
        <f aca="false">MAX(0,NG-L1470)</f>
        <v>1.2650021715294</v>
      </c>
      <c r="N1470" s="27" t="n">
        <f aca="false">MAX(0,GWL-K1470)</f>
        <v>0.4650021715294</v>
      </c>
      <c r="O1470" s="27" t="n">
        <f aca="false">MAX(0,NG-MAX(K1470,GWL))</f>
        <v>0.8</v>
      </c>
      <c r="P1470" s="27" t="n">
        <f aca="false">E1470/2+WS+SLOPE_A*O1470+SLOPE_B*N1470</f>
        <v>3.4450065145882</v>
      </c>
      <c r="Q1470" s="28" t="str">
        <f aca="false">IF(AND(P1470&lt;J1470,N1470&lt;=MAXOC),"Open cut","Shoring")</f>
        <v>Open cut</v>
      </c>
      <c r="R1470" s="27" t="n">
        <f aca="false">IF(Q1470="Shoring",D1470,0)</f>
        <v>0</v>
      </c>
      <c r="S1470" s="27" t="n">
        <f aca="false">MAX(0,GWL-L1470)</f>
        <v>0.4650021715294</v>
      </c>
      <c r="T1470" s="27" t="n">
        <f aca="false">MAX(0,NG-MAX(L1470,GWL))</f>
        <v>0.8</v>
      </c>
      <c r="U1470" s="27" t="n">
        <f aca="false">E1470+2*WS</f>
        <v>2.6300043430588</v>
      </c>
      <c r="V1470" s="27" t="n">
        <f aca="false">IF(Q1470="Shoring",D1470*M1470*U1470,0)</f>
        <v>0</v>
      </c>
      <c r="W1470" s="27" t="n">
        <f aca="false">IF(Q1470="Open cut",D1470*(U1470*M1470+SLOPE_B*S1470^2+2*SLOPE_B*S1470*T1470+SLOPE_A*T1470^2),0)</f>
        <v>19.7330373444195</v>
      </c>
      <c r="X1470" s="27" t="n">
        <f aca="false">IF(M1470&gt;0,D1470*(E1470+2*SLABOVH)*SLAB,0)</f>
        <v>2.59084492506096</v>
      </c>
      <c r="Y1470" s="27" t="n">
        <f aca="false">IF(M1470&gt;0,D1470*PI()*E1470^2/4,0)</f>
        <v>0.990967978655889</v>
      </c>
      <c r="Z1470" s="27" t="n">
        <f aca="false">IF(H1470-E1470&gt;=GWL,99,E1470*(MAX(0,GWL-H1470)*(GAM_S-GAM_W)+MAX(0,NG-MAX(H1470,GWL))*GAM_D)/(GAM_W*PI()*E1470^2/4))</f>
        <v>99</v>
      </c>
      <c r="AA1470" s="27" t="n">
        <f aca="false">IF(I1470-E1470&gt;=GWL,99,E1470*(MAX(0,GWL-I1470)*(GAM_S-GAM_W)+MAX(0,NG-MAX(I1470,GWL))*GAM_D)/(GAM_W*PI()*E1470^2/4))</f>
        <v>99</v>
      </c>
      <c r="AB1470" s="27" t="n">
        <f aca="false">IF(H1470-E1470&gt;=GWL,99,E1470*(MAX(0,GWL-H1470)*(GAM_S-GAM_W)+MAX(0,FL-MAX(H1470,GWL))*GAM_D)/(GAM_W*PI()*E1470^2/4))</f>
        <v>99</v>
      </c>
      <c r="AC1470" s="27" t="n">
        <f aca="false">IF(I1470-E1470&gt;=GWL,99,E1470*(MAX(0,GWL-I1470)*(GAM_S-GAM_W)+MAX(0,FL-MAX(I1470,GWL))*GAM_D)/(GAM_W*PI()*E1470^2/4))</f>
        <v>99</v>
      </c>
    </row>
    <row r="1471" customFormat="false" ht="15" hidden="false" customHeight="false" outlineLevel="0" collapsed="false">
      <c r="A1471" s="25" t="s">
        <v>2066</v>
      </c>
      <c r="B1471" s="25" t="s">
        <v>2085</v>
      </c>
      <c r="C1471" s="25" t="s">
        <v>2140</v>
      </c>
      <c r="D1471" s="26" t="n">
        <v>0.842959999617818</v>
      </c>
      <c r="E1471" s="26" t="n">
        <v>0.630004343670048</v>
      </c>
      <c r="F1471" s="26" t="n">
        <v>-4.63048217183502</v>
      </c>
      <c r="G1471" s="26" t="n">
        <v>-4.94468217183502</v>
      </c>
      <c r="H1471" s="26" t="n">
        <v>-3.50047782816498</v>
      </c>
      <c r="I1471" s="26" t="n">
        <v>-3.81467782816498</v>
      </c>
      <c r="J1471" s="26" t="n">
        <v>11.69</v>
      </c>
      <c r="K1471" s="27" t="n">
        <f aca="false">MIN(F1471,G1471)</f>
        <v>-4.94468217183502</v>
      </c>
      <c r="L1471" s="27" t="n">
        <f aca="false">AVERAGE(F1471,G1471)</f>
        <v>-4.78758217183502</v>
      </c>
      <c r="M1471" s="27" t="n">
        <f aca="false">MAX(0,NG-L1471)</f>
        <v>4.08758217183502</v>
      </c>
      <c r="N1471" s="27" t="n">
        <f aca="false">MAX(0,GWL-K1471)</f>
        <v>3.44468217183502</v>
      </c>
      <c r="O1471" s="27" t="n">
        <f aca="false">MAX(0,NG-MAX(K1471,GWL))</f>
        <v>0.8</v>
      </c>
      <c r="P1471" s="27" t="n">
        <f aca="false">E1471/2+WS+SLOPE_A*O1471+SLOPE_B*N1471</f>
        <v>9.40436651550507</v>
      </c>
      <c r="Q1471" s="28" t="str">
        <f aca="false">IF(AND(P1471&lt;J1471,N1471&lt;=MAXOC),"Open cut","Shoring")</f>
        <v>Shoring</v>
      </c>
      <c r="R1471" s="27" t="n">
        <f aca="false">IF(Q1471="Shoring",D1471,0)</f>
        <v>0.842959999617818</v>
      </c>
      <c r="S1471" s="27" t="n">
        <f aca="false">MAX(0,GWL-L1471)</f>
        <v>3.28758217183502</v>
      </c>
      <c r="T1471" s="27" t="n">
        <f aca="false">MAX(0,NG-MAX(L1471,GWL))</f>
        <v>0.8</v>
      </c>
      <c r="U1471" s="27" t="n">
        <f aca="false">E1471+2*WS</f>
        <v>2.63000434367005</v>
      </c>
      <c r="V1471" s="27" t="n">
        <f aca="false">IF(Q1471="Shoring",D1471*M1471*U1471,0)</f>
        <v>9.06212250644669</v>
      </c>
      <c r="W1471" s="27" t="n">
        <f aca="false">IF(Q1471="Open cut",D1471*(U1471*M1471+SLOPE_B*S1471^2+2*SLOPE_B*S1471*T1471+SLOPE_A*T1471^2),0)</f>
        <v>0</v>
      </c>
      <c r="X1471" s="27" t="n">
        <f aca="false">IF(M1471&gt;0,D1471*(E1471+2*SLABOVH)*SLAB,0)</f>
        <v>0.687014230458572</v>
      </c>
      <c r="Y1471" s="27" t="n">
        <f aca="false">IF(M1471&gt;0,D1471*PI()*E1471^2/4,0)</f>
        <v>0.262774934055584</v>
      </c>
      <c r="Z1471" s="27" t="n">
        <f aca="false">IF(H1471-E1471&gt;=GWL,99,E1471*(MAX(0,GWL-H1471)*(GAM_S-GAM_W)+MAX(0,NG-MAX(H1471,GWL))*GAM_D)/(GAM_W*PI()*E1471^2/4))</f>
        <v>6.34192930120055</v>
      </c>
      <c r="AA1471" s="27" t="n">
        <f aca="false">IF(I1471-E1471&gt;=GWL,99,E1471*(MAX(0,GWL-I1471)*(GAM_S-GAM_W)+MAX(0,NG-MAX(I1471,GWL))*GAM_D)/(GAM_W*PI()*E1471^2/4))</f>
        <v>6.87206573213929</v>
      </c>
      <c r="AB1471" s="27" t="n">
        <f aca="false">IF(H1471-E1471&gt;=GWL,99,E1471*(MAX(0,GWL-H1471)*(GAM_S-GAM_W)+MAX(0,FL-MAX(H1471,GWL))*GAM_D)/(GAM_W*PI()*E1471^2/4))</f>
        <v>12.6459697919348</v>
      </c>
      <c r="AC1471" s="27" t="n">
        <f aca="false">IF(I1471-E1471&gt;=GWL,99,E1471*(MAX(0,GWL-I1471)*(GAM_S-GAM_W)+MAX(0,FL-MAX(I1471,GWL))*GAM_D)/(GAM_W*PI()*E1471^2/4))</f>
        <v>13.1761062228736</v>
      </c>
    </row>
    <row r="1472" customFormat="false" ht="15" hidden="false" customHeight="false" outlineLevel="0" collapsed="false">
      <c r="A1472" s="25" t="s">
        <v>2066</v>
      </c>
      <c r="B1472" s="25" t="s">
        <v>2085</v>
      </c>
      <c r="C1472" s="25" t="s">
        <v>2141</v>
      </c>
      <c r="D1472" s="26" t="n">
        <v>0.0707100002101979</v>
      </c>
      <c r="E1472" s="26" t="n">
        <v>0.630004341609878</v>
      </c>
      <c r="F1472" s="26" t="n">
        <v>-2.96071217080494</v>
      </c>
      <c r="G1472" s="26" t="n">
        <v>-2.96071217080494</v>
      </c>
      <c r="H1472" s="26" t="n">
        <v>-1.83070782919506</v>
      </c>
      <c r="I1472" s="26" t="n">
        <v>-1.83070782919506</v>
      </c>
      <c r="J1472" s="26" t="n">
        <v>9.39</v>
      </c>
      <c r="K1472" s="27" t="n">
        <f aca="false">MIN(F1472,G1472)</f>
        <v>-2.96071217080494</v>
      </c>
      <c r="L1472" s="27" t="n">
        <f aca="false">AVERAGE(F1472,G1472)</f>
        <v>-2.96071217080494</v>
      </c>
      <c r="M1472" s="27" t="n">
        <f aca="false">MAX(0,NG-L1472)</f>
        <v>2.26071217080494</v>
      </c>
      <c r="N1472" s="27" t="n">
        <f aca="false">MAX(0,GWL-K1472)</f>
        <v>1.46071217080494</v>
      </c>
      <c r="O1472" s="27" t="n">
        <f aca="false">MAX(0,NG-MAX(K1472,GWL))</f>
        <v>0.8</v>
      </c>
      <c r="P1472" s="27" t="n">
        <f aca="false">E1472/2+WS+SLOPE_A*O1472+SLOPE_B*N1472</f>
        <v>5.43642651241482</v>
      </c>
      <c r="Q1472" s="28" t="str">
        <f aca="false">IF(AND(P1472&lt;J1472,N1472&lt;=MAXOC),"Open cut","Shoring")</f>
        <v>Open cut</v>
      </c>
      <c r="R1472" s="27" t="n">
        <f aca="false">IF(Q1472="Shoring",D1472,0)</f>
        <v>0</v>
      </c>
      <c r="S1472" s="27" t="n">
        <f aca="false">MAX(0,GWL-L1472)</f>
        <v>1.46071217080494</v>
      </c>
      <c r="T1472" s="27" t="n">
        <f aca="false">MAX(0,NG-MAX(L1472,GWL))</f>
        <v>0.8</v>
      </c>
      <c r="U1472" s="27" t="n">
        <f aca="false">E1472+2*WS</f>
        <v>2.63000434160988</v>
      </c>
      <c r="V1472" s="27" t="n">
        <f aca="false">IF(Q1472="Shoring",D1472*M1472*U1472,0)</f>
        <v>0</v>
      </c>
      <c r="W1472" s="27" t="n">
        <f aca="false">IF(Q1472="Open cut",D1472*(U1472*M1472+SLOPE_B*S1472^2+2*SLOPE_B*S1472*T1472+SLOPE_A*T1472^2),0)</f>
        <v>1.12056413224955</v>
      </c>
      <c r="X1472" s="27" t="n">
        <f aca="false">IF(M1472&gt;0,D1472*(E1472+2*SLABOVH)*SLAB,0)</f>
        <v>0.057628803668929</v>
      </c>
      <c r="Y1472" s="27" t="n">
        <f aca="false">IF(M1472&gt;0,D1472*PI()*E1472^2/4,0)</f>
        <v>0.0220423454602917</v>
      </c>
      <c r="Z1472" s="27" t="n">
        <f aca="false">IF(H1472-E1472&gt;=GWL,99,E1472*(MAX(0,GWL-H1472)*(GAM_S-GAM_W)+MAX(0,NG-MAX(H1472,GWL))*GAM_D)/(GAM_W*PI()*E1472^2/4))</f>
        <v>3.5245966973778</v>
      </c>
      <c r="AA1472" s="27" t="n">
        <f aca="false">IF(I1472-E1472&gt;=GWL,99,E1472*(MAX(0,GWL-I1472)*(GAM_S-GAM_W)+MAX(0,NG-MAX(I1472,GWL))*GAM_D)/(GAM_W*PI()*E1472^2/4))</f>
        <v>3.5245966973778</v>
      </c>
      <c r="AB1472" s="27" t="n">
        <f aca="false">IF(H1472-E1472&gt;=GWL,99,E1472*(MAX(0,GWL-H1472)*(GAM_S-GAM_W)+MAX(0,FL-MAX(H1472,GWL))*GAM_D)/(GAM_W*PI()*E1472^2/4))</f>
        <v>9.82863720872684</v>
      </c>
      <c r="AC1472" s="27" t="n">
        <f aca="false">IF(I1472-E1472&gt;=GWL,99,E1472*(MAX(0,GWL-I1472)*(GAM_S-GAM_W)+MAX(0,FL-MAX(I1472,GWL))*GAM_D)/(GAM_W*PI()*E1472^2/4))</f>
        <v>9.82863720872684</v>
      </c>
    </row>
    <row r="1473" customFormat="false" ht="15" hidden="false" customHeight="false" outlineLevel="0" collapsed="false">
      <c r="A1473" s="25" t="s">
        <v>2142</v>
      </c>
      <c r="B1473" s="25" t="s">
        <v>2143</v>
      </c>
      <c r="C1473" s="25" t="s">
        <v>2144</v>
      </c>
      <c r="D1473" s="26" t="n">
        <v>3.46003862999733</v>
      </c>
      <c r="E1473" s="26" t="n">
        <v>1.19999301659359</v>
      </c>
      <c r="F1473" s="26" t="n">
        <v>-2.59999650829679</v>
      </c>
      <c r="G1473" s="26" t="n">
        <v>-2.59999650829679</v>
      </c>
      <c r="H1473" s="26" t="n">
        <v>-0.900003491703206</v>
      </c>
      <c r="I1473" s="26" t="n">
        <v>-0.900003491703206</v>
      </c>
      <c r="J1473" s="26" t="n">
        <v>16.37</v>
      </c>
      <c r="K1473" s="27" t="n">
        <f aca="false">MIN(F1473,G1473)</f>
        <v>-2.59999650829679</v>
      </c>
      <c r="L1473" s="27" t="n">
        <f aca="false">AVERAGE(F1473,G1473)</f>
        <v>-2.59999650829679</v>
      </c>
      <c r="M1473" s="27" t="n">
        <f aca="false">MAX(0,NG-L1473)</f>
        <v>1.89999650829679</v>
      </c>
      <c r="N1473" s="27" t="n">
        <f aca="false">MAX(0,GWL-K1473)</f>
        <v>1.09999650829679</v>
      </c>
      <c r="O1473" s="27" t="n">
        <f aca="false">MAX(0,NG-MAX(K1473,GWL))</f>
        <v>0.8</v>
      </c>
      <c r="P1473" s="27" t="n">
        <f aca="false">E1473/2+WS+SLOPE_A*O1473+SLOPE_B*N1473</f>
        <v>4.99998952489038</v>
      </c>
      <c r="Q1473" s="28" t="str">
        <f aca="false">IF(AND(P1473&lt;J1473,N1473&lt;=MAXOC),"Open cut","Shoring")</f>
        <v>Open cut</v>
      </c>
      <c r="R1473" s="27" t="n">
        <f aca="false">IF(Q1473="Shoring",D1473,0)</f>
        <v>0</v>
      </c>
      <c r="S1473" s="27" t="n">
        <f aca="false">MAX(0,GWL-L1473)</f>
        <v>1.09999650829679</v>
      </c>
      <c r="T1473" s="27" t="n">
        <f aca="false">MAX(0,NG-MAX(L1473,GWL))</f>
        <v>0.8</v>
      </c>
      <c r="U1473" s="27" t="n">
        <f aca="false">E1473+2*WS</f>
        <v>3.19999301659359</v>
      </c>
      <c r="V1473" s="27" t="n">
        <f aca="false">IF(Q1473="Shoring",D1473*M1473*U1473,0)</f>
        <v>0</v>
      </c>
      <c r="W1473" s="27" t="n">
        <f aca="false">IF(Q1473="Open cut",D1473*(U1473*M1473+SLOPE_B*S1473^2+2*SLOPE_B*S1473*T1473+SLOPE_A*T1473^2),0)</f>
        <v>44.9111250286856</v>
      </c>
      <c r="X1473" s="27" t="n">
        <f aca="false">IF(M1473&gt;0,D1473*(E1473+2*SLABOVH)*SLAB,0)</f>
        <v>3.80603041156908</v>
      </c>
      <c r="Y1473" s="27" t="n">
        <f aca="false">IF(M1473&gt;0,D1473*PI()*E1473^2/4,0)</f>
        <v>3.91316595303122</v>
      </c>
      <c r="Z1473" s="27" t="n">
        <f aca="false">IF(H1473-E1473&gt;=GWL,99,E1473*(MAX(0,GWL-H1473)*(GAM_S-GAM_W)+MAX(0,NG-MAX(H1473,GWL))*GAM_D)/(GAM_W*PI()*E1473^2/4))</f>
        <v>0.389378955169718</v>
      </c>
      <c r="AA1473" s="27" t="n">
        <f aca="false">IF(I1473-E1473&gt;=GWL,99,E1473*(MAX(0,GWL-I1473)*(GAM_S-GAM_W)+MAX(0,NG-MAX(I1473,GWL))*GAM_D)/(GAM_W*PI()*E1473^2/4))</f>
        <v>0.389378955169718</v>
      </c>
      <c r="AB1473" s="27" t="n">
        <f aca="false">IF(H1473-E1473&gt;=GWL,99,E1473*(MAX(0,GWL-H1473)*(GAM_S-GAM_W)+MAX(0,FL-MAX(H1473,GWL))*GAM_D)/(GAM_W*PI()*E1473^2/4))</f>
        <v>3.6990422923019</v>
      </c>
      <c r="AC1473" s="27" t="n">
        <f aca="false">IF(I1473-E1473&gt;=GWL,99,E1473*(MAX(0,GWL-I1473)*(GAM_S-GAM_W)+MAX(0,FL-MAX(I1473,GWL))*GAM_D)/(GAM_W*PI()*E1473^2/4))</f>
        <v>3.6990422923019</v>
      </c>
    </row>
    <row r="1474" customFormat="false" ht="15" hidden="false" customHeight="false" outlineLevel="0" collapsed="false">
      <c r="A1474" s="25" t="s">
        <v>2142</v>
      </c>
      <c r="B1474" s="25" t="s">
        <v>2143</v>
      </c>
      <c r="C1474" s="25" t="s">
        <v>2145</v>
      </c>
      <c r="D1474" s="26" t="n">
        <v>0.210001707616625</v>
      </c>
      <c r="E1474" s="26" t="n">
        <v>1.19999402801883</v>
      </c>
      <c r="F1474" s="26" t="n">
        <v>-2.59999701400941</v>
      </c>
      <c r="G1474" s="26" t="n">
        <v>-2.59999701400941</v>
      </c>
      <c r="H1474" s="26" t="n">
        <v>-0.900002985990588</v>
      </c>
      <c r="I1474" s="26" t="n">
        <v>-0.900002985990588</v>
      </c>
      <c r="J1474" s="26" t="n">
        <v>16.16</v>
      </c>
      <c r="K1474" s="27" t="n">
        <f aca="false">MIN(F1474,G1474)</f>
        <v>-2.59999701400941</v>
      </c>
      <c r="L1474" s="27" t="n">
        <f aca="false">AVERAGE(F1474,G1474)</f>
        <v>-2.59999701400941</v>
      </c>
      <c r="M1474" s="27" t="n">
        <f aca="false">MAX(0,NG-L1474)</f>
        <v>1.89999701400941</v>
      </c>
      <c r="N1474" s="27" t="n">
        <f aca="false">MAX(0,GWL-K1474)</f>
        <v>1.09999701400941</v>
      </c>
      <c r="O1474" s="27" t="n">
        <f aca="false">MAX(0,NG-MAX(K1474,GWL))</f>
        <v>0.8</v>
      </c>
      <c r="P1474" s="27" t="n">
        <f aca="false">E1474/2+WS+SLOPE_A*O1474+SLOPE_B*N1474</f>
        <v>4.99999104202824</v>
      </c>
      <c r="Q1474" s="28" t="str">
        <f aca="false">IF(AND(P1474&lt;J1474,N1474&lt;=MAXOC),"Open cut","Shoring")</f>
        <v>Open cut</v>
      </c>
      <c r="R1474" s="27" t="n">
        <f aca="false">IF(Q1474="Shoring",D1474,0)</f>
        <v>0</v>
      </c>
      <c r="S1474" s="27" t="n">
        <f aca="false">MAX(0,GWL-L1474)</f>
        <v>1.09999701400941</v>
      </c>
      <c r="T1474" s="27" t="n">
        <f aca="false">MAX(0,NG-MAX(L1474,GWL))</f>
        <v>0.8</v>
      </c>
      <c r="U1474" s="27" t="n">
        <f aca="false">E1474+2*WS</f>
        <v>3.19999402801883</v>
      </c>
      <c r="V1474" s="27" t="n">
        <f aca="false">IF(Q1474="Shoring",D1474*M1474*U1474,0)</f>
        <v>0</v>
      </c>
      <c r="W1474" s="27" t="n">
        <f aca="false">IF(Q1474="Open cut",D1474*(U1474*M1474+SLOPE_B*S1474^2+2*SLOPE_B*S1474*T1474+SLOPE_A*T1474^2),0)</f>
        <v>2.72581300974969</v>
      </c>
      <c r="X1474" s="27" t="n">
        <f aca="false">IF(M1474&gt;0,D1474*(E1474+2*SLABOVH)*SLAB,0)</f>
        <v>0.231001251315165</v>
      </c>
      <c r="Y1474" s="27" t="n">
        <f aca="false">IF(M1474&gt;0,D1474*PI()*E1474^2/4,0)</f>
        <v>0.237503971913896</v>
      </c>
      <c r="Z1474" s="27" t="n">
        <f aca="false">IF(H1474-E1474&gt;=GWL,99,E1474*(MAX(0,GWL-H1474)*(GAM_S-GAM_W)+MAX(0,NG-MAX(H1474,GWL))*GAM_D)/(GAM_W*PI()*E1474^2/4))</f>
        <v>0.389377642427098</v>
      </c>
      <c r="AA1474" s="27" t="n">
        <f aca="false">IF(I1474-E1474&gt;=GWL,99,E1474*(MAX(0,GWL-I1474)*(GAM_S-GAM_W)+MAX(0,NG-MAX(I1474,GWL))*GAM_D)/(GAM_W*PI()*E1474^2/4))</f>
        <v>0.389377642427098</v>
      </c>
      <c r="AB1474" s="27" t="n">
        <f aca="false">IF(H1474-E1474&gt;=GWL,99,E1474*(MAX(0,GWL-H1474)*(GAM_S-GAM_W)+MAX(0,FL-MAX(H1474,GWL))*GAM_D)/(GAM_W*PI()*E1474^2/4))</f>
        <v>3.69903818998121</v>
      </c>
      <c r="AC1474" s="27" t="n">
        <f aca="false">IF(I1474-E1474&gt;=GWL,99,E1474*(MAX(0,GWL-I1474)*(GAM_S-GAM_W)+MAX(0,FL-MAX(I1474,GWL))*GAM_D)/(GAM_W*PI()*E1474^2/4))</f>
        <v>3.69903818998121</v>
      </c>
    </row>
    <row r="1475" customFormat="false" ht="15" hidden="false" customHeight="false" outlineLevel="0" collapsed="false">
      <c r="A1475" s="25" t="s">
        <v>2142</v>
      </c>
      <c r="B1475" s="25" t="s">
        <v>2143</v>
      </c>
      <c r="C1475" s="25" t="s">
        <v>2146</v>
      </c>
      <c r="D1475" s="26" t="n">
        <v>0.200000882177189</v>
      </c>
      <c r="E1475" s="26" t="n">
        <v>1.39999078606543</v>
      </c>
      <c r="F1475" s="26" t="n">
        <v>-2.69999539303271</v>
      </c>
      <c r="G1475" s="26" t="n">
        <v>-2.69999539303271</v>
      </c>
      <c r="H1475" s="26" t="n">
        <v>-0.800004606967287</v>
      </c>
      <c r="I1475" s="26" t="n">
        <v>-0.800004606967287</v>
      </c>
      <c r="J1475" s="26" t="n">
        <v>15.96</v>
      </c>
      <c r="K1475" s="27" t="n">
        <f aca="false">MIN(F1475,G1475)</f>
        <v>-2.69999539303271</v>
      </c>
      <c r="L1475" s="27" t="n">
        <f aca="false">AVERAGE(F1475,G1475)</f>
        <v>-2.69999539303271</v>
      </c>
      <c r="M1475" s="27" t="n">
        <f aca="false">MAX(0,NG-L1475)</f>
        <v>1.99999539303271</v>
      </c>
      <c r="N1475" s="27" t="n">
        <f aca="false">MAX(0,GWL-K1475)</f>
        <v>1.19999539303271</v>
      </c>
      <c r="O1475" s="27" t="n">
        <f aca="false">MAX(0,NG-MAX(K1475,GWL))</f>
        <v>0.8</v>
      </c>
      <c r="P1475" s="27" t="n">
        <f aca="false">E1475/2+WS+SLOPE_A*O1475+SLOPE_B*N1475</f>
        <v>5.29998617909814</v>
      </c>
      <c r="Q1475" s="28" t="str">
        <f aca="false">IF(AND(P1475&lt;J1475,N1475&lt;=MAXOC),"Open cut","Shoring")</f>
        <v>Open cut</v>
      </c>
      <c r="R1475" s="27" t="n">
        <f aca="false">IF(Q1475="Shoring",D1475,0)</f>
        <v>0</v>
      </c>
      <c r="S1475" s="27" t="n">
        <f aca="false">MAX(0,GWL-L1475)</f>
        <v>1.19999539303271</v>
      </c>
      <c r="T1475" s="27" t="n">
        <f aca="false">MAX(0,NG-MAX(L1475,GWL))</f>
        <v>0.8</v>
      </c>
      <c r="U1475" s="27" t="n">
        <f aca="false">E1475+2*WS</f>
        <v>3.39999078606543</v>
      </c>
      <c r="V1475" s="27" t="n">
        <f aca="false">IF(Q1475="Shoring",D1475*M1475*U1475,0)</f>
        <v>0</v>
      </c>
      <c r="W1475" s="27" t="n">
        <f aca="false">IF(Q1475="Open cut",D1475*(U1475*M1475+SLOPE_B*S1475^2+2*SLOPE_B*S1475*T1475+SLOPE_A*T1475^2),0)</f>
        <v>2.89599858442084</v>
      </c>
      <c r="X1475" s="27" t="n">
        <f aca="false">IF(M1475&gt;0,D1475*(E1475+2*SLABOVH)*SLAB,0)</f>
        <v>0.240000137215105</v>
      </c>
      <c r="Y1475" s="27" t="n">
        <f aca="false">IF(M1475&gt;0,D1475*PI()*E1475^2/4,0)</f>
        <v>0.307873385553451</v>
      </c>
      <c r="Z1475" s="27" t="n">
        <f aca="false">IF(H1475-E1475&gt;=GWL,99,E1475*(MAX(0,GWL-H1475)*(GAM_S-GAM_W)+MAX(0,NG-MAX(H1475,GWL))*GAM_D)/(GAM_W*PI()*E1475^2/4))</f>
        <v>0.166881596668584</v>
      </c>
      <c r="AA1475" s="27" t="n">
        <f aca="false">IF(I1475-E1475&gt;=GWL,99,E1475*(MAX(0,GWL-I1475)*(GAM_S-GAM_W)+MAX(0,NG-MAX(I1475,GWL))*GAM_D)/(GAM_W*PI()*E1475^2/4))</f>
        <v>0.166881596668584</v>
      </c>
      <c r="AB1475" s="27" t="n">
        <f aca="false">IF(H1475-E1475&gt;=GWL,99,E1475*(MAX(0,GWL-H1475)*(GAM_S-GAM_W)+MAX(0,FL-MAX(H1475,GWL))*GAM_D)/(GAM_W*PI()*E1475^2/4))</f>
        <v>3.00373804698586</v>
      </c>
      <c r="AC1475" s="27" t="n">
        <f aca="false">IF(I1475-E1475&gt;=GWL,99,E1475*(MAX(0,GWL-I1475)*(GAM_S-GAM_W)+MAX(0,FL-MAX(I1475,GWL))*GAM_D)/(GAM_W*PI()*E1475^2/4))</f>
        <v>3.00373804698586</v>
      </c>
    </row>
    <row r="1476" customFormat="false" ht="15" hidden="false" customHeight="false" outlineLevel="0" collapsed="false">
      <c r="A1476" s="25" t="s">
        <v>2142</v>
      </c>
      <c r="B1476" s="25" t="s">
        <v>2143</v>
      </c>
      <c r="C1476" s="25" t="s">
        <v>2147</v>
      </c>
      <c r="D1476" s="26" t="n">
        <v>3.43117999971878</v>
      </c>
      <c r="E1476" s="26" t="n">
        <v>1.59999643311772</v>
      </c>
      <c r="F1476" s="26" t="n">
        <v>-2.79999821655886</v>
      </c>
      <c r="G1476" s="26" t="n">
        <v>-2.79999821655886</v>
      </c>
      <c r="H1476" s="26" t="n">
        <v>-0.700001783441139</v>
      </c>
      <c r="I1476" s="26" t="n">
        <v>-0.700001783441139</v>
      </c>
      <c r="J1476" s="26" t="n">
        <v>12.53</v>
      </c>
      <c r="K1476" s="27" t="n">
        <f aca="false">MIN(F1476,G1476)</f>
        <v>-2.79999821655886</v>
      </c>
      <c r="L1476" s="27" t="n">
        <f aca="false">AVERAGE(F1476,G1476)</f>
        <v>-2.79999821655886</v>
      </c>
      <c r="M1476" s="27" t="n">
        <f aca="false">MAX(0,NG-L1476)</f>
        <v>2.09999821655886</v>
      </c>
      <c r="N1476" s="27" t="n">
        <f aca="false">MAX(0,GWL-K1476)</f>
        <v>1.29999821655886</v>
      </c>
      <c r="O1476" s="27" t="n">
        <f aca="false">MAX(0,NG-MAX(K1476,GWL))</f>
        <v>0.8</v>
      </c>
      <c r="P1476" s="27" t="n">
        <f aca="false">E1476/2+WS+SLOPE_A*O1476+SLOPE_B*N1476</f>
        <v>5.59999464967658</v>
      </c>
      <c r="Q1476" s="28" t="str">
        <f aca="false">IF(AND(P1476&lt;J1476,N1476&lt;=MAXOC),"Open cut","Shoring")</f>
        <v>Open cut</v>
      </c>
      <c r="R1476" s="27" t="n">
        <f aca="false">IF(Q1476="Shoring",D1476,0)</f>
        <v>0</v>
      </c>
      <c r="S1476" s="27" t="n">
        <f aca="false">MAX(0,GWL-L1476)</f>
        <v>1.29999821655886</v>
      </c>
      <c r="T1476" s="27" t="n">
        <f aca="false">MAX(0,NG-MAX(L1476,GWL))</f>
        <v>0.8</v>
      </c>
      <c r="U1476" s="27" t="n">
        <f aca="false">E1476+2*WS</f>
        <v>3.59999643311772</v>
      </c>
      <c r="V1476" s="27" t="n">
        <f aca="false">IF(Q1476="Shoring",D1476*M1476*U1476,0)</f>
        <v>0</v>
      </c>
      <c r="W1476" s="27" t="n">
        <f aca="false">IF(Q1476="Open cut",D1476*(U1476*M1476+SLOPE_B*S1476^2+2*SLOPE_B*S1476*T1476+SLOPE_A*T1476^2),0)</f>
        <v>55.1046516627446</v>
      </c>
      <c r="X1476" s="27" t="n">
        <f aca="false">IF(M1476&gt;0,D1476*(E1476+2*SLABOVH)*SLAB,0)</f>
        <v>4.46052788032684</v>
      </c>
      <c r="Y1476" s="27" t="n">
        <f aca="false">IF(M1476&gt;0,D1476*PI()*E1476^2/4,0)</f>
        <v>6.89876596440644</v>
      </c>
      <c r="Z1476" s="27" t="n">
        <f aca="false">IF(H1476-E1476&gt;=GWL,99,E1476*(MAX(0,GWL-H1476)*(GAM_S-GAM_W)+MAX(0,NG-MAX(H1476,GWL))*GAM_D)/(GAM_W*PI()*E1476^2/4))</f>
        <v>2.60407436475257E-006</v>
      </c>
      <c r="AA1476" s="27" t="n">
        <f aca="false">IF(I1476-E1476&gt;=GWL,99,E1476*(MAX(0,GWL-I1476)*(GAM_S-GAM_W)+MAX(0,NG-MAX(I1476,GWL))*GAM_D)/(GAM_W*PI()*E1476^2/4))</f>
        <v>2.60407436475257E-006</v>
      </c>
      <c r="AB1476" s="27" t="n">
        <f aca="false">IF(H1476-E1476&gt;=GWL,99,E1476*(MAX(0,GWL-H1476)*(GAM_S-GAM_W)+MAX(0,FL-MAX(H1476,GWL))*GAM_D)/(GAM_W*PI()*E1476^2/4))</f>
        <v>2.48224119512892</v>
      </c>
      <c r="AC1476" s="27" t="n">
        <f aca="false">IF(I1476-E1476&gt;=GWL,99,E1476*(MAX(0,GWL-I1476)*(GAM_S-GAM_W)+MAX(0,FL-MAX(I1476,GWL))*GAM_D)/(GAM_W*PI()*E1476^2/4))</f>
        <v>2.48224119512892</v>
      </c>
    </row>
    <row r="1477" customFormat="false" ht="15" hidden="false" customHeight="false" outlineLevel="0" collapsed="false">
      <c r="A1477" s="25" t="s">
        <v>2142</v>
      </c>
      <c r="B1477" s="25" t="s">
        <v>2143</v>
      </c>
      <c r="C1477" s="25" t="s">
        <v>2148</v>
      </c>
      <c r="D1477" s="26" t="n">
        <v>0.204995859795067</v>
      </c>
      <c r="E1477" s="26" t="n">
        <v>1.59999643311772</v>
      </c>
      <c r="F1477" s="26" t="n">
        <v>-2.79999821655886</v>
      </c>
      <c r="G1477" s="26" t="n">
        <v>-2.79999821655886</v>
      </c>
      <c r="H1477" s="26" t="n">
        <v>-0.700001783441139</v>
      </c>
      <c r="I1477" s="26" t="n">
        <v>-0.700001783441139</v>
      </c>
      <c r="J1477" s="26" t="n">
        <v>12.32</v>
      </c>
      <c r="K1477" s="27" t="n">
        <f aca="false">MIN(F1477,G1477)</f>
        <v>-2.79999821655886</v>
      </c>
      <c r="L1477" s="27" t="n">
        <f aca="false">AVERAGE(F1477,G1477)</f>
        <v>-2.79999821655886</v>
      </c>
      <c r="M1477" s="27" t="n">
        <f aca="false">MAX(0,NG-L1477)</f>
        <v>2.09999821655886</v>
      </c>
      <c r="N1477" s="27" t="n">
        <f aca="false">MAX(0,GWL-K1477)</f>
        <v>1.29999821655886</v>
      </c>
      <c r="O1477" s="27" t="n">
        <f aca="false">MAX(0,NG-MAX(K1477,GWL))</f>
        <v>0.8</v>
      </c>
      <c r="P1477" s="27" t="n">
        <f aca="false">E1477/2+WS+SLOPE_A*O1477+SLOPE_B*N1477</f>
        <v>5.59999464967658</v>
      </c>
      <c r="Q1477" s="28" t="str">
        <f aca="false">IF(AND(P1477&lt;J1477,N1477&lt;=MAXOC),"Open cut","Shoring")</f>
        <v>Open cut</v>
      </c>
      <c r="R1477" s="27" t="n">
        <f aca="false">IF(Q1477="Shoring",D1477,0)</f>
        <v>0</v>
      </c>
      <c r="S1477" s="27" t="n">
        <f aca="false">MAX(0,GWL-L1477)</f>
        <v>1.29999821655886</v>
      </c>
      <c r="T1477" s="27" t="n">
        <f aca="false">MAX(0,NG-MAX(L1477,GWL))</f>
        <v>0.8</v>
      </c>
      <c r="U1477" s="27" t="n">
        <f aca="false">E1477+2*WS</f>
        <v>3.59999643311772</v>
      </c>
      <c r="V1477" s="27" t="n">
        <f aca="false">IF(Q1477="Shoring",D1477*M1477*U1477,0)</f>
        <v>0</v>
      </c>
      <c r="W1477" s="27" t="n">
        <f aca="false">IF(Q1477="Open cut",D1477*(U1477*M1477+SLOPE_B*S1477^2+2*SLOPE_B*S1477*T1477+SLOPE_A*T1477^2),0)</f>
        <v>3.29222758562297</v>
      </c>
      <c r="X1477" s="27" t="n">
        <f aca="false">IF(M1477&gt;0,D1477*(E1477+2*SLABOVH)*SLAB,0)</f>
        <v>0.266494252135537</v>
      </c>
      <c r="Y1477" s="27" t="n">
        <f aca="false">IF(M1477&gt;0,D1477*PI()*E1477^2/4,0)</f>
        <v>0.412166794080856</v>
      </c>
      <c r="Z1477" s="27" t="n">
        <f aca="false">IF(H1477-E1477&gt;=GWL,99,E1477*(MAX(0,GWL-H1477)*(GAM_S-GAM_W)+MAX(0,NG-MAX(H1477,GWL))*GAM_D)/(GAM_W*PI()*E1477^2/4))</f>
        <v>2.60407436475257E-006</v>
      </c>
      <c r="AA1477" s="27" t="n">
        <f aca="false">IF(I1477-E1477&gt;=GWL,99,E1477*(MAX(0,GWL-I1477)*(GAM_S-GAM_W)+MAX(0,NG-MAX(I1477,GWL))*GAM_D)/(GAM_W*PI()*E1477^2/4))</f>
        <v>2.60407436475257E-006</v>
      </c>
      <c r="AB1477" s="27" t="n">
        <f aca="false">IF(H1477-E1477&gt;=GWL,99,E1477*(MAX(0,GWL-H1477)*(GAM_S-GAM_W)+MAX(0,FL-MAX(H1477,GWL))*GAM_D)/(GAM_W*PI()*E1477^2/4))</f>
        <v>2.48224119512892</v>
      </c>
      <c r="AC1477" s="27" t="n">
        <f aca="false">IF(I1477-E1477&gt;=GWL,99,E1477*(MAX(0,GWL-I1477)*(GAM_S-GAM_W)+MAX(0,FL-MAX(I1477,GWL))*GAM_D)/(GAM_W*PI()*E1477^2/4))</f>
        <v>2.48224119512892</v>
      </c>
    </row>
    <row r="1478" customFormat="false" ht="15" hidden="false" customHeight="false" outlineLevel="0" collapsed="false">
      <c r="A1478" s="25" t="s">
        <v>2142</v>
      </c>
      <c r="B1478" s="25" t="s">
        <v>2143</v>
      </c>
      <c r="C1478" s="25" t="s">
        <v>2149</v>
      </c>
      <c r="D1478" s="26" t="n">
        <v>2.49378292092175</v>
      </c>
      <c r="E1478" s="26" t="n">
        <v>1.63340004130412</v>
      </c>
      <c r="F1478" s="26" t="n">
        <v>-2.81670002065206</v>
      </c>
      <c r="G1478" s="26" t="n">
        <v>-2.81670002065206</v>
      </c>
      <c r="H1478" s="26" t="n">
        <v>-0.683299979347938</v>
      </c>
      <c r="I1478" s="26" t="n">
        <v>-0.683299979347938</v>
      </c>
      <c r="J1478" s="26" t="n">
        <v>9.83</v>
      </c>
      <c r="K1478" s="27" t="n">
        <f aca="false">MIN(F1478,G1478)</f>
        <v>-2.81670002065206</v>
      </c>
      <c r="L1478" s="27" t="n">
        <f aca="false">AVERAGE(F1478,G1478)</f>
        <v>-2.81670002065206</v>
      </c>
      <c r="M1478" s="27" t="n">
        <f aca="false">MAX(0,NG-L1478)</f>
        <v>2.11670002065206</v>
      </c>
      <c r="N1478" s="27" t="n">
        <f aca="false">MAX(0,GWL-K1478)</f>
        <v>1.31670002065206</v>
      </c>
      <c r="O1478" s="27" t="n">
        <f aca="false">MAX(0,NG-MAX(K1478,GWL))</f>
        <v>0.8</v>
      </c>
      <c r="P1478" s="27" t="n">
        <f aca="false">E1478/2+WS+SLOPE_A*O1478+SLOPE_B*N1478</f>
        <v>5.65010006195619</v>
      </c>
      <c r="Q1478" s="28" t="str">
        <f aca="false">IF(AND(P1478&lt;J1478,N1478&lt;=MAXOC),"Open cut","Shoring")</f>
        <v>Open cut</v>
      </c>
      <c r="R1478" s="27" t="n">
        <f aca="false">IF(Q1478="Shoring",D1478,0)</f>
        <v>0</v>
      </c>
      <c r="S1478" s="27" t="n">
        <f aca="false">MAX(0,GWL-L1478)</f>
        <v>1.31670002065206</v>
      </c>
      <c r="T1478" s="27" t="n">
        <f aca="false">MAX(0,NG-MAX(L1478,GWL))</f>
        <v>0.8</v>
      </c>
      <c r="U1478" s="27" t="n">
        <f aca="false">E1478+2*WS</f>
        <v>3.63340004130412</v>
      </c>
      <c r="V1478" s="27" t="n">
        <f aca="false">IF(Q1478="Shoring",D1478*M1478*U1478,0)</f>
        <v>0</v>
      </c>
      <c r="W1478" s="27" t="n">
        <f aca="false">IF(Q1478="Open cut",D1478*(U1478*M1478+SLOPE_B*S1478^2+2*SLOPE_B*S1478*T1478+SLOPE_A*T1478^2),0)</f>
        <v>40.7276045471139</v>
      </c>
      <c r="X1478" s="27" t="n">
        <f aca="false">IF(M1478&gt;0,D1478*(E1478+2*SLABOVH)*SLAB,0)</f>
        <v>3.28356402347943</v>
      </c>
      <c r="Y1478" s="27" t="n">
        <f aca="false">IF(M1478&gt;0,D1478*PI()*E1478^2/4,0)</f>
        <v>5.22556978741883</v>
      </c>
      <c r="Z1478" s="27" t="n">
        <f aca="false">IF(H1478-E1478&gt;=GWL,99,E1478*(MAX(0,GWL-H1478)*(GAM_S-GAM_W)+MAX(0,NG-MAX(H1478,GWL))*GAM_D)/(GAM_W*PI()*E1478^2/4))</f>
        <v>0</v>
      </c>
      <c r="AA1478" s="27" t="n">
        <f aca="false">IF(I1478-E1478&gt;=GWL,99,E1478*(MAX(0,GWL-I1478)*(GAM_S-GAM_W)+MAX(0,NG-MAX(I1478,GWL))*GAM_D)/(GAM_W*PI()*E1478^2/4))</f>
        <v>0</v>
      </c>
      <c r="AB1478" s="27" t="n">
        <f aca="false">IF(H1478-E1478&gt;=GWL,99,E1478*(MAX(0,GWL-H1478)*(GAM_S-GAM_W)+MAX(0,FL-MAX(H1478,GWL))*GAM_D)/(GAM_W*PI()*E1478^2/4))</f>
        <v>2.40759022960046</v>
      </c>
      <c r="AC1478" s="27" t="n">
        <f aca="false">IF(I1478-E1478&gt;=GWL,99,E1478*(MAX(0,GWL-I1478)*(GAM_S-GAM_W)+MAX(0,FL-MAX(I1478,GWL))*GAM_D)/(GAM_W*PI()*E1478^2/4))</f>
        <v>2.40759022960046</v>
      </c>
    </row>
    <row r="1479" customFormat="false" ht="15" hidden="false" customHeight="false" outlineLevel="0" collapsed="false">
      <c r="A1479" s="25" t="s">
        <v>2142</v>
      </c>
      <c r="B1479" s="25" t="s">
        <v>2143</v>
      </c>
      <c r="C1479" s="25" t="s">
        <v>2150</v>
      </c>
      <c r="D1479" s="26" t="n">
        <v>0.376781816341554</v>
      </c>
      <c r="E1479" s="26" t="n">
        <v>1.63340004130412</v>
      </c>
      <c r="F1479" s="26" t="n">
        <v>-2.81670002065206</v>
      </c>
      <c r="G1479" s="26" t="n">
        <v>-2.81670002065206</v>
      </c>
      <c r="H1479" s="26" t="n">
        <v>-0.683299979347938</v>
      </c>
      <c r="I1479" s="26" t="n">
        <v>-0.683299979347938</v>
      </c>
      <c r="J1479" s="26" t="n">
        <v>9.45</v>
      </c>
      <c r="K1479" s="27" t="n">
        <f aca="false">MIN(F1479,G1479)</f>
        <v>-2.81670002065206</v>
      </c>
      <c r="L1479" s="27" t="n">
        <f aca="false">AVERAGE(F1479,G1479)</f>
        <v>-2.81670002065206</v>
      </c>
      <c r="M1479" s="27" t="n">
        <f aca="false">MAX(0,NG-L1479)</f>
        <v>2.11670002065206</v>
      </c>
      <c r="N1479" s="27" t="n">
        <f aca="false">MAX(0,GWL-K1479)</f>
        <v>1.31670002065206</v>
      </c>
      <c r="O1479" s="27" t="n">
        <f aca="false">MAX(0,NG-MAX(K1479,GWL))</f>
        <v>0.8</v>
      </c>
      <c r="P1479" s="27" t="n">
        <f aca="false">E1479/2+WS+SLOPE_A*O1479+SLOPE_B*N1479</f>
        <v>5.65010006195619</v>
      </c>
      <c r="Q1479" s="28" t="str">
        <f aca="false">IF(AND(P1479&lt;J1479,N1479&lt;=MAXOC),"Open cut","Shoring")</f>
        <v>Open cut</v>
      </c>
      <c r="R1479" s="27" t="n">
        <f aca="false">IF(Q1479="Shoring",D1479,0)</f>
        <v>0</v>
      </c>
      <c r="S1479" s="27" t="n">
        <f aca="false">MAX(0,GWL-L1479)</f>
        <v>1.31670002065206</v>
      </c>
      <c r="T1479" s="27" t="n">
        <f aca="false">MAX(0,NG-MAX(L1479,GWL))</f>
        <v>0.8</v>
      </c>
      <c r="U1479" s="27" t="n">
        <f aca="false">E1479+2*WS</f>
        <v>3.63340004130412</v>
      </c>
      <c r="V1479" s="27" t="n">
        <f aca="false">IF(Q1479="Shoring",D1479*M1479*U1479,0)</f>
        <v>0</v>
      </c>
      <c r="W1479" s="27" t="n">
        <f aca="false">IF(Q1479="Open cut",D1479*(U1479*M1479+SLOPE_B*S1479^2+2*SLOPE_B*S1479*T1479+SLOPE_A*T1479^2),0)</f>
        <v>6.15347097285843</v>
      </c>
      <c r="X1479" s="27" t="n">
        <f aca="false">IF(M1479&gt;0,D1479*(E1479+2*SLABOVH)*SLAB,0)</f>
        <v>0.496108625358245</v>
      </c>
      <c r="Y1479" s="27" t="n">
        <f aca="false">IF(M1479&gt;0,D1479*PI()*E1479^2/4,0)</f>
        <v>0.789523281840212</v>
      </c>
      <c r="Z1479" s="27" t="n">
        <f aca="false">IF(H1479-E1479&gt;=GWL,99,E1479*(MAX(0,GWL-H1479)*(GAM_S-GAM_W)+MAX(0,NG-MAX(H1479,GWL))*GAM_D)/(GAM_W*PI()*E1479^2/4))</f>
        <v>0</v>
      </c>
      <c r="AA1479" s="27" t="n">
        <f aca="false">IF(I1479-E1479&gt;=GWL,99,E1479*(MAX(0,GWL-I1479)*(GAM_S-GAM_W)+MAX(0,NG-MAX(I1479,GWL))*GAM_D)/(GAM_W*PI()*E1479^2/4))</f>
        <v>0</v>
      </c>
      <c r="AB1479" s="27" t="n">
        <f aca="false">IF(H1479-E1479&gt;=GWL,99,E1479*(MAX(0,GWL-H1479)*(GAM_S-GAM_W)+MAX(0,FL-MAX(H1479,GWL))*GAM_D)/(GAM_W*PI()*E1479^2/4))</f>
        <v>2.40759022960046</v>
      </c>
      <c r="AC1479" s="27" t="n">
        <f aca="false">IF(I1479-E1479&gt;=GWL,99,E1479*(MAX(0,GWL-I1479)*(GAM_S-GAM_W)+MAX(0,FL-MAX(I1479,GWL))*GAM_D)/(GAM_W*PI()*E1479^2/4))</f>
        <v>2.40759022960046</v>
      </c>
    </row>
    <row r="1480" customFormat="false" ht="15" hidden="false" customHeight="false" outlineLevel="0" collapsed="false">
      <c r="A1480" s="25" t="s">
        <v>2142</v>
      </c>
      <c r="B1480" s="25" t="s">
        <v>2143</v>
      </c>
      <c r="C1480" s="25" t="s">
        <v>2151</v>
      </c>
      <c r="D1480" s="26" t="n">
        <v>0.599999999694694</v>
      </c>
      <c r="E1480" s="26" t="n">
        <v>2.04120487124002</v>
      </c>
      <c r="F1480" s="26" t="n">
        <v>-3.02060243562001</v>
      </c>
      <c r="G1480" s="26" t="n">
        <v>-3.02060243562001</v>
      </c>
      <c r="H1480" s="26" t="n">
        <v>-0.479397564379988</v>
      </c>
      <c r="I1480" s="26" t="n">
        <v>-0.479397564379988</v>
      </c>
      <c r="J1480" s="26" t="n">
        <v>8.85</v>
      </c>
      <c r="K1480" s="27" t="n">
        <f aca="false">MIN(F1480,G1480)</f>
        <v>-3.02060243562001</v>
      </c>
      <c r="L1480" s="27" t="n">
        <f aca="false">AVERAGE(F1480,G1480)</f>
        <v>-3.02060243562001</v>
      </c>
      <c r="M1480" s="27" t="n">
        <f aca="false">MAX(0,NG-L1480)</f>
        <v>2.32060243562001</v>
      </c>
      <c r="N1480" s="27" t="n">
        <f aca="false">MAX(0,GWL-K1480)</f>
        <v>1.52060243562001</v>
      </c>
      <c r="O1480" s="27" t="n">
        <f aca="false">MAX(0,NG-MAX(K1480,GWL))</f>
        <v>0.8</v>
      </c>
      <c r="P1480" s="27" t="n">
        <f aca="false">E1480/2+WS+SLOPE_A*O1480+SLOPE_B*N1480</f>
        <v>6.26180730686004</v>
      </c>
      <c r="Q1480" s="28" t="str">
        <f aca="false">IF(AND(P1480&lt;J1480,N1480&lt;=MAXOC),"Open cut","Shoring")</f>
        <v>Open cut</v>
      </c>
      <c r="R1480" s="27" t="n">
        <f aca="false">IF(Q1480="Shoring",D1480,0)</f>
        <v>0</v>
      </c>
      <c r="S1480" s="27" t="n">
        <f aca="false">MAX(0,GWL-L1480)</f>
        <v>1.52060243562001</v>
      </c>
      <c r="T1480" s="27" t="n">
        <f aca="false">MAX(0,NG-MAX(L1480,GWL))</f>
        <v>0.8</v>
      </c>
      <c r="U1480" s="27" t="n">
        <f aca="false">E1480+2*WS</f>
        <v>4.04120487124003</v>
      </c>
      <c r="V1480" s="27" t="n">
        <f aca="false">IF(Q1480="Shoring",D1480*M1480*U1480,0)</f>
        <v>0</v>
      </c>
      <c r="W1480" s="27" t="n">
        <f aca="false">IF(Q1480="Open cut",D1480*(U1480*M1480+SLOPE_B*S1480^2+2*SLOPE_B*S1480*T1480+SLOPE_A*T1480^2),0)</f>
        <v>11.8970527112163</v>
      </c>
      <c r="X1480" s="27" t="n">
        <f aca="false">IF(M1480&gt;0,D1480*(E1480+2*SLABOVH)*SLAB,0)</f>
        <v>0.912361460907759</v>
      </c>
      <c r="Y1480" s="27" t="n">
        <f aca="false">IF(M1480&gt;0,D1480*PI()*E1480^2/4,0)</f>
        <v>1.9634250325396</v>
      </c>
      <c r="Z1480" s="27" t="n">
        <f aca="false">IF(H1480-E1480&gt;=GWL,99,E1480*(MAX(0,GWL-H1480)*(GAM_S-GAM_W)+MAX(0,NG-MAX(H1480,GWL))*GAM_D)/(GAM_W*PI()*E1480^2/4))</f>
        <v>0</v>
      </c>
      <c r="AA1480" s="27" t="n">
        <f aca="false">IF(I1480-E1480&gt;=GWL,99,E1480*(MAX(0,GWL-I1480)*(GAM_S-GAM_W)+MAX(0,NG-MAX(I1480,GWL))*GAM_D)/(GAM_W*PI()*E1480^2/4))</f>
        <v>0</v>
      </c>
      <c r="AB1480" s="27" t="n">
        <f aca="false">IF(H1480-E1480&gt;=GWL,99,E1480*(MAX(0,GWL-H1480)*(GAM_S-GAM_W)+MAX(0,FL-MAX(H1480,GWL))*GAM_D)/(GAM_W*PI()*E1480^2/4))</f>
        <v>1.69321426878283</v>
      </c>
      <c r="AC1480" s="27" t="n">
        <f aca="false">IF(I1480-E1480&gt;=GWL,99,E1480*(MAX(0,GWL-I1480)*(GAM_S-GAM_W)+MAX(0,FL-MAX(I1480,GWL))*GAM_D)/(GAM_W*PI()*E1480^2/4))</f>
        <v>1.69321426878283</v>
      </c>
    </row>
    <row r="1481" customFormat="false" ht="15" hidden="false" customHeight="false" outlineLevel="0" collapsed="false">
      <c r="A1481" s="25" t="s">
        <v>2142</v>
      </c>
      <c r="B1481" s="25" t="s">
        <v>2143</v>
      </c>
      <c r="C1481" s="25" t="s">
        <v>2152</v>
      </c>
      <c r="D1481" s="26" t="n">
        <v>2.00000000049582</v>
      </c>
      <c r="E1481" s="26" t="n">
        <v>2.04120487124002</v>
      </c>
      <c r="F1481" s="26" t="n">
        <v>-3.02060243562001</v>
      </c>
      <c r="G1481" s="26" t="n">
        <v>-3.02060243562001</v>
      </c>
      <c r="H1481" s="26" t="n">
        <v>-0.479397564379988</v>
      </c>
      <c r="I1481" s="26" t="n">
        <v>-0.479397564379988</v>
      </c>
      <c r="J1481" s="26" t="n">
        <v>6.85</v>
      </c>
      <c r="K1481" s="27" t="n">
        <f aca="false">MIN(F1481,G1481)</f>
        <v>-3.02060243562001</v>
      </c>
      <c r="L1481" s="27" t="n">
        <f aca="false">AVERAGE(F1481,G1481)</f>
        <v>-3.02060243562001</v>
      </c>
      <c r="M1481" s="27" t="n">
        <f aca="false">MAX(0,NG-L1481)</f>
        <v>2.32060243562001</v>
      </c>
      <c r="N1481" s="27" t="n">
        <f aca="false">MAX(0,GWL-K1481)</f>
        <v>1.52060243562001</v>
      </c>
      <c r="O1481" s="27" t="n">
        <f aca="false">MAX(0,NG-MAX(K1481,GWL))</f>
        <v>0.8</v>
      </c>
      <c r="P1481" s="27" t="n">
        <f aca="false">E1481/2+WS+SLOPE_A*O1481+SLOPE_B*N1481</f>
        <v>6.26180730686004</v>
      </c>
      <c r="Q1481" s="28" t="str">
        <f aca="false">IF(AND(P1481&lt;J1481,N1481&lt;=MAXOC),"Open cut","Shoring")</f>
        <v>Open cut</v>
      </c>
      <c r="R1481" s="27" t="n">
        <f aca="false">IF(Q1481="Shoring",D1481,0)</f>
        <v>0</v>
      </c>
      <c r="S1481" s="27" t="n">
        <f aca="false">MAX(0,GWL-L1481)</f>
        <v>1.52060243562001</v>
      </c>
      <c r="T1481" s="27" t="n">
        <f aca="false">MAX(0,NG-MAX(L1481,GWL))</f>
        <v>0.8</v>
      </c>
      <c r="U1481" s="27" t="n">
        <f aca="false">E1481+2*WS</f>
        <v>4.04120487124003</v>
      </c>
      <c r="V1481" s="27" t="n">
        <f aca="false">IF(Q1481="Shoring",D1481*M1481*U1481,0)</f>
        <v>0</v>
      </c>
      <c r="W1481" s="27" t="n">
        <f aca="false">IF(Q1481="Open cut",D1481*(U1481*M1481+SLOPE_B*S1481^2+2*SLOPE_B*S1481*T1481+SLOPE_A*T1481^2),0)</f>
        <v>39.6568424007315</v>
      </c>
      <c r="X1481" s="27" t="n">
        <f aca="false">IF(M1481&gt;0,D1481*(E1481+2*SLABOVH)*SLAB,0)</f>
        <v>3.04120487199397</v>
      </c>
      <c r="Y1481" s="27" t="n">
        <f aca="false">IF(M1481&gt;0,D1481*PI()*E1481^2/4,0)</f>
        <v>6.54475011341808</v>
      </c>
      <c r="Z1481" s="27" t="n">
        <f aca="false">IF(H1481-E1481&gt;=GWL,99,E1481*(MAX(0,GWL-H1481)*(GAM_S-GAM_W)+MAX(0,NG-MAX(H1481,GWL))*GAM_D)/(GAM_W*PI()*E1481^2/4))</f>
        <v>0</v>
      </c>
      <c r="AA1481" s="27" t="n">
        <f aca="false">IF(I1481-E1481&gt;=GWL,99,E1481*(MAX(0,GWL-I1481)*(GAM_S-GAM_W)+MAX(0,NG-MAX(I1481,GWL))*GAM_D)/(GAM_W*PI()*E1481^2/4))</f>
        <v>0</v>
      </c>
      <c r="AB1481" s="27" t="n">
        <f aca="false">IF(H1481-E1481&gt;=GWL,99,E1481*(MAX(0,GWL-H1481)*(GAM_S-GAM_W)+MAX(0,FL-MAX(H1481,GWL))*GAM_D)/(GAM_W*PI()*E1481^2/4))</f>
        <v>1.69321426878283</v>
      </c>
      <c r="AC1481" s="27" t="n">
        <f aca="false">IF(I1481-E1481&gt;=GWL,99,E1481*(MAX(0,GWL-I1481)*(GAM_S-GAM_W)+MAX(0,FL-MAX(I1481,GWL))*GAM_D)/(GAM_W*PI()*E1481^2/4))</f>
        <v>1.69321426878283</v>
      </c>
    </row>
    <row r="1482" customFormat="false" ht="15" hidden="false" customHeight="false" outlineLevel="0" collapsed="false">
      <c r="A1482" s="25" t="s">
        <v>2142</v>
      </c>
      <c r="B1482" s="25" t="s">
        <v>2143</v>
      </c>
      <c r="C1482" s="25" t="s">
        <v>2153</v>
      </c>
      <c r="D1482" s="26" t="n">
        <v>1.99999253745078</v>
      </c>
      <c r="E1482" s="26" t="n">
        <v>2.04110877827935</v>
      </c>
      <c r="F1482" s="26" t="n">
        <v>-3.02055438913968</v>
      </c>
      <c r="G1482" s="26" t="n">
        <v>-3.02055438913968</v>
      </c>
      <c r="H1482" s="26" t="n">
        <v>-0.479445610860324</v>
      </c>
      <c r="I1482" s="26" t="n">
        <v>-0.479445610860324</v>
      </c>
      <c r="J1482" s="26" t="n">
        <v>6.85</v>
      </c>
      <c r="K1482" s="27" t="n">
        <f aca="false">MIN(F1482,G1482)</f>
        <v>-3.02055438913968</v>
      </c>
      <c r="L1482" s="27" t="n">
        <f aca="false">AVERAGE(F1482,G1482)</f>
        <v>-3.02055438913968</v>
      </c>
      <c r="M1482" s="27" t="n">
        <f aca="false">MAX(0,NG-L1482)</f>
        <v>2.32055438913968</v>
      </c>
      <c r="N1482" s="27" t="n">
        <f aca="false">MAX(0,GWL-K1482)</f>
        <v>1.52055438913968</v>
      </c>
      <c r="O1482" s="27" t="n">
        <f aca="false">MAX(0,NG-MAX(K1482,GWL))</f>
        <v>0.8</v>
      </c>
      <c r="P1482" s="27" t="n">
        <f aca="false">E1482/2+WS+SLOPE_A*O1482+SLOPE_B*N1482</f>
        <v>6.26166316741903</v>
      </c>
      <c r="Q1482" s="28" t="str">
        <f aca="false">IF(AND(P1482&lt;J1482,N1482&lt;=MAXOC),"Open cut","Shoring")</f>
        <v>Open cut</v>
      </c>
      <c r="R1482" s="27" t="n">
        <f aca="false">IF(Q1482="Shoring",D1482,0)</f>
        <v>0</v>
      </c>
      <c r="S1482" s="27" t="n">
        <f aca="false">MAX(0,GWL-L1482)</f>
        <v>1.52055438913968</v>
      </c>
      <c r="T1482" s="27" t="n">
        <f aca="false">MAX(0,NG-MAX(L1482,GWL))</f>
        <v>0.8</v>
      </c>
      <c r="U1482" s="27" t="n">
        <f aca="false">E1482+2*WS</f>
        <v>4.04110877827935</v>
      </c>
      <c r="V1482" s="27" t="n">
        <f aca="false">IF(Q1482="Shoring",D1482*M1482*U1482,0)</f>
        <v>0</v>
      </c>
      <c r="W1482" s="27" t="n">
        <f aca="false">IF(Q1482="Open cut",D1482*(U1482*M1482+SLOPE_B*S1482^2+2*SLOPE_B*S1482*T1482+SLOPE_A*T1482^2),0)</f>
        <v>39.6549681525477</v>
      </c>
      <c r="X1482" s="27" t="n">
        <f aca="false">IF(M1482&gt;0,D1482*(E1482+2*SLABOVH)*SLAB,0)</f>
        <v>3.04109743106738</v>
      </c>
      <c r="Y1482" s="27" t="n">
        <f aca="false">IF(M1482&gt;0,D1482*PI()*E1482^2/4,0)</f>
        <v>6.54410949933067</v>
      </c>
      <c r="Z1482" s="27" t="n">
        <f aca="false">IF(H1482-E1482&gt;=GWL,99,E1482*(MAX(0,GWL-H1482)*(GAM_S-GAM_W)+MAX(0,NG-MAX(H1482,GWL))*GAM_D)/(GAM_W*PI()*E1482^2/4))</f>
        <v>0</v>
      </c>
      <c r="AA1482" s="27" t="n">
        <f aca="false">IF(I1482-E1482&gt;=GWL,99,E1482*(MAX(0,GWL-I1482)*(GAM_S-GAM_W)+MAX(0,NG-MAX(I1482,GWL))*GAM_D)/(GAM_W*PI()*E1482^2/4))</f>
        <v>0</v>
      </c>
      <c r="AB1482" s="27" t="n">
        <f aca="false">IF(H1482-E1482&gt;=GWL,99,E1482*(MAX(0,GWL-H1482)*(GAM_S-GAM_W)+MAX(0,FL-MAX(H1482,GWL))*GAM_D)/(GAM_W*PI()*E1482^2/4))</f>
        <v>1.6933489764927</v>
      </c>
      <c r="AC1482" s="27" t="n">
        <f aca="false">IF(I1482-E1482&gt;=GWL,99,E1482*(MAX(0,GWL-I1482)*(GAM_S-GAM_W)+MAX(0,FL-MAX(I1482,GWL))*GAM_D)/(GAM_W*PI()*E1482^2/4))</f>
        <v>1.6933489764927</v>
      </c>
    </row>
    <row r="1483" customFormat="false" ht="15" hidden="false" customHeight="false" outlineLevel="0" collapsed="false">
      <c r="A1483" s="25" t="s">
        <v>2142</v>
      </c>
      <c r="B1483" s="25" t="s">
        <v>2143</v>
      </c>
      <c r="C1483" s="25" t="s">
        <v>2154</v>
      </c>
      <c r="D1483" s="26" t="n">
        <v>5.02322564658764</v>
      </c>
      <c r="E1483" s="26" t="n">
        <v>2.04110877827935</v>
      </c>
      <c r="F1483" s="26" t="n">
        <v>-3.02055438913968</v>
      </c>
      <c r="G1483" s="26" t="n">
        <v>-3.02055438913968</v>
      </c>
      <c r="H1483" s="26" t="n">
        <v>-0.479445610860324</v>
      </c>
      <c r="I1483" s="26" t="n">
        <v>-0.479445610860324</v>
      </c>
      <c r="J1483" s="26" t="n">
        <v>6.85</v>
      </c>
      <c r="K1483" s="27" t="n">
        <f aca="false">MIN(F1483,G1483)</f>
        <v>-3.02055438913968</v>
      </c>
      <c r="L1483" s="27" t="n">
        <f aca="false">AVERAGE(F1483,G1483)</f>
        <v>-3.02055438913968</v>
      </c>
      <c r="M1483" s="27" t="n">
        <f aca="false">MAX(0,NG-L1483)</f>
        <v>2.32055438913968</v>
      </c>
      <c r="N1483" s="27" t="n">
        <f aca="false">MAX(0,GWL-K1483)</f>
        <v>1.52055438913968</v>
      </c>
      <c r="O1483" s="27" t="n">
        <f aca="false">MAX(0,NG-MAX(K1483,GWL))</f>
        <v>0.8</v>
      </c>
      <c r="P1483" s="27" t="n">
        <f aca="false">E1483/2+WS+SLOPE_A*O1483+SLOPE_B*N1483</f>
        <v>6.26166316741903</v>
      </c>
      <c r="Q1483" s="28" t="str">
        <f aca="false">IF(AND(P1483&lt;J1483,N1483&lt;=MAXOC),"Open cut","Shoring")</f>
        <v>Open cut</v>
      </c>
      <c r="R1483" s="27" t="n">
        <f aca="false">IF(Q1483="Shoring",D1483,0)</f>
        <v>0</v>
      </c>
      <c r="S1483" s="27" t="n">
        <f aca="false">MAX(0,GWL-L1483)</f>
        <v>1.52055438913968</v>
      </c>
      <c r="T1483" s="27" t="n">
        <f aca="false">MAX(0,NG-MAX(L1483,GWL))</f>
        <v>0.8</v>
      </c>
      <c r="U1483" s="27" t="n">
        <f aca="false">E1483+2*WS</f>
        <v>4.04110877827935</v>
      </c>
      <c r="V1483" s="27" t="n">
        <f aca="false">IF(Q1483="Shoring",D1483*M1483*U1483,0)</f>
        <v>0</v>
      </c>
      <c r="W1483" s="27" t="n">
        <f aca="false">IF(Q1483="Open cut",D1483*(U1483*M1483+SLOPE_B*S1483^2+2*SLOPE_B*S1483*T1483+SLOPE_A*T1483^2),0)</f>
        <v>99.5982981478481</v>
      </c>
      <c r="X1483" s="27" t="n">
        <f aca="false">IF(M1483&gt;0,D1483*(E1483+2*SLABOVH)*SLAB,0)</f>
        <v>7.63808780455782</v>
      </c>
      <c r="Y1483" s="27" t="n">
        <f aca="false">IF(M1483&gt;0,D1483*PI()*E1483^2/4,0)</f>
        <v>16.4363306640211</v>
      </c>
      <c r="Z1483" s="27" t="n">
        <f aca="false">IF(H1483-E1483&gt;=GWL,99,E1483*(MAX(0,GWL-H1483)*(GAM_S-GAM_W)+MAX(0,NG-MAX(H1483,GWL))*GAM_D)/(GAM_W*PI()*E1483^2/4))</f>
        <v>0</v>
      </c>
      <c r="AA1483" s="27" t="n">
        <f aca="false">IF(I1483-E1483&gt;=GWL,99,E1483*(MAX(0,GWL-I1483)*(GAM_S-GAM_W)+MAX(0,NG-MAX(I1483,GWL))*GAM_D)/(GAM_W*PI()*E1483^2/4))</f>
        <v>0</v>
      </c>
      <c r="AB1483" s="27" t="n">
        <f aca="false">IF(H1483-E1483&gt;=GWL,99,E1483*(MAX(0,GWL-H1483)*(GAM_S-GAM_W)+MAX(0,FL-MAX(H1483,GWL))*GAM_D)/(GAM_W*PI()*E1483^2/4))</f>
        <v>1.6933489764927</v>
      </c>
      <c r="AC1483" s="27" t="n">
        <f aca="false">IF(I1483-E1483&gt;=GWL,99,E1483*(MAX(0,GWL-I1483)*(GAM_S-GAM_W)+MAX(0,FL-MAX(I1483,GWL))*GAM_D)/(GAM_W*PI()*E1483^2/4))</f>
        <v>1.6933489764927</v>
      </c>
    </row>
    <row r="1484" customFormat="false" ht="15" hidden="false" customHeight="false" outlineLevel="0" collapsed="false">
      <c r="A1484" s="25" t="s">
        <v>2142</v>
      </c>
      <c r="B1484" s="25" t="s">
        <v>2143</v>
      </c>
      <c r="C1484" s="25" t="s">
        <v>2155</v>
      </c>
      <c r="D1484" s="26" t="n">
        <v>9.99999999992256</v>
      </c>
      <c r="E1484" s="26" t="n">
        <v>2.04110877827935</v>
      </c>
      <c r="F1484" s="26" t="n">
        <v>-3.02055438913968</v>
      </c>
      <c r="G1484" s="26" t="n">
        <v>-3.02055438913968</v>
      </c>
      <c r="H1484" s="26" t="n">
        <v>-0.479445610860324</v>
      </c>
      <c r="I1484" s="26" t="n">
        <v>-0.479445610860324</v>
      </c>
      <c r="J1484" s="26" t="n">
        <v>6.51</v>
      </c>
      <c r="K1484" s="27" t="n">
        <f aca="false">MIN(F1484,G1484)</f>
        <v>-3.02055438913968</v>
      </c>
      <c r="L1484" s="27" t="n">
        <f aca="false">AVERAGE(F1484,G1484)</f>
        <v>-3.02055438913968</v>
      </c>
      <c r="M1484" s="27" t="n">
        <f aca="false">MAX(0,NG-L1484)</f>
        <v>2.32055438913968</v>
      </c>
      <c r="N1484" s="27" t="n">
        <f aca="false">MAX(0,GWL-K1484)</f>
        <v>1.52055438913968</v>
      </c>
      <c r="O1484" s="27" t="n">
        <f aca="false">MAX(0,NG-MAX(K1484,GWL))</f>
        <v>0.8</v>
      </c>
      <c r="P1484" s="27" t="n">
        <f aca="false">E1484/2+WS+SLOPE_A*O1484+SLOPE_B*N1484</f>
        <v>6.26166316741903</v>
      </c>
      <c r="Q1484" s="28" t="str">
        <f aca="false">IF(AND(P1484&lt;J1484,N1484&lt;=MAXOC),"Open cut","Shoring")</f>
        <v>Open cut</v>
      </c>
      <c r="R1484" s="27" t="n">
        <f aca="false">IF(Q1484="Shoring",D1484,0)</f>
        <v>0</v>
      </c>
      <c r="S1484" s="27" t="n">
        <f aca="false">MAX(0,GWL-L1484)</f>
        <v>1.52055438913968</v>
      </c>
      <c r="T1484" s="27" t="n">
        <f aca="false">MAX(0,NG-MAX(L1484,GWL))</f>
        <v>0.8</v>
      </c>
      <c r="U1484" s="27" t="n">
        <f aca="false">E1484+2*WS</f>
        <v>4.04110877827935</v>
      </c>
      <c r="V1484" s="27" t="n">
        <f aca="false">IF(Q1484="Shoring",D1484*M1484*U1484,0)</f>
        <v>0</v>
      </c>
      <c r="W1484" s="27" t="n">
        <f aca="false">IF(Q1484="Open cut",D1484*(U1484*M1484+SLOPE_B*S1484^2+2*SLOPE_B*S1484*T1484+SLOPE_A*T1484^2),0)</f>
        <v>198.275580581843</v>
      </c>
      <c r="X1484" s="27" t="n">
        <f aca="false">IF(M1484&gt;0,D1484*(E1484+2*SLABOVH)*SLAB,0)</f>
        <v>15.205543891279</v>
      </c>
      <c r="Y1484" s="27" t="n">
        <f aca="false">IF(M1484&gt;0,D1484*PI()*E1484^2/4,0)</f>
        <v>32.7206695862037</v>
      </c>
      <c r="Z1484" s="27" t="n">
        <f aca="false">IF(H1484-E1484&gt;=GWL,99,E1484*(MAX(0,GWL-H1484)*(GAM_S-GAM_W)+MAX(0,NG-MAX(H1484,GWL))*GAM_D)/(GAM_W*PI()*E1484^2/4))</f>
        <v>0</v>
      </c>
      <c r="AA1484" s="27" t="n">
        <f aca="false">IF(I1484-E1484&gt;=GWL,99,E1484*(MAX(0,GWL-I1484)*(GAM_S-GAM_W)+MAX(0,NG-MAX(I1484,GWL))*GAM_D)/(GAM_W*PI()*E1484^2/4))</f>
        <v>0</v>
      </c>
      <c r="AB1484" s="27" t="n">
        <f aca="false">IF(H1484-E1484&gt;=GWL,99,E1484*(MAX(0,GWL-H1484)*(GAM_S-GAM_W)+MAX(0,FL-MAX(H1484,GWL))*GAM_D)/(GAM_W*PI()*E1484^2/4))</f>
        <v>1.6933489764927</v>
      </c>
      <c r="AC1484" s="27" t="n">
        <f aca="false">IF(I1484-E1484&gt;=GWL,99,E1484*(MAX(0,GWL-I1484)*(GAM_S-GAM_W)+MAX(0,FL-MAX(I1484,GWL))*GAM_D)/(GAM_W*PI()*E1484^2/4))</f>
        <v>1.6933489764927</v>
      </c>
    </row>
    <row r="1485" customFormat="false" ht="15" hidden="false" customHeight="false" outlineLevel="0" collapsed="false">
      <c r="A1485" s="25" t="s">
        <v>2142</v>
      </c>
      <c r="B1485" s="25" t="s">
        <v>2143</v>
      </c>
      <c r="C1485" s="25" t="s">
        <v>2156</v>
      </c>
      <c r="D1485" s="26" t="n">
        <v>9.9999999996877</v>
      </c>
      <c r="E1485" s="26" t="n">
        <v>2.04110877827935</v>
      </c>
      <c r="F1485" s="26" t="n">
        <v>-3.02055438913968</v>
      </c>
      <c r="G1485" s="26" t="n">
        <v>-3.02055438913968</v>
      </c>
      <c r="H1485" s="26" t="n">
        <v>-0.479445610860324</v>
      </c>
      <c r="I1485" s="26" t="n">
        <v>-0.479445610860324</v>
      </c>
      <c r="J1485" s="26" t="n">
        <v>5.85</v>
      </c>
      <c r="K1485" s="27" t="n">
        <f aca="false">MIN(F1485,G1485)</f>
        <v>-3.02055438913968</v>
      </c>
      <c r="L1485" s="27" t="n">
        <f aca="false">AVERAGE(F1485,G1485)</f>
        <v>-3.02055438913968</v>
      </c>
      <c r="M1485" s="27" t="n">
        <f aca="false">MAX(0,NG-L1485)</f>
        <v>2.32055438913968</v>
      </c>
      <c r="N1485" s="27" t="n">
        <f aca="false">MAX(0,GWL-K1485)</f>
        <v>1.52055438913968</v>
      </c>
      <c r="O1485" s="27" t="n">
        <f aca="false">MAX(0,NG-MAX(K1485,GWL))</f>
        <v>0.8</v>
      </c>
      <c r="P1485" s="27" t="n">
        <f aca="false">E1485/2+WS+SLOPE_A*O1485+SLOPE_B*N1485</f>
        <v>6.26166316741903</v>
      </c>
      <c r="Q1485" s="28" t="str">
        <f aca="false">IF(AND(P1485&lt;J1485,N1485&lt;=MAXOC),"Open cut","Shoring")</f>
        <v>Shoring</v>
      </c>
      <c r="R1485" s="27" t="n">
        <f aca="false">IF(Q1485="Shoring",D1485,0)</f>
        <v>9.9999999996877</v>
      </c>
      <c r="S1485" s="27" t="n">
        <f aca="false">MAX(0,GWL-L1485)</f>
        <v>1.52055438913968</v>
      </c>
      <c r="T1485" s="27" t="n">
        <f aca="false">MAX(0,NG-MAX(L1485,GWL))</f>
        <v>0.8</v>
      </c>
      <c r="U1485" s="27" t="n">
        <f aca="false">E1485+2*WS</f>
        <v>4.04110877827935</v>
      </c>
      <c r="V1485" s="27" t="n">
        <f aca="false">IF(Q1485="Shoring",D1485*M1485*U1485,0)</f>
        <v>93.7761271213416</v>
      </c>
      <c r="W1485" s="27" t="n">
        <f aca="false">IF(Q1485="Open cut",D1485*(U1485*M1485+SLOPE_B*S1485^2+2*SLOPE_B*S1485*T1485+SLOPE_A*T1485^2),0)</f>
        <v>0</v>
      </c>
      <c r="X1485" s="27" t="n">
        <f aca="false">IF(M1485&gt;0,D1485*(E1485+2*SLABOVH)*SLAB,0)</f>
        <v>15.2055438909219</v>
      </c>
      <c r="Y1485" s="27" t="n">
        <f aca="false">IF(M1485&gt;0,D1485*PI()*E1485^2/4,0)</f>
        <v>32.7206695854352</v>
      </c>
      <c r="Z1485" s="27" t="n">
        <f aca="false">IF(H1485-E1485&gt;=GWL,99,E1485*(MAX(0,GWL-H1485)*(GAM_S-GAM_W)+MAX(0,NG-MAX(H1485,GWL))*GAM_D)/(GAM_W*PI()*E1485^2/4))</f>
        <v>0</v>
      </c>
      <c r="AA1485" s="27" t="n">
        <f aca="false">IF(I1485-E1485&gt;=GWL,99,E1485*(MAX(0,GWL-I1485)*(GAM_S-GAM_W)+MAX(0,NG-MAX(I1485,GWL))*GAM_D)/(GAM_W*PI()*E1485^2/4))</f>
        <v>0</v>
      </c>
      <c r="AB1485" s="27" t="n">
        <f aca="false">IF(H1485-E1485&gt;=GWL,99,E1485*(MAX(0,GWL-H1485)*(GAM_S-GAM_W)+MAX(0,FL-MAX(H1485,GWL))*GAM_D)/(GAM_W*PI()*E1485^2/4))</f>
        <v>1.6933489764927</v>
      </c>
      <c r="AC1485" s="27" t="n">
        <f aca="false">IF(I1485-E1485&gt;=GWL,99,E1485*(MAX(0,GWL-I1485)*(GAM_S-GAM_W)+MAX(0,FL-MAX(I1485,GWL))*GAM_D)/(GAM_W*PI()*E1485^2/4))</f>
        <v>1.6933489764927</v>
      </c>
    </row>
    <row r="1486" customFormat="false" ht="15" hidden="false" customHeight="false" outlineLevel="0" collapsed="false">
      <c r="A1486" s="25" t="s">
        <v>2142</v>
      </c>
      <c r="B1486" s="25" t="s">
        <v>2143</v>
      </c>
      <c r="C1486" s="25" t="s">
        <v>2157</v>
      </c>
      <c r="D1486" s="26" t="n">
        <v>10.0000000003923</v>
      </c>
      <c r="E1486" s="26" t="n">
        <v>2.04110877827935</v>
      </c>
      <c r="F1486" s="26" t="n">
        <v>-3.02055438913968</v>
      </c>
      <c r="G1486" s="26" t="n">
        <v>-3.02055438913968</v>
      </c>
      <c r="H1486" s="26" t="n">
        <v>-0.479445610860324</v>
      </c>
      <c r="I1486" s="26" t="n">
        <v>-0.479445610860324</v>
      </c>
      <c r="J1486" s="26" t="n">
        <v>5.85</v>
      </c>
      <c r="K1486" s="27" t="n">
        <f aca="false">MIN(F1486,G1486)</f>
        <v>-3.02055438913968</v>
      </c>
      <c r="L1486" s="27" t="n">
        <f aca="false">AVERAGE(F1486,G1486)</f>
        <v>-3.02055438913968</v>
      </c>
      <c r="M1486" s="27" t="n">
        <f aca="false">MAX(0,NG-L1486)</f>
        <v>2.32055438913968</v>
      </c>
      <c r="N1486" s="27" t="n">
        <f aca="false">MAX(0,GWL-K1486)</f>
        <v>1.52055438913968</v>
      </c>
      <c r="O1486" s="27" t="n">
        <f aca="false">MAX(0,NG-MAX(K1486,GWL))</f>
        <v>0.8</v>
      </c>
      <c r="P1486" s="27" t="n">
        <f aca="false">E1486/2+WS+SLOPE_A*O1486+SLOPE_B*N1486</f>
        <v>6.26166316741903</v>
      </c>
      <c r="Q1486" s="28" t="str">
        <f aca="false">IF(AND(P1486&lt;J1486,N1486&lt;=MAXOC),"Open cut","Shoring")</f>
        <v>Shoring</v>
      </c>
      <c r="R1486" s="27" t="n">
        <f aca="false">IF(Q1486="Shoring",D1486,0)</f>
        <v>10.0000000003923</v>
      </c>
      <c r="S1486" s="27" t="n">
        <f aca="false">MAX(0,GWL-L1486)</f>
        <v>1.52055438913968</v>
      </c>
      <c r="T1486" s="27" t="n">
        <f aca="false">MAX(0,NG-MAX(L1486,GWL))</f>
        <v>0.8</v>
      </c>
      <c r="U1486" s="27" t="n">
        <f aca="false">E1486+2*WS</f>
        <v>4.04110877827935</v>
      </c>
      <c r="V1486" s="27" t="n">
        <f aca="false">IF(Q1486="Shoring",D1486*M1486*U1486,0)</f>
        <v>93.7761271279488</v>
      </c>
      <c r="W1486" s="27" t="n">
        <f aca="false">IF(Q1486="Open cut",D1486*(U1486*M1486+SLOPE_B*S1486^2+2*SLOPE_B*S1486*T1486+SLOPE_A*T1486^2),0)</f>
        <v>0</v>
      </c>
      <c r="X1486" s="27" t="n">
        <f aca="false">IF(M1486&gt;0,D1486*(E1486+2*SLABOVH)*SLAB,0)</f>
        <v>15.2055438919932</v>
      </c>
      <c r="Y1486" s="27" t="n">
        <f aca="false">IF(M1486&gt;0,D1486*PI()*E1486^2/4,0)</f>
        <v>32.7206695877406</v>
      </c>
      <c r="Z1486" s="27" t="n">
        <f aca="false">IF(H1486-E1486&gt;=GWL,99,E1486*(MAX(0,GWL-H1486)*(GAM_S-GAM_W)+MAX(0,NG-MAX(H1486,GWL))*GAM_D)/(GAM_W*PI()*E1486^2/4))</f>
        <v>0</v>
      </c>
      <c r="AA1486" s="27" t="n">
        <f aca="false">IF(I1486-E1486&gt;=GWL,99,E1486*(MAX(0,GWL-I1486)*(GAM_S-GAM_W)+MAX(0,NG-MAX(I1486,GWL))*GAM_D)/(GAM_W*PI()*E1486^2/4))</f>
        <v>0</v>
      </c>
      <c r="AB1486" s="27" t="n">
        <f aca="false">IF(H1486-E1486&gt;=GWL,99,E1486*(MAX(0,GWL-H1486)*(GAM_S-GAM_W)+MAX(0,FL-MAX(H1486,GWL))*GAM_D)/(GAM_W*PI()*E1486^2/4))</f>
        <v>1.6933489764927</v>
      </c>
      <c r="AC1486" s="27" t="n">
        <f aca="false">IF(I1486-E1486&gt;=GWL,99,E1486*(MAX(0,GWL-I1486)*(GAM_S-GAM_W)+MAX(0,FL-MAX(I1486,GWL))*GAM_D)/(GAM_W*PI()*E1486^2/4))</f>
        <v>1.6933489764927</v>
      </c>
    </row>
    <row r="1487" customFormat="false" ht="15" hidden="false" customHeight="false" outlineLevel="0" collapsed="false">
      <c r="A1487" s="25" t="s">
        <v>2142</v>
      </c>
      <c r="B1487" s="25" t="s">
        <v>2143</v>
      </c>
      <c r="C1487" s="25" t="s">
        <v>2158</v>
      </c>
      <c r="D1487" s="26" t="n">
        <v>9.99999999992256</v>
      </c>
      <c r="E1487" s="26" t="n">
        <v>2.04110877827935</v>
      </c>
      <c r="F1487" s="26" t="n">
        <v>-3.02055438913968</v>
      </c>
      <c r="G1487" s="26" t="n">
        <v>-3.02055438913968</v>
      </c>
      <c r="H1487" s="26" t="n">
        <v>-0.479445610860324</v>
      </c>
      <c r="I1487" s="26" t="n">
        <v>-0.479445610860324</v>
      </c>
      <c r="J1487" s="26" t="n">
        <v>5.85</v>
      </c>
      <c r="K1487" s="27" t="n">
        <f aca="false">MIN(F1487,G1487)</f>
        <v>-3.02055438913968</v>
      </c>
      <c r="L1487" s="27" t="n">
        <f aca="false">AVERAGE(F1487,G1487)</f>
        <v>-3.02055438913968</v>
      </c>
      <c r="M1487" s="27" t="n">
        <f aca="false">MAX(0,NG-L1487)</f>
        <v>2.32055438913968</v>
      </c>
      <c r="N1487" s="27" t="n">
        <f aca="false">MAX(0,GWL-K1487)</f>
        <v>1.52055438913968</v>
      </c>
      <c r="O1487" s="27" t="n">
        <f aca="false">MAX(0,NG-MAX(K1487,GWL))</f>
        <v>0.8</v>
      </c>
      <c r="P1487" s="27" t="n">
        <f aca="false">E1487/2+WS+SLOPE_A*O1487+SLOPE_B*N1487</f>
        <v>6.26166316741903</v>
      </c>
      <c r="Q1487" s="28" t="str">
        <f aca="false">IF(AND(P1487&lt;J1487,N1487&lt;=MAXOC),"Open cut","Shoring")</f>
        <v>Shoring</v>
      </c>
      <c r="R1487" s="27" t="n">
        <f aca="false">IF(Q1487="Shoring",D1487,0)</f>
        <v>9.99999999992256</v>
      </c>
      <c r="S1487" s="27" t="n">
        <f aca="false">MAX(0,GWL-L1487)</f>
        <v>1.52055438913968</v>
      </c>
      <c r="T1487" s="27" t="n">
        <f aca="false">MAX(0,NG-MAX(L1487,GWL))</f>
        <v>0.8</v>
      </c>
      <c r="U1487" s="27" t="n">
        <f aca="false">E1487+2*WS</f>
        <v>4.04110877827935</v>
      </c>
      <c r="V1487" s="27" t="n">
        <f aca="false">IF(Q1487="Shoring",D1487*M1487*U1487,0)</f>
        <v>93.776127123544</v>
      </c>
      <c r="W1487" s="27" t="n">
        <f aca="false">IF(Q1487="Open cut",D1487*(U1487*M1487+SLOPE_B*S1487^2+2*SLOPE_B*S1487*T1487+SLOPE_A*T1487^2),0)</f>
        <v>0</v>
      </c>
      <c r="X1487" s="27" t="n">
        <f aca="false">IF(M1487&gt;0,D1487*(E1487+2*SLABOVH)*SLAB,0)</f>
        <v>15.205543891279</v>
      </c>
      <c r="Y1487" s="27" t="n">
        <f aca="false">IF(M1487&gt;0,D1487*PI()*E1487^2/4,0)</f>
        <v>32.7206695862037</v>
      </c>
      <c r="Z1487" s="27" t="n">
        <f aca="false">IF(H1487-E1487&gt;=GWL,99,E1487*(MAX(0,GWL-H1487)*(GAM_S-GAM_W)+MAX(0,NG-MAX(H1487,GWL))*GAM_D)/(GAM_W*PI()*E1487^2/4))</f>
        <v>0</v>
      </c>
      <c r="AA1487" s="27" t="n">
        <f aca="false">IF(I1487-E1487&gt;=GWL,99,E1487*(MAX(0,GWL-I1487)*(GAM_S-GAM_W)+MAX(0,NG-MAX(I1487,GWL))*GAM_D)/(GAM_W*PI()*E1487^2/4))</f>
        <v>0</v>
      </c>
      <c r="AB1487" s="27" t="n">
        <f aca="false">IF(H1487-E1487&gt;=GWL,99,E1487*(MAX(0,GWL-H1487)*(GAM_S-GAM_W)+MAX(0,FL-MAX(H1487,GWL))*GAM_D)/(GAM_W*PI()*E1487^2/4))</f>
        <v>1.6933489764927</v>
      </c>
      <c r="AC1487" s="27" t="n">
        <f aca="false">IF(I1487-E1487&gt;=GWL,99,E1487*(MAX(0,GWL-I1487)*(GAM_S-GAM_W)+MAX(0,FL-MAX(I1487,GWL))*GAM_D)/(GAM_W*PI()*E1487^2/4))</f>
        <v>1.6933489764927</v>
      </c>
    </row>
    <row r="1488" customFormat="false" ht="15" hidden="false" customHeight="false" outlineLevel="0" collapsed="false">
      <c r="A1488" s="25" t="s">
        <v>2142</v>
      </c>
      <c r="B1488" s="25" t="s">
        <v>2143</v>
      </c>
      <c r="C1488" s="25" t="s">
        <v>2159</v>
      </c>
      <c r="D1488" s="26" t="n">
        <v>9.9999999996877</v>
      </c>
      <c r="E1488" s="26" t="n">
        <v>2.04110877827935</v>
      </c>
      <c r="F1488" s="26" t="n">
        <v>-3.02055438913968</v>
      </c>
      <c r="G1488" s="26" t="n">
        <v>-3.02055438913968</v>
      </c>
      <c r="H1488" s="26" t="n">
        <v>-0.479445610860324</v>
      </c>
      <c r="I1488" s="26" t="n">
        <v>-0.479445610860324</v>
      </c>
      <c r="J1488" s="26" t="n">
        <v>5.85</v>
      </c>
      <c r="K1488" s="27" t="n">
        <f aca="false">MIN(F1488,G1488)</f>
        <v>-3.02055438913968</v>
      </c>
      <c r="L1488" s="27" t="n">
        <f aca="false">AVERAGE(F1488,G1488)</f>
        <v>-3.02055438913968</v>
      </c>
      <c r="M1488" s="27" t="n">
        <f aca="false">MAX(0,NG-L1488)</f>
        <v>2.32055438913968</v>
      </c>
      <c r="N1488" s="27" t="n">
        <f aca="false">MAX(0,GWL-K1488)</f>
        <v>1.52055438913968</v>
      </c>
      <c r="O1488" s="27" t="n">
        <f aca="false">MAX(0,NG-MAX(K1488,GWL))</f>
        <v>0.8</v>
      </c>
      <c r="P1488" s="27" t="n">
        <f aca="false">E1488/2+WS+SLOPE_A*O1488+SLOPE_B*N1488</f>
        <v>6.26166316741903</v>
      </c>
      <c r="Q1488" s="28" t="str">
        <f aca="false">IF(AND(P1488&lt;J1488,N1488&lt;=MAXOC),"Open cut","Shoring")</f>
        <v>Shoring</v>
      </c>
      <c r="R1488" s="27" t="n">
        <f aca="false">IF(Q1488="Shoring",D1488,0)</f>
        <v>9.9999999996877</v>
      </c>
      <c r="S1488" s="27" t="n">
        <f aca="false">MAX(0,GWL-L1488)</f>
        <v>1.52055438913968</v>
      </c>
      <c r="T1488" s="27" t="n">
        <f aca="false">MAX(0,NG-MAX(L1488,GWL))</f>
        <v>0.8</v>
      </c>
      <c r="U1488" s="27" t="n">
        <f aca="false">E1488+2*WS</f>
        <v>4.04110877827935</v>
      </c>
      <c r="V1488" s="27" t="n">
        <f aca="false">IF(Q1488="Shoring",D1488*M1488*U1488,0)</f>
        <v>93.7761271213416</v>
      </c>
      <c r="W1488" s="27" t="n">
        <f aca="false">IF(Q1488="Open cut",D1488*(U1488*M1488+SLOPE_B*S1488^2+2*SLOPE_B*S1488*T1488+SLOPE_A*T1488^2),0)</f>
        <v>0</v>
      </c>
      <c r="X1488" s="27" t="n">
        <f aca="false">IF(M1488&gt;0,D1488*(E1488+2*SLABOVH)*SLAB,0)</f>
        <v>15.2055438909219</v>
      </c>
      <c r="Y1488" s="27" t="n">
        <f aca="false">IF(M1488&gt;0,D1488*PI()*E1488^2/4,0)</f>
        <v>32.7206695854352</v>
      </c>
      <c r="Z1488" s="27" t="n">
        <f aca="false">IF(H1488-E1488&gt;=GWL,99,E1488*(MAX(0,GWL-H1488)*(GAM_S-GAM_W)+MAX(0,NG-MAX(H1488,GWL))*GAM_D)/(GAM_W*PI()*E1488^2/4))</f>
        <v>0</v>
      </c>
      <c r="AA1488" s="27" t="n">
        <f aca="false">IF(I1488-E1488&gt;=GWL,99,E1488*(MAX(0,GWL-I1488)*(GAM_S-GAM_W)+MAX(0,NG-MAX(I1488,GWL))*GAM_D)/(GAM_W*PI()*E1488^2/4))</f>
        <v>0</v>
      </c>
      <c r="AB1488" s="27" t="n">
        <f aca="false">IF(H1488-E1488&gt;=GWL,99,E1488*(MAX(0,GWL-H1488)*(GAM_S-GAM_W)+MAX(0,FL-MAX(H1488,GWL))*GAM_D)/(GAM_W*PI()*E1488^2/4))</f>
        <v>1.6933489764927</v>
      </c>
      <c r="AC1488" s="27" t="n">
        <f aca="false">IF(I1488-E1488&gt;=GWL,99,E1488*(MAX(0,GWL-I1488)*(GAM_S-GAM_W)+MAX(0,FL-MAX(I1488,GWL))*GAM_D)/(GAM_W*PI()*E1488^2/4))</f>
        <v>1.6933489764927</v>
      </c>
    </row>
    <row r="1489" customFormat="false" ht="15" hidden="false" customHeight="false" outlineLevel="0" collapsed="false">
      <c r="A1489" s="25" t="s">
        <v>2142</v>
      </c>
      <c r="B1489" s="25" t="s">
        <v>2143</v>
      </c>
      <c r="C1489" s="25" t="s">
        <v>2160</v>
      </c>
      <c r="D1489" s="26" t="n">
        <v>9.99999999992256</v>
      </c>
      <c r="E1489" s="26" t="n">
        <v>2.04110877827935</v>
      </c>
      <c r="F1489" s="26" t="n">
        <v>-3.02055438913968</v>
      </c>
      <c r="G1489" s="26" t="n">
        <v>-3.02055438913968</v>
      </c>
      <c r="H1489" s="26" t="n">
        <v>-0.479445610860324</v>
      </c>
      <c r="I1489" s="26" t="n">
        <v>-0.479445610860324</v>
      </c>
      <c r="J1489" s="26" t="n">
        <v>5.85</v>
      </c>
      <c r="K1489" s="27" t="n">
        <f aca="false">MIN(F1489,G1489)</f>
        <v>-3.02055438913968</v>
      </c>
      <c r="L1489" s="27" t="n">
        <f aca="false">AVERAGE(F1489,G1489)</f>
        <v>-3.02055438913968</v>
      </c>
      <c r="M1489" s="27" t="n">
        <f aca="false">MAX(0,NG-L1489)</f>
        <v>2.32055438913968</v>
      </c>
      <c r="N1489" s="27" t="n">
        <f aca="false">MAX(0,GWL-K1489)</f>
        <v>1.52055438913968</v>
      </c>
      <c r="O1489" s="27" t="n">
        <f aca="false">MAX(0,NG-MAX(K1489,GWL))</f>
        <v>0.8</v>
      </c>
      <c r="P1489" s="27" t="n">
        <f aca="false">E1489/2+WS+SLOPE_A*O1489+SLOPE_B*N1489</f>
        <v>6.26166316741903</v>
      </c>
      <c r="Q1489" s="28" t="str">
        <f aca="false">IF(AND(P1489&lt;J1489,N1489&lt;=MAXOC),"Open cut","Shoring")</f>
        <v>Shoring</v>
      </c>
      <c r="R1489" s="27" t="n">
        <f aca="false">IF(Q1489="Shoring",D1489,0)</f>
        <v>9.99999999992256</v>
      </c>
      <c r="S1489" s="27" t="n">
        <f aca="false">MAX(0,GWL-L1489)</f>
        <v>1.52055438913968</v>
      </c>
      <c r="T1489" s="27" t="n">
        <f aca="false">MAX(0,NG-MAX(L1489,GWL))</f>
        <v>0.8</v>
      </c>
      <c r="U1489" s="27" t="n">
        <f aca="false">E1489+2*WS</f>
        <v>4.04110877827935</v>
      </c>
      <c r="V1489" s="27" t="n">
        <f aca="false">IF(Q1489="Shoring",D1489*M1489*U1489,0)</f>
        <v>93.776127123544</v>
      </c>
      <c r="W1489" s="27" t="n">
        <f aca="false">IF(Q1489="Open cut",D1489*(U1489*M1489+SLOPE_B*S1489^2+2*SLOPE_B*S1489*T1489+SLOPE_A*T1489^2),0)</f>
        <v>0</v>
      </c>
      <c r="X1489" s="27" t="n">
        <f aca="false">IF(M1489&gt;0,D1489*(E1489+2*SLABOVH)*SLAB,0)</f>
        <v>15.205543891279</v>
      </c>
      <c r="Y1489" s="27" t="n">
        <f aca="false">IF(M1489&gt;0,D1489*PI()*E1489^2/4,0)</f>
        <v>32.7206695862037</v>
      </c>
      <c r="Z1489" s="27" t="n">
        <f aca="false">IF(H1489-E1489&gt;=GWL,99,E1489*(MAX(0,GWL-H1489)*(GAM_S-GAM_W)+MAX(0,NG-MAX(H1489,GWL))*GAM_D)/(GAM_W*PI()*E1489^2/4))</f>
        <v>0</v>
      </c>
      <c r="AA1489" s="27" t="n">
        <f aca="false">IF(I1489-E1489&gt;=GWL,99,E1489*(MAX(0,GWL-I1489)*(GAM_S-GAM_W)+MAX(0,NG-MAX(I1489,GWL))*GAM_D)/(GAM_W*PI()*E1489^2/4))</f>
        <v>0</v>
      </c>
      <c r="AB1489" s="27" t="n">
        <f aca="false">IF(H1489-E1489&gt;=GWL,99,E1489*(MAX(0,GWL-H1489)*(GAM_S-GAM_W)+MAX(0,FL-MAX(H1489,GWL))*GAM_D)/(GAM_W*PI()*E1489^2/4))</f>
        <v>1.6933489764927</v>
      </c>
      <c r="AC1489" s="27" t="n">
        <f aca="false">IF(I1489-E1489&gt;=GWL,99,E1489*(MAX(0,GWL-I1489)*(GAM_S-GAM_W)+MAX(0,FL-MAX(I1489,GWL))*GAM_D)/(GAM_W*PI()*E1489^2/4))</f>
        <v>1.6933489764927</v>
      </c>
    </row>
    <row r="1490" customFormat="false" ht="15" hidden="false" customHeight="false" outlineLevel="0" collapsed="false">
      <c r="A1490" s="25" t="s">
        <v>2142</v>
      </c>
      <c r="B1490" s="25" t="s">
        <v>2143</v>
      </c>
      <c r="C1490" s="25" t="s">
        <v>2161</v>
      </c>
      <c r="D1490" s="26" t="n">
        <v>10.0000000003923</v>
      </c>
      <c r="E1490" s="26" t="n">
        <v>2.04110877827935</v>
      </c>
      <c r="F1490" s="26" t="n">
        <v>-3.02055438913968</v>
      </c>
      <c r="G1490" s="26" t="n">
        <v>-3.02055438913968</v>
      </c>
      <c r="H1490" s="26" t="n">
        <v>-0.479445610860324</v>
      </c>
      <c r="I1490" s="26" t="n">
        <v>-0.479445610860324</v>
      </c>
      <c r="J1490" s="26" t="n">
        <v>5.85</v>
      </c>
      <c r="K1490" s="27" t="n">
        <f aca="false">MIN(F1490,G1490)</f>
        <v>-3.02055438913968</v>
      </c>
      <c r="L1490" s="27" t="n">
        <f aca="false">AVERAGE(F1490,G1490)</f>
        <v>-3.02055438913968</v>
      </c>
      <c r="M1490" s="27" t="n">
        <f aca="false">MAX(0,NG-L1490)</f>
        <v>2.32055438913968</v>
      </c>
      <c r="N1490" s="27" t="n">
        <f aca="false">MAX(0,GWL-K1490)</f>
        <v>1.52055438913968</v>
      </c>
      <c r="O1490" s="27" t="n">
        <f aca="false">MAX(0,NG-MAX(K1490,GWL))</f>
        <v>0.8</v>
      </c>
      <c r="P1490" s="27" t="n">
        <f aca="false">E1490/2+WS+SLOPE_A*O1490+SLOPE_B*N1490</f>
        <v>6.26166316741903</v>
      </c>
      <c r="Q1490" s="28" t="str">
        <f aca="false">IF(AND(P1490&lt;J1490,N1490&lt;=MAXOC),"Open cut","Shoring")</f>
        <v>Shoring</v>
      </c>
      <c r="R1490" s="27" t="n">
        <f aca="false">IF(Q1490="Shoring",D1490,0)</f>
        <v>10.0000000003923</v>
      </c>
      <c r="S1490" s="27" t="n">
        <f aca="false">MAX(0,GWL-L1490)</f>
        <v>1.52055438913968</v>
      </c>
      <c r="T1490" s="27" t="n">
        <f aca="false">MAX(0,NG-MAX(L1490,GWL))</f>
        <v>0.8</v>
      </c>
      <c r="U1490" s="27" t="n">
        <f aca="false">E1490+2*WS</f>
        <v>4.04110877827935</v>
      </c>
      <c r="V1490" s="27" t="n">
        <f aca="false">IF(Q1490="Shoring",D1490*M1490*U1490,0)</f>
        <v>93.7761271279488</v>
      </c>
      <c r="W1490" s="27" t="n">
        <f aca="false">IF(Q1490="Open cut",D1490*(U1490*M1490+SLOPE_B*S1490^2+2*SLOPE_B*S1490*T1490+SLOPE_A*T1490^2),0)</f>
        <v>0</v>
      </c>
      <c r="X1490" s="27" t="n">
        <f aca="false">IF(M1490&gt;0,D1490*(E1490+2*SLABOVH)*SLAB,0)</f>
        <v>15.2055438919932</v>
      </c>
      <c r="Y1490" s="27" t="n">
        <f aca="false">IF(M1490&gt;0,D1490*PI()*E1490^2/4,0)</f>
        <v>32.7206695877406</v>
      </c>
      <c r="Z1490" s="27" t="n">
        <f aca="false">IF(H1490-E1490&gt;=GWL,99,E1490*(MAX(0,GWL-H1490)*(GAM_S-GAM_W)+MAX(0,NG-MAX(H1490,GWL))*GAM_D)/(GAM_W*PI()*E1490^2/4))</f>
        <v>0</v>
      </c>
      <c r="AA1490" s="27" t="n">
        <f aca="false">IF(I1490-E1490&gt;=GWL,99,E1490*(MAX(0,GWL-I1490)*(GAM_S-GAM_W)+MAX(0,NG-MAX(I1490,GWL))*GAM_D)/(GAM_W*PI()*E1490^2/4))</f>
        <v>0</v>
      </c>
      <c r="AB1490" s="27" t="n">
        <f aca="false">IF(H1490-E1490&gt;=GWL,99,E1490*(MAX(0,GWL-H1490)*(GAM_S-GAM_W)+MAX(0,FL-MAX(H1490,GWL))*GAM_D)/(GAM_W*PI()*E1490^2/4))</f>
        <v>1.6933489764927</v>
      </c>
      <c r="AC1490" s="27" t="n">
        <f aca="false">IF(I1490-E1490&gt;=GWL,99,E1490*(MAX(0,GWL-I1490)*(GAM_S-GAM_W)+MAX(0,FL-MAX(I1490,GWL))*GAM_D)/(GAM_W*PI()*E1490^2/4))</f>
        <v>1.6933489764927</v>
      </c>
    </row>
    <row r="1491" customFormat="false" ht="15" hidden="false" customHeight="false" outlineLevel="0" collapsed="false">
      <c r="A1491" s="25" t="s">
        <v>2142</v>
      </c>
      <c r="B1491" s="25" t="s">
        <v>2143</v>
      </c>
      <c r="C1491" s="25" t="s">
        <v>2162</v>
      </c>
      <c r="D1491" s="26" t="n">
        <v>9.99999999992256</v>
      </c>
      <c r="E1491" s="26" t="n">
        <v>2.04110877827935</v>
      </c>
      <c r="F1491" s="26" t="n">
        <v>-3.02055438913968</v>
      </c>
      <c r="G1491" s="26" t="n">
        <v>-3.02055438913968</v>
      </c>
      <c r="H1491" s="26" t="n">
        <v>-0.479445610860324</v>
      </c>
      <c r="I1491" s="26" t="n">
        <v>-0.479445610860324</v>
      </c>
      <c r="J1491" s="26" t="n">
        <v>5.85</v>
      </c>
      <c r="K1491" s="27" t="n">
        <f aca="false">MIN(F1491,G1491)</f>
        <v>-3.02055438913968</v>
      </c>
      <c r="L1491" s="27" t="n">
        <f aca="false">AVERAGE(F1491,G1491)</f>
        <v>-3.02055438913968</v>
      </c>
      <c r="M1491" s="27" t="n">
        <f aca="false">MAX(0,NG-L1491)</f>
        <v>2.32055438913968</v>
      </c>
      <c r="N1491" s="27" t="n">
        <f aca="false">MAX(0,GWL-K1491)</f>
        <v>1.52055438913968</v>
      </c>
      <c r="O1491" s="27" t="n">
        <f aca="false">MAX(0,NG-MAX(K1491,GWL))</f>
        <v>0.8</v>
      </c>
      <c r="P1491" s="27" t="n">
        <f aca="false">E1491/2+WS+SLOPE_A*O1491+SLOPE_B*N1491</f>
        <v>6.26166316741903</v>
      </c>
      <c r="Q1491" s="28" t="str">
        <f aca="false">IF(AND(P1491&lt;J1491,N1491&lt;=MAXOC),"Open cut","Shoring")</f>
        <v>Shoring</v>
      </c>
      <c r="R1491" s="27" t="n">
        <f aca="false">IF(Q1491="Shoring",D1491,0)</f>
        <v>9.99999999992256</v>
      </c>
      <c r="S1491" s="27" t="n">
        <f aca="false">MAX(0,GWL-L1491)</f>
        <v>1.52055438913968</v>
      </c>
      <c r="T1491" s="27" t="n">
        <f aca="false">MAX(0,NG-MAX(L1491,GWL))</f>
        <v>0.8</v>
      </c>
      <c r="U1491" s="27" t="n">
        <f aca="false">E1491+2*WS</f>
        <v>4.04110877827935</v>
      </c>
      <c r="V1491" s="27" t="n">
        <f aca="false">IF(Q1491="Shoring",D1491*M1491*U1491,0)</f>
        <v>93.776127123544</v>
      </c>
      <c r="W1491" s="27" t="n">
        <f aca="false">IF(Q1491="Open cut",D1491*(U1491*M1491+SLOPE_B*S1491^2+2*SLOPE_B*S1491*T1491+SLOPE_A*T1491^2),0)</f>
        <v>0</v>
      </c>
      <c r="X1491" s="27" t="n">
        <f aca="false">IF(M1491&gt;0,D1491*(E1491+2*SLABOVH)*SLAB,0)</f>
        <v>15.205543891279</v>
      </c>
      <c r="Y1491" s="27" t="n">
        <f aca="false">IF(M1491&gt;0,D1491*PI()*E1491^2/4,0)</f>
        <v>32.7206695862037</v>
      </c>
      <c r="Z1491" s="27" t="n">
        <f aca="false">IF(H1491-E1491&gt;=GWL,99,E1491*(MAX(0,GWL-H1491)*(GAM_S-GAM_W)+MAX(0,NG-MAX(H1491,GWL))*GAM_D)/(GAM_W*PI()*E1491^2/4))</f>
        <v>0</v>
      </c>
      <c r="AA1491" s="27" t="n">
        <f aca="false">IF(I1491-E1491&gt;=GWL,99,E1491*(MAX(0,GWL-I1491)*(GAM_S-GAM_W)+MAX(0,NG-MAX(I1491,GWL))*GAM_D)/(GAM_W*PI()*E1491^2/4))</f>
        <v>0</v>
      </c>
      <c r="AB1491" s="27" t="n">
        <f aca="false">IF(H1491-E1491&gt;=GWL,99,E1491*(MAX(0,GWL-H1491)*(GAM_S-GAM_W)+MAX(0,FL-MAX(H1491,GWL))*GAM_D)/(GAM_W*PI()*E1491^2/4))</f>
        <v>1.6933489764927</v>
      </c>
      <c r="AC1491" s="27" t="n">
        <f aca="false">IF(I1491-E1491&gt;=GWL,99,E1491*(MAX(0,GWL-I1491)*(GAM_S-GAM_W)+MAX(0,FL-MAX(I1491,GWL))*GAM_D)/(GAM_W*PI()*E1491^2/4))</f>
        <v>1.6933489764927</v>
      </c>
    </row>
    <row r="1492" customFormat="false" ht="15" hidden="false" customHeight="false" outlineLevel="0" collapsed="false">
      <c r="A1492" s="25" t="s">
        <v>2142</v>
      </c>
      <c r="B1492" s="25" t="s">
        <v>2143</v>
      </c>
      <c r="C1492" s="25" t="s">
        <v>2163</v>
      </c>
      <c r="D1492" s="26" t="n">
        <v>9.99999999978823</v>
      </c>
      <c r="E1492" s="26" t="n">
        <v>2.04110877827935</v>
      </c>
      <c r="F1492" s="26" t="n">
        <v>-3.02055438913968</v>
      </c>
      <c r="G1492" s="26" t="n">
        <v>-3.02055438913968</v>
      </c>
      <c r="H1492" s="26" t="n">
        <v>-0.479445610860324</v>
      </c>
      <c r="I1492" s="26" t="n">
        <v>-0.479445610860324</v>
      </c>
      <c r="J1492" s="26" t="n">
        <v>6.52</v>
      </c>
      <c r="K1492" s="27" t="n">
        <f aca="false">MIN(F1492,G1492)</f>
        <v>-3.02055438913968</v>
      </c>
      <c r="L1492" s="27" t="n">
        <f aca="false">AVERAGE(F1492,G1492)</f>
        <v>-3.02055438913968</v>
      </c>
      <c r="M1492" s="27" t="n">
        <f aca="false">MAX(0,NG-L1492)</f>
        <v>2.32055438913968</v>
      </c>
      <c r="N1492" s="27" t="n">
        <f aca="false">MAX(0,GWL-K1492)</f>
        <v>1.52055438913968</v>
      </c>
      <c r="O1492" s="27" t="n">
        <f aca="false">MAX(0,NG-MAX(K1492,GWL))</f>
        <v>0.8</v>
      </c>
      <c r="P1492" s="27" t="n">
        <f aca="false">E1492/2+WS+SLOPE_A*O1492+SLOPE_B*N1492</f>
        <v>6.26166316741903</v>
      </c>
      <c r="Q1492" s="28" t="str">
        <f aca="false">IF(AND(P1492&lt;J1492,N1492&lt;=MAXOC),"Open cut","Shoring")</f>
        <v>Open cut</v>
      </c>
      <c r="R1492" s="27" t="n">
        <f aca="false">IF(Q1492="Shoring",D1492,0)</f>
        <v>0</v>
      </c>
      <c r="S1492" s="27" t="n">
        <f aca="false">MAX(0,GWL-L1492)</f>
        <v>1.52055438913968</v>
      </c>
      <c r="T1492" s="27" t="n">
        <f aca="false">MAX(0,NG-MAX(L1492,GWL))</f>
        <v>0.8</v>
      </c>
      <c r="U1492" s="27" t="n">
        <f aca="false">E1492+2*WS</f>
        <v>4.04110877827935</v>
      </c>
      <c r="V1492" s="27" t="n">
        <f aca="false">IF(Q1492="Shoring",D1492*M1492*U1492,0)</f>
        <v>0</v>
      </c>
      <c r="W1492" s="27" t="n">
        <f aca="false">IF(Q1492="Open cut",D1492*(U1492*M1492+SLOPE_B*S1492^2+2*SLOPE_B*S1492*T1492+SLOPE_A*T1492^2),0)</f>
        <v>198.27558057918</v>
      </c>
      <c r="X1492" s="27" t="n">
        <f aca="false">IF(M1492&gt;0,D1492*(E1492+2*SLABOVH)*SLAB,0)</f>
        <v>15.2055438910747</v>
      </c>
      <c r="Y1492" s="27" t="n">
        <f aca="false">IF(M1492&gt;0,D1492*PI()*E1492^2/4,0)</f>
        <v>32.7206695857641</v>
      </c>
      <c r="Z1492" s="27" t="n">
        <f aca="false">IF(H1492-E1492&gt;=GWL,99,E1492*(MAX(0,GWL-H1492)*(GAM_S-GAM_W)+MAX(0,NG-MAX(H1492,GWL))*GAM_D)/(GAM_W*PI()*E1492^2/4))</f>
        <v>0</v>
      </c>
      <c r="AA1492" s="27" t="n">
        <f aca="false">IF(I1492-E1492&gt;=GWL,99,E1492*(MAX(0,GWL-I1492)*(GAM_S-GAM_W)+MAX(0,NG-MAX(I1492,GWL))*GAM_D)/(GAM_W*PI()*E1492^2/4))</f>
        <v>0</v>
      </c>
      <c r="AB1492" s="27" t="n">
        <f aca="false">IF(H1492-E1492&gt;=GWL,99,E1492*(MAX(0,GWL-H1492)*(GAM_S-GAM_W)+MAX(0,FL-MAX(H1492,GWL))*GAM_D)/(GAM_W*PI()*E1492^2/4))</f>
        <v>1.6933489764927</v>
      </c>
      <c r="AC1492" s="27" t="n">
        <f aca="false">IF(I1492-E1492&gt;=GWL,99,E1492*(MAX(0,GWL-I1492)*(GAM_S-GAM_W)+MAX(0,FL-MAX(I1492,GWL))*GAM_D)/(GAM_W*PI()*E1492^2/4))</f>
        <v>1.6933489764927</v>
      </c>
    </row>
    <row r="1493" customFormat="false" ht="15" hidden="false" customHeight="false" outlineLevel="0" collapsed="false">
      <c r="A1493" s="25" t="s">
        <v>2142</v>
      </c>
      <c r="B1493" s="25" t="s">
        <v>2143</v>
      </c>
      <c r="C1493" s="25" t="s">
        <v>2164</v>
      </c>
      <c r="D1493" s="26" t="n">
        <v>7.54551041000724</v>
      </c>
      <c r="E1493" s="26" t="n">
        <v>2.04110877827935</v>
      </c>
      <c r="F1493" s="26" t="n">
        <v>-3.02055438913968</v>
      </c>
      <c r="G1493" s="26" t="n">
        <v>-3.02055438913968</v>
      </c>
      <c r="H1493" s="26" t="n">
        <v>-0.479445610860324</v>
      </c>
      <c r="I1493" s="26" t="n">
        <v>-0.479445610860324</v>
      </c>
      <c r="J1493" s="26" t="n">
        <v>15.75</v>
      </c>
      <c r="K1493" s="27" t="n">
        <f aca="false">MIN(F1493,G1493)</f>
        <v>-3.02055438913968</v>
      </c>
      <c r="L1493" s="27" t="n">
        <f aca="false">AVERAGE(F1493,G1493)</f>
        <v>-3.02055438913968</v>
      </c>
      <c r="M1493" s="27" t="n">
        <f aca="false">MAX(0,NG-L1493)</f>
        <v>2.32055438913968</v>
      </c>
      <c r="N1493" s="27" t="n">
        <f aca="false">MAX(0,GWL-K1493)</f>
        <v>1.52055438913968</v>
      </c>
      <c r="O1493" s="27" t="n">
        <f aca="false">MAX(0,NG-MAX(K1493,GWL))</f>
        <v>0.8</v>
      </c>
      <c r="P1493" s="27" t="n">
        <f aca="false">E1493/2+WS+SLOPE_A*O1493+SLOPE_B*N1493</f>
        <v>6.26166316741903</v>
      </c>
      <c r="Q1493" s="28" t="str">
        <f aca="false">IF(AND(P1493&lt;J1493,N1493&lt;=MAXOC),"Open cut","Shoring")</f>
        <v>Open cut</v>
      </c>
      <c r="R1493" s="27" t="n">
        <f aca="false">IF(Q1493="Shoring",D1493,0)</f>
        <v>0</v>
      </c>
      <c r="S1493" s="27" t="n">
        <f aca="false">MAX(0,GWL-L1493)</f>
        <v>1.52055438913968</v>
      </c>
      <c r="T1493" s="27" t="n">
        <f aca="false">MAX(0,NG-MAX(L1493,GWL))</f>
        <v>0.8</v>
      </c>
      <c r="U1493" s="27" t="n">
        <f aca="false">E1493+2*WS</f>
        <v>4.04110877827935</v>
      </c>
      <c r="V1493" s="27" t="n">
        <f aca="false">IF(Q1493="Shoring",D1493*M1493*U1493,0)</f>
        <v>0</v>
      </c>
      <c r="W1493" s="27" t="n">
        <f aca="false">IF(Q1493="Open cut",D1493*(U1493*M1493+SLOPE_B*S1493^2+2*SLOPE_B*S1493*T1493+SLOPE_A*T1493^2),0)</f>
        <v>149.609045734211</v>
      </c>
      <c r="X1493" s="27" t="n">
        <f aca="false">IF(M1493&gt;0,D1493*(E1493+2*SLABOVH)*SLAB,0)</f>
        <v>11.4733589722356</v>
      </c>
      <c r="Y1493" s="27" t="n">
        <f aca="false">IF(M1493&gt;0,D1493*PI()*E1493^2/4,0)</f>
        <v>24.6894152987019</v>
      </c>
      <c r="Z1493" s="27" t="n">
        <f aca="false">IF(H1493-E1493&gt;=GWL,99,E1493*(MAX(0,GWL-H1493)*(GAM_S-GAM_W)+MAX(0,NG-MAX(H1493,GWL))*GAM_D)/(GAM_W*PI()*E1493^2/4))</f>
        <v>0</v>
      </c>
      <c r="AA1493" s="27" t="n">
        <f aca="false">IF(I1493-E1493&gt;=GWL,99,E1493*(MAX(0,GWL-I1493)*(GAM_S-GAM_W)+MAX(0,NG-MAX(I1493,GWL))*GAM_D)/(GAM_W*PI()*E1493^2/4))</f>
        <v>0</v>
      </c>
      <c r="AB1493" s="27" t="n">
        <f aca="false">IF(H1493-E1493&gt;=GWL,99,E1493*(MAX(0,GWL-H1493)*(GAM_S-GAM_W)+MAX(0,FL-MAX(H1493,GWL))*GAM_D)/(GAM_W*PI()*E1493^2/4))</f>
        <v>1.6933489764927</v>
      </c>
      <c r="AC1493" s="27" t="n">
        <f aca="false">IF(I1493-E1493&gt;=GWL,99,E1493*(MAX(0,GWL-I1493)*(GAM_S-GAM_W)+MAX(0,FL-MAX(I1493,GWL))*GAM_D)/(GAM_W*PI()*E1493^2/4))</f>
        <v>1.6933489764927</v>
      </c>
    </row>
    <row r="1494" customFormat="false" ht="15" hidden="false" customHeight="false" outlineLevel="0" collapsed="false">
      <c r="A1494" s="25" t="s">
        <v>2142</v>
      </c>
      <c r="B1494" s="25" t="s">
        <v>2143</v>
      </c>
      <c r="C1494" s="25" t="s">
        <v>2165</v>
      </c>
      <c r="D1494" s="26" t="n">
        <v>2.45448959030522</v>
      </c>
      <c r="E1494" s="26" t="n">
        <v>2.04500264308151</v>
      </c>
      <c r="F1494" s="26" t="n">
        <v>-3.02250132154076</v>
      </c>
      <c r="G1494" s="26" t="n">
        <v>-3.02250132154076</v>
      </c>
      <c r="H1494" s="26" t="n">
        <v>-0.477498678459243</v>
      </c>
      <c r="I1494" s="26" t="n">
        <v>-0.477498678459243</v>
      </c>
      <c r="J1494" s="26" t="n">
        <v>22.26</v>
      </c>
      <c r="K1494" s="27" t="n">
        <f aca="false">MIN(F1494,G1494)</f>
        <v>-3.02250132154076</v>
      </c>
      <c r="L1494" s="27" t="n">
        <f aca="false">AVERAGE(F1494,G1494)</f>
        <v>-3.02250132154076</v>
      </c>
      <c r="M1494" s="27" t="n">
        <f aca="false">MAX(0,NG-L1494)</f>
        <v>2.32250132154076</v>
      </c>
      <c r="N1494" s="27" t="n">
        <f aca="false">MAX(0,GWL-K1494)</f>
        <v>1.52250132154076</v>
      </c>
      <c r="O1494" s="27" t="n">
        <f aca="false">MAX(0,NG-MAX(K1494,GWL))</f>
        <v>0.8</v>
      </c>
      <c r="P1494" s="27" t="n">
        <f aca="false">E1494/2+WS+SLOPE_A*O1494+SLOPE_B*N1494</f>
        <v>6.26750396462227</v>
      </c>
      <c r="Q1494" s="28" t="str">
        <f aca="false">IF(AND(P1494&lt;J1494,N1494&lt;=MAXOC),"Open cut","Shoring")</f>
        <v>Open cut</v>
      </c>
      <c r="R1494" s="27" t="n">
        <f aca="false">IF(Q1494="Shoring",D1494,0)</f>
        <v>0</v>
      </c>
      <c r="S1494" s="27" t="n">
        <f aca="false">MAX(0,GWL-L1494)</f>
        <v>1.52250132154076</v>
      </c>
      <c r="T1494" s="27" t="n">
        <f aca="false">MAX(0,NG-MAX(L1494,GWL))</f>
        <v>0.8</v>
      </c>
      <c r="U1494" s="27" t="n">
        <f aca="false">E1494+2*WS</f>
        <v>4.04500264308151</v>
      </c>
      <c r="V1494" s="27" t="n">
        <f aca="false">IF(Q1494="Shoring",D1494*M1494*U1494,0)</f>
        <v>0</v>
      </c>
      <c r="W1494" s="27" t="n">
        <f aca="false">IF(Q1494="Open cut",D1494*(U1494*M1494+SLOPE_B*S1494^2+2*SLOPE_B*S1494*T1494+SLOPE_A*T1494^2),0)</f>
        <v>48.7524191715647</v>
      </c>
      <c r="X1494" s="27" t="n">
        <f aca="false">IF(M1494&gt;0,D1494*(E1494+2*SLABOVH)*SLAB,0)</f>
        <v>3.73696364494772</v>
      </c>
      <c r="Y1494" s="27" t="n">
        <f aca="false">IF(M1494&gt;0,D1494*PI()*E1494^2/4,0)</f>
        <v>8.06192629257373</v>
      </c>
      <c r="Z1494" s="27" t="n">
        <f aca="false">IF(H1494-E1494&gt;=GWL,99,E1494*(MAX(0,GWL-H1494)*(GAM_S-GAM_W)+MAX(0,NG-MAX(H1494,GWL))*GAM_D)/(GAM_W*PI()*E1494^2/4))</f>
        <v>0</v>
      </c>
      <c r="AA1494" s="27" t="n">
        <f aca="false">IF(I1494-E1494&gt;=GWL,99,E1494*(MAX(0,GWL-I1494)*(GAM_S-GAM_W)+MAX(0,NG-MAX(I1494,GWL))*GAM_D)/(GAM_W*PI()*E1494^2/4))</f>
        <v>0</v>
      </c>
      <c r="AB1494" s="27" t="n">
        <f aca="false">IF(H1494-E1494&gt;=GWL,99,E1494*(MAX(0,GWL-H1494)*(GAM_S-GAM_W)+MAX(0,FL-MAX(H1494,GWL))*GAM_D)/(GAM_W*PI()*E1494^2/4))</f>
        <v>1.68790050768022</v>
      </c>
      <c r="AC1494" s="27" t="n">
        <f aca="false">IF(I1494-E1494&gt;=GWL,99,E1494*(MAX(0,GWL-I1494)*(GAM_S-GAM_W)+MAX(0,FL-MAX(I1494,GWL))*GAM_D)/(GAM_W*PI()*E1494^2/4))</f>
        <v>1.68790050768022</v>
      </c>
    </row>
    <row r="1495" customFormat="false" ht="15" hidden="false" customHeight="false" outlineLevel="0" collapsed="false">
      <c r="A1495" s="25" t="s">
        <v>2142</v>
      </c>
      <c r="B1495" s="25" t="s">
        <v>2143</v>
      </c>
      <c r="C1495" s="25" t="s">
        <v>2166</v>
      </c>
      <c r="D1495" s="26" t="n">
        <v>0.645514749038499</v>
      </c>
      <c r="E1495" s="26" t="n">
        <v>2.04500264308151</v>
      </c>
      <c r="F1495" s="26" t="n">
        <v>-3.02250132154076</v>
      </c>
      <c r="G1495" s="26" t="n">
        <v>-3.02250132154076</v>
      </c>
      <c r="H1495" s="26" t="n">
        <v>-0.477498678459243</v>
      </c>
      <c r="I1495" s="26" t="n">
        <v>-0.477498678459243</v>
      </c>
      <c r="J1495" s="26" t="n">
        <v>21.73</v>
      </c>
      <c r="K1495" s="27" t="n">
        <f aca="false">MIN(F1495,G1495)</f>
        <v>-3.02250132154076</v>
      </c>
      <c r="L1495" s="27" t="n">
        <f aca="false">AVERAGE(F1495,G1495)</f>
        <v>-3.02250132154076</v>
      </c>
      <c r="M1495" s="27" t="n">
        <f aca="false">MAX(0,NG-L1495)</f>
        <v>2.32250132154076</v>
      </c>
      <c r="N1495" s="27" t="n">
        <f aca="false">MAX(0,GWL-K1495)</f>
        <v>1.52250132154076</v>
      </c>
      <c r="O1495" s="27" t="n">
        <f aca="false">MAX(0,NG-MAX(K1495,GWL))</f>
        <v>0.8</v>
      </c>
      <c r="P1495" s="27" t="n">
        <f aca="false">E1495/2+WS+SLOPE_A*O1495+SLOPE_B*N1495</f>
        <v>6.26750396462227</v>
      </c>
      <c r="Q1495" s="28" t="str">
        <f aca="false">IF(AND(P1495&lt;J1495,N1495&lt;=MAXOC),"Open cut","Shoring")</f>
        <v>Open cut</v>
      </c>
      <c r="R1495" s="27" t="n">
        <f aca="false">IF(Q1495="Shoring",D1495,0)</f>
        <v>0</v>
      </c>
      <c r="S1495" s="27" t="n">
        <f aca="false">MAX(0,GWL-L1495)</f>
        <v>1.52250132154076</v>
      </c>
      <c r="T1495" s="27" t="n">
        <f aca="false">MAX(0,NG-MAX(L1495,GWL))</f>
        <v>0.8</v>
      </c>
      <c r="U1495" s="27" t="n">
        <f aca="false">E1495+2*WS</f>
        <v>4.04500264308151</v>
      </c>
      <c r="V1495" s="27" t="n">
        <f aca="false">IF(Q1495="Shoring",D1495*M1495*U1495,0)</f>
        <v>0</v>
      </c>
      <c r="W1495" s="27" t="n">
        <f aca="false">IF(Q1495="Open cut",D1495*(U1495*M1495+SLOPE_B*S1495^2+2*SLOPE_B*S1495*T1495+SLOPE_A*T1495^2),0)</f>
        <v>12.8215681789218</v>
      </c>
      <c r="X1495" s="27" t="n">
        <f aca="false">IF(M1495&gt;0,D1495*(E1495+2*SLABOVH)*SLAB,0)</f>
        <v>0.982797058485164</v>
      </c>
      <c r="Y1495" s="27" t="n">
        <f aca="false">IF(M1495&gt;0,D1495*PI()*E1495^2/4,0)</f>
        <v>2.12023401854007</v>
      </c>
      <c r="Z1495" s="27" t="n">
        <f aca="false">IF(H1495-E1495&gt;=GWL,99,E1495*(MAX(0,GWL-H1495)*(GAM_S-GAM_W)+MAX(0,NG-MAX(H1495,GWL))*GAM_D)/(GAM_W*PI()*E1495^2/4))</f>
        <v>0</v>
      </c>
      <c r="AA1495" s="27" t="n">
        <f aca="false">IF(I1495-E1495&gt;=GWL,99,E1495*(MAX(0,GWL-I1495)*(GAM_S-GAM_W)+MAX(0,NG-MAX(I1495,GWL))*GAM_D)/(GAM_W*PI()*E1495^2/4))</f>
        <v>0</v>
      </c>
      <c r="AB1495" s="27" t="n">
        <f aca="false">IF(H1495-E1495&gt;=GWL,99,E1495*(MAX(0,GWL-H1495)*(GAM_S-GAM_W)+MAX(0,FL-MAX(H1495,GWL))*GAM_D)/(GAM_W*PI()*E1495^2/4))</f>
        <v>1.68790050768022</v>
      </c>
      <c r="AC1495" s="27" t="n">
        <f aca="false">IF(I1495-E1495&gt;=GWL,99,E1495*(MAX(0,GWL-I1495)*(GAM_S-GAM_W)+MAX(0,FL-MAX(I1495,GWL))*GAM_D)/(GAM_W*PI()*E1495^2/4))</f>
        <v>1.68790050768022</v>
      </c>
    </row>
    <row r="1496" customFormat="false" ht="15" hidden="false" customHeight="false" outlineLevel="0" collapsed="false">
      <c r="A1496" s="25" t="s">
        <v>2142</v>
      </c>
      <c r="B1496" s="25" t="s">
        <v>2143</v>
      </c>
      <c r="C1496" s="25" t="s">
        <v>2167</v>
      </c>
      <c r="D1496" s="26" t="n">
        <v>3.0999899994406</v>
      </c>
      <c r="E1496" s="26" t="n">
        <v>2.04499394278115</v>
      </c>
      <c r="F1496" s="26" t="n">
        <v>-3.02249697139058</v>
      </c>
      <c r="G1496" s="26" t="n">
        <v>-3.02249697139058</v>
      </c>
      <c r="H1496" s="26" t="n">
        <v>-0.477503028609423</v>
      </c>
      <c r="I1496" s="26" t="n">
        <v>-0.477503028609423</v>
      </c>
      <c r="J1496" s="26" t="n">
        <v>21.73</v>
      </c>
      <c r="K1496" s="27" t="n">
        <f aca="false">MIN(F1496,G1496)</f>
        <v>-3.02249697139058</v>
      </c>
      <c r="L1496" s="27" t="n">
        <f aca="false">AVERAGE(F1496,G1496)</f>
        <v>-3.02249697139058</v>
      </c>
      <c r="M1496" s="27" t="n">
        <f aca="false">MAX(0,NG-L1496)</f>
        <v>2.32249697139058</v>
      </c>
      <c r="N1496" s="27" t="n">
        <f aca="false">MAX(0,GWL-K1496)</f>
        <v>1.52249697139058</v>
      </c>
      <c r="O1496" s="27" t="n">
        <f aca="false">MAX(0,NG-MAX(K1496,GWL))</f>
        <v>0.8</v>
      </c>
      <c r="P1496" s="27" t="n">
        <f aca="false">E1496/2+WS+SLOPE_A*O1496+SLOPE_B*N1496</f>
        <v>6.26749091417173</v>
      </c>
      <c r="Q1496" s="28" t="str">
        <f aca="false">IF(AND(P1496&lt;J1496,N1496&lt;=MAXOC),"Open cut","Shoring")</f>
        <v>Open cut</v>
      </c>
      <c r="R1496" s="27" t="n">
        <f aca="false">IF(Q1496="Shoring",D1496,0)</f>
        <v>0</v>
      </c>
      <c r="S1496" s="27" t="n">
        <f aca="false">MAX(0,GWL-L1496)</f>
        <v>1.52249697139058</v>
      </c>
      <c r="T1496" s="27" t="n">
        <f aca="false">MAX(0,NG-MAX(L1496,GWL))</f>
        <v>0.8</v>
      </c>
      <c r="U1496" s="27" t="n">
        <f aca="false">E1496+2*WS</f>
        <v>4.04499394278115</v>
      </c>
      <c r="V1496" s="27" t="n">
        <f aca="false">IF(Q1496="Shoring",D1496*M1496*U1496,0)</f>
        <v>0</v>
      </c>
      <c r="W1496" s="27" t="n">
        <f aca="false">IF(Q1496="Open cut",D1496*(U1496*M1496+SLOPE_B*S1496^2+2*SLOPE_B*S1496*T1496+SLOPE_A*T1496^2),0)</f>
        <v>61.5734600556651</v>
      </c>
      <c r="X1496" s="27" t="n">
        <f aca="false">IF(M1496&gt;0,D1496*(E1496+2*SLABOVH)*SLAB,0)</f>
        <v>4.71972538548938</v>
      </c>
      <c r="Y1496" s="27" t="n">
        <f aca="false">IF(M1496&gt;0,D1496*PI()*E1496^2/4,0)</f>
        <v>10.1820265730051</v>
      </c>
      <c r="Z1496" s="27" t="n">
        <f aca="false">IF(H1496-E1496&gt;=GWL,99,E1496*(MAX(0,GWL-H1496)*(GAM_S-GAM_W)+MAX(0,NG-MAX(H1496,GWL))*GAM_D)/(GAM_W*PI()*E1496^2/4))</f>
        <v>0</v>
      </c>
      <c r="AA1496" s="27" t="n">
        <f aca="false">IF(I1496-E1496&gt;=GWL,99,E1496*(MAX(0,GWL-I1496)*(GAM_S-GAM_W)+MAX(0,NG-MAX(I1496,GWL))*GAM_D)/(GAM_W*PI()*E1496^2/4))</f>
        <v>0</v>
      </c>
      <c r="AB1496" s="27" t="n">
        <f aca="false">IF(H1496-E1496&gt;=GWL,99,E1496*(MAX(0,GWL-H1496)*(GAM_S-GAM_W)+MAX(0,FL-MAX(H1496,GWL))*GAM_D)/(GAM_W*PI()*E1496^2/4))</f>
        <v>1.68791265839905</v>
      </c>
      <c r="AC1496" s="27" t="n">
        <f aca="false">IF(I1496-E1496&gt;=GWL,99,E1496*(MAX(0,GWL-I1496)*(GAM_S-GAM_W)+MAX(0,FL-MAX(I1496,GWL))*GAM_D)/(GAM_W*PI()*E1496^2/4))</f>
        <v>1.68791265839905</v>
      </c>
    </row>
    <row r="1497" customFormat="false" ht="15" hidden="false" customHeight="false" outlineLevel="0" collapsed="false">
      <c r="A1497" s="25" t="s">
        <v>2142</v>
      </c>
      <c r="B1497" s="25" t="s">
        <v>2168</v>
      </c>
      <c r="C1497" s="25" t="s">
        <v>2169</v>
      </c>
      <c r="D1497" s="26" t="n">
        <v>3.08560000077398</v>
      </c>
      <c r="E1497" s="26" t="n">
        <v>2.06959657505504</v>
      </c>
      <c r="F1497" s="26" t="n">
        <v>-3.03479828752752</v>
      </c>
      <c r="G1497" s="26" t="n">
        <v>-3.03479828752752</v>
      </c>
      <c r="H1497" s="26" t="n">
        <v>-0.46520171247248</v>
      </c>
      <c r="I1497" s="26" t="n">
        <v>-0.46520171247248</v>
      </c>
      <c r="J1497" s="26" t="n">
        <v>22.14</v>
      </c>
      <c r="K1497" s="27" t="n">
        <f aca="false">MIN(F1497,G1497)</f>
        <v>-3.03479828752752</v>
      </c>
      <c r="L1497" s="27" t="n">
        <f aca="false">AVERAGE(F1497,G1497)</f>
        <v>-3.03479828752752</v>
      </c>
      <c r="M1497" s="27" t="n">
        <f aca="false">MAX(0,NG-L1497)</f>
        <v>2.33479828752752</v>
      </c>
      <c r="N1497" s="27" t="n">
        <f aca="false">MAX(0,GWL-K1497)</f>
        <v>1.53479828752752</v>
      </c>
      <c r="O1497" s="27" t="n">
        <f aca="false">MAX(0,NG-MAX(K1497,GWL))</f>
        <v>0.8</v>
      </c>
      <c r="P1497" s="27" t="n">
        <f aca="false">E1497/2+WS+SLOPE_A*O1497+SLOPE_B*N1497</f>
        <v>6.30439486258256</v>
      </c>
      <c r="Q1497" s="28" t="str">
        <f aca="false">IF(AND(P1497&lt;J1497,N1497&lt;=MAXOC),"Open cut","Shoring")</f>
        <v>Open cut</v>
      </c>
      <c r="R1497" s="27" t="n">
        <f aca="false">IF(Q1497="Shoring",D1497,0)</f>
        <v>0</v>
      </c>
      <c r="S1497" s="27" t="n">
        <f aca="false">MAX(0,GWL-L1497)</f>
        <v>1.53479828752752</v>
      </c>
      <c r="T1497" s="27" t="n">
        <f aca="false">MAX(0,NG-MAX(L1497,GWL))</f>
        <v>0.8</v>
      </c>
      <c r="U1497" s="27" t="n">
        <f aca="false">E1497+2*WS</f>
        <v>4.06959657505504</v>
      </c>
      <c r="V1497" s="27" t="n">
        <f aca="false">IF(Q1497="Shoring",D1497*M1497*U1497,0)</f>
        <v>0</v>
      </c>
      <c r="W1497" s="27" t="n">
        <f aca="false">IF(Q1497="Open cut",D1497*(U1497*M1497+SLOPE_B*S1497^2+2*SLOPE_B*S1497*T1497+SLOPE_A*T1497^2),0)</f>
        <v>61.9719716933194</v>
      </c>
      <c r="X1497" s="27" t="n">
        <f aca="false">IF(M1497&gt;0,D1497*(E1497+2*SLABOVH)*SLAB,0)</f>
        <v>4.73577359718281</v>
      </c>
      <c r="Y1497" s="27" t="n">
        <f aca="false">IF(M1497&gt;0,D1497*PI()*E1497^2/4,0)</f>
        <v>10.3800847962892</v>
      </c>
      <c r="Z1497" s="27" t="n">
        <f aca="false">IF(H1497-E1497&gt;=GWL,99,E1497*(MAX(0,GWL-H1497)*(GAM_S-GAM_W)+MAX(0,NG-MAX(H1497,GWL))*GAM_D)/(GAM_W*PI()*E1497^2/4))</f>
        <v>0</v>
      </c>
      <c r="AA1497" s="27" t="n">
        <f aca="false">IF(I1497-E1497&gt;=GWL,99,E1497*(MAX(0,GWL-I1497)*(GAM_S-GAM_W)+MAX(0,NG-MAX(I1497,GWL))*GAM_D)/(GAM_W*PI()*E1497^2/4))</f>
        <v>0</v>
      </c>
      <c r="AB1497" s="27" t="n">
        <f aca="false">IF(H1497-E1497&gt;=GWL,99,E1497*(MAX(0,GWL-H1497)*(GAM_S-GAM_W)+MAX(0,FL-MAX(H1497,GWL))*GAM_D)/(GAM_W*PI()*E1497^2/4))</f>
        <v>1.65396127480158</v>
      </c>
      <c r="AC1497" s="27" t="n">
        <f aca="false">IF(I1497-E1497&gt;=GWL,99,E1497*(MAX(0,GWL-I1497)*(GAM_S-GAM_W)+MAX(0,FL-MAX(I1497,GWL))*GAM_D)/(GAM_W*PI()*E1497^2/4))</f>
        <v>1.65396127480158</v>
      </c>
    </row>
    <row r="1498" customFormat="false" ht="15" hidden="false" customHeight="false" outlineLevel="0" collapsed="false">
      <c r="A1498" s="25" t="s">
        <v>2170</v>
      </c>
      <c r="B1498" s="25" t="s">
        <v>2171</v>
      </c>
      <c r="C1498" s="25" t="s">
        <v>2172</v>
      </c>
      <c r="D1498" s="26" t="n">
        <v>9.99999999973228</v>
      </c>
      <c r="E1498" s="26" t="n">
        <v>2.48360104533367</v>
      </c>
      <c r="F1498" s="26" t="n">
        <v>-4.55180052266684</v>
      </c>
      <c r="G1498" s="26" t="n">
        <v>-4.55180052266684</v>
      </c>
      <c r="H1498" s="26" t="n">
        <v>-1.56819947733316</v>
      </c>
      <c r="I1498" s="26" t="n">
        <v>-1.56819947733316</v>
      </c>
      <c r="J1498" s="26" t="n">
        <v>24.72</v>
      </c>
      <c r="K1498" s="27" t="n">
        <f aca="false">MIN(F1498,G1498)</f>
        <v>-4.55180052266684</v>
      </c>
      <c r="L1498" s="27" t="n">
        <f aca="false">AVERAGE(F1498,G1498)</f>
        <v>-4.55180052266684</v>
      </c>
      <c r="M1498" s="27" t="n">
        <f aca="false">MAX(0,NG-L1498)</f>
        <v>3.85180052266684</v>
      </c>
      <c r="N1498" s="27" t="n">
        <f aca="false">MAX(0,GWL-K1498)</f>
        <v>3.05180052266684</v>
      </c>
      <c r="O1498" s="27" t="n">
        <f aca="false">MAX(0,NG-MAX(K1498,GWL))</f>
        <v>0.8</v>
      </c>
      <c r="P1498" s="27" t="n">
        <f aca="false">E1498/2+WS+SLOPE_A*O1498+SLOPE_B*N1498</f>
        <v>9.54540156800051</v>
      </c>
      <c r="Q1498" s="28" t="str">
        <f aca="false">IF(AND(P1498&lt;J1498,N1498&lt;=MAXOC),"Open cut","Shoring")</f>
        <v>Shoring</v>
      </c>
      <c r="R1498" s="27" t="n">
        <f aca="false">IF(Q1498="Shoring",D1498,0)</f>
        <v>9.99999999973228</v>
      </c>
      <c r="S1498" s="27" t="n">
        <f aca="false">MAX(0,GWL-L1498)</f>
        <v>3.05180052266684</v>
      </c>
      <c r="T1498" s="27" t="n">
        <f aca="false">MAX(0,NG-MAX(L1498,GWL))</f>
        <v>0.8</v>
      </c>
      <c r="U1498" s="27" t="n">
        <f aca="false">E1498+2*WS</f>
        <v>4.48360104533367</v>
      </c>
      <c r="V1498" s="27" t="n">
        <f aca="false">IF(Q1498="Shoring",D1498*M1498*U1498,0)</f>
        <v>172.699368493835</v>
      </c>
      <c r="W1498" s="27" t="n">
        <f aca="false">IF(Q1498="Open cut",D1498*(U1498*M1498+SLOPE_B*S1498^2+2*SLOPE_B*S1498*T1498+SLOPE_A*T1498^2),0)</f>
        <v>0</v>
      </c>
      <c r="X1498" s="27" t="n">
        <f aca="false">IF(M1498&gt;0,D1498*(E1498+2*SLABOVH)*SLAB,0)</f>
        <v>17.418005226202</v>
      </c>
      <c r="Y1498" s="27" t="n">
        <f aca="false">IF(M1498&gt;0,D1498*PI()*E1498^2/4,0)</f>
        <v>48.4455119048347</v>
      </c>
      <c r="Z1498" s="27" t="n">
        <f aca="false">IF(H1498-E1498&gt;=GWL,99,E1498*(MAX(0,GWL-H1498)*(GAM_S-GAM_W)+MAX(0,NG-MAX(H1498,GWL))*GAM_D)/(GAM_W*PI()*E1498^2/4))</f>
        <v>0.781715786907825</v>
      </c>
      <c r="AA1498" s="27" t="n">
        <f aca="false">IF(I1498-E1498&gt;=GWL,99,E1498*(MAX(0,GWL-I1498)*(GAM_S-GAM_W)+MAX(0,NG-MAX(I1498,GWL))*GAM_D)/(GAM_W*PI()*E1498^2/4))</f>
        <v>0.781715786907825</v>
      </c>
      <c r="AB1498" s="27" t="n">
        <f aca="false">IF(H1498-E1498&gt;=GWL,99,E1498*(MAX(0,GWL-H1498)*(GAM_S-GAM_W)+MAX(0,FL-MAX(H1498,GWL))*GAM_D)/(GAM_W*PI()*E1498^2/4))</f>
        <v>2.3808344937132</v>
      </c>
      <c r="AC1498" s="27" t="n">
        <f aca="false">IF(I1498-E1498&gt;=GWL,99,E1498*(MAX(0,GWL-I1498)*(GAM_S-GAM_W)+MAX(0,FL-MAX(I1498,GWL))*GAM_D)/(GAM_W*PI()*E1498^2/4))</f>
        <v>2.3808344937132</v>
      </c>
    </row>
    <row r="1499" customFormat="false" ht="15" hidden="false" customHeight="false" outlineLevel="0" collapsed="false">
      <c r="A1499" s="25" t="s">
        <v>2170</v>
      </c>
      <c r="B1499" s="25" t="s">
        <v>2171</v>
      </c>
      <c r="C1499" s="25" t="s">
        <v>2173</v>
      </c>
      <c r="D1499" s="26" t="n">
        <v>9.99999999932958</v>
      </c>
      <c r="E1499" s="26" t="n">
        <v>2.48360104533367</v>
      </c>
      <c r="F1499" s="26" t="n">
        <v>-4.55180052266684</v>
      </c>
      <c r="G1499" s="26" t="n">
        <v>-4.55180052266684</v>
      </c>
      <c r="H1499" s="26" t="n">
        <v>-1.56819947733316</v>
      </c>
      <c r="I1499" s="26" t="n">
        <v>-1.56819947733316</v>
      </c>
      <c r="J1499" s="26" t="n">
        <v>99</v>
      </c>
      <c r="K1499" s="27" t="n">
        <f aca="false">MIN(F1499,G1499)</f>
        <v>-4.55180052266684</v>
      </c>
      <c r="L1499" s="27" t="n">
        <f aca="false">AVERAGE(F1499,G1499)</f>
        <v>-4.55180052266684</v>
      </c>
      <c r="M1499" s="27" t="n">
        <f aca="false">MAX(0,NG-L1499)</f>
        <v>3.85180052266684</v>
      </c>
      <c r="N1499" s="27" t="n">
        <f aca="false">MAX(0,GWL-K1499)</f>
        <v>3.05180052266684</v>
      </c>
      <c r="O1499" s="27" t="n">
        <f aca="false">MAX(0,NG-MAX(K1499,GWL))</f>
        <v>0.8</v>
      </c>
      <c r="P1499" s="27" t="n">
        <f aca="false">E1499/2+WS+SLOPE_A*O1499+SLOPE_B*N1499</f>
        <v>9.54540156800051</v>
      </c>
      <c r="Q1499" s="28" t="str">
        <f aca="false">IF(AND(P1499&lt;J1499,N1499&lt;=MAXOC),"Open cut","Shoring")</f>
        <v>Shoring</v>
      </c>
      <c r="R1499" s="27" t="n">
        <f aca="false">IF(Q1499="Shoring",D1499,0)</f>
        <v>9.99999999932958</v>
      </c>
      <c r="S1499" s="27" t="n">
        <f aca="false">MAX(0,GWL-L1499)</f>
        <v>3.05180052266684</v>
      </c>
      <c r="T1499" s="27" t="n">
        <f aca="false">MAX(0,NG-MAX(L1499,GWL))</f>
        <v>0.8</v>
      </c>
      <c r="U1499" s="27" t="n">
        <f aca="false">E1499+2*WS</f>
        <v>4.48360104533367</v>
      </c>
      <c r="V1499" s="27" t="n">
        <f aca="false">IF(Q1499="Shoring",D1499*M1499*U1499,0)</f>
        <v>172.69936848688</v>
      </c>
      <c r="W1499" s="27" t="n">
        <f aca="false">IF(Q1499="Open cut",D1499*(U1499*M1499+SLOPE_B*S1499^2+2*SLOPE_B*S1499*T1499+SLOPE_A*T1499^2),0)</f>
        <v>0</v>
      </c>
      <c r="X1499" s="27" t="n">
        <f aca="false">IF(M1499&gt;0,D1499*(E1499+2*SLABOVH)*SLAB,0)</f>
        <v>17.4180052255006</v>
      </c>
      <c r="Y1499" s="27" t="n">
        <f aca="false">IF(M1499&gt;0,D1499*PI()*E1499^2/4,0)</f>
        <v>48.4455119028838</v>
      </c>
      <c r="Z1499" s="27" t="n">
        <f aca="false">IF(H1499-E1499&gt;=GWL,99,E1499*(MAX(0,GWL-H1499)*(GAM_S-GAM_W)+MAX(0,NG-MAX(H1499,GWL))*GAM_D)/(GAM_W*PI()*E1499^2/4))</f>
        <v>0.781715786907825</v>
      </c>
      <c r="AA1499" s="27" t="n">
        <f aca="false">IF(I1499-E1499&gt;=GWL,99,E1499*(MAX(0,GWL-I1499)*(GAM_S-GAM_W)+MAX(0,NG-MAX(I1499,GWL))*GAM_D)/(GAM_W*PI()*E1499^2/4))</f>
        <v>0.781715786907825</v>
      </c>
      <c r="AB1499" s="27" t="n">
        <f aca="false">IF(H1499-E1499&gt;=GWL,99,E1499*(MAX(0,GWL-H1499)*(GAM_S-GAM_W)+MAX(0,FL-MAX(H1499,GWL))*GAM_D)/(GAM_W*PI()*E1499^2/4))</f>
        <v>2.3808344937132</v>
      </c>
      <c r="AC1499" s="27" t="n">
        <f aca="false">IF(I1499-E1499&gt;=GWL,99,E1499*(MAX(0,GWL-I1499)*(GAM_S-GAM_W)+MAX(0,FL-MAX(I1499,GWL))*GAM_D)/(GAM_W*PI()*E1499^2/4))</f>
        <v>2.3808344937132</v>
      </c>
    </row>
    <row r="1500" customFormat="false" ht="15" hidden="false" customHeight="false" outlineLevel="0" collapsed="false">
      <c r="A1500" s="25" t="s">
        <v>2170</v>
      </c>
      <c r="B1500" s="25" t="s">
        <v>2171</v>
      </c>
      <c r="C1500" s="25" t="s">
        <v>2174</v>
      </c>
      <c r="D1500" s="26" t="n">
        <v>10.0000000004792</v>
      </c>
      <c r="E1500" s="26" t="n">
        <v>2.48360104533367</v>
      </c>
      <c r="F1500" s="26" t="n">
        <v>-4.55180052266684</v>
      </c>
      <c r="G1500" s="26" t="n">
        <v>-4.55180052266684</v>
      </c>
      <c r="H1500" s="26" t="n">
        <v>-1.56819947733316</v>
      </c>
      <c r="I1500" s="26" t="n">
        <v>-1.56819947733316</v>
      </c>
      <c r="J1500" s="26" t="n">
        <v>31.23</v>
      </c>
      <c r="K1500" s="27" t="n">
        <f aca="false">MIN(F1500,G1500)</f>
        <v>-4.55180052266684</v>
      </c>
      <c r="L1500" s="27" t="n">
        <f aca="false">AVERAGE(F1500,G1500)</f>
        <v>-4.55180052266684</v>
      </c>
      <c r="M1500" s="27" t="n">
        <f aca="false">MAX(0,NG-L1500)</f>
        <v>3.85180052266684</v>
      </c>
      <c r="N1500" s="27" t="n">
        <f aca="false">MAX(0,GWL-K1500)</f>
        <v>3.05180052266684</v>
      </c>
      <c r="O1500" s="27" t="n">
        <f aca="false">MAX(0,NG-MAX(K1500,GWL))</f>
        <v>0.8</v>
      </c>
      <c r="P1500" s="27" t="n">
        <f aca="false">E1500/2+WS+SLOPE_A*O1500+SLOPE_B*N1500</f>
        <v>9.54540156800051</v>
      </c>
      <c r="Q1500" s="28" t="str">
        <f aca="false">IF(AND(P1500&lt;J1500,N1500&lt;=MAXOC),"Open cut","Shoring")</f>
        <v>Shoring</v>
      </c>
      <c r="R1500" s="27" t="n">
        <f aca="false">IF(Q1500="Shoring",D1500,0)</f>
        <v>10.0000000004792</v>
      </c>
      <c r="S1500" s="27" t="n">
        <f aca="false">MAX(0,GWL-L1500)</f>
        <v>3.05180052266684</v>
      </c>
      <c r="T1500" s="27" t="n">
        <f aca="false">MAX(0,NG-MAX(L1500,GWL))</f>
        <v>0.8</v>
      </c>
      <c r="U1500" s="27" t="n">
        <f aca="false">E1500+2*WS</f>
        <v>4.48360104533367</v>
      </c>
      <c r="V1500" s="27" t="n">
        <f aca="false">IF(Q1500="Shoring",D1500*M1500*U1500,0)</f>
        <v>172.699368506734</v>
      </c>
      <c r="W1500" s="27" t="n">
        <f aca="false">IF(Q1500="Open cut",D1500*(U1500*M1500+SLOPE_B*S1500^2+2*SLOPE_B*S1500*T1500+SLOPE_A*T1500^2),0)</f>
        <v>0</v>
      </c>
      <c r="X1500" s="27" t="n">
        <f aca="false">IF(M1500&gt;0,D1500*(E1500+2*SLABOVH)*SLAB,0)</f>
        <v>17.418005227503</v>
      </c>
      <c r="Y1500" s="27" t="n">
        <f aca="false">IF(M1500&gt;0,D1500*PI()*E1500^2/4,0)</f>
        <v>48.4455119084533</v>
      </c>
      <c r="Z1500" s="27" t="n">
        <f aca="false">IF(H1500-E1500&gt;=GWL,99,E1500*(MAX(0,GWL-H1500)*(GAM_S-GAM_W)+MAX(0,NG-MAX(H1500,GWL))*GAM_D)/(GAM_W*PI()*E1500^2/4))</f>
        <v>0.781715786907825</v>
      </c>
      <c r="AA1500" s="27" t="n">
        <f aca="false">IF(I1500-E1500&gt;=GWL,99,E1500*(MAX(0,GWL-I1500)*(GAM_S-GAM_W)+MAX(0,NG-MAX(I1500,GWL))*GAM_D)/(GAM_W*PI()*E1500^2/4))</f>
        <v>0.781715786907825</v>
      </c>
      <c r="AB1500" s="27" t="n">
        <f aca="false">IF(H1500-E1500&gt;=GWL,99,E1500*(MAX(0,GWL-H1500)*(GAM_S-GAM_W)+MAX(0,FL-MAX(H1500,GWL))*GAM_D)/(GAM_W*PI()*E1500^2/4))</f>
        <v>2.3808344937132</v>
      </c>
      <c r="AC1500" s="27" t="n">
        <f aca="false">IF(I1500-E1500&gt;=GWL,99,E1500*(MAX(0,GWL-I1500)*(GAM_S-GAM_W)+MAX(0,FL-MAX(I1500,GWL))*GAM_D)/(GAM_W*PI()*E1500^2/4))</f>
        <v>2.3808344937132</v>
      </c>
    </row>
    <row r="1501" customFormat="false" ht="15" hidden="false" customHeight="false" outlineLevel="0" collapsed="false">
      <c r="A1501" s="25" t="s">
        <v>2170</v>
      </c>
      <c r="B1501" s="25" t="s">
        <v>2171</v>
      </c>
      <c r="C1501" s="25" t="s">
        <v>2175</v>
      </c>
      <c r="D1501" s="26" t="n">
        <v>10.0000000005377</v>
      </c>
      <c r="E1501" s="26" t="n">
        <v>2.48360104533367</v>
      </c>
      <c r="F1501" s="26" t="n">
        <v>-4.55180052266684</v>
      </c>
      <c r="G1501" s="26" t="n">
        <v>-4.55180052266684</v>
      </c>
      <c r="H1501" s="26" t="n">
        <v>-1.56819947733316</v>
      </c>
      <c r="I1501" s="26" t="n">
        <v>-1.56819947733316</v>
      </c>
      <c r="J1501" s="26" t="n">
        <v>31.11</v>
      </c>
      <c r="K1501" s="27" t="n">
        <f aca="false">MIN(F1501,G1501)</f>
        <v>-4.55180052266684</v>
      </c>
      <c r="L1501" s="27" t="n">
        <f aca="false">AVERAGE(F1501,G1501)</f>
        <v>-4.55180052266684</v>
      </c>
      <c r="M1501" s="27" t="n">
        <f aca="false">MAX(0,NG-L1501)</f>
        <v>3.85180052266684</v>
      </c>
      <c r="N1501" s="27" t="n">
        <f aca="false">MAX(0,GWL-K1501)</f>
        <v>3.05180052266684</v>
      </c>
      <c r="O1501" s="27" t="n">
        <f aca="false">MAX(0,NG-MAX(K1501,GWL))</f>
        <v>0.8</v>
      </c>
      <c r="P1501" s="27" t="n">
        <f aca="false">E1501/2+WS+SLOPE_A*O1501+SLOPE_B*N1501</f>
        <v>9.54540156800051</v>
      </c>
      <c r="Q1501" s="28" t="str">
        <f aca="false">IF(AND(P1501&lt;J1501,N1501&lt;=MAXOC),"Open cut","Shoring")</f>
        <v>Shoring</v>
      </c>
      <c r="R1501" s="27" t="n">
        <f aca="false">IF(Q1501="Shoring",D1501,0)</f>
        <v>10.0000000005377</v>
      </c>
      <c r="S1501" s="27" t="n">
        <f aca="false">MAX(0,GWL-L1501)</f>
        <v>3.05180052266684</v>
      </c>
      <c r="T1501" s="27" t="n">
        <f aca="false">MAX(0,NG-MAX(L1501,GWL))</f>
        <v>0.8</v>
      </c>
      <c r="U1501" s="27" t="n">
        <f aca="false">E1501+2*WS</f>
        <v>4.48360104533367</v>
      </c>
      <c r="V1501" s="27" t="n">
        <f aca="false">IF(Q1501="Shoring",D1501*M1501*U1501,0)</f>
        <v>172.699368507744</v>
      </c>
      <c r="W1501" s="27" t="n">
        <f aca="false">IF(Q1501="Open cut",D1501*(U1501*M1501+SLOPE_B*S1501^2+2*SLOPE_B*S1501*T1501+SLOPE_A*T1501^2),0)</f>
        <v>0</v>
      </c>
      <c r="X1501" s="27" t="n">
        <f aca="false">IF(M1501&gt;0,D1501*(E1501+2*SLABOVH)*SLAB,0)</f>
        <v>17.4180052276049</v>
      </c>
      <c r="Y1501" s="27" t="n">
        <f aca="false">IF(M1501&gt;0,D1501*PI()*E1501^2/4,0)</f>
        <v>48.4455119087365</v>
      </c>
      <c r="Z1501" s="27" t="n">
        <f aca="false">IF(H1501-E1501&gt;=GWL,99,E1501*(MAX(0,GWL-H1501)*(GAM_S-GAM_W)+MAX(0,NG-MAX(H1501,GWL))*GAM_D)/(GAM_W*PI()*E1501^2/4))</f>
        <v>0.781715786907825</v>
      </c>
      <c r="AA1501" s="27" t="n">
        <f aca="false">IF(I1501-E1501&gt;=GWL,99,E1501*(MAX(0,GWL-I1501)*(GAM_S-GAM_W)+MAX(0,NG-MAX(I1501,GWL))*GAM_D)/(GAM_W*PI()*E1501^2/4))</f>
        <v>0.781715786907825</v>
      </c>
      <c r="AB1501" s="27" t="n">
        <f aca="false">IF(H1501-E1501&gt;=GWL,99,E1501*(MAX(0,GWL-H1501)*(GAM_S-GAM_W)+MAX(0,FL-MAX(H1501,GWL))*GAM_D)/(GAM_W*PI()*E1501^2/4))</f>
        <v>2.3808344937132</v>
      </c>
      <c r="AC1501" s="27" t="n">
        <f aca="false">IF(I1501-E1501&gt;=GWL,99,E1501*(MAX(0,GWL-I1501)*(GAM_S-GAM_W)+MAX(0,FL-MAX(I1501,GWL))*GAM_D)/(GAM_W*PI()*E1501^2/4))</f>
        <v>2.3808344937132</v>
      </c>
    </row>
    <row r="1502" customFormat="false" ht="15" hidden="false" customHeight="false" outlineLevel="0" collapsed="false">
      <c r="A1502" s="25" t="s">
        <v>2170</v>
      </c>
      <c r="B1502" s="25" t="s">
        <v>2171</v>
      </c>
      <c r="C1502" s="25" t="s">
        <v>2176</v>
      </c>
      <c r="D1502" s="26" t="n">
        <v>9.99999999973228</v>
      </c>
      <c r="E1502" s="26" t="n">
        <v>2.48360104533367</v>
      </c>
      <c r="F1502" s="26" t="n">
        <v>-4.55180052266684</v>
      </c>
      <c r="G1502" s="26" t="n">
        <v>-4.55180052266684</v>
      </c>
      <c r="H1502" s="26" t="n">
        <v>-1.56819947733316</v>
      </c>
      <c r="I1502" s="26" t="n">
        <v>-1.56819947733316</v>
      </c>
      <c r="J1502" s="26" t="n">
        <v>31.42</v>
      </c>
      <c r="K1502" s="27" t="n">
        <f aca="false">MIN(F1502,G1502)</f>
        <v>-4.55180052266684</v>
      </c>
      <c r="L1502" s="27" t="n">
        <f aca="false">AVERAGE(F1502,G1502)</f>
        <v>-4.55180052266684</v>
      </c>
      <c r="M1502" s="27" t="n">
        <f aca="false">MAX(0,NG-L1502)</f>
        <v>3.85180052266684</v>
      </c>
      <c r="N1502" s="27" t="n">
        <f aca="false">MAX(0,GWL-K1502)</f>
        <v>3.05180052266684</v>
      </c>
      <c r="O1502" s="27" t="n">
        <f aca="false">MAX(0,NG-MAX(K1502,GWL))</f>
        <v>0.8</v>
      </c>
      <c r="P1502" s="27" t="n">
        <f aca="false">E1502/2+WS+SLOPE_A*O1502+SLOPE_B*N1502</f>
        <v>9.54540156800051</v>
      </c>
      <c r="Q1502" s="28" t="str">
        <f aca="false">IF(AND(P1502&lt;J1502,N1502&lt;=MAXOC),"Open cut","Shoring")</f>
        <v>Shoring</v>
      </c>
      <c r="R1502" s="27" t="n">
        <f aca="false">IF(Q1502="Shoring",D1502,0)</f>
        <v>9.99999999973228</v>
      </c>
      <c r="S1502" s="27" t="n">
        <f aca="false">MAX(0,GWL-L1502)</f>
        <v>3.05180052266684</v>
      </c>
      <c r="T1502" s="27" t="n">
        <f aca="false">MAX(0,NG-MAX(L1502,GWL))</f>
        <v>0.8</v>
      </c>
      <c r="U1502" s="27" t="n">
        <f aca="false">E1502+2*WS</f>
        <v>4.48360104533367</v>
      </c>
      <c r="V1502" s="27" t="n">
        <f aca="false">IF(Q1502="Shoring",D1502*M1502*U1502,0)</f>
        <v>172.699368493835</v>
      </c>
      <c r="W1502" s="27" t="n">
        <f aca="false">IF(Q1502="Open cut",D1502*(U1502*M1502+SLOPE_B*S1502^2+2*SLOPE_B*S1502*T1502+SLOPE_A*T1502^2),0)</f>
        <v>0</v>
      </c>
      <c r="X1502" s="27" t="n">
        <f aca="false">IF(M1502&gt;0,D1502*(E1502+2*SLABOVH)*SLAB,0)</f>
        <v>17.418005226202</v>
      </c>
      <c r="Y1502" s="27" t="n">
        <f aca="false">IF(M1502&gt;0,D1502*PI()*E1502^2/4,0)</f>
        <v>48.4455119048347</v>
      </c>
      <c r="Z1502" s="27" t="n">
        <f aca="false">IF(H1502-E1502&gt;=GWL,99,E1502*(MAX(0,GWL-H1502)*(GAM_S-GAM_W)+MAX(0,NG-MAX(H1502,GWL))*GAM_D)/(GAM_W*PI()*E1502^2/4))</f>
        <v>0.781715786907825</v>
      </c>
      <c r="AA1502" s="27" t="n">
        <f aca="false">IF(I1502-E1502&gt;=GWL,99,E1502*(MAX(0,GWL-I1502)*(GAM_S-GAM_W)+MAX(0,NG-MAX(I1502,GWL))*GAM_D)/(GAM_W*PI()*E1502^2/4))</f>
        <v>0.781715786907825</v>
      </c>
      <c r="AB1502" s="27" t="n">
        <f aca="false">IF(H1502-E1502&gt;=GWL,99,E1502*(MAX(0,GWL-H1502)*(GAM_S-GAM_W)+MAX(0,FL-MAX(H1502,GWL))*GAM_D)/(GAM_W*PI()*E1502^2/4))</f>
        <v>2.3808344937132</v>
      </c>
      <c r="AC1502" s="27" t="n">
        <f aca="false">IF(I1502-E1502&gt;=GWL,99,E1502*(MAX(0,GWL-I1502)*(GAM_S-GAM_W)+MAX(0,FL-MAX(I1502,GWL))*GAM_D)/(GAM_W*PI()*E1502^2/4))</f>
        <v>2.3808344937132</v>
      </c>
    </row>
    <row r="1503" customFormat="false" ht="15" hidden="false" customHeight="false" outlineLevel="0" collapsed="false">
      <c r="A1503" s="25" t="s">
        <v>2170</v>
      </c>
      <c r="B1503" s="25" t="s">
        <v>2171</v>
      </c>
      <c r="C1503" s="25" t="s">
        <v>2177</v>
      </c>
      <c r="D1503" s="26" t="n">
        <v>9.99999999932958</v>
      </c>
      <c r="E1503" s="26" t="n">
        <v>2.48360104533367</v>
      </c>
      <c r="F1503" s="26" t="n">
        <v>-4.55180052266684</v>
      </c>
      <c r="G1503" s="26" t="n">
        <v>-4.55180052266684</v>
      </c>
      <c r="H1503" s="26" t="n">
        <v>-1.56819947733316</v>
      </c>
      <c r="I1503" s="26" t="n">
        <v>-1.56819947733316</v>
      </c>
      <c r="J1503" s="26" t="n">
        <v>33.25</v>
      </c>
      <c r="K1503" s="27" t="n">
        <f aca="false">MIN(F1503,G1503)</f>
        <v>-4.55180052266684</v>
      </c>
      <c r="L1503" s="27" t="n">
        <f aca="false">AVERAGE(F1503,G1503)</f>
        <v>-4.55180052266684</v>
      </c>
      <c r="M1503" s="27" t="n">
        <f aca="false">MAX(0,NG-L1503)</f>
        <v>3.85180052266684</v>
      </c>
      <c r="N1503" s="27" t="n">
        <f aca="false">MAX(0,GWL-K1503)</f>
        <v>3.05180052266684</v>
      </c>
      <c r="O1503" s="27" t="n">
        <f aca="false">MAX(0,NG-MAX(K1503,GWL))</f>
        <v>0.8</v>
      </c>
      <c r="P1503" s="27" t="n">
        <f aca="false">E1503/2+WS+SLOPE_A*O1503+SLOPE_B*N1503</f>
        <v>9.54540156800051</v>
      </c>
      <c r="Q1503" s="28" t="str">
        <f aca="false">IF(AND(P1503&lt;J1503,N1503&lt;=MAXOC),"Open cut","Shoring")</f>
        <v>Shoring</v>
      </c>
      <c r="R1503" s="27" t="n">
        <f aca="false">IF(Q1503="Shoring",D1503,0)</f>
        <v>9.99999999932958</v>
      </c>
      <c r="S1503" s="27" t="n">
        <f aca="false">MAX(0,GWL-L1503)</f>
        <v>3.05180052266684</v>
      </c>
      <c r="T1503" s="27" t="n">
        <f aca="false">MAX(0,NG-MAX(L1503,GWL))</f>
        <v>0.8</v>
      </c>
      <c r="U1503" s="27" t="n">
        <f aca="false">E1503+2*WS</f>
        <v>4.48360104533367</v>
      </c>
      <c r="V1503" s="27" t="n">
        <f aca="false">IF(Q1503="Shoring",D1503*M1503*U1503,0)</f>
        <v>172.69936848688</v>
      </c>
      <c r="W1503" s="27" t="n">
        <f aca="false">IF(Q1503="Open cut",D1503*(U1503*M1503+SLOPE_B*S1503^2+2*SLOPE_B*S1503*T1503+SLOPE_A*T1503^2),0)</f>
        <v>0</v>
      </c>
      <c r="X1503" s="27" t="n">
        <f aca="false">IF(M1503&gt;0,D1503*(E1503+2*SLABOVH)*SLAB,0)</f>
        <v>17.4180052255006</v>
      </c>
      <c r="Y1503" s="27" t="n">
        <f aca="false">IF(M1503&gt;0,D1503*PI()*E1503^2/4,0)</f>
        <v>48.4455119028838</v>
      </c>
      <c r="Z1503" s="27" t="n">
        <f aca="false">IF(H1503-E1503&gt;=GWL,99,E1503*(MAX(0,GWL-H1503)*(GAM_S-GAM_W)+MAX(0,NG-MAX(H1503,GWL))*GAM_D)/(GAM_W*PI()*E1503^2/4))</f>
        <v>0.781715786907825</v>
      </c>
      <c r="AA1503" s="27" t="n">
        <f aca="false">IF(I1503-E1503&gt;=GWL,99,E1503*(MAX(0,GWL-I1503)*(GAM_S-GAM_W)+MAX(0,NG-MAX(I1503,GWL))*GAM_D)/(GAM_W*PI()*E1503^2/4))</f>
        <v>0.781715786907825</v>
      </c>
      <c r="AB1503" s="27" t="n">
        <f aca="false">IF(H1503-E1503&gt;=GWL,99,E1503*(MAX(0,GWL-H1503)*(GAM_S-GAM_W)+MAX(0,FL-MAX(H1503,GWL))*GAM_D)/(GAM_W*PI()*E1503^2/4))</f>
        <v>2.3808344937132</v>
      </c>
      <c r="AC1503" s="27" t="n">
        <f aca="false">IF(I1503-E1503&gt;=GWL,99,E1503*(MAX(0,GWL-I1503)*(GAM_S-GAM_W)+MAX(0,FL-MAX(I1503,GWL))*GAM_D)/(GAM_W*PI()*E1503^2/4))</f>
        <v>2.3808344937132</v>
      </c>
    </row>
    <row r="1504" customFormat="false" ht="15" hidden="false" customHeight="false" outlineLevel="0" collapsed="false">
      <c r="A1504" s="25" t="s">
        <v>2170</v>
      </c>
      <c r="B1504" s="25" t="s">
        <v>2171</v>
      </c>
      <c r="C1504" s="25" t="s">
        <v>2178</v>
      </c>
      <c r="D1504" s="26" t="n">
        <v>10.0000000004792</v>
      </c>
      <c r="E1504" s="26" t="n">
        <v>2.48360104533367</v>
      </c>
      <c r="F1504" s="26" t="n">
        <v>-4.55180052266684</v>
      </c>
      <c r="G1504" s="26" t="n">
        <v>-4.55180052266684</v>
      </c>
      <c r="H1504" s="26" t="n">
        <v>-1.56819947733316</v>
      </c>
      <c r="I1504" s="26" t="n">
        <v>-1.56819947733316</v>
      </c>
      <c r="J1504" s="26" t="n">
        <v>17.82</v>
      </c>
      <c r="K1504" s="27" t="n">
        <f aca="false">MIN(F1504,G1504)</f>
        <v>-4.55180052266684</v>
      </c>
      <c r="L1504" s="27" t="n">
        <f aca="false">AVERAGE(F1504,G1504)</f>
        <v>-4.55180052266684</v>
      </c>
      <c r="M1504" s="27" t="n">
        <f aca="false">MAX(0,NG-L1504)</f>
        <v>3.85180052266684</v>
      </c>
      <c r="N1504" s="27" t="n">
        <f aca="false">MAX(0,GWL-K1504)</f>
        <v>3.05180052266684</v>
      </c>
      <c r="O1504" s="27" t="n">
        <f aca="false">MAX(0,NG-MAX(K1504,GWL))</f>
        <v>0.8</v>
      </c>
      <c r="P1504" s="27" t="n">
        <f aca="false">E1504/2+WS+SLOPE_A*O1504+SLOPE_B*N1504</f>
        <v>9.54540156800051</v>
      </c>
      <c r="Q1504" s="28" t="str">
        <f aca="false">IF(AND(P1504&lt;J1504,N1504&lt;=MAXOC),"Open cut","Shoring")</f>
        <v>Shoring</v>
      </c>
      <c r="R1504" s="27" t="n">
        <f aca="false">IF(Q1504="Shoring",D1504,0)</f>
        <v>10.0000000004792</v>
      </c>
      <c r="S1504" s="27" t="n">
        <f aca="false">MAX(0,GWL-L1504)</f>
        <v>3.05180052266684</v>
      </c>
      <c r="T1504" s="27" t="n">
        <f aca="false">MAX(0,NG-MAX(L1504,GWL))</f>
        <v>0.8</v>
      </c>
      <c r="U1504" s="27" t="n">
        <f aca="false">E1504+2*WS</f>
        <v>4.48360104533367</v>
      </c>
      <c r="V1504" s="27" t="n">
        <f aca="false">IF(Q1504="Shoring",D1504*M1504*U1504,0)</f>
        <v>172.699368506734</v>
      </c>
      <c r="W1504" s="27" t="n">
        <f aca="false">IF(Q1504="Open cut",D1504*(U1504*M1504+SLOPE_B*S1504^2+2*SLOPE_B*S1504*T1504+SLOPE_A*T1504^2),0)</f>
        <v>0</v>
      </c>
      <c r="X1504" s="27" t="n">
        <f aca="false">IF(M1504&gt;0,D1504*(E1504+2*SLABOVH)*SLAB,0)</f>
        <v>17.418005227503</v>
      </c>
      <c r="Y1504" s="27" t="n">
        <f aca="false">IF(M1504&gt;0,D1504*PI()*E1504^2/4,0)</f>
        <v>48.4455119084533</v>
      </c>
      <c r="Z1504" s="27" t="n">
        <f aca="false">IF(H1504-E1504&gt;=GWL,99,E1504*(MAX(0,GWL-H1504)*(GAM_S-GAM_W)+MAX(0,NG-MAX(H1504,GWL))*GAM_D)/(GAM_W*PI()*E1504^2/4))</f>
        <v>0.781715786907825</v>
      </c>
      <c r="AA1504" s="27" t="n">
        <f aca="false">IF(I1504-E1504&gt;=GWL,99,E1504*(MAX(0,GWL-I1504)*(GAM_S-GAM_W)+MAX(0,NG-MAX(I1504,GWL))*GAM_D)/(GAM_W*PI()*E1504^2/4))</f>
        <v>0.781715786907825</v>
      </c>
      <c r="AB1504" s="27" t="n">
        <f aca="false">IF(H1504-E1504&gt;=GWL,99,E1504*(MAX(0,GWL-H1504)*(GAM_S-GAM_W)+MAX(0,FL-MAX(H1504,GWL))*GAM_D)/(GAM_W*PI()*E1504^2/4))</f>
        <v>2.3808344937132</v>
      </c>
      <c r="AC1504" s="27" t="n">
        <f aca="false">IF(I1504-E1504&gt;=GWL,99,E1504*(MAX(0,GWL-I1504)*(GAM_S-GAM_W)+MAX(0,FL-MAX(I1504,GWL))*GAM_D)/(GAM_W*PI()*E1504^2/4))</f>
        <v>2.3808344937132</v>
      </c>
    </row>
    <row r="1505" customFormat="false" ht="15" hidden="false" customHeight="false" outlineLevel="0" collapsed="false">
      <c r="A1505" s="25" t="s">
        <v>2170</v>
      </c>
      <c r="B1505" s="25" t="s">
        <v>2171</v>
      </c>
      <c r="C1505" s="25" t="s">
        <v>2179</v>
      </c>
      <c r="D1505" s="26" t="n">
        <v>9.99999999973228</v>
      </c>
      <c r="E1505" s="26" t="n">
        <v>2.48360104533367</v>
      </c>
      <c r="F1505" s="26" t="n">
        <v>-4.55180052266684</v>
      </c>
      <c r="G1505" s="26" t="n">
        <v>-4.55180052266684</v>
      </c>
      <c r="H1505" s="26" t="n">
        <v>-1.56819947733316</v>
      </c>
      <c r="I1505" s="26" t="n">
        <v>-1.56819947733316</v>
      </c>
      <c r="J1505" s="26" t="n">
        <v>10.6</v>
      </c>
      <c r="K1505" s="27" t="n">
        <f aca="false">MIN(F1505,G1505)</f>
        <v>-4.55180052266684</v>
      </c>
      <c r="L1505" s="27" t="n">
        <f aca="false">AVERAGE(F1505,G1505)</f>
        <v>-4.55180052266684</v>
      </c>
      <c r="M1505" s="27" t="n">
        <f aca="false">MAX(0,NG-L1505)</f>
        <v>3.85180052266684</v>
      </c>
      <c r="N1505" s="27" t="n">
        <f aca="false">MAX(0,GWL-K1505)</f>
        <v>3.05180052266684</v>
      </c>
      <c r="O1505" s="27" t="n">
        <f aca="false">MAX(0,NG-MAX(K1505,GWL))</f>
        <v>0.8</v>
      </c>
      <c r="P1505" s="27" t="n">
        <f aca="false">E1505/2+WS+SLOPE_A*O1505+SLOPE_B*N1505</f>
        <v>9.54540156800051</v>
      </c>
      <c r="Q1505" s="28" t="str">
        <f aca="false">IF(AND(P1505&lt;J1505,N1505&lt;=MAXOC),"Open cut","Shoring")</f>
        <v>Shoring</v>
      </c>
      <c r="R1505" s="27" t="n">
        <f aca="false">IF(Q1505="Shoring",D1505,0)</f>
        <v>9.99999999973228</v>
      </c>
      <c r="S1505" s="27" t="n">
        <f aca="false">MAX(0,GWL-L1505)</f>
        <v>3.05180052266684</v>
      </c>
      <c r="T1505" s="27" t="n">
        <f aca="false">MAX(0,NG-MAX(L1505,GWL))</f>
        <v>0.8</v>
      </c>
      <c r="U1505" s="27" t="n">
        <f aca="false">E1505+2*WS</f>
        <v>4.48360104533367</v>
      </c>
      <c r="V1505" s="27" t="n">
        <f aca="false">IF(Q1505="Shoring",D1505*M1505*U1505,0)</f>
        <v>172.699368493835</v>
      </c>
      <c r="W1505" s="27" t="n">
        <f aca="false">IF(Q1505="Open cut",D1505*(U1505*M1505+SLOPE_B*S1505^2+2*SLOPE_B*S1505*T1505+SLOPE_A*T1505^2),0)</f>
        <v>0</v>
      </c>
      <c r="X1505" s="27" t="n">
        <f aca="false">IF(M1505&gt;0,D1505*(E1505+2*SLABOVH)*SLAB,0)</f>
        <v>17.418005226202</v>
      </c>
      <c r="Y1505" s="27" t="n">
        <f aca="false">IF(M1505&gt;0,D1505*PI()*E1505^2/4,0)</f>
        <v>48.4455119048347</v>
      </c>
      <c r="Z1505" s="27" t="n">
        <f aca="false">IF(H1505-E1505&gt;=GWL,99,E1505*(MAX(0,GWL-H1505)*(GAM_S-GAM_W)+MAX(0,NG-MAX(H1505,GWL))*GAM_D)/(GAM_W*PI()*E1505^2/4))</f>
        <v>0.781715786907825</v>
      </c>
      <c r="AA1505" s="27" t="n">
        <f aca="false">IF(I1505-E1505&gt;=GWL,99,E1505*(MAX(0,GWL-I1505)*(GAM_S-GAM_W)+MAX(0,NG-MAX(I1505,GWL))*GAM_D)/(GAM_W*PI()*E1505^2/4))</f>
        <v>0.781715786907825</v>
      </c>
      <c r="AB1505" s="27" t="n">
        <f aca="false">IF(H1505-E1505&gt;=GWL,99,E1505*(MAX(0,GWL-H1505)*(GAM_S-GAM_W)+MAX(0,FL-MAX(H1505,GWL))*GAM_D)/(GAM_W*PI()*E1505^2/4))</f>
        <v>2.3808344937132</v>
      </c>
      <c r="AC1505" s="27" t="n">
        <f aca="false">IF(I1505-E1505&gt;=GWL,99,E1505*(MAX(0,GWL-I1505)*(GAM_S-GAM_W)+MAX(0,FL-MAX(I1505,GWL))*GAM_D)/(GAM_W*PI()*E1505^2/4))</f>
        <v>2.3808344937132</v>
      </c>
    </row>
    <row r="1506" customFormat="false" ht="15" hidden="false" customHeight="false" outlineLevel="0" collapsed="false">
      <c r="A1506" s="25" t="s">
        <v>2170</v>
      </c>
      <c r="B1506" s="25" t="s">
        <v>2171</v>
      </c>
      <c r="C1506" s="25" t="s">
        <v>2180</v>
      </c>
      <c r="D1506" s="26" t="n">
        <v>10.0000000005377</v>
      </c>
      <c r="E1506" s="26" t="n">
        <v>2.48360104533367</v>
      </c>
      <c r="F1506" s="26" t="n">
        <v>-4.55180052266684</v>
      </c>
      <c r="G1506" s="26" t="n">
        <v>-4.55180052266684</v>
      </c>
      <c r="H1506" s="26" t="n">
        <v>-1.56819947733316</v>
      </c>
      <c r="I1506" s="26" t="n">
        <v>-1.56819947733316</v>
      </c>
      <c r="J1506" s="26" t="n">
        <v>9.2</v>
      </c>
      <c r="K1506" s="27" t="n">
        <f aca="false">MIN(F1506,G1506)</f>
        <v>-4.55180052266684</v>
      </c>
      <c r="L1506" s="27" t="n">
        <f aca="false">AVERAGE(F1506,G1506)</f>
        <v>-4.55180052266684</v>
      </c>
      <c r="M1506" s="27" t="n">
        <f aca="false">MAX(0,NG-L1506)</f>
        <v>3.85180052266684</v>
      </c>
      <c r="N1506" s="27" t="n">
        <f aca="false">MAX(0,GWL-K1506)</f>
        <v>3.05180052266684</v>
      </c>
      <c r="O1506" s="27" t="n">
        <f aca="false">MAX(0,NG-MAX(K1506,GWL))</f>
        <v>0.8</v>
      </c>
      <c r="P1506" s="27" t="n">
        <f aca="false">E1506/2+WS+SLOPE_A*O1506+SLOPE_B*N1506</f>
        <v>9.54540156800051</v>
      </c>
      <c r="Q1506" s="28" t="str">
        <f aca="false">IF(AND(P1506&lt;J1506,N1506&lt;=MAXOC),"Open cut","Shoring")</f>
        <v>Shoring</v>
      </c>
      <c r="R1506" s="27" t="n">
        <f aca="false">IF(Q1506="Shoring",D1506,0)</f>
        <v>10.0000000005377</v>
      </c>
      <c r="S1506" s="27" t="n">
        <f aca="false">MAX(0,GWL-L1506)</f>
        <v>3.05180052266684</v>
      </c>
      <c r="T1506" s="27" t="n">
        <f aca="false">MAX(0,NG-MAX(L1506,GWL))</f>
        <v>0.8</v>
      </c>
      <c r="U1506" s="27" t="n">
        <f aca="false">E1506+2*WS</f>
        <v>4.48360104533367</v>
      </c>
      <c r="V1506" s="27" t="n">
        <f aca="false">IF(Q1506="Shoring",D1506*M1506*U1506,0)</f>
        <v>172.699368507744</v>
      </c>
      <c r="W1506" s="27" t="n">
        <f aca="false">IF(Q1506="Open cut",D1506*(U1506*M1506+SLOPE_B*S1506^2+2*SLOPE_B*S1506*T1506+SLOPE_A*T1506^2),0)</f>
        <v>0</v>
      </c>
      <c r="X1506" s="27" t="n">
        <f aca="false">IF(M1506&gt;0,D1506*(E1506+2*SLABOVH)*SLAB,0)</f>
        <v>17.4180052276049</v>
      </c>
      <c r="Y1506" s="27" t="n">
        <f aca="false">IF(M1506&gt;0,D1506*PI()*E1506^2/4,0)</f>
        <v>48.4455119087365</v>
      </c>
      <c r="Z1506" s="27" t="n">
        <f aca="false">IF(H1506-E1506&gt;=GWL,99,E1506*(MAX(0,GWL-H1506)*(GAM_S-GAM_W)+MAX(0,NG-MAX(H1506,GWL))*GAM_D)/(GAM_W*PI()*E1506^2/4))</f>
        <v>0.781715786907825</v>
      </c>
      <c r="AA1506" s="27" t="n">
        <f aca="false">IF(I1506-E1506&gt;=GWL,99,E1506*(MAX(0,GWL-I1506)*(GAM_S-GAM_W)+MAX(0,NG-MAX(I1506,GWL))*GAM_D)/(GAM_W*PI()*E1506^2/4))</f>
        <v>0.781715786907825</v>
      </c>
      <c r="AB1506" s="27" t="n">
        <f aca="false">IF(H1506-E1506&gt;=GWL,99,E1506*(MAX(0,GWL-H1506)*(GAM_S-GAM_W)+MAX(0,FL-MAX(H1506,GWL))*GAM_D)/(GAM_W*PI()*E1506^2/4))</f>
        <v>2.3808344937132</v>
      </c>
      <c r="AC1506" s="27" t="n">
        <f aca="false">IF(I1506-E1506&gt;=GWL,99,E1506*(MAX(0,GWL-I1506)*(GAM_S-GAM_W)+MAX(0,FL-MAX(I1506,GWL))*GAM_D)/(GAM_W*PI()*E1506^2/4))</f>
        <v>2.3808344937132</v>
      </c>
    </row>
    <row r="1507" customFormat="false" ht="15" hidden="false" customHeight="false" outlineLevel="0" collapsed="false">
      <c r="A1507" s="25" t="s">
        <v>2170</v>
      </c>
      <c r="B1507" s="25" t="s">
        <v>2171</v>
      </c>
      <c r="C1507" s="25" t="s">
        <v>2181</v>
      </c>
      <c r="D1507" s="26" t="n">
        <v>9.99999999973228</v>
      </c>
      <c r="E1507" s="26" t="n">
        <v>2.48360104533367</v>
      </c>
      <c r="F1507" s="26" t="n">
        <v>-4.55180052266684</v>
      </c>
      <c r="G1507" s="26" t="n">
        <v>-4.55180052266684</v>
      </c>
      <c r="H1507" s="26" t="n">
        <v>-1.56819947733316</v>
      </c>
      <c r="I1507" s="26" t="n">
        <v>-1.56819947733316</v>
      </c>
      <c r="J1507" s="26" t="n">
        <v>9.6</v>
      </c>
      <c r="K1507" s="27" t="n">
        <f aca="false">MIN(F1507,G1507)</f>
        <v>-4.55180052266684</v>
      </c>
      <c r="L1507" s="27" t="n">
        <f aca="false">AVERAGE(F1507,G1507)</f>
        <v>-4.55180052266684</v>
      </c>
      <c r="M1507" s="27" t="n">
        <f aca="false">MAX(0,NG-L1507)</f>
        <v>3.85180052266684</v>
      </c>
      <c r="N1507" s="27" t="n">
        <f aca="false">MAX(0,GWL-K1507)</f>
        <v>3.05180052266684</v>
      </c>
      <c r="O1507" s="27" t="n">
        <f aca="false">MAX(0,NG-MAX(K1507,GWL))</f>
        <v>0.8</v>
      </c>
      <c r="P1507" s="27" t="n">
        <f aca="false">E1507/2+WS+SLOPE_A*O1507+SLOPE_B*N1507</f>
        <v>9.54540156800051</v>
      </c>
      <c r="Q1507" s="28" t="str">
        <f aca="false">IF(AND(P1507&lt;J1507,N1507&lt;=MAXOC),"Open cut","Shoring")</f>
        <v>Shoring</v>
      </c>
      <c r="R1507" s="27" t="n">
        <f aca="false">IF(Q1507="Shoring",D1507,0)</f>
        <v>9.99999999973228</v>
      </c>
      <c r="S1507" s="27" t="n">
        <f aca="false">MAX(0,GWL-L1507)</f>
        <v>3.05180052266684</v>
      </c>
      <c r="T1507" s="27" t="n">
        <f aca="false">MAX(0,NG-MAX(L1507,GWL))</f>
        <v>0.8</v>
      </c>
      <c r="U1507" s="27" t="n">
        <f aca="false">E1507+2*WS</f>
        <v>4.48360104533367</v>
      </c>
      <c r="V1507" s="27" t="n">
        <f aca="false">IF(Q1507="Shoring",D1507*M1507*U1507,0)</f>
        <v>172.699368493835</v>
      </c>
      <c r="W1507" s="27" t="n">
        <f aca="false">IF(Q1507="Open cut",D1507*(U1507*M1507+SLOPE_B*S1507^2+2*SLOPE_B*S1507*T1507+SLOPE_A*T1507^2),0)</f>
        <v>0</v>
      </c>
      <c r="X1507" s="27" t="n">
        <f aca="false">IF(M1507&gt;0,D1507*(E1507+2*SLABOVH)*SLAB,0)</f>
        <v>17.418005226202</v>
      </c>
      <c r="Y1507" s="27" t="n">
        <f aca="false">IF(M1507&gt;0,D1507*PI()*E1507^2/4,0)</f>
        <v>48.4455119048347</v>
      </c>
      <c r="Z1507" s="27" t="n">
        <f aca="false">IF(H1507-E1507&gt;=GWL,99,E1507*(MAX(0,GWL-H1507)*(GAM_S-GAM_W)+MAX(0,NG-MAX(H1507,GWL))*GAM_D)/(GAM_W*PI()*E1507^2/4))</f>
        <v>0.781715786907825</v>
      </c>
      <c r="AA1507" s="27" t="n">
        <f aca="false">IF(I1507-E1507&gt;=GWL,99,E1507*(MAX(0,GWL-I1507)*(GAM_S-GAM_W)+MAX(0,NG-MAX(I1507,GWL))*GAM_D)/(GAM_W*PI()*E1507^2/4))</f>
        <v>0.781715786907825</v>
      </c>
      <c r="AB1507" s="27" t="n">
        <f aca="false">IF(H1507-E1507&gt;=GWL,99,E1507*(MAX(0,GWL-H1507)*(GAM_S-GAM_W)+MAX(0,FL-MAX(H1507,GWL))*GAM_D)/(GAM_W*PI()*E1507^2/4))</f>
        <v>2.3808344937132</v>
      </c>
      <c r="AC1507" s="27" t="n">
        <f aca="false">IF(I1507-E1507&gt;=GWL,99,E1507*(MAX(0,GWL-I1507)*(GAM_S-GAM_W)+MAX(0,FL-MAX(I1507,GWL))*GAM_D)/(GAM_W*PI()*E1507^2/4))</f>
        <v>2.3808344937132</v>
      </c>
    </row>
    <row r="1508" customFormat="false" ht="15" hidden="false" customHeight="false" outlineLevel="0" collapsed="false">
      <c r="A1508" s="25" t="s">
        <v>2170</v>
      </c>
      <c r="B1508" s="25" t="s">
        <v>2171</v>
      </c>
      <c r="C1508" s="25" t="s">
        <v>2182</v>
      </c>
      <c r="D1508" s="26" t="n">
        <v>10.0000000005377</v>
      </c>
      <c r="E1508" s="26" t="n">
        <v>2.48360104533367</v>
      </c>
      <c r="F1508" s="26" t="n">
        <v>-4.55180052266684</v>
      </c>
      <c r="G1508" s="26" t="n">
        <v>-4.55180052266684</v>
      </c>
      <c r="H1508" s="26" t="n">
        <v>-1.56819947733316</v>
      </c>
      <c r="I1508" s="26" t="n">
        <v>-1.56819947733316</v>
      </c>
      <c r="J1508" s="26" t="n">
        <v>15.59</v>
      </c>
      <c r="K1508" s="27" t="n">
        <f aca="false">MIN(F1508,G1508)</f>
        <v>-4.55180052266684</v>
      </c>
      <c r="L1508" s="27" t="n">
        <f aca="false">AVERAGE(F1508,G1508)</f>
        <v>-4.55180052266684</v>
      </c>
      <c r="M1508" s="27" t="n">
        <f aca="false">MAX(0,NG-L1508)</f>
        <v>3.85180052266684</v>
      </c>
      <c r="N1508" s="27" t="n">
        <f aca="false">MAX(0,GWL-K1508)</f>
        <v>3.05180052266684</v>
      </c>
      <c r="O1508" s="27" t="n">
        <f aca="false">MAX(0,NG-MAX(K1508,GWL))</f>
        <v>0.8</v>
      </c>
      <c r="P1508" s="27" t="n">
        <f aca="false">E1508/2+WS+SLOPE_A*O1508+SLOPE_B*N1508</f>
        <v>9.54540156800051</v>
      </c>
      <c r="Q1508" s="28" t="str">
        <f aca="false">IF(AND(P1508&lt;J1508,N1508&lt;=MAXOC),"Open cut","Shoring")</f>
        <v>Shoring</v>
      </c>
      <c r="R1508" s="27" t="n">
        <f aca="false">IF(Q1508="Shoring",D1508,0)</f>
        <v>10.0000000005377</v>
      </c>
      <c r="S1508" s="27" t="n">
        <f aca="false">MAX(0,GWL-L1508)</f>
        <v>3.05180052266684</v>
      </c>
      <c r="T1508" s="27" t="n">
        <f aca="false">MAX(0,NG-MAX(L1508,GWL))</f>
        <v>0.8</v>
      </c>
      <c r="U1508" s="27" t="n">
        <f aca="false">E1508+2*WS</f>
        <v>4.48360104533367</v>
      </c>
      <c r="V1508" s="27" t="n">
        <f aca="false">IF(Q1508="Shoring",D1508*M1508*U1508,0)</f>
        <v>172.699368507744</v>
      </c>
      <c r="W1508" s="27" t="n">
        <f aca="false">IF(Q1508="Open cut",D1508*(U1508*M1508+SLOPE_B*S1508^2+2*SLOPE_B*S1508*T1508+SLOPE_A*T1508^2),0)</f>
        <v>0</v>
      </c>
      <c r="X1508" s="27" t="n">
        <f aca="false">IF(M1508&gt;0,D1508*(E1508+2*SLABOVH)*SLAB,0)</f>
        <v>17.4180052276049</v>
      </c>
      <c r="Y1508" s="27" t="n">
        <f aca="false">IF(M1508&gt;0,D1508*PI()*E1508^2/4,0)</f>
        <v>48.4455119087365</v>
      </c>
      <c r="Z1508" s="27" t="n">
        <f aca="false">IF(H1508-E1508&gt;=GWL,99,E1508*(MAX(0,GWL-H1508)*(GAM_S-GAM_W)+MAX(0,NG-MAX(H1508,GWL))*GAM_D)/(GAM_W*PI()*E1508^2/4))</f>
        <v>0.781715786907825</v>
      </c>
      <c r="AA1508" s="27" t="n">
        <f aca="false">IF(I1508-E1508&gt;=GWL,99,E1508*(MAX(0,GWL-I1508)*(GAM_S-GAM_W)+MAX(0,NG-MAX(I1508,GWL))*GAM_D)/(GAM_W*PI()*E1508^2/4))</f>
        <v>0.781715786907825</v>
      </c>
      <c r="AB1508" s="27" t="n">
        <f aca="false">IF(H1508-E1508&gt;=GWL,99,E1508*(MAX(0,GWL-H1508)*(GAM_S-GAM_W)+MAX(0,FL-MAX(H1508,GWL))*GAM_D)/(GAM_W*PI()*E1508^2/4))</f>
        <v>2.3808344937132</v>
      </c>
      <c r="AC1508" s="27" t="n">
        <f aca="false">IF(I1508-E1508&gt;=GWL,99,E1508*(MAX(0,GWL-I1508)*(GAM_S-GAM_W)+MAX(0,FL-MAX(I1508,GWL))*GAM_D)/(GAM_W*PI()*E1508^2/4))</f>
        <v>2.3808344937132</v>
      </c>
    </row>
    <row r="1509" customFormat="false" ht="15" hidden="false" customHeight="false" outlineLevel="0" collapsed="false">
      <c r="A1509" s="25" t="s">
        <v>2170</v>
      </c>
      <c r="B1509" s="25" t="s">
        <v>2171</v>
      </c>
      <c r="C1509" s="25" t="s">
        <v>2183</v>
      </c>
      <c r="D1509" s="26" t="n">
        <v>9.99999999927113</v>
      </c>
      <c r="E1509" s="26" t="n">
        <v>2.48360104533367</v>
      </c>
      <c r="F1509" s="26" t="n">
        <v>-4.55180052266684</v>
      </c>
      <c r="G1509" s="26" t="n">
        <v>-4.55180052266684</v>
      </c>
      <c r="H1509" s="26" t="n">
        <v>-1.56819947733316</v>
      </c>
      <c r="I1509" s="26" t="n">
        <v>-1.56819947733316</v>
      </c>
      <c r="J1509" s="26" t="n">
        <v>24.37</v>
      </c>
      <c r="K1509" s="27" t="n">
        <f aca="false">MIN(F1509,G1509)</f>
        <v>-4.55180052266684</v>
      </c>
      <c r="L1509" s="27" t="n">
        <f aca="false">AVERAGE(F1509,G1509)</f>
        <v>-4.55180052266684</v>
      </c>
      <c r="M1509" s="27" t="n">
        <f aca="false">MAX(0,NG-L1509)</f>
        <v>3.85180052266684</v>
      </c>
      <c r="N1509" s="27" t="n">
        <f aca="false">MAX(0,GWL-K1509)</f>
        <v>3.05180052266684</v>
      </c>
      <c r="O1509" s="27" t="n">
        <f aca="false">MAX(0,NG-MAX(K1509,GWL))</f>
        <v>0.8</v>
      </c>
      <c r="P1509" s="27" t="n">
        <f aca="false">E1509/2+WS+SLOPE_A*O1509+SLOPE_B*N1509</f>
        <v>9.54540156800051</v>
      </c>
      <c r="Q1509" s="28" t="str">
        <f aca="false">IF(AND(P1509&lt;J1509,N1509&lt;=MAXOC),"Open cut","Shoring")</f>
        <v>Shoring</v>
      </c>
      <c r="R1509" s="27" t="n">
        <f aca="false">IF(Q1509="Shoring",D1509,0)</f>
        <v>9.99999999927113</v>
      </c>
      <c r="S1509" s="27" t="n">
        <f aca="false">MAX(0,GWL-L1509)</f>
        <v>3.05180052266684</v>
      </c>
      <c r="T1509" s="27" t="n">
        <f aca="false">MAX(0,NG-MAX(L1509,GWL))</f>
        <v>0.8</v>
      </c>
      <c r="U1509" s="27" t="n">
        <f aca="false">E1509+2*WS</f>
        <v>4.48360104533367</v>
      </c>
      <c r="V1509" s="27" t="n">
        <f aca="false">IF(Q1509="Shoring",D1509*M1509*U1509,0)</f>
        <v>172.69936848587</v>
      </c>
      <c r="W1509" s="27" t="n">
        <f aca="false">IF(Q1509="Open cut",D1509*(U1509*M1509+SLOPE_B*S1509^2+2*SLOPE_B*S1509*T1509+SLOPE_A*T1509^2),0)</f>
        <v>0</v>
      </c>
      <c r="X1509" s="27" t="n">
        <f aca="false">IF(M1509&gt;0,D1509*(E1509+2*SLABOVH)*SLAB,0)</f>
        <v>17.4180052253988</v>
      </c>
      <c r="Y1509" s="27" t="n">
        <f aca="false">IF(M1509&gt;0,D1509*PI()*E1509^2/4,0)</f>
        <v>48.4455119026006</v>
      </c>
      <c r="Z1509" s="27" t="n">
        <f aca="false">IF(H1509-E1509&gt;=GWL,99,E1509*(MAX(0,GWL-H1509)*(GAM_S-GAM_W)+MAX(0,NG-MAX(H1509,GWL))*GAM_D)/(GAM_W*PI()*E1509^2/4))</f>
        <v>0.781715786907825</v>
      </c>
      <c r="AA1509" s="27" t="n">
        <f aca="false">IF(I1509-E1509&gt;=GWL,99,E1509*(MAX(0,GWL-I1509)*(GAM_S-GAM_W)+MAX(0,NG-MAX(I1509,GWL))*GAM_D)/(GAM_W*PI()*E1509^2/4))</f>
        <v>0.781715786907825</v>
      </c>
      <c r="AB1509" s="27" t="n">
        <f aca="false">IF(H1509-E1509&gt;=GWL,99,E1509*(MAX(0,GWL-H1509)*(GAM_S-GAM_W)+MAX(0,FL-MAX(H1509,GWL))*GAM_D)/(GAM_W*PI()*E1509^2/4))</f>
        <v>2.3808344937132</v>
      </c>
      <c r="AC1509" s="27" t="n">
        <f aca="false">IF(I1509-E1509&gt;=GWL,99,E1509*(MAX(0,GWL-I1509)*(GAM_S-GAM_W)+MAX(0,FL-MAX(I1509,GWL))*GAM_D)/(GAM_W*PI()*E1509^2/4))</f>
        <v>2.3808344937132</v>
      </c>
    </row>
    <row r="1510" customFormat="false" ht="15" hidden="false" customHeight="false" outlineLevel="0" collapsed="false">
      <c r="A1510" s="25" t="s">
        <v>2170</v>
      </c>
      <c r="B1510" s="25" t="s">
        <v>2171</v>
      </c>
      <c r="C1510" s="25" t="s">
        <v>2184</v>
      </c>
      <c r="D1510" s="26" t="n">
        <v>9.99999999973228</v>
      </c>
      <c r="E1510" s="26" t="n">
        <v>2.48360104533367</v>
      </c>
      <c r="F1510" s="26" t="n">
        <v>-4.55180052266684</v>
      </c>
      <c r="G1510" s="26" t="n">
        <v>-4.55180052266684</v>
      </c>
      <c r="H1510" s="26" t="n">
        <v>-1.56819947733316</v>
      </c>
      <c r="I1510" s="26" t="n">
        <v>-1.56819947733316</v>
      </c>
      <c r="J1510" s="26" t="n">
        <v>32.68</v>
      </c>
      <c r="K1510" s="27" t="n">
        <f aca="false">MIN(F1510,G1510)</f>
        <v>-4.55180052266684</v>
      </c>
      <c r="L1510" s="27" t="n">
        <f aca="false">AVERAGE(F1510,G1510)</f>
        <v>-4.55180052266684</v>
      </c>
      <c r="M1510" s="27" t="n">
        <f aca="false">MAX(0,NG-L1510)</f>
        <v>3.85180052266684</v>
      </c>
      <c r="N1510" s="27" t="n">
        <f aca="false">MAX(0,GWL-K1510)</f>
        <v>3.05180052266684</v>
      </c>
      <c r="O1510" s="27" t="n">
        <f aca="false">MAX(0,NG-MAX(K1510,GWL))</f>
        <v>0.8</v>
      </c>
      <c r="P1510" s="27" t="n">
        <f aca="false">E1510/2+WS+SLOPE_A*O1510+SLOPE_B*N1510</f>
        <v>9.54540156800051</v>
      </c>
      <c r="Q1510" s="28" t="str">
        <f aca="false">IF(AND(P1510&lt;J1510,N1510&lt;=MAXOC),"Open cut","Shoring")</f>
        <v>Shoring</v>
      </c>
      <c r="R1510" s="27" t="n">
        <f aca="false">IF(Q1510="Shoring",D1510,0)</f>
        <v>9.99999999973228</v>
      </c>
      <c r="S1510" s="27" t="n">
        <f aca="false">MAX(0,GWL-L1510)</f>
        <v>3.05180052266684</v>
      </c>
      <c r="T1510" s="27" t="n">
        <f aca="false">MAX(0,NG-MAX(L1510,GWL))</f>
        <v>0.8</v>
      </c>
      <c r="U1510" s="27" t="n">
        <f aca="false">E1510+2*WS</f>
        <v>4.48360104533367</v>
      </c>
      <c r="V1510" s="27" t="n">
        <f aca="false">IF(Q1510="Shoring",D1510*M1510*U1510,0)</f>
        <v>172.699368493835</v>
      </c>
      <c r="W1510" s="27" t="n">
        <f aca="false">IF(Q1510="Open cut",D1510*(U1510*M1510+SLOPE_B*S1510^2+2*SLOPE_B*S1510*T1510+SLOPE_A*T1510^2),0)</f>
        <v>0</v>
      </c>
      <c r="X1510" s="27" t="n">
        <f aca="false">IF(M1510&gt;0,D1510*(E1510+2*SLABOVH)*SLAB,0)</f>
        <v>17.418005226202</v>
      </c>
      <c r="Y1510" s="27" t="n">
        <f aca="false">IF(M1510&gt;0,D1510*PI()*E1510^2/4,0)</f>
        <v>48.4455119048347</v>
      </c>
      <c r="Z1510" s="27" t="n">
        <f aca="false">IF(H1510-E1510&gt;=GWL,99,E1510*(MAX(0,GWL-H1510)*(GAM_S-GAM_W)+MAX(0,NG-MAX(H1510,GWL))*GAM_D)/(GAM_W*PI()*E1510^2/4))</f>
        <v>0.781715786907825</v>
      </c>
      <c r="AA1510" s="27" t="n">
        <f aca="false">IF(I1510-E1510&gt;=GWL,99,E1510*(MAX(0,GWL-I1510)*(GAM_S-GAM_W)+MAX(0,NG-MAX(I1510,GWL))*GAM_D)/(GAM_W*PI()*E1510^2/4))</f>
        <v>0.781715786907825</v>
      </c>
      <c r="AB1510" s="27" t="n">
        <f aca="false">IF(H1510-E1510&gt;=GWL,99,E1510*(MAX(0,GWL-H1510)*(GAM_S-GAM_W)+MAX(0,FL-MAX(H1510,GWL))*GAM_D)/(GAM_W*PI()*E1510^2/4))</f>
        <v>2.3808344937132</v>
      </c>
      <c r="AC1510" s="27" t="n">
        <f aca="false">IF(I1510-E1510&gt;=GWL,99,E1510*(MAX(0,GWL-I1510)*(GAM_S-GAM_W)+MAX(0,FL-MAX(I1510,GWL))*GAM_D)/(GAM_W*PI()*E1510^2/4))</f>
        <v>2.3808344937132</v>
      </c>
    </row>
    <row r="1511" customFormat="false" ht="15" hidden="false" customHeight="false" outlineLevel="0" collapsed="false">
      <c r="A1511" s="25" t="s">
        <v>2170</v>
      </c>
      <c r="B1511" s="25" t="s">
        <v>2171</v>
      </c>
      <c r="C1511" s="25" t="s">
        <v>2185</v>
      </c>
      <c r="D1511" s="26" t="n">
        <v>10.0000000005377</v>
      </c>
      <c r="E1511" s="26" t="n">
        <v>2.48360104533367</v>
      </c>
      <c r="F1511" s="26" t="n">
        <v>-4.55180052266684</v>
      </c>
      <c r="G1511" s="26" t="n">
        <v>-4.55180052266684</v>
      </c>
      <c r="H1511" s="26" t="n">
        <v>-1.56819947733316</v>
      </c>
      <c r="I1511" s="26" t="n">
        <v>-1.56819947733316</v>
      </c>
      <c r="J1511" s="26" t="n">
        <v>36.02</v>
      </c>
      <c r="K1511" s="27" t="n">
        <f aca="false">MIN(F1511,G1511)</f>
        <v>-4.55180052266684</v>
      </c>
      <c r="L1511" s="27" t="n">
        <f aca="false">AVERAGE(F1511,G1511)</f>
        <v>-4.55180052266684</v>
      </c>
      <c r="M1511" s="27" t="n">
        <f aca="false">MAX(0,NG-L1511)</f>
        <v>3.85180052266684</v>
      </c>
      <c r="N1511" s="27" t="n">
        <f aca="false">MAX(0,GWL-K1511)</f>
        <v>3.05180052266684</v>
      </c>
      <c r="O1511" s="27" t="n">
        <f aca="false">MAX(0,NG-MAX(K1511,GWL))</f>
        <v>0.8</v>
      </c>
      <c r="P1511" s="27" t="n">
        <f aca="false">E1511/2+WS+SLOPE_A*O1511+SLOPE_B*N1511</f>
        <v>9.54540156800051</v>
      </c>
      <c r="Q1511" s="28" t="str">
        <f aca="false">IF(AND(P1511&lt;J1511,N1511&lt;=MAXOC),"Open cut","Shoring")</f>
        <v>Shoring</v>
      </c>
      <c r="R1511" s="27" t="n">
        <f aca="false">IF(Q1511="Shoring",D1511,0)</f>
        <v>10.0000000005377</v>
      </c>
      <c r="S1511" s="27" t="n">
        <f aca="false">MAX(0,GWL-L1511)</f>
        <v>3.05180052266684</v>
      </c>
      <c r="T1511" s="27" t="n">
        <f aca="false">MAX(0,NG-MAX(L1511,GWL))</f>
        <v>0.8</v>
      </c>
      <c r="U1511" s="27" t="n">
        <f aca="false">E1511+2*WS</f>
        <v>4.48360104533367</v>
      </c>
      <c r="V1511" s="27" t="n">
        <f aca="false">IF(Q1511="Shoring",D1511*M1511*U1511,0)</f>
        <v>172.699368507744</v>
      </c>
      <c r="W1511" s="27" t="n">
        <f aca="false">IF(Q1511="Open cut",D1511*(U1511*M1511+SLOPE_B*S1511^2+2*SLOPE_B*S1511*T1511+SLOPE_A*T1511^2),0)</f>
        <v>0</v>
      </c>
      <c r="X1511" s="27" t="n">
        <f aca="false">IF(M1511&gt;0,D1511*(E1511+2*SLABOVH)*SLAB,0)</f>
        <v>17.4180052276049</v>
      </c>
      <c r="Y1511" s="27" t="n">
        <f aca="false">IF(M1511&gt;0,D1511*PI()*E1511^2/4,0)</f>
        <v>48.4455119087365</v>
      </c>
      <c r="Z1511" s="27" t="n">
        <f aca="false">IF(H1511-E1511&gt;=GWL,99,E1511*(MAX(0,GWL-H1511)*(GAM_S-GAM_W)+MAX(0,NG-MAX(H1511,GWL))*GAM_D)/(GAM_W*PI()*E1511^2/4))</f>
        <v>0.781715786907825</v>
      </c>
      <c r="AA1511" s="27" t="n">
        <f aca="false">IF(I1511-E1511&gt;=GWL,99,E1511*(MAX(0,GWL-I1511)*(GAM_S-GAM_W)+MAX(0,NG-MAX(I1511,GWL))*GAM_D)/(GAM_W*PI()*E1511^2/4))</f>
        <v>0.781715786907825</v>
      </c>
      <c r="AB1511" s="27" t="n">
        <f aca="false">IF(H1511-E1511&gt;=GWL,99,E1511*(MAX(0,GWL-H1511)*(GAM_S-GAM_W)+MAX(0,FL-MAX(H1511,GWL))*GAM_D)/(GAM_W*PI()*E1511^2/4))</f>
        <v>2.3808344937132</v>
      </c>
      <c r="AC1511" s="27" t="n">
        <f aca="false">IF(I1511-E1511&gt;=GWL,99,E1511*(MAX(0,GWL-I1511)*(GAM_S-GAM_W)+MAX(0,FL-MAX(I1511,GWL))*GAM_D)/(GAM_W*PI()*E1511^2/4))</f>
        <v>2.3808344937132</v>
      </c>
    </row>
    <row r="1512" customFormat="false" ht="15" hidden="false" customHeight="false" outlineLevel="0" collapsed="false">
      <c r="A1512" s="25" t="s">
        <v>2170</v>
      </c>
      <c r="B1512" s="25" t="s">
        <v>2171</v>
      </c>
      <c r="C1512" s="25" t="s">
        <v>2186</v>
      </c>
      <c r="D1512" s="26" t="n">
        <v>9.99999999973228</v>
      </c>
      <c r="E1512" s="26" t="n">
        <v>2.48360104533367</v>
      </c>
      <c r="F1512" s="26" t="n">
        <v>-4.55180052266684</v>
      </c>
      <c r="G1512" s="26" t="n">
        <v>-4.55180052266684</v>
      </c>
      <c r="H1512" s="26" t="n">
        <v>-1.56819947733316</v>
      </c>
      <c r="I1512" s="26" t="n">
        <v>-1.56819947733316</v>
      </c>
      <c r="J1512" s="26" t="n">
        <v>99</v>
      </c>
      <c r="K1512" s="27" t="n">
        <f aca="false">MIN(F1512,G1512)</f>
        <v>-4.55180052266684</v>
      </c>
      <c r="L1512" s="27" t="n">
        <f aca="false">AVERAGE(F1512,G1512)</f>
        <v>-4.55180052266684</v>
      </c>
      <c r="M1512" s="27" t="n">
        <f aca="false">MAX(0,NG-L1512)</f>
        <v>3.85180052266684</v>
      </c>
      <c r="N1512" s="27" t="n">
        <f aca="false">MAX(0,GWL-K1512)</f>
        <v>3.05180052266684</v>
      </c>
      <c r="O1512" s="27" t="n">
        <f aca="false">MAX(0,NG-MAX(K1512,GWL))</f>
        <v>0.8</v>
      </c>
      <c r="P1512" s="27" t="n">
        <f aca="false">E1512/2+WS+SLOPE_A*O1512+SLOPE_B*N1512</f>
        <v>9.54540156800051</v>
      </c>
      <c r="Q1512" s="28" t="str">
        <f aca="false">IF(AND(P1512&lt;J1512,N1512&lt;=MAXOC),"Open cut","Shoring")</f>
        <v>Shoring</v>
      </c>
      <c r="R1512" s="27" t="n">
        <f aca="false">IF(Q1512="Shoring",D1512,0)</f>
        <v>9.99999999973228</v>
      </c>
      <c r="S1512" s="27" t="n">
        <f aca="false">MAX(0,GWL-L1512)</f>
        <v>3.05180052266684</v>
      </c>
      <c r="T1512" s="27" t="n">
        <f aca="false">MAX(0,NG-MAX(L1512,GWL))</f>
        <v>0.8</v>
      </c>
      <c r="U1512" s="27" t="n">
        <f aca="false">E1512+2*WS</f>
        <v>4.48360104533367</v>
      </c>
      <c r="V1512" s="27" t="n">
        <f aca="false">IF(Q1512="Shoring",D1512*M1512*U1512,0)</f>
        <v>172.699368493835</v>
      </c>
      <c r="W1512" s="27" t="n">
        <f aca="false">IF(Q1512="Open cut",D1512*(U1512*M1512+SLOPE_B*S1512^2+2*SLOPE_B*S1512*T1512+SLOPE_A*T1512^2),0)</f>
        <v>0</v>
      </c>
      <c r="X1512" s="27" t="n">
        <f aca="false">IF(M1512&gt;0,D1512*(E1512+2*SLABOVH)*SLAB,0)</f>
        <v>17.418005226202</v>
      </c>
      <c r="Y1512" s="27" t="n">
        <f aca="false">IF(M1512&gt;0,D1512*PI()*E1512^2/4,0)</f>
        <v>48.4455119048347</v>
      </c>
      <c r="Z1512" s="27" t="n">
        <f aca="false">IF(H1512-E1512&gt;=GWL,99,E1512*(MAX(0,GWL-H1512)*(GAM_S-GAM_W)+MAX(0,NG-MAX(H1512,GWL))*GAM_D)/(GAM_W*PI()*E1512^2/4))</f>
        <v>0.781715786907825</v>
      </c>
      <c r="AA1512" s="27" t="n">
        <f aca="false">IF(I1512-E1512&gt;=GWL,99,E1512*(MAX(0,GWL-I1512)*(GAM_S-GAM_W)+MAX(0,NG-MAX(I1512,GWL))*GAM_D)/(GAM_W*PI()*E1512^2/4))</f>
        <v>0.781715786907825</v>
      </c>
      <c r="AB1512" s="27" t="n">
        <f aca="false">IF(H1512-E1512&gt;=GWL,99,E1512*(MAX(0,GWL-H1512)*(GAM_S-GAM_W)+MAX(0,FL-MAX(H1512,GWL))*GAM_D)/(GAM_W*PI()*E1512^2/4))</f>
        <v>2.3808344937132</v>
      </c>
      <c r="AC1512" s="27" t="n">
        <f aca="false">IF(I1512-E1512&gt;=GWL,99,E1512*(MAX(0,GWL-I1512)*(GAM_S-GAM_W)+MAX(0,FL-MAX(I1512,GWL))*GAM_D)/(GAM_W*PI()*E1512^2/4))</f>
        <v>2.3808344937132</v>
      </c>
    </row>
    <row r="1513" customFormat="false" ht="15" hidden="false" customHeight="false" outlineLevel="0" collapsed="false">
      <c r="A1513" s="25" t="s">
        <v>2170</v>
      </c>
      <c r="B1513" s="25" t="s">
        <v>2171</v>
      </c>
      <c r="C1513" s="25" t="s">
        <v>2187</v>
      </c>
      <c r="D1513" s="26" t="n">
        <v>10.0000000004792</v>
      </c>
      <c r="E1513" s="26" t="n">
        <v>2.48360104533367</v>
      </c>
      <c r="F1513" s="26" t="n">
        <v>-4.55180052266684</v>
      </c>
      <c r="G1513" s="26" t="n">
        <v>-4.55180052266684</v>
      </c>
      <c r="H1513" s="26" t="n">
        <v>-1.56819947733316</v>
      </c>
      <c r="I1513" s="26" t="n">
        <v>-1.56819947733316</v>
      </c>
      <c r="J1513" s="26" t="n">
        <v>99</v>
      </c>
      <c r="K1513" s="27" t="n">
        <f aca="false">MIN(F1513,G1513)</f>
        <v>-4.55180052266684</v>
      </c>
      <c r="L1513" s="27" t="n">
        <f aca="false">AVERAGE(F1513,G1513)</f>
        <v>-4.55180052266684</v>
      </c>
      <c r="M1513" s="27" t="n">
        <f aca="false">MAX(0,NG-L1513)</f>
        <v>3.85180052266684</v>
      </c>
      <c r="N1513" s="27" t="n">
        <f aca="false">MAX(0,GWL-K1513)</f>
        <v>3.05180052266684</v>
      </c>
      <c r="O1513" s="27" t="n">
        <f aca="false">MAX(0,NG-MAX(K1513,GWL))</f>
        <v>0.8</v>
      </c>
      <c r="P1513" s="27" t="n">
        <f aca="false">E1513/2+WS+SLOPE_A*O1513+SLOPE_B*N1513</f>
        <v>9.54540156800051</v>
      </c>
      <c r="Q1513" s="28" t="str">
        <f aca="false">IF(AND(P1513&lt;J1513,N1513&lt;=MAXOC),"Open cut","Shoring")</f>
        <v>Shoring</v>
      </c>
      <c r="R1513" s="27" t="n">
        <f aca="false">IF(Q1513="Shoring",D1513,0)</f>
        <v>10.0000000004792</v>
      </c>
      <c r="S1513" s="27" t="n">
        <f aca="false">MAX(0,GWL-L1513)</f>
        <v>3.05180052266684</v>
      </c>
      <c r="T1513" s="27" t="n">
        <f aca="false">MAX(0,NG-MAX(L1513,GWL))</f>
        <v>0.8</v>
      </c>
      <c r="U1513" s="27" t="n">
        <f aca="false">E1513+2*WS</f>
        <v>4.48360104533367</v>
      </c>
      <c r="V1513" s="27" t="n">
        <f aca="false">IF(Q1513="Shoring",D1513*M1513*U1513,0)</f>
        <v>172.699368506734</v>
      </c>
      <c r="W1513" s="27" t="n">
        <f aca="false">IF(Q1513="Open cut",D1513*(U1513*M1513+SLOPE_B*S1513^2+2*SLOPE_B*S1513*T1513+SLOPE_A*T1513^2),0)</f>
        <v>0</v>
      </c>
      <c r="X1513" s="27" t="n">
        <f aca="false">IF(M1513&gt;0,D1513*(E1513+2*SLABOVH)*SLAB,0)</f>
        <v>17.418005227503</v>
      </c>
      <c r="Y1513" s="27" t="n">
        <f aca="false">IF(M1513&gt;0,D1513*PI()*E1513^2/4,0)</f>
        <v>48.4455119084533</v>
      </c>
      <c r="Z1513" s="27" t="n">
        <f aca="false">IF(H1513-E1513&gt;=GWL,99,E1513*(MAX(0,GWL-H1513)*(GAM_S-GAM_W)+MAX(0,NG-MAX(H1513,GWL))*GAM_D)/(GAM_W*PI()*E1513^2/4))</f>
        <v>0.781715786907825</v>
      </c>
      <c r="AA1513" s="27" t="n">
        <f aca="false">IF(I1513-E1513&gt;=GWL,99,E1513*(MAX(0,GWL-I1513)*(GAM_S-GAM_W)+MAX(0,NG-MAX(I1513,GWL))*GAM_D)/(GAM_W*PI()*E1513^2/4))</f>
        <v>0.781715786907825</v>
      </c>
      <c r="AB1513" s="27" t="n">
        <f aca="false">IF(H1513-E1513&gt;=GWL,99,E1513*(MAX(0,GWL-H1513)*(GAM_S-GAM_W)+MAX(0,FL-MAX(H1513,GWL))*GAM_D)/(GAM_W*PI()*E1513^2/4))</f>
        <v>2.3808344937132</v>
      </c>
      <c r="AC1513" s="27" t="n">
        <f aca="false">IF(I1513-E1513&gt;=GWL,99,E1513*(MAX(0,GWL-I1513)*(GAM_S-GAM_W)+MAX(0,FL-MAX(I1513,GWL))*GAM_D)/(GAM_W*PI()*E1513^2/4))</f>
        <v>2.3808344937132</v>
      </c>
    </row>
    <row r="1514" customFormat="false" ht="15" hidden="false" customHeight="false" outlineLevel="0" collapsed="false">
      <c r="A1514" s="25" t="s">
        <v>2170</v>
      </c>
      <c r="B1514" s="25" t="s">
        <v>2171</v>
      </c>
      <c r="C1514" s="25" t="s">
        <v>2188</v>
      </c>
      <c r="D1514" s="26" t="n">
        <v>9.99999999932958</v>
      </c>
      <c r="E1514" s="26" t="n">
        <v>2.48360104533367</v>
      </c>
      <c r="F1514" s="26" t="n">
        <v>-4.55180052266684</v>
      </c>
      <c r="G1514" s="26" t="n">
        <v>-4.55180052266684</v>
      </c>
      <c r="H1514" s="26" t="n">
        <v>-1.56819947733316</v>
      </c>
      <c r="I1514" s="26" t="n">
        <v>-1.56819947733316</v>
      </c>
      <c r="J1514" s="26" t="n">
        <v>30.06</v>
      </c>
      <c r="K1514" s="27" t="n">
        <f aca="false">MIN(F1514,G1514)</f>
        <v>-4.55180052266684</v>
      </c>
      <c r="L1514" s="27" t="n">
        <f aca="false">AVERAGE(F1514,G1514)</f>
        <v>-4.55180052266684</v>
      </c>
      <c r="M1514" s="27" t="n">
        <f aca="false">MAX(0,NG-L1514)</f>
        <v>3.85180052266684</v>
      </c>
      <c r="N1514" s="27" t="n">
        <f aca="false">MAX(0,GWL-K1514)</f>
        <v>3.05180052266684</v>
      </c>
      <c r="O1514" s="27" t="n">
        <f aca="false">MAX(0,NG-MAX(K1514,GWL))</f>
        <v>0.8</v>
      </c>
      <c r="P1514" s="27" t="n">
        <f aca="false">E1514/2+WS+SLOPE_A*O1514+SLOPE_B*N1514</f>
        <v>9.54540156800051</v>
      </c>
      <c r="Q1514" s="28" t="str">
        <f aca="false">IF(AND(P1514&lt;J1514,N1514&lt;=MAXOC),"Open cut","Shoring")</f>
        <v>Shoring</v>
      </c>
      <c r="R1514" s="27" t="n">
        <f aca="false">IF(Q1514="Shoring",D1514,0)</f>
        <v>9.99999999932958</v>
      </c>
      <c r="S1514" s="27" t="n">
        <f aca="false">MAX(0,GWL-L1514)</f>
        <v>3.05180052266684</v>
      </c>
      <c r="T1514" s="27" t="n">
        <f aca="false">MAX(0,NG-MAX(L1514,GWL))</f>
        <v>0.8</v>
      </c>
      <c r="U1514" s="27" t="n">
        <f aca="false">E1514+2*WS</f>
        <v>4.48360104533367</v>
      </c>
      <c r="V1514" s="27" t="n">
        <f aca="false">IF(Q1514="Shoring",D1514*M1514*U1514,0)</f>
        <v>172.69936848688</v>
      </c>
      <c r="W1514" s="27" t="n">
        <f aca="false">IF(Q1514="Open cut",D1514*(U1514*M1514+SLOPE_B*S1514^2+2*SLOPE_B*S1514*T1514+SLOPE_A*T1514^2),0)</f>
        <v>0</v>
      </c>
      <c r="X1514" s="27" t="n">
        <f aca="false">IF(M1514&gt;0,D1514*(E1514+2*SLABOVH)*SLAB,0)</f>
        <v>17.4180052255006</v>
      </c>
      <c r="Y1514" s="27" t="n">
        <f aca="false">IF(M1514&gt;0,D1514*PI()*E1514^2/4,0)</f>
        <v>48.4455119028838</v>
      </c>
      <c r="Z1514" s="27" t="n">
        <f aca="false">IF(H1514-E1514&gt;=GWL,99,E1514*(MAX(0,GWL-H1514)*(GAM_S-GAM_W)+MAX(0,NG-MAX(H1514,GWL))*GAM_D)/(GAM_W*PI()*E1514^2/4))</f>
        <v>0.781715786907825</v>
      </c>
      <c r="AA1514" s="27" t="n">
        <f aca="false">IF(I1514-E1514&gt;=GWL,99,E1514*(MAX(0,GWL-I1514)*(GAM_S-GAM_W)+MAX(0,NG-MAX(I1514,GWL))*GAM_D)/(GAM_W*PI()*E1514^2/4))</f>
        <v>0.781715786907825</v>
      </c>
      <c r="AB1514" s="27" t="n">
        <f aca="false">IF(H1514-E1514&gt;=GWL,99,E1514*(MAX(0,GWL-H1514)*(GAM_S-GAM_W)+MAX(0,FL-MAX(H1514,GWL))*GAM_D)/(GAM_W*PI()*E1514^2/4))</f>
        <v>2.3808344937132</v>
      </c>
      <c r="AC1514" s="27" t="n">
        <f aca="false">IF(I1514-E1514&gt;=GWL,99,E1514*(MAX(0,GWL-I1514)*(GAM_S-GAM_W)+MAX(0,FL-MAX(I1514,GWL))*GAM_D)/(GAM_W*PI()*E1514^2/4))</f>
        <v>2.3808344937132</v>
      </c>
    </row>
    <row r="1515" customFormat="false" ht="15" hidden="false" customHeight="false" outlineLevel="0" collapsed="false">
      <c r="A1515" s="25" t="s">
        <v>2170</v>
      </c>
      <c r="B1515" s="25" t="s">
        <v>2171</v>
      </c>
      <c r="C1515" s="25" t="s">
        <v>2189</v>
      </c>
      <c r="D1515" s="26" t="n">
        <v>1.59611000051036</v>
      </c>
      <c r="E1515" s="26" t="n">
        <v>2.48360104533367</v>
      </c>
      <c r="F1515" s="26" t="n">
        <v>-4.55180052266684</v>
      </c>
      <c r="G1515" s="26" t="n">
        <v>-4.55180052266684</v>
      </c>
      <c r="H1515" s="26" t="n">
        <v>-1.56819947733316</v>
      </c>
      <c r="I1515" s="26" t="n">
        <v>-1.56819947733316</v>
      </c>
      <c r="J1515" s="26" t="n">
        <v>29.98</v>
      </c>
      <c r="K1515" s="27" t="n">
        <f aca="false">MIN(F1515,G1515)</f>
        <v>-4.55180052266684</v>
      </c>
      <c r="L1515" s="27" t="n">
        <f aca="false">AVERAGE(F1515,G1515)</f>
        <v>-4.55180052266684</v>
      </c>
      <c r="M1515" s="27" t="n">
        <f aca="false">MAX(0,NG-L1515)</f>
        <v>3.85180052266684</v>
      </c>
      <c r="N1515" s="27" t="n">
        <f aca="false">MAX(0,GWL-K1515)</f>
        <v>3.05180052266684</v>
      </c>
      <c r="O1515" s="27" t="n">
        <f aca="false">MAX(0,NG-MAX(K1515,GWL))</f>
        <v>0.8</v>
      </c>
      <c r="P1515" s="27" t="n">
        <f aca="false">E1515/2+WS+SLOPE_A*O1515+SLOPE_B*N1515</f>
        <v>9.54540156800051</v>
      </c>
      <c r="Q1515" s="28" t="str">
        <f aca="false">IF(AND(P1515&lt;J1515,N1515&lt;=MAXOC),"Open cut","Shoring")</f>
        <v>Shoring</v>
      </c>
      <c r="R1515" s="27" t="n">
        <f aca="false">IF(Q1515="Shoring",D1515,0)</f>
        <v>1.59611000051036</v>
      </c>
      <c r="S1515" s="27" t="n">
        <f aca="false">MAX(0,GWL-L1515)</f>
        <v>3.05180052266684</v>
      </c>
      <c r="T1515" s="27" t="n">
        <f aca="false">MAX(0,NG-MAX(L1515,GWL))</f>
        <v>0.8</v>
      </c>
      <c r="U1515" s="27" t="n">
        <f aca="false">E1515+2*WS</f>
        <v>4.48360104533367</v>
      </c>
      <c r="V1515" s="27" t="n">
        <f aca="false">IF(Q1515="Shoring",D1515*M1515*U1515,0)</f>
        <v>27.5647189142212</v>
      </c>
      <c r="W1515" s="27" t="n">
        <f aca="false">IF(Q1515="Open cut",D1515*(U1515*M1515+SLOPE_B*S1515^2+2*SLOPE_B*S1515*T1515+SLOPE_A*T1515^2),0)</f>
        <v>0</v>
      </c>
      <c r="X1515" s="27" t="n">
        <f aca="false">IF(M1515&gt;0,D1515*(E1515+2*SLABOVH)*SLAB,0)</f>
        <v>2.7801052331227</v>
      </c>
      <c r="Y1515" s="27" t="n">
        <f aca="false">IF(M1515&gt;0,D1515*PI()*E1515^2/4,0)</f>
        <v>7.73243660332204</v>
      </c>
      <c r="Z1515" s="27" t="n">
        <f aca="false">IF(H1515-E1515&gt;=GWL,99,E1515*(MAX(0,GWL-H1515)*(GAM_S-GAM_W)+MAX(0,NG-MAX(H1515,GWL))*GAM_D)/(GAM_W*PI()*E1515^2/4))</f>
        <v>0.781715786907825</v>
      </c>
      <c r="AA1515" s="27" t="n">
        <f aca="false">IF(I1515-E1515&gt;=GWL,99,E1515*(MAX(0,GWL-I1515)*(GAM_S-GAM_W)+MAX(0,NG-MAX(I1515,GWL))*GAM_D)/(GAM_W*PI()*E1515^2/4))</f>
        <v>0.781715786907825</v>
      </c>
      <c r="AB1515" s="27" t="n">
        <f aca="false">IF(H1515-E1515&gt;=GWL,99,E1515*(MAX(0,GWL-H1515)*(GAM_S-GAM_W)+MAX(0,FL-MAX(H1515,GWL))*GAM_D)/(GAM_W*PI()*E1515^2/4))</f>
        <v>2.3808344937132</v>
      </c>
      <c r="AC1515" s="27" t="n">
        <f aca="false">IF(I1515-E1515&gt;=GWL,99,E1515*(MAX(0,GWL-I1515)*(GAM_S-GAM_W)+MAX(0,FL-MAX(I1515,GWL))*GAM_D)/(GAM_W*PI()*E1515^2/4))</f>
        <v>2.3808344937132</v>
      </c>
    </row>
    <row r="1516" customFormat="false" ht="15" hidden="false" customHeight="false" outlineLevel="0" collapsed="false">
      <c r="A1516" s="25" t="s">
        <v>2170</v>
      </c>
      <c r="B1516" s="25" t="s">
        <v>2171</v>
      </c>
      <c r="C1516" s="25" t="s">
        <v>2190</v>
      </c>
      <c r="D1516" s="26" t="n">
        <v>2.5713700000842</v>
      </c>
      <c r="E1516" s="26" t="n">
        <v>2.45300090679012</v>
      </c>
      <c r="F1516" s="26" t="n">
        <v>-4.53650045339506</v>
      </c>
      <c r="G1516" s="26" t="n">
        <v>-4.53650045339506</v>
      </c>
      <c r="H1516" s="26" t="n">
        <v>-1.58349954660494</v>
      </c>
      <c r="I1516" s="26" t="n">
        <v>-1.58349954660494</v>
      </c>
      <c r="J1516" s="26" t="n">
        <v>29.92</v>
      </c>
      <c r="K1516" s="27" t="n">
        <f aca="false">MIN(F1516,G1516)</f>
        <v>-4.53650045339506</v>
      </c>
      <c r="L1516" s="27" t="n">
        <f aca="false">AVERAGE(F1516,G1516)</f>
        <v>-4.53650045339506</v>
      </c>
      <c r="M1516" s="27" t="n">
        <f aca="false">MAX(0,NG-L1516)</f>
        <v>3.83650045339506</v>
      </c>
      <c r="N1516" s="27" t="n">
        <f aca="false">MAX(0,GWL-K1516)</f>
        <v>3.03650045339506</v>
      </c>
      <c r="O1516" s="27" t="n">
        <f aca="false">MAX(0,NG-MAX(K1516,GWL))</f>
        <v>0.8</v>
      </c>
      <c r="P1516" s="27" t="n">
        <f aca="false">E1516/2+WS+SLOPE_A*O1516+SLOPE_B*N1516</f>
        <v>9.49950136018518</v>
      </c>
      <c r="Q1516" s="28" t="str">
        <f aca="false">IF(AND(P1516&lt;J1516,N1516&lt;=MAXOC),"Open cut","Shoring")</f>
        <v>Shoring</v>
      </c>
      <c r="R1516" s="27" t="n">
        <f aca="false">IF(Q1516="Shoring",D1516,0)</f>
        <v>2.5713700000842</v>
      </c>
      <c r="S1516" s="27" t="n">
        <f aca="false">MAX(0,GWL-L1516)</f>
        <v>3.03650045339506</v>
      </c>
      <c r="T1516" s="27" t="n">
        <f aca="false">MAX(0,NG-MAX(L1516,GWL))</f>
        <v>0.8</v>
      </c>
      <c r="U1516" s="27" t="n">
        <f aca="false">E1516+2*WS</f>
        <v>4.45300090679012</v>
      </c>
      <c r="V1516" s="27" t="n">
        <f aca="false">IF(Q1516="Shoring",D1516*M1516*U1516,0)</f>
        <v>43.9291307937585</v>
      </c>
      <c r="W1516" s="27" t="n">
        <f aca="false">IF(Q1516="Open cut",D1516*(U1516*M1516+SLOPE_B*S1516^2+2*SLOPE_B*S1516*T1516+SLOPE_A*T1516^2),0)</f>
        <v>0</v>
      </c>
      <c r="X1516" s="27" t="n">
        <f aca="false">IF(M1516&gt;0,D1516*(E1516+2*SLABOVH)*SLAB,0)</f>
        <v>4.43947147099181</v>
      </c>
      <c r="Y1516" s="27" t="n">
        <f aca="false">IF(M1516&gt;0,D1516*PI()*E1516^2/4,0)</f>
        <v>12.1520590607657</v>
      </c>
      <c r="Z1516" s="27" t="n">
        <f aca="false">IF(H1516-E1516&gt;=GWL,99,E1516*(MAX(0,GWL-H1516)*(GAM_S-GAM_W)+MAX(0,NG-MAX(H1516,GWL))*GAM_D)/(GAM_W*PI()*E1516^2/4))</f>
        <v>0.798097466953843</v>
      </c>
      <c r="AA1516" s="27" t="n">
        <f aca="false">IF(I1516-E1516&gt;=GWL,99,E1516*(MAX(0,GWL-I1516)*(GAM_S-GAM_W)+MAX(0,NG-MAX(I1516,GWL))*GAM_D)/(GAM_W*PI()*E1516^2/4))</f>
        <v>0.798097466953843</v>
      </c>
      <c r="AB1516" s="27" t="n">
        <f aca="false">IF(H1516-E1516&gt;=GWL,99,E1516*(MAX(0,GWL-H1516)*(GAM_S-GAM_W)+MAX(0,FL-MAX(H1516,GWL))*GAM_D)/(GAM_W*PI()*E1516^2/4))</f>
        <v>2.41716449658306</v>
      </c>
      <c r="AC1516" s="27" t="n">
        <f aca="false">IF(I1516-E1516&gt;=GWL,99,E1516*(MAX(0,GWL-I1516)*(GAM_S-GAM_W)+MAX(0,FL-MAX(I1516,GWL))*GAM_D)/(GAM_W*PI()*E1516^2/4))</f>
        <v>2.41716449658306</v>
      </c>
    </row>
    <row r="1517" customFormat="false" ht="15" hidden="false" customHeight="false" outlineLevel="0" collapsed="false">
      <c r="A1517" s="25" t="s">
        <v>2170</v>
      </c>
      <c r="B1517" s="25" t="s">
        <v>2171</v>
      </c>
      <c r="C1517" s="25" t="s">
        <v>2191</v>
      </c>
      <c r="D1517" s="26" t="n">
        <v>0.968834258521064</v>
      </c>
      <c r="E1517" s="26" t="n">
        <v>2.45300644502698</v>
      </c>
      <c r="F1517" s="26" t="n">
        <v>-4.53650322251349</v>
      </c>
      <c r="G1517" s="26" t="n">
        <v>-4.53650322251349</v>
      </c>
      <c r="H1517" s="26" t="n">
        <v>-1.58349677748651</v>
      </c>
      <c r="I1517" s="26" t="n">
        <v>-1.58349677748651</v>
      </c>
      <c r="J1517" s="26" t="n">
        <v>29.92</v>
      </c>
      <c r="K1517" s="27" t="n">
        <f aca="false">MIN(F1517,G1517)</f>
        <v>-4.53650322251349</v>
      </c>
      <c r="L1517" s="27" t="n">
        <f aca="false">AVERAGE(F1517,G1517)</f>
        <v>-4.53650322251349</v>
      </c>
      <c r="M1517" s="27" t="n">
        <f aca="false">MAX(0,NG-L1517)</f>
        <v>3.83650322251349</v>
      </c>
      <c r="N1517" s="27" t="n">
        <f aca="false">MAX(0,GWL-K1517)</f>
        <v>3.03650322251349</v>
      </c>
      <c r="O1517" s="27" t="n">
        <f aca="false">MAX(0,NG-MAX(K1517,GWL))</f>
        <v>0.8</v>
      </c>
      <c r="P1517" s="27" t="n">
        <f aca="false">E1517/2+WS+SLOPE_A*O1517+SLOPE_B*N1517</f>
        <v>9.49950966754047</v>
      </c>
      <c r="Q1517" s="28" t="str">
        <f aca="false">IF(AND(P1517&lt;J1517,N1517&lt;=MAXOC),"Open cut","Shoring")</f>
        <v>Shoring</v>
      </c>
      <c r="R1517" s="27" t="n">
        <f aca="false">IF(Q1517="Shoring",D1517,0)</f>
        <v>0.968834258521064</v>
      </c>
      <c r="S1517" s="27" t="n">
        <f aca="false">MAX(0,GWL-L1517)</f>
        <v>3.03650322251349</v>
      </c>
      <c r="T1517" s="27" t="n">
        <f aca="false">MAX(0,NG-MAX(L1517,GWL))</f>
        <v>0.8</v>
      </c>
      <c r="U1517" s="27" t="n">
        <f aca="false">E1517+2*WS</f>
        <v>4.45300644502698</v>
      </c>
      <c r="V1517" s="27" t="n">
        <f aca="false">IF(Q1517="Shoring",D1517*M1517*U1517,0)</f>
        <v>16.5515388723099</v>
      </c>
      <c r="W1517" s="27" t="n">
        <f aca="false">IF(Q1517="Open cut",D1517*(U1517*M1517+SLOPE_B*S1517^2+2*SLOPE_B*S1517*T1517+SLOPE_A*T1517^2),0)</f>
        <v>0</v>
      </c>
      <c r="X1517" s="27" t="n">
        <f aca="false">IF(M1517&gt;0,D1517*(E1517+2*SLABOVH)*SLAB,0)</f>
        <v>1.67269546941808</v>
      </c>
      <c r="Y1517" s="27" t="n">
        <f aca="false">IF(M1517&gt;0,D1517*PI()*E1517^2/4,0)</f>
        <v>4.57864262690449</v>
      </c>
      <c r="Z1517" s="27" t="n">
        <f aca="false">IF(H1517-E1517&gt;=GWL,99,E1517*(MAX(0,GWL-H1517)*(GAM_S-GAM_W)+MAX(0,NG-MAX(H1517,GWL))*GAM_D)/(GAM_W*PI()*E1517^2/4))</f>
        <v>0.798094465098795</v>
      </c>
      <c r="AA1517" s="27" t="n">
        <f aca="false">IF(I1517-E1517&gt;=GWL,99,E1517*(MAX(0,GWL-I1517)*(GAM_S-GAM_W)+MAX(0,NG-MAX(I1517,GWL))*GAM_D)/(GAM_W*PI()*E1517^2/4))</f>
        <v>0.798094465098795</v>
      </c>
      <c r="AB1517" s="27" t="n">
        <f aca="false">IF(H1517-E1517&gt;=GWL,99,E1517*(MAX(0,GWL-H1517)*(GAM_S-GAM_W)+MAX(0,FL-MAX(H1517,GWL))*GAM_D)/(GAM_W*PI()*E1517^2/4))</f>
        <v>2.4171578393048</v>
      </c>
      <c r="AC1517" s="27" t="n">
        <f aca="false">IF(I1517-E1517&gt;=GWL,99,E1517*(MAX(0,GWL-I1517)*(GAM_S-GAM_W)+MAX(0,FL-MAX(I1517,GWL))*GAM_D)/(GAM_W*PI()*E1517^2/4))</f>
        <v>2.4171578393048</v>
      </c>
    </row>
    <row r="1518" customFormat="false" ht="15" hidden="false" customHeight="false" outlineLevel="0" collapsed="false">
      <c r="A1518" s="25" t="s">
        <v>2170</v>
      </c>
      <c r="B1518" s="25" t="s">
        <v>2171</v>
      </c>
      <c r="C1518" s="25" t="s">
        <v>2192</v>
      </c>
      <c r="D1518" s="26" t="n">
        <v>0.968827867761595</v>
      </c>
      <c r="E1518" s="26" t="n">
        <v>2.45300258455029</v>
      </c>
      <c r="F1518" s="26" t="n">
        <v>-4.53650129227515</v>
      </c>
      <c r="G1518" s="26" t="n">
        <v>-4.53650129227515</v>
      </c>
      <c r="H1518" s="26" t="n">
        <v>-1.58349870772485</v>
      </c>
      <c r="I1518" s="26" t="n">
        <v>-1.58349870772485</v>
      </c>
      <c r="J1518" s="26" t="n">
        <v>30.19</v>
      </c>
      <c r="K1518" s="27" t="n">
        <f aca="false">MIN(F1518,G1518)</f>
        <v>-4.53650129227515</v>
      </c>
      <c r="L1518" s="27" t="n">
        <f aca="false">AVERAGE(F1518,G1518)</f>
        <v>-4.53650129227515</v>
      </c>
      <c r="M1518" s="27" t="n">
        <f aca="false">MAX(0,NG-L1518)</f>
        <v>3.83650129227515</v>
      </c>
      <c r="N1518" s="27" t="n">
        <f aca="false">MAX(0,GWL-K1518)</f>
        <v>3.03650129227515</v>
      </c>
      <c r="O1518" s="27" t="n">
        <f aca="false">MAX(0,NG-MAX(K1518,GWL))</f>
        <v>0.8</v>
      </c>
      <c r="P1518" s="27" t="n">
        <f aca="false">E1518/2+WS+SLOPE_A*O1518+SLOPE_B*N1518</f>
        <v>9.49950387682544</v>
      </c>
      <c r="Q1518" s="28" t="str">
        <f aca="false">IF(AND(P1518&lt;J1518,N1518&lt;=MAXOC),"Open cut","Shoring")</f>
        <v>Shoring</v>
      </c>
      <c r="R1518" s="27" t="n">
        <f aca="false">IF(Q1518="Shoring",D1518,0)</f>
        <v>0.968827867761595</v>
      </c>
      <c r="S1518" s="27" t="n">
        <f aca="false">MAX(0,GWL-L1518)</f>
        <v>3.03650129227515</v>
      </c>
      <c r="T1518" s="27" t="n">
        <f aca="false">MAX(0,NG-MAX(L1518,GWL))</f>
        <v>0.8</v>
      </c>
      <c r="U1518" s="27" t="n">
        <f aca="false">E1518+2*WS</f>
        <v>4.45300258455029</v>
      </c>
      <c r="V1518" s="27" t="n">
        <f aca="false">IF(Q1518="Shoring",D1518*M1518*U1518,0)</f>
        <v>16.5514070162741</v>
      </c>
      <c r="W1518" s="27" t="n">
        <f aca="false">IF(Q1518="Open cut",D1518*(U1518*M1518+SLOPE_B*S1518^2+2*SLOPE_B*S1518*T1518+SLOPE_A*T1518^2),0)</f>
        <v>0</v>
      </c>
      <c r="X1518" s="27" t="n">
        <f aca="false">IF(M1518&gt;0,D1518*(E1518+2*SLABOVH)*SLAB,0)</f>
        <v>1.67268256568257</v>
      </c>
      <c r="Y1518" s="27" t="n">
        <f aca="false">IF(M1518&gt;0,D1518*PI()*E1518^2/4,0)</f>
        <v>4.57859801323729</v>
      </c>
      <c r="Z1518" s="27" t="n">
        <f aca="false">IF(H1518-E1518&gt;=GWL,99,E1518*(MAX(0,GWL-H1518)*(GAM_S-GAM_W)+MAX(0,NG-MAX(H1518,GWL))*GAM_D)/(GAM_W*PI()*E1518^2/4))</f>
        <v>0.798096557566811</v>
      </c>
      <c r="AA1518" s="27" t="n">
        <f aca="false">IF(I1518-E1518&gt;=GWL,99,E1518*(MAX(0,GWL-I1518)*(GAM_S-GAM_W)+MAX(0,NG-MAX(I1518,GWL))*GAM_D)/(GAM_W*PI()*E1518^2/4))</f>
        <v>0.798096557566811</v>
      </c>
      <c r="AB1518" s="27" t="n">
        <f aca="false">IF(H1518-E1518&gt;=GWL,99,E1518*(MAX(0,GWL-H1518)*(GAM_S-GAM_W)+MAX(0,FL-MAX(H1518,GWL))*GAM_D)/(GAM_W*PI()*E1518^2/4))</f>
        <v>2.41716247981595</v>
      </c>
      <c r="AC1518" s="27" t="n">
        <f aca="false">IF(I1518-E1518&gt;=GWL,99,E1518*(MAX(0,GWL-I1518)*(GAM_S-GAM_W)+MAX(0,FL-MAX(I1518,GWL))*GAM_D)/(GAM_W*PI()*E1518^2/4))</f>
        <v>2.41716247981595</v>
      </c>
    </row>
    <row r="1519" customFormat="false" ht="15" hidden="false" customHeight="false" outlineLevel="0" collapsed="false">
      <c r="A1519" s="25" t="s">
        <v>2170</v>
      </c>
      <c r="B1519" s="25" t="s">
        <v>2171</v>
      </c>
      <c r="C1519" s="25" t="s">
        <v>2193</v>
      </c>
      <c r="D1519" s="26" t="n">
        <v>2.56028807736032</v>
      </c>
      <c r="E1519" s="26" t="n">
        <v>2.45300291492435</v>
      </c>
      <c r="F1519" s="26" t="n">
        <v>-4.53650145746218</v>
      </c>
      <c r="G1519" s="26" t="n">
        <v>-4.53650145746218</v>
      </c>
      <c r="H1519" s="26" t="n">
        <v>-1.58349854253783</v>
      </c>
      <c r="I1519" s="26" t="n">
        <v>-1.58349854253783</v>
      </c>
      <c r="J1519" s="26" t="n">
        <v>30.69</v>
      </c>
      <c r="K1519" s="27" t="n">
        <f aca="false">MIN(F1519,G1519)</f>
        <v>-4.53650145746218</v>
      </c>
      <c r="L1519" s="27" t="n">
        <f aca="false">AVERAGE(F1519,G1519)</f>
        <v>-4.53650145746218</v>
      </c>
      <c r="M1519" s="27" t="n">
        <f aca="false">MAX(0,NG-L1519)</f>
        <v>3.83650145746218</v>
      </c>
      <c r="N1519" s="27" t="n">
        <f aca="false">MAX(0,GWL-K1519)</f>
        <v>3.03650145746218</v>
      </c>
      <c r="O1519" s="27" t="n">
        <f aca="false">MAX(0,NG-MAX(K1519,GWL))</f>
        <v>0.8</v>
      </c>
      <c r="P1519" s="27" t="n">
        <f aca="false">E1519/2+WS+SLOPE_A*O1519+SLOPE_B*N1519</f>
        <v>9.49950437238653</v>
      </c>
      <c r="Q1519" s="28" t="str">
        <f aca="false">IF(AND(P1519&lt;J1519,N1519&lt;=MAXOC),"Open cut","Shoring")</f>
        <v>Shoring</v>
      </c>
      <c r="R1519" s="27" t="n">
        <f aca="false">IF(Q1519="Shoring",D1519,0)</f>
        <v>2.56028807736032</v>
      </c>
      <c r="S1519" s="27" t="n">
        <f aca="false">MAX(0,GWL-L1519)</f>
        <v>3.03650145746218</v>
      </c>
      <c r="T1519" s="27" t="n">
        <f aca="false">MAX(0,NG-MAX(L1519,GWL))</f>
        <v>0.8</v>
      </c>
      <c r="U1519" s="27" t="n">
        <f aca="false">E1519+2*WS</f>
        <v>4.45300291492435</v>
      </c>
      <c r="V1519" s="27" t="n">
        <f aca="false">IF(Q1519="Shoring",D1519*M1519*U1519,0)</f>
        <v>43.7398390632137</v>
      </c>
      <c r="W1519" s="27" t="n">
        <f aca="false">IF(Q1519="Open cut",D1519*(U1519*M1519+SLOPE_B*S1519^2+2*SLOPE_B*S1519*T1519+SLOPE_A*T1519^2),0)</f>
        <v>0</v>
      </c>
      <c r="X1519" s="27" t="n">
        <f aca="false">IF(M1519&gt;0,D1519*(E1519+2*SLABOVH)*SLAB,0)</f>
        <v>4.42034109708562</v>
      </c>
      <c r="Y1519" s="27" t="n">
        <f aca="false">IF(M1519&gt;0,D1519*PI()*E1519^2/4,0)</f>
        <v>12.0997067198501</v>
      </c>
      <c r="Z1519" s="27" t="n">
        <f aca="false">IF(H1519-E1519&gt;=GWL,99,E1519*(MAX(0,GWL-H1519)*(GAM_S-GAM_W)+MAX(0,NG-MAX(H1519,GWL))*GAM_D)/(GAM_W*PI()*E1519^2/4))</f>
        <v>0.798096378496142</v>
      </c>
      <c r="AA1519" s="27" t="n">
        <f aca="false">IF(I1519-E1519&gt;=GWL,99,E1519*(MAX(0,GWL-I1519)*(GAM_S-GAM_W)+MAX(0,NG-MAX(I1519,GWL))*GAM_D)/(GAM_W*PI()*E1519^2/4))</f>
        <v>0.798096378496142</v>
      </c>
      <c r="AB1519" s="27" t="n">
        <f aca="false">IF(H1519-E1519&gt;=GWL,99,E1519*(MAX(0,GWL-H1519)*(GAM_S-GAM_W)+MAX(0,FL-MAX(H1519,GWL))*GAM_D)/(GAM_W*PI()*E1519^2/4))</f>
        <v>2.41716208268709</v>
      </c>
      <c r="AC1519" s="27" t="n">
        <f aca="false">IF(I1519-E1519&gt;=GWL,99,E1519*(MAX(0,GWL-I1519)*(GAM_S-GAM_W)+MAX(0,FL-MAX(I1519,GWL))*GAM_D)/(GAM_W*PI()*E1519^2/4))</f>
        <v>2.41716208268709</v>
      </c>
    </row>
    <row r="1520" customFormat="false" ht="15" hidden="false" customHeight="false" outlineLevel="0" collapsed="false">
      <c r="A1520" s="25" t="s">
        <v>2170</v>
      </c>
      <c r="B1520" s="25" t="s">
        <v>2171</v>
      </c>
      <c r="C1520" s="25" t="s">
        <v>2194</v>
      </c>
      <c r="D1520" s="26" t="n">
        <v>1.3345697964174</v>
      </c>
      <c r="E1520" s="26" t="n">
        <v>2.4836</v>
      </c>
      <c r="F1520" s="26" t="n">
        <v>-4.5518</v>
      </c>
      <c r="G1520" s="26" t="n">
        <v>-4.5518</v>
      </c>
      <c r="H1520" s="26" t="n">
        <v>-1.5682</v>
      </c>
      <c r="I1520" s="26" t="n">
        <v>-1.5682</v>
      </c>
      <c r="J1520" s="26" t="n">
        <v>30.33</v>
      </c>
      <c r="K1520" s="27" t="n">
        <f aca="false">MIN(F1520,G1520)</f>
        <v>-4.5518</v>
      </c>
      <c r="L1520" s="27" t="n">
        <f aca="false">AVERAGE(F1520,G1520)</f>
        <v>-4.5518</v>
      </c>
      <c r="M1520" s="27" t="n">
        <f aca="false">MAX(0,NG-L1520)</f>
        <v>3.8518</v>
      </c>
      <c r="N1520" s="27" t="n">
        <f aca="false">MAX(0,GWL-K1520)</f>
        <v>3.0518</v>
      </c>
      <c r="O1520" s="27" t="n">
        <f aca="false">MAX(0,NG-MAX(K1520,GWL))</f>
        <v>0.8</v>
      </c>
      <c r="P1520" s="27" t="n">
        <f aca="false">E1520/2+WS+SLOPE_A*O1520+SLOPE_B*N1520</f>
        <v>9.5454</v>
      </c>
      <c r="Q1520" s="28" t="str">
        <f aca="false">IF(AND(P1520&lt;J1520,N1520&lt;=MAXOC),"Open cut","Shoring")</f>
        <v>Shoring</v>
      </c>
      <c r="R1520" s="27" t="n">
        <f aca="false">IF(Q1520="Shoring",D1520,0)</f>
        <v>1.3345697964174</v>
      </c>
      <c r="S1520" s="27" t="n">
        <f aca="false">MAX(0,GWL-L1520)</f>
        <v>3.0518</v>
      </c>
      <c r="T1520" s="27" t="n">
        <f aca="false">MAX(0,NG-MAX(L1520,GWL))</f>
        <v>0.8</v>
      </c>
      <c r="U1520" s="27" t="n">
        <f aca="false">E1520+2*WS</f>
        <v>4.4836</v>
      </c>
      <c r="V1520" s="27" t="n">
        <f aca="false">IF(Q1520="Shoring",D1520*M1520*U1520,0)</f>
        <v>23.0479276048362</v>
      </c>
      <c r="W1520" s="27" t="n">
        <f aca="false">IF(Q1520="Open cut",D1520*(U1520*M1520+SLOPE_B*S1520^2+2*SLOPE_B*S1520*T1520+SLOPE_A*T1520^2),0)</f>
        <v>0</v>
      </c>
      <c r="X1520" s="27" t="n">
        <f aca="false">IF(M1520&gt;0,D1520*(E1520+2*SLABOVH)*SLAB,0)</f>
        <v>2.32455367139982</v>
      </c>
      <c r="Y1520" s="27" t="n">
        <f aca="false">IF(M1520&gt;0,D1520*PI()*E1520^2/4,0)</f>
        <v>6.46538625369763</v>
      </c>
      <c r="Z1520" s="27" t="n">
        <f aca="false">IF(H1520-E1520&gt;=GWL,99,E1520*(MAX(0,GWL-H1520)*(GAM_S-GAM_W)+MAX(0,NG-MAX(H1520,GWL))*GAM_D)/(GAM_W*PI()*E1520^2/4))</f>
        <v>0.781716339628925</v>
      </c>
      <c r="AA1520" s="27" t="n">
        <f aca="false">IF(I1520-E1520&gt;=GWL,99,E1520*(MAX(0,GWL-I1520)*(GAM_S-GAM_W)+MAX(0,NG-MAX(I1520,GWL))*GAM_D)/(GAM_W*PI()*E1520^2/4))</f>
        <v>0.781716339628925</v>
      </c>
      <c r="AB1520" s="27" t="n">
        <f aca="false">IF(H1520-E1520&gt;=GWL,99,E1520*(MAX(0,GWL-H1520)*(GAM_S-GAM_W)+MAX(0,FL-MAX(H1520,GWL))*GAM_D)/(GAM_W*PI()*E1520^2/4))</f>
        <v>2.38083571949463</v>
      </c>
      <c r="AC1520" s="27" t="n">
        <f aca="false">IF(I1520-E1520&gt;=GWL,99,E1520*(MAX(0,GWL-I1520)*(GAM_S-GAM_W)+MAX(0,FL-MAX(I1520,GWL))*GAM_D)/(GAM_W*PI()*E1520^2/4))</f>
        <v>2.38083571949463</v>
      </c>
    </row>
    <row r="1521" customFormat="false" ht="15" hidden="false" customHeight="false" outlineLevel="0" collapsed="false">
      <c r="A1521" s="25" t="s">
        <v>2170</v>
      </c>
      <c r="B1521" s="25" t="s">
        <v>2171</v>
      </c>
      <c r="C1521" s="25" t="s">
        <v>2195</v>
      </c>
      <c r="D1521" s="26" t="n">
        <v>9.9999999992006</v>
      </c>
      <c r="E1521" s="26" t="n">
        <v>2.4836</v>
      </c>
      <c r="F1521" s="26" t="n">
        <v>-4.5518</v>
      </c>
      <c r="G1521" s="26" t="n">
        <v>-4.5518</v>
      </c>
      <c r="H1521" s="26" t="n">
        <v>-1.5682</v>
      </c>
      <c r="I1521" s="26" t="n">
        <v>-1.5682</v>
      </c>
      <c r="J1521" s="26" t="n">
        <v>25.92</v>
      </c>
      <c r="K1521" s="27" t="n">
        <f aca="false">MIN(F1521,G1521)</f>
        <v>-4.5518</v>
      </c>
      <c r="L1521" s="27" t="n">
        <f aca="false">AVERAGE(F1521,G1521)</f>
        <v>-4.5518</v>
      </c>
      <c r="M1521" s="27" t="n">
        <f aca="false">MAX(0,NG-L1521)</f>
        <v>3.8518</v>
      </c>
      <c r="N1521" s="27" t="n">
        <f aca="false">MAX(0,GWL-K1521)</f>
        <v>3.0518</v>
      </c>
      <c r="O1521" s="27" t="n">
        <f aca="false">MAX(0,NG-MAX(K1521,GWL))</f>
        <v>0.8</v>
      </c>
      <c r="P1521" s="27" t="n">
        <f aca="false">E1521/2+WS+SLOPE_A*O1521+SLOPE_B*N1521</f>
        <v>9.5454</v>
      </c>
      <c r="Q1521" s="28" t="str">
        <f aca="false">IF(AND(P1521&lt;J1521,N1521&lt;=MAXOC),"Open cut","Shoring")</f>
        <v>Shoring</v>
      </c>
      <c r="R1521" s="27" t="n">
        <f aca="false">IF(Q1521="Shoring",D1521,0)</f>
        <v>9.9999999992006</v>
      </c>
      <c r="S1521" s="27" t="n">
        <f aca="false">MAX(0,GWL-L1521)</f>
        <v>3.0518</v>
      </c>
      <c r="T1521" s="27" t="n">
        <f aca="false">MAX(0,NG-MAX(L1521,GWL))</f>
        <v>0.8</v>
      </c>
      <c r="U1521" s="27" t="n">
        <f aca="false">E1521+2*WS</f>
        <v>4.4836</v>
      </c>
      <c r="V1521" s="27" t="n">
        <f aca="false">IF(Q1521="Shoring",D1521*M1521*U1521,0)</f>
        <v>172.699304786194</v>
      </c>
      <c r="W1521" s="27" t="n">
        <f aca="false">IF(Q1521="Open cut",D1521*(U1521*M1521+SLOPE_B*S1521^2+2*SLOPE_B*S1521*T1521+SLOPE_A*T1521^2),0)</f>
        <v>0</v>
      </c>
      <c r="X1521" s="27" t="n">
        <f aca="false">IF(M1521&gt;0,D1521*(E1521+2*SLABOVH)*SLAB,0)</f>
        <v>17.4179999986076</v>
      </c>
      <c r="Y1521" s="27" t="n">
        <f aca="false">IF(M1521&gt;0,D1521*PI()*E1521^2/4,0)</f>
        <v>48.4454711213822</v>
      </c>
      <c r="Z1521" s="27" t="n">
        <f aca="false">IF(H1521-E1521&gt;=GWL,99,E1521*(MAX(0,GWL-H1521)*(GAM_S-GAM_W)+MAX(0,NG-MAX(H1521,GWL))*GAM_D)/(GAM_W*PI()*E1521^2/4))</f>
        <v>0.781716339628925</v>
      </c>
      <c r="AA1521" s="27" t="n">
        <f aca="false">IF(I1521-E1521&gt;=GWL,99,E1521*(MAX(0,GWL-I1521)*(GAM_S-GAM_W)+MAX(0,NG-MAX(I1521,GWL))*GAM_D)/(GAM_W*PI()*E1521^2/4))</f>
        <v>0.781716339628925</v>
      </c>
      <c r="AB1521" s="27" t="n">
        <f aca="false">IF(H1521-E1521&gt;=GWL,99,E1521*(MAX(0,GWL-H1521)*(GAM_S-GAM_W)+MAX(0,FL-MAX(H1521,GWL))*GAM_D)/(GAM_W*PI()*E1521^2/4))</f>
        <v>2.38083571949463</v>
      </c>
      <c r="AC1521" s="27" t="n">
        <f aca="false">IF(I1521-E1521&gt;=GWL,99,E1521*(MAX(0,GWL-I1521)*(GAM_S-GAM_W)+MAX(0,FL-MAX(I1521,GWL))*GAM_D)/(GAM_W*PI()*E1521^2/4))</f>
        <v>2.38083571949463</v>
      </c>
    </row>
    <row r="1522" customFormat="false" ht="15" hidden="false" customHeight="false" outlineLevel="0" collapsed="false">
      <c r="A1522" s="25" t="s">
        <v>2170</v>
      </c>
      <c r="B1522" s="25" t="s">
        <v>2171</v>
      </c>
      <c r="C1522" s="25" t="s">
        <v>2196</v>
      </c>
      <c r="D1522" s="26" t="n">
        <v>10.0000000005807</v>
      </c>
      <c r="E1522" s="26" t="n">
        <v>2.4836</v>
      </c>
      <c r="F1522" s="26" t="n">
        <v>-4.5518</v>
      </c>
      <c r="G1522" s="26" t="n">
        <v>-4.5518</v>
      </c>
      <c r="H1522" s="26" t="n">
        <v>-1.5682</v>
      </c>
      <c r="I1522" s="26" t="n">
        <v>-1.5682</v>
      </c>
      <c r="J1522" s="26" t="n">
        <v>24.82</v>
      </c>
      <c r="K1522" s="27" t="n">
        <f aca="false">MIN(F1522,G1522)</f>
        <v>-4.5518</v>
      </c>
      <c r="L1522" s="27" t="n">
        <f aca="false">AVERAGE(F1522,G1522)</f>
        <v>-4.5518</v>
      </c>
      <c r="M1522" s="27" t="n">
        <f aca="false">MAX(0,NG-L1522)</f>
        <v>3.8518</v>
      </c>
      <c r="N1522" s="27" t="n">
        <f aca="false">MAX(0,GWL-K1522)</f>
        <v>3.0518</v>
      </c>
      <c r="O1522" s="27" t="n">
        <f aca="false">MAX(0,NG-MAX(K1522,GWL))</f>
        <v>0.8</v>
      </c>
      <c r="P1522" s="27" t="n">
        <f aca="false">E1522/2+WS+SLOPE_A*O1522+SLOPE_B*N1522</f>
        <v>9.5454</v>
      </c>
      <c r="Q1522" s="28" t="str">
        <f aca="false">IF(AND(P1522&lt;J1522,N1522&lt;=MAXOC),"Open cut","Shoring")</f>
        <v>Shoring</v>
      </c>
      <c r="R1522" s="27" t="n">
        <f aca="false">IF(Q1522="Shoring",D1522,0)</f>
        <v>10.0000000005807</v>
      </c>
      <c r="S1522" s="27" t="n">
        <f aca="false">MAX(0,GWL-L1522)</f>
        <v>3.0518</v>
      </c>
      <c r="T1522" s="27" t="n">
        <f aca="false">MAX(0,NG-MAX(L1522,GWL))</f>
        <v>0.8</v>
      </c>
      <c r="U1522" s="27" t="n">
        <f aca="false">E1522+2*WS</f>
        <v>4.4836</v>
      </c>
      <c r="V1522" s="27" t="n">
        <f aca="false">IF(Q1522="Shoring",D1522*M1522*U1522,0)</f>
        <v>172.699304810029</v>
      </c>
      <c r="W1522" s="27" t="n">
        <f aca="false">IF(Q1522="Open cut",D1522*(U1522*M1522+SLOPE_B*S1522^2+2*SLOPE_B*S1522*T1522+SLOPE_A*T1522^2),0)</f>
        <v>0</v>
      </c>
      <c r="X1522" s="27" t="n">
        <f aca="false">IF(M1522&gt;0,D1522*(E1522+2*SLABOVH)*SLAB,0)</f>
        <v>17.4180000010115</v>
      </c>
      <c r="Y1522" s="27" t="n">
        <f aca="false">IF(M1522&gt;0,D1522*PI()*E1522^2/4,0)</f>
        <v>48.4454711280682</v>
      </c>
      <c r="Z1522" s="27" t="n">
        <f aca="false">IF(H1522-E1522&gt;=GWL,99,E1522*(MAX(0,GWL-H1522)*(GAM_S-GAM_W)+MAX(0,NG-MAX(H1522,GWL))*GAM_D)/(GAM_W*PI()*E1522^2/4))</f>
        <v>0.781716339628925</v>
      </c>
      <c r="AA1522" s="27" t="n">
        <f aca="false">IF(I1522-E1522&gt;=GWL,99,E1522*(MAX(0,GWL-I1522)*(GAM_S-GAM_W)+MAX(0,NG-MAX(I1522,GWL))*GAM_D)/(GAM_W*PI()*E1522^2/4))</f>
        <v>0.781716339628925</v>
      </c>
      <c r="AB1522" s="27" t="n">
        <f aca="false">IF(H1522-E1522&gt;=GWL,99,E1522*(MAX(0,GWL-H1522)*(GAM_S-GAM_W)+MAX(0,FL-MAX(H1522,GWL))*GAM_D)/(GAM_W*PI()*E1522^2/4))</f>
        <v>2.38083571949463</v>
      </c>
      <c r="AC1522" s="27" t="n">
        <f aca="false">IF(I1522-E1522&gt;=GWL,99,E1522*(MAX(0,GWL-I1522)*(GAM_S-GAM_W)+MAX(0,FL-MAX(I1522,GWL))*GAM_D)/(GAM_W*PI()*E1522^2/4))</f>
        <v>2.38083571949463</v>
      </c>
    </row>
    <row r="1523" customFormat="false" ht="15" hidden="false" customHeight="false" outlineLevel="0" collapsed="false">
      <c r="A1523" s="25" t="s">
        <v>2170</v>
      </c>
      <c r="B1523" s="25" t="s">
        <v>2171</v>
      </c>
      <c r="C1523" s="25" t="s">
        <v>2197</v>
      </c>
      <c r="D1523" s="26" t="n">
        <v>9.99999999965069</v>
      </c>
      <c r="E1523" s="26" t="n">
        <v>2.4836</v>
      </c>
      <c r="F1523" s="26" t="n">
        <v>-4.5518</v>
      </c>
      <c r="G1523" s="26" t="n">
        <v>-4.5518</v>
      </c>
      <c r="H1523" s="26" t="n">
        <v>-1.5682</v>
      </c>
      <c r="I1523" s="26" t="n">
        <v>-1.5682</v>
      </c>
      <c r="J1523" s="26" t="n">
        <v>24.82</v>
      </c>
      <c r="K1523" s="27" t="n">
        <f aca="false">MIN(F1523,G1523)</f>
        <v>-4.5518</v>
      </c>
      <c r="L1523" s="27" t="n">
        <f aca="false">AVERAGE(F1523,G1523)</f>
        <v>-4.5518</v>
      </c>
      <c r="M1523" s="27" t="n">
        <f aca="false">MAX(0,NG-L1523)</f>
        <v>3.8518</v>
      </c>
      <c r="N1523" s="27" t="n">
        <f aca="false">MAX(0,GWL-K1523)</f>
        <v>3.0518</v>
      </c>
      <c r="O1523" s="27" t="n">
        <f aca="false">MAX(0,NG-MAX(K1523,GWL))</f>
        <v>0.8</v>
      </c>
      <c r="P1523" s="27" t="n">
        <f aca="false">E1523/2+WS+SLOPE_A*O1523+SLOPE_B*N1523</f>
        <v>9.5454</v>
      </c>
      <c r="Q1523" s="28" t="str">
        <f aca="false">IF(AND(P1523&lt;J1523,N1523&lt;=MAXOC),"Open cut","Shoring")</f>
        <v>Shoring</v>
      </c>
      <c r="R1523" s="27" t="n">
        <f aca="false">IF(Q1523="Shoring",D1523,0)</f>
        <v>9.99999999965069</v>
      </c>
      <c r="S1523" s="27" t="n">
        <f aca="false">MAX(0,GWL-L1523)</f>
        <v>3.0518</v>
      </c>
      <c r="T1523" s="27" t="n">
        <f aca="false">MAX(0,NG-MAX(L1523,GWL))</f>
        <v>0.8</v>
      </c>
      <c r="U1523" s="27" t="n">
        <f aca="false">E1523+2*WS</f>
        <v>4.4836</v>
      </c>
      <c r="V1523" s="27" t="n">
        <f aca="false">IF(Q1523="Shoring",D1523*M1523*U1523,0)</f>
        <v>172.699304793967</v>
      </c>
      <c r="W1523" s="27" t="n">
        <f aca="false">IF(Q1523="Open cut",D1523*(U1523*M1523+SLOPE_B*S1523^2+2*SLOPE_B*S1523*T1523+SLOPE_A*T1523^2),0)</f>
        <v>0</v>
      </c>
      <c r="X1523" s="27" t="n">
        <f aca="false">IF(M1523&gt;0,D1523*(E1523+2*SLABOVH)*SLAB,0)</f>
        <v>17.4179999993916</v>
      </c>
      <c r="Y1523" s="27" t="n">
        <f aca="false">IF(M1523&gt;0,D1523*PI()*E1523^2/4,0)</f>
        <v>48.4454711235626</v>
      </c>
      <c r="Z1523" s="27" t="n">
        <f aca="false">IF(H1523-E1523&gt;=GWL,99,E1523*(MAX(0,GWL-H1523)*(GAM_S-GAM_W)+MAX(0,NG-MAX(H1523,GWL))*GAM_D)/(GAM_W*PI()*E1523^2/4))</f>
        <v>0.781716339628925</v>
      </c>
      <c r="AA1523" s="27" t="n">
        <f aca="false">IF(I1523-E1523&gt;=GWL,99,E1523*(MAX(0,GWL-I1523)*(GAM_S-GAM_W)+MAX(0,NG-MAX(I1523,GWL))*GAM_D)/(GAM_W*PI()*E1523^2/4))</f>
        <v>0.781716339628925</v>
      </c>
      <c r="AB1523" s="27" t="n">
        <f aca="false">IF(H1523-E1523&gt;=GWL,99,E1523*(MAX(0,GWL-H1523)*(GAM_S-GAM_W)+MAX(0,FL-MAX(H1523,GWL))*GAM_D)/(GAM_W*PI()*E1523^2/4))</f>
        <v>2.38083571949463</v>
      </c>
      <c r="AC1523" s="27" t="n">
        <f aca="false">IF(I1523-E1523&gt;=GWL,99,E1523*(MAX(0,GWL-I1523)*(GAM_S-GAM_W)+MAX(0,FL-MAX(I1523,GWL))*GAM_D)/(GAM_W*PI()*E1523^2/4))</f>
        <v>2.38083571949463</v>
      </c>
    </row>
    <row r="1524" customFormat="false" ht="15" hidden="false" customHeight="false" outlineLevel="0" collapsed="false">
      <c r="A1524" s="25" t="s">
        <v>2170</v>
      </c>
      <c r="B1524" s="25" t="s">
        <v>2171</v>
      </c>
      <c r="C1524" s="25" t="s">
        <v>2198</v>
      </c>
      <c r="D1524" s="26" t="n">
        <v>9.99999999965069</v>
      </c>
      <c r="E1524" s="26" t="n">
        <v>2.4836</v>
      </c>
      <c r="F1524" s="26" t="n">
        <v>-4.5518</v>
      </c>
      <c r="G1524" s="26" t="n">
        <v>-4.5518</v>
      </c>
      <c r="H1524" s="26" t="n">
        <v>-1.5682</v>
      </c>
      <c r="I1524" s="26" t="n">
        <v>-1.5682</v>
      </c>
      <c r="J1524" s="26" t="n">
        <v>99</v>
      </c>
      <c r="K1524" s="27" t="n">
        <f aca="false">MIN(F1524,G1524)</f>
        <v>-4.5518</v>
      </c>
      <c r="L1524" s="27" t="n">
        <f aca="false">AVERAGE(F1524,G1524)</f>
        <v>-4.5518</v>
      </c>
      <c r="M1524" s="27" t="n">
        <f aca="false">MAX(0,NG-L1524)</f>
        <v>3.8518</v>
      </c>
      <c r="N1524" s="27" t="n">
        <f aca="false">MAX(0,GWL-K1524)</f>
        <v>3.0518</v>
      </c>
      <c r="O1524" s="27" t="n">
        <f aca="false">MAX(0,NG-MAX(K1524,GWL))</f>
        <v>0.8</v>
      </c>
      <c r="P1524" s="27" t="n">
        <f aca="false">E1524/2+WS+SLOPE_A*O1524+SLOPE_B*N1524</f>
        <v>9.5454</v>
      </c>
      <c r="Q1524" s="28" t="str">
        <f aca="false">IF(AND(P1524&lt;J1524,N1524&lt;=MAXOC),"Open cut","Shoring")</f>
        <v>Shoring</v>
      </c>
      <c r="R1524" s="27" t="n">
        <f aca="false">IF(Q1524="Shoring",D1524,0)</f>
        <v>9.99999999965069</v>
      </c>
      <c r="S1524" s="27" t="n">
        <f aca="false">MAX(0,GWL-L1524)</f>
        <v>3.0518</v>
      </c>
      <c r="T1524" s="27" t="n">
        <f aca="false">MAX(0,NG-MAX(L1524,GWL))</f>
        <v>0.8</v>
      </c>
      <c r="U1524" s="27" t="n">
        <f aca="false">E1524+2*WS</f>
        <v>4.4836</v>
      </c>
      <c r="V1524" s="27" t="n">
        <f aca="false">IF(Q1524="Shoring",D1524*M1524*U1524,0)</f>
        <v>172.699304793967</v>
      </c>
      <c r="W1524" s="27" t="n">
        <f aca="false">IF(Q1524="Open cut",D1524*(U1524*M1524+SLOPE_B*S1524^2+2*SLOPE_B*S1524*T1524+SLOPE_A*T1524^2),0)</f>
        <v>0</v>
      </c>
      <c r="X1524" s="27" t="n">
        <f aca="false">IF(M1524&gt;0,D1524*(E1524+2*SLABOVH)*SLAB,0)</f>
        <v>17.4179999993916</v>
      </c>
      <c r="Y1524" s="27" t="n">
        <f aca="false">IF(M1524&gt;0,D1524*PI()*E1524^2/4,0)</f>
        <v>48.4454711235626</v>
      </c>
      <c r="Z1524" s="27" t="n">
        <f aca="false">IF(H1524-E1524&gt;=GWL,99,E1524*(MAX(0,GWL-H1524)*(GAM_S-GAM_W)+MAX(0,NG-MAX(H1524,GWL))*GAM_D)/(GAM_W*PI()*E1524^2/4))</f>
        <v>0.781716339628925</v>
      </c>
      <c r="AA1524" s="27" t="n">
        <f aca="false">IF(I1524-E1524&gt;=GWL,99,E1524*(MAX(0,GWL-I1524)*(GAM_S-GAM_W)+MAX(0,NG-MAX(I1524,GWL))*GAM_D)/(GAM_W*PI()*E1524^2/4))</f>
        <v>0.781716339628925</v>
      </c>
      <c r="AB1524" s="27" t="n">
        <f aca="false">IF(H1524-E1524&gt;=GWL,99,E1524*(MAX(0,GWL-H1524)*(GAM_S-GAM_W)+MAX(0,FL-MAX(H1524,GWL))*GAM_D)/(GAM_W*PI()*E1524^2/4))</f>
        <v>2.38083571949463</v>
      </c>
      <c r="AC1524" s="27" t="n">
        <f aca="false">IF(I1524-E1524&gt;=GWL,99,E1524*(MAX(0,GWL-I1524)*(GAM_S-GAM_W)+MAX(0,FL-MAX(I1524,GWL))*GAM_D)/(GAM_W*PI()*E1524^2/4))</f>
        <v>2.38083571949463</v>
      </c>
    </row>
    <row r="1525" customFormat="false" ht="15" hidden="false" customHeight="false" outlineLevel="0" collapsed="false">
      <c r="A1525" s="25" t="s">
        <v>2170</v>
      </c>
      <c r="B1525" s="25" t="s">
        <v>2171</v>
      </c>
      <c r="C1525" s="25" t="s">
        <v>2199</v>
      </c>
      <c r="D1525" s="26" t="n">
        <v>10.0000000005509</v>
      </c>
      <c r="E1525" s="26" t="n">
        <v>2.4836</v>
      </c>
      <c r="F1525" s="26" t="n">
        <v>-4.5518</v>
      </c>
      <c r="G1525" s="26" t="n">
        <v>-4.5518</v>
      </c>
      <c r="H1525" s="26" t="n">
        <v>-1.5682</v>
      </c>
      <c r="I1525" s="26" t="n">
        <v>-1.5682</v>
      </c>
      <c r="J1525" s="26" t="n">
        <v>30.6</v>
      </c>
      <c r="K1525" s="27" t="n">
        <f aca="false">MIN(F1525,G1525)</f>
        <v>-4.5518</v>
      </c>
      <c r="L1525" s="27" t="n">
        <f aca="false">AVERAGE(F1525,G1525)</f>
        <v>-4.5518</v>
      </c>
      <c r="M1525" s="27" t="n">
        <f aca="false">MAX(0,NG-L1525)</f>
        <v>3.8518</v>
      </c>
      <c r="N1525" s="27" t="n">
        <f aca="false">MAX(0,GWL-K1525)</f>
        <v>3.0518</v>
      </c>
      <c r="O1525" s="27" t="n">
        <f aca="false">MAX(0,NG-MAX(K1525,GWL))</f>
        <v>0.8</v>
      </c>
      <c r="P1525" s="27" t="n">
        <f aca="false">E1525/2+WS+SLOPE_A*O1525+SLOPE_B*N1525</f>
        <v>9.5454</v>
      </c>
      <c r="Q1525" s="28" t="str">
        <f aca="false">IF(AND(P1525&lt;J1525,N1525&lt;=MAXOC),"Open cut","Shoring")</f>
        <v>Shoring</v>
      </c>
      <c r="R1525" s="27" t="n">
        <f aca="false">IF(Q1525="Shoring",D1525,0)</f>
        <v>10.0000000005509</v>
      </c>
      <c r="S1525" s="27" t="n">
        <f aca="false">MAX(0,GWL-L1525)</f>
        <v>3.0518</v>
      </c>
      <c r="T1525" s="27" t="n">
        <f aca="false">MAX(0,NG-MAX(L1525,GWL))</f>
        <v>0.8</v>
      </c>
      <c r="U1525" s="27" t="n">
        <f aca="false">E1525+2*WS</f>
        <v>4.4836</v>
      </c>
      <c r="V1525" s="27" t="n">
        <f aca="false">IF(Q1525="Shoring",D1525*M1525*U1525,0)</f>
        <v>172.699304809513</v>
      </c>
      <c r="W1525" s="27" t="n">
        <f aca="false">IF(Q1525="Open cut",D1525*(U1525*M1525+SLOPE_B*S1525^2+2*SLOPE_B*S1525*T1525+SLOPE_A*T1525^2),0)</f>
        <v>0</v>
      </c>
      <c r="X1525" s="27" t="n">
        <f aca="false">IF(M1525&gt;0,D1525*(E1525+2*SLABOVH)*SLAB,0)</f>
        <v>17.4180000009595</v>
      </c>
      <c r="Y1525" s="27" t="n">
        <f aca="false">IF(M1525&gt;0,D1525*PI()*E1525^2/4,0)</f>
        <v>48.4454711279236</v>
      </c>
      <c r="Z1525" s="27" t="n">
        <f aca="false">IF(H1525-E1525&gt;=GWL,99,E1525*(MAX(0,GWL-H1525)*(GAM_S-GAM_W)+MAX(0,NG-MAX(H1525,GWL))*GAM_D)/(GAM_W*PI()*E1525^2/4))</f>
        <v>0.781716339628925</v>
      </c>
      <c r="AA1525" s="27" t="n">
        <f aca="false">IF(I1525-E1525&gt;=GWL,99,E1525*(MAX(0,GWL-I1525)*(GAM_S-GAM_W)+MAX(0,NG-MAX(I1525,GWL))*GAM_D)/(GAM_W*PI()*E1525^2/4))</f>
        <v>0.781716339628925</v>
      </c>
      <c r="AB1525" s="27" t="n">
        <f aca="false">IF(H1525-E1525&gt;=GWL,99,E1525*(MAX(0,GWL-H1525)*(GAM_S-GAM_W)+MAX(0,FL-MAX(H1525,GWL))*GAM_D)/(GAM_W*PI()*E1525^2/4))</f>
        <v>2.38083571949463</v>
      </c>
      <c r="AC1525" s="27" t="n">
        <f aca="false">IF(I1525-E1525&gt;=GWL,99,E1525*(MAX(0,GWL-I1525)*(GAM_S-GAM_W)+MAX(0,FL-MAX(I1525,GWL))*GAM_D)/(GAM_W*PI()*E1525^2/4))</f>
        <v>2.38083571949463</v>
      </c>
    </row>
    <row r="1526" customFormat="false" ht="15" hidden="false" customHeight="false" outlineLevel="0" collapsed="false">
      <c r="A1526" s="25" t="s">
        <v>2170</v>
      </c>
      <c r="B1526" s="25" t="s">
        <v>2171</v>
      </c>
      <c r="C1526" s="25" t="s">
        <v>2200</v>
      </c>
      <c r="D1526" s="26" t="n">
        <v>9.99999999965069</v>
      </c>
      <c r="E1526" s="26" t="n">
        <v>2.4836</v>
      </c>
      <c r="F1526" s="26" t="n">
        <v>-4.5518</v>
      </c>
      <c r="G1526" s="26" t="n">
        <v>-4.5518</v>
      </c>
      <c r="H1526" s="26" t="n">
        <v>-1.5682</v>
      </c>
      <c r="I1526" s="26" t="n">
        <v>-1.5682</v>
      </c>
      <c r="J1526" s="26" t="n">
        <v>24.83</v>
      </c>
      <c r="K1526" s="27" t="n">
        <f aca="false">MIN(F1526,G1526)</f>
        <v>-4.5518</v>
      </c>
      <c r="L1526" s="27" t="n">
        <f aca="false">AVERAGE(F1526,G1526)</f>
        <v>-4.5518</v>
      </c>
      <c r="M1526" s="27" t="n">
        <f aca="false">MAX(0,NG-L1526)</f>
        <v>3.8518</v>
      </c>
      <c r="N1526" s="27" t="n">
        <f aca="false">MAX(0,GWL-K1526)</f>
        <v>3.0518</v>
      </c>
      <c r="O1526" s="27" t="n">
        <f aca="false">MAX(0,NG-MAX(K1526,GWL))</f>
        <v>0.8</v>
      </c>
      <c r="P1526" s="27" t="n">
        <f aca="false">E1526/2+WS+SLOPE_A*O1526+SLOPE_B*N1526</f>
        <v>9.5454</v>
      </c>
      <c r="Q1526" s="28" t="str">
        <f aca="false">IF(AND(P1526&lt;J1526,N1526&lt;=MAXOC),"Open cut","Shoring")</f>
        <v>Shoring</v>
      </c>
      <c r="R1526" s="27" t="n">
        <f aca="false">IF(Q1526="Shoring",D1526,0)</f>
        <v>9.99999999965069</v>
      </c>
      <c r="S1526" s="27" t="n">
        <f aca="false">MAX(0,GWL-L1526)</f>
        <v>3.0518</v>
      </c>
      <c r="T1526" s="27" t="n">
        <f aca="false">MAX(0,NG-MAX(L1526,GWL))</f>
        <v>0.8</v>
      </c>
      <c r="U1526" s="27" t="n">
        <f aca="false">E1526+2*WS</f>
        <v>4.4836</v>
      </c>
      <c r="V1526" s="27" t="n">
        <f aca="false">IF(Q1526="Shoring",D1526*M1526*U1526,0)</f>
        <v>172.699304793967</v>
      </c>
      <c r="W1526" s="27" t="n">
        <f aca="false">IF(Q1526="Open cut",D1526*(U1526*M1526+SLOPE_B*S1526^2+2*SLOPE_B*S1526*T1526+SLOPE_A*T1526^2),0)</f>
        <v>0</v>
      </c>
      <c r="X1526" s="27" t="n">
        <f aca="false">IF(M1526&gt;0,D1526*(E1526+2*SLABOVH)*SLAB,0)</f>
        <v>17.4179999993916</v>
      </c>
      <c r="Y1526" s="27" t="n">
        <f aca="false">IF(M1526&gt;0,D1526*PI()*E1526^2/4,0)</f>
        <v>48.4454711235626</v>
      </c>
      <c r="Z1526" s="27" t="n">
        <f aca="false">IF(H1526-E1526&gt;=GWL,99,E1526*(MAX(0,GWL-H1526)*(GAM_S-GAM_W)+MAX(0,NG-MAX(H1526,GWL))*GAM_D)/(GAM_W*PI()*E1526^2/4))</f>
        <v>0.781716339628925</v>
      </c>
      <c r="AA1526" s="27" t="n">
        <f aca="false">IF(I1526-E1526&gt;=GWL,99,E1526*(MAX(0,GWL-I1526)*(GAM_S-GAM_W)+MAX(0,NG-MAX(I1526,GWL))*GAM_D)/(GAM_W*PI()*E1526^2/4))</f>
        <v>0.781716339628925</v>
      </c>
      <c r="AB1526" s="27" t="n">
        <f aca="false">IF(H1526-E1526&gt;=GWL,99,E1526*(MAX(0,GWL-H1526)*(GAM_S-GAM_W)+MAX(0,FL-MAX(H1526,GWL))*GAM_D)/(GAM_W*PI()*E1526^2/4))</f>
        <v>2.38083571949463</v>
      </c>
      <c r="AC1526" s="27" t="n">
        <f aca="false">IF(I1526-E1526&gt;=GWL,99,E1526*(MAX(0,GWL-I1526)*(GAM_S-GAM_W)+MAX(0,FL-MAX(I1526,GWL))*GAM_D)/(GAM_W*PI()*E1526^2/4))</f>
        <v>2.38083571949463</v>
      </c>
    </row>
    <row r="1527" customFormat="false" ht="15" hidden="false" customHeight="false" outlineLevel="0" collapsed="false">
      <c r="A1527" s="25" t="s">
        <v>2170</v>
      </c>
      <c r="B1527" s="25" t="s">
        <v>2171</v>
      </c>
      <c r="C1527" s="25" t="s">
        <v>2201</v>
      </c>
      <c r="D1527" s="26" t="n">
        <v>10.0000000005509</v>
      </c>
      <c r="E1527" s="26" t="n">
        <v>2.4836</v>
      </c>
      <c r="F1527" s="26" t="n">
        <v>-4.5518</v>
      </c>
      <c r="G1527" s="26" t="n">
        <v>-4.5518</v>
      </c>
      <c r="H1527" s="26" t="n">
        <v>-1.5682</v>
      </c>
      <c r="I1527" s="26" t="n">
        <v>-1.5682</v>
      </c>
      <c r="J1527" s="26" t="n">
        <v>20.99</v>
      </c>
      <c r="K1527" s="27" t="n">
        <f aca="false">MIN(F1527,G1527)</f>
        <v>-4.5518</v>
      </c>
      <c r="L1527" s="27" t="n">
        <f aca="false">AVERAGE(F1527,G1527)</f>
        <v>-4.5518</v>
      </c>
      <c r="M1527" s="27" t="n">
        <f aca="false">MAX(0,NG-L1527)</f>
        <v>3.8518</v>
      </c>
      <c r="N1527" s="27" t="n">
        <f aca="false">MAX(0,GWL-K1527)</f>
        <v>3.0518</v>
      </c>
      <c r="O1527" s="27" t="n">
        <f aca="false">MAX(0,NG-MAX(K1527,GWL))</f>
        <v>0.8</v>
      </c>
      <c r="P1527" s="27" t="n">
        <f aca="false">E1527/2+WS+SLOPE_A*O1527+SLOPE_B*N1527</f>
        <v>9.5454</v>
      </c>
      <c r="Q1527" s="28" t="str">
        <f aca="false">IF(AND(P1527&lt;J1527,N1527&lt;=MAXOC),"Open cut","Shoring")</f>
        <v>Shoring</v>
      </c>
      <c r="R1527" s="27" t="n">
        <f aca="false">IF(Q1527="Shoring",D1527,0)</f>
        <v>10.0000000005509</v>
      </c>
      <c r="S1527" s="27" t="n">
        <f aca="false">MAX(0,GWL-L1527)</f>
        <v>3.0518</v>
      </c>
      <c r="T1527" s="27" t="n">
        <f aca="false">MAX(0,NG-MAX(L1527,GWL))</f>
        <v>0.8</v>
      </c>
      <c r="U1527" s="27" t="n">
        <f aca="false">E1527+2*WS</f>
        <v>4.4836</v>
      </c>
      <c r="V1527" s="27" t="n">
        <f aca="false">IF(Q1527="Shoring",D1527*M1527*U1527,0)</f>
        <v>172.699304809513</v>
      </c>
      <c r="W1527" s="27" t="n">
        <f aca="false">IF(Q1527="Open cut",D1527*(U1527*M1527+SLOPE_B*S1527^2+2*SLOPE_B*S1527*T1527+SLOPE_A*T1527^2),0)</f>
        <v>0</v>
      </c>
      <c r="X1527" s="27" t="n">
        <f aca="false">IF(M1527&gt;0,D1527*(E1527+2*SLABOVH)*SLAB,0)</f>
        <v>17.4180000009595</v>
      </c>
      <c r="Y1527" s="27" t="n">
        <f aca="false">IF(M1527&gt;0,D1527*PI()*E1527^2/4,0)</f>
        <v>48.4454711279236</v>
      </c>
      <c r="Z1527" s="27" t="n">
        <f aca="false">IF(H1527-E1527&gt;=GWL,99,E1527*(MAX(0,GWL-H1527)*(GAM_S-GAM_W)+MAX(0,NG-MAX(H1527,GWL))*GAM_D)/(GAM_W*PI()*E1527^2/4))</f>
        <v>0.781716339628925</v>
      </c>
      <c r="AA1527" s="27" t="n">
        <f aca="false">IF(I1527-E1527&gt;=GWL,99,E1527*(MAX(0,GWL-I1527)*(GAM_S-GAM_W)+MAX(0,NG-MAX(I1527,GWL))*GAM_D)/(GAM_W*PI()*E1527^2/4))</f>
        <v>0.781716339628925</v>
      </c>
      <c r="AB1527" s="27" t="n">
        <f aca="false">IF(H1527-E1527&gt;=GWL,99,E1527*(MAX(0,GWL-H1527)*(GAM_S-GAM_W)+MAX(0,FL-MAX(H1527,GWL))*GAM_D)/(GAM_W*PI()*E1527^2/4))</f>
        <v>2.38083571949463</v>
      </c>
      <c r="AC1527" s="27" t="n">
        <f aca="false">IF(I1527-E1527&gt;=GWL,99,E1527*(MAX(0,GWL-I1527)*(GAM_S-GAM_W)+MAX(0,FL-MAX(I1527,GWL))*GAM_D)/(GAM_W*PI()*E1527^2/4))</f>
        <v>2.38083571949463</v>
      </c>
    </row>
    <row r="1528" customFormat="false" ht="15" hidden="false" customHeight="false" outlineLevel="0" collapsed="false">
      <c r="A1528" s="25" t="s">
        <v>2170</v>
      </c>
      <c r="B1528" s="25" t="s">
        <v>2171</v>
      </c>
      <c r="C1528" s="25" t="s">
        <v>2202</v>
      </c>
      <c r="D1528" s="26" t="n">
        <v>9.99999999968055</v>
      </c>
      <c r="E1528" s="26" t="n">
        <v>2.4836</v>
      </c>
      <c r="F1528" s="26" t="n">
        <v>-4.5518</v>
      </c>
      <c r="G1528" s="26" t="n">
        <v>-4.5518</v>
      </c>
      <c r="H1528" s="26" t="n">
        <v>-1.5682</v>
      </c>
      <c r="I1528" s="26" t="n">
        <v>-1.5682</v>
      </c>
      <c r="J1528" s="26" t="n">
        <v>13.85</v>
      </c>
      <c r="K1528" s="27" t="n">
        <f aca="false">MIN(F1528,G1528)</f>
        <v>-4.5518</v>
      </c>
      <c r="L1528" s="27" t="n">
        <f aca="false">AVERAGE(F1528,G1528)</f>
        <v>-4.5518</v>
      </c>
      <c r="M1528" s="27" t="n">
        <f aca="false">MAX(0,NG-L1528)</f>
        <v>3.8518</v>
      </c>
      <c r="N1528" s="27" t="n">
        <f aca="false">MAX(0,GWL-K1528)</f>
        <v>3.0518</v>
      </c>
      <c r="O1528" s="27" t="n">
        <f aca="false">MAX(0,NG-MAX(K1528,GWL))</f>
        <v>0.8</v>
      </c>
      <c r="P1528" s="27" t="n">
        <f aca="false">E1528/2+WS+SLOPE_A*O1528+SLOPE_B*N1528</f>
        <v>9.5454</v>
      </c>
      <c r="Q1528" s="28" t="str">
        <f aca="false">IF(AND(P1528&lt;J1528,N1528&lt;=MAXOC),"Open cut","Shoring")</f>
        <v>Shoring</v>
      </c>
      <c r="R1528" s="27" t="n">
        <f aca="false">IF(Q1528="Shoring",D1528,0)</f>
        <v>9.99999999968055</v>
      </c>
      <c r="S1528" s="27" t="n">
        <f aca="false">MAX(0,GWL-L1528)</f>
        <v>3.0518</v>
      </c>
      <c r="T1528" s="27" t="n">
        <f aca="false">MAX(0,NG-MAX(L1528,GWL))</f>
        <v>0.8</v>
      </c>
      <c r="U1528" s="27" t="n">
        <f aca="false">E1528+2*WS</f>
        <v>4.4836</v>
      </c>
      <c r="V1528" s="27" t="n">
        <f aca="false">IF(Q1528="Shoring",D1528*M1528*U1528,0)</f>
        <v>172.699304794483</v>
      </c>
      <c r="W1528" s="27" t="n">
        <f aca="false">IF(Q1528="Open cut",D1528*(U1528*M1528+SLOPE_B*S1528^2+2*SLOPE_B*S1528*T1528+SLOPE_A*T1528^2),0)</f>
        <v>0</v>
      </c>
      <c r="X1528" s="27" t="n">
        <f aca="false">IF(M1528&gt;0,D1528*(E1528+2*SLABOVH)*SLAB,0)</f>
        <v>17.4179999994436</v>
      </c>
      <c r="Y1528" s="27" t="n">
        <f aca="false">IF(M1528&gt;0,D1528*PI()*E1528^2/4,0)</f>
        <v>48.4454711237073</v>
      </c>
      <c r="Z1528" s="27" t="n">
        <f aca="false">IF(H1528-E1528&gt;=GWL,99,E1528*(MAX(0,GWL-H1528)*(GAM_S-GAM_W)+MAX(0,NG-MAX(H1528,GWL))*GAM_D)/(GAM_W*PI()*E1528^2/4))</f>
        <v>0.781716339628925</v>
      </c>
      <c r="AA1528" s="27" t="n">
        <f aca="false">IF(I1528-E1528&gt;=GWL,99,E1528*(MAX(0,GWL-I1528)*(GAM_S-GAM_W)+MAX(0,NG-MAX(I1528,GWL))*GAM_D)/(GAM_W*PI()*E1528^2/4))</f>
        <v>0.781716339628925</v>
      </c>
      <c r="AB1528" s="27" t="n">
        <f aca="false">IF(H1528-E1528&gt;=GWL,99,E1528*(MAX(0,GWL-H1528)*(GAM_S-GAM_W)+MAX(0,FL-MAX(H1528,GWL))*GAM_D)/(GAM_W*PI()*E1528^2/4))</f>
        <v>2.38083571949463</v>
      </c>
      <c r="AC1528" s="27" t="n">
        <f aca="false">IF(I1528-E1528&gt;=GWL,99,E1528*(MAX(0,GWL-I1528)*(GAM_S-GAM_W)+MAX(0,FL-MAX(I1528,GWL))*GAM_D)/(GAM_W*PI()*E1528^2/4))</f>
        <v>2.38083571949463</v>
      </c>
    </row>
    <row r="1529" customFormat="false" ht="15" hidden="false" customHeight="false" outlineLevel="0" collapsed="false">
      <c r="A1529" s="25" t="s">
        <v>2170</v>
      </c>
      <c r="B1529" s="25" t="s">
        <v>2171</v>
      </c>
      <c r="C1529" s="25" t="s">
        <v>2203</v>
      </c>
      <c r="D1529" s="26" t="n">
        <v>1.36360617664548</v>
      </c>
      <c r="E1529" s="26" t="n">
        <v>2.4836</v>
      </c>
      <c r="F1529" s="26" t="n">
        <v>-4.5518</v>
      </c>
      <c r="G1529" s="26" t="n">
        <v>-4.5518</v>
      </c>
      <c r="H1529" s="26" t="n">
        <v>-1.5682</v>
      </c>
      <c r="I1529" s="26" t="n">
        <v>-1.5682</v>
      </c>
      <c r="J1529" s="26" t="n">
        <v>12.54</v>
      </c>
      <c r="K1529" s="27" t="n">
        <f aca="false">MIN(F1529,G1529)</f>
        <v>-4.5518</v>
      </c>
      <c r="L1529" s="27" t="n">
        <f aca="false">AVERAGE(F1529,G1529)</f>
        <v>-4.5518</v>
      </c>
      <c r="M1529" s="27" t="n">
        <f aca="false">MAX(0,NG-L1529)</f>
        <v>3.8518</v>
      </c>
      <c r="N1529" s="27" t="n">
        <f aca="false">MAX(0,GWL-K1529)</f>
        <v>3.0518</v>
      </c>
      <c r="O1529" s="27" t="n">
        <f aca="false">MAX(0,NG-MAX(K1529,GWL))</f>
        <v>0.8</v>
      </c>
      <c r="P1529" s="27" t="n">
        <f aca="false">E1529/2+WS+SLOPE_A*O1529+SLOPE_B*N1529</f>
        <v>9.5454</v>
      </c>
      <c r="Q1529" s="28" t="str">
        <f aca="false">IF(AND(P1529&lt;J1529,N1529&lt;=MAXOC),"Open cut","Shoring")</f>
        <v>Shoring</v>
      </c>
      <c r="R1529" s="27" t="n">
        <f aca="false">IF(Q1529="Shoring",D1529,0)</f>
        <v>1.36360617664548</v>
      </c>
      <c r="S1529" s="27" t="n">
        <f aca="false">MAX(0,GWL-L1529)</f>
        <v>3.0518</v>
      </c>
      <c r="T1529" s="27" t="n">
        <f aca="false">MAX(0,NG-MAX(L1529,GWL))</f>
        <v>0.8</v>
      </c>
      <c r="U1529" s="27" t="n">
        <f aca="false">E1529+2*WS</f>
        <v>4.4836</v>
      </c>
      <c r="V1529" s="27" t="n">
        <f aca="false">IF(Q1529="Shoring",D1529*M1529*U1529,0)</f>
        <v>23.549383872766</v>
      </c>
      <c r="W1529" s="27" t="n">
        <f aca="false">IF(Q1529="Open cut",D1529*(U1529*M1529+SLOPE_B*S1529^2+2*SLOPE_B*S1529*T1529+SLOPE_A*T1529^2),0)</f>
        <v>0</v>
      </c>
      <c r="X1529" s="27" t="n">
        <f aca="false">IF(M1529&gt;0,D1529*(E1529+2*SLABOVH)*SLAB,0)</f>
        <v>2.37512923848109</v>
      </c>
      <c r="Y1529" s="27" t="n">
        <f aca="false">IF(M1529&gt;0,D1529*PI()*E1529^2/4,0)</f>
        <v>6.60605436568976</v>
      </c>
      <c r="Z1529" s="27" t="n">
        <f aca="false">IF(H1529-E1529&gt;=GWL,99,E1529*(MAX(0,GWL-H1529)*(GAM_S-GAM_W)+MAX(0,NG-MAX(H1529,GWL))*GAM_D)/(GAM_W*PI()*E1529^2/4))</f>
        <v>0.781716339628925</v>
      </c>
      <c r="AA1529" s="27" t="n">
        <f aca="false">IF(I1529-E1529&gt;=GWL,99,E1529*(MAX(0,GWL-I1529)*(GAM_S-GAM_W)+MAX(0,NG-MAX(I1529,GWL))*GAM_D)/(GAM_W*PI()*E1529^2/4))</f>
        <v>0.781716339628925</v>
      </c>
      <c r="AB1529" s="27" t="n">
        <f aca="false">IF(H1529-E1529&gt;=GWL,99,E1529*(MAX(0,GWL-H1529)*(GAM_S-GAM_W)+MAX(0,FL-MAX(H1529,GWL))*GAM_D)/(GAM_W*PI()*E1529^2/4))</f>
        <v>2.38083571949463</v>
      </c>
      <c r="AC1529" s="27" t="n">
        <f aca="false">IF(I1529-E1529&gt;=GWL,99,E1529*(MAX(0,GWL-I1529)*(GAM_S-GAM_W)+MAX(0,FL-MAX(I1529,GWL))*GAM_D)/(GAM_W*PI()*E1529^2/4))</f>
        <v>2.38083571949463</v>
      </c>
    </row>
    <row r="1530" customFormat="false" ht="15" hidden="false" customHeight="false" outlineLevel="0" collapsed="false">
      <c r="A1530" s="25" t="s">
        <v>2170</v>
      </c>
      <c r="B1530" s="25" t="s">
        <v>2171</v>
      </c>
      <c r="C1530" s="25" t="s">
        <v>2204</v>
      </c>
      <c r="D1530" s="26" t="n">
        <v>2.55943508224674</v>
      </c>
      <c r="E1530" s="26" t="n">
        <v>2.45299554825855</v>
      </c>
      <c r="F1530" s="26" t="n">
        <v>-4.53649777412927</v>
      </c>
      <c r="G1530" s="26" t="n">
        <v>-4.53686777412927</v>
      </c>
      <c r="H1530" s="26" t="n">
        <v>-1.58350222587073</v>
      </c>
      <c r="I1530" s="26" t="n">
        <v>-1.58387222587073</v>
      </c>
      <c r="J1530" s="26" t="n">
        <v>10.11</v>
      </c>
      <c r="K1530" s="27" t="n">
        <f aca="false">MIN(F1530,G1530)</f>
        <v>-4.53686777412927</v>
      </c>
      <c r="L1530" s="27" t="n">
        <f aca="false">AVERAGE(F1530,G1530)</f>
        <v>-4.53668277412927</v>
      </c>
      <c r="M1530" s="27" t="n">
        <f aca="false">MAX(0,NG-L1530)</f>
        <v>3.83668277412927</v>
      </c>
      <c r="N1530" s="27" t="n">
        <f aca="false">MAX(0,GWL-K1530)</f>
        <v>3.03686777412927</v>
      </c>
      <c r="O1530" s="27" t="n">
        <f aca="false">MAX(0,NG-MAX(K1530,GWL))</f>
        <v>0.8</v>
      </c>
      <c r="P1530" s="27" t="n">
        <f aca="false">E1530/2+WS+SLOPE_A*O1530+SLOPE_B*N1530</f>
        <v>9.50023332238782</v>
      </c>
      <c r="Q1530" s="28" t="str">
        <f aca="false">IF(AND(P1530&lt;J1530,N1530&lt;=MAXOC),"Open cut","Shoring")</f>
        <v>Shoring</v>
      </c>
      <c r="R1530" s="27" t="n">
        <f aca="false">IF(Q1530="Shoring",D1530,0)</f>
        <v>2.55943508224674</v>
      </c>
      <c r="S1530" s="27" t="n">
        <f aca="false">MAX(0,GWL-L1530)</f>
        <v>3.03668277412927</v>
      </c>
      <c r="T1530" s="27" t="n">
        <f aca="false">MAX(0,NG-MAX(L1530,GWL))</f>
        <v>0.8</v>
      </c>
      <c r="U1530" s="27" t="n">
        <f aca="false">E1530+2*WS</f>
        <v>4.45299554825855</v>
      </c>
      <c r="V1530" s="27" t="n">
        <f aca="false">IF(Q1530="Shoring",D1530*M1530*U1530,0)</f>
        <v>43.7272606939628</v>
      </c>
      <c r="W1530" s="27" t="n">
        <f aca="false">IF(Q1530="Open cut",D1530*(U1530*M1530+SLOPE_B*S1530^2+2*SLOPE_B*S1530*T1530+SLOPE_A*T1530^2),0)</f>
        <v>0</v>
      </c>
      <c r="X1530" s="27" t="n">
        <f aca="false">IF(M1530&gt;0,D1530*(E1530+2*SLABOVH)*SLAB,0)</f>
        <v>4.41885897252736</v>
      </c>
      <c r="Y1530" s="27" t="n">
        <f aca="false">IF(M1530&gt;0,D1530*PI()*E1530^2/4,0)</f>
        <v>12.0956028870273</v>
      </c>
      <c r="Z1530" s="27" t="n">
        <f aca="false">IF(H1530-E1530&gt;=GWL,99,E1530*(MAX(0,GWL-H1530)*(GAM_S-GAM_W)+MAX(0,NG-MAX(H1530,GWL))*GAM_D)/(GAM_W*PI()*E1530^2/4))</f>
        <v>0.798100371417284</v>
      </c>
      <c r="AA1530" s="27" t="n">
        <f aca="false">IF(I1530-E1530&gt;=GWL,99,E1530*(MAX(0,GWL-I1530)*(GAM_S-GAM_W)+MAX(0,NG-MAX(I1530,GWL))*GAM_D)/(GAM_W*PI()*E1530^2/4))</f>
        <v>0.798260707023086</v>
      </c>
      <c r="AB1530" s="27" t="n">
        <f aca="false">IF(H1530-E1530&gt;=GWL,99,E1530*(MAX(0,GWL-H1530)*(GAM_S-GAM_W)+MAX(0,FL-MAX(H1530,GWL))*GAM_D)/(GAM_W*PI()*E1530^2/4))</f>
        <v>2.41717093787387</v>
      </c>
      <c r="AC1530" s="27" t="n">
        <f aca="false">IF(I1530-E1530&gt;=GWL,99,E1530*(MAX(0,GWL-I1530)*(GAM_S-GAM_W)+MAX(0,FL-MAX(I1530,GWL))*GAM_D)/(GAM_W*PI()*E1530^2/4))</f>
        <v>2.41733127347967</v>
      </c>
    </row>
    <row r="1531" customFormat="false" ht="15" hidden="false" customHeight="false" outlineLevel="0" collapsed="false">
      <c r="A1531" s="25" t="s">
        <v>2170</v>
      </c>
      <c r="B1531" s="25" t="s">
        <v>2171</v>
      </c>
      <c r="C1531" s="25" t="s">
        <v>2205</v>
      </c>
      <c r="D1531" s="26" t="n">
        <v>0.968829152116458</v>
      </c>
      <c r="E1531" s="26" t="n">
        <v>2.4530037833098</v>
      </c>
      <c r="F1531" s="26" t="n">
        <v>-4.5368718916549</v>
      </c>
      <c r="G1531" s="26" t="n">
        <v>-4.5370118916549</v>
      </c>
      <c r="H1531" s="26" t="n">
        <v>-1.5838681083451</v>
      </c>
      <c r="I1531" s="26" t="n">
        <v>-1.5840081083451</v>
      </c>
      <c r="J1531" s="26" t="n">
        <v>9.34</v>
      </c>
      <c r="K1531" s="27" t="n">
        <f aca="false">MIN(F1531,G1531)</f>
        <v>-4.5370118916549</v>
      </c>
      <c r="L1531" s="27" t="n">
        <f aca="false">AVERAGE(F1531,G1531)</f>
        <v>-4.5369418916549</v>
      </c>
      <c r="M1531" s="27" t="n">
        <f aca="false">MAX(0,NG-L1531)</f>
        <v>3.8369418916549</v>
      </c>
      <c r="N1531" s="27" t="n">
        <f aca="false">MAX(0,GWL-K1531)</f>
        <v>3.0370118916549</v>
      </c>
      <c r="O1531" s="27" t="n">
        <f aca="false">MAX(0,NG-MAX(K1531,GWL))</f>
        <v>0.8</v>
      </c>
      <c r="P1531" s="27" t="n">
        <f aca="false">E1531/2+WS+SLOPE_A*O1531+SLOPE_B*N1531</f>
        <v>9.50052567496471</v>
      </c>
      <c r="Q1531" s="28" t="str">
        <f aca="false">IF(AND(P1531&lt;J1531,N1531&lt;=MAXOC),"Open cut","Shoring")</f>
        <v>Shoring</v>
      </c>
      <c r="R1531" s="27" t="n">
        <f aca="false">IF(Q1531="Shoring",D1531,0)</f>
        <v>0.968829152116458</v>
      </c>
      <c r="S1531" s="27" t="n">
        <f aca="false">MAX(0,GWL-L1531)</f>
        <v>3.0369418916549</v>
      </c>
      <c r="T1531" s="27" t="n">
        <f aca="false">MAX(0,NG-MAX(L1531,GWL))</f>
        <v>0.8</v>
      </c>
      <c r="U1531" s="27" t="n">
        <f aca="false">E1531+2*WS</f>
        <v>4.4530037833098</v>
      </c>
      <c r="V1531" s="27" t="n">
        <f aca="false">IF(Q1531="Shoring",D1531*M1531*U1531,0)</f>
        <v>16.5533342476061</v>
      </c>
      <c r="W1531" s="27" t="n">
        <f aca="false">IF(Q1531="Open cut",D1531*(U1531*M1531+SLOPE_B*S1531^2+2*SLOPE_B*S1531*T1531+SLOPE_A*T1531^2),0)</f>
        <v>0</v>
      </c>
      <c r="X1531" s="27" t="n">
        <f aca="false">IF(M1531&gt;0,D1531*(E1531+2*SLABOVH)*SLAB,0)</f>
        <v>1.67268536381948</v>
      </c>
      <c r="Y1531" s="27" t="n">
        <f aca="false">IF(M1531&gt;0,D1531*PI()*E1531^2/4,0)</f>
        <v>4.57860855803243</v>
      </c>
      <c r="Z1531" s="27" t="n">
        <f aca="false">IF(H1531-E1531&gt;=GWL,99,E1531*(MAX(0,GWL-H1531)*(GAM_S-GAM_W)+MAX(0,NG-MAX(H1531,GWL))*GAM_D)/(GAM_W*PI()*E1531^2/4))</f>
        <v>0.798256242878147</v>
      </c>
      <c r="AA1531" s="27" t="n">
        <f aca="false">IF(I1531-E1531&gt;=GWL,99,E1531*(MAX(0,GWL-I1531)*(GAM_S-GAM_W)+MAX(0,NG-MAX(I1531,GWL))*GAM_D)/(GAM_W*PI()*E1531^2/4))</f>
        <v>0.798316910200998</v>
      </c>
      <c r="AB1531" s="27" t="n">
        <f aca="false">IF(H1531-E1531&gt;=GWL,99,E1531*(MAX(0,GWL-H1531)*(GAM_S-GAM_W)+MAX(0,FL-MAX(H1531,GWL))*GAM_D)/(GAM_W*PI()*E1531^2/4))</f>
        <v>2.41732137390524</v>
      </c>
      <c r="AC1531" s="27" t="n">
        <f aca="false">IF(I1531-E1531&gt;=GWL,99,E1531*(MAX(0,GWL-I1531)*(GAM_S-GAM_W)+MAX(0,FL-MAX(I1531,GWL))*GAM_D)/(GAM_W*PI()*E1531^2/4))</f>
        <v>2.41738204122809</v>
      </c>
    </row>
    <row r="1532" customFormat="false" ht="15" hidden="false" customHeight="false" outlineLevel="0" collapsed="false">
      <c r="A1532" s="25" t="s">
        <v>2170</v>
      </c>
      <c r="B1532" s="25" t="s">
        <v>2171</v>
      </c>
      <c r="C1532" s="25" t="s">
        <v>2206</v>
      </c>
      <c r="D1532" s="26" t="n">
        <v>0.96882410866928</v>
      </c>
      <c r="E1532" s="26" t="n">
        <v>2.45300336163988</v>
      </c>
      <c r="F1532" s="26" t="n">
        <v>-4.53701168081994</v>
      </c>
      <c r="G1532" s="26" t="n">
        <v>-4.53715168081994</v>
      </c>
      <c r="H1532" s="26" t="n">
        <v>-1.58400831918006</v>
      </c>
      <c r="I1532" s="26" t="n">
        <v>-1.58414831918006</v>
      </c>
      <c r="J1532" s="26" t="n">
        <v>8.8</v>
      </c>
      <c r="K1532" s="27" t="n">
        <f aca="false">MIN(F1532,G1532)</f>
        <v>-4.53715168081994</v>
      </c>
      <c r="L1532" s="27" t="n">
        <f aca="false">AVERAGE(F1532,G1532)</f>
        <v>-4.53708168081994</v>
      </c>
      <c r="M1532" s="27" t="n">
        <f aca="false">MAX(0,NG-L1532)</f>
        <v>3.83708168081994</v>
      </c>
      <c r="N1532" s="27" t="n">
        <f aca="false">MAX(0,GWL-K1532)</f>
        <v>3.03715168081994</v>
      </c>
      <c r="O1532" s="27" t="n">
        <f aca="false">MAX(0,NG-MAX(K1532,GWL))</f>
        <v>0.8</v>
      </c>
      <c r="P1532" s="27" t="n">
        <f aca="false">E1532/2+WS+SLOPE_A*O1532+SLOPE_B*N1532</f>
        <v>9.50080504245982</v>
      </c>
      <c r="Q1532" s="28" t="str">
        <f aca="false">IF(AND(P1532&lt;J1532,N1532&lt;=MAXOC),"Open cut","Shoring")</f>
        <v>Shoring</v>
      </c>
      <c r="R1532" s="27" t="n">
        <f aca="false">IF(Q1532="Shoring",D1532,0)</f>
        <v>0.96882410866928</v>
      </c>
      <c r="S1532" s="27" t="n">
        <f aca="false">MAX(0,GWL-L1532)</f>
        <v>3.03708168081994</v>
      </c>
      <c r="T1532" s="27" t="n">
        <f aca="false">MAX(0,NG-MAX(L1532,GWL))</f>
        <v>0.8</v>
      </c>
      <c r="U1532" s="27" t="n">
        <f aca="false">E1532+2*WS</f>
        <v>4.45300336163988</v>
      </c>
      <c r="V1532" s="27" t="n">
        <f aca="false">IF(Q1532="Shoring",D1532*M1532*U1532,0)</f>
        <v>16.553849583407</v>
      </c>
      <c r="W1532" s="27" t="n">
        <f aca="false">IF(Q1532="Open cut",D1532*(U1532*M1532+SLOPE_B*S1532^2+2*SLOPE_B*S1532*T1532+SLOPE_A*T1532^2),0)</f>
        <v>0</v>
      </c>
      <c r="X1532" s="27" t="n">
        <f aca="false">IF(M1532&gt;0,D1532*(E1532+2*SLABOVH)*SLAB,0)</f>
        <v>1.67267645203639</v>
      </c>
      <c r="Y1532" s="27" t="n">
        <f aca="false">IF(M1532&gt;0,D1532*PI()*E1532^2/4,0)</f>
        <v>4.57858314899522</v>
      </c>
      <c r="Z1532" s="27" t="n">
        <f aca="false">IF(H1532-E1532&gt;=GWL,99,E1532*(MAX(0,GWL-H1532)*(GAM_S-GAM_W)+MAX(0,NG-MAX(H1532,GWL))*GAM_D)/(GAM_W*PI()*E1532^2/4))</f>
        <v>0.798317138794056</v>
      </c>
      <c r="AA1532" s="27" t="n">
        <f aca="false">IF(I1532-E1532&gt;=GWL,99,E1532*(MAX(0,GWL-I1532)*(GAM_S-GAM_W)+MAX(0,NG-MAX(I1532,GWL))*GAM_D)/(GAM_W*PI()*E1532^2/4))</f>
        <v>0.798377806127335</v>
      </c>
      <c r="AB1532" s="27" t="n">
        <f aca="false">IF(H1532-E1532&gt;=GWL,99,E1532*(MAX(0,GWL-H1532)*(GAM_S-GAM_W)+MAX(0,FL-MAX(H1532,GWL))*GAM_D)/(GAM_W*PI()*E1532^2/4))</f>
        <v>2.41738254813756</v>
      </c>
      <c r="AC1532" s="27" t="n">
        <f aca="false">IF(I1532-E1532&gt;=GWL,99,E1532*(MAX(0,GWL-I1532)*(GAM_S-GAM_W)+MAX(0,FL-MAX(I1532,GWL))*GAM_D)/(GAM_W*PI()*E1532^2/4))</f>
        <v>2.41744321547084</v>
      </c>
    </row>
    <row r="1533" customFormat="false" ht="15" hidden="false" customHeight="false" outlineLevel="0" collapsed="false">
      <c r="A1533" s="25" t="s">
        <v>2170</v>
      </c>
      <c r="B1533" s="25" t="s">
        <v>2171</v>
      </c>
      <c r="C1533" s="25" t="s">
        <v>2207</v>
      </c>
      <c r="D1533" s="26" t="n">
        <v>2.56031929837737</v>
      </c>
      <c r="E1533" s="26" t="n">
        <v>2.4530028834293</v>
      </c>
      <c r="F1533" s="26" t="n">
        <v>-4.53715144171465</v>
      </c>
      <c r="G1533" s="26" t="n">
        <v>-4.53751144171465</v>
      </c>
      <c r="H1533" s="26" t="n">
        <v>-1.58414855828535</v>
      </c>
      <c r="I1533" s="26" t="n">
        <v>-1.58450855828535</v>
      </c>
      <c r="J1533" s="26" t="n">
        <v>8.35</v>
      </c>
      <c r="K1533" s="27" t="n">
        <f aca="false">MIN(F1533,G1533)</f>
        <v>-4.53751144171465</v>
      </c>
      <c r="L1533" s="27" t="n">
        <f aca="false">AVERAGE(F1533,G1533)</f>
        <v>-4.53733144171465</v>
      </c>
      <c r="M1533" s="27" t="n">
        <f aca="false">MAX(0,NG-L1533)</f>
        <v>3.83733144171465</v>
      </c>
      <c r="N1533" s="27" t="n">
        <f aca="false">MAX(0,GWL-K1533)</f>
        <v>3.03751144171465</v>
      </c>
      <c r="O1533" s="27" t="n">
        <f aca="false">MAX(0,NG-MAX(K1533,GWL))</f>
        <v>0.8</v>
      </c>
      <c r="P1533" s="27" t="n">
        <f aca="false">E1533/2+WS+SLOPE_A*O1533+SLOPE_B*N1533</f>
        <v>9.50152432514395</v>
      </c>
      <c r="Q1533" s="28" t="str">
        <f aca="false">IF(AND(P1533&lt;J1533,N1533&lt;=MAXOC),"Open cut","Shoring")</f>
        <v>Shoring</v>
      </c>
      <c r="R1533" s="27" t="n">
        <f aca="false">IF(Q1533="Shoring",D1533,0)</f>
        <v>2.56031929837737</v>
      </c>
      <c r="S1533" s="27" t="n">
        <f aca="false">MAX(0,GWL-L1533)</f>
        <v>3.03733144171465</v>
      </c>
      <c r="T1533" s="27" t="n">
        <f aca="false">MAX(0,NG-MAX(L1533,GWL))</f>
        <v>0.8</v>
      </c>
      <c r="U1533" s="27" t="n">
        <f aca="false">E1533+2*WS</f>
        <v>4.4530028834293</v>
      </c>
      <c r="V1533" s="27" t="n">
        <f aca="false">IF(Q1533="Shoring",D1533*M1533*U1533,0)</f>
        <v>43.7498348733223</v>
      </c>
      <c r="W1533" s="27" t="n">
        <f aca="false">IF(Q1533="Open cut",D1533*(U1533*M1533+SLOPE_B*S1533^2+2*SLOPE_B*S1533*T1533+SLOPE_A*T1533^2),0)</f>
        <v>0</v>
      </c>
      <c r="X1533" s="27" t="n">
        <f aca="false">IF(M1533&gt;0,D1533*(E1533+2*SLABOVH)*SLAB,0)</f>
        <v>4.42039495989837</v>
      </c>
      <c r="Y1533" s="27" t="n">
        <f aca="false">IF(M1533&gt;0,D1533*PI()*E1533^2/4,0)</f>
        <v>12.0998539570488</v>
      </c>
      <c r="Z1533" s="27" t="n">
        <f aca="false">IF(H1533-E1533&gt;=GWL,99,E1533*(MAX(0,GWL-H1533)*(GAM_S-GAM_W)+MAX(0,NG-MAX(H1533,GWL))*GAM_D)/(GAM_W*PI()*E1533^2/4))</f>
        <v>0.798378065383779</v>
      </c>
      <c r="AA1533" s="27" t="n">
        <f aca="false">IF(I1533-E1533&gt;=GWL,99,E1533*(MAX(0,GWL-I1533)*(GAM_S-GAM_W)+MAX(0,NG-MAX(I1533,GWL))*GAM_D)/(GAM_W*PI()*E1533^2/4))</f>
        <v>0.798534067128339</v>
      </c>
      <c r="AB1533" s="27" t="n">
        <f aca="false">IF(H1533-E1533&gt;=GWL,99,E1533*(MAX(0,GWL-H1533)*(GAM_S-GAM_W)+MAX(0,FL-MAX(H1533,GWL))*GAM_D)/(GAM_W*PI()*E1533^2/4))</f>
        <v>2.41744379036254</v>
      </c>
      <c r="AC1533" s="27" t="n">
        <f aca="false">IF(I1533-E1533&gt;=GWL,99,E1533*(MAX(0,GWL-I1533)*(GAM_S-GAM_W)+MAX(0,FL-MAX(I1533,GWL))*GAM_D)/(GAM_W*PI()*E1533^2/4))</f>
        <v>2.4175997921071</v>
      </c>
    </row>
    <row r="1534" customFormat="false" ht="15" hidden="false" customHeight="false" outlineLevel="0" collapsed="false">
      <c r="A1534" s="25" t="s">
        <v>2170</v>
      </c>
      <c r="B1534" s="25" t="s">
        <v>2171</v>
      </c>
      <c r="C1534" s="25" t="s">
        <v>2208</v>
      </c>
      <c r="D1534" s="26" t="n">
        <v>1.57898618235054</v>
      </c>
      <c r="E1534" s="26" t="n">
        <v>2.48358960758157</v>
      </c>
      <c r="F1534" s="26" t="n">
        <v>-4.55280480379079</v>
      </c>
      <c r="G1534" s="26" t="n">
        <v>-4.55303175268205</v>
      </c>
      <c r="H1534" s="26" t="n">
        <v>-1.56921519620921</v>
      </c>
      <c r="I1534" s="26" t="n">
        <v>-1.56944214510047</v>
      </c>
      <c r="J1534" s="26" t="n">
        <v>8.12</v>
      </c>
      <c r="K1534" s="27" t="n">
        <f aca="false">MIN(F1534,G1534)</f>
        <v>-4.55303175268205</v>
      </c>
      <c r="L1534" s="27" t="n">
        <f aca="false">AVERAGE(F1534,G1534)</f>
        <v>-4.55291827823642</v>
      </c>
      <c r="M1534" s="27" t="n">
        <f aca="false">MAX(0,NG-L1534)</f>
        <v>3.85291827823642</v>
      </c>
      <c r="N1534" s="27" t="n">
        <f aca="false">MAX(0,GWL-K1534)</f>
        <v>3.05303175268205</v>
      </c>
      <c r="O1534" s="27" t="n">
        <f aca="false">MAX(0,NG-MAX(K1534,GWL))</f>
        <v>0.8</v>
      </c>
      <c r="P1534" s="27" t="n">
        <f aca="false">E1534/2+WS+SLOPE_A*O1534+SLOPE_B*N1534</f>
        <v>9.54785830915488</v>
      </c>
      <c r="Q1534" s="28" t="str">
        <f aca="false">IF(AND(P1534&lt;J1534,N1534&lt;=MAXOC),"Open cut","Shoring")</f>
        <v>Shoring</v>
      </c>
      <c r="R1534" s="27" t="n">
        <f aca="false">IF(Q1534="Shoring",D1534,0)</f>
        <v>1.57898618235054</v>
      </c>
      <c r="S1534" s="27" t="n">
        <f aca="false">MAX(0,GWL-L1534)</f>
        <v>3.05291827823642</v>
      </c>
      <c r="T1534" s="27" t="n">
        <f aca="false">MAX(0,NG-MAX(L1534,GWL))</f>
        <v>0.8</v>
      </c>
      <c r="U1534" s="27" t="n">
        <f aca="false">E1534+2*WS</f>
        <v>4.48358960758157</v>
      </c>
      <c r="V1534" s="27" t="n">
        <f aca="false">IF(Q1534="Shoring",D1534*M1534*U1534,0)</f>
        <v>27.2768352719118</v>
      </c>
      <c r="W1534" s="27" t="n">
        <f aca="false">IF(Q1534="Open cut",D1534*(U1534*M1534+SLOPE_B*S1534^2+2*SLOPE_B*S1534*T1534+SLOPE_A*T1534^2),0)</f>
        <v>0</v>
      </c>
      <c r="X1534" s="27" t="n">
        <f aca="false">IF(M1534&gt;0,D1534*(E1534+2*SLABOVH)*SLAB,0)</f>
        <v>2.75026992767562</v>
      </c>
      <c r="Y1534" s="27" t="n">
        <f aca="false">IF(M1534&gt;0,D1534*PI()*E1534^2/4,0)</f>
        <v>7.64940893338632</v>
      </c>
      <c r="Z1534" s="27" t="n">
        <f aca="false">IF(H1534-E1534&gt;=GWL,99,E1534*(MAX(0,GWL-H1534)*(GAM_S-GAM_W)+MAX(0,NG-MAX(H1534,GWL))*GAM_D)/(GAM_W*PI()*E1534^2/4))</f>
        <v>0.782154116058195</v>
      </c>
      <c r="AA1534" s="27" t="n">
        <f aca="false">IF(I1534-E1534&gt;=GWL,99,E1534*(MAX(0,GWL-I1534)*(GAM_S-GAM_W)+MAX(0,NG-MAX(I1534,GWL))*GAM_D)/(GAM_W*PI()*E1534^2/4))</f>
        <v>0.782251250499038</v>
      </c>
      <c r="AB1534" s="27" t="n">
        <f aca="false">IF(H1534-E1534&gt;=GWL,99,E1534*(MAX(0,GWL-H1534)*(GAM_S-GAM_W)+MAX(0,FL-MAX(H1534,GWL))*GAM_D)/(GAM_W*PI()*E1534^2/4))</f>
        <v>2.38128018733445</v>
      </c>
      <c r="AC1534" s="27" t="n">
        <f aca="false">IF(I1534-E1534&gt;=GWL,99,E1534*(MAX(0,GWL-I1534)*(GAM_S-GAM_W)+MAX(0,FL-MAX(I1534,GWL))*GAM_D)/(GAM_W*PI()*E1534^2/4))</f>
        <v>2.38137732177529</v>
      </c>
    </row>
    <row r="1535" customFormat="false" ht="15" hidden="false" customHeight="false" outlineLevel="0" collapsed="false">
      <c r="A1535" s="25" t="s">
        <v>2170</v>
      </c>
      <c r="B1535" s="25" t="s">
        <v>2171</v>
      </c>
      <c r="C1535" s="25" t="s">
        <v>2209</v>
      </c>
      <c r="D1535" s="26" t="n">
        <v>9.9999999997208</v>
      </c>
      <c r="E1535" s="26" t="n">
        <v>2.48358960758157</v>
      </c>
      <c r="F1535" s="26" t="n">
        <v>-4.55303175268205</v>
      </c>
      <c r="G1535" s="26" t="n">
        <v>-4.55446906032824</v>
      </c>
      <c r="H1535" s="26" t="n">
        <v>-1.56944214510047</v>
      </c>
      <c r="I1535" s="26" t="n">
        <v>-1.57087945274666</v>
      </c>
      <c r="J1535" s="26" t="n">
        <v>8.06</v>
      </c>
      <c r="K1535" s="27" t="n">
        <f aca="false">MIN(F1535,G1535)</f>
        <v>-4.55446906032824</v>
      </c>
      <c r="L1535" s="27" t="n">
        <f aca="false">AVERAGE(F1535,G1535)</f>
        <v>-4.55375040650514</v>
      </c>
      <c r="M1535" s="27" t="n">
        <f aca="false">MAX(0,NG-L1535)</f>
        <v>3.85375040650514</v>
      </c>
      <c r="N1535" s="27" t="n">
        <f aca="false">MAX(0,GWL-K1535)</f>
        <v>3.05446906032824</v>
      </c>
      <c r="O1535" s="27" t="n">
        <f aca="false">MAX(0,NG-MAX(K1535,GWL))</f>
        <v>0.8</v>
      </c>
      <c r="P1535" s="27" t="n">
        <f aca="false">E1535/2+WS+SLOPE_A*O1535+SLOPE_B*N1535</f>
        <v>9.55073292444726</v>
      </c>
      <c r="Q1535" s="28" t="str">
        <f aca="false">IF(AND(P1535&lt;J1535,N1535&lt;=MAXOC),"Open cut","Shoring")</f>
        <v>Shoring</v>
      </c>
      <c r="R1535" s="27" t="n">
        <f aca="false">IF(Q1535="Shoring",D1535,0)</f>
        <v>9.9999999997208</v>
      </c>
      <c r="S1535" s="27" t="n">
        <f aca="false">MAX(0,GWL-L1535)</f>
        <v>3.05375040650514</v>
      </c>
      <c r="T1535" s="27" t="n">
        <f aca="false">MAX(0,NG-MAX(L1535,GWL))</f>
        <v>0.8</v>
      </c>
      <c r="U1535" s="27" t="n">
        <f aca="false">E1535+2*WS</f>
        <v>4.48358960758157</v>
      </c>
      <c r="V1535" s="27" t="n">
        <f aca="false">IF(Q1535="Shoring",D1535*M1535*U1535,0)</f>
        <v>172.786352723373</v>
      </c>
      <c r="W1535" s="27" t="n">
        <f aca="false">IF(Q1535="Open cut",D1535*(U1535*M1535+SLOPE_B*S1535^2+2*SLOPE_B*S1535*T1535+SLOPE_A*T1535^2),0)</f>
        <v>0</v>
      </c>
      <c r="X1535" s="27" t="n">
        <f aca="false">IF(M1535&gt;0,D1535*(E1535+2*SLABOVH)*SLAB,0)</f>
        <v>17.4179480374215</v>
      </c>
      <c r="Y1535" s="27" t="n">
        <f aca="false">IF(M1535&gt;0,D1535*PI()*E1535^2/4,0)</f>
        <v>48.4450656926303</v>
      </c>
      <c r="Z1535" s="27" t="n">
        <f aca="false">IF(H1535-E1535&gt;=GWL,99,E1535*(MAX(0,GWL-H1535)*(GAM_S-GAM_W)+MAX(0,NG-MAX(H1535,GWL))*GAM_D)/(GAM_W*PI()*E1535^2/4))</f>
        <v>0.782251250499038</v>
      </c>
      <c r="AA1535" s="27" t="n">
        <f aca="false">IF(I1535-E1535&gt;=GWL,99,E1535*(MAX(0,GWL-I1535)*(GAM_S-GAM_W)+MAX(0,NG-MAX(I1535,GWL))*GAM_D)/(GAM_W*PI()*E1535^2/4))</f>
        <v>0.782866420168983</v>
      </c>
      <c r="AB1535" s="27" t="n">
        <f aca="false">IF(H1535-E1535&gt;=GWL,99,E1535*(MAX(0,GWL-H1535)*(GAM_S-GAM_W)+MAX(0,FL-MAX(H1535,GWL))*GAM_D)/(GAM_W*PI()*E1535^2/4))</f>
        <v>2.38137732177529</v>
      </c>
      <c r="AC1535" s="27" t="n">
        <f aca="false">IF(I1535-E1535&gt;=GWL,99,E1535*(MAX(0,GWL-I1535)*(GAM_S-GAM_W)+MAX(0,FL-MAX(I1535,GWL))*GAM_D)/(GAM_W*PI()*E1535^2/4))</f>
        <v>2.38199249144524</v>
      </c>
    </row>
    <row r="1536" customFormat="false" ht="15" hidden="false" customHeight="false" outlineLevel="0" collapsed="false">
      <c r="A1536" s="25" t="s">
        <v>2170</v>
      </c>
      <c r="B1536" s="25" t="s">
        <v>2171</v>
      </c>
      <c r="C1536" s="25" t="s">
        <v>2210</v>
      </c>
      <c r="D1536" s="26" t="n">
        <v>10.0000000002891</v>
      </c>
      <c r="E1536" s="26" t="n">
        <v>2.48358960758157</v>
      </c>
      <c r="F1536" s="26" t="n">
        <v>-4.55446906032824</v>
      </c>
      <c r="G1536" s="26" t="n">
        <v>-4.55590636797442</v>
      </c>
      <c r="H1536" s="26" t="n">
        <v>-1.57087945274666</v>
      </c>
      <c r="I1536" s="26" t="n">
        <v>-1.57231676039285</v>
      </c>
      <c r="J1536" s="26" t="n">
        <v>10.89</v>
      </c>
      <c r="K1536" s="27" t="n">
        <f aca="false">MIN(F1536,G1536)</f>
        <v>-4.55590636797442</v>
      </c>
      <c r="L1536" s="27" t="n">
        <f aca="false">AVERAGE(F1536,G1536)</f>
        <v>-4.55518771415133</v>
      </c>
      <c r="M1536" s="27" t="n">
        <f aca="false">MAX(0,NG-L1536)</f>
        <v>3.85518771415133</v>
      </c>
      <c r="N1536" s="27" t="n">
        <f aca="false">MAX(0,GWL-K1536)</f>
        <v>3.05590636797442</v>
      </c>
      <c r="O1536" s="27" t="n">
        <f aca="false">MAX(0,NG-MAX(K1536,GWL))</f>
        <v>0.8</v>
      </c>
      <c r="P1536" s="27" t="n">
        <f aca="false">E1536/2+WS+SLOPE_A*O1536+SLOPE_B*N1536</f>
        <v>9.55360753973963</v>
      </c>
      <c r="Q1536" s="28" t="str">
        <f aca="false">IF(AND(P1536&lt;J1536,N1536&lt;=MAXOC),"Open cut","Shoring")</f>
        <v>Shoring</v>
      </c>
      <c r="R1536" s="27" t="n">
        <f aca="false">IF(Q1536="Shoring",D1536,0)</f>
        <v>10.0000000002891</v>
      </c>
      <c r="S1536" s="27" t="n">
        <f aca="false">MAX(0,GWL-L1536)</f>
        <v>3.05518771415133</v>
      </c>
      <c r="T1536" s="27" t="n">
        <f aca="false">MAX(0,NG-MAX(L1536,GWL))</f>
        <v>0.8</v>
      </c>
      <c r="U1536" s="27" t="n">
        <f aca="false">E1536+2*WS</f>
        <v>4.48358960758157</v>
      </c>
      <c r="V1536" s="27" t="n">
        <f aca="false">IF(Q1536="Shoring",D1536*M1536*U1536,0)</f>
        <v>172.850795709448</v>
      </c>
      <c r="W1536" s="27" t="n">
        <f aca="false">IF(Q1536="Open cut",D1536*(U1536*M1536+SLOPE_B*S1536^2+2*SLOPE_B*S1536*T1536+SLOPE_A*T1536^2),0)</f>
        <v>0</v>
      </c>
      <c r="X1536" s="27" t="n">
        <f aca="false">IF(M1536&gt;0,D1536*(E1536+2*SLABOVH)*SLAB,0)</f>
        <v>17.4179480384114</v>
      </c>
      <c r="Y1536" s="27" t="n">
        <f aca="false">IF(M1536&gt;0,D1536*PI()*E1536^2/4,0)</f>
        <v>48.4450656953835</v>
      </c>
      <c r="Z1536" s="27" t="n">
        <f aca="false">IF(H1536-E1536&gt;=GWL,99,E1536*(MAX(0,GWL-H1536)*(GAM_S-GAM_W)+MAX(0,NG-MAX(H1536,GWL))*GAM_D)/(GAM_W*PI()*E1536^2/4))</f>
        <v>0.782866420168983</v>
      </c>
      <c r="AA1536" s="27" t="n">
        <f aca="false">IF(I1536-E1536&gt;=GWL,99,E1536*(MAX(0,GWL-I1536)*(GAM_S-GAM_W)+MAX(0,NG-MAX(I1536,GWL))*GAM_D)/(GAM_W*PI()*E1536^2/4))</f>
        <v>0.783481589838928</v>
      </c>
      <c r="AB1536" s="27" t="n">
        <f aca="false">IF(H1536-E1536&gt;=GWL,99,E1536*(MAX(0,GWL-H1536)*(GAM_S-GAM_W)+MAX(0,FL-MAX(H1536,GWL))*GAM_D)/(GAM_W*PI()*E1536^2/4))</f>
        <v>2.38199249144524</v>
      </c>
      <c r="AC1536" s="27" t="n">
        <f aca="false">IF(I1536-E1536&gt;=GWL,99,E1536*(MAX(0,GWL-I1536)*(GAM_S-GAM_W)+MAX(0,FL-MAX(I1536,GWL))*GAM_D)/(GAM_W*PI()*E1536^2/4))</f>
        <v>2.38260766111518</v>
      </c>
    </row>
    <row r="1537" customFormat="false" ht="15" hidden="false" customHeight="false" outlineLevel="0" collapsed="false">
      <c r="A1537" s="25" t="s">
        <v>2170</v>
      </c>
      <c r="B1537" s="25" t="s">
        <v>2171</v>
      </c>
      <c r="C1537" s="25" t="s">
        <v>2211</v>
      </c>
      <c r="D1537" s="26" t="n">
        <v>10.0000000001885</v>
      </c>
      <c r="E1537" s="26" t="n">
        <v>2.48358960758157</v>
      </c>
      <c r="F1537" s="26" t="n">
        <v>-4.55590636797442</v>
      </c>
      <c r="G1537" s="26" t="n">
        <v>-4.55734367562062</v>
      </c>
      <c r="H1537" s="26" t="n">
        <v>-1.57231676039285</v>
      </c>
      <c r="I1537" s="26" t="n">
        <v>-1.57375406803904</v>
      </c>
      <c r="J1537" s="26" t="n">
        <v>14.93</v>
      </c>
      <c r="K1537" s="27" t="n">
        <f aca="false">MIN(F1537,G1537)</f>
        <v>-4.55734367562062</v>
      </c>
      <c r="L1537" s="27" t="n">
        <f aca="false">AVERAGE(F1537,G1537)</f>
        <v>-4.55662502179752</v>
      </c>
      <c r="M1537" s="27" t="n">
        <f aca="false">MAX(0,NG-L1537)</f>
        <v>3.85662502179752</v>
      </c>
      <c r="N1537" s="27" t="n">
        <f aca="false">MAX(0,GWL-K1537)</f>
        <v>3.05734367562062</v>
      </c>
      <c r="O1537" s="27" t="n">
        <f aca="false">MAX(0,NG-MAX(K1537,GWL))</f>
        <v>0.8</v>
      </c>
      <c r="P1537" s="27" t="n">
        <f aca="false">E1537/2+WS+SLOPE_A*O1537+SLOPE_B*N1537</f>
        <v>9.55648215503202</v>
      </c>
      <c r="Q1537" s="28" t="str">
        <f aca="false">IF(AND(P1537&lt;J1537,N1537&lt;=MAXOC),"Open cut","Shoring")</f>
        <v>Shoring</v>
      </c>
      <c r="R1537" s="27" t="n">
        <f aca="false">IF(Q1537="Shoring",D1537,0)</f>
        <v>10.0000000001885</v>
      </c>
      <c r="S1537" s="27" t="n">
        <f aca="false">MAX(0,GWL-L1537)</f>
        <v>3.05662502179752</v>
      </c>
      <c r="T1537" s="27" t="n">
        <f aca="false">MAX(0,NG-MAX(L1537,GWL))</f>
        <v>0.8</v>
      </c>
      <c r="U1537" s="27" t="n">
        <f aca="false">E1537+2*WS</f>
        <v>4.48358960758157</v>
      </c>
      <c r="V1537" s="27" t="n">
        <f aca="false">IF(Q1537="Shoring",D1537*M1537*U1537,0)</f>
        <v>172.915238683963</v>
      </c>
      <c r="W1537" s="27" t="n">
        <f aca="false">IF(Q1537="Open cut",D1537*(U1537*M1537+SLOPE_B*S1537^2+2*SLOPE_B*S1537*T1537+SLOPE_A*T1537^2),0)</f>
        <v>0</v>
      </c>
      <c r="X1537" s="27" t="n">
        <f aca="false">IF(M1537&gt;0,D1537*(E1537+2*SLABOVH)*SLAB,0)</f>
        <v>17.4179480382361</v>
      </c>
      <c r="Y1537" s="27" t="n">
        <f aca="false">IF(M1537&gt;0,D1537*PI()*E1537^2/4,0)</f>
        <v>48.4450656948958</v>
      </c>
      <c r="Z1537" s="27" t="n">
        <f aca="false">IF(H1537-E1537&gt;=GWL,99,E1537*(MAX(0,GWL-H1537)*(GAM_S-GAM_W)+MAX(0,NG-MAX(H1537,GWL))*GAM_D)/(GAM_W*PI()*E1537^2/4))</f>
        <v>0.783481589838928</v>
      </c>
      <c r="AA1537" s="27" t="n">
        <f aca="false">IF(I1537-E1537&gt;=GWL,99,E1537*(MAX(0,GWL-I1537)*(GAM_S-GAM_W)+MAX(0,NG-MAX(I1537,GWL))*GAM_D)/(GAM_W*PI()*E1537^2/4))</f>
        <v>0.784096759508874</v>
      </c>
      <c r="AB1537" s="27" t="n">
        <f aca="false">IF(H1537-E1537&gt;=GWL,99,E1537*(MAX(0,GWL-H1537)*(GAM_S-GAM_W)+MAX(0,FL-MAX(H1537,GWL))*GAM_D)/(GAM_W*PI()*E1537^2/4))</f>
        <v>2.38260766111518</v>
      </c>
      <c r="AC1537" s="27" t="n">
        <f aca="false">IF(I1537-E1537&gt;=GWL,99,E1537*(MAX(0,GWL-I1537)*(GAM_S-GAM_W)+MAX(0,FL-MAX(I1537,GWL))*GAM_D)/(GAM_W*PI()*E1537^2/4))</f>
        <v>2.38322283078513</v>
      </c>
    </row>
    <row r="1538" customFormat="false" ht="15" hidden="false" customHeight="false" outlineLevel="0" collapsed="false">
      <c r="A1538" s="25" t="s">
        <v>2170</v>
      </c>
      <c r="B1538" s="25" t="s">
        <v>2171</v>
      </c>
      <c r="C1538" s="25" t="s">
        <v>2212</v>
      </c>
      <c r="D1538" s="26" t="n">
        <v>9.99999999982147</v>
      </c>
      <c r="E1538" s="26" t="n">
        <v>2.48358960758157</v>
      </c>
      <c r="F1538" s="26" t="n">
        <v>-4.55734367562062</v>
      </c>
      <c r="G1538" s="26" t="n">
        <v>-4.5587809832668</v>
      </c>
      <c r="H1538" s="26" t="n">
        <v>-1.57375406803904</v>
      </c>
      <c r="I1538" s="26" t="n">
        <v>-1.57519137568523</v>
      </c>
      <c r="J1538" s="26" t="n">
        <v>5.25</v>
      </c>
      <c r="K1538" s="27" t="n">
        <f aca="false">MIN(F1538,G1538)</f>
        <v>-4.5587809832668</v>
      </c>
      <c r="L1538" s="27" t="n">
        <f aca="false">AVERAGE(F1538,G1538)</f>
        <v>-4.55806232944371</v>
      </c>
      <c r="M1538" s="27" t="n">
        <f aca="false">MAX(0,NG-L1538)</f>
        <v>3.85806232944371</v>
      </c>
      <c r="N1538" s="27" t="n">
        <f aca="false">MAX(0,GWL-K1538)</f>
        <v>3.0587809832668</v>
      </c>
      <c r="O1538" s="27" t="n">
        <f aca="false">MAX(0,NG-MAX(K1538,GWL))</f>
        <v>0.8</v>
      </c>
      <c r="P1538" s="27" t="n">
        <f aca="false">E1538/2+WS+SLOPE_A*O1538+SLOPE_B*N1538</f>
        <v>9.55935677032439</v>
      </c>
      <c r="Q1538" s="28" t="str">
        <f aca="false">IF(AND(P1538&lt;J1538,N1538&lt;=MAXOC),"Open cut","Shoring")</f>
        <v>Shoring</v>
      </c>
      <c r="R1538" s="27" t="n">
        <f aca="false">IF(Q1538="Shoring",D1538,0)</f>
        <v>9.99999999982147</v>
      </c>
      <c r="S1538" s="27" t="n">
        <f aca="false">MAX(0,GWL-L1538)</f>
        <v>3.05806232944371</v>
      </c>
      <c r="T1538" s="27" t="n">
        <f aca="false">MAX(0,NG-MAX(L1538,GWL))</f>
        <v>0.8</v>
      </c>
      <c r="U1538" s="27" t="n">
        <f aca="false">E1538+2*WS</f>
        <v>4.48358960758157</v>
      </c>
      <c r="V1538" s="27" t="n">
        <f aca="false">IF(Q1538="Shoring",D1538*M1538*U1538,0)</f>
        <v>172.979681653869</v>
      </c>
      <c r="W1538" s="27" t="n">
        <f aca="false">IF(Q1538="Open cut",D1538*(U1538*M1538+SLOPE_B*S1538^2+2*SLOPE_B*S1538*T1538+SLOPE_A*T1538^2),0)</f>
        <v>0</v>
      </c>
      <c r="X1538" s="27" t="n">
        <f aca="false">IF(M1538&gt;0,D1538*(E1538+2*SLABOVH)*SLAB,0)</f>
        <v>17.4179480375969</v>
      </c>
      <c r="Y1538" s="27" t="n">
        <f aca="false">IF(M1538&gt;0,D1538*PI()*E1538^2/4,0)</f>
        <v>48.445065693118</v>
      </c>
      <c r="Z1538" s="27" t="n">
        <f aca="false">IF(H1538-E1538&gt;=GWL,99,E1538*(MAX(0,GWL-H1538)*(GAM_S-GAM_W)+MAX(0,NG-MAX(H1538,GWL))*GAM_D)/(GAM_W*PI()*E1538^2/4))</f>
        <v>0.784096759508874</v>
      </c>
      <c r="AA1538" s="27" t="n">
        <f aca="false">IF(I1538-E1538&gt;=GWL,99,E1538*(MAX(0,GWL-I1538)*(GAM_S-GAM_W)+MAX(0,NG-MAX(I1538,GWL))*GAM_D)/(GAM_W*PI()*E1538^2/4))</f>
        <v>0.784711929178819</v>
      </c>
      <c r="AB1538" s="27" t="n">
        <f aca="false">IF(H1538-E1538&gt;=GWL,99,E1538*(MAX(0,GWL-H1538)*(GAM_S-GAM_W)+MAX(0,FL-MAX(H1538,GWL))*GAM_D)/(GAM_W*PI()*E1538^2/4))</f>
        <v>2.38322283078513</v>
      </c>
      <c r="AC1538" s="27" t="n">
        <f aca="false">IF(I1538-E1538&gt;=GWL,99,E1538*(MAX(0,GWL-I1538)*(GAM_S-GAM_W)+MAX(0,FL-MAX(I1538,GWL))*GAM_D)/(GAM_W*PI()*E1538^2/4))</f>
        <v>2.38383800045507</v>
      </c>
    </row>
    <row r="1539" customFormat="false" ht="15" hidden="false" customHeight="false" outlineLevel="0" collapsed="false">
      <c r="A1539" s="25" t="s">
        <v>2170</v>
      </c>
      <c r="B1539" s="25" t="s">
        <v>2171</v>
      </c>
      <c r="C1539" s="25" t="s">
        <v>2213</v>
      </c>
      <c r="D1539" s="26" t="n">
        <v>10.0000000001885</v>
      </c>
      <c r="E1539" s="26" t="n">
        <v>2.48358960758157</v>
      </c>
      <c r="F1539" s="26" t="n">
        <v>-4.5587809832668</v>
      </c>
      <c r="G1539" s="26" t="n">
        <v>-4.56021829091299</v>
      </c>
      <c r="H1539" s="26" t="n">
        <v>-1.57519137568523</v>
      </c>
      <c r="I1539" s="26" t="n">
        <v>-1.57662868333142</v>
      </c>
      <c r="J1539" s="26" t="n">
        <v>0.42</v>
      </c>
      <c r="K1539" s="27" t="n">
        <f aca="false">MIN(F1539,G1539)</f>
        <v>-4.56021829091299</v>
      </c>
      <c r="L1539" s="27" t="n">
        <f aca="false">AVERAGE(F1539,G1539)</f>
        <v>-4.5594996370899</v>
      </c>
      <c r="M1539" s="27" t="n">
        <f aca="false">MAX(0,NG-L1539)</f>
        <v>3.8594996370899</v>
      </c>
      <c r="N1539" s="27" t="n">
        <f aca="false">MAX(0,GWL-K1539)</f>
        <v>3.06021829091299</v>
      </c>
      <c r="O1539" s="27" t="n">
        <f aca="false">MAX(0,NG-MAX(K1539,GWL))</f>
        <v>0.8</v>
      </c>
      <c r="P1539" s="27" t="n">
        <f aca="false">E1539/2+WS+SLOPE_A*O1539+SLOPE_B*N1539</f>
        <v>9.56223138561677</v>
      </c>
      <c r="Q1539" s="28" t="str">
        <f aca="false">IF(AND(P1539&lt;J1539,N1539&lt;=MAXOC),"Open cut","Shoring")</f>
        <v>Shoring</v>
      </c>
      <c r="R1539" s="27" t="n">
        <f aca="false">IF(Q1539="Shoring",D1539,0)</f>
        <v>10.0000000001885</v>
      </c>
      <c r="S1539" s="27" t="n">
        <f aca="false">MAX(0,GWL-L1539)</f>
        <v>3.0594996370899</v>
      </c>
      <c r="T1539" s="27" t="n">
        <f aca="false">MAX(0,NG-MAX(L1539,GWL))</f>
        <v>0.8</v>
      </c>
      <c r="U1539" s="27" t="n">
        <f aca="false">E1539+2*WS</f>
        <v>4.48358960758157</v>
      </c>
      <c r="V1539" s="27" t="n">
        <f aca="false">IF(Q1539="Shoring",D1539*M1539*U1539,0)</f>
        <v>173.044124636472</v>
      </c>
      <c r="W1539" s="27" t="n">
        <f aca="false">IF(Q1539="Open cut",D1539*(U1539*M1539+SLOPE_B*S1539^2+2*SLOPE_B*S1539*T1539+SLOPE_A*T1539^2),0)</f>
        <v>0</v>
      </c>
      <c r="X1539" s="27" t="n">
        <f aca="false">IF(M1539&gt;0,D1539*(E1539+2*SLABOVH)*SLAB,0)</f>
        <v>17.4179480382361</v>
      </c>
      <c r="Y1539" s="27" t="n">
        <f aca="false">IF(M1539&gt;0,D1539*PI()*E1539^2/4,0)</f>
        <v>48.4450656948958</v>
      </c>
      <c r="Z1539" s="27" t="n">
        <f aca="false">IF(H1539-E1539&gt;=GWL,99,E1539*(MAX(0,GWL-H1539)*(GAM_S-GAM_W)+MAX(0,NG-MAX(H1539,GWL))*GAM_D)/(GAM_W*PI()*E1539^2/4))</f>
        <v>0.784711929178819</v>
      </c>
      <c r="AA1539" s="27" t="n">
        <f aca="false">IF(I1539-E1539&gt;=GWL,99,E1539*(MAX(0,GWL-I1539)*(GAM_S-GAM_W)+MAX(0,NG-MAX(I1539,GWL))*GAM_D)/(GAM_W*PI()*E1539^2/4))</f>
        <v>0.785327098848765</v>
      </c>
      <c r="AB1539" s="27" t="n">
        <f aca="false">IF(H1539-E1539&gt;=GWL,99,E1539*(MAX(0,GWL-H1539)*(GAM_S-GAM_W)+MAX(0,FL-MAX(H1539,GWL))*GAM_D)/(GAM_W*PI()*E1539^2/4))</f>
        <v>2.38383800045507</v>
      </c>
      <c r="AC1539" s="27" t="n">
        <f aca="false">IF(I1539-E1539&gt;=GWL,99,E1539*(MAX(0,GWL-I1539)*(GAM_S-GAM_W)+MAX(0,FL-MAX(I1539,GWL))*GAM_D)/(GAM_W*PI()*E1539^2/4))</f>
        <v>2.38445317012502</v>
      </c>
    </row>
    <row r="1540" customFormat="false" ht="15" hidden="false" customHeight="false" outlineLevel="0" collapsed="false">
      <c r="A1540" s="25" t="s">
        <v>2170</v>
      </c>
      <c r="B1540" s="25" t="s">
        <v>2171</v>
      </c>
      <c r="C1540" s="25" t="s">
        <v>2214</v>
      </c>
      <c r="D1540" s="26" t="n">
        <v>9.99999999948697</v>
      </c>
      <c r="E1540" s="26" t="n">
        <v>2.48358960758157</v>
      </c>
      <c r="F1540" s="26" t="n">
        <v>-4.56021829091299</v>
      </c>
      <c r="G1540" s="26" t="n">
        <v>-4.56165559855918</v>
      </c>
      <c r="H1540" s="26" t="n">
        <v>-1.57662868333142</v>
      </c>
      <c r="I1540" s="26" t="n">
        <v>-1.57806599097761</v>
      </c>
      <c r="J1540" s="26" t="n">
        <v>0.91</v>
      </c>
      <c r="K1540" s="27" t="n">
        <f aca="false">MIN(F1540,G1540)</f>
        <v>-4.56165559855918</v>
      </c>
      <c r="L1540" s="27" t="n">
        <f aca="false">AVERAGE(F1540,G1540)</f>
        <v>-4.56093694473609</v>
      </c>
      <c r="M1540" s="27" t="n">
        <f aca="false">MAX(0,NG-L1540)</f>
        <v>3.86093694473609</v>
      </c>
      <c r="N1540" s="27" t="n">
        <f aca="false">MAX(0,GWL-K1540)</f>
        <v>3.06165559855918</v>
      </c>
      <c r="O1540" s="27" t="n">
        <f aca="false">MAX(0,NG-MAX(K1540,GWL))</f>
        <v>0.8</v>
      </c>
      <c r="P1540" s="27" t="n">
        <f aca="false">E1540/2+WS+SLOPE_A*O1540+SLOPE_B*N1540</f>
        <v>9.56510600090915</v>
      </c>
      <c r="Q1540" s="28" t="str">
        <f aca="false">IF(AND(P1540&lt;J1540,N1540&lt;=MAXOC),"Open cut","Shoring")</f>
        <v>Shoring</v>
      </c>
      <c r="R1540" s="27" t="n">
        <f aca="false">IF(Q1540="Shoring",D1540,0)</f>
        <v>9.99999999948697</v>
      </c>
      <c r="S1540" s="27" t="n">
        <f aca="false">MAX(0,GWL-L1540)</f>
        <v>3.06093694473609</v>
      </c>
      <c r="T1540" s="27" t="n">
        <f aca="false">MAX(0,NG-MAX(L1540,GWL))</f>
        <v>0.8</v>
      </c>
      <c r="U1540" s="27" t="n">
        <f aca="false">E1540+2*WS</f>
        <v>4.48358960758157</v>
      </c>
      <c r="V1540" s="27" t="n">
        <f aca="false">IF(Q1540="Shoring",D1540*M1540*U1540,0)</f>
        <v>173.108567600584</v>
      </c>
      <c r="W1540" s="27" t="n">
        <f aca="false">IF(Q1540="Open cut",D1540*(U1540*M1540+SLOPE_B*S1540^2+2*SLOPE_B*S1540*T1540+SLOPE_A*T1540^2),0)</f>
        <v>0</v>
      </c>
      <c r="X1540" s="27" t="n">
        <f aca="false">IF(M1540&gt;0,D1540*(E1540+2*SLABOVH)*SLAB,0)</f>
        <v>17.4179480370143</v>
      </c>
      <c r="Y1540" s="27" t="n">
        <f aca="false">IF(M1540&gt;0,D1540*PI()*E1540^2/4,0)</f>
        <v>48.4450656914975</v>
      </c>
      <c r="Z1540" s="27" t="n">
        <f aca="false">IF(H1540-E1540&gt;=GWL,99,E1540*(MAX(0,GWL-H1540)*(GAM_S-GAM_W)+MAX(0,NG-MAX(H1540,GWL))*GAM_D)/(GAM_W*PI()*E1540^2/4))</f>
        <v>0.785327098848765</v>
      </c>
      <c r="AA1540" s="27" t="n">
        <f aca="false">IF(I1540-E1540&gt;=GWL,99,E1540*(MAX(0,GWL-I1540)*(GAM_S-GAM_W)+MAX(0,NG-MAX(I1540,GWL))*GAM_D)/(GAM_W*PI()*E1540^2/4))</f>
        <v>0.78594226851871</v>
      </c>
      <c r="AB1540" s="27" t="n">
        <f aca="false">IF(H1540-E1540&gt;=GWL,99,E1540*(MAX(0,GWL-H1540)*(GAM_S-GAM_W)+MAX(0,FL-MAX(H1540,GWL))*GAM_D)/(GAM_W*PI()*E1540^2/4))</f>
        <v>2.38445317012502</v>
      </c>
      <c r="AC1540" s="27" t="n">
        <f aca="false">IF(I1540-E1540&gt;=GWL,99,E1540*(MAX(0,GWL-I1540)*(GAM_S-GAM_W)+MAX(0,FL-MAX(I1540,GWL))*GAM_D)/(GAM_W*PI()*E1540^2/4))</f>
        <v>2.38506833979496</v>
      </c>
    </row>
    <row r="1541" customFormat="false" ht="15" hidden="false" customHeight="false" outlineLevel="0" collapsed="false">
      <c r="A1541" s="25" t="s">
        <v>2170</v>
      </c>
      <c r="B1541" s="25" t="s">
        <v>2171</v>
      </c>
      <c r="C1541" s="25" t="s">
        <v>2215</v>
      </c>
      <c r="D1541" s="26" t="n">
        <v>0.968513818160898</v>
      </c>
      <c r="E1541" s="26" t="n">
        <v>2.48358960758157</v>
      </c>
      <c r="F1541" s="26" t="n">
        <v>-4.56165559855918</v>
      </c>
      <c r="G1541" s="26" t="n">
        <v>-4.56179480379079</v>
      </c>
      <c r="H1541" s="26" t="n">
        <v>-1.57806599097761</v>
      </c>
      <c r="I1541" s="26" t="n">
        <v>-1.57820519620921</v>
      </c>
      <c r="J1541" s="26" t="n">
        <v>1.93</v>
      </c>
      <c r="K1541" s="27" t="n">
        <f aca="false">MIN(F1541,G1541)</f>
        <v>-4.56179480379079</v>
      </c>
      <c r="L1541" s="27" t="n">
        <f aca="false">AVERAGE(F1541,G1541)</f>
        <v>-4.56172520117499</v>
      </c>
      <c r="M1541" s="27" t="n">
        <f aca="false">MAX(0,NG-L1541)</f>
        <v>3.86172520117499</v>
      </c>
      <c r="N1541" s="27" t="n">
        <f aca="false">MAX(0,GWL-K1541)</f>
        <v>3.06179480379079</v>
      </c>
      <c r="O1541" s="27" t="n">
        <f aca="false">MAX(0,NG-MAX(K1541,GWL))</f>
        <v>0.8</v>
      </c>
      <c r="P1541" s="27" t="n">
        <f aca="false">E1541/2+WS+SLOPE_A*O1541+SLOPE_B*N1541</f>
        <v>9.56538441137236</v>
      </c>
      <c r="Q1541" s="28" t="str">
        <f aca="false">IF(AND(P1541&lt;J1541,N1541&lt;=MAXOC),"Open cut","Shoring")</f>
        <v>Shoring</v>
      </c>
      <c r="R1541" s="27" t="n">
        <f aca="false">IF(Q1541="Shoring",D1541,0)</f>
        <v>0.968513818160898</v>
      </c>
      <c r="S1541" s="27" t="n">
        <f aca="false">MAX(0,GWL-L1541)</f>
        <v>3.06172520117499</v>
      </c>
      <c r="T1541" s="27" t="n">
        <f aca="false">MAX(0,NG-MAX(L1541,GWL))</f>
        <v>0.8</v>
      </c>
      <c r="U1541" s="27" t="n">
        <f aca="false">E1541+2*WS</f>
        <v>4.48358960758157</v>
      </c>
      <c r="V1541" s="27" t="n">
        <f aca="false">IF(Q1541="Shoring",D1541*M1541*U1541,0)</f>
        <v>16.7692269165157</v>
      </c>
      <c r="W1541" s="27" t="n">
        <f aca="false">IF(Q1541="Open cut",D1541*(U1541*M1541+SLOPE_B*S1541^2+2*SLOPE_B*S1541*T1541+SLOPE_A*T1541^2),0)</f>
        <v>0</v>
      </c>
      <c r="X1541" s="27" t="n">
        <f aca="false">IF(M1541&gt;0,D1541*(E1541+2*SLABOVH)*SLAB,0)</f>
        <v>1.68695233587223</v>
      </c>
      <c r="Y1541" s="27" t="n">
        <f aca="false">IF(M1541&gt;0,D1541*PI()*E1541^2/4,0)</f>
        <v>4.69197155463349</v>
      </c>
      <c r="Z1541" s="27" t="n">
        <f aca="false">IF(H1541-E1541&gt;=GWL,99,E1541*(MAX(0,GWL-H1541)*(GAM_S-GAM_W)+MAX(0,NG-MAX(H1541,GWL))*GAM_D)/(GAM_W*PI()*E1541^2/4))</f>
        <v>0.78594226851871</v>
      </c>
      <c r="AA1541" s="27" t="n">
        <f aca="false">IF(I1541-E1541&gt;=GWL,99,E1541*(MAX(0,GWL-I1541)*(GAM_S-GAM_W)+MAX(0,NG-MAX(I1541,GWL))*GAM_D)/(GAM_W*PI()*E1541^2/4))</f>
        <v>0.786001848551285</v>
      </c>
      <c r="AB1541" s="27" t="n">
        <f aca="false">IF(H1541-E1541&gt;=GWL,99,E1541*(MAX(0,GWL-H1541)*(GAM_S-GAM_W)+MAX(0,FL-MAX(H1541,GWL))*GAM_D)/(GAM_W*PI()*E1541^2/4))</f>
        <v>2.38506833979496</v>
      </c>
      <c r="AC1541" s="27" t="n">
        <f aca="false">IF(I1541-E1541&gt;=GWL,99,E1541*(MAX(0,GWL-I1541)*(GAM_S-GAM_W)+MAX(0,FL-MAX(I1541,GWL))*GAM_D)/(GAM_W*PI()*E1541^2/4))</f>
        <v>2.38512791982754</v>
      </c>
    </row>
    <row r="1542" customFormat="false" ht="15" hidden="false" customHeight="false" outlineLevel="0" collapsed="false">
      <c r="A1542" s="25" t="s">
        <v>2170</v>
      </c>
      <c r="B1542" s="25" t="s">
        <v>2171</v>
      </c>
      <c r="C1542" s="25" t="s">
        <v>2216</v>
      </c>
      <c r="D1542" s="26" t="n">
        <v>1.54459149575491</v>
      </c>
      <c r="E1542" s="26" t="n">
        <v>2.45300122516097</v>
      </c>
      <c r="F1542" s="26" t="n">
        <v>-4.54650061258049</v>
      </c>
      <c r="G1542" s="26" t="n">
        <v>-4.54782061258049</v>
      </c>
      <c r="H1542" s="26" t="n">
        <v>-1.59349938741951</v>
      </c>
      <c r="I1542" s="26" t="n">
        <v>-1.59481938741951</v>
      </c>
      <c r="J1542" s="26" t="n">
        <v>2.03</v>
      </c>
      <c r="K1542" s="27" t="n">
        <f aca="false">MIN(F1542,G1542)</f>
        <v>-4.54782061258049</v>
      </c>
      <c r="L1542" s="27" t="n">
        <f aca="false">AVERAGE(F1542,G1542)</f>
        <v>-4.54716061258049</v>
      </c>
      <c r="M1542" s="27" t="n">
        <f aca="false">MAX(0,NG-L1542)</f>
        <v>3.84716061258049</v>
      </c>
      <c r="N1542" s="27" t="n">
        <f aca="false">MAX(0,GWL-K1542)</f>
        <v>3.04782061258049</v>
      </c>
      <c r="O1542" s="27" t="n">
        <f aca="false">MAX(0,NG-MAX(K1542,GWL))</f>
        <v>0.8</v>
      </c>
      <c r="P1542" s="27" t="n">
        <f aca="false">E1542/2+WS+SLOPE_A*O1542+SLOPE_B*N1542</f>
        <v>9.52214183774146</v>
      </c>
      <c r="Q1542" s="28" t="str">
        <f aca="false">IF(AND(P1542&lt;J1542,N1542&lt;=MAXOC),"Open cut","Shoring")</f>
        <v>Shoring</v>
      </c>
      <c r="R1542" s="27" t="n">
        <f aca="false">IF(Q1542="Shoring",D1542,0)</f>
        <v>1.54459149575491</v>
      </c>
      <c r="S1542" s="27" t="n">
        <f aca="false">MAX(0,GWL-L1542)</f>
        <v>3.04716061258049</v>
      </c>
      <c r="T1542" s="27" t="n">
        <f aca="false">MAX(0,NG-MAX(L1542,GWL))</f>
        <v>0.8</v>
      </c>
      <c r="U1542" s="27" t="n">
        <f aca="false">E1542+2*WS</f>
        <v>4.45300122516097</v>
      </c>
      <c r="V1542" s="27" t="n">
        <f aca="false">IF(Q1542="Shoring",D1542*M1542*U1542,0)</f>
        <v>26.4610316191868</v>
      </c>
      <c r="W1542" s="27" t="n">
        <f aca="false">IF(Q1542="Open cut",D1542*(U1542*M1542+SLOPE_B*S1542^2+2*SLOPE_B*S1542*T1542+SLOPE_A*T1542^2),0)</f>
        <v>0</v>
      </c>
      <c r="X1542" s="27" t="n">
        <f aca="false">IF(M1542&gt;0,D1542*(E1542+2*SLABOVH)*SLAB,0)</f>
        <v>2.66673816360746</v>
      </c>
      <c r="Y1542" s="27" t="n">
        <f aca="false">IF(M1542&gt;0,D1542*PI()*E1542^2/4,0)</f>
        <v>7.29959980586249</v>
      </c>
      <c r="Z1542" s="27" t="n">
        <f aca="false">IF(H1542-E1542&gt;=GWL,99,E1542*(MAX(0,GWL-H1542)*(GAM_S-GAM_W)+MAX(0,NG-MAX(H1542,GWL))*GAM_D)/(GAM_W*PI()*E1542^2/4))</f>
        <v>0.802430679111722</v>
      </c>
      <c r="AA1542" s="27" t="n">
        <f aca="false">IF(I1542-E1542&gt;=GWL,99,E1542*(MAX(0,GWL-I1542)*(GAM_S-GAM_W)+MAX(0,NG-MAX(I1542,GWL))*GAM_D)/(GAM_W*PI()*E1542^2/4))</f>
        <v>0.803002685895126</v>
      </c>
      <c r="AB1542" s="27" t="n">
        <f aca="false">IF(H1542-E1542&gt;=GWL,99,E1542*(MAX(0,GWL-H1542)*(GAM_S-GAM_W)+MAX(0,FL-MAX(H1542,GWL))*GAM_D)/(GAM_W*PI()*E1542^2/4))</f>
        <v>2.42149749860499</v>
      </c>
      <c r="AC1542" s="27" t="n">
        <f aca="false">IF(I1542-E1542&gt;=GWL,99,E1542*(MAX(0,GWL-I1542)*(GAM_S-GAM_W)+MAX(0,FL-MAX(I1542,GWL))*GAM_D)/(GAM_W*PI()*E1542^2/4))</f>
        <v>2.42206950538839</v>
      </c>
    </row>
    <row r="1543" customFormat="false" ht="15" hidden="false" customHeight="false" outlineLevel="0" collapsed="false">
      <c r="A1543" s="25" t="s">
        <v>2170</v>
      </c>
      <c r="B1543" s="25" t="s">
        <v>2171</v>
      </c>
      <c r="C1543" s="25" t="s">
        <v>2217</v>
      </c>
      <c r="D1543" s="26" t="n">
        <v>3.04819153052705</v>
      </c>
      <c r="E1543" s="26" t="n">
        <v>2.45300037977993</v>
      </c>
      <c r="F1543" s="26" t="n">
        <v>-4.54782018988997</v>
      </c>
      <c r="G1543" s="26" t="n">
        <v>-4.55041018988996</v>
      </c>
      <c r="H1543" s="26" t="n">
        <v>-1.59481981011004</v>
      </c>
      <c r="I1543" s="26" t="n">
        <v>-1.59740981011004</v>
      </c>
      <c r="J1543" s="26" t="n">
        <v>2.25</v>
      </c>
      <c r="K1543" s="27" t="n">
        <f aca="false">MIN(F1543,G1543)</f>
        <v>-4.55041018988996</v>
      </c>
      <c r="L1543" s="27" t="n">
        <f aca="false">AVERAGE(F1543,G1543)</f>
        <v>-4.54911518988996</v>
      </c>
      <c r="M1543" s="27" t="n">
        <f aca="false">MAX(0,NG-L1543)</f>
        <v>3.84911518988996</v>
      </c>
      <c r="N1543" s="27" t="n">
        <f aca="false">MAX(0,GWL-K1543)</f>
        <v>3.05041018988996</v>
      </c>
      <c r="O1543" s="27" t="n">
        <f aca="false">MAX(0,NG-MAX(K1543,GWL))</f>
        <v>0.8</v>
      </c>
      <c r="P1543" s="27" t="n">
        <f aca="false">E1543/2+WS+SLOPE_A*O1543+SLOPE_B*N1543</f>
        <v>9.52732056966989</v>
      </c>
      <c r="Q1543" s="28" t="str">
        <f aca="false">IF(AND(P1543&lt;J1543,N1543&lt;=MAXOC),"Open cut","Shoring")</f>
        <v>Shoring</v>
      </c>
      <c r="R1543" s="27" t="n">
        <f aca="false">IF(Q1543="Shoring",D1543,0)</f>
        <v>3.04819153052705</v>
      </c>
      <c r="S1543" s="27" t="n">
        <f aca="false">MAX(0,GWL-L1543)</f>
        <v>3.04911518988996</v>
      </c>
      <c r="T1543" s="27" t="n">
        <f aca="false">MAX(0,NG-MAX(L1543,GWL))</f>
        <v>0.8</v>
      </c>
      <c r="U1543" s="27" t="n">
        <f aca="false">E1543+2*WS</f>
        <v>4.45300037977993</v>
      </c>
      <c r="V1543" s="27" t="n">
        <f aca="false">IF(Q1543="Shoring",D1543*M1543*U1543,0)</f>
        <v>52.2463424090757</v>
      </c>
      <c r="W1543" s="27" t="n">
        <f aca="false">IF(Q1543="Open cut",D1543*(U1543*M1543+SLOPE_B*S1543^2+2*SLOPE_B*S1543*T1543+SLOPE_A*T1543^2),0)</f>
        <v>0</v>
      </c>
      <c r="X1543" s="27" t="n">
        <f aca="false">IF(M1543&gt;0,D1543*(E1543+2*SLABOVH)*SLAB,0)</f>
        <v>5.26270325627593</v>
      </c>
      <c r="Y1543" s="27" t="n">
        <f aca="false">IF(M1543&gt;0,D1543*PI()*E1543^2/4,0)</f>
        <v>14.4054677428497</v>
      </c>
      <c r="Z1543" s="27" t="n">
        <f aca="false">IF(H1543-E1543&gt;=GWL,99,E1543*(MAX(0,GWL-H1543)*(GAM_S-GAM_W)+MAX(0,NG-MAX(H1543,GWL))*GAM_D)/(GAM_W*PI()*E1543^2/4))</f>
        <v>0.803003145803222</v>
      </c>
      <c r="AA1543" s="27" t="n">
        <f aca="false">IF(I1543-E1543&gt;=GWL,99,E1543*(MAX(0,GWL-I1543)*(GAM_S-GAM_W)+MAX(0,NG-MAX(I1543,GWL))*GAM_D)/(GAM_W*PI()*E1543^2/4))</f>
        <v>0.804125492833214</v>
      </c>
      <c r="AB1543" s="27" t="n">
        <f aca="false">IF(H1543-E1543&gt;=GWL,99,E1543*(MAX(0,GWL-H1543)*(GAM_S-GAM_W)+MAX(0,FL-MAX(H1543,GWL))*GAM_D)/(GAM_W*PI()*E1543^2/4))</f>
        <v>2.42207052327781</v>
      </c>
      <c r="AC1543" s="27" t="n">
        <f aca="false">IF(I1543-E1543&gt;=GWL,99,E1543*(MAX(0,GWL-I1543)*(GAM_S-GAM_W)+MAX(0,FL-MAX(I1543,GWL))*GAM_D)/(GAM_W*PI()*E1543^2/4))</f>
        <v>2.4231928703078</v>
      </c>
    </row>
    <row r="1544" customFormat="false" ht="15" hidden="false" customHeight="false" outlineLevel="0" collapsed="false">
      <c r="A1544" s="25" t="s">
        <v>2170</v>
      </c>
      <c r="B1544" s="25" t="s">
        <v>2171</v>
      </c>
      <c r="C1544" s="25" t="s">
        <v>2218</v>
      </c>
      <c r="D1544" s="26" t="n">
        <v>1.54460215358895</v>
      </c>
      <c r="E1544" s="26" t="n">
        <v>2.45310520182156</v>
      </c>
      <c r="F1544" s="26" t="n">
        <v>-4.55046260091078</v>
      </c>
      <c r="G1544" s="26" t="n">
        <v>-4.55178260091078</v>
      </c>
      <c r="H1544" s="26" t="n">
        <v>-1.59735739908922</v>
      </c>
      <c r="I1544" s="26" t="n">
        <v>-1.59867739908922</v>
      </c>
      <c r="J1544" s="26" t="n">
        <v>4.71</v>
      </c>
      <c r="K1544" s="27" t="n">
        <f aca="false">MIN(F1544,G1544)</f>
        <v>-4.55178260091078</v>
      </c>
      <c r="L1544" s="27" t="n">
        <f aca="false">AVERAGE(F1544,G1544)</f>
        <v>-4.55112260091078</v>
      </c>
      <c r="M1544" s="27" t="n">
        <f aca="false">MAX(0,NG-L1544)</f>
        <v>3.85112260091078</v>
      </c>
      <c r="N1544" s="27" t="n">
        <f aca="false">MAX(0,GWL-K1544)</f>
        <v>3.05178260091078</v>
      </c>
      <c r="O1544" s="27" t="n">
        <f aca="false">MAX(0,NG-MAX(K1544,GWL))</f>
        <v>0.8</v>
      </c>
      <c r="P1544" s="27" t="n">
        <f aca="false">E1544/2+WS+SLOPE_A*O1544+SLOPE_B*N1544</f>
        <v>9.53011780273234</v>
      </c>
      <c r="Q1544" s="28" t="str">
        <f aca="false">IF(AND(P1544&lt;J1544,N1544&lt;=MAXOC),"Open cut","Shoring")</f>
        <v>Shoring</v>
      </c>
      <c r="R1544" s="27" t="n">
        <f aca="false">IF(Q1544="Shoring",D1544,0)</f>
        <v>1.54460215358895</v>
      </c>
      <c r="S1544" s="27" t="n">
        <f aca="false">MAX(0,GWL-L1544)</f>
        <v>3.05112260091078</v>
      </c>
      <c r="T1544" s="27" t="n">
        <f aca="false">MAX(0,NG-MAX(L1544,GWL))</f>
        <v>0.8</v>
      </c>
      <c r="U1544" s="27" t="n">
        <f aca="false">E1544+2*WS</f>
        <v>4.45310520182156</v>
      </c>
      <c r="V1544" s="27" t="n">
        <f aca="false">IF(Q1544="Shoring",D1544*M1544*U1544,0)</f>
        <v>26.4890837156061</v>
      </c>
      <c r="W1544" s="27" t="n">
        <f aca="false">IF(Q1544="Open cut",D1544*(U1544*M1544+SLOPE_B*S1544^2+2*SLOPE_B*S1544*T1544+SLOPE_A*T1544^2),0)</f>
        <v>0</v>
      </c>
      <c r="X1544" s="27" t="n">
        <f aca="false">IF(M1544&gt;0,D1544*(E1544+2*SLABOVH)*SLAB,0)</f>
        <v>2.66683686565139</v>
      </c>
      <c r="Y1544" s="27" t="n">
        <f aca="false">IF(M1544&gt;0,D1544*PI()*E1544^2/4,0)</f>
        <v>7.30026901520513</v>
      </c>
      <c r="Z1544" s="27" t="n">
        <f aca="false">IF(H1544-E1544&gt;=GWL,99,E1544*(MAX(0,GWL-H1544)*(GAM_S-GAM_W)+MAX(0,NG-MAX(H1544,GWL))*GAM_D)/(GAM_W*PI()*E1544^2/4))</f>
        <v>0.804068421521155</v>
      </c>
      <c r="AA1544" s="27" t="n">
        <f aca="false">IF(I1544-E1544&gt;=GWL,99,E1544*(MAX(0,GWL-I1544)*(GAM_S-GAM_W)+MAX(0,NG-MAX(I1544,GWL))*GAM_D)/(GAM_W*PI()*E1544^2/4))</f>
        <v>0.804640404059633</v>
      </c>
      <c r="AB1544" s="27" t="n">
        <f aca="false">IF(H1544-E1544&gt;=GWL,99,E1544*(MAX(0,GWL-H1544)*(GAM_S-GAM_W)+MAX(0,FL-MAX(H1544,GWL))*GAM_D)/(GAM_W*PI()*E1544^2/4))</f>
        <v>2.4230666156815</v>
      </c>
      <c r="AC1544" s="27" t="n">
        <f aca="false">IF(I1544-E1544&gt;=GWL,99,E1544*(MAX(0,GWL-I1544)*(GAM_S-GAM_W)+MAX(0,FL-MAX(I1544,GWL))*GAM_D)/(GAM_W*PI()*E1544^2/4))</f>
        <v>2.42363859821998</v>
      </c>
    </row>
    <row r="1545" customFormat="false" ht="15" hidden="false" customHeight="false" outlineLevel="0" collapsed="false">
      <c r="A1545" s="25" t="s">
        <v>2170</v>
      </c>
      <c r="B1545" s="25" t="s">
        <v>2171</v>
      </c>
      <c r="C1545" s="25" t="s">
        <v>2219</v>
      </c>
      <c r="D1545" s="26" t="n">
        <v>2.89410100149442</v>
      </c>
      <c r="E1545" s="26" t="n">
        <v>2.4836</v>
      </c>
      <c r="F1545" s="26" t="n">
        <v>-4.56703</v>
      </c>
      <c r="G1545" s="26" t="n">
        <v>-4.56949685739974</v>
      </c>
      <c r="H1545" s="26" t="n">
        <v>-1.58343</v>
      </c>
      <c r="I1545" s="26" t="n">
        <v>-1.58589685739974</v>
      </c>
      <c r="J1545" s="26" t="n">
        <v>6.23</v>
      </c>
      <c r="K1545" s="27" t="n">
        <f aca="false">MIN(F1545,G1545)</f>
        <v>-4.56949685739974</v>
      </c>
      <c r="L1545" s="27" t="n">
        <f aca="false">AVERAGE(F1545,G1545)</f>
        <v>-4.56826342869987</v>
      </c>
      <c r="M1545" s="27" t="n">
        <f aca="false">MAX(0,NG-L1545)</f>
        <v>3.86826342869987</v>
      </c>
      <c r="N1545" s="27" t="n">
        <f aca="false">MAX(0,GWL-K1545)</f>
        <v>3.06949685739974</v>
      </c>
      <c r="O1545" s="27" t="n">
        <f aca="false">MAX(0,NG-MAX(K1545,GWL))</f>
        <v>0.8</v>
      </c>
      <c r="P1545" s="27" t="n">
        <f aca="false">E1545/2+WS+SLOPE_A*O1545+SLOPE_B*N1545</f>
        <v>9.58079371479949</v>
      </c>
      <c r="Q1545" s="28" t="str">
        <f aca="false">IF(AND(P1545&lt;J1545,N1545&lt;=MAXOC),"Open cut","Shoring")</f>
        <v>Shoring</v>
      </c>
      <c r="R1545" s="27" t="n">
        <f aca="false">IF(Q1545="Shoring",D1545,0)</f>
        <v>2.89410100149442</v>
      </c>
      <c r="S1545" s="27" t="n">
        <f aca="false">MAX(0,GWL-L1545)</f>
        <v>3.06826342869987</v>
      </c>
      <c r="T1545" s="27" t="n">
        <f aca="false">MAX(0,NG-MAX(L1545,GWL))</f>
        <v>0.8</v>
      </c>
      <c r="U1545" s="27" t="n">
        <f aca="false">E1545+2*WS</f>
        <v>4.4836</v>
      </c>
      <c r="V1545" s="27" t="n">
        <f aca="false">IF(Q1545="Shoring",D1545*M1545*U1545,0)</f>
        <v>50.1945524046664</v>
      </c>
      <c r="W1545" s="27" t="n">
        <f aca="false">IF(Q1545="Open cut",D1545*(U1545*M1545+SLOPE_B*S1545^2+2*SLOPE_B*S1545*T1545+SLOPE_A*T1545^2),0)</f>
        <v>0</v>
      </c>
      <c r="X1545" s="27" t="n">
        <f aca="false">IF(M1545&gt;0,D1545*(E1545+2*SLABOVH)*SLAB,0)</f>
        <v>5.04094512440298</v>
      </c>
      <c r="Y1545" s="27" t="n">
        <f aca="false">IF(M1545&gt;0,D1545*PI()*E1545^2/4,0)</f>
        <v>14.0206086501469</v>
      </c>
      <c r="Z1545" s="27" t="n">
        <f aca="false">IF(H1545-E1545&gt;=GWL,99,E1545*(MAX(0,GWL-H1545)*(GAM_S-GAM_W)+MAX(0,NG-MAX(H1545,GWL))*GAM_D)/(GAM_W*PI()*E1545^2/4))</f>
        <v>0.788234773517564</v>
      </c>
      <c r="AA1545" s="27" t="n">
        <f aca="false">IF(I1545-E1545&gt;=GWL,99,E1545*(MAX(0,GWL-I1545)*(GAM_S-GAM_W)+MAX(0,NG-MAX(I1545,GWL))*GAM_D)/(GAM_W*PI()*E1545^2/4))</f>
        <v>0.789290587494776</v>
      </c>
      <c r="AB1545" s="27" t="n">
        <f aca="false">IF(H1545-E1545&gt;=GWL,99,E1545*(MAX(0,GWL-H1545)*(GAM_S-GAM_W)+MAX(0,FL-MAX(H1545,GWL))*GAM_D)/(GAM_W*PI()*E1545^2/4))</f>
        <v>2.38735415338326</v>
      </c>
      <c r="AC1545" s="27" t="n">
        <f aca="false">IF(I1545-E1545&gt;=GWL,99,E1545*(MAX(0,GWL-I1545)*(GAM_S-GAM_W)+MAX(0,FL-MAX(I1545,GWL))*GAM_D)/(GAM_W*PI()*E1545^2/4))</f>
        <v>2.38840996736048</v>
      </c>
    </row>
    <row r="1546" customFormat="false" ht="15" hidden="false" customHeight="false" outlineLevel="0" collapsed="false">
      <c r="A1546" s="25" t="s">
        <v>2170</v>
      </c>
      <c r="B1546" s="25" t="s">
        <v>2171</v>
      </c>
      <c r="C1546" s="25" t="s">
        <v>2220</v>
      </c>
      <c r="D1546" s="26" t="n">
        <v>10.0000000000158</v>
      </c>
      <c r="E1546" s="26" t="n">
        <v>2.4836</v>
      </c>
      <c r="F1546" s="26" t="n">
        <v>-4.56949685739974</v>
      </c>
      <c r="G1546" s="26" t="n">
        <v>-4.57802060069142</v>
      </c>
      <c r="H1546" s="26" t="n">
        <v>-1.58589685739974</v>
      </c>
      <c r="I1546" s="26" t="n">
        <v>-1.59442060069142</v>
      </c>
      <c r="J1546" s="26" t="n">
        <v>9.07</v>
      </c>
      <c r="K1546" s="27" t="n">
        <f aca="false">MIN(F1546,G1546)</f>
        <v>-4.57802060069142</v>
      </c>
      <c r="L1546" s="27" t="n">
        <f aca="false">AVERAGE(F1546,G1546)</f>
        <v>-4.57375872904558</v>
      </c>
      <c r="M1546" s="27" t="n">
        <f aca="false">MAX(0,NG-L1546)</f>
        <v>3.87375872904558</v>
      </c>
      <c r="N1546" s="27" t="n">
        <f aca="false">MAX(0,GWL-K1546)</f>
        <v>3.07802060069142</v>
      </c>
      <c r="O1546" s="27" t="n">
        <f aca="false">MAX(0,NG-MAX(K1546,GWL))</f>
        <v>0.8</v>
      </c>
      <c r="P1546" s="27" t="n">
        <f aca="false">E1546/2+WS+SLOPE_A*O1546+SLOPE_B*N1546</f>
        <v>9.59784120138285</v>
      </c>
      <c r="Q1546" s="28" t="str">
        <f aca="false">IF(AND(P1546&lt;J1546,N1546&lt;=MAXOC),"Open cut","Shoring")</f>
        <v>Shoring</v>
      </c>
      <c r="R1546" s="27" t="n">
        <f aca="false">IF(Q1546="Shoring",D1546,0)</f>
        <v>10.0000000000158</v>
      </c>
      <c r="S1546" s="27" t="n">
        <f aca="false">MAX(0,GWL-L1546)</f>
        <v>3.07375872904558</v>
      </c>
      <c r="T1546" s="27" t="n">
        <f aca="false">MAX(0,NG-MAX(L1546,GWL))</f>
        <v>0.8</v>
      </c>
      <c r="U1546" s="27" t="n">
        <f aca="false">E1546+2*WS</f>
        <v>4.4836</v>
      </c>
      <c r="V1546" s="27" t="n">
        <f aca="false">IF(Q1546="Shoring",D1546*M1546*U1546,0)</f>
        <v>173.683846375763</v>
      </c>
      <c r="W1546" s="27" t="n">
        <f aca="false">IF(Q1546="Open cut",D1546*(U1546*M1546+SLOPE_B*S1546^2+2*SLOPE_B*S1546*T1546+SLOPE_A*T1546^2),0)</f>
        <v>0</v>
      </c>
      <c r="X1546" s="27" t="n">
        <f aca="false">IF(M1546&gt;0,D1546*(E1546+2*SLABOVH)*SLAB,0)</f>
        <v>17.4180000000276</v>
      </c>
      <c r="Y1546" s="27" t="n">
        <f aca="false">IF(M1546&gt;0,D1546*PI()*E1546^2/4,0)</f>
        <v>48.4454711253315</v>
      </c>
      <c r="Z1546" s="27" t="n">
        <f aca="false">IF(H1546-E1546&gt;=GWL,99,E1546*(MAX(0,GWL-H1546)*(GAM_S-GAM_W)+MAX(0,NG-MAX(H1546,GWL))*GAM_D)/(GAM_W*PI()*E1546^2/4))</f>
        <v>0.789290587494776</v>
      </c>
      <c r="AA1546" s="27" t="n">
        <f aca="false">IF(I1546-E1546&gt;=GWL,99,E1546*(MAX(0,GWL-I1546)*(GAM_S-GAM_W)+MAX(0,NG-MAX(I1546,GWL))*GAM_D)/(GAM_W*PI()*E1546^2/4))</f>
        <v>0.792938746203281</v>
      </c>
      <c r="AB1546" s="27" t="n">
        <f aca="false">IF(H1546-E1546&gt;=GWL,99,E1546*(MAX(0,GWL-H1546)*(GAM_S-GAM_W)+MAX(0,FL-MAX(H1546,GWL))*GAM_D)/(GAM_W*PI()*E1546^2/4))</f>
        <v>2.38840996736048</v>
      </c>
      <c r="AC1546" s="27" t="n">
        <f aca="false">IF(I1546-E1546&gt;=GWL,99,E1546*(MAX(0,GWL-I1546)*(GAM_S-GAM_W)+MAX(0,FL-MAX(I1546,GWL))*GAM_D)/(GAM_W*PI()*E1546^2/4))</f>
        <v>2.39205812606898</v>
      </c>
    </row>
    <row r="1547" customFormat="false" ht="15" hidden="false" customHeight="false" outlineLevel="0" collapsed="false">
      <c r="A1547" s="25" t="s">
        <v>2170</v>
      </c>
      <c r="B1547" s="25" t="s">
        <v>2171</v>
      </c>
      <c r="C1547" s="25" t="s">
        <v>2221</v>
      </c>
      <c r="D1547" s="26" t="n">
        <v>10.000000000396</v>
      </c>
      <c r="E1547" s="26" t="n">
        <v>2.4836</v>
      </c>
      <c r="F1547" s="26" t="n">
        <v>-4.57802060069142</v>
      </c>
      <c r="G1547" s="26" t="n">
        <v>-4.5865443439831</v>
      </c>
      <c r="H1547" s="26" t="n">
        <v>-1.59442060069142</v>
      </c>
      <c r="I1547" s="26" t="n">
        <v>-1.6029443439831</v>
      </c>
      <c r="J1547" s="26" t="n">
        <v>9.24</v>
      </c>
      <c r="K1547" s="27" t="n">
        <f aca="false">MIN(F1547,G1547)</f>
        <v>-4.5865443439831</v>
      </c>
      <c r="L1547" s="27" t="n">
        <f aca="false">AVERAGE(F1547,G1547)</f>
        <v>-4.58228247233726</v>
      </c>
      <c r="M1547" s="27" t="n">
        <f aca="false">MAX(0,NG-L1547)</f>
        <v>3.88228247233726</v>
      </c>
      <c r="N1547" s="27" t="n">
        <f aca="false">MAX(0,GWL-K1547)</f>
        <v>3.0865443439831</v>
      </c>
      <c r="O1547" s="27" t="n">
        <f aca="false">MAX(0,NG-MAX(K1547,GWL))</f>
        <v>0.8</v>
      </c>
      <c r="P1547" s="27" t="n">
        <f aca="false">E1547/2+WS+SLOPE_A*O1547+SLOPE_B*N1547</f>
        <v>9.61488868796621</v>
      </c>
      <c r="Q1547" s="28" t="str">
        <f aca="false">IF(AND(P1547&lt;J1547,N1547&lt;=MAXOC),"Open cut","Shoring")</f>
        <v>Shoring</v>
      </c>
      <c r="R1547" s="27" t="n">
        <f aca="false">IF(Q1547="Shoring",D1547,0)</f>
        <v>10.000000000396</v>
      </c>
      <c r="S1547" s="27" t="n">
        <f aca="false">MAX(0,GWL-L1547)</f>
        <v>3.08228247233726</v>
      </c>
      <c r="T1547" s="27" t="n">
        <f aca="false">MAX(0,NG-MAX(L1547,GWL))</f>
        <v>0.8</v>
      </c>
      <c r="U1547" s="27" t="n">
        <f aca="false">E1547+2*WS</f>
        <v>4.4836</v>
      </c>
      <c r="V1547" s="27" t="n">
        <f aca="false">IF(Q1547="Shoring",D1547*M1547*U1547,0)</f>
        <v>174.066016936607</v>
      </c>
      <c r="W1547" s="27" t="n">
        <f aca="false">IF(Q1547="Open cut",D1547*(U1547*M1547+SLOPE_B*S1547^2+2*SLOPE_B*S1547*T1547+SLOPE_A*T1547^2),0)</f>
        <v>0</v>
      </c>
      <c r="X1547" s="27" t="n">
        <f aca="false">IF(M1547&gt;0,D1547*(E1547+2*SLABOVH)*SLAB,0)</f>
        <v>17.4180000006898</v>
      </c>
      <c r="Y1547" s="27" t="n">
        <f aca="false">IF(M1547&gt;0,D1547*PI()*E1547^2/4,0)</f>
        <v>48.4454711271735</v>
      </c>
      <c r="Z1547" s="27" t="n">
        <f aca="false">IF(H1547-E1547&gt;=GWL,99,E1547*(MAX(0,GWL-H1547)*(GAM_S-GAM_W)+MAX(0,NG-MAX(H1547,GWL))*GAM_D)/(GAM_W*PI()*E1547^2/4))</f>
        <v>0.792938746203281</v>
      </c>
      <c r="AA1547" s="27" t="n">
        <f aca="false">IF(I1547-E1547&gt;=GWL,99,E1547*(MAX(0,GWL-I1547)*(GAM_S-GAM_W)+MAX(0,NG-MAX(I1547,GWL))*GAM_D)/(GAM_W*PI()*E1547^2/4))</f>
        <v>0.796586904911787</v>
      </c>
      <c r="AB1547" s="27" t="n">
        <f aca="false">IF(H1547-E1547&gt;=GWL,99,E1547*(MAX(0,GWL-H1547)*(GAM_S-GAM_W)+MAX(0,FL-MAX(H1547,GWL))*GAM_D)/(GAM_W*PI()*E1547^2/4))</f>
        <v>2.39205812606898</v>
      </c>
      <c r="AC1547" s="27" t="n">
        <f aca="false">IF(I1547-E1547&gt;=GWL,99,E1547*(MAX(0,GWL-I1547)*(GAM_S-GAM_W)+MAX(0,FL-MAX(I1547,GWL))*GAM_D)/(GAM_W*PI()*E1547^2/4))</f>
        <v>2.39570628477749</v>
      </c>
    </row>
    <row r="1548" customFormat="false" ht="15" hidden="false" customHeight="false" outlineLevel="0" collapsed="false">
      <c r="A1548" s="25" t="s">
        <v>2170</v>
      </c>
      <c r="B1548" s="25" t="s">
        <v>2171</v>
      </c>
      <c r="C1548" s="25" t="s">
        <v>2222</v>
      </c>
      <c r="D1548" s="26" t="n">
        <v>10.0000000000158</v>
      </c>
      <c r="E1548" s="26" t="n">
        <v>2.4836</v>
      </c>
      <c r="F1548" s="26" t="n">
        <v>-4.5865443439831</v>
      </c>
      <c r="G1548" s="26" t="n">
        <v>-4.59506808727478</v>
      </c>
      <c r="H1548" s="26" t="n">
        <v>-1.6029443439831</v>
      </c>
      <c r="I1548" s="26" t="n">
        <v>-1.61146808727478</v>
      </c>
      <c r="J1548" s="26" t="n">
        <v>8.97</v>
      </c>
      <c r="K1548" s="27" t="n">
        <f aca="false">MIN(F1548,G1548)</f>
        <v>-4.59506808727478</v>
      </c>
      <c r="L1548" s="27" t="n">
        <f aca="false">AVERAGE(F1548,G1548)</f>
        <v>-4.59080621562894</v>
      </c>
      <c r="M1548" s="27" t="n">
        <f aca="false">MAX(0,NG-L1548)</f>
        <v>3.89080621562894</v>
      </c>
      <c r="N1548" s="27" t="n">
        <f aca="false">MAX(0,GWL-K1548)</f>
        <v>3.09506808727478</v>
      </c>
      <c r="O1548" s="27" t="n">
        <f aca="false">MAX(0,NG-MAX(K1548,GWL))</f>
        <v>0.8</v>
      </c>
      <c r="P1548" s="27" t="n">
        <f aca="false">E1548/2+WS+SLOPE_A*O1548+SLOPE_B*N1548</f>
        <v>9.63193617454957</v>
      </c>
      <c r="Q1548" s="28" t="str">
        <f aca="false">IF(AND(P1548&lt;J1548,N1548&lt;=MAXOC),"Open cut","Shoring")</f>
        <v>Shoring</v>
      </c>
      <c r="R1548" s="27" t="n">
        <f aca="false">IF(Q1548="Shoring",D1548,0)</f>
        <v>10.0000000000158</v>
      </c>
      <c r="S1548" s="27" t="n">
        <f aca="false">MAX(0,GWL-L1548)</f>
        <v>3.09080621562894</v>
      </c>
      <c r="T1548" s="27" t="n">
        <f aca="false">MAX(0,NG-MAX(L1548,GWL))</f>
        <v>0.8</v>
      </c>
      <c r="U1548" s="27" t="n">
        <f aca="false">E1548+2*WS</f>
        <v>4.4836</v>
      </c>
      <c r="V1548" s="27" t="n">
        <f aca="false">IF(Q1548="Shoring",D1548*M1548*U1548,0)</f>
        <v>174.448187484215</v>
      </c>
      <c r="W1548" s="27" t="n">
        <f aca="false">IF(Q1548="Open cut",D1548*(U1548*M1548+SLOPE_B*S1548^2+2*SLOPE_B*S1548*T1548+SLOPE_A*T1548^2),0)</f>
        <v>0</v>
      </c>
      <c r="X1548" s="27" t="n">
        <f aca="false">IF(M1548&gt;0,D1548*(E1548+2*SLABOVH)*SLAB,0)</f>
        <v>17.4180000000276</v>
      </c>
      <c r="Y1548" s="27" t="n">
        <f aca="false">IF(M1548&gt;0,D1548*PI()*E1548^2/4,0)</f>
        <v>48.4454711253315</v>
      </c>
      <c r="Z1548" s="27" t="n">
        <f aca="false">IF(H1548-E1548&gt;=GWL,99,E1548*(MAX(0,GWL-H1548)*(GAM_S-GAM_W)+MAX(0,NG-MAX(H1548,GWL))*GAM_D)/(GAM_W*PI()*E1548^2/4))</f>
        <v>0.796586904911787</v>
      </c>
      <c r="AA1548" s="27" t="n">
        <f aca="false">IF(I1548-E1548&gt;=GWL,99,E1548*(MAX(0,GWL-I1548)*(GAM_S-GAM_W)+MAX(0,NG-MAX(I1548,GWL))*GAM_D)/(GAM_W*PI()*E1548^2/4))</f>
        <v>0.800235063620293</v>
      </c>
      <c r="AB1548" s="27" t="n">
        <f aca="false">IF(H1548-E1548&gt;=GWL,99,E1548*(MAX(0,GWL-H1548)*(GAM_S-GAM_W)+MAX(0,FL-MAX(H1548,GWL))*GAM_D)/(GAM_W*PI()*E1548^2/4))</f>
        <v>2.39570628477749</v>
      </c>
      <c r="AC1548" s="27" t="n">
        <f aca="false">IF(I1548-E1548&gt;=GWL,99,E1548*(MAX(0,GWL-I1548)*(GAM_S-GAM_W)+MAX(0,FL-MAX(I1548,GWL))*GAM_D)/(GAM_W*PI()*E1548^2/4))</f>
        <v>2.39935444348599</v>
      </c>
    </row>
    <row r="1549" customFormat="false" ht="15" hidden="false" customHeight="false" outlineLevel="0" collapsed="false">
      <c r="A1549" s="25" t="s">
        <v>2170</v>
      </c>
      <c r="B1549" s="25" t="s">
        <v>2171</v>
      </c>
      <c r="C1549" s="25" t="s">
        <v>2223</v>
      </c>
      <c r="D1549" s="26" t="n">
        <v>10.000000000396</v>
      </c>
      <c r="E1549" s="26" t="n">
        <v>2.4836</v>
      </c>
      <c r="F1549" s="26" t="n">
        <v>-4.59506808727478</v>
      </c>
      <c r="G1549" s="26" t="n">
        <v>-4.60359183056646</v>
      </c>
      <c r="H1549" s="26" t="n">
        <v>-1.61146808727478</v>
      </c>
      <c r="I1549" s="26" t="n">
        <v>-1.61999183056646</v>
      </c>
      <c r="J1549" s="26" t="n">
        <v>9.85</v>
      </c>
      <c r="K1549" s="27" t="n">
        <f aca="false">MIN(F1549,G1549)</f>
        <v>-4.60359183056646</v>
      </c>
      <c r="L1549" s="27" t="n">
        <f aca="false">AVERAGE(F1549,G1549)</f>
        <v>-4.59932995892062</v>
      </c>
      <c r="M1549" s="27" t="n">
        <f aca="false">MAX(0,NG-L1549)</f>
        <v>3.89932995892062</v>
      </c>
      <c r="N1549" s="27" t="n">
        <f aca="false">MAX(0,GWL-K1549)</f>
        <v>3.10359183056646</v>
      </c>
      <c r="O1549" s="27" t="n">
        <f aca="false">MAX(0,NG-MAX(K1549,GWL))</f>
        <v>0.8</v>
      </c>
      <c r="P1549" s="27" t="n">
        <f aca="false">E1549/2+WS+SLOPE_A*O1549+SLOPE_B*N1549</f>
        <v>9.64898366113292</v>
      </c>
      <c r="Q1549" s="28" t="str">
        <f aca="false">IF(AND(P1549&lt;J1549,N1549&lt;=MAXOC),"Open cut","Shoring")</f>
        <v>Shoring</v>
      </c>
      <c r="R1549" s="27" t="n">
        <f aca="false">IF(Q1549="Shoring",D1549,0)</f>
        <v>10.000000000396</v>
      </c>
      <c r="S1549" s="27" t="n">
        <f aca="false">MAX(0,GWL-L1549)</f>
        <v>3.09932995892062</v>
      </c>
      <c r="T1549" s="27" t="n">
        <f aca="false">MAX(0,NG-MAX(L1549,GWL))</f>
        <v>0.8</v>
      </c>
      <c r="U1549" s="27" t="n">
        <f aca="false">E1549+2*WS</f>
        <v>4.4836</v>
      </c>
      <c r="V1549" s="27" t="n">
        <f aca="false">IF(Q1549="Shoring",D1549*M1549*U1549,0)</f>
        <v>174.830358045089</v>
      </c>
      <c r="W1549" s="27" t="n">
        <f aca="false">IF(Q1549="Open cut",D1549*(U1549*M1549+SLOPE_B*S1549^2+2*SLOPE_B*S1549*T1549+SLOPE_A*T1549^2),0)</f>
        <v>0</v>
      </c>
      <c r="X1549" s="27" t="n">
        <f aca="false">IF(M1549&gt;0,D1549*(E1549+2*SLABOVH)*SLAB,0)</f>
        <v>17.4180000006898</v>
      </c>
      <c r="Y1549" s="27" t="n">
        <f aca="false">IF(M1549&gt;0,D1549*PI()*E1549^2/4,0)</f>
        <v>48.4454711271735</v>
      </c>
      <c r="Z1549" s="27" t="n">
        <f aca="false">IF(H1549-E1549&gt;=GWL,99,E1549*(MAX(0,GWL-H1549)*(GAM_S-GAM_W)+MAX(0,NG-MAX(H1549,GWL))*GAM_D)/(GAM_W*PI()*E1549^2/4))</f>
        <v>0.800235063620293</v>
      </c>
      <c r="AA1549" s="27" t="n">
        <f aca="false">IF(I1549-E1549&gt;=GWL,99,E1549*(MAX(0,GWL-I1549)*(GAM_S-GAM_W)+MAX(0,NG-MAX(I1549,GWL))*GAM_D)/(GAM_W*PI()*E1549^2/4))</f>
        <v>0.803883222328799</v>
      </c>
      <c r="AB1549" s="27" t="n">
        <f aca="false">IF(H1549-E1549&gt;=GWL,99,E1549*(MAX(0,GWL-H1549)*(GAM_S-GAM_W)+MAX(0,FL-MAX(H1549,GWL))*GAM_D)/(GAM_W*PI()*E1549^2/4))</f>
        <v>2.39935444348599</v>
      </c>
      <c r="AC1549" s="27" t="n">
        <f aca="false">IF(I1549-E1549&gt;=GWL,99,E1549*(MAX(0,GWL-I1549)*(GAM_S-GAM_W)+MAX(0,FL-MAX(I1549,GWL))*GAM_D)/(GAM_W*PI()*E1549^2/4))</f>
        <v>2.4030026021945</v>
      </c>
    </row>
    <row r="1550" customFormat="false" ht="15" hidden="false" customHeight="false" outlineLevel="0" collapsed="false">
      <c r="A1550" s="25" t="s">
        <v>2170</v>
      </c>
      <c r="B1550" s="25" t="s">
        <v>2171</v>
      </c>
      <c r="C1550" s="25" t="s">
        <v>2224</v>
      </c>
      <c r="D1550" s="26" t="n">
        <v>10.0000000000158</v>
      </c>
      <c r="E1550" s="26" t="n">
        <v>2.4836</v>
      </c>
      <c r="F1550" s="26" t="n">
        <v>-4.60359183056646</v>
      </c>
      <c r="G1550" s="26" t="n">
        <v>-4.61211557385814</v>
      </c>
      <c r="H1550" s="26" t="n">
        <v>-1.61999183056646</v>
      </c>
      <c r="I1550" s="26" t="n">
        <v>-1.62851557385814</v>
      </c>
      <c r="J1550" s="26" t="n">
        <v>10.77</v>
      </c>
      <c r="K1550" s="27" t="n">
        <f aca="false">MIN(F1550,G1550)</f>
        <v>-4.61211557385814</v>
      </c>
      <c r="L1550" s="27" t="n">
        <f aca="false">AVERAGE(F1550,G1550)</f>
        <v>-4.6078537022123</v>
      </c>
      <c r="M1550" s="27" t="n">
        <f aca="false">MAX(0,NG-L1550)</f>
        <v>3.9078537022123</v>
      </c>
      <c r="N1550" s="27" t="n">
        <f aca="false">MAX(0,GWL-K1550)</f>
        <v>3.11211557385814</v>
      </c>
      <c r="O1550" s="27" t="n">
        <f aca="false">MAX(0,NG-MAX(K1550,GWL))</f>
        <v>0.8</v>
      </c>
      <c r="P1550" s="27" t="n">
        <f aca="false">E1550/2+WS+SLOPE_A*O1550+SLOPE_B*N1550</f>
        <v>9.66603114771628</v>
      </c>
      <c r="Q1550" s="28" t="str">
        <f aca="false">IF(AND(P1550&lt;J1550,N1550&lt;=MAXOC),"Open cut","Shoring")</f>
        <v>Shoring</v>
      </c>
      <c r="R1550" s="27" t="n">
        <f aca="false">IF(Q1550="Shoring",D1550,0)</f>
        <v>10.0000000000158</v>
      </c>
      <c r="S1550" s="27" t="n">
        <f aca="false">MAX(0,GWL-L1550)</f>
        <v>3.1078537022123</v>
      </c>
      <c r="T1550" s="27" t="n">
        <f aca="false">MAX(0,NG-MAX(L1550,GWL))</f>
        <v>0.8</v>
      </c>
      <c r="U1550" s="27" t="n">
        <f aca="false">E1550+2*WS</f>
        <v>4.4836</v>
      </c>
      <c r="V1550" s="27" t="n">
        <f aca="false">IF(Q1550="Shoring",D1550*M1550*U1550,0)</f>
        <v>175.212528592668</v>
      </c>
      <c r="W1550" s="27" t="n">
        <f aca="false">IF(Q1550="Open cut",D1550*(U1550*M1550+SLOPE_B*S1550^2+2*SLOPE_B*S1550*T1550+SLOPE_A*T1550^2),0)</f>
        <v>0</v>
      </c>
      <c r="X1550" s="27" t="n">
        <f aca="false">IF(M1550&gt;0,D1550*(E1550+2*SLABOVH)*SLAB,0)</f>
        <v>17.4180000000276</v>
      </c>
      <c r="Y1550" s="27" t="n">
        <f aca="false">IF(M1550&gt;0,D1550*PI()*E1550^2/4,0)</f>
        <v>48.4454711253315</v>
      </c>
      <c r="Z1550" s="27" t="n">
        <f aca="false">IF(H1550-E1550&gt;=GWL,99,E1550*(MAX(0,GWL-H1550)*(GAM_S-GAM_W)+MAX(0,NG-MAX(H1550,GWL))*GAM_D)/(GAM_W*PI()*E1550^2/4))</f>
        <v>0.803883222328799</v>
      </c>
      <c r="AA1550" s="27" t="n">
        <f aca="false">IF(I1550-E1550&gt;=GWL,99,E1550*(MAX(0,GWL-I1550)*(GAM_S-GAM_W)+MAX(0,NG-MAX(I1550,GWL))*GAM_D)/(GAM_W*PI()*E1550^2/4))</f>
        <v>0.807531381037304</v>
      </c>
      <c r="AB1550" s="27" t="n">
        <f aca="false">IF(H1550-E1550&gt;=GWL,99,E1550*(MAX(0,GWL-H1550)*(GAM_S-GAM_W)+MAX(0,FL-MAX(H1550,GWL))*GAM_D)/(GAM_W*PI()*E1550^2/4))</f>
        <v>2.4030026021945</v>
      </c>
      <c r="AC1550" s="27" t="n">
        <f aca="false">IF(I1550-E1550&gt;=GWL,99,E1550*(MAX(0,GWL-I1550)*(GAM_S-GAM_W)+MAX(0,FL-MAX(I1550,GWL))*GAM_D)/(GAM_W*PI()*E1550^2/4))</f>
        <v>2.406650760903</v>
      </c>
    </row>
    <row r="1551" customFormat="false" ht="15" hidden="false" customHeight="false" outlineLevel="0" collapsed="false">
      <c r="A1551" s="25" t="s">
        <v>2170</v>
      </c>
      <c r="B1551" s="25" t="s">
        <v>2171</v>
      </c>
      <c r="C1551" s="25" t="s">
        <v>2225</v>
      </c>
      <c r="D1551" s="26" t="n">
        <v>9.99999999925538</v>
      </c>
      <c r="E1551" s="26" t="n">
        <v>2.4836</v>
      </c>
      <c r="F1551" s="26" t="n">
        <v>-4.61211557385814</v>
      </c>
      <c r="G1551" s="26" t="n">
        <v>-4.62063931714982</v>
      </c>
      <c r="H1551" s="26" t="n">
        <v>-1.62851557385814</v>
      </c>
      <c r="I1551" s="26" t="n">
        <v>-1.63703931714982</v>
      </c>
      <c r="J1551" s="26" t="n">
        <v>9.62</v>
      </c>
      <c r="K1551" s="27" t="n">
        <f aca="false">MIN(F1551,G1551)</f>
        <v>-4.62063931714982</v>
      </c>
      <c r="L1551" s="27" t="n">
        <f aca="false">AVERAGE(F1551,G1551)</f>
        <v>-4.61637744550398</v>
      </c>
      <c r="M1551" s="27" t="n">
        <f aca="false">MAX(0,NG-L1551)</f>
        <v>3.91637744550398</v>
      </c>
      <c r="N1551" s="27" t="n">
        <f aca="false">MAX(0,GWL-K1551)</f>
        <v>3.12063931714982</v>
      </c>
      <c r="O1551" s="27" t="n">
        <f aca="false">MAX(0,NG-MAX(K1551,GWL))</f>
        <v>0.8</v>
      </c>
      <c r="P1551" s="27" t="n">
        <f aca="false">E1551/2+WS+SLOPE_A*O1551+SLOPE_B*N1551</f>
        <v>9.68307863429964</v>
      </c>
      <c r="Q1551" s="28" t="str">
        <f aca="false">IF(AND(P1551&lt;J1551,N1551&lt;=MAXOC),"Open cut","Shoring")</f>
        <v>Shoring</v>
      </c>
      <c r="R1551" s="27" t="n">
        <f aca="false">IF(Q1551="Shoring",D1551,0)</f>
        <v>9.99999999925538</v>
      </c>
      <c r="S1551" s="27" t="n">
        <f aca="false">MAX(0,GWL-L1551)</f>
        <v>3.11637744550398</v>
      </c>
      <c r="T1551" s="27" t="n">
        <f aca="false">MAX(0,NG-MAX(L1551,GWL))</f>
        <v>0.8</v>
      </c>
      <c r="U1551" s="27" t="n">
        <f aca="false">E1551+2*WS</f>
        <v>4.4836</v>
      </c>
      <c r="V1551" s="27" t="n">
        <f aca="false">IF(Q1551="Shoring",D1551*M1551*U1551,0)</f>
        <v>175.594699133541</v>
      </c>
      <c r="W1551" s="27" t="n">
        <f aca="false">IF(Q1551="Open cut",D1551*(U1551*M1551+SLOPE_B*S1551^2+2*SLOPE_B*S1551*T1551+SLOPE_A*T1551^2),0)</f>
        <v>0</v>
      </c>
      <c r="X1551" s="27" t="n">
        <f aca="false">IF(M1551&gt;0,D1551*(E1551+2*SLABOVH)*SLAB,0)</f>
        <v>17.417999998703</v>
      </c>
      <c r="Y1551" s="27" t="n">
        <f aca="false">IF(M1551&gt;0,D1551*PI()*E1551^2/4,0)</f>
        <v>48.4454711216475</v>
      </c>
      <c r="Z1551" s="27" t="n">
        <f aca="false">IF(H1551-E1551&gt;=GWL,99,E1551*(MAX(0,GWL-H1551)*(GAM_S-GAM_W)+MAX(0,NG-MAX(H1551,GWL))*GAM_D)/(GAM_W*PI()*E1551^2/4))</f>
        <v>0.807531381037304</v>
      </c>
      <c r="AA1551" s="27" t="n">
        <f aca="false">IF(I1551-E1551&gt;=GWL,99,E1551*(MAX(0,GWL-I1551)*(GAM_S-GAM_W)+MAX(0,NG-MAX(I1551,GWL))*GAM_D)/(GAM_W*PI()*E1551^2/4))</f>
        <v>0.81117953974581</v>
      </c>
      <c r="AB1551" s="27" t="n">
        <f aca="false">IF(H1551-E1551&gt;=GWL,99,E1551*(MAX(0,GWL-H1551)*(GAM_S-GAM_W)+MAX(0,FL-MAX(H1551,GWL))*GAM_D)/(GAM_W*PI()*E1551^2/4))</f>
        <v>2.406650760903</v>
      </c>
      <c r="AC1551" s="27" t="n">
        <f aca="false">IF(I1551-E1551&gt;=GWL,99,E1551*(MAX(0,GWL-I1551)*(GAM_S-GAM_W)+MAX(0,FL-MAX(I1551,GWL))*GAM_D)/(GAM_W*PI()*E1551^2/4))</f>
        <v>2.41029891961151</v>
      </c>
    </row>
    <row r="1552" customFormat="false" ht="15" hidden="false" customHeight="false" outlineLevel="0" collapsed="false">
      <c r="A1552" s="25" t="s">
        <v>2170</v>
      </c>
      <c r="B1552" s="25" t="s">
        <v>2171</v>
      </c>
      <c r="C1552" s="25" t="s">
        <v>2226</v>
      </c>
      <c r="D1552" s="26" t="n">
        <v>10.0000000000158</v>
      </c>
      <c r="E1552" s="26" t="n">
        <v>2.4836</v>
      </c>
      <c r="F1552" s="26" t="n">
        <v>-4.62063931714982</v>
      </c>
      <c r="G1552" s="26" t="n">
        <v>-4.6291630604415</v>
      </c>
      <c r="H1552" s="26" t="n">
        <v>-1.63703931714982</v>
      </c>
      <c r="I1552" s="26" t="n">
        <v>-1.6455630604415</v>
      </c>
      <c r="J1552" s="26" t="n">
        <v>9.75</v>
      </c>
      <c r="K1552" s="27" t="n">
        <f aca="false">MIN(F1552,G1552)</f>
        <v>-4.6291630604415</v>
      </c>
      <c r="L1552" s="27" t="n">
        <f aca="false">AVERAGE(F1552,G1552)</f>
        <v>-4.62490118879566</v>
      </c>
      <c r="M1552" s="27" t="n">
        <f aca="false">MAX(0,NG-L1552)</f>
        <v>3.92490118879566</v>
      </c>
      <c r="N1552" s="27" t="n">
        <f aca="false">MAX(0,GWL-K1552)</f>
        <v>3.1291630604415</v>
      </c>
      <c r="O1552" s="27" t="n">
        <f aca="false">MAX(0,NG-MAX(K1552,GWL))</f>
        <v>0.8</v>
      </c>
      <c r="P1552" s="27" t="n">
        <f aca="false">E1552/2+WS+SLOPE_A*O1552+SLOPE_B*N1552</f>
        <v>9.700126120883</v>
      </c>
      <c r="Q1552" s="28" t="str">
        <f aca="false">IF(AND(P1552&lt;J1552,N1552&lt;=MAXOC),"Open cut","Shoring")</f>
        <v>Shoring</v>
      </c>
      <c r="R1552" s="27" t="n">
        <f aca="false">IF(Q1552="Shoring",D1552,0)</f>
        <v>10.0000000000158</v>
      </c>
      <c r="S1552" s="27" t="n">
        <f aca="false">MAX(0,GWL-L1552)</f>
        <v>3.12490118879566</v>
      </c>
      <c r="T1552" s="27" t="n">
        <f aca="false">MAX(0,NG-MAX(L1552,GWL))</f>
        <v>0.8</v>
      </c>
      <c r="U1552" s="27" t="n">
        <f aca="false">E1552+2*WS</f>
        <v>4.4836</v>
      </c>
      <c r="V1552" s="27" t="n">
        <f aca="false">IF(Q1552="Shoring",D1552*M1552*U1552,0)</f>
        <v>175.976869701121</v>
      </c>
      <c r="W1552" s="27" t="n">
        <f aca="false">IF(Q1552="Open cut",D1552*(U1552*M1552+SLOPE_B*S1552^2+2*SLOPE_B*S1552*T1552+SLOPE_A*T1552^2),0)</f>
        <v>0</v>
      </c>
      <c r="X1552" s="27" t="n">
        <f aca="false">IF(M1552&gt;0,D1552*(E1552+2*SLABOVH)*SLAB,0)</f>
        <v>17.4180000000276</v>
      </c>
      <c r="Y1552" s="27" t="n">
        <f aca="false">IF(M1552&gt;0,D1552*PI()*E1552^2/4,0)</f>
        <v>48.4454711253315</v>
      </c>
      <c r="Z1552" s="27" t="n">
        <f aca="false">IF(H1552-E1552&gt;=GWL,99,E1552*(MAX(0,GWL-H1552)*(GAM_S-GAM_W)+MAX(0,NG-MAX(H1552,GWL))*GAM_D)/(GAM_W*PI()*E1552^2/4))</f>
        <v>0.81117953974581</v>
      </c>
      <c r="AA1552" s="27" t="n">
        <f aca="false">IF(I1552-E1552&gt;=GWL,99,E1552*(MAX(0,GWL-I1552)*(GAM_S-GAM_W)+MAX(0,NG-MAX(I1552,GWL))*GAM_D)/(GAM_W*PI()*E1552^2/4))</f>
        <v>0.814827698454316</v>
      </c>
      <c r="AB1552" s="27" t="n">
        <f aca="false">IF(H1552-E1552&gt;=GWL,99,E1552*(MAX(0,GWL-H1552)*(GAM_S-GAM_W)+MAX(0,FL-MAX(H1552,GWL))*GAM_D)/(GAM_W*PI()*E1552^2/4))</f>
        <v>2.41029891961151</v>
      </c>
      <c r="AC1552" s="27" t="n">
        <f aca="false">IF(I1552-E1552&gt;=GWL,99,E1552*(MAX(0,GWL-I1552)*(GAM_S-GAM_W)+MAX(0,FL-MAX(I1552,GWL))*GAM_D)/(GAM_W*PI()*E1552^2/4))</f>
        <v>2.41394707832002</v>
      </c>
    </row>
    <row r="1553" customFormat="false" ht="15" hidden="false" customHeight="false" outlineLevel="0" collapsed="false">
      <c r="A1553" s="25" t="s">
        <v>2170</v>
      </c>
      <c r="B1553" s="25" t="s">
        <v>2171</v>
      </c>
      <c r="C1553" s="25" t="s">
        <v>2227</v>
      </c>
      <c r="D1553" s="26" t="n">
        <v>10.000000000396</v>
      </c>
      <c r="E1553" s="26" t="n">
        <v>2.4836</v>
      </c>
      <c r="F1553" s="26" t="n">
        <v>-4.6291630604415</v>
      </c>
      <c r="G1553" s="26" t="n">
        <v>-4.63768680373318</v>
      </c>
      <c r="H1553" s="26" t="n">
        <v>-1.6455630604415</v>
      </c>
      <c r="I1553" s="26" t="n">
        <v>-1.65408680373318</v>
      </c>
      <c r="J1553" s="26" t="n">
        <v>12.66</v>
      </c>
      <c r="K1553" s="27" t="n">
        <f aca="false">MIN(F1553,G1553)</f>
        <v>-4.63768680373318</v>
      </c>
      <c r="L1553" s="27" t="n">
        <f aca="false">AVERAGE(F1553,G1553)</f>
        <v>-4.63342493208734</v>
      </c>
      <c r="M1553" s="27" t="n">
        <f aca="false">MAX(0,NG-L1553)</f>
        <v>3.93342493208734</v>
      </c>
      <c r="N1553" s="27" t="n">
        <f aca="false">MAX(0,GWL-K1553)</f>
        <v>3.13768680373318</v>
      </c>
      <c r="O1553" s="27" t="n">
        <f aca="false">MAX(0,NG-MAX(K1553,GWL))</f>
        <v>0.8</v>
      </c>
      <c r="P1553" s="27" t="n">
        <f aca="false">E1553/2+WS+SLOPE_A*O1553+SLOPE_B*N1553</f>
        <v>9.71717360746636</v>
      </c>
      <c r="Q1553" s="28" t="str">
        <f aca="false">IF(AND(P1553&lt;J1553,N1553&lt;=MAXOC),"Open cut","Shoring")</f>
        <v>Shoring</v>
      </c>
      <c r="R1553" s="27" t="n">
        <f aca="false">IF(Q1553="Shoring",D1553,0)</f>
        <v>10.000000000396</v>
      </c>
      <c r="S1553" s="27" t="n">
        <f aca="false">MAX(0,GWL-L1553)</f>
        <v>3.13342493208734</v>
      </c>
      <c r="T1553" s="27" t="n">
        <f aca="false">MAX(0,NG-MAX(L1553,GWL))</f>
        <v>0.8</v>
      </c>
      <c r="U1553" s="27" t="n">
        <f aca="false">E1553+2*WS</f>
        <v>4.4836</v>
      </c>
      <c r="V1553" s="27" t="n">
        <f aca="false">IF(Q1553="Shoring",D1553*M1553*U1553,0)</f>
        <v>176.359040262053</v>
      </c>
      <c r="W1553" s="27" t="n">
        <f aca="false">IF(Q1553="Open cut",D1553*(U1553*M1553+SLOPE_B*S1553^2+2*SLOPE_B*S1553*T1553+SLOPE_A*T1553^2),0)</f>
        <v>0</v>
      </c>
      <c r="X1553" s="27" t="n">
        <f aca="false">IF(M1553&gt;0,D1553*(E1553+2*SLABOVH)*SLAB,0)</f>
        <v>17.4180000006898</v>
      </c>
      <c r="Y1553" s="27" t="n">
        <f aca="false">IF(M1553&gt;0,D1553*PI()*E1553^2/4,0)</f>
        <v>48.4454711271735</v>
      </c>
      <c r="Z1553" s="27" t="n">
        <f aca="false">IF(H1553-E1553&gt;=GWL,99,E1553*(MAX(0,GWL-H1553)*(GAM_S-GAM_W)+MAX(0,NG-MAX(H1553,GWL))*GAM_D)/(GAM_W*PI()*E1553^2/4))</f>
        <v>0.814827698454316</v>
      </c>
      <c r="AA1553" s="27" t="n">
        <f aca="false">IF(I1553-E1553&gt;=GWL,99,E1553*(MAX(0,GWL-I1553)*(GAM_S-GAM_W)+MAX(0,NG-MAX(I1553,GWL))*GAM_D)/(GAM_W*PI()*E1553^2/4))</f>
        <v>0.818475857162822</v>
      </c>
      <c r="AB1553" s="27" t="n">
        <f aca="false">IF(H1553-E1553&gt;=GWL,99,E1553*(MAX(0,GWL-H1553)*(GAM_S-GAM_W)+MAX(0,FL-MAX(H1553,GWL))*GAM_D)/(GAM_W*PI()*E1553^2/4))</f>
        <v>2.41394707832002</v>
      </c>
      <c r="AC1553" s="27" t="n">
        <f aca="false">IF(I1553-E1553&gt;=GWL,99,E1553*(MAX(0,GWL-I1553)*(GAM_S-GAM_W)+MAX(0,FL-MAX(I1553,GWL))*GAM_D)/(GAM_W*PI()*E1553^2/4))</f>
        <v>2.41759523702852</v>
      </c>
    </row>
    <row r="1554" customFormat="false" ht="15" hidden="false" customHeight="false" outlineLevel="0" collapsed="false">
      <c r="A1554" s="25" t="s">
        <v>2170</v>
      </c>
      <c r="B1554" s="25" t="s">
        <v>2171</v>
      </c>
      <c r="C1554" s="25" t="s">
        <v>2228</v>
      </c>
      <c r="D1554" s="26" t="n">
        <v>10.000000000083</v>
      </c>
      <c r="E1554" s="26" t="n">
        <v>2.4836</v>
      </c>
      <c r="F1554" s="26" t="n">
        <v>-4.63768680373318</v>
      </c>
      <c r="G1554" s="26" t="n">
        <v>-4.64621054702486</v>
      </c>
      <c r="H1554" s="26" t="n">
        <v>-1.65408680373318</v>
      </c>
      <c r="I1554" s="26" t="n">
        <v>-1.66261054702486</v>
      </c>
      <c r="J1554" s="26" t="n">
        <v>18.47</v>
      </c>
      <c r="K1554" s="27" t="n">
        <f aca="false">MIN(F1554,G1554)</f>
        <v>-4.64621054702486</v>
      </c>
      <c r="L1554" s="27" t="n">
        <f aca="false">AVERAGE(F1554,G1554)</f>
        <v>-4.64194867537902</v>
      </c>
      <c r="M1554" s="27" t="n">
        <f aca="false">MAX(0,NG-L1554)</f>
        <v>3.94194867537902</v>
      </c>
      <c r="N1554" s="27" t="n">
        <f aca="false">MAX(0,GWL-K1554)</f>
        <v>3.14621054702486</v>
      </c>
      <c r="O1554" s="27" t="n">
        <f aca="false">MAX(0,NG-MAX(K1554,GWL))</f>
        <v>0.8</v>
      </c>
      <c r="P1554" s="27" t="n">
        <f aca="false">E1554/2+WS+SLOPE_A*O1554+SLOPE_B*N1554</f>
        <v>9.73422109404972</v>
      </c>
      <c r="Q1554" s="28" t="str">
        <f aca="false">IF(AND(P1554&lt;J1554,N1554&lt;=MAXOC),"Open cut","Shoring")</f>
        <v>Shoring</v>
      </c>
      <c r="R1554" s="27" t="n">
        <f aca="false">IF(Q1554="Shoring",D1554,0)</f>
        <v>10.000000000083</v>
      </c>
      <c r="S1554" s="27" t="n">
        <f aca="false">MAX(0,GWL-L1554)</f>
        <v>3.14194867537902</v>
      </c>
      <c r="T1554" s="27" t="n">
        <f aca="false">MAX(0,NG-MAX(L1554,GWL))</f>
        <v>0.8</v>
      </c>
      <c r="U1554" s="27" t="n">
        <f aca="false">E1554+2*WS</f>
        <v>4.4836</v>
      </c>
      <c r="V1554" s="27" t="n">
        <f aca="false">IF(Q1554="Shoring",D1554*M1554*U1554,0)</f>
        <v>176.741210810761</v>
      </c>
      <c r="W1554" s="27" t="n">
        <f aca="false">IF(Q1554="Open cut",D1554*(U1554*M1554+SLOPE_B*S1554^2+2*SLOPE_B*S1554*T1554+SLOPE_A*T1554^2),0)</f>
        <v>0</v>
      </c>
      <c r="X1554" s="27" t="n">
        <f aca="false">IF(M1554&gt;0,D1554*(E1554+2*SLABOVH)*SLAB,0)</f>
        <v>17.4180000001446</v>
      </c>
      <c r="Y1554" s="27" t="n">
        <f aca="false">IF(M1554&gt;0,D1554*PI()*E1554^2/4,0)</f>
        <v>48.4454711256571</v>
      </c>
      <c r="Z1554" s="27" t="n">
        <f aca="false">IF(H1554-E1554&gt;=GWL,99,E1554*(MAX(0,GWL-H1554)*(GAM_S-GAM_W)+MAX(0,NG-MAX(H1554,GWL))*GAM_D)/(GAM_W*PI()*E1554^2/4))</f>
        <v>0.818475857162822</v>
      </c>
      <c r="AA1554" s="27" t="n">
        <f aca="false">IF(I1554-E1554&gt;=GWL,99,E1554*(MAX(0,GWL-I1554)*(GAM_S-GAM_W)+MAX(0,NG-MAX(I1554,GWL))*GAM_D)/(GAM_W*PI()*E1554^2/4))</f>
        <v>0.822124015871328</v>
      </c>
      <c r="AB1554" s="27" t="n">
        <f aca="false">IF(H1554-E1554&gt;=GWL,99,E1554*(MAX(0,GWL-H1554)*(GAM_S-GAM_W)+MAX(0,FL-MAX(H1554,GWL))*GAM_D)/(GAM_W*PI()*E1554^2/4))</f>
        <v>2.41759523702852</v>
      </c>
      <c r="AC1554" s="27" t="n">
        <f aca="false">IF(I1554-E1554&gt;=GWL,99,E1554*(MAX(0,GWL-I1554)*(GAM_S-GAM_W)+MAX(0,FL-MAX(I1554,GWL))*GAM_D)/(GAM_W*PI()*E1554^2/4))</f>
        <v>2.42124339573703</v>
      </c>
    </row>
    <row r="1555" customFormat="false" ht="15" hidden="false" customHeight="false" outlineLevel="0" collapsed="false">
      <c r="A1555" s="25" t="s">
        <v>2170</v>
      </c>
      <c r="B1555" s="25" t="s">
        <v>2171</v>
      </c>
      <c r="C1555" s="25" t="s">
        <v>2229</v>
      </c>
      <c r="D1555" s="26" t="n">
        <v>10.0000000000158</v>
      </c>
      <c r="E1555" s="26" t="n">
        <v>2.4836</v>
      </c>
      <c r="F1555" s="26" t="n">
        <v>-4.64621054702486</v>
      </c>
      <c r="G1555" s="26" t="n">
        <v>-4.65473429031654</v>
      </c>
      <c r="H1555" s="26" t="n">
        <v>-1.66261054702486</v>
      </c>
      <c r="I1555" s="26" t="n">
        <v>-1.67113429031654</v>
      </c>
      <c r="J1555" s="26" t="n">
        <v>17.38</v>
      </c>
      <c r="K1555" s="27" t="n">
        <f aca="false">MIN(F1555,G1555)</f>
        <v>-4.65473429031654</v>
      </c>
      <c r="L1555" s="27" t="n">
        <f aca="false">AVERAGE(F1555,G1555)</f>
        <v>-4.6504724186707</v>
      </c>
      <c r="M1555" s="27" t="n">
        <f aca="false">MAX(0,NG-L1555)</f>
        <v>3.9504724186707</v>
      </c>
      <c r="N1555" s="27" t="n">
        <f aca="false">MAX(0,GWL-K1555)</f>
        <v>3.15473429031654</v>
      </c>
      <c r="O1555" s="27" t="n">
        <f aca="false">MAX(0,NG-MAX(K1555,GWL))</f>
        <v>0.8</v>
      </c>
      <c r="P1555" s="27" t="n">
        <f aca="false">E1555/2+WS+SLOPE_A*O1555+SLOPE_B*N1555</f>
        <v>9.75126858063308</v>
      </c>
      <c r="Q1555" s="28" t="str">
        <f aca="false">IF(AND(P1555&lt;J1555,N1555&lt;=MAXOC),"Open cut","Shoring")</f>
        <v>Shoring</v>
      </c>
      <c r="R1555" s="27" t="n">
        <f aca="false">IF(Q1555="Shoring",D1555,0)</f>
        <v>10.0000000000158</v>
      </c>
      <c r="S1555" s="27" t="n">
        <f aca="false">MAX(0,GWL-L1555)</f>
        <v>3.1504724186707</v>
      </c>
      <c r="T1555" s="27" t="n">
        <f aca="false">MAX(0,NG-MAX(L1555,GWL))</f>
        <v>0.8</v>
      </c>
      <c r="U1555" s="27" t="n">
        <f aca="false">E1555+2*WS</f>
        <v>4.4836</v>
      </c>
      <c r="V1555" s="27" t="n">
        <f aca="false">IF(Q1555="Shoring",D1555*M1555*U1555,0)</f>
        <v>177.1233813638</v>
      </c>
      <c r="W1555" s="27" t="n">
        <f aca="false">IF(Q1555="Open cut",D1555*(U1555*M1555+SLOPE_B*S1555^2+2*SLOPE_B*S1555*T1555+SLOPE_A*T1555^2),0)</f>
        <v>0</v>
      </c>
      <c r="X1555" s="27" t="n">
        <f aca="false">IF(M1555&gt;0,D1555*(E1555+2*SLABOVH)*SLAB,0)</f>
        <v>17.4180000000276</v>
      </c>
      <c r="Y1555" s="27" t="n">
        <f aca="false">IF(M1555&gt;0,D1555*PI()*E1555^2/4,0)</f>
        <v>48.4454711253315</v>
      </c>
      <c r="Z1555" s="27" t="n">
        <f aca="false">IF(H1555-E1555&gt;=GWL,99,E1555*(MAX(0,GWL-H1555)*(GAM_S-GAM_W)+MAX(0,NG-MAX(H1555,GWL))*GAM_D)/(GAM_W*PI()*E1555^2/4))</f>
        <v>0.822124015871328</v>
      </c>
      <c r="AA1555" s="27" t="n">
        <f aca="false">IF(I1555-E1555&gt;=GWL,99,E1555*(MAX(0,GWL-I1555)*(GAM_S-GAM_W)+MAX(0,NG-MAX(I1555,GWL))*GAM_D)/(GAM_W*PI()*E1555^2/4))</f>
        <v>0.825772174579834</v>
      </c>
      <c r="AB1555" s="27" t="n">
        <f aca="false">IF(H1555-E1555&gt;=GWL,99,E1555*(MAX(0,GWL-H1555)*(GAM_S-GAM_W)+MAX(0,FL-MAX(H1555,GWL))*GAM_D)/(GAM_W*PI()*E1555^2/4))</f>
        <v>2.42124339573703</v>
      </c>
      <c r="AC1555" s="27" t="n">
        <f aca="false">IF(I1555-E1555&gt;=GWL,99,E1555*(MAX(0,GWL-I1555)*(GAM_S-GAM_W)+MAX(0,FL-MAX(I1555,GWL))*GAM_D)/(GAM_W*PI()*E1555^2/4))</f>
        <v>2.42489155444553</v>
      </c>
    </row>
    <row r="1556" customFormat="false" ht="15" hidden="false" customHeight="false" outlineLevel="0" collapsed="false">
      <c r="A1556" s="25" t="s">
        <v>2170</v>
      </c>
      <c r="B1556" s="25" t="s">
        <v>2171</v>
      </c>
      <c r="C1556" s="25" t="s">
        <v>2230</v>
      </c>
      <c r="D1556" s="26" t="n">
        <v>10.000000000396</v>
      </c>
      <c r="E1556" s="26" t="n">
        <v>2.4836</v>
      </c>
      <c r="F1556" s="26" t="n">
        <v>-4.65473429031654</v>
      </c>
      <c r="G1556" s="26" t="n">
        <v>-4.66325803360822</v>
      </c>
      <c r="H1556" s="26" t="n">
        <v>-1.67113429031654</v>
      </c>
      <c r="I1556" s="26" t="n">
        <v>-1.67965803360822</v>
      </c>
      <c r="J1556" s="26" t="n">
        <v>8.07</v>
      </c>
      <c r="K1556" s="27" t="n">
        <f aca="false">MIN(F1556,G1556)</f>
        <v>-4.66325803360822</v>
      </c>
      <c r="L1556" s="27" t="n">
        <f aca="false">AVERAGE(F1556,G1556)</f>
        <v>-4.65899616196238</v>
      </c>
      <c r="M1556" s="27" t="n">
        <f aca="false">MAX(0,NG-L1556)</f>
        <v>3.95899616196238</v>
      </c>
      <c r="N1556" s="27" t="n">
        <f aca="false">MAX(0,GWL-K1556)</f>
        <v>3.16325803360822</v>
      </c>
      <c r="O1556" s="27" t="n">
        <f aca="false">MAX(0,NG-MAX(K1556,GWL))</f>
        <v>0.8</v>
      </c>
      <c r="P1556" s="27" t="n">
        <f aca="false">E1556/2+WS+SLOPE_A*O1556+SLOPE_B*N1556</f>
        <v>9.76831606721644</v>
      </c>
      <c r="Q1556" s="28" t="str">
        <f aca="false">IF(AND(P1556&lt;J1556,N1556&lt;=MAXOC),"Open cut","Shoring")</f>
        <v>Shoring</v>
      </c>
      <c r="R1556" s="27" t="n">
        <f aca="false">IF(Q1556="Shoring",D1556,0)</f>
        <v>10.000000000396</v>
      </c>
      <c r="S1556" s="27" t="n">
        <f aca="false">MAX(0,GWL-L1556)</f>
        <v>3.15899616196238</v>
      </c>
      <c r="T1556" s="27" t="n">
        <f aca="false">MAX(0,NG-MAX(L1556,GWL))</f>
        <v>0.8</v>
      </c>
      <c r="U1556" s="27" t="n">
        <f aca="false">E1556+2*WS</f>
        <v>4.4836</v>
      </c>
      <c r="V1556" s="27" t="n">
        <f aca="false">IF(Q1556="Shoring",D1556*M1556*U1556,0)</f>
        <v>177.505551924775</v>
      </c>
      <c r="W1556" s="27" t="n">
        <f aca="false">IF(Q1556="Open cut",D1556*(U1556*M1556+SLOPE_B*S1556^2+2*SLOPE_B*S1556*T1556+SLOPE_A*T1556^2),0)</f>
        <v>0</v>
      </c>
      <c r="X1556" s="27" t="n">
        <f aca="false">IF(M1556&gt;0,D1556*(E1556+2*SLABOVH)*SLAB,0)</f>
        <v>17.4180000006898</v>
      </c>
      <c r="Y1556" s="27" t="n">
        <f aca="false">IF(M1556&gt;0,D1556*PI()*E1556^2/4,0)</f>
        <v>48.4454711271735</v>
      </c>
      <c r="Z1556" s="27" t="n">
        <f aca="false">IF(H1556-E1556&gt;=GWL,99,E1556*(MAX(0,GWL-H1556)*(GAM_S-GAM_W)+MAX(0,NG-MAX(H1556,GWL))*GAM_D)/(GAM_W*PI()*E1556^2/4))</f>
        <v>0.825772174579834</v>
      </c>
      <c r="AA1556" s="27" t="n">
        <f aca="false">IF(I1556-E1556&gt;=GWL,99,E1556*(MAX(0,GWL-I1556)*(GAM_S-GAM_W)+MAX(0,NG-MAX(I1556,GWL))*GAM_D)/(GAM_W*PI()*E1556^2/4))</f>
        <v>0.82942033328834</v>
      </c>
      <c r="AB1556" s="27" t="n">
        <f aca="false">IF(H1556-E1556&gt;=GWL,99,E1556*(MAX(0,GWL-H1556)*(GAM_S-GAM_W)+MAX(0,FL-MAX(H1556,GWL))*GAM_D)/(GAM_W*PI()*E1556^2/4))</f>
        <v>2.42489155444553</v>
      </c>
      <c r="AC1556" s="27" t="n">
        <f aca="false">IF(I1556-E1556&gt;=GWL,99,E1556*(MAX(0,GWL-I1556)*(GAM_S-GAM_W)+MAX(0,FL-MAX(I1556,GWL))*GAM_D)/(GAM_W*PI()*E1556^2/4))</f>
        <v>2.42853971315404</v>
      </c>
    </row>
    <row r="1557" customFormat="false" ht="15" hidden="false" customHeight="false" outlineLevel="0" collapsed="false">
      <c r="A1557" s="25" t="s">
        <v>2170</v>
      </c>
      <c r="B1557" s="25" t="s">
        <v>2171</v>
      </c>
      <c r="C1557" s="25" t="s">
        <v>2231</v>
      </c>
      <c r="D1557" s="26" t="n">
        <v>9.99999999925538</v>
      </c>
      <c r="E1557" s="26" t="n">
        <v>2.4836</v>
      </c>
      <c r="F1557" s="26" t="n">
        <v>-4.66325803360822</v>
      </c>
      <c r="G1557" s="26" t="n">
        <v>-4.6717817768999</v>
      </c>
      <c r="H1557" s="26" t="n">
        <v>-1.67965803360822</v>
      </c>
      <c r="I1557" s="26" t="n">
        <v>-1.6881817768999</v>
      </c>
      <c r="J1557" s="26" t="n">
        <v>3.48</v>
      </c>
      <c r="K1557" s="27" t="n">
        <f aca="false">MIN(F1557,G1557)</f>
        <v>-4.6717817768999</v>
      </c>
      <c r="L1557" s="27" t="n">
        <f aca="false">AVERAGE(F1557,G1557)</f>
        <v>-4.66751990525406</v>
      </c>
      <c r="M1557" s="27" t="n">
        <f aca="false">MAX(0,NG-L1557)</f>
        <v>3.96751990525406</v>
      </c>
      <c r="N1557" s="27" t="n">
        <f aca="false">MAX(0,GWL-K1557)</f>
        <v>3.1717817768999</v>
      </c>
      <c r="O1557" s="27" t="n">
        <f aca="false">MAX(0,NG-MAX(K1557,GWL))</f>
        <v>0.8</v>
      </c>
      <c r="P1557" s="27" t="n">
        <f aca="false">E1557/2+WS+SLOPE_A*O1557+SLOPE_B*N1557</f>
        <v>9.7853635537998</v>
      </c>
      <c r="Q1557" s="28" t="str">
        <f aca="false">IF(AND(P1557&lt;J1557,N1557&lt;=MAXOC),"Open cut","Shoring")</f>
        <v>Shoring</v>
      </c>
      <c r="R1557" s="27" t="n">
        <f aca="false">IF(Q1557="Shoring",D1557,0)</f>
        <v>9.99999999925538</v>
      </c>
      <c r="S1557" s="27" t="n">
        <f aca="false">MAX(0,GWL-L1557)</f>
        <v>3.16751990525406</v>
      </c>
      <c r="T1557" s="27" t="n">
        <f aca="false">MAX(0,NG-MAX(L1557,GWL))</f>
        <v>0.8</v>
      </c>
      <c r="U1557" s="27" t="n">
        <f aca="false">E1557+2*WS</f>
        <v>4.4836</v>
      </c>
      <c r="V1557" s="27" t="n">
        <f aca="false">IF(Q1557="Shoring",D1557*M1557*U1557,0)</f>
        <v>177.887722458725</v>
      </c>
      <c r="W1557" s="27" t="n">
        <f aca="false">IF(Q1557="Open cut",D1557*(U1557*M1557+SLOPE_B*S1557^2+2*SLOPE_B*S1557*T1557+SLOPE_A*T1557^2),0)</f>
        <v>0</v>
      </c>
      <c r="X1557" s="27" t="n">
        <f aca="false">IF(M1557&gt;0,D1557*(E1557+2*SLABOVH)*SLAB,0)</f>
        <v>17.417999998703</v>
      </c>
      <c r="Y1557" s="27" t="n">
        <f aca="false">IF(M1557&gt;0,D1557*PI()*E1557^2/4,0)</f>
        <v>48.4454711216475</v>
      </c>
      <c r="Z1557" s="27" t="n">
        <f aca="false">IF(H1557-E1557&gt;=GWL,99,E1557*(MAX(0,GWL-H1557)*(GAM_S-GAM_W)+MAX(0,NG-MAX(H1557,GWL))*GAM_D)/(GAM_W*PI()*E1557^2/4))</f>
        <v>0.82942033328834</v>
      </c>
      <c r="AA1557" s="27" t="n">
        <f aca="false">IF(I1557-E1557&gt;=GWL,99,E1557*(MAX(0,GWL-I1557)*(GAM_S-GAM_W)+MAX(0,NG-MAX(I1557,GWL))*GAM_D)/(GAM_W*PI()*E1557^2/4))</f>
        <v>0.833068491996845</v>
      </c>
      <c r="AB1557" s="27" t="n">
        <f aca="false">IF(H1557-E1557&gt;=GWL,99,E1557*(MAX(0,GWL-H1557)*(GAM_S-GAM_W)+MAX(0,FL-MAX(H1557,GWL))*GAM_D)/(GAM_W*PI()*E1557^2/4))</f>
        <v>2.42853971315404</v>
      </c>
      <c r="AC1557" s="27" t="n">
        <f aca="false">IF(I1557-E1557&gt;=GWL,99,E1557*(MAX(0,GWL-I1557)*(GAM_S-GAM_W)+MAX(0,FL-MAX(I1557,GWL))*GAM_D)/(GAM_W*PI()*E1557^2/4))</f>
        <v>2.43218787186255</v>
      </c>
    </row>
    <row r="1558" customFormat="false" ht="15" hidden="false" customHeight="false" outlineLevel="0" collapsed="false">
      <c r="A1558" s="25" t="s">
        <v>2170</v>
      </c>
      <c r="B1558" s="25" t="s">
        <v>2171</v>
      </c>
      <c r="C1558" s="25" t="s">
        <v>2232</v>
      </c>
      <c r="D1558" s="26" t="n">
        <v>10.0000000000158</v>
      </c>
      <c r="E1558" s="26" t="n">
        <v>2.4836</v>
      </c>
      <c r="F1558" s="26" t="n">
        <v>-4.6717817768999</v>
      </c>
      <c r="G1558" s="26" t="n">
        <v>-4.68030552019158</v>
      </c>
      <c r="H1558" s="26" t="n">
        <v>-1.6881817768999</v>
      </c>
      <c r="I1558" s="26" t="n">
        <v>-1.69670552019158</v>
      </c>
      <c r="J1558" s="26" t="n">
        <v>3.44</v>
      </c>
      <c r="K1558" s="27" t="n">
        <f aca="false">MIN(F1558,G1558)</f>
        <v>-4.68030552019158</v>
      </c>
      <c r="L1558" s="27" t="n">
        <f aca="false">AVERAGE(F1558,G1558)</f>
        <v>-4.67604364854574</v>
      </c>
      <c r="M1558" s="27" t="n">
        <f aca="false">MAX(0,NG-L1558)</f>
        <v>3.97604364854574</v>
      </c>
      <c r="N1558" s="27" t="n">
        <f aca="false">MAX(0,GWL-K1558)</f>
        <v>3.18030552019158</v>
      </c>
      <c r="O1558" s="27" t="n">
        <f aca="false">MAX(0,NG-MAX(K1558,GWL))</f>
        <v>0.8</v>
      </c>
      <c r="P1558" s="27" t="n">
        <f aca="false">E1558/2+WS+SLOPE_A*O1558+SLOPE_B*N1558</f>
        <v>9.80241104038316</v>
      </c>
      <c r="Q1558" s="28" t="str">
        <f aca="false">IF(AND(P1558&lt;J1558,N1558&lt;=MAXOC),"Open cut","Shoring")</f>
        <v>Shoring</v>
      </c>
      <c r="R1558" s="27" t="n">
        <f aca="false">IF(Q1558="Shoring",D1558,0)</f>
        <v>10.0000000000158</v>
      </c>
      <c r="S1558" s="27" t="n">
        <f aca="false">MAX(0,GWL-L1558)</f>
        <v>3.17604364854574</v>
      </c>
      <c r="T1558" s="27" t="n">
        <f aca="false">MAX(0,NG-MAX(L1558,GWL))</f>
        <v>0.8</v>
      </c>
      <c r="U1558" s="27" t="n">
        <f aca="false">E1558+2*WS</f>
        <v>4.4836</v>
      </c>
      <c r="V1558" s="27" t="n">
        <f aca="false">IF(Q1558="Shoring",D1558*M1558*U1558,0)</f>
        <v>178.269893026479</v>
      </c>
      <c r="W1558" s="27" t="n">
        <f aca="false">IF(Q1558="Open cut",D1558*(U1558*M1558+SLOPE_B*S1558^2+2*SLOPE_B*S1558*T1558+SLOPE_A*T1558^2),0)</f>
        <v>0</v>
      </c>
      <c r="X1558" s="27" t="n">
        <f aca="false">IF(M1558&gt;0,D1558*(E1558+2*SLABOVH)*SLAB,0)</f>
        <v>17.4180000000276</v>
      </c>
      <c r="Y1558" s="27" t="n">
        <f aca="false">IF(M1558&gt;0,D1558*PI()*E1558^2/4,0)</f>
        <v>48.4454711253315</v>
      </c>
      <c r="Z1558" s="27" t="n">
        <f aca="false">IF(H1558-E1558&gt;=GWL,99,E1558*(MAX(0,GWL-H1558)*(GAM_S-GAM_W)+MAX(0,NG-MAX(H1558,GWL))*GAM_D)/(GAM_W*PI()*E1558^2/4))</f>
        <v>0.833068491996845</v>
      </c>
      <c r="AA1558" s="27" t="n">
        <f aca="false">IF(I1558-E1558&gt;=GWL,99,E1558*(MAX(0,GWL-I1558)*(GAM_S-GAM_W)+MAX(0,NG-MAX(I1558,GWL))*GAM_D)/(GAM_W*PI()*E1558^2/4))</f>
        <v>0.836716650705351</v>
      </c>
      <c r="AB1558" s="27" t="n">
        <f aca="false">IF(H1558-E1558&gt;=GWL,99,E1558*(MAX(0,GWL-H1558)*(GAM_S-GAM_W)+MAX(0,FL-MAX(H1558,GWL))*GAM_D)/(GAM_W*PI()*E1558^2/4))</f>
        <v>2.43218787186255</v>
      </c>
      <c r="AC1558" s="27" t="n">
        <f aca="false">IF(I1558-E1558&gt;=GWL,99,E1558*(MAX(0,GWL-I1558)*(GAM_S-GAM_W)+MAX(0,FL-MAX(I1558,GWL))*GAM_D)/(GAM_W*PI()*E1558^2/4))</f>
        <v>2.43583603057105</v>
      </c>
    </row>
    <row r="1559" customFormat="false" ht="15" hidden="false" customHeight="false" outlineLevel="0" collapsed="false">
      <c r="A1559" s="25" t="s">
        <v>2170</v>
      </c>
      <c r="B1559" s="25" t="s">
        <v>2171</v>
      </c>
      <c r="C1559" s="25" t="s">
        <v>2233</v>
      </c>
      <c r="D1559" s="26" t="n">
        <v>10.000000000396</v>
      </c>
      <c r="E1559" s="26" t="n">
        <v>2.4836</v>
      </c>
      <c r="F1559" s="26" t="n">
        <v>-4.68030552019158</v>
      </c>
      <c r="G1559" s="26" t="n">
        <v>-4.68882926348326</v>
      </c>
      <c r="H1559" s="26" t="n">
        <v>-1.69670552019158</v>
      </c>
      <c r="I1559" s="26" t="n">
        <v>-1.70522926348326</v>
      </c>
      <c r="J1559" s="26" t="n">
        <v>10.05</v>
      </c>
      <c r="K1559" s="27" t="n">
        <f aca="false">MIN(F1559,G1559)</f>
        <v>-4.68882926348326</v>
      </c>
      <c r="L1559" s="27" t="n">
        <f aca="false">AVERAGE(F1559,G1559)</f>
        <v>-4.68456739183742</v>
      </c>
      <c r="M1559" s="27" t="n">
        <f aca="false">MAX(0,NG-L1559)</f>
        <v>3.98456739183742</v>
      </c>
      <c r="N1559" s="27" t="n">
        <f aca="false">MAX(0,GWL-K1559)</f>
        <v>3.18882926348326</v>
      </c>
      <c r="O1559" s="27" t="n">
        <f aca="false">MAX(0,NG-MAX(K1559,GWL))</f>
        <v>0.8</v>
      </c>
      <c r="P1559" s="27" t="n">
        <f aca="false">E1559/2+WS+SLOPE_A*O1559+SLOPE_B*N1559</f>
        <v>9.81945852696651</v>
      </c>
      <c r="Q1559" s="28" t="str">
        <f aca="false">IF(AND(P1559&lt;J1559,N1559&lt;=MAXOC),"Open cut","Shoring")</f>
        <v>Shoring</v>
      </c>
      <c r="R1559" s="27" t="n">
        <f aca="false">IF(Q1559="Shoring",D1559,0)</f>
        <v>10.000000000396</v>
      </c>
      <c r="S1559" s="27" t="n">
        <f aca="false">MAX(0,GWL-L1559)</f>
        <v>3.18456739183742</v>
      </c>
      <c r="T1559" s="27" t="n">
        <f aca="false">MAX(0,NG-MAX(L1559,GWL))</f>
        <v>0.8</v>
      </c>
      <c r="U1559" s="27" t="n">
        <f aca="false">E1559+2*WS</f>
        <v>4.4836</v>
      </c>
      <c r="V1559" s="27" t="n">
        <f aca="false">IF(Q1559="Shoring",D1559*M1559*U1559,0)</f>
        <v>178.652063587498</v>
      </c>
      <c r="W1559" s="27" t="n">
        <f aca="false">IF(Q1559="Open cut",D1559*(U1559*M1559+SLOPE_B*S1559^2+2*SLOPE_B*S1559*T1559+SLOPE_A*T1559^2),0)</f>
        <v>0</v>
      </c>
      <c r="X1559" s="27" t="n">
        <f aca="false">IF(M1559&gt;0,D1559*(E1559+2*SLABOVH)*SLAB,0)</f>
        <v>17.4180000006898</v>
      </c>
      <c r="Y1559" s="27" t="n">
        <f aca="false">IF(M1559&gt;0,D1559*PI()*E1559^2/4,0)</f>
        <v>48.4454711271735</v>
      </c>
      <c r="Z1559" s="27" t="n">
        <f aca="false">IF(H1559-E1559&gt;=GWL,99,E1559*(MAX(0,GWL-H1559)*(GAM_S-GAM_W)+MAX(0,NG-MAX(H1559,GWL))*GAM_D)/(GAM_W*PI()*E1559^2/4))</f>
        <v>0.836716650705351</v>
      </c>
      <c r="AA1559" s="27" t="n">
        <f aca="false">IF(I1559-E1559&gt;=GWL,99,E1559*(MAX(0,GWL-I1559)*(GAM_S-GAM_W)+MAX(0,NG-MAX(I1559,GWL))*GAM_D)/(GAM_W*PI()*E1559^2/4))</f>
        <v>0.840364809413857</v>
      </c>
      <c r="AB1559" s="27" t="n">
        <f aca="false">IF(H1559-E1559&gt;=GWL,99,E1559*(MAX(0,GWL-H1559)*(GAM_S-GAM_W)+MAX(0,FL-MAX(H1559,GWL))*GAM_D)/(GAM_W*PI()*E1559^2/4))</f>
        <v>2.43583603057105</v>
      </c>
      <c r="AC1559" s="27" t="n">
        <f aca="false">IF(I1559-E1559&gt;=GWL,99,E1559*(MAX(0,GWL-I1559)*(GAM_S-GAM_W)+MAX(0,FL-MAX(I1559,GWL))*GAM_D)/(GAM_W*PI()*E1559^2/4))</f>
        <v>2.43948418927956</v>
      </c>
    </row>
    <row r="1560" customFormat="false" ht="15" hidden="false" customHeight="false" outlineLevel="0" collapsed="false">
      <c r="A1560" s="25" t="s">
        <v>2170</v>
      </c>
      <c r="B1560" s="25" t="s">
        <v>2171</v>
      </c>
      <c r="C1560" s="25" t="s">
        <v>2234</v>
      </c>
      <c r="D1560" s="26" t="n">
        <v>10.0000000000158</v>
      </c>
      <c r="E1560" s="26" t="n">
        <v>2.4836</v>
      </c>
      <c r="F1560" s="26" t="n">
        <v>-4.68882926348326</v>
      </c>
      <c r="G1560" s="26" t="n">
        <v>-4.69735300677494</v>
      </c>
      <c r="H1560" s="26" t="n">
        <v>-1.70522926348326</v>
      </c>
      <c r="I1560" s="26" t="n">
        <v>-1.71375300677494</v>
      </c>
      <c r="J1560" s="26" t="n">
        <v>19.73</v>
      </c>
      <c r="K1560" s="27" t="n">
        <f aca="false">MIN(F1560,G1560)</f>
        <v>-4.69735300677494</v>
      </c>
      <c r="L1560" s="27" t="n">
        <f aca="false">AVERAGE(F1560,G1560)</f>
        <v>-4.6930911351291</v>
      </c>
      <c r="M1560" s="27" t="n">
        <f aca="false">MAX(0,NG-L1560)</f>
        <v>3.9930911351291</v>
      </c>
      <c r="N1560" s="27" t="n">
        <f aca="false">MAX(0,GWL-K1560)</f>
        <v>3.19735300677494</v>
      </c>
      <c r="O1560" s="27" t="n">
        <f aca="false">MAX(0,NG-MAX(K1560,GWL))</f>
        <v>0.8</v>
      </c>
      <c r="P1560" s="27" t="n">
        <f aca="false">E1560/2+WS+SLOPE_A*O1560+SLOPE_B*N1560</f>
        <v>9.83650601354988</v>
      </c>
      <c r="Q1560" s="28" t="str">
        <f aca="false">IF(AND(P1560&lt;J1560,N1560&lt;=MAXOC),"Open cut","Shoring")</f>
        <v>Shoring</v>
      </c>
      <c r="R1560" s="27" t="n">
        <f aca="false">IF(Q1560="Shoring",D1560,0)</f>
        <v>10.0000000000158</v>
      </c>
      <c r="S1560" s="27" t="n">
        <f aca="false">MAX(0,GWL-L1560)</f>
        <v>3.1930911351291</v>
      </c>
      <c r="T1560" s="27" t="n">
        <f aca="false">MAX(0,NG-MAX(L1560,GWL))</f>
        <v>0.8</v>
      </c>
      <c r="U1560" s="27" t="n">
        <f aca="false">E1560+2*WS</f>
        <v>4.4836</v>
      </c>
      <c r="V1560" s="27" t="n">
        <f aca="false">IF(Q1560="Shoring",D1560*M1560*U1560,0)</f>
        <v>179.034234134931</v>
      </c>
      <c r="W1560" s="27" t="n">
        <f aca="false">IF(Q1560="Open cut",D1560*(U1560*M1560+SLOPE_B*S1560^2+2*SLOPE_B*S1560*T1560+SLOPE_A*T1560^2),0)</f>
        <v>0</v>
      </c>
      <c r="X1560" s="27" t="n">
        <f aca="false">IF(M1560&gt;0,D1560*(E1560+2*SLABOVH)*SLAB,0)</f>
        <v>17.4180000000276</v>
      </c>
      <c r="Y1560" s="27" t="n">
        <f aca="false">IF(M1560&gt;0,D1560*PI()*E1560^2/4,0)</f>
        <v>48.4454711253315</v>
      </c>
      <c r="Z1560" s="27" t="n">
        <f aca="false">IF(H1560-E1560&gt;=GWL,99,E1560*(MAX(0,GWL-H1560)*(GAM_S-GAM_W)+MAX(0,NG-MAX(H1560,GWL))*GAM_D)/(GAM_W*PI()*E1560^2/4))</f>
        <v>0.840364809413857</v>
      </c>
      <c r="AA1560" s="27" t="n">
        <f aca="false">IF(I1560-E1560&gt;=GWL,99,E1560*(MAX(0,GWL-I1560)*(GAM_S-GAM_W)+MAX(0,NG-MAX(I1560,GWL))*GAM_D)/(GAM_W*PI()*E1560^2/4))</f>
        <v>0.844012968122363</v>
      </c>
      <c r="AB1560" s="27" t="n">
        <f aca="false">IF(H1560-E1560&gt;=GWL,99,E1560*(MAX(0,GWL-H1560)*(GAM_S-GAM_W)+MAX(0,FL-MAX(H1560,GWL))*GAM_D)/(GAM_W*PI()*E1560^2/4))</f>
        <v>2.43948418927956</v>
      </c>
      <c r="AC1560" s="27" t="n">
        <f aca="false">IF(I1560-E1560&gt;=GWL,99,E1560*(MAX(0,GWL-I1560)*(GAM_S-GAM_W)+MAX(0,FL-MAX(I1560,GWL))*GAM_D)/(GAM_W*PI()*E1560^2/4))</f>
        <v>2.44313234798806</v>
      </c>
    </row>
    <row r="1561" customFormat="false" ht="15" hidden="false" customHeight="false" outlineLevel="0" collapsed="false">
      <c r="A1561" s="25" t="s">
        <v>2170</v>
      </c>
      <c r="B1561" s="25" t="s">
        <v>2171</v>
      </c>
      <c r="C1561" s="25" t="s">
        <v>2235</v>
      </c>
      <c r="D1561" s="26" t="n">
        <v>5.21718342831253</v>
      </c>
      <c r="E1561" s="26" t="n">
        <v>2.4836</v>
      </c>
      <c r="F1561" s="26" t="n">
        <v>-4.69735300677494</v>
      </c>
      <c r="G1561" s="26" t="n">
        <v>-4.7018</v>
      </c>
      <c r="H1561" s="26" t="n">
        <v>-1.71375300677494</v>
      </c>
      <c r="I1561" s="26" t="n">
        <v>-1.7182</v>
      </c>
      <c r="J1561" s="26" t="n">
        <v>99</v>
      </c>
      <c r="K1561" s="27" t="n">
        <f aca="false">MIN(F1561,G1561)</f>
        <v>-4.7018</v>
      </c>
      <c r="L1561" s="27" t="n">
        <f aca="false">AVERAGE(F1561,G1561)</f>
        <v>-4.69957650338747</v>
      </c>
      <c r="M1561" s="27" t="n">
        <f aca="false">MAX(0,NG-L1561)</f>
        <v>3.99957650338747</v>
      </c>
      <c r="N1561" s="27" t="n">
        <f aca="false">MAX(0,GWL-K1561)</f>
        <v>3.2018</v>
      </c>
      <c r="O1561" s="27" t="n">
        <f aca="false">MAX(0,NG-MAX(K1561,GWL))</f>
        <v>0.8</v>
      </c>
      <c r="P1561" s="27" t="n">
        <f aca="false">E1561/2+WS+SLOPE_A*O1561+SLOPE_B*N1561</f>
        <v>9.8454</v>
      </c>
      <c r="Q1561" s="28" t="str">
        <f aca="false">IF(AND(P1561&lt;J1561,N1561&lt;=MAXOC),"Open cut","Shoring")</f>
        <v>Shoring</v>
      </c>
      <c r="R1561" s="27" t="n">
        <f aca="false">IF(Q1561="Shoring",D1561,0)</f>
        <v>5.21718342831253</v>
      </c>
      <c r="S1561" s="27" t="n">
        <f aca="false">MAX(0,GWL-L1561)</f>
        <v>3.19957650338747</v>
      </c>
      <c r="T1561" s="27" t="n">
        <f aca="false">MAX(0,NG-MAX(L1561,GWL))</f>
        <v>0.8</v>
      </c>
      <c r="U1561" s="27" t="n">
        <f aca="false">E1561+2*WS</f>
        <v>4.4836</v>
      </c>
      <c r="V1561" s="27" t="n">
        <f aca="false">IF(Q1561="Shoring",D1561*M1561*U1561,0)</f>
        <v>93.5571481440745</v>
      </c>
      <c r="W1561" s="27" t="n">
        <f aca="false">IF(Q1561="Open cut",D1561*(U1561*M1561+SLOPE_B*S1561^2+2*SLOPE_B*S1561*T1561+SLOPE_A*T1561^2),0)</f>
        <v>0</v>
      </c>
      <c r="X1561" s="27" t="n">
        <f aca="false">IF(M1561&gt;0,D1561*(E1561+2*SLABOVH)*SLAB,0)</f>
        <v>9.08729009543477</v>
      </c>
      <c r="Y1561" s="27" t="n">
        <f aca="false">IF(M1561&gt;0,D1561*PI()*E1561^2/4,0)</f>
        <v>25.2748909131473</v>
      </c>
      <c r="Z1561" s="27" t="n">
        <f aca="false">IF(H1561-E1561&gt;=GWL,99,E1561*(MAX(0,GWL-H1561)*(GAM_S-GAM_W)+MAX(0,NG-MAX(H1561,GWL))*GAM_D)/(GAM_W*PI()*E1561^2/4))</f>
        <v>0.844012968122363</v>
      </c>
      <c r="AA1561" s="27" t="n">
        <f aca="false">IF(I1561-E1561&gt;=GWL,99,E1561*(MAX(0,GWL-I1561)*(GAM_S-GAM_W)+MAX(0,NG-MAX(I1561,GWL))*GAM_D)/(GAM_W*PI()*E1561^2/4))</f>
        <v>0.845916279438239</v>
      </c>
      <c r="AB1561" s="27" t="n">
        <f aca="false">IF(H1561-E1561&gt;=GWL,99,E1561*(MAX(0,GWL-H1561)*(GAM_S-GAM_W)+MAX(0,FL-MAX(H1561,GWL))*GAM_D)/(GAM_W*PI()*E1561^2/4))</f>
        <v>2.44313234798806</v>
      </c>
      <c r="AC1561" s="27" t="n">
        <f aca="false">IF(I1561-E1561&gt;=GWL,99,E1561*(MAX(0,GWL-I1561)*(GAM_S-GAM_W)+MAX(0,FL-MAX(I1561,GWL))*GAM_D)/(GAM_W*PI()*E1561^2/4))</f>
        <v>2.44503565930394</v>
      </c>
    </row>
    <row r="1562" customFormat="false" ht="15" hidden="false" customHeight="false" outlineLevel="0" collapsed="false">
      <c r="A1562" s="25" t="s">
        <v>2236</v>
      </c>
      <c r="B1562" s="25" t="s">
        <v>2237</v>
      </c>
      <c r="C1562" s="25" t="s">
        <v>2238</v>
      </c>
      <c r="D1562" s="26" t="n">
        <v>9.99999999971225</v>
      </c>
      <c r="E1562" s="26" t="n">
        <v>2.48359100241285</v>
      </c>
      <c r="F1562" s="26" t="n">
        <v>-4.19179550120643</v>
      </c>
      <c r="G1562" s="26" t="n">
        <v>-4.19008747176</v>
      </c>
      <c r="H1562" s="26" t="n">
        <v>-1.20820449879358</v>
      </c>
      <c r="I1562" s="26" t="n">
        <v>-1.20649646934715</v>
      </c>
      <c r="J1562" s="26" t="n">
        <v>99</v>
      </c>
      <c r="K1562" s="27" t="n">
        <f aca="false">MIN(F1562,G1562)</f>
        <v>-4.19179550120643</v>
      </c>
      <c r="L1562" s="27" t="n">
        <f aca="false">AVERAGE(F1562,G1562)</f>
        <v>-4.19094148648321</v>
      </c>
      <c r="M1562" s="27" t="n">
        <f aca="false">MAX(0,NG-L1562)</f>
        <v>3.49094148648321</v>
      </c>
      <c r="N1562" s="27" t="n">
        <f aca="false">MAX(0,GWL-K1562)</f>
        <v>2.69179550120643</v>
      </c>
      <c r="O1562" s="27" t="n">
        <f aca="false">MAX(0,NG-MAX(K1562,GWL))</f>
        <v>0.8</v>
      </c>
      <c r="P1562" s="27" t="n">
        <f aca="false">E1562/2+WS+SLOPE_A*O1562+SLOPE_B*N1562</f>
        <v>8.82538650361928</v>
      </c>
      <c r="Q1562" s="28" t="str">
        <f aca="false">IF(AND(P1562&lt;J1562,N1562&lt;=MAXOC),"Open cut","Shoring")</f>
        <v>Shoring</v>
      </c>
      <c r="R1562" s="27" t="n">
        <f aca="false">IF(Q1562="Shoring",D1562,0)</f>
        <v>9.99999999971225</v>
      </c>
      <c r="S1562" s="27" t="n">
        <f aca="false">MAX(0,GWL-L1562)</f>
        <v>2.69094148648321</v>
      </c>
      <c r="T1562" s="27" t="n">
        <f aca="false">MAX(0,NG-MAX(L1562,GWL))</f>
        <v>0.8</v>
      </c>
      <c r="U1562" s="27" t="n">
        <f aca="false">E1562+2*WS</f>
        <v>4.48359100241285</v>
      </c>
      <c r="V1562" s="27" t="n">
        <f aca="false">IF(Q1562="Shoring",D1562*M1562*U1562,0)</f>
        <v>156.519538382955</v>
      </c>
      <c r="W1562" s="27" t="n">
        <f aca="false">IF(Q1562="Open cut",D1562*(U1562*M1562+SLOPE_B*S1562^2+2*SLOPE_B*S1562*T1562+SLOPE_A*T1562^2),0)</f>
        <v>0</v>
      </c>
      <c r="X1562" s="27" t="n">
        <f aca="false">IF(M1562&gt;0,D1562*(E1562+2*SLABOVH)*SLAB,0)</f>
        <v>17.4179550115631</v>
      </c>
      <c r="Y1562" s="27" t="n">
        <f aca="false">IF(M1562&gt;0,D1562*PI()*E1562^2/4,0)</f>
        <v>48.4451201079494</v>
      </c>
      <c r="Z1562" s="27" t="n">
        <f aca="false">IF(H1562-E1562&gt;=GWL,99,E1562*(MAX(0,GWL-H1562)*(GAM_S-GAM_W)+MAX(0,NG-MAX(H1562,GWL))*GAM_D)/(GAM_W*PI()*E1562^2/4))</f>
        <v>0.478048592436847</v>
      </c>
      <c r="AA1562" s="27" t="n">
        <f aca="false">IF(I1562-E1562&gt;=GWL,99,E1562*(MAX(0,GWL-I1562)*(GAM_S-GAM_W)+MAX(0,NG-MAX(I1562,GWL))*GAM_D)/(GAM_W*PI()*E1562^2/4))</f>
        <v>0.476441914269604</v>
      </c>
      <c r="AB1562" s="27" t="n">
        <f aca="false">IF(H1562-E1562&gt;=GWL,99,E1562*(MAX(0,GWL-H1562)*(GAM_S-GAM_W)+MAX(0,FL-MAX(H1562,GWL))*GAM_D)/(GAM_W*PI()*E1562^2/4))</f>
        <v>2.07717376561391</v>
      </c>
      <c r="AC1562" s="27" t="n">
        <f aca="false">IF(I1562-E1562&gt;=GWL,99,E1562*(MAX(0,GWL-I1562)*(GAM_S-GAM_W)+MAX(0,FL-MAX(I1562,GWL))*GAM_D)/(GAM_W*PI()*E1562^2/4))</f>
        <v>2.07556708744667</v>
      </c>
    </row>
    <row r="1563" customFormat="false" ht="15" hidden="false" customHeight="false" outlineLevel="0" collapsed="false">
      <c r="A1563" s="25" t="s">
        <v>2236</v>
      </c>
      <c r="B1563" s="25" t="s">
        <v>2237</v>
      </c>
      <c r="C1563" s="25" t="s">
        <v>2239</v>
      </c>
      <c r="D1563" s="26" t="n">
        <v>10.0000000001734</v>
      </c>
      <c r="E1563" s="26" t="n">
        <v>2.48359100241285</v>
      </c>
      <c r="F1563" s="26" t="n">
        <v>-4.19008747176</v>
      </c>
      <c r="G1563" s="26" t="n">
        <v>-4.18837944231357</v>
      </c>
      <c r="H1563" s="26" t="n">
        <v>-1.20649646934715</v>
      </c>
      <c r="I1563" s="26" t="n">
        <v>-1.20478843990072</v>
      </c>
      <c r="J1563" s="26" t="n">
        <v>99</v>
      </c>
      <c r="K1563" s="27" t="n">
        <f aca="false">MIN(F1563,G1563)</f>
        <v>-4.19008747176</v>
      </c>
      <c r="L1563" s="27" t="n">
        <f aca="false">AVERAGE(F1563,G1563)</f>
        <v>-4.18923345703678</v>
      </c>
      <c r="M1563" s="27" t="n">
        <f aca="false">MAX(0,NG-L1563)</f>
        <v>3.48923345703678</v>
      </c>
      <c r="N1563" s="27" t="n">
        <f aca="false">MAX(0,GWL-K1563)</f>
        <v>2.69008747176</v>
      </c>
      <c r="O1563" s="27" t="n">
        <f aca="false">MAX(0,NG-MAX(K1563,GWL))</f>
        <v>0.8</v>
      </c>
      <c r="P1563" s="27" t="n">
        <f aca="false">E1563/2+WS+SLOPE_A*O1563+SLOPE_B*N1563</f>
        <v>8.82197044472642</v>
      </c>
      <c r="Q1563" s="28" t="str">
        <f aca="false">IF(AND(P1563&lt;J1563,N1563&lt;=MAXOC),"Open cut","Shoring")</f>
        <v>Shoring</v>
      </c>
      <c r="R1563" s="27" t="n">
        <f aca="false">IF(Q1563="Shoring",D1563,0)</f>
        <v>10.0000000001734</v>
      </c>
      <c r="S1563" s="27" t="n">
        <f aca="false">MAX(0,GWL-L1563)</f>
        <v>2.68923345703678</v>
      </c>
      <c r="T1563" s="27" t="n">
        <f aca="false">MAX(0,NG-MAX(L1563,GWL))</f>
        <v>0.8</v>
      </c>
      <c r="U1563" s="27" t="n">
        <f aca="false">E1563+2*WS</f>
        <v>4.48359100241285</v>
      </c>
      <c r="V1563" s="27" t="n">
        <f aca="false">IF(Q1563="Shoring",D1563*M1563*U1563,0)</f>
        <v>156.442957335593</v>
      </c>
      <c r="W1563" s="27" t="n">
        <f aca="false">IF(Q1563="Open cut",D1563*(U1563*M1563+SLOPE_B*S1563^2+2*SLOPE_B*S1563*T1563+SLOPE_A*T1563^2),0)</f>
        <v>0</v>
      </c>
      <c r="X1563" s="27" t="n">
        <f aca="false">IF(M1563&gt;0,D1563*(E1563+2*SLABOVH)*SLAB,0)</f>
        <v>17.4179550123663</v>
      </c>
      <c r="Y1563" s="27" t="n">
        <f aca="false">IF(M1563&gt;0,D1563*PI()*E1563^2/4,0)</f>
        <v>48.4451201101835</v>
      </c>
      <c r="Z1563" s="27" t="n">
        <f aca="false">IF(H1563-E1563&gt;=GWL,99,E1563*(MAX(0,GWL-H1563)*(GAM_S-GAM_W)+MAX(0,NG-MAX(H1563,GWL))*GAM_D)/(GAM_W*PI()*E1563^2/4))</f>
        <v>0.476441914269604</v>
      </c>
      <c r="AA1563" s="27" t="n">
        <f aca="false">IF(I1563-E1563&gt;=GWL,99,E1563*(MAX(0,GWL-I1563)*(GAM_S-GAM_W)+MAX(0,NG-MAX(I1563,GWL))*GAM_D)/(GAM_W*PI()*E1563^2/4))</f>
        <v>0.474835236102362</v>
      </c>
      <c r="AB1563" s="27" t="n">
        <f aca="false">IF(H1563-E1563&gt;=GWL,99,E1563*(MAX(0,GWL-H1563)*(GAM_S-GAM_W)+MAX(0,FL-MAX(H1563,GWL))*GAM_D)/(GAM_W*PI()*E1563^2/4))</f>
        <v>2.07556708744667</v>
      </c>
      <c r="AC1563" s="27" t="n">
        <f aca="false">IF(I1563-E1563&gt;=GWL,99,E1563*(MAX(0,GWL-I1563)*(GAM_S-GAM_W)+MAX(0,FL-MAX(I1563,GWL))*GAM_D)/(GAM_W*PI()*E1563^2/4))</f>
        <v>2.07396040927943</v>
      </c>
    </row>
    <row r="1564" customFormat="false" ht="15" hidden="false" customHeight="false" outlineLevel="0" collapsed="false">
      <c r="A1564" s="25" t="s">
        <v>2236</v>
      </c>
      <c r="B1564" s="25" t="s">
        <v>2237</v>
      </c>
      <c r="C1564" s="25" t="s">
        <v>2240</v>
      </c>
      <c r="D1564" s="26" t="n">
        <v>9.99999999971225</v>
      </c>
      <c r="E1564" s="26" t="n">
        <v>2.48359100241285</v>
      </c>
      <c r="F1564" s="26" t="n">
        <v>-4.18837944231357</v>
      </c>
      <c r="G1564" s="26" t="n">
        <v>-4.18667141286714</v>
      </c>
      <c r="H1564" s="26" t="n">
        <v>-1.20478843990072</v>
      </c>
      <c r="I1564" s="26" t="n">
        <v>-1.20308041045429</v>
      </c>
      <c r="J1564" s="26" t="n">
        <v>27.41</v>
      </c>
      <c r="K1564" s="27" t="n">
        <f aca="false">MIN(F1564,G1564)</f>
        <v>-4.18837944231357</v>
      </c>
      <c r="L1564" s="27" t="n">
        <f aca="false">AVERAGE(F1564,G1564)</f>
        <v>-4.18752542759035</v>
      </c>
      <c r="M1564" s="27" t="n">
        <f aca="false">MAX(0,NG-L1564)</f>
        <v>3.48752542759035</v>
      </c>
      <c r="N1564" s="27" t="n">
        <f aca="false">MAX(0,GWL-K1564)</f>
        <v>2.68837944231357</v>
      </c>
      <c r="O1564" s="27" t="n">
        <f aca="false">MAX(0,NG-MAX(K1564,GWL))</f>
        <v>0.8</v>
      </c>
      <c r="P1564" s="27" t="n">
        <f aca="false">E1564/2+WS+SLOPE_A*O1564+SLOPE_B*N1564</f>
        <v>8.81855438583356</v>
      </c>
      <c r="Q1564" s="28" t="str">
        <f aca="false">IF(AND(P1564&lt;J1564,N1564&lt;=MAXOC),"Open cut","Shoring")</f>
        <v>Shoring</v>
      </c>
      <c r="R1564" s="27" t="n">
        <f aca="false">IF(Q1564="Shoring",D1564,0)</f>
        <v>9.99999999971225</v>
      </c>
      <c r="S1564" s="27" t="n">
        <f aca="false">MAX(0,GWL-L1564)</f>
        <v>2.68752542759035</v>
      </c>
      <c r="T1564" s="27" t="n">
        <f aca="false">MAX(0,NG-MAX(L1564,GWL))</f>
        <v>0.8</v>
      </c>
      <c r="U1564" s="27" t="n">
        <f aca="false">E1564+2*WS</f>
        <v>4.48359100241285</v>
      </c>
      <c r="V1564" s="27" t="n">
        <f aca="false">IF(Q1564="Shoring",D1564*M1564*U1564,0)</f>
        <v>156.366376273802</v>
      </c>
      <c r="W1564" s="27" t="n">
        <f aca="false">IF(Q1564="Open cut",D1564*(U1564*M1564+SLOPE_B*S1564^2+2*SLOPE_B*S1564*T1564+SLOPE_A*T1564^2),0)</f>
        <v>0</v>
      </c>
      <c r="X1564" s="27" t="n">
        <f aca="false">IF(M1564&gt;0,D1564*(E1564+2*SLABOVH)*SLAB,0)</f>
        <v>17.4179550115631</v>
      </c>
      <c r="Y1564" s="27" t="n">
        <f aca="false">IF(M1564&gt;0,D1564*PI()*E1564^2/4,0)</f>
        <v>48.4451201079494</v>
      </c>
      <c r="Z1564" s="27" t="n">
        <f aca="false">IF(H1564-E1564&gt;=GWL,99,E1564*(MAX(0,GWL-H1564)*(GAM_S-GAM_W)+MAX(0,NG-MAX(H1564,GWL))*GAM_D)/(GAM_W*PI()*E1564^2/4))</f>
        <v>0.474835236102362</v>
      </c>
      <c r="AA1564" s="27" t="n">
        <f aca="false">IF(I1564-E1564&gt;=GWL,99,E1564*(MAX(0,GWL-I1564)*(GAM_S-GAM_W)+MAX(0,NG-MAX(I1564,GWL))*GAM_D)/(GAM_W*PI()*E1564^2/4))</f>
        <v>0.473228557935121</v>
      </c>
      <c r="AB1564" s="27" t="n">
        <f aca="false">IF(H1564-E1564&gt;=GWL,99,E1564*(MAX(0,GWL-H1564)*(GAM_S-GAM_W)+MAX(0,FL-MAX(H1564,GWL))*GAM_D)/(GAM_W*PI()*E1564^2/4))</f>
        <v>2.07396040927943</v>
      </c>
      <c r="AC1564" s="27" t="n">
        <f aca="false">IF(I1564-E1564&gt;=GWL,99,E1564*(MAX(0,GWL-I1564)*(GAM_S-GAM_W)+MAX(0,FL-MAX(I1564,GWL))*GAM_D)/(GAM_W*PI()*E1564^2/4))</f>
        <v>2.07235373111219</v>
      </c>
    </row>
    <row r="1565" customFormat="false" ht="15" hidden="false" customHeight="false" outlineLevel="0" collapsed="false">
      <c r="A1565" s="25" t="s">
        <v>2236</v>
      </c>
      <c r="B1565" s="25" t="s">
        <v>2237</v>
      </c>
      <c r="C1565" s="25" t="s">
        <v>2241</v>
      </c>
      <c r="D1565" s="26" t="n">
        <v>10.0000000005176</v>
      </c>
      <c r="E1565" s="26" t="n">
        <v>2.48359100241285</v>
      </c>
      <c r="F1565" s="26" t="n">
        <v>-4.18667141286714</v>
      </c>
      <c r="G1565" s="26" t="n">
        <v>-4.18496338342071</v>
      </c>
      <c r="H1565" s="26" t="n">
        <v>-1.20308041045429</v>
      </c>
      <c r="I1565" s="26" t="n">
        <v>-1.20137238100786</v>
      </c>
      <c r="J1565" s="26" t="n">
        <v>27.26</v>
      </c>
      <c r="K1565" s="27" t="n">
        <f aca="false">MIN(F1565,G1565)</f>
        <v>-4.18667141286714</v>
      </c>
      <c r="L1565" s="27" t="n">
        <f aca="false">AVERAGE(F1565,G1565)</f>
        <v>-4.18581739814393</v>
      </c>
      <c r="M1565" s="27" t="n">
        <f aca="false">MAX(0,NG-L1565)</f>
        <v>3.48581739814393</v>
      </c>
      <c r="N1565" s="27" t="n">
        <f aca="false">MAX(0,GWL-K1565)</f>
        <v>2.68667141286714</v>
      </c>
      <c r="O1565" s="27" t="n">
        <f aca="false">MAX(0,NG-MAX(K1565,GWL))</f>
        <v>0.8</v>
      </c>
      <c r="P1565" s="27" t="n">
        <f aca="false">E1565/2+WS+SLOPE_A*O1565+SLOPE_B*N1565</f>
        <v>8.81513832694071</v>
      </c>
      <c r="Q1565" s="28" t="str">
        <f aca="false">IF(AND(P1565&lt;J1565,N1565&lt;=MAXOC),"Open cut","Shoring")</f>
        <v>Shoring</v>
      </c>
      <c r="R1565" s="27" t="n">
        <f aca="false">IF(Q1565="Shoring",D1565,0)</f>
        <v>10.0000000005176</v>
      </c>
      <c r="S1565" s="27" t="n">
        <f aca="false">MAX(0,GWL-L1565)</f>
        <v>2.68581739814393</v>
      </c>
      <c r="T1565" s="27" t="n">
        <f aca="false">MAX(0,NG-MAX(L1565,GWL))</f>
        <v>0.8</v>
      </c>
      <c r="U1565" s="27" t="n">
        <f aca="false">E1565+2*WS</f>
        <v>4.48359100241285</v>
      </c>
      <c r="V1565" s="27" t="n">
        <f aca="false">IF(Q1565="Shoring",D1565*M1565*U1565,0)</f>
        <v>156.289795231813</v>
      </c>
      <c r="W1565" s="27" t="n">
        <f aca="false">IF(Q1565="Open cut",D1565*(U1565*M1565+SLOPE_B*S1565^2+2*SLOPE_B*S1565*T1565+SLOPE_A*T1565^2),0)</f>
        <v>0</v>
      </c>
      <c r="X1565" s="27" t="n">
        <f aca="false">IF(M1565&gt;0,D1565*(E1565+2*SLABOVH)*SLAB,0)</f>
        <v>17.4179550129659</v>
      </c>
      <c r="Y1565" s="27" t="n">
        <f aca="false">IF(M1565&gt;0,D1565*PI()*E1565^2/4,0)</f>
        <v>48.4451201118511</v>
      </c>
      <c r="Z1565" s="27" t="n">
        <f aca="false">IF(H1565-E1565&gt;=GWL,99,E1565*(MAX(0,GWL-H1565)*(GAM_S-GAM_W)+MAX(0,NG-MAX(H1565,GWL))*GAM_D)/(GAM_W*PI()*E1565^2/4))</f>
        <v>0.473228557935121</v>
      </c>
      <c r="AA1565" s="27" t="n">
        <f aca="false">IF(I1565-E1565&gt;=GWL,99,E1565*(MAX(0,GWL-I1565)*(GAM_S-GAM_W)+MAX(0,NG-MAX(I1565,GWL))*GAM_D)/(GAM_W*PI()*E1565^2/4))</f>
        <v>0.471621879767878</v>
      </c>
      <c r="AB1565" s="27" t="n">
        <f aca="false">IF(H1565-E1565&gt;=GWL,99,E1565*(MAX(0,GWL-H1565)*(GAM_S-GAM_W)+MAX(0,FL-MAX(H1565,GWL))*GAM_D)/(GAM_W*PI()*E1565^2/4))</f>
        <v>2.07235373111219</v>
      </c>
      <c r="AC1565" s="27" t="n">
        <f aca="false">IF(I1565-E1565&gt;=GWL,99,E1565*(MAX(0,GWL-I1565)*(GAM_S-GAM_W)+MAX(0,FL-MAX(I1565,GWL))*GAM_D)/(GAM_W*PI()*E1565^2/4))</f>
        <v>2.07074705294494</v>
      </c>
    </row>
    <row r="1566" customFormat="false" ht="15" hidden="false" customHeight="false" outlineLevel="0" collapsed="false">
      <c r="A1566" s="25" t="s">
        <v>2236</v>
      </c>
      <c r="B1566" s="25" t="s">
        <v>2237</v>
      </c>
      <c r="C1566" s="25" t="s">
        <v>2242</v>
      </c>
      <c r="D1566" s="26" t="n">
        <v>10.0000000001734</v>
      </c>
      <c r="E1566" s="26" t="n">
        <v>2.48359100241285</v>
      </c>
      <c r="F1566" s="26" t="n">
        <v>-4.18496338342071</v>
      </c>
      <c r="G1566" s="26" t="n">
        <v>-4.18325535397428</v>
      </c>
      <c r="H1566" s="26" t="n">
        <v>-1.20137238100786</v>
      </c>
      <c r="I1566" s="26" t="n">
        <v>-1.19966435156143</v>
      </c>
      <c r="J1566" s="26" t="n">
        <v>27.58</v>
      </c>
      <c r="K1566" s="27" t="n">
        <f aca="false">MIN(F1566,G1566)</f>
        <v>-4.18496338342071</v>
      </c>
      <c r="L1566" s="27" t="n">
        <f aca="false">AVERAGE(F1566,G1566)</f>
        <v>-4.1841093686975</v>
      </c>
      <c r="M1566" s="27" t="n">
        <f aca="false">MAX(0,NG-L1566)</f>
        <v>3.4841093686975</v>
      </c>
      <c r="N1566" s="27" t="n">
        <f aca="false">MAX(0,GWL-K1566)</f>
        <v>2.68496338342071</v>
      </c>
      <c r="O1566" s="27" t="n">
        <f aca="false">MAX(0,NG-MAX(K1566,GWL))</f>
        <v>0.8</v>
      </c>
      <c r="P1566" s="27" t="n">
        <f aca="false">E1566/2+WS+SLOPE_A*O1566+SLOPE_B*N1566</f>
        <v>8.81172226804785</v>
      </c>
      <c r="Q1566" s="28" t="str">
        <f aca="false">IF(AND(P1566&lt;J1566,N1566&lt;=MAXOC),"Open cut","Shoring")</f>
        <v>Shoring</v>
      </c>
      <c r="R1566" s="27" t="n">
        <f aca="false">IF(Q1566="Shoring",D1566,0)</f>
        <v>10.0000000001734</v>
      </c>
      <c r="S1566" s="27" t="n">
        <f aca="false">MAX(0,GWL-L1566)</f>
        <v>2.6841093686975</v>
      </c>
      <c r="T1566" s="27" t="n">
        <f aca="false">MAX(0,NG-MAX(L1566,GWL))</f>
        <v>0.8</v>
      </c>
      <c r="U1566" s="27" t="n">
        <f aca="false">E1566+2*WS</f>
        <v>4.48359100241285</v>
      </c>
      <c r="V1566" s="27" t="n">
        <f aca="false">IF(Q1566="Shoring",D1566*M1566*U1566,0)</f>
        <v>156.213214171853</v>
      </c>
      <c r="W1566" s="27" t="n">
        <f aca="false">IF(Q1566="Open cut",D1566*(U1566*M1566+SLOPE_B*S1566^2+2*SLOPE_B*S1566*T1566+SLOPE_A*T1566^2),0)</f>
        <v>0</v>
      </c>
      <c r="X1566" s="27" t="n">
        <f aca="false">IF(M1566&gt;0,D1566*(E1566+2*SLABOVH)*SLAB,0)</f>
        <v>17.4179550123663</v>
      </c>
      <c r="Y1566" s="27" t="n">
        <f aca="false">IF(M1566&gt;0,D1566*PI()*E1566^2/4,0)</f>
        <v>48.4451201101835</v>
      </c>
      <c r="Z1566" s="27" t="n">
        <f aca="false">IF(H1566-E1566&gt;=GWL,99,E1566*(MAX(0,GWL-H1566)*(GAM_S-GAM_W)+MAX(0,NG-MAX(H1566,GWL))*GAM_D)/(GAM_W*PI()*E1566^2/4))</f>
        <v>0.471621879767878</v>
      </c>
      <c r="AA1566" s="27" t="n">
        <f aca="false">IF(I1566-E1566&gt;=GWL,99,E1566*(MAX(0,GWL-I1566)*(GAM_S-GAM_W)+MAX(0,NG-MAX(I1566,GWL))*GAM_D)/(GAM_W*PI()*E1566^2/4))</f>
        <v>0.470015201600635</v>
      </c>
      <c r="AB1566" s="27" t="n">
        <f aca="false">IF(H1566-E1566&gt;=GWL,99,E1566*(MAX(0,GWL-H1566)*(GAM_S-GAM_W)+MAX(0,FL-MAX(H1566,GWL))*GAM_D)/(GAM_W*PI()*E1566^2/4))</f>
        <v>2.07074705294494</v>
      </c>
      <c r="AC1566" s="27" t="n">
        <f aca="false">IF(I1566-E1566&gt;=GWL,99,E1566*(MAX(0,GWL-I1566)*(GAM_S-GAM_W)+MAX(0,FL-MAX(I1566,GWL))*GAM_D)/(GAM_W*PI()*E1566^2/4))</f>
        <v>2.0691403747777</v>
      </c>
    </row>
    <row r="1567" customFormat="false" ht="15" hidden="false" customHeight="false" outlineLevel="0" collapsed="false">
      <c r="A1567" s="25" t="s">
        <v>2236</v>
      </c>
      <c r="B1567" s="25" t="s">
        <v>2237</v>
      </c>
      <c r="C1567" s="25" t="s">
        <v>2243</v>
      </c>
      <c r="D1567" s="26" t="n">
        <v>9.99999999971225</v>
      </c>
      <c r="E1567" s="26" t="n">
        <v>2.48359100241285</v>
      </c>
      <c r="F1567" s="26" t="n">
        <v>-4.18325535397428</v>
      </c>
      <c r="G1567" s="26" t="n">
        <v>-4.18154732452785</v>
      </c>
      <c r="H1567" s="26" t="n">
        <v>-1.19966435156143</v>
      </c>
      <c r="I1567" s="26" t="n">
        <v>-1.197956322115</v>
      </c>
      <c r="J1567" s="26" t="n">
        <v>29.49</v>
      </c>
      <c r="K1567" s="27" t="n">
        <f aca="false">MIN(F1567,G1567)</f>
        <v>-4.18325535397428</v>
      </c>
      <c r="L1567" s="27" t="n">
        <f aca="false">AVERAGE(F1567,G1567)</f>
        <v>-4.18240133925107</v>
      </c>
      <c r="M1567" s="27" t="n">
        <f aca="false">MAX(0,NG-L1567)</f>
        <v>3.48240133925107</v>
      </c>
      <c r="N1567" s="27" t="n">
        <f aca="false">MAX(0,GWL-K1567)</f>
        <v>2.68325535397428</v>
      </c>
      <c r="O1567" s="27" t="n">
        <f aca="false">MAX(0,NG-MAX(K1567,GWL))</f>
        <v>0.8</v>
      </c>
      <c r="P1567" s="27" t="n">
        <f aca="false">E1567/2+WS+SLOPE_A*O1567+SLOPE_B*N1567</f>
        <v>8.80830620915499</v>
      </c>
      <c r="Q1567" s="28" t="str">
        <f aca="false">IF(AND(P1567&lt;J1567,N1567&lt;=MAXOC),"Open cut","Shoring")</f>
        <v>Shoring</v>
      </c>
      <c r="R1567" s="27" t="n">
        <f aca="false">IF(Q1567="Shoring",D1567,0)</f>
        <v>9.99999999971225</v>
      </c>
      <c r="S1567" s="27" t="n">
        <f aca="false">MAX(0,GWL-L1567)</f>
        <v>2.68240133925107</v>
      </c>
      <c r="T1567" s="27" t="n">
        <f aca="false">MAX(0,NG-MAX(L1567,GWL))</f>
        <v>0.8</v>
      </c>
      <c r="U1567" s="27" t="n">
        <f aca="false">E1567+2*WS</f>
        <v>4.48359100241285</v>
      </c>
      <c r="V1567" s="27" t="n">
        <f aca="false">IF(Q1567="Shoring",D1567*M1567*U1567,0)</f>
        <v>156.136633110073</v>
      </c>
      <c r="W1567" s="27" t="n">
        <f aca="false">IF(Q1567="Open cut",D1567*(U1567*M1567+SLOPE_B*S1567^2+2*SLOPE_B*S1567*T1567+SLOPE_A*T1567^2),0)</f>
        <v>0</v>
      </c>
      <c r="X1567" s="27" t="n">
        <f aca="false">IF(M1567&gt;0,D1567*(E1567+2*SLABOVH)*SLAB,0)</f>
        <v>17.4179550115631</v>
      </c>
      <c r="Y1567" s="27" t="n">
        <f aca="false">IF(M1567&gt;0,D1567*PI()*E1567^2/4,0)</f>
        <v>48.4451201079494</v>
      </c>
      <c r="Z1567" s="27" t="n">
        <f aca="false">IF(H1567-E1567&gt;=GWL,99,E1567*(MAX(0,GWL-H1567)*(GAM_S-GAM_W)+MAX(0,NG-MAX(H1567,GWL))*GAM_D)/(GAM_W*PI()*E1567^2/4))</f>
        <v>0.470015201600635</v>
      </c>
      <c r="AA1567" s="27" t="n">
        <f aca="false">IF(I1567-E1567&gt;=GWL,99,E1567*(MAX(0,GWL-I1567)*(GAM_S-GAM_W)+MAX(0,NG-MAX(I1567,GWL))*GAM_D)/(GAM_W*PI()*E1567^2/4))</f>
        <v>0.468408523433394</v>
      </c>
      <c r="AB1567" s="27" t="n">
        <f aca="false">IF(H1567-E1567&gt;=GWL,99,E1567*(MAX(0,GWL-H1567)*(GAM_S-GAM_W)+MAX(0,FL-MAX(H1567,GWL))*GAM_D)/(GAM_W*PI()*E1567^2/4))</f>
        <v>2.0691403747777</v>
      </c>
      <c r="AC1567" s="27" t="n">
        <f aca="false">IF(I1567-E1567&gt;=GWL,99,E1567*(MAX(0,GWL-I1567)*(GAM_S-GAM_W)+MAX(0,FL-MAX(I1567,GWL))*GAM_D)/(GAM_W*PI()*E1567^2/4))</f>
        <v>2.06753369661046</v>
      </c>
    </row>
    <row r="1568" customFormat="false" ht="15" hidden="false" customHeight="false" outlineLevel="0" collapsed="false">
      <c r="A1568" s="25" t="s">
        <v>2236</v>
      </c>
      <c r="B1568" s="25" t="s">
        <v>2237</v>
      </c>
      <c r="C1568" s="25" t="s">
        <v>2244</v>
      </c>
      <c r="D1568" s="26" t="n">
        <v>9.9999999997707</v>
      </c>
      <c r="E1568" s="26" t="n">
        <v>2.48359100241285</v>
      </c>
      <c r="F1568" s="26" t="n">
        <v>-4.18154732452785</v>
      </c>
      <c r="G1568" s="26" t="n">
        <v>-4.17983929508143</v>
      </c>
      <c r="H1568" s="26" t="n">
        <v>-1.197956322115</v>
      </c>
      <c r="I1568" s="26" t="n">
        <v>-1.19624829266857</v>
      </c>
      <c r="J1568" s="26" t="n">
        <v>20.23</v>
      </c>
      <c r="K1568" s="27" t="n">
        <f aca="false">MIN(F1568,G1568)</f>
        <v>-4.18154732452785</v>
      </c>
      <c r="L1568" s="27" t="n">
        <f aca="false">AVERAGE(F1568,G1568)</f>
        <v>-4.18069330980464</v>
      </c>
      <c r="M1568" s="27" t="n">
        <f aca="false">MAX(0,NG-L1568)</f>
        <v>3.48069330980464</v>
      </c>
      <c r="N1568" s="27" t="n">
        <f aca="false">MAX(0,GWL-K1568)</f>
        <v>2.68154732452785</v>
      </c>
      <c r="O1568" s="27" t="n">
        <f aca="false">MAX(0,NG-MAX(K1568,GWL))</f>
        <v>0.8</v>
      </c>
      <c r="P1568" s="27" t="n">
        <f aca="false">E1568/2+WS+SLOPE_A*O1568+SLOPE_B*N1568</f>
        <v>8.80489015026213</v>
      </c>
      <c r="Q1568" s="28" t="str">
        <f aca="false">IF(AND(P1568&lt;J1568,N1568&lt;=MAXOC),"Open cut","Shoring")</f>
        <v>Shoring</v>
      </c>
      <c r="R1568" s="27" t="n">
        <f aca="false">IF(Q1568="Shoring",D1568,0)</f>
        <v>9.9999999997707</v>
      </c>
      <c r="S1568" s="27" t="n">
        <f aca="false">MAX(0,GWL-L1568)</f>
        <v>2.68069330980464</v>
      </c>
      <c r="T1568" s="27" t="n">
        <f aca="false">MAX(0,NG-MAX(L1568,GWL))</f>
        <v>0.8</v>
      </c>
      <c r="U1568" s="27" t="n">
        <f aca="false">E1568+2*WS</f>
        <v>4.48359100241285</v>
      </c>
      <c r="V1568" s="27" t="n">
        <f aca="false">IF(Q1568="Shoring",D1568*M1568*U1568,0)</f>
        <v>156.060052056408</v>
      </c>
      <c r="W1568" s="27" t="n">
        <f aca="false">IF(Q1568="Open cut",D1568*(U1568*M1568+SLOPE_B*S1568^2+2*SLOPE_B*S1568*T1568+SLOPE_A*T1568^2),0)</f>
        <v>0</v>
      </c>
      <c r="X1568" s="27" t="n">
        <f aca="false">IF(M1568&gt;0,D1568*(E1568+2*SLABOVH)*SLAB,0)</f>
        <v>17.4179550116649</v>
      </c>
      <c r="Y1568" s="27" t="n">
        <f aca="false">IF(M1568&gt;0,D1568*PI()*E1568^2/4,0)</f>
        <v>48.4451201082326</v>
      </c>
      <c r="Z1568" s="27" t="n">
        <f aca="false">IF(H1568-E1568&gt;=GWL,99,E1568*(MAX(0,GWL-H1568)*(GAM_S-GAM_W)+MAX(0,NG-MAX(H1568,GWL))*GAM_D)/(GAM_W*PI()*E1568^2/4))</f>
        <v>0.468408523433394</v>
      </c>
      <c r="AA1568" s="27" t="n">
        <f aca="false">IF(I1568-E1568&gt;=GWL,99,E1568*(MAX(0,GWL-I1568)*(GAM_S-GAM_W)+MAX(0,NG-MAX(I1568,GWL))*GAM_D)/(GAM_W*PI()*E1568^2/4))</f>
        <v>0.466801845266151</v>
      </c>
      <c r="AB1568" s="27" t="n">
        <f aca="false">IF(H1568-E1568&gt;=GWL,99,E1568*(MAX(0,GWL-H1568)*(GAM_S-GAM_W)+MAX(0,FL-MAX(H1568,GWL))*GAM_D)/(GAM_W*PI()*E1568^2/4))</f>
        <v>2.06753369661046</v>
      </c>
      <c r="AC1568" s="27" t="n">
        <f aca="false">IF(I1568-E1568&gt;=GWL,99,E1568*(MAX(0,GWL-I1568)*(GAM_S-GAM_W)+MAX(0,FL-MAX(I1568,GWL))*GAM_D)/(GAM_W*PI()*E1568^2/4))</f>
        <v>2.06592701844322</v>
      </c>
    </row>
    <row r="1569" customFormat="false" ht="15" hidden="false" customHeight="false" outlineLevel="0" collapsed="false">
      <c r="A1569" s="25" t="s">
        <v>2236</v>
      </c>
      <c r="B1569" s="25" t="s">
        <v>2237</v>
      </c>
      <c r="C1569" s="25" t="s">
        <v>2245</v>
      </c>
      <c r="D1569" s="26" t="n">
        <v>10.0000000001149</v>
      </c>
      <c r="E1569" s="26" t="n">
        <v>2.48359100241285</v>
      </c>
      <c r="F1569" s="26" t="n">
        <v>-4.17983929508143</v>
      </c>
      <c r="G1569" s="26" t="n">
        <v>-4.178131265635</v>
      </c>
      <c r="H1569" s="26" t="n">
        <v>-1.19624829266857</v>
      </c>
      <c r="I1569" s="26" t="n">
        <v>-1.19454026322215</v>
      </c>
      <c r="J1569" s="26" t="n">
        <v>14.14</v>
      </c>
      <c r="K1569" s="27" t="n">
        <f aca="false">MIN(F1569,G1569)</f>
        <v>-4.17983929508143</v>
      </c>
      <c r="L1569" s="27" t="n">
        <f aca="false">AVERAGE(F1569,G1569)</f>
        <v>-4.17898528035821</v>
      </c>
      <c r="M1569" s="27" t="n">
        <f aca="false">MAX(0,NG-L1569)</f>
        <v>3.47898528035821</v>
      </c>
      <c r="N1569" s="27" t="n">
        <f aca="false">MAX(0,GWL-K1569)</f>
        <v>2.67983929508143</v>
      </c>
      <c r="O1569" s="27" t="n">
        <f aca="false">MAX(0,NG-MAX(K1569,GWL))</f>
        <v>0.8</v>
      </c>
      <c r="P1569" s="27" t="n">
        <f aca="false">E1569/2+WS+SLOPE_A*O1569+SLOPE_B*N1569</f>
        <v>8.80147409136928</v>
      </c>
      <c r="Q1569" s="28" t="str">
        <f aca="false">IF(AND(P1569&lt;J1569,N1569&lt;=MAXOC),"Open cut","Shoring")</f>
        <v>Shoring</v>
      </c>
      <c r="R1569" s="27" t="n">
        <f aca="false">IF(Q1569="Shoring",D1569,0)</f>
        <v>10.0000000001149</v>
      </c>
      <c r="S1569" s="27" t="n">
        <f aca="false">MAX(0,GWL-L1569)</f>
        <v>2.67898528035821</v>
      </c>
      <c r="T1569" s="27" t="n">
        <f aca="false">MAX(0,NG-MAX(L1569,GWL))</f>
        <v>0.8</v>
      </c>
      <c r="U1569" s="27" t="n">
        <f aca="false">E1569+2*WS</f>
        <v>4.48359100241285</v>
      </c>
      <c r="V1569" s="27" t="n">
        <f aca="false">IF(Q1569="Shoring",D1569*M1569*U1569,0)</f>
        <v>155.983471007201</v>
      </c>
      <c r="W1569" s="27" t="n">
        <f aca="false">IF(Q1569="Open cut",D1569*(U1569*M1569+SLOPE_B*S1569^2+2*SLOPE_B*S1569*T1569+SLOPE_A*T1569^2),0)</f>
        <v>0</v>
      </c>
      <c r="X1569" s="27" t="n">
        <f aca="false">IF(M1569&gt;0,D1569*(E1569+2*SLABOVH)*SLAB,0)</f>
        <v>17.4179550122645</v>
      </c>
      <c r="Y1569" s="27" t="n">
        <f aca="false">IF(M1569&gt;0,D1569*PI()*E1569^2/4,0)</f>
        <v>48.4451201099002</v>
      </c>
      <c r="Z1569" s="27" t="n">
        <f aca="false">IF(H1569-E1569&gt;=GWL,99,E1569*(MAX(0,GWL-H1569)*(GAM_S-GAM_W)+MAX(0,NG-MAX(H1569,GWL))*GAM_D)/(GAM_W*PI()*E1569^2/4))</f>
        <v>0.466801845266151</v>
      </c>
      <c r="AA1569" s="27" t="n">
        <f aca="false">IF(I1569-E1569&gt;=GWL,99,E1569*(MAX(0,GWL-I1569)*(GAM_S-GAM_W)+MAX(0,NG-MAX(I1569,GWL))*GAM_D)/(GAM_W*PI()*E1569^2/4))</f>
        <v>0.465195167098908</v>
      </c>
      <c r="AB1569" s="27" t="n">
        <f aca="false">IF(H1569-E1569&gt;=GWL,99,E1569*(MAX(0,GWL-H1569)*(GAM_S-GAM_W)+MAX(0,FL-MAX(H1569,GWL))*GAM_D)/(GAM_W*PI()*E1569^2/4))</f>
        <v>2.06592701844322</v>
      </c>
      <c r="AC1569" s="27" t="n">
        <f aca="false">IF(I1569-E1569&gt;=GWL,99,E1569*(MAX(0,GWL-I1569)*(GAM_S-GAM_W)+MAX(0,FL-MAX(I1569,GWL))*GAM_D)/(GAM_W*PI()*E1569^2/4))</f>
        <v>2.06432034027597</v>
      </c>
    </row>
    <row r="1570" customFormat="false" ht="15" hidden="false" customHeight="false" outlineLevel="0" collapsed="false">
      <c r="A1570" s="25" t="s">
        <v>2236</v>
      </c>
      <c r="B1570" s="25" t="s">
        <v>2237</v>
      </c>
      <c r="C1570" s="25" t="s">
        <v>2246</v>
      </c>
      <c r="D1570" s="26" t="n">
        <v>10.0000000005176</v>
      </c>
      <c r="E1570" s="26" t="n">
        <v>2.48359100241285</v>
      </c>
      <c r="F1570" s="26" t="n">
        <v>-4.178131265635</v>
      </c>
      <c r="G1570" s="26" t="n">
        <v>-4.17642323618857</v>
      </c>
      <c r="H1570" s="26" t="n">
        <v>-1.19454026322215</v>
      </c>
      <c r="I1570" s="26" t="n">
        <v>-1.19283223377572</v>
      </c>
      <c r="J1570" s="26" t="n">
        <v>13.05</v>
      </c>
      <c r="K1570" s="27" t="n">
        <f aca="false">MIN(F1570,G1570)</f>
        <v>-4.178131265635</v>
      </c>
      <c r="L1570" s="27" t="n">
        <f aca="false">AVERAGE(F1570,G1570)</f>
        <v>-4.17727725091178</v>
      </c>
      <c r="M1570" s="27" t="n">
        <f aca="false">MAX(0,NG-L1570)</f>
        <v>3.47727725091178</v>
      </c>
      <c r="N1570" s="27" t="n">
        <f aca="false">MAX(0,GWL-K1570)</f>
        <v>2.678131265635</v>
      </c>
      <c r="O1570" s="27" t="n">
        <f aca="false">MAX(0,NG-MAX(K1570,GWL))</f>
        <v>0.8</v>
      </c>
      <c r="P1570" s="27" t="n">
        <f aca="false">E1570/2+WS+SLOPE_A*O1570+SLOPE_B*N1570</f>
        <v>8.79805803247642</v>
      </c>
      <c r="Q1570" s="28" t="str">
        <f aca="false">IF(AND(P1570&lt;J1570,N1570&lt;=MAXOC),"Open cut","Shoring")</f>
        <v>Shoring</v>
      </c>
      <c r="R1570" s="27" t="n">
        <f aca="false">IF(Q1570="Shoring",D1570,0)</f>
        <v>10.0000000005176</v>
      </c>
      <c r="S1570" s="27" t="n">
        <f aca="false">MAX(0,GWL-L1570)</f>
        <v>2.67727725091178</v>
      </c>
      <c r="T1570" s="27" t="n">
        <f aca="false">MAX(0,NG-MAX(L1570,GWL))</f>
        <v>0.8</v>
      </c>
      <c r="U1570" s="27" t="n">
        <f aca="false">E1570+2*WS</f>
        <v>4.48359100241285</v>
      </c>
      <c r="V1570" s="27" t="n">
        <f aca="false">IF(Q1570="Shoring",D1570*M1570*U1570,0)</f>
        <v>155.9068899589</v>
      </c>
      <c r="W1570" s="27" t="n">
        <f aca="false">IF(Q1570="Open cut",D1570*(U1570*M1570+SLOPE_B*S1570^2+2*SLOPE_B*S1570*T1570+SLOPE_A*T1570^2),0)</f>
        <v>0</v>
      </c>
      <c r="X1570" s="27" t="n">
        <f aca="false">IF(M1570&gt;0,D1570*(E1570+2*SLABOVH)*SLAB,0)</f>
        <v>17.4179550129659</v>
      </c>
      <c r="Y1570" s="27" t="n">
        <f aca="false">IF(M1570&gt;0,D1570*PI()*E1570^2/4,0)</f>
        <v>48.4451201118511</v>
      </c>
      <c r="Z1570" s="27" t="n">
        <f aca="false">IF(H1570-E1570&gt;=GWL,99,E1570*(MAX(0,GWL-H1570)*(GAM_S-GAM_W)+MAX(0,NG-MAX(H1570,GWL))*GAM_D)/(GAM_W*PI()*E1570^2/4))</f>
        <v>0.465195167098908</v>
      </c>
      <c r="AA1570" s="27" t="n">
        <f aca="false">IF(I1570-E1570&gt;=GWL,99,E1570*(MAX(0,GWL-I1570)*(GAM_S-GAM_W)+MAX(0,NG-MAX(I1570,GWL))*GAM_D)/(GAM_W*PI()*E1570^2/4))</f>
        <v>0.463588488931668</v>
      </c>
      <c r="AB1570" s="27" t="n">
        <f aca="false">IF(H1570-E1570&gt;=GWL,99,E1570*(MAX(0,GWL-H1570)*(GAM_S-GAM_W)+MAX(0,FL-MAX(H1570,GWL))*GAM_D)/(GAM_W*PI()*E1570^2/4))</f>
        <v>2.06432034027597</v>
      </c>
      <c r="AC1570" s="27" t="n">
        <f aca="false">IF(I1570-E1570&gt;=GWL,99,E1570*(MAX(0,GWL-I1570)*(GAM_S-GAM_W)+MAX(0,FL-MAX(I1570,GWL))*GAM_D)/(GAM_W*PI()*E1570^2/4))</f>
        <v>2.06271366210873</v>
      </c>
    </row>
    <row r="1571" customFormat="false" ht="15" hidden="false" customHeight="false" outlineLevel="0" collapsed="false">
      <c r="A1571" s="25" t="s">
        <v>2236</v>
      </c>
      <c r="B1571" s="25" t="s">
        <v>2237</v>
      </c>
      <c r="C1571" s="25" t="s">
        <v>2247</v>
      </c>
      <c r="D1571" s="26" t="n">
        <v>9.9999999997707</v>
      </c>
      <c r="E1571" s="26" t="n">
        <v>2.48359100241285</v>
      </c>
      <c r="F1571" s="26" t="n">
        <v>-4.17642323618857</v>
      </c>
      <c r="G1571" s="26" t="n">
        <v>-4.17471520674214</v>
      </c>
      <c r="H1571" s="26" t="n">
        <v>-1.19283223377572</v>
      </c>
      <c r="I1571" s="26" t="n">
        <v>-1.19112420432929</v>
      </c>
      <c r="J1571" s="26" t="n">
        <v>13.31</v>
      </c>
      <c r="K1571" s="27" t="n">
        <f aca="false">MIN(F1571,G1571)</f>
        <v>-4.17642323618857</v>
      </c>
      <c r="L1571" s="27" t="n">
        <f aca="false">AVERAGE(F1571,G1571)</f>
        <v>-4.17556922146535</v>
      </c>
      <c r="M1571" s="27" t="n">
        <f aca="false">MAX(0,NG-L1571)</f>
        <v>3.47556922146535</v>
      </c>
      <c r="N1571" s="27" t="n">
        <f aca="false">MAX(0,GWL-K1571)</f>
        <v>2.67642323618857</v>
      </c>
      <c r="O1571" s="27" t="n">
        <f aca="false">MAX(0,NG-MAX(K1571,GWL))</f>
        <v>0.8</v>
      </c>
      <c r="P1571" s="27" t="n">
        <f aca="false">E1571/2+WS+SLOPE_A*O1571+SLOPE_B*N1571</f>
        <v>8.79464197358356</v>
      </c>
      <c r="Q1571" s="28" t="str">
        <f aca="false">IF(AND(P1571&lt;J1571,N1571&lt;=MAXOC),"Open cut","Shoring")</f>
        <v>Shoring</v>
      </c>
      <c r="R1571" s="27" t="n">
        <f aca="false">IF(Q1571="Shoring",D1571,0)</f>
        <v>9.9999999997707</v>
      </c>
      <c r="S1571" s="27" t="n">
        <f aca="false">MAX(0,GWL-L1571)</f>
        <v>2.67556922146535</v>
      </c>
      <c r="T1571" s="27" t="n">
        <f aca="false">MAX(0,NG-MAX(L1571,GWL))</f>
        <v>0.8</v>
      </c>
      <c r="U1571" s="27" t="n">
        <f aca="false">E1571+2*WS</f>
        <v>4.48359100241285</v>
      </c>
      <c r="V1571" s="27" t="n">
        <f aca="false">IF(Q1571="Shoring",D1571*M1571*U1571,0)</f>
        <v>155.830308892678</v>
      </c>
      <c r="W1571" s="27" t="n">
        <f aca="false">IF(Q1571="Open cut",D1571*(U1571*M1571+SLOPE_B*S1571^2+2*SLOPE_B*S1571*T1571+SLOPE_A*T1571^2),0)</f>
        <v>0</v>
      </c>
      <c r="X1571" s="27" t="n">
        <f aca="false">IF(M1571&gt;0,D1571*(E1571+2*SLABOVH)*SLAB,0)</f>
        <v>17.4179550116649</v>
      </c>
      <c r="Y1571" s="27" t="n">
        <f aca="false">IF(M1571&gt;0,D1571*PI()*E1571^2/4,0)</f>
        <v>48.4451201082326</v>
      </c>
      <c r="Z1571" s="27" t="n">
        <f aca="false">IF(H1571-E1571&gt;=GWL,99,E1571*(MAX(0,GWL-H1571)*(GAM_S-GAM_W)+MAX(0,NG-MAX(H1571,GWL))*GAM_D)/(GAM_W*PI()*E1571^2/4))</f>
        <v>0.463588488931668</v>
      </c>
      <c r="AA1571" s="27" t="n">
        <f aca="false">IF(I1571-E1571&gt;=GWL,99,E1571*(MAX(0,GWL-I1571)*(GAM_S-GAM_W)+MAX(0,NG-MAX(I1571,GWL))*GAM_D)/(GAM_W*PI()*E1571^2/4))</f>
        <v>0.461981810764424</v>
      </c>
      <c r="AB1571" s="27" t="n">
        <f aca="false">IF(H1571-E1571&gt;=GWL,99,E1571*(MAX(0,GWL-H1571)*(GAM_S-GAM_W)+MAX(0,FL-MAX(H1571,GWL))*GAM_D)/(GAM_W*PI()*E1571^2/4))</f>
        <v>2.06271366210873</v>
      </c>
      <c r="AC1571" s="27" t="n">
        <f aca="false">IF(I1571-E1571&gt;=GWL,99,E1571*(MAX(0,GWL-I1571)*(GAM_S-GAM_W)+MAX(0,FL-MAX(I1571,GWL))*GAM_D)/(GAM_W*PI()*E1571^2/4))</f>
        <v>2.06110698394149</v>
      </c>
    </row>
    <row r="1572" customFormat="false" ht="15" hidden="false" customHeight="false" outlineLevel="0" collapsed="false">
      <c r="A1572" s="25" t="s">
        <v>2236</v>
      </c>
      <c r="B1572" s="25" t="s">
        <v>2237</v>
      </c>
      <c r="C1572" s="25" t="s">
        <v>2248</v>
      </c>
      <c r="D1572" s="26" t="n">
        <v>10.0000000001149</v>
      </c>
      <c r="E1572" s="26" t="n">
        <v>2.48359100241285</v>
      </c>
      <c r="F1572" s="26" t="n">
        <v>-4.17471520674214</v>
      </c>
      <c r="G1572" s="26" t="n">
        <v>-4.17300717729571</v>
      </c>
      <c r="H1572" s="26" t="n">
        <v>-1.19112420432929</v>
      </c>
      <c r="I1572" s="26" t="n">
        <v>-1.18941617488286</v>
      </c>
      <c r="J1572" s="26" t="n">
        <v>18</v>
      </c>
      <c r="K1572" s="27" t="n">
        <f aca="false">MIN(F1572,G1572)</f>
        <v>-4.17471520674214</v>
      </c>
      <c r="L1572" s="27" t="n">
        <f aca="false">AVERAGE(F1572,G1572)</f>
        <v>-4.17386119201893</v>
      </c>
      <c r="M1572" s="27" t="n">
        <f aca="false">MAX(0,NG-L1572)</f>
        <v>3.47386119201893</v>
      </c>
      <c r="N1572" s="27" t="n">
        <f aca="false">MAX(0,GWL-K1572)</f>
        <v>2.67471520674214</v>
      </c>
      <c r="O1572" s="27" t="n">
        <f aca="false">MAX(0,NG-MAX(K1572,GWL))</f>
        <v>0.8</v>
      </c>
      <c r="P1572" s="27" t="n">
        <f aca="false">E1572/2+WS+SLOPE_A*O1572+SLOPE_B*N1572</f>
        <v>8.7912259146907</v>
      </c>
      <c r="Q1572" s="28" t="str">
        <f aca="false">IF(AND(P1572&lt;J1572,N1572&lt;=MAXOC),"Open cut","Shoring")</f>
        <v>Shoring</v>
      </c>
      <c r="R1572" s="27" t="n">
        <f aca="false">IF(Q1572="Shoring",D1572,0)</f>
        <v>10.0000000001149</v>
      </c>
      <c r="S1572" s="27" t="n">
        <f aca="false">MAX(0,GWL-L1572)</f>
        <v>2.67386119201893</v>
      </c>
      <c r="T1572" s="27" t="n">
        <f aca="false">MAX(0,NG-MAX(L1572,GWL))</f>
        <v>0.8</v>
      </c>
      <c r="U1572" s="27" t="n">
        <f aca="false">E1572+2*WS</f>
        <v>4.48359100241285</v>
      </c>
      <c r="V1572" s="27" t="n">
        <f aca="false">IF(Q1572="Shoring",D1572*M1572*U1572,0)</f>
        <v>155.753727843463</v>
      </c>
      <c r="W1572" s="27" t="n">
        <f aca="false">IF(Q1572="Open cut",D1572*(U1572*M1572+SLOPE_B*S1572^2+2*SLOPE_B*S1572*T1572+SLOPE_A*T1572^2),0)</f>
        <v>0</v>
      </c>
      <c r="X1572" s="27" t="n">
        <f aca="false">IF(M1572&gt;0,D1572*(E1572+2*SLABOVH)*SLAB,0)</f>
        <v>17.4179550122645</v>
      </c>
      <c r="Y1572" s="27" t="n">
        <f aca="false">IF(M1572&gt;0,D1572*PI()*E1572^2/4,0)</f>
        <v>48.4451201099002</v>
      </c>
      <c r="Z1572" s="27" t="n">
        <f aca="false">IF(H1572-E1572&gt;=GWL,99,E1572*(MAX(0,GWL-H1572)*(GAM_S-GAM_W)+MAX(0,NG-MAX(H1572,GWL))*GAM_D)/(GAM_W*PI()*E1572^2/4))</f>
        <v>0.461981810764424</v>
      </c>
      <c r="AA1572" s="27" t="n">
        <f aca="false">IF(I1572-E1572&gt;=GWL,99,E1572*(MAX(0,GWL-I1572)*(GAM_S-GAM_W)+MAX(0,NG-MAX(I1572,GWL))*GAM_D)/(GAM_W*PI()*E1572^2/4))</f>
        <v>0.460375132597184</v>
      </c>
      <c r="AB1572" s="27" t="n">
        <f aca="false">IF(H1572-E1572&gt;=GWL,99,E1572*(MAX(0,GWL-H1572)*(GAM_S-GAM_W)+MAX(0,FL-MAX(H1572,GWL))*GAM_D)/(GAM_W*PI()*E1572^2/4))</f>
        <v>2.06110698394149</v>
      </c>
      <c r="AC1572" s="27" t="n">
        <f aca="false">IF(I1572-E1572&gt;=GWL,99,E1572*(MAX(0,GWL-I1572)*(GAM_S-GAM_W)+MAX(0,FL-MAX(I1572,GWL))*GAM_D)/(GAM_W*PI()*E1572^2/4))</f>
        <v>2.05950030577425</v>
      </c>
    </row>
    <row r="1573" customFormat="false" ht="15" hidden="false" customHeight="false" outlineLevel="0" collapsed="false">
      <c r="A1573" s="25" t="s">
        <v>2236</v>
      </c>
      <c r="B1573" s="25" t="s">
        <v>2237</v>
      </c>
      <c r="C1573" s="25" t="s">
        <v>2249</v>
      </c>
      <c r="D1573" s="26" t="n">
        <v>9.99999999971225</v>
      </c>
      <c r="E1573" s="26" t="n">
        <v>2.48359100241285</v>
      </c>
      <c r="F1573" s="26" t="n">
        <v>-4.17300717729571</v>
      </c>
      <c r="G1573" s="26" t="n">
        <v>-4.17129914784928</v>
      </c>
      <c r="H1573" s="26" t="n">
        <v>-1.18941617488286</v>
      </c>
      <c r="I1573" s="26" t="n">
        <v>-1.18770814543643</v>
      </c>
      <c r="J1573" s="26" t="n">
        <v>25.9</v>
      </c>
      <c r="K1573" s="27" t="n">
        <f aca="false">MIN(F1573,G1573)</f>
        <v>-4.17300717729571</v>
      </c>
      <c r="L1573" s="27" t="n">
        <f aca="false">AVERAGE(F1573,G1573)</f>
        <v>-4.1721531625725</v>
      </c>
      <c r="M1573" s="27" t="n">
        <f aca="false">MAX(0,NG-L1573)</f>
        <v>3.4721531625725</v>
      </c>
      <c r="N1573" s="27" t="n">
        <f aca="false">MAX(0,GWL-K1573)</f>
        <v>2.67300717729571</v>
      </c>
      <c r="O1573" s="27" t="n">
        <f aca="false">MAX(0,NG-MAX(K1573,GWL))</f>
        <v>0.8</v>
      </c>
      <c r="P1573" s="27" t="n">
        <f aca="false">E1573/2+WS+SLOPE_A*O1573+SLOPE_B*N1573</f>
        <v>8.78780985579785</v>
      </c>
      <c r="Q1573" s="28" t="str">
        <f aca="false">IF(AND(P1573&lt;J1573,N1573&lt;=MAXOC),"Open cut","Shoring")</f>
        <v>Shoring</v>
      </c>
      <c r="R1573" s="27" t="n">
        <f aca="false">IF(Q1573="Shoring",D1573,0)</f>
        <v>9.99999999971225</v>
      </c>
      <c r="S1573" s="27" t="n">
        <f aca="false">MAX(0,GWL-L1573)</f>
        <v>2.6721531625725</v>
      </c>
      <c r="T1573" s="27" t="n">
        <f aca="false">MAX(0,NG-MAX(L1573,GWL))</f>
        <v>0.8</v>
      </c>
      <c r="U1573" s="27" t="n">
        <f aca="false">E1573+2*WS</f>
        <v>4.48359100241285</v>
      </c>
      <c r="V1573" s="27" t="n">
        <f aca="false">IF(Q1573="Shoring",D1573*M1573*U1573,0)</f>
        <v>155.677146782614</v>
      </c>
      <c r="W1573" s="27" t="n">
        <f aca="false">IF(Q1573="Open cut",D1573*(U1573*M1573+SLOPE_B*S1573^2+2*SLOPE_B*S1573*T1573+SLOPE_A*T1573^2),0)</f>
        <v>0</v>
      </c>
      <c r="X1573" s="27" t="n">
        <f aca="false">IF(M1573&gt;0,D1573*(E1573+2*SLABOVH)*SLAB,0)</f>
        <v>17.4179550115631</v>
      </c>
      <c r="Y1573" s="27" t="n">
        <f aca="false">IF(M1573&gt;0,D1573*PI()*E1573^2/4,0)</f>
        <v>48.4451201079494</v>
      </c>
      <c r="Z1573" s="27" t="n">
        <f aca="false">IF(H1573-E1573&gt;=GWL,99,E1573*(MAX(0,GWL-H1573)*(GAM_S-GAM_W)+MAX(0,NG-MAX(H1573,GWL))*GAM_D)/(GAM_W*PI()*E1573^2/4))</f>
        <v>0.460375132597184</v>
      </c>
      <c r="AA1573" s="27" t="n">
        <f aca="false">IF(I1573-E1573&gt;=GWL,99,E1573*(MAX(0,GWL-I1573)*(GAM_S-GAM_W)+MAX(0,NG-MAX(I1573,GWL))*GAM_D)/(GAM_W*PI()*E1573^2/4))</f>
        <v>0.458768454429941</v>
      </c>
      <c r="AB1573" s="27" t="n">
        <f aca="false">IF(H1573-E1573&gt;=GWL,99,E1573*(MAX(0,GWL-H1573)*(GAM_S-GAM_W)+MAX(0,FL-MAX(H1573,GWL))*GAM_D)/(GAM_W*PI()*E1573^2/4))</f>
        <v>2.05950030577425</v>
      </c>
      <c r="AC1573" s="27" t="n">
        <f aca="false">IF(I1573-E1573&gt;=GWL,99,E1573*(MAX(0,GWL-I1573)*(GAM_S-GAM_W)+MAX(0,FL-MAX(I1573,GWL))*GAM_D)/(GAM_W*PI()*E1573^2/4))</f>
        <v>2.05789362760701</v>
      </c>
    </row>
    <row r="1574" customFormat="false" ht="15" hidden="false" customHeight="false" outlineLevel="0" collapsed="false">
      <c r="A1574" s="25" t="s">
        <v>2236</v>
      </c>
      <c r="B1574" s="25" t="s">
        <v>2237</v>
      </c>
      <c r="C1574" s="25" t="s">
        <v>2250</v>
      </c>
      <c r="D1574" s="26" t="n">
        <v>9.9999999997707</v>
      </c>
      <c r="E1574" s="26" t="n">
        <v>2.48359100241285</v>
      </c>
      <c r="F1574" s="26" t="n">
        <v>-4.17129914784928</v>
      </c>
      <c r="G1574" s="26" t="n">
        <v>-4.16959111840285</v>
      </c>
      <c r="H1574" s="26" t="n">
        <v>-1.18770814543643</v>
      </c>
      <c r="I1574" s="26" t="n">
        <v>-1.18600011599</v>
      </c>
      <c r="J1574" s="26" t="n">
        <v>28.92</v>
      </c>
      <c r="K1574" s="27" t="n">
        <f aca="false">MIN(F1574,G1574)</f>
        <v>-4.17129914784928</v>
      </c>
      <c r="L1574" s="27" t="n">
        <f aca="false">AVERAGE(F1574,G1574)</f>
        <v>-4.17044513312607</v>
      </c>
      <c r="M1574" s="27" t="n">
        <f aca="false">MAX(0,NG-L1574)</f>
        <v>3.47044513312607</v>
      </c>
      <c r="N1574" s="27" t="n">
        <f aca="false">MAX(0,GWL-K1574)</f>
        <v>2.67129914784928</v>
      </c>
      <c r="O1574" s="27" t="n">
        <f aca="false">MAX(0,NG-MAX(K1574,GWL))</f>
        <v>0.8</v>
      </c>
      <c r="P1574" s="27" t="n">
        <f aca="false">E1574/2+WS+SLOPE_A*O1574+SLOPE_B*N1574</f>
        <v>8.78439379690499</v>
      </c>
      <c r="Q1574" s="28" t="str">
        <f aca="false">IF(AND(P1574&lt;J1574,N1574&lt;=MAXOC),"Open cut","Shoring")</f>
        <v>Shoring</v>
      </c>
      <c r="R1574" s="27" t="n">
        <f aca="false">IF(Q1574="Shoring",D1574,0)</f>
        <v>9.9999999997707</v>
      </c>
      <c r="S1574" s="27" t="n">
        <f aca="false">MAX(0,GWL-L1574)</f>
        <v>2.67044513312607</v>
      </c>
      <c r="T1574" s="27" t="n">
        <f aca="false">MAX(0,NG-MAX(L1574,GWL))</f>
        <v>0.8</v>
      </c>
      <c r="U1574" s="27" t="n">
        <f aca="false">E1574+2*WS</f>
        <v>4.48359100241285</v>
      </c>
      <c r="V1574" s="27" t="n">
        <f aca="false">IF(Q1574="Shoring",D1574*M1574*U1574,0)</f>
        <v>155.600565728947</v>
      </c>
      <c r="W1574" s="27" t="n">
        <f aca="false">IF(Q1574="Open cut",D1574*(U1574*M1574+SLOPE_B*S1574^2+2*SLOPE_B*S1574*T1574+SLOPE_A*T1574^2),0)</f>
        <v>0</v>
      </c>
      <c r="X1574" s="27" t="n">
        <f aca="false">IF(M1574&gt;0,D1574*(E1574+2*SLABOVH)*SLAB,0)</f>
        <v>17.4179550116649</v>
      </c>
      <c r="Y1574" s="27" t="n">
        <f aca="false">IF(M1574&gt;0,D1574*PI()*E1574^2/4,0)</f>
        <v>48.4451201082326</v>
      </c>
      <c r="Z1574" s="27" t="n">
        <f aca="false">IF(H1574-E1574&gt;=GWL,99,E1574*(MAX(0,GWL-H1574)*(GAM_S-GAM_W)+MAX(0,NG-MAX(H1574,GWL))*GAM_D)/(GAM_W*PI()*E1574^2/4))</f>
        <v>0.458768454429941</v>
      </c>
      <c r="AA1574" s="27" t="n">
        <f aca="false">IF(I1574-E1574&gt;=GWL,99,E1574*(MAX(0,GWL-I1574)*(GAM_S-GAM_W)+MAX(0,NG-MAX(I1574,GWL))*GAM_D)/(GAM_W*PI()*E1574^2/4))</f>
        <v>0.457161776262698</v>
      </c>
      <c r="AB1574" s="27" t="n">
        <f aca="false">IF(H1574-E1574&gt;=GWL,99,E1574*(MAX(0,GWL-H1574)*(GAM_S-GAM_W)+MAX(0,FL-MAX(H1574,GWL))*GAM_D)/(GAM_W*PI()*E1574^2/4))</f>
        <v>2.05789362760701</v>
      </c>
      <c r="AC1574" s="27" t="n">
        <f aca="false">IF(I1574-E1574&gt;=GWL,99,E1574*(MAX(0,GWL-I1574)*(GAM_S-GAM_W)+MAX(0,FL-MAX(I1574,GWL))*GAM_D)/(GAM_W*PI()*E1574^2/4))</f>
        <v>2.05628694943976</v>
      </c>
    </row>
    <row r="1575" customFormat="false" ht="15" hidden="false" customHeight="false" outlineLevel="0" collapsed="false">
      <c r="A1575" s="25" t="s">
        <v>2236</v>
      </c>
      <c r="B1575" s="25" t="s">
        <v>2237</v>
      </c>
      <c r="C1575" s="25" t="s">
        <v>2251</v>
      </c>
      <c r="D1575" s="26" t="n">
        <v>9.99999999971225</v>
      </c>
      <c r="E1575" s="26" t="n">
        <v>2.48359100241285</v>
      </c>
      <c r="F1575" s="26" t="n">
        <v>-4.16959111840285</v>
      </c>
      <c r="G1575" s="26" t="n">
        <v>-4.16788308895643</v>
      </c>
      <c r="H1575" s="26" t="n">
        <v>-1.18600011599</v>
      </c>
      <c r="I1575" s="26" t="n">
        <v>-1.18429208654358</v>
      </c>
      <c r="J1575" s="26" t="n">
        <v>32.44</v>
      </c>
      <c r="K1575" s="27" t="n">
        <f aca="false">MIN(F1575,G1575)</f>
        <v>-4.16959111840285</v>
      </c>
      <c r="L1575" s="27" t="n">
        <f aca="false">AVERAGE(F1575,G1575)</f>
        <v>-4.16873710367964</v>
      </c>
      <c r="M1575" s="27" t="n">
        <f aca="false">MAX(0,NG-L1575)</f>
        <v>3.46873710367964</v>
      </c>
      <c r="N1575" s="27" t="n">
        <f aca="false">MAX(0,GWL-K1575)</f>
        <v>2.66959111840285</v>
      </c>
      <c r="O1575" s="27" t="n">
        <f aca="false">MAX(0,NG-MAX(K1575,GWL))</f>
        <v>0.8</v>
      </c>
      <c r="P1575" s="27" t="n">
        <f aca="false">E1575/2+WS+SLOPE_A*O1575+SLOPE_B*N1575</f>
        <v>8.78097773801213</v>
      </c>
      <c r="Q1575" s="28" t="str">
        <f aca="false">IF(AND(P1575&lt;J1575,N1575&lt;=MAXOC),"Open cut","Shoring")</f>
        <v>Shoring</v>
      </c>
      <c r="R1575" s="27" t="n">
        <f aca="false">IF(Q1575="Shoring",D1575,0)</f>
        <v>9.99999999971225</v>
      </c>
      <c r="S1575" s="27" t="n">
        <f aca="false">MAX(0,GWL-L1575)</f>
        <v>2.66873710367964</v>
      </c>
      <c r="T1575" s="27" t="n">
        <f aca="false">MAX(0,NG-MAX(L1575,GWL))</f>
        <v>0.8</v>
      </c>
      <c r="U1575" s="27" t="n">
        <f aca="false">E1575+2*WS</f>
        <v>4.48359100241285</v>
      </c>
      <c r="V1575" s="27" t="n">
        <f aca="false">IF(Q1575="Shoring",D1575*M1575*U1575,0)</f>
        <v>155.523984673461</v>
      </c>
      <c r="W1575" s="27" t="n">
        <f aca="false">IF(Q1575="Open cut",D1575*(U1575*M1575+SLOPE_B*S1575^2+2*SLOPE_B*S1575*T1575+SLOPE_A*T1575^2),0)</f>
        <v>0</v>
      </c>
      <c r="X1575" s="27" t="n">
        <f aca="false">IF(M1575&gt;0,D1575*(E1575+2*SLABOVH)*SLAB,0)</f>
        <v>17.4179550115631</v>
      </c>
      <c r="Y1575" s="27" t="n">
        <f aca="false">IF(M1575&gt;0,D1575*PI()*E1575^2/4,0)</f>
        <v>48.4451201079494</v>
      </c>
      <c r="Z1575" s="27" t="n">
        <f aca="false">IF(H1575-E1575&gt;=GWL,99,E1575*(MAX(0,GWL-H1575)*(GAM_S-GAM_W)+MAX(0,NG-MAX(H1575,GWL))*GAM_D)/(GAM_W*PI()*E1575^2/4))</f>
        <v>0.457161776262698</v>
      </c>
      <c r="AA1575" s="27" t="n">
        <f aca="false">IF(I1575-E1575&gt;=GWL,99,E1575*(MAX(0,GWL-I1575)*(GAM_S-GAM_W)+MAX(0,NG-MAX(I1575,GWL))*GAM_D)/(GAM_W*PI()*E1575^2/4))</f>
        <v>0.455555098095457</v>
      </c>
      <c r="AB1575" s="27" t="n">
        <f aca="false">IF(H1575-E1575&gt;=GWL,99,E1575*(MAX(0,GWL-H1575)*(GAM_S-GAM_W)+MAX(0,FL-MAX(H1575,GWL))*GAM_D)/(GAM_W*PI()*E1575^2/4))</f>
        <v>2.05628694943976</v>
      </c>
      <c r="AC1575" s="27" t="n">
        <f aca="false">IF(I1575-E1575&gt;=GWL,99,E1575*(MAX(0,GWL-I1575)*(GAM_S-GAM_W)+MAX(0,FL-MAX(I1575,GWL))*GAM_D)/(GAM_W*PI()*E1575^2/4))</f>
        <v>2.05468027127252</v>
      </c>
    </row>
    <row r="1576" customFormat="false" ht="15" hidden="false" customHeight="false" outlineLevel="0" collapsed="false">
      <c r="A1576" s="25" t="s">
        <v>2236</v>
      </c>
      <c r="B1576" s="25" t="s">
        <v>2237</v>
      </c>
      <c r="C1576" s="25" t="s">
        <v>2252</v>
      </c>
      <c r="D1576" s="26" t="n">
        <v>10.0000000009788</v>
      </c>
      <c r="E1576" s="26" t="n">
        <v>2.48359100241285</v>
      </c>
      <c r="F1576" s="26" t="n">
        <v>-4.16788308895643</v>
      </c>
      <c r="G1576" s="26" t="n">
        <v>-4.16617505951</v>
      </c>
      <c r="H1576" s="26" t="n">
        <v>-1.18429208654358</v>
      </c>
      <c r="I1576" s="26" t="n">
        <v>-1.18258405709715</v>
      </c>
      <c r="J1576" s="26" t="n">
        <v>99</v>
      </c>
      <c r="K1576" s="27" t="n">
        <f aca="false">MIN(F1576,G1576)</f>
        <v>-4.16788308895643</v>
      </c>
      <c r="L1576" s="27" t="n">
        <f aca="false">AVERAGE(F1576,G1576)</f>
        <v>-4.16702907423321</v>
      </c>
      <c r="M1576" s="27" t="n">
        <f aca="false">MAX(0,NG-L1576)</f>
        <v>3.46702907423321</v>
      </c>
      <c r="N1576" s="27" t="n">
        <f aca="false">MAX(0,GWL-K1576)</f>
        <v>2.66788308895643</v>
      </c>
      <c r="O1576" s="27" t="n">
        <f aca="false">MAX(0,NG-MAX(K1576,GWL))</f>
        <v>0.8</v>
      </c>
      <c r="P1576" s="27" t="n">
        <f aca="false">E1576/2+WS+SLOPE_A*O1576+SLOPE_B*N1576</f>
        <v>8.77756167911928</v>
      </c>
      <c r="Q1576" s="28" t="str">
        <f aca="false">IF(AND(P1576&lt;J1576,N1576&lt;=MAXOC),"Open cut","Shoring")</f>
        <v>Shoring</v>
      </c>
      <c r="R1576" s="27" t="n">
        <f aca="false">IF(Q1576="Shoring",D1576,0)</f>
        <v>10.0000000009788</v>
      </c>
      <c r="S1576" s="27" t="n">
        <f aca="false">MAX(0,GWL-L1576)</f>
        <v>2.66702907423321</v>
      </c>
      <c r="T1576" s="27" t="n">
        <f aca="false">MAX(0,NG-MAX(L1576,GWL))</f>
        <v>0.8</v>
      </c>
      <c r="U1576" s="27" t="n">
        <f aca="false">E1576+2*WS</f>
        <v>4.48359100241285</v>
      </c>
      <c r="V1576" s="27" t="n">
        <f aca="false">IF(Q1576="Shoring",D1576*M1576*U1576,0)</f>
        <v>155.447403638573</v>
      </c>
      <c r="W1576" s="27" t="n">
        <f aca="false">IF(Q1576="Open cut",D1576*(U1576*M1576+SLOPE_B*S1576^2+2*SLOPE_B*S1576*T1576+SLOPE_A*T1576^2),0)</f>
        <v>0</v>
      </c>
      <c r="X1576" s="27" t="n">
        <f aca="false">IF(M1576&gt;0,D1576*(E1576+2*SLABOVH)*SLAB,0)</f>
        <v>17.4179550137691</v>
      </c>
      <c r="Y1576" s="27" t="n">
        <f aca="false">IF(M1576&gt;0,D1576*PI()*E1576^2/4,0)</f>
        <v>48.4451201140852</v>
      </c>
      <c r="Z1576" s="27" t="n">
        <f aca="false">IF(H1576-E1576&gt;=GWL,99,E1576*(MAX(0,GWL-H1576)*(GAM_S-GAM_W)+MAX(0,NG-MAX(H1576,GWL))*GAM_D)/(GAM_W*PI()*E1576^2/4))</f>
        <v>0.455555098095457</v>
      </c>
      <c r="AA1576" s="27" t="n">
        <f aca="false">IF(I1576-E1576&gt;=GWL,99,E1576*(MAX(0,GWL-I1576)*(GAM_S-GAM_W)+MAX(0,NG-MAX(I1576,GWL))*GAM_D)/(GAM_W*PI()*E1576^2/4))</f>
        <v>0.453948419928214</v>
      </c>
      <c r="AB1576" s="27" t="n">
        <f aca="false">IF(H1576-E1576&gt;=GWL,99,E1576*(MAX(0,GWL-H1576)*(GAM_S-GAM_W)+MAX(0,FL-MAX(H1576,GWL))*GAM_D)/(GAM_W*PI()*E1576^2/4))</f>
        <v>2.05468027127252</v>
      </c>
      <c r="AC1576" s="27" t="n">
        <f aca="false">IF(I1576-E1576&gt;=GWL,99,E1576*(MAX(0,GWL-I1576)*(GAM_S-GAM_W)+MAX(0,FL-MAX(I1576,GWL))*GAM_D)/(GAM_W*PI()*E1576^2/4))</f>
        <v>2.05307359310528</v>
      </c>
    </row>
    <row r="1577" customFormat="false" ht="15" hidden="false" customHeight="false" outlineLevel="0" collapsed="false">
      <c r="A1577" s="25" t="s">
        <v>2236</v>
      </c>
      <c r="B1577" s="25" t="s">
        <v>2237</v>
      </c>
      <c r="C1577" s="25" t="s">
        <v>2253</v>
      </c>
      <c r="D1577" s="26" t="n">
        <v>9.99999999971225</v>
      </c>
      <c r="E1577" s="26" t="n">
        <v>2.48359100241285</v>
      </c>
      <c r="F1577" s="26" t="n">
        <v>-4.16617505951</v>
      </c>
      <c r="G1577" s="26" t="n">
        <v>-4.16446703006357</v>
      </c>
      <c r="H1577" s="26" t="n">
        <v>-1.18258405709715</v>
      </c>
      <c r="I1577" s="26" t="n">
        <v>-1.18087602765072</v>
      </c>
      <c r="J1577" s="26" t="n">
        <v>99</v>
      </c>
      <c r="K1577" s="27" t="n">
        <f aca="false">MIN(F1577,G1577)</f>
        <v>-4.16617505951</v>
      </c>
      <c r="L1577" s="27" t="n">
        <f aca="false">AVERAGE(F1577,G1577)</f>
        <v>-4.16532104478678</v>
      </c>
      <c r="M1577" s="27" t="n">
        <f aca="false">MAX(0,NG-L1577)</f>
        <v>3.46532104478678</v>
      </c>
      <c r="N1577" s="27" t="n">
        <f aca="false">MAX(0,GWL-K1577)</f>
        <v>2.66617505951</v>
      </c>
      <c r="O1577" s="27" t="n">
        <f aca="false">MAX(0,NG-MAX(K1577,GWL))</f>
        <v>0.8</v>
      </c>
      <c r="P1577" s="27" t="n">
        <f aca="false">E1577/2+WS+SLOPE_A*O1577+SLOPE_B*N1577</f>
        <v>8.77414562022642</v>
      </c>
      <c r="Q1577" s="28" t="str">
        <f aca="false">IF(AND(P1577&lt;J1577,N1577&lt;=MAXOC),"Open cut","Shoring")</f>
        <v>Shoring</v>
      </c>
      <c r="R1577" s="27" t="n">
        <f aca="false">IF(Q1577="Shoring",D1577,0)</f>
        <v>9.99999999971225</v>
      </c>
      <c r="S1577" s="27" t="n">
        <f aca="false">MAX(0,GWL-L1577)</f>
        <v>2.66532104478678</v>
      </c>
      <c r="T1577" s="27" t="n">
        <f aca="false">MAX(0,NG-MAX(L1577,GWL))</f>
        <v>0.8</v>
      </c>
      <c r="U1577" s="27" t="n">
        <f aca="false">E1577+2*WS</f>
        <v>4.48359100241285</v>
      </c>
      <c r="V1577" s="27" t="n">
        <f aca="false">IF(Q1577="Shoring",D1577*M1577*U1577,0)</f>
        <v>155.370822564308</v>
      </c>
      <c r="W1577" s="27" t="n">
        <f aca="false">IF(Q1577="Open cut",D1577*(U1577*M1577+SLOPE_B*S1577^2+2*SLOPE_B*S1577*T1577+SLOPE_A*T1577^2),0)</f>
        <v>0</v>
      </c>
      <c r="X1577" s="27" t="n">
        <f aca="false">IF(M1577&gt;0,D1577*(E1577+2*SLABOVH)*SLAB,0)</f>
        <v>17.4179550115631</v>
      </c>
      <c r="Y1577" s="27" t="n">
        <f aca="false">IF(M1577&gt;0,D1577*PI()*E1577^2/4,0)</f>
        <v>48.4451201079494</v>
      </c>
      <c r="Z1577" s="27" t="n">
        <f aca="false">IF(H1577-E1577&gt;=GWL,99,E1577*(MAX(0,GWL-H1577)*(GAM_S-GAM_W)+MAX(0,NG-MAX(H1577,GWL))*GAM_D)/(GAM_W*PI()*E1577^2/4))</f>
        <v>0.453948419928214</v>
      </c>
      <c r="AA1577" s="27" t="n">
        <f aca="false">IF(I1577-E1577&gt;=GWL,99,E1577*(MAX(0,GWL-I1577)*(GAM_S-GAM_W)+MAX(0,NG-MAX(I1577,GWL))*GAM_D)/(GAM_W*PI()*E1577^2/4))</f>
        <v>0.452341741760973</v>
      </c>
      <c r="AB1577" s="27" t="n">
        <f aca="false">IF(H1577-E1577&gt;=GWL,99,E1577*(MAX(0,GWL-H1577)*(GAM_S-GAM_W)+MAX(0,FL-MAX(H1577,GWL))*GAM_D)/(GAM_W*PI()*E1577^2/4))</f>
        <v>2.05307359310528</v>
      </c>
      <c r="AC1577" s="27" t="n">
        <f aca="false">IF(I1577-E1577&gt;=GWL,99,E1577*(MAX(0,GWL-I1577)*(GAM_S-GAM_W)+MAX(0,FL-MAX(I1577,GWL))*GAM_D)/(GAM_W*PI()*E1577^2/4))</f>
        <v>2.05146691493804</v>
      </c>
    </row>
    <row r="1578" customFormat="false" ht="15" hidden="false" customHeight="false" outlineLevel="0" collapsed="false">
      <c r="A1578" s="25" t="s">
        <v>2236</v>
      </c>
      <c r="B1578" s="25" t="s">
        <v>2237</v>
      </c>
      <c r="C1578" s="25" t="s">
        <v>2254</v>
      </c>
      <c r="D1578" s="26" t="n">
        <v>9.99999999971225</v>
      </c>
      <c r="E1578" s="26" t="n">
        <v>2.48359100241285</v>
      </c>
      <c r="F1578" s="26" t="n">
        <v>-4.16446703006357</v>
      </c>
      <c r="G1578" s="26" t="n">
        <v>-4.16275900061714</v>
      </c>
      <c r="H1578" s="26" t="n">
        <v>-1.18087602765072</v>
      </c>
      <c r="I1578" s="26" t="n">
        <v>-1.17916799820429</v>
      </c>
      <c r="J1578" s="26" t="n">
        <v>26.24</v>
      </c>
      <c r="K1578" s="27" t="n">
        <f aca="false">MIN(F1578,G1578)</f>
        <v>-4.16446703006357</v>
      </c>
      <c r="L1578" s="27" t="n">
        <f aca="false">AVERAGE(F1578,G1578)</f>
        <v>-4.16361301534035</v>
      </c>
      <c r="M1578" s="27" t="n">
        <f aca="false">MAX(0,NG-L1578)</f>
        <v>3.46361301534035</v>
      </c>
      <c r="N1578" s="27" t="n">
        <f aca="false">MAX(0,GWL-K1578)</f>
        <v>2.66446703006357</v>
      </c>
      <c r="O1578" s="27" t="n">
        <f aca="false">MAX(0,NG-MAX(K1578,GWL))</f>
        <v>0.8</v>
      </c>
      <c r="P1578" s="27" t="n">
        <f aca="false">E1578/2+WS+SLOPE_A*O1578+SLOPE_B*N1578</f>
        <v>8.77072956133356</v>
      </c>
      <c r="Q1578" s="28" t="str">
        <f aca="false">IF(AND(P1578&lt;J1578,N1578&lt;=MAXOC),"Open cut","Shoring")</f>
        <v>Shoring</v>
      </c>
      <c r="R1578" s="27" t="n">
        <f aca="false">IF(Q1578="Shoring",D1578,0)</f>
        <v>9.99999999971225</v>
      </c>
      <c r="S1578" s="27" t="n">
        <f aca="false">MAX(0,GWL-L1578)</f>
        <v>2.66361301534035</v>
      </c>
      <c r="T1578" s="27" t="n">
        <f aca="false">MAX(0,NG-MAX(L1578,GWL))</f>
        <v>0.8</v>
      </c>
      <c r="U1578" s="27" t="n">
        <f aca="false">E1578+2*WS</f>
        <v>4.48359100241285</v>
      </c>
      <c r="V1578" s="27" t="n">
        <f aca="false">IF(Q1578="Shoring",D1578*M1578*U1578,0)</f>
        <v>155.294241509732</v>
      </c>
      <c r="W1578" s="27" t="n">
        <f aca="false">IF(Q1578="Open cut",D1578*(U1578*M1578+SLOPE_B*S1578^2+2*SLOPE_B*S1578*T1578+SLOPE_A*T1578^2),0)</f>
        <v>0</v>
      </c>
      <c r="X1578" s="27" t="n">
        <f aca="false">IF(M1578&gt;0,D1578*(E1578+2*SLABOVH)*SLAB,0)</f>
        <v>17.4179550115631</v>
      </c>
      <c r="Y1578" s="27" t="n">
        <f aca="false">IF(M1578&gt;0,D1578*PI()*E1578^2/4,0)</f>
        <v>48.4451201079494</v>
      </c>
      <c r="Z1578" s="27" t="n">
        <f aca="false">IF(H1578-E1578&gt;=GWL,99,E1578*(MAX(0,GWL-H1578)*(GAM_S-GAM_W)+MAX(0,NG-MAX(H1578,GWL))*GAM_D)/(GAM_W*PI()*E1578^2/4))</f>
        <v>0.452341741760973</v>
      </c>
      <c r="AA1578" s="27" t="n">
        <f aca="false">IF(I1578-E1578&gt;=GWL,99,E1578*(MAX(0,GWL-I1578)*(GAM_S-GAM_W)+MAX(0,NG-MAX(I1578,GWL))*GAM_D)/(GAM_W*PI()*E1578^2/4))</f>
        <v>0.45073506359373</v>
      </c>
      <c r="AB1578" s="27" t="n">
        <f aca="false">IF(H1578-E1578&gt;=GWL,99,E1578*(MAX(0,GWL-H1578)*(GAM_S-GAM_W)+MAX(0,FL-MAX(H1578,GWL))*GAM_D)/(GAM_W*PI()*E1578^2/4))</f>
        <v>2.05146691493804</v>
      </c>
      <c r="AC1578" s="27" t="n">
        <f aca="false">IF(I1578-E1578&gt;=GWL,99,E1578*(MAX(0,GWL-I1578)*(GAM_S-GAM_W)+MAX(0,FL-MAX(I1578,GWL))*GAM_D)/(GAM_W*PI()*E1578^2/4))</f>
        <v>2.0498602367708</v>
      </c>
    </row>
    <row r="1579" customFormat="false" ht="15" hidden="false" customHeight="false" outlineLevel="0" collapsed="false">
      <c r="A1579" s="25" t="s">
        <v>2236</v>
      </c>
      <c r="B1579" s="25" t="s">
        <v>2237</v>
      </c>
      <c r="C1579" s="25" t="s">
        <v>2255</v>
      </c>
      <c r="D1579" s="26" t="n">
        <v>5.6410000004197</v>
      </c>
      <c r="E1579" s="26" t="n">
        <v>2.48359100241285</v>
      </c>
      <c r="F1579" s="26" t="n">
        <v>-4.16275900061714</v>
      </c>
      <c r="G1579" s="26" t="n">
        <v>-4.16179550120643</v>
      </c>
      <c r="H1579" s="26" t="n">
        <v>-1.17916799820429</v>
      </c>
      <c r="I1579" s="26" t="n">
        <v>-1.17820449879357</v>
      </c>
      <c r="J1579" s="26" t="n">
        <v>26.09</v>
      </c>
      <c r="K1579" s="27" t="n">
        <f aca="false">MIN(F1579,G1579)</f>
        <v>-4.16275900061714</v>
      </c>
      <c r="L1579" s="27" t="n">
        <f aca="false">AVERAGE(F1579,G1579)</f>
        <v>-4.16227725091178</v>
      </c>
      <c r="M1579" s="27" t="n">
        <f aca="false">MAX(0,NG-L1579)</f>
        <v>3.46227725091178</v>
      </c>
      <c r="N1579" s="27" t="n">
        <f aca="false">MAX(0,GWL-K1579)</f>
        <v>2.66275900061714</v>
      </c>
      <c r="O1579" s="27" t="n">
        <f aca="false">MAX(0,NG-MAX(K1579,GWL))</f>
        <v>0.8</v>
      </c>
      <c r="P1579" s="27" t="n">
        <f aca="false">E1579/2+WS+SLOPE_A*O1579+SLOPE_B*N1579</f>
        <v>8.76731350244071</v>
      </c>
      <c r="Q1579" s="28" t="str">
        <f aca="false">IF(AND(P1579&lt;J1579,N1579&lt;=MAXOC),"Open cut","Shoring")</f>
        <v>Shoring</v>
      </c>
      <c r="R1579" s="27" t="n">
        <f aca="false">IF(Q1579="Shoring",D1579,0)</f>
        <v>5.6410000004197</v>
      </c>
      <c r="S1579" s="27" t="n">
        <f aca="false">MAX(0,GWL-L1579)</f>
        <v>2.66227725091178</v>
      </c>
      <c r="T1579" s="27" t="n">
        <f aca="false">MAX(0,NG-MAX(L1579,GWL))</f>
        <v>0.8</v>
      </c>
      <c r="U1579" s="27" t="n">
        <f aca="false">E1579+2*WS</f>
        <v>4.48359100241285</v>
      </c>
      <c r="V1579" s="27" t="n">
        <f aca="false">IF(Q1579="Shoring",D1579*M1579*U1579,0)</f>
        <v>87.5676975751091</v>
      </c>
      <c r="W1579" s="27" t="n">
        <f aca="false">IF(Q1579="Open cut",D1579*(U1579*M1579+SLOPE_B*S1579^2+2*SLOPE_B*S1579*T1579+SLOPE_A*T1579^2),0)</f>
        <v>0</v>
      </c>
      <c r="X1579" s="27" t="n">
        <f aca="false">IF(M1579&gt;0,D1579*(E1579+2*SLABOVH)*SLAB,0)</f>
        <v>9.82546842303649</v>
      </c>
      <c r="Y1579" s="27" t="n">
        <f aca="false">IF(M1579&gt;0,D1579*PI()*E1579^2/4,0)</f>
        <v>27.3278922557139</v>
      </c>
      <c r="Z1579" s="27" t="n">
        <f aca="false">IF(H1579-E1579&gt;=GWL,99,E1579*(MAX(0,GWL-H1579)*(GAM_S-GAM_W)+MAX(0,NG-MAX(H1579,GWL))*GAM_D)/(GAM_W*PI()*E1579^2/4))</f>
        <v>0.45073506359373</v>
      </c>
      <c r="AA1579" s="27" t="n">
        <f aca="false">IF(I1579-E1579&gt;=GWL,99,E1579*(MAX(0,GWL-I1579)*(GAM_S-GAM_W)+MAX(0,NG-MAX(I1579,GWL))*GAM_D)/(GAM_W*PI()*E1579^2/4))</f>
        <v>0.449828736439604</v>
      </c>
      <c r="AB1579" s="27" t="n">
        <f aca="false">IF(H1579-E1579&gt;=GWL,99,E1579*(MAX(0,GWL-H1579)*(GAM_S-GAM_W)+MAX(0,FL-MAX(H1579,GWL))*GAM_D)/(GAM_W*PI()*E1579^2/4))</f>
        <v>2.0498602367708</v>
      </c>
      <c r="AC1579" s="27" t="n">
        <f aca="false">IF(I1579-E1579&gt;=GWL,99,E1579*(MAX(0,GWL-I1579)*(GAM_S-GAM_W)+MAX(0,FL-MAX(I1579,GWL))*GAM_D)/(GAM_W*PI()*E1579^2/4))</f>
        <v>2.04895390961667</v>
      </c>
    </row>
    <row r="1580" customFormat="false" ht="15" hidden="false" customHeight="false" outlineLevel="0" collapsed="false">
      <c r="A1580" s="25" t="s">
        <v>2236</v>
      </c>
      <c r="B1580" s="25" t="s">
        <v>2237</v>
      </c>
      <c r="C1580" s="25" t="s">
        <v>2256</v>
      </c>
      <c r="D1580" s="26" t="n">
        <v>3.60004347847334</v>
      </c>
      <c r="E1580" s="26" t="n">
        <v>2.48359100241285</v>
      </c>
      <c r="F1580" s="26" t="n">
        <v>-4.16179550120643</v>
      </c>
      <c r="G1580" s="26" t="n">
        <v>-4.17653550120643</v>
      </c>
      <c r="H1580" s="26" t="n">
        <v>-1.17820449879357</v>
      </c>
      <c r="I1580" s="26" t="n">
        <v>-1.19294449879358</v>
      </c>
      <c r="J1580" s="26" t="n">
        <v>26.12</v>
      </c>
      <c r="K1580" s="27" t="n">
        <f aca="false">MIN(F1580,G1580)</f>
        <v>-4.17653550120643</v>
      </c>
      <c r="L1580" s="27" t="n">
        <f aca="false">AVERAGE(F1580,G1580)</f>
        <v>-4.16916550120643</v>
      </c>
      <c r="M1580" s="27" t="n">
        <f aca="false">MAX(0,NG-L1580)</f>
        <v>3.46916550120643</v>
      </c>
      <c r="N1580" s="27" t="n">
        <f aca="false">MAX(0,GWL-K1580)</f>
        <v>2.67653550120643</v>
      </c>
      <c r="O1580" s="27" t="n">
        <f aca="false">MAX(0,NG-MAX(K1580,GWL))</f>
        <v>0.8</v>
      </c>
      <c r="P1580" s="27" t="n">
        <f aca="false">E1580/2+WS+SLOPE_A*O1580+SLOPE_B*N1580</f>
        <v>8.79486650361928</v>
      </c>
      <c r="Q1580" s="28" t="str">
        <f aca="false">IF(AND(P1580&lt;J1580,N1580&lt;=MAXOC),"Open cut","Shoring")</f>
        <v>Shoring</v>
      </c>
      <c r="R1580" s="27" t="n">
        <f aca="false">IF(Q1580="Shoring",D1580,0)</f>
        <v>3.60004347847334</v>
      </c>
      <c r="S1580" s="27" t="n">
        <f aca="false">MAX(0,GWL-L1580)</f>
        <v>2.66916550120643</v>
      </c>
      <c r="T1580" s="27" t="n">
        <f aca="false">MAX(0,NG-MAX(L1580,GWL))</f>
        <v>0.8</v>
      </c>
      <c r="U1580" s="27" t="n">
        <f aca="false">E1580+2*WS</f>
        <v>4.48359100241285</v>
      </c>
      <c r="V1580" s="27" t="n">
        <f aca="false">IF(Q1580="Shoring",D1580*M1580*U1580,0)</f>
        <v>55.9962254955786</v>
      </c>
      <c r="W1580" s="27" t="n">
        <f aca="false">IF(Q1580="Open cut",D1580*(U1580*M1580+SLOPE_B*S1580^2+2*SLOPE_B*S1580*T1580+SLOPE_A*T1580^2),0)</f>
        <v>0</v>
      </c>
      <c r="X1580" s="27" t="n">
        <f aca="false">IF(M1580&gt;0,D1580*(E1580+2*SLABOVH)*SLAB,0)</f>
        <v>6.2705395349524</v>
      </c>
      <c r="Y1580" s="27" t="n">
        <f aca="false">IF(M1580&gt;0,D1580*PI()*E1580^2/4,0)</f>
        <v>17.44045387135</v>
      </c>
      <c r="Z1580" s="27" t="n">
        <f aca="false">IF(H1580-E1580&gt;=GWL,99,E1580*(MAX(0,GWL-H1580)*(GAM_S-GAM_W)+MAX(0,NG-MAX(H1580,GWL))*GAM_D)/(GAM_W*PI()*E1580^2/4))</f>
        <v>0.449828736439604</v>
      </c>
      <c r="AA1580" s="27" t="n">
        <f aca="false">IF(I1580-E1580&gt;=GWL,99,E1580*(MAX(0,GWL-I1580)*(GAM_S-GAM_W)+MAX(0,NG-MAX(I1580,GWL))*GAM_D)/(GAM_W*PI()*E1580^2/4))</f>
        <v>0.463694092352916</v>
      </c>
      <c r="AB1580" s="27" t="n">
        <f aca="false">IF(H1580-E1580&gt;=GWL,99,E1580*(MAX(0,GWL-H1580)*(GAM_S-GAM_W)+MAX(0,FL-MAX(H1580,GWL))*GAM_D)/(GAM_W*PI()*E1580^2/4))</f>
        <v>2.04895390961667</v>
      </c>
      <c r="AC1580" s="27" t="n">
        <f aca="false">IF(I1580-E1580&gt;=GWL,99,E1580*(MAX(0,GWL-I1580)*(GAM_S-GAM_W)+MAX(0,FL-MAX(I1580,GWL))*GAM_D)/(GAM_W*PI()*E1580^2/4))</f>
        <v>2.06281926552998</v>
      </c>
    </row>
    <row r="1581" customFormat="false" ht="15" hidden="false" customHeight="false" outlineLevel="0" collapsed="false">
      <c r="A1581" s="25" t="s">
        <v>2236</v>
      </c>
      <c r="B1581" s="25" t="s">
        <v>2237</v>
      </c>
      <c r="C1581" s="25" t="s">
        <v>2257</v>
      </c>
      <c r="D1581" s="26" t="n">
        <v>0.758956520834017</v>
      </c>
      <c r="E1581" s="26" t="n">
        <v>2.48359945157555</v>
      </c>
      <c r="F1581" s="26" t="n">
        <v>-4.17653972578777</v>
      </c>
      <c r="G1581" s="26" t="n">
        <v>-4.17964940109699</v>
      </c>
      <c r="H1581" s="26" t="n">
        <v>-1.19294027421223</v>
      </c>
      <c r="I1581" s="26" t="n">
        <v>-1.19604994952145</v>
      </c>
      <c r="J1581" s="26" t="n">
        <v>26.34</v>
      </c>
      <c r="K1581" s="27" t="n">
        <f aca="false">MIN(F1581,G1581)</f>
        <v>-4.17964940109699</v>
      </c>
      <c r="L1581" s="27" t="n">
        <f aca="false">AVERAGE(F1581,G1581)</f>
        <v>-4.17809456344238</v>
      </c>
      <c r="M1581" s="27" t="n">
        <f aca="false">MAX(0,NG-L1581)</f>
        <v>3.47809456344238</v>
      </c>
      <c r="N1581" s="27" t="n">
        <f aca="false">MAX(0,GWL-K1581)</f>
        <v>2.67964940109699</v>
      </c>
      <c r="O1581" s="27" t="n">
        <f aca="false">MAX(0,NG-MAX(K1581,GWL))</f>
        <v>0.8</v>
      </c>
      <c r="P1581" s="27" t="n">
        <f aca="false">E1581/2+WS+SLOPE_A*O1581+SLOPE_B*N1581</f>
        <v>8.80109852798176</v>
      </c>
      <c r="Q1581" s="28" t="str">
        <f aca="false">IF(AND(P1581&lt;J1581,N1581&lt;=MAXOC),"Open cut","Shoring")</f>
        <v>Shoring</v>
      </c>
      <c r="R1581" s="27" t="n">
        <f aca="false">IF(Q1581="Shoring",D1581,0)</f>
        <v>0.758956520834017</v>
      </c>
      <c r="S1581" s="27" t="n">
        <f aca="false">MAX(0,GWL-L1581)</f>
        <v>2.67809456344238</v>
      </c>
      <c r="T1581" s="27" t="n">
        <f aca="false">MAX(0,NG-MAX(L1581,GWL))</f>
        <v>0.8</v>
      </c>
      <c r="U1581" s="27" t="n">
        <f aca="false">E1581+2*WS</f>
        <v>4.48359945157555</v>
      </c>
      <c r="V1581" s="27" t="n">
        <f aca="false">IF(Q1581="Shoring",D1581*M1581*U1581,0)</f>
        <v>11.8354585730167</v>
      </c>
      <c r="W1581" s="27" t="n">
        <f aca="false">IF(Q1581="Open cut",D1581*(U1581*M1581+SLOPE_B*S1581^2+2*SLOPE_B*S1581*T1581+SLOPE_A*T1581^2),0)</f>
        <v>0</v>
      </c>
      <c r="X1581" s="27" t="n">
        <f aca="false">IF(M1581&gt;0,D1581*(E1581+2*SLABOVH)*SLAB,0)</f>
        <v>1.32195025987353</v>
      </c>
      <c r="Y1581" s="27" t="n">
        <f aca="false">IF(M1581&gt;0,D1581*PI()*E1581^2/4,0)</f>
        <v>3.67679899772891</v>
      </c>
      <c r="Z1581" s="27" t="n">
        <f aca="false">IF(H1581-E1581&gt;=GWL,99,E1581*(MAX(0,GWL-H1581)*(GAM_S-GAM_W)+MAX(0,NG-MAX(H1581,GWL))*GAM_D)/(GAM_W*PI()*E1581^2/4))</f>
        <v>0.463688540984519</v>
      </c>
      <c r="AA1581" s="27" t="n">
        <f aca="false">IF(I1581-E1581&gt;=GWL,99,E1581*(MAX(0,GWL-I1581)*(GAM_S-GAM_W)+MAX(0,NG-MAX(I1581,GWL))*GAM_D)/(GAM_W*PI()*E1581^2/4))</f>
        <v>0.466613684014011</v>
      </c>
      <c r="AB1581" s="27" t="n">
        <f aca="false">IF(H1581-E1581&gt;=GWL,99,E1581*(MAX(0,GWL-H1581)*(GAM_S-GAM_W)+MAX(0,FL-MAX(H1581,GWL))*GAM_D)/(GAM_W*PI()*E1581^2/4))</f>
        <v>2.0628082739652</v>
      </c>
      <c r="AC1581" s="27" t="n">
        <f aca="false">IF(I1581-E1581&gt;=GWL,99,E1581*(MAX(0,GWL-I1581)*(GAM_S-GAM_W)+MAX(0,FL-MAX(I1581,GWL))*GAM_D)/(GAM_W*PI()*E1581^2/4))</f>
        <v>2.06573341699469</v>
      </c>
    </row>
    <row r="1582" customFormat="false" ht="15" hidden="false" customHeight="false" outlineLevel="0" collapsed="false">
      <c r="A1582" s="25" t="s">
        <v>2236</v>
      </c>
      <c r="B1582" s="25" t="s">
        <v>2237</v>
      </c>
      <c r="C1582" s="25" t="s">
        <v>2258</v>
      </c>
      <c r="D1582" s="26" t="n">
        <v>2.84097195233432</v>
      </c>
      <c r="E1582" s="26" t="n">
        <v>2.48359945157555</v>
      </c>
      <c r="F1582" s="26" t="n">
        <v>-4.17964940109699</v>
      </c>
      <c r="G1582" s="26" t="n">
        <v>-4.19128972578777</v>
      </c>
      <c r="H1582" s="26" t="n">
        <v>-1.19604994952145</v>
      </c>
      <c r="I1582" s="26" t="n">
        <v>-1.20769027421223</v>
      </c>
      <c r="J1582" s="26" t="n">
        <v>26.93</v>
      </c>
      <c r="K1582" s="27" t="n">
        <f aca="false">MIN(F1582,G1582)</f>
        <v>-4.19128972578777</v>
      </c>
      <c r="L1582" s="27" t="n">
        <f aca="false">AVERAGE(F1582,G1582)</f>
        <v>-4.18546956344238</v>
      </c>
      <c r="M1582" s="27" t="n">
        <f aca="false">MAX(0,NG-L1582)</f>
        <v>3.48546956344238</v>
      </c>
      <c r="N1582" s="27" t="n">
        <f aca="false">MAX(0,GWL-K1582)</f>
        <v>2.69128972578777</v>
      </c>
      <c r="O1582" s="27" t="n">
        <f aca="false">MAX(0,NG-MAX(K1582,GWL))</f>
        <v>0.8</v>
      </c>
      <c r="P1582" s="27" t="n">
        <f aca="false">E1582/2+WS+SLOPE_A*O1582+SLOPE_B*N1582</f>
        <v>8.82437917736332</v>
      </c>
      <c r="Q1582" s="28" t="str">
        <f aca="false">IF(AND(P1582&lt;J1582,N1582&lt;=MAXOC),"Open cut","Shoring")</f>
        <v>Shoring</v>
      </c>
      <c r="R1582" s="27" t="n">
        <f aca="false">IF(Q1582="Shoring",D1582,0)</f>
        <v>2.84097195233432</v>
      </c>
      <c r="S1582" s="27" t="n">
        <f aca="false">MAX(0,GWL-L1582)</f>
        <v>2.68546956344238</v>
      </c>
      <c r="T1582" s="27" t="n">
        <f aca="false">MAX(0,NG-MAX(L1582,GWL))</f>
        <v>0.8</v>
      </c>
      <c r="U1582" s="27" t="n">
        <f aca="false">E1582+2*WS</f>
        <v>4.48359945157555</v>
      </c>
      <c r="V1582" s="27" t="n">
        <f aca="false">IF(Q1582="Shoring",D1582*M1582*U1582,0)</f>
        <v>44.3971454976455</v>
      </c>
      <c r="W1582" s="27" t="n">
        <f aca="false">IF(Q1582="Open cut",D1582*(U1582*M1582+SLOPE_B*S1582^2+2*SLOPE_B*S1582*T1582+SLOPE_A*T1582^2),0)</f>
        <v>0</v>
      </c>
      <c r="X1582" s="27" t="n">
        <f aca="false">IF(M1582&gt;0,D1582*(E1582+2*SLABOVH)*SLAB,0)</f>
        <v>4.94840416754668</v>
      </c>
      <c r="Y1582" s="27" t="n">
        <f aca="false">IF(M1582&gt;0,D1582*PI()*E1582^2/4,0)</f>
        <v>13.7632163901037</v>
      </c>
      <c r="Z1582" s="27" t="n">
        <f aca="false">IF(H1582-E1582&gt;=GWL,99,E1582*(MAX(0,GWL-H1582)*(GAM_S-GAM_W)+MAX(0,NG-MAX(H1582,GWL))*GAM_D)/(GAM_W*PI()*E1582^2/4))</f>
        <v>0.466613684014011</v>
      </c>
      <c r="AA1582" s="27" t="n">
        <f aca="false">IF(I1582-E1582&gt;=GWL,99,E1582*(MAX(0,GWL-I1582)*(GAM_S-GAM_W)+MAX(0,NG-MAX(I1582,GWL))*GAM_D)/(GAM_W*PI()*E1582^2/4))</f>
        <v>0.477563256314792</v>
      </c>
      <c r="AB1582" s="27" t="n">
        <f aca="false">IF(H1582-E1582&gt;=GWL,99,E1582*(MAX(0,GWL-H1582)*(GAM_S-GAM_W)+MAX(0,FL-MAX(H1582,GWL))*GAM_D)/(GAM_W*PI()*E1582^2/4))</f>
        <v>2.06573341699469</v>
      </c>
      <c r="AC1582" s="27" t="n">
        <f aca="false">IF(I1582-E1582&gt;=GWL,99,E1582*(MAX(0,GWL-I1582)*(GAM_S-GAM_W)+MAX(0,FL-MAX(I1582,GWL))*GAM_D)/(GAM_W*PI()*E1582^2/4))</f>
        <v>2.07668298929547</v>
      </c>
    </row>
    <row r="1583" customFormat="false" ht="15" hidden="false" customHeight="false" outlineLevel="0" collapsed="false">
      <c r="A1583" s="25" t="s">
        <v>2236</v>
      </c>
      <c r="B1583" s="25" t="s">
        <v>2237</v>
      </c>
      <c r="C1583" s="25" t="s">
        <v>2259</v>
      </c>
      <c r="D1583" s="26" t="n">
        <v>7.15902804818061</v>
      </c>
      <c r="E1583" s="26" t="n">
        <v>2.48359945157555</v>
      </c>
      <c r="F1583" s="26" t="n">
        <v>-4.19128972578777</v>
      </c>
      <c r="G1583" s="26" t="n">
        <v>-4.22060890089949</v>
      </c>
      <c r="H1583" s="26" t="n">
        <v>-1.20769027421223</v>
      </c>
      <c r="I1583" s="26" t="n">
        <v>-1.23700944932395</v>
      </c>
      <c r="J1583" s="26" t="n">
        <v>22.61</v>
      </c>
      <c r="K1583" s="27" t="n">
        <f aca="false">MIN(F1583,G1583)</f>
        <v>-4.22060890089949</v>
      </c>
      <c r="L1583" s="27" t="n">
        <f aca="false">AVERAGE(F1583,G1583)</f>
        <v>-4.20594931334363</v>
      </c>
      <c r="M1583" s="27" t="n">
        <f aca="false">MAX(0,NG-L1583)</f>
        <v>3.50594931334363</v>
      </c>
      <c r="N1583" s="27" t="n">
        <f aca="false">MAX(0,GWL-K1583)</f>
        <v>2.72060890089949</v>
      </c>
      <c r="O1583" s="27" t="n">
        <f aca="false">MAX(0,NG-MAX(K1583,GWL))</f>
        <v>0.8</v>
      </c>
      <c r="P1583" s="27" t="n">
        <f aca="false">E1583/2+WS+SLOPE_A*O1583+SLOPE_B*N1583</f>
        <v>8.88301752758676</v>
      </c>
      <c r="Q1583" s="28" t="str">
        <f aca="false">IF(AND(P1583&lt;J1583,N1583&lt;=MAXOC),"Open cut","Shoring")</f>
        <v>Shoring</v>
      </c>
      <c r="R1583" s="27" t="n">
        <f aca="false">IF(Q1583="Shoring",D1583,0)</f>
        <v>7.15902804818061</v>
      </c>
      <c r="S1583" s="27" t="n">
        <f aca="false">MAX(0,GWL-L1583)</f>
        <v>2.70594931334363</v>
      </c>
      <c r="T1583" s="27" t="n">
        <f aca="false">MAX(0,NG-MAX(L1583,GWL))</f>
        <v>0.8</v>
      </c>
      <c r="U1583" s="27" t="n">
        <f aca="false">E1583+2*WS</f>
        <v>4.48359945157555</v>
      </c>
      <c r="V1583" s="27" t="n">
        <f aca="false">IF(Q1583="Shoring",D1583*M1583*U1583,0)</f>
        <v>112.534712141457</v>
      </c>
      <c r="W1583" s="27" t="n">
        <f aca="false">IF(Q1583="Open cut",D1583*(U1583*M1583+SLOPE_B*S1583^2+2*SLOPE_B*S1583*T1583+SLOPE_A*T1583^2),0)</f>
        <v>0</v>
      </c>
      <c r="X1583" s="27" t="n">
        <f aca="false">IF(M1583&gt;0,D1583*(E1583+2*SLABOVH)*SLAB,0)</f>
        <v>12.469593091228</v>
      </c>
      <c r="Y1583" s="27" t="n">
        <f aca="false">IF(M1583&gt;0,D1583*PI()*E1583^2/4,0)</f>
        <v>34.6822333423502</v>
      </c>
      <c r="Z1583" s="27" t="n">
        <f aca="false">IF(H1583-E1583&gt;=GWL,99,E1583*(MAX(0,GWL-H1583)*(GAM_S-GAM_W)+MAX(0,NG-MAX(H1583,GWL))*GAM_D)/(GAM_W*PI()*E1583^2/4))</f>
        <v>0.477563256314792</v>
      </c>
      <c r="AA1583" s="27" t="n">
        <f aca="false">IF(I1583-E1583&gt;=GWL,99,E1583*(MAX(0,GWL-I1583)*(GAM_S-GAM_W)+MAX(0,NG-MAX(I1583,GWL))*GAM_D)/(GAM_W*PI()*E1583^2/4))</f>
        <v>0.505142592477067</v>
      </c>
      <c r="AB1583" s="27" t="n">
        <f aca="false">IF(H1583-E1583&gt;=GWL,99,E1583*(MAX(0,GWL-H1583)*(GAM_S-GAM_W)+MAX(0,FL-MAX(H1583,GWL))*GAM_D)/(GAM_W*PI()*E1583^2/4))</f>
        <v>2.07668298929547</v>
      </c>
      <c r="AC1583" s="27" t="n">
        <f aca="false">IF(I1583-E1583&gt;=GWL,99,E1583*(MAX(0,GWL-I1583)*(GAM_S-GAM_W)+MAX(0,FL-MAX(I1583,GWL))*GAM_D)/(GAM_W*PI()*E1583^2/4))</f>
        <v>2.10426232545775</v>
      </c>
    </row>
    <row r="1584" customFormat="false" ht="15" hidden="false" customHeight="false" outlineLevel="0" collapsed="false">
      <c r="A1584" s="25" t="s">
        <v>2236</v>
      </c>
      <c r="B1584" s="25" t="s">
        <v>2237</v>
      </c>
      <c r="C1584" s="25" t="s">
        <v>2260</v>
      </c>
      <c r="D1584" s="26" t="n">
        <v>9.99999999973311</v>
      </c>
      <c r="E1584" s="26" t="n">
        <v>2.48359945157555</v>
      </c>
      <c r="F1584" s="26" t="n">
        <v>-4.22060890089949</v>
      </c>
      <c r="G1584" s="26" t="n">
        <v>-4.26156302891091</v>
      </c>
      <c r="H1584" s="26" t="n">
        <v>-1.23700944932395</v>
      </c>
      <c r="I1584" s="26" t="n">
        <v>-1.27796357733537</v>
      </c>
      <c r="J1584" s="26" t="n">
        <v>19.48</v>
      </c>
      <c r="K1584" s="27" t="n">
        <f aca="false">MIN(F1584,G1584)</f>
        <v>-4.26156302891091</v>
      </c>
      <c r="L1584" s="27" t="n">
        <f aca="false">AVERAGE(F1584,G1584)</f>
        <v>-4.2410859649052</v>
      </c>
      <c r="M1584" s="27" t="n">
        <f aca="false">MAX(0,NG-L1584)</f>
        <v>3.5410859649052</v>
      </c>
      <c r="N1584" s="27" t="n">
        <f aca="false">MAX(0,GWL-K1584)</f>
        <v>2.76156302891091</v>
      </c>
      <c r="O1584" s="27" t="n">
        <f aca="false">MAX(0,NG-MAX(K1584,GWL))</f>
        <v>0.8</v>
      </c>
      <c r="P1584" s="27" t="n">
        <f aca="false">E1584/2+WS+SLOPE_A*O1584+SLOPE_B*N1584</f>
        <v>8.9649257836096</v>
      </c>
      <c r="Q1584" s="28" t="str">
        <f aca="false">IF(AND(P1584&lt;J1584,N1584&lt;=MAXOC),"Open cut","Shoring")</f>
        <v>Shoring</v>
      </c>
      <c r="R1584" s="27" t="n">
        <f aca="false">IF(Q1584="Shoring",D1584,0)</f>
        <v>9.99999999973311</v>
      </c>
      <c r="S1584" s="27" t="n">
        <f aca="false">MAX(0,GWL-L1584)</f>
        <v>2.7410859649052</v>
      </c>
      <c r="T1584" s="27" t="n">
        <f aca="false">MAX(0,NG-MAX(L1584,GWL))</f>
        <v>0.8</v>
      </c>
      <c r="U1584" s="27" t="n">
        <f aca="false">E1584+2*WS</f>
        <v>4.48359945157555</v>
      </c>
      <c r="V1584" s="27" t="n">
        <f aca="false">IF(Q1584="Shoring",D1584*M1584*U1584,0)</f>
        <v>158.768110898071</v>
      </c>
      <c r="W1584" s="27" t="n">
        <f aca="false">IF(Q1584="Open cut",D1584*(U1584*M1584+SLOPE_B*S1584^2+2*SLOPE_B*S1584*T1584+SLOPE_A*T1584^2),0)</f>
        <v>0</v>
      </c>
      <c r="X1584" s="27" t="n">
        <f aca="false">IF(M1584&gt;0,D1584*(E1584+2*SLABOVH)*SLAB,0)</f>
        <v>17.4179972574129</v>
      </c>
      <c r="Y1584" s="27" t="n">
        <f aca="false">IF(M1584&gt;0,D1584*PI()*E1584^2/4,0)</f>
        <v>48.4454497286662</v>
      </c>
      <c r="Z1584" s="27" t="n">
        <f aca="false">IF(H1584-E1584&gt;=GWL,99,E1584*(MAX(0,GWL-H1584)*(GAM_S-GAM_W)+MAX(0,NG-MAX(H1584,GWL))*GAM_D)/(GAM_W*PI()*E1584^2/4))</f>
        <v>0.505142592477067</v>
      </c>
      <c r="AA1584" s="27" t="n">
        <f aca="false">IF(I1584-E1584&gt;=GWL,99,E1584*(MAX(0,GWL-I1584)*(GAM_S-GAM_W)+MAX(0,NG-MAX(I1584,GWL))*GAM_D)/(GAM_W*PI()*E1584^2/4))</f>
        <v>0.543666447918288</v>
      </c>
      <c r="AB1584" s="27" t="n">
        <f aca="false">IF(H1584-E1584&gt;=GWL,99,E1584*(MAX(0,GWL-H1584)*(GAM_S-GAM_W)+MAX(0,FL-MAX(H1584,GWL))*GAM_D)/(GAM_W*PI()*E1584^2/4))</f>
        <v>2.10426232545775</v>
      </c>
      <c r="AC1584" s="27" t="n">
        <f aca="false">IF(I1584-E1584&gt;=GWL,99,E1584*(MAX(0,GWL-I1584)*(GAM_S-GAM_W)+MAX(0,FL-MAX(I1584,GWL))*GAM_D)/(GAM_W*PI()*E1584^2/4))</f>
        <v>2.14278618089897</v>
      </c>
    </row>
    <row r="1585" customFormat="false" ht="15" hidden="false" customHeight="false" outlineLevel="0" collapsed="false">
      <c r="A1585" s="25" t="s">
        <v>2236</v>
      </c>
      <c r="B1585" s="25" t="s">
        <v>2237</v>
      </c>
      <c r="C1585" s="25" t="s">
        <v>2261</v>
      </c>
      <c r="D1585" s="26" t="n">
        <v>9.99999999970326</v>
      </c>
      <c r="E1585" s="26" t="n">
        <v>2.48359945157555</v>
      </c>
      <c r="F1585" s="26" t="n">
        <v>-4.26156302891091</v>
      </c>
      <c r="G1585" s="26" t="n">
        <v>-4.30251715692233</v>
      </c>
      <c r="H1585" s="26" t="n">
        <v>-1.27796357733537</v>
      </c>
      <c r="I1585" s="26" t="n">
        <v>-1.31891770534679</v>
      </c>
      <c r="J1585" s="26" t="n">
        <v>19.4</v>
      </c>
      <c r="K1585" s="27" t="n">
        <f aca="false">MIN(F1585,G1585)</f>
        <v>-4.30251715692233</v>
      </c>
      <c r="L1585" s="27" t="n">
        <f aca="false">AVERAGE(F1585,G1585)</f>
        <v>-4.28204009291662</v>
      </c>
      <c r="M1585" s="27" t="n">
        <f aca="false">MAX(0,NG-L1585)</f>
        <v>3.58204009291662</v>
      </c>
      <c r="N1585" s="27" t="n">
        <f aca="false">MAX(0,GWL-K1585)</f>
        <v>2.80251715692233</v>
      </c>
      <c r="O1585" s="27" t="n">
        <f aca="false">MAX(0,NG-MAX(K1585,GWL))</f>
        <v>0.8</v>
      </c>
      <c r="P1585" s="27" t="n">
        <f aca="false">E1585/2+WS+SLOPE_A*O1585+SLOPE_B*N1585</f>
        <v>9.04683403963244</v>
      </c>
      <c r="Q1585" s="28" t="str">
        <f aca="false">IF(AND(P1585&lt;J1585,N1585&lt;=MAXOC),"Open cut","Shoring")</f>
        <v>Shoring</v>
      </c>
      <c r="R1585" s="27" t="n">
        <f aca="false">IF(Q1585="Shoring",D1585,0)</f>
        <v>9.99999999970326</v>
      </c>
      <c r="S1585" s="27" t="n">
        <f aca="false">MAX(0,GWL-L1585)</f>
        <v>2.78204009291662</v>
      </c>
      <c r="T1585" s="27" t="n">
        <f aca="false">MAX(0,NG-MAX(L1585,GWL))</f>
        <v>0.8</v>
      </c>
      <c r="U1585" s="27" t="n">
        <f aca="false">E1585+2*WS</f>
        <v>4.48359945157555</v>
      </c>
      <c r="V1585" s="27" t="n">
        <f aca="false">IF(Q1585="Shoring",D1585*M1585*U1585,0)</f>
        <v>160.60432995646</v>
      </c>
      <c r="W1585" s="27" t="n">
        <f aca="false">IF(Q1585="Open cut",D1585*(U1585*M1585+SLOPE_B*S1585^2+2*SLOPE_B*S1585*T1585+SLOPE_A*T1585^2),0)</f>
        <v>0</v>
      </c>
      <c r="X1585" s="27" t="n">
        <f aca="false">IF(M1585&gt;0,D1585*(E1585+2*SLABOVH)*SLAB,0)</f>
        <v>17.4179972573609</v>
      </c>
      <c r="Y1585" s="27" t="n">
        <f aca="false">IF(M1585&gt;0,D1585*PI()*E1585^2/4,0)</f>
        <v>48.4454497285216</v>
      </c>
      <c r="Z1585" s="27" t="n">
        <f aca="false">IF(H1585-E1585&gt;=GWL,99,E1585*(MAX(0,GWL-H1585)*(GAM_S-GAM_W)+MAX(0,NG-MAX(H1585,GWL))*GAM_D)/(GAM_W*PI()*E1585^2/4))</f>
        <v>0.543666447918288</v>
      </c>
      <c r="AA1585" s="27" t="n">
        <f aca="false">IF(I1585-E1585&gt;=GWL,99,E1585*(MAX(0,GWL-I1585)*(GAM_S-GAM_W)+MAX(0,NG-MAX(I1585,GWL))*GAM_D)/(GAM_W*PI()*E1585^2/4))</f>
        <v>0.582190303359513</v>
      </c>
      <c r="AB1585" s="27" t="n">
        <f aca="false">IF(H1585-E1585&gt;=GWL,99,E1585*(MAX(0,GWL-H1585)*(GAM_S-GAM_W)+MAX(0,FL-MAX(H1585,GWL))*GAM_D)/(GAM_W*PI()*E1585^2/4))</f>
        <v>2.14278618089897</v>
      </c>
      <c r="AC1585" s="27" t="n">
        <f aca="false">IF(I1585-E1585&gt;=GWL,99,E1585*(MAX(0,GWL-I1585)*(GAM_S-GAM_W)+MAX(0,FL-MAX(I1585,GWL))*GAM_D)/(GAM_W*PI()*E1585^2/4))</f>
        <v>2.18131003634019</v>
      </c>
    </row>
    <row r="1586" customFormat="false" ht="15" hidden="false" customHeight="false" outlineLevel="0" collapsed="false">
      <c r="A1586" s="25" t="s">
        <v>2236</v>
      </c>
      <c r="B1586" s="25" t="s">
        <v>2237</v>
      </c>
      <c r="C1586" s="25" t="s">
        <v>2262</v>
      </c>
      <c r="D1586" s="26" t="n">
        <v>10.0000000010535</v>
      </c>
      <c r="E1586" s="26" t="n">
        <v>2.48359945157555</v>
      </c>
      <c r="F1586" s="26" t="n">
        <v>-4.30251715692233</v>
      </c>
      <c r="G1586" s="26" t="n">
        <v>-4.34347128493375</v>
      </c>
      <c r="H1586" s="26" t="n">
        <v>-1.31891770534679</v>
      </c>
      <c r="I1586" s="26" t="n">
        <v>-1.35987183335821</v>
      </c>
      <c r="J1586" s="26" t="n">
        <v>19.89</v>
      </c>
      <c r="K1586" s="27" t="n">
        <f aca="false">MIN(F1586,G1586)</f>
        <v>-4.34347128493375</v>
      </c>
      <c r="L1586" s="27" t="n">
        <f aca="false">AVERAGE(F1586,G1586)</f>
        <v>-4.32299422092804</v>
      </c>
      <c r="M1586" s="27" t="n">
        <f aca="false">MAX(0,NG-L1586)</f>
        <v>3.62299422092804</v>
      </c>
      <c r="N1586" s="27" t="n">
        <f aca="false">MAX(0,GWL-K1586)</f>
        <v>2.84347128493375</v>
      </c>
      <c r="O1586" s="27" t="n">
        <f aca="false">MAX(0,NG-MAX(K1586,GWL))</f>
        <v>0.8</v>
      </c>
      <c r="P1586" s="27" t="n">
        <f aca="false">E1586/2+WS+SLOPE_A*O1586+SLOPE_B*N1586</f>
        <v>9.12874229565528</v>
      </c>
      <c r="Q1586" s="28" t="str">
        <f aca="false">IF(AND(P1586&lt;J1586,N1586&lt;=MAXOC),"Open cut","Shoring")</f>
        <v>Shoring</v>
      </c>
      <c r="R1586" s="27" t="n">
        <f aca="false">IF(Q1586="Shoring",D1586,0)</f>
        <v>10.0000000010535</v>
      </c>
      <c r="S1586" s="27" t="n">
        <f aca="false">MAX(0,GWL-L1586)</f>
        <v>2.82299422092804</v>
      </c>
      <c r="T1586" s="27" t="n">
        <f aca="false">MAX(0,NG-MAX(L1586,GWL))</f>
        <v>0.8</v>
      </c>
      <c r="U1586" s="27" t="n">
        <f aca="false">E1586+2*WS</f>
        <v>4.48359945157555</v>
      </c>
      <c r="V1586" s="27" t="n">
        <f aca="false">IF(Q1586="Shoring",D1586*M1586*U1586,0)</f>
        <v>162.440549037257</v>
      </c>
      <c r="W1586" s="27" t="n">
        <f aca="false">IF(Q1586="Open cut",D1586*(U1586*M1586+SLOPE_B*S1586^2+2*SLOPE_B*S1586*T1586+SLOPE_A*T1586^2),0)</f>
        <v>0</v>
      </c>
      <c r="X1586" s="27" t="n">
        <f aca="false">IF(M1586&gt;0,D1586*(E1586+2*SLABOVH)*SLAB,0)</f>
        <v>17.4179972597128</v>
      </c>
      <c r="Y1586" s="27" t="n">
        <f aca="false">IF(M1586&gt;0,D1586*PI()*E1586^2/4,0)</f>
        <v>48.4454497350631</v>
      </c>
      <c r="Z1586" s="27" t="n">
        <f aca="false">IF(H1586-E1586&gt;=GWL,99,E1586*(MAX(0,GWL-H1586)*(GAM_S-GAM_W)+MAX(0,NG-MAX(H1586,GWL))*GAM_D)/(GAM_W*PI()*E1586^2/4))</f>
        <v>0.582190303359513</v>
      </c>
      <c r="AA1586" s="27" t="n">
        <f aca="false">IF(I1586-E1586&gt;=GWL,99,E1586*(MAX(0,GWL-I1586)*(GAM_S-GAM_W)+MAX(0,NG-MAX(I1586,GWL))*GAM_D)/(GAM_W*PI()*E1586^2/4))</f>
        <v>0.620714158800735</v>
      </c>
      <c r="AB1586" s="27" t="n">
        <f aca="false">IF(H1586-E1586&gt;=GWL,99,E1586*(MAX(0,GWL-H1586)*(GAM_S-GAM_W)+MAX(0,FL-MAX(H1586,GWL))*GAM_D)/(GAM_W*PI()*E1586^2/4))</f>
        <v>2.18131003634019</v>
      </c>
      <c r="AC1586" s="27" t="n">
        <f aca="false">IF(I1586-E1586&gt;=GWL,99,E1586*(MAX(0,GWL-I1586)*(GAM_S-GAM_W)+MAX(0,FL-MAX(I1586,GWL))*GAM_D)/(GAM_W*PI()*E1586^2/4))</f>
        <v>2.21983389178142</v>
      </c>
    </row>
    <row r="1587" customFormat="false" ht="15" hidden="false" customHeight="false" outlineLevel="0" collapsed="false">
      <c r="A1587" s="25" t="s">
        <v>2236</v>
      </c>
      <c r="B1587" s="25" t="s">
        <v>2237</v>
      </c>
      <c r="C1587" s="25" t="s">
        <v>2263</v>
      </c>
      <c r="D1587" s="26" t="n">
        <v>9.99999999880307</v>
      </c>
      <c r="E1587" s="26" t="n">
        <v>2.48359945157555</v>
      </c>
      <c r="F1587" s="26" t="n">
        <v>-4.34347128493375</v>
      </c>
      <c r="G1587" s="26" t="n">
        <v>-4.38442541294517</v>
      </c>
      <c r="H1587" s="26" t="n">
        <v>-1.35987183335821</v>
      </c>
      <c r="I1587" s="26" t="n">
        <v>-1.40082596136963</v>
      </c>
      <c r="J1587" s="26" t="n">
        <v>24.16</v>
      </c>
      <c r="K1587" s="27" t="n">
        <f aca="false">MIN(F1587,G1587)</f>
        <v>-4.38442541294517</v>
      </c>
      <c r="L1587" s="27" t="n">
        <f aca="false">AVERAGE(F1587,G1587)</f>
        <v>-4.36394834893946</v>
      </c>
      <c r="M1587" s="27" t="n">
        <f aca="false">MAX(0,NG-L1587)</f>
        <v>3.66394834893946</v>
      </c>
      <c r="N1587" s="27" t="n">
        <f aca="false">MAX(0,GWL-K1587)</f>
        <v>2.88442541294517</v>
      </c>
      <c r="O1587" s="27" t="n">
        <f aca="false">MAX(0,NG-MAX(K1587,GWL))</f>
        <v>0.8</v>
      </c>
      <c r="P1587" s="27" t="n">
        <f aca="false">E1587/2+WS+SLOPE_A*O1587+SLOPE_B*N1587</f>
        <v>9.21065055167812</v>
      </c>
      <c r="Q1587" s="28" t="str">
        <f aca="false">IF(AND(P1587&lt;J1587,N1587&lt;=MAXOC),"Open cut","Shoring")</f>
        <v>Shoring</v>
      </c>
      <c r="R1587" s="27" t="n">
        <f aca="false">IF(Q1587="Shoring",D1587,0)</f>
        <v>9.99999999880307</v>
      </c>
      <c r="S1587" s="27" t="n">
        <f aca="false">MAX(0,GWL-L1587)</f>
        <v>2.86394834893946</v>
      </c>
      <c r="T1587" s="27" t="n">
        <f aca="false">MAX(0,NG-MAX(L1587,GWL))</f>
        <v>0.8</v>
      </c>
      <c r="U1587" s="27" t="n">
        <f aca="false">E1587+2*WS</f>
        <v>4.48359945157555</v>
      </c>
      <c r="V1587" s="27" t="n">
        <f aca="false">IF(Q1587="Shoring",D1587*M1587*U1587,0)</f>
        <v>164.276768059398</v>
      </c>
      <c r="W1587" s="27" t="n">
        <f aca="false">IF(Q1587="Open cut",D1587*(U1587*M1587+SLOPE_B*S1587^2+2*SLOPE_B*S1587*T1587+SLOPE_A*T1587^2),0)</f>
        <v>0</v>
      </c>
      <c r="X1587" s="27" t="n">
        <f aca="false">IF(M1587&gt;0,D1587*(E1587+2*SLABOVH)*SLAB,0)</f>
        <v>17.4179972557929</v>
      </c>
      <c r="Y1587" s="27" t="n">
        <f aca="false">IF(M1587&gt;0,D1587*PI()*E1587^2/4,0)</f>
        <v>48.4454497241606</v>
      </c>
      <c r="Z1587" s="27" t="n">
        <f aca="false">IF(H1587-E1587&gt;=GWL,99,E1587*(MAX(0,GWL-H1587)*(GAM_S-GAM_W)+MAX(0,NG-MAX(H1587,GWL))*GAM_D)/(GAM_W*PI()*E1587^2/4))</f>
        <v>0.620714158800735</v>
      </c>
      <c r="AA1587" s="27" t="n">
        <f aca="false">IF(I1587-E1587&gt;=GWL,99,E1587*(MAX(0,GWL-I1587)*(GAM_S-GAM_W)+MAX(0,NG-MAX(I1587,GWL))*GAM_D)/(GAM_W*PI()*E1587^2/4))</f>
        <v>0.659238014241959</v>
      </c>
      <c r="AB1587" s="27" t="n">
        <f aca="false">IF(H1587-E1587&gt;=GWL,99,E1587*(MAX(0,GWL-H1587)*(GAM_S-GAM_W)+MAX(0,FL-MAX(H1587,GWL))*GAM_D)/(GAM_W*PI()*E1587^2/4))</f>
        <v>2.21983389178142</v>
      </c>
      <c r="AC1587" s="27" t="n">
        <f aca="false">IF(I1587-E1587&gt;=GWL,99,E1587*(MAX(0,GWL-I1587)*(GAM_S-GAM_W)+MAX(0,FL-MAX(I1587,GWL))*GAM_D)/(GAM_W*PI()*E1587^2/4))</f>
        <v>2.25835774722264</v>
      </c>
    </row>
    <row r="1588" customFormat="false" ht="15" hidden="false" customHeight="false" outlineLevel="0" collapsed="false">
      <c r="A1588" s="25" t="s">
        <v>2236</v>
      </c>
      <c r="B1588" s="25" t="s">
        <v>2237</v>
      </c>
      <c r="C1588" s="25" t="s">
        <v>2264</v>
      </c>
      <c r="D1588" s="26" t="n">
        <v>10.0000000010535</v>
      </c>
      <c r="E1588" s="26" t="n">
        <v>2.48359945157555</v>
      </c>
      <c r="F1588" s="26" t="n">
        <v>-4.38442541294517</v>
      </c>
      <c r="G1588" s="26" t="n">
        <v>-4.42537954095659</v>
      </c>
      <c r="H1588" s="26" t="n">
        <v>-1.40082596136963</v>
      </c>
      <c r="I1588" s="26" t="n">
        <v>-1.44178008938105</v>
      </c>
      <c r="J1588" s="26" t="n">
        <v>22.71</v>
      </c>
      <c r="K1588" s="27" t="n">
        <f aca="false">MIN(F1588,G1588)</f>
        <v>-4.42537954095659</v>
      </c>
      <c r="L1588" s="27" t="n">
        <f aca="false">AVERAGE(F1588,G1588)</f>
        <v>-4.40490247695088</v>
      </c>
      <c r="M1588" s="27" t="n">
        <f aca="false">MAX(0,NG-L1588)</f>
        <v>3.70490247695088</v>
      </c>
      <c r="N1588" s="27" t="n">
        <f aca="false">MAX(0,GWL-K1588)</f>
        <v>2.92537954095659</v>
      </c>
      <c r="O1588" s="27" t="n">
        <f aca="false">MAX(0,NG-MAX(K1588,GWL))</f>
        <v>0.8</v>
      </c>
      <c r="P1588" s="27" t="n">
        <f aca="false">E1588/2+WS+SLOPE_A*O1588+SLOPE_B*N1588</f>
        <v>9.29255880770096</v>
      </c>
      <c r="Q1588" s="28" t="str">
        <f aca="false">IF(AND(P1588&lt;J1588,N1588&lt;=MAXOC),"Open cut","Shoring")</f>
        <v>Shoring</v>
      </c>
      <c r="R1588" s="27" t="n">
        <f aca="false">IF(Q1588="Shoring",D1588,0)</f>
        <v>10.0000000010535</v>
      </c>
      <c r="S1588" s="27" t="n">
        <f aca="false">MAX(0,GWL-L1588)</f>
        <v>2.90490247695088</v>
      </c>
      <c r="T1588" s="27" t="n">
        <f aca="false">MAX(0,NG-MAX(L1588,GWL))</f>
        <v>0.8</v>
      </c>
      <c r="U1588" s="27" t="n">
        <f aca="false">E1588+2*WS</f>
        <v>4.48359945157555</v>
      </c>
      <c r="V1588" s="27" t="n">
        <f aca="false">IF(Q1588="Shoring",D1588*M1588*U1588,0)</f>
        <v>166.112987155479</v>
      </c>
      <c r="W1588" s="27" t="n">
        <f aca="false">IF(Q1588="Open cut",D1588*(U1588*M1588+SLOPE_B*S1588^2+2*SLOPE_B*S1588*T1588+SLOPE_A*T1588^2),0)</f>
        <v>0</v>
      </c>
      <c r="X1588" s="27" t="n">
        <f aca="false">IF(M1588&gt;0,D1588*(E1588+2*SLABOVH)*SLAB,0)</f>
        <v>17.4179972597128</v>
      </c>
      <c r="Y1588" s="27" t="n">
        <f aca="false">IF(M1588&gt;0,D1588*PI()*E1588^2/4,0)</f>
        <v>48.4454497350631</v>
      </c>
      <c r="Z1588" s="27" t="n">
        <f aca="false">IF(H1588-E1588&gt;=GWL,99,E1588*(MAX(0,GWL-H1588)*(GAM_S-GAM_W)+MAX(0,NG-MAX(H1588,GWL))*GAM_D)/(GAM_W*PI()*E1588^2/4))</f>
        <v>0.659238014241959</v>
      </c>
      <c r="AA1588" s="27" t="n">
        <f aca="false">IF(I1588-E1588&gt;=GWL,99,E1588*(MAX(0,GWL-I1588)*(GAM_S-GAM_W)+MAX(0,NG-MAX(I1588,GWL))*GAM_D)/(GAM_W*PI()*E1588^2/4))</f>
        <v>0.697761869683181</v>
      </c>
      <c r="AB1588" s="27" t="n">
        <f aca="false">IF(H1588-E1588&gt;=GWL,99,E1588*(MAX(0,GWL-H1588)*(GAM_S-GAM_W)+MAX(0,FL-MAX(H1588,GWL))*GAM_D)/(GAM_W*PI()*E1588^2/4))</f>
        <v>2.25835774722264</v>
      </c>
      <c r="AC1588" s="27" t="n">
        <f aca="false">IF(I1588-E1588&gt;=GWL,99,E1588*(MAX(0,GWL-I1588)*(GAM_S-GAM_W)+MAX(0,FL-MAX(I1588,GWL))*GAM_D)/(GAM_W*PI()*E1588^2/4))</f>
        <v>2.29688160266386</v>
      </c>
    </row>
    <row r="1589" customFormat="false" ht="15" hidden="false" customHeight="false" outlineLevel="0" collapsed="false">
      <c r="A1589" s="25" t="s">
        <v>2236</v>
      </c>
      <c r="B1589" s="25" t="s">
        <v>2237</v>
      </c>
      <c r="C1589" s="25" t="s">
        <v>2265</v>
      </c>
      <c r="D1589" s="26" t="n">
        <v>9.99999999970326</v>
      </c>
      <c r="E1589" s="26" t="n">
        <v>2.48359945157555</v>
      </c>
      <c r="F1589" s="26" t="n">
        <v>-4.42537954095659</v>
      </c>
      <c r="G1589" s="26" t="n">
        <v>-4.46633366896801</v>
      </c>
      <c r="H1589" s="26" t="n">
        <v>-1.44178008938105</v>
      </c>
      <c r="I1589" s="26" t="n">
        <v>-1.48273421739247</v>
      </c>
      <c r="J1589" s="26" t="n">
        <v>17.33</v>
      </c>
      <c r="K1589" s="27" t="n">
        <f aca="false">MIN(F1589,G1589)</f>
        <v>-4.46633366896801</v>
      </c>
      <c r="L1589" s="27" t="n">
        <f aca="false">AVERAGE(F1589,G1589)</f>
        <v>-4.4458566049623</v>
      </c>
      <c r="M1589" s="27" t="n">
        <f aca="false">MAX(0,NG-L1589)</f>
        <v>3.7458566049623</v>
      </c>
      <c r="N1589" s="27" t="n">
        <f aca="false">MAX(0,GWL-K1589)</f>
        <v>2.96633366896801</v>
      </c>
      <c r="O1589" s="27" t="n">
        <f aca="false">MAX(0,NG-MAX(K1589,GWL))</f>
        <v>0.8</v>
      </c>
      <c r="P1589" s="27" t="n">
        <f aca="false">E1589/2+WS+SLOPE_A*O1589+SLOPE_B*N1589</f>
        <v>9.3744670637238</v>
      </c>
      <c r="Q1589" s="28" t="str">
        <f aca="false">IF(AND(P1589&lt;J1589,N1589&lt;=MAXOC),"Open cut","Shoring")</f>
        <v>Shoring</v>
      </c>
      <c r="R1589" s="27" t="n">
        <f aca="false">IF(Q1589="Shoring",D1589,0)</f>
        <v>9.99999999970326</v>
      </c>
      <c r="S1589" s="27" t="n">
        <f aca="false">MAX(0,GWL-L1589)</f>
        <v>2.9458566049623</v>
      </c>
      <c r="T1589" s="27" t="n">
        <f aca="false">MAX(0,NG-MAX(L1589,GWL))</f>
        <v>0.8</v>
      </c>
      <c r="U1589" s="27" t="n">
        <f aca="false">E1589+2*WS</f>
        <v>4.48359945157555</v>
      </c>
      <c r="V1589" s="27" t="n">
        <f aca="false">IF(Q1589="Shoring",D1589*M1589*U1589,0)</f>
        <v>167.949206191912</v>
      </c>
      <c r="W1589" s="27" t="n">
        <f aca="false">IF(Q1589="Open cut",D1589*(U1589*M1589+SLOPE_B*S1589^2+2*SLOPE_B*S1589*T1589+SLOPE_A*T1589^2),0)</f>
        <v>0</v>
      </c>
      <c r="X1589" s="27" t="n">
        <f aca="false">IF(M1589&gt;0,D1589*(E1589+2*SLABOVH)*SLAB,0)</f>
        <v>17.4179972573609</v>
      </c>
      <c r="Y1589" s="27" t="n">
        <f aca="false">IF(M1589&gt;0,D1589*PI()*E1589^2/4,0)</f>
        <v>48.4454497285216</v>
      </c>
      <c r="Z1589" s="27" t="n">
        <f aca="false">IF(H1589-E1589&gt;=GWL,99,E1589*(MAX(0,GWL-H1589)*(GAM_S-GAM_W)+MAX(0,NG-MAX(H1589,GWL))*GAM_D)/(GAM_W*PI()*E1589^2/4))</f>
        <v>0.697761869683181</v>
      </c>
      <c r="AA1589" s="27" t="n">
        <f aca="false">IF(I1589-E1589&gt;=GWL,99,E1589*(MAX(0,GWL-I1589)*(GAM_S-GAM_W)+MAX(0,NG-MAX(I1589,GWL))*GAM_D)/(GAM_W*PI()*E1589^2/4))</f>
        <v>0.736285725124406</v>
      </c>
      <c r="AB1589" s="27" t="n">
        <f aca="false">IF(H1589-E1589&gt;=GWL,99,E1589*(MAX(0,GWL-H1589)*(GAM_S-GAM_W)+MAX(0,FL-MAX(H1589,GWL))*GAM_D)/(GAM_W*PI()*E1589^2/4))</f>
        <v>2.29688160266386</v>
      </c>
      <c r="AC1589" s="27" t="n">
        <f aca="false">IF(I1589-E1589&gt;=GWL,99,E1589*(MAX(0,GWL-I1589)*(GAM_S-GAM_W)+MAX(0,FL-MAX(I1589,GWL))*GAM_D)/(GAM_W*PI()*E1589^2/4))</f>
        <v>2.33540545810509</v>
      </c>
    </row>
    <row r="1590" customFormat="false" ht="15" hidden="false" customHeight="false" outlineLevel="0" collapsed="false">
      <c r="A1590" s="25" t="s">
        <v>2236</v>
      </c>
      <c r="B1590" s="25" t="s">
        <v>2237</v>
      </c>
      <c r="C1590" s="25" t="s">
        <v>2266</v>
      </c>
      <c r="D1590" s="26" t="n">
        <v>9.99999999973311</v>
      </c>
      <c r="E1590" s="26" t="n">
        <v>2.48359945157555</v>
      </c>
      <c r="F1590" s="26" t="n">
        <v>-4.46633366896801</v>
      </c>
      <c r="G1590" s="26" t="n">
        <v>-4.50728779697943</v>
      </c>
      <c r="H1590" s="26" t="n">
        <v>-1.48273421739247</v>
      </c>
      <c r="I1590" s="26" t="n">
        <v>-1.52368834540389</v>
      </c>
      <c r="J1590" s="26" t="n">
        <v>14.53</v>
      </c>
      <c r="K1590" s="27" t="n">
        <f aca="false">MIN(F1590,G1590)</f>
        <v>-4.50728779697943</v>
      </c>
      <c r="L1590" s="27" t="n">
        <f aca="false">AVERAGE(F1590,G1590)</f>
        <v>-4.48681073297373</v>
      </c>
      <c r="M1590" s="27" t="n">
        <f aca="false">MAX(0,NG-L1590)</f>
        <v>3.78681073297372</v>
      </c>
      <c r="N1590" s="27" t="n">
        <f aca="false">MAX(0,GWL-K1590)</f>
        <v>3.00728779697943</v>
      </c>
      <c r="O1590" s="27" t="n">
        <f aca="false">MAX(0,NG-MAX(K1590,GWL))</f>
        <v>0.8</v>
      </c>
      <c r="P1590" s="27" t="n">
        <f aca="false">E1590/2+WS+SLOPE_A*O1590+SLOPE_B*N1590</f>
        <v>9.45637531974664</v>
      </c>
      <c r="Q1590" s="28" t="str">
        <f aca="false">IF(AND(P1590&lt;J1590,N1590&lt;=MAXOC),"Open cut","Shoring")</f>
        <v>Shoring</v>
      </c>
      <c r="R1590" s="27" t="n">
        <f aca="false">IF(Q1590="Shoring",D1590,0)</f>
        <v>9.99999999973311</v>
      </c>
      <c r="S1590" s="27" t="n">
        <f aca="false">MAX(0,GWL-L1590)</f>
        <v>2.98681073297372</v>
      </c>
      <c r="T1590" s="27" t="n">
        <f aca="false">MAX(0,NG-MAX(L1590,GWL))</f>
        <v>0.8</v>
      </c>
      <c r="U1590" s="27" t="n">
        <f aca="false">E1590+2*WS</f>
        <v>4.48359945157555</v>
      </c>
      <c r="V1590" s="27" t="n">
        <f aca="false">IF(Q1590="Shoring",D1590*M1590*U1590,0)</f>
        <v>169.785425251282</v>
      </c>
      <c r="W1590" s="27" t="n">
        <f aca="false">IF(Q1590="Open cut",D1590*(U1590*M1590+SLOPE_B*S1590^2+2*SLOPE_B*S1590*T1590+SLOPE_A*T1590^2),0)</f>
        <v>0</v>
      </c>
      <c r="X1590" s="27" t="n">
        <f aca="false">IF(M1590&gt;0,D1590*(E1590+2*SLABOVH)*SLAB,0)</f>
        <v>17.4179972574129</v>
      </c>
      <c r="Y1590" s="27" t="n">
        <f aca="false">IF(M1590&gt;0,D1590*PI()*E1590^2/4,0)</f>
        <v>48.4454497286662</v>
      </c>
      <c r="Z1590" s="27" t="n">
        <f aca="false">IF(H1590-E1590&gt;=GWL,99,E1590*(MAX(0,GWL-H1590)*(GAM_S-GAM_W)+MAX(0,NG-MAX(H1590,GWL))*GAM_D)/(GAM_W*PI()*E1590^2/4))</f>
        <v>0.736285725124406</v>
      </c>
      <c r="AA1590" s="27" t="n">
        <f aca="false">IF(I1590-E1590&gt;=GWL,99,E1590*(MAX(0,GWL-I1590)*(GAM_S-GAM_W)+MAX(0,NG-MAX(I1590,GWL))*GAM_D)/(GAM_W*PI()*E1590^2/4))</f>
        <v>0.762665537733582</v>
      </c>
      <c r="AB1590" s="27" t="n">
        <f aca="false">IF(H1590-E1590&gt;=GWL,99,E1590*(MAX(0,GWL-H1590)*(GAM_S-GAM_W)+MAX(0,FL-MAX(H1590,GWL))*GAM_D)/(GAM_W*PI()*E1590^2/4))</f>
        <v>2.33540545810509</v>
      </c>
      <c r="AC1590" s="27" t="n">
        <f aca="false">IF(I1590-E1590&gt;=GWL,99,E1590*(MAX(0,GWL-I1590)*(GAM_S-GAM_W)+MAX(0,FL-MAX(I1590,GWL))*GAM_D)/(GAM_W*PI()*E1590^2/4))</f>
        <v>2.36178527071426</v>
      </c>
    </row>
    <row r="1591" customFormat="false" ht="15" hidden="false" customHeight="false" outlineLevel="0" collapsed="false">
      <c r="A1591" s="25" t="s">
        <v>2236</v>
      </c>
      <c r="B1591" s="25" t="s">
        <v>2237</v>
      </c>
      <c r="C1591" s="25" t="s">
        <v>2267</v>
      </c>
      <c r="D1591" s="26" t="n">
        <v>8.4269719519422</v>
      </c>
      <c r="E1591" s="26" t="n">
        <v>2.48359945157555</v>
      </c>
      <c r="F1591" s="26" t="n">
        <v>-4.50728779697943</v>
      </c>
      <c r="G1591" s="26" t="n">
        <v>-4.54179972578777</v>
      </c>
      <c r="H1591" s="26" t="n">
        <v>-1.52368834540389</v>
      </c>
      <c r="I1591" s="26" t="n">
        <v>-1.55820027421223</v>
      </c>
      <c r="J1591" s="26" t="n">
        <v>9.23</v>
      </c>
      <c r="K1591" s="27" t="n">
        <f aca="false">MIN(F1591,G1591)</f>
        <v>-4.54179972578777</v>
      </c>
      <c r="L1591" s="27" t="n">
        <f aca="false">AVERAGE(F1591,G1591)</f>
        <v>-4.5245437613836</v>
      </c>
      <c r="M1591" s="27" t="n">
        <f aca="false">MAX(0,NG-L1591)</f>
        <v>3.8245437613836</v>
      </c>
      <c r="N1591" s="27" t="n">
        <f aca="false">MAX(0,GWL-K1591)</f>
        <v>3.04179972578777</v>
      </c>
      <c r="O1591" s="27" t="n">
        <f aca="false">MAX(0,NG-MAX(K1591,GWL))</f>
        <v>0.8</v>
      </c>
      <c r="P1591" s="27" t="n">
        <f aca="false">E1591/2+WS+SLOPE_A*O1591+SLOPE_B*N1591</f>
        <v>9.52539917736332</v>
      </c>
      <c r="Q1591" s="28" t="str">
        <f aca="false">IF(AND(P1591&lt;J1591,N1591&lt;=MAXOC),"Open cut","Shoring")</f>
        <v>Shoring</v>
      </c>
      <c r="R1591" s="27" t="n">
        <f aca="false">IF(Q1591="Shoring",D1591,0)</f>
        <v>8.4269719519422</v>
      </c>
      <c r="S1591" s="27" t="n">
        <f aca="false">MAX(0,GWL-L1591)</f>
        <v>3.0245437613836</v>
      </c>
      <c r="T1591" s="27" t="n">
        <f aca="false">MAX(0,NG-MAX(L1591,GWL))</f>
        <v>0.8</v>
      </c>
      <c r="U1591" s="27" t="n">
        <f aca="false">E1591+2*WS</f>
        <v>4.48359945157555</v>
      </c>
      <c r="V1591" s="27" t="n">
        <f aca="false">IF(Q1591="Shoring",D1591*M1591*U1591,0)</f>
        <v>144.503374955048</v>
      </c>
      <c r="W1591" s="27" t="n">
        <f aca="false">IF(Q1591="Open cut",D1591*(U1591*M1591+SLOPE_B*S1591^2+2*SLOPE_B*S1591*T1591+SLOPE_A*T1591^2),0)</f>
        <v>0</v>
      </c>
      <c r="X1591" s="27" t="n">
        <f aca="false">IF(M1591&gt;0,D1591*(E1591+2*SLABOVH)*SLAB,0)</f>
        <v>14.6780974351142</v>
      </c>
      <c r="Y1591" s="27" t="n">
        <f aca="false">IF(M1591&gt;0,D1591*PI()*E1591^2/4,0)</f>
        <v>40.8248446073592</v>
      </c>
      <c r="Z1591" s="27" t="n">
        <f aca="false">IF(H1591-E1591&gt;=GWL,99,E1591*(MAX(0,GWL-H1591)*(GAM_S-GAM_W)+MAX(0,NG-MAX(H1591,GWL))*GAM_D)/(GAM_W*PI()*E1591^2/4))</f>
        <v>0.762665537733582</v>
      </c>
      <c r="AA1591" s="27" t="n">
        <f aca="false">IF(I1591-E1591&gt;=GWL,99,E1591*(MAX(0,GWL-I1591)*(GAM_S-GAM_W)+MAX(0,NG-MAX(I1591,GWL))*GAM_D)/(GAM_W*PI()*E1591^2/4))</f>
        <v>0.777436632676635</v>
      </c>
      <c r="AB1591" s="27" t="n">
        <f aca="false">IF(H1591-E1591&gt;=GWL,99,E1591*(MAX(0,GWL-H1591)*(GAM_S-GAM_W)+MAX(0,FL-MAX(H1591,GWL))*GAM_D)/(GAM_W*PI()*E1591^2/4))</f>
        <v>2.36178527071426</v>
      </c>
      <c r="AC1591" s="27" t="n">
        <f aca="false">IF(I1591-E1591&gt;=GWL,99,E1591*(MAX(0,GWL-I1591)*(GAM_S-GAM_W)+MAX(0,FL-MAX(I1591,GWL))*GAM_D)/(GAM_W*PI()*E1591^2/4))</f>
        <v>2.37655636565732</v>
      </c>
    </row>
    <row r="1592" customFormat="false" ht="15" hidden="false" customHeight="false" outlineLevel="0" collapsed="false">
      <c r="A1592" s="25" t="s">
        <v>2236</v>
      </c>
      <c r="B1592" s="25" t="s">
        <v>2237</v>
      </c>
      <c r="C1592" s="25" t="s">
        <v>2268</v>
      </c>
      <c r="D1592" s="26" t="n">
        <v>1.57302804836388</v>
      </c>
      <c r="E1592" s="26" t="n">
        <v>2.48359945157555</v>
      </c>
      <c r="F1592" s="26" t="n">
        <v>-4.54179972578777</v>
      </c>
      <c r="G1592" s="26" t="n">
        <v>-4.54226727393544</v>
      </c>
      <c r="H1592" s="26" t="n">
        <v>-1.55820027421223</v>
      </c>
      <c r="I1592" s="26" t="n">
        <v>-1.55866782235989</v>
      </c>
      <c r="J1592" s="26" t="n">
        <v>7.72</v>
      </c>
      <c r="K1592" s="27" t="n">
        <f aca="false">MIN(F1592,G1592)</f>
        <v>-4.54226727393544</v>
      </c>
      <c r="L1592" s="27" t="n">
        <f aca="false">AVERAGE(F1592,G1592)</f>
        <v>-4.5420334998616</v>
      </c>
      <c r="M1592" s="27" t="n">
        <f aca="false">MAX(0,NG-L1592)</f>
        <v>3.8420334998616</v>
      </c>
      <c r="N1592" s="27" t="n">
        <f aca="false">MAX(0,GWL-K1592)</f>
        <v>3.04226727393544</v>
      </c>
      <c r="O1592" s="27" t="n">
        <f aca="false">MAX(0,NG-MAX(K1592,GWL))</f>
        <v>0.8</v>
      </c>
      <c r="P1592" s="27" t="n">
        <f aca="false">E1592/2+WS+SLOPE_A*O1592+SLOPE_B*N1592</f>
        <v>9.52633427365865</v>
      </c>
      <c r="Q1592" s="28" t="str">
        <f aca="false">IF(AND(P1592&lt;J1592,N1592&lt;=MAXOC),"Open cut","Shoring")</f>
        <v>Shoring</v>
      </c>
      <c r="R1592" s="27" t="n">
        <f aca="false">IF(Q1592="Shoring",D1592,0)</f>
        <v>1.57302804836388</v>
      </c>
      <c r="S1592" s="27" t="n">
        <f aca="false">MAX(0,GWL-L1592)</f>
        <v>3.0420334998616</v>
      </c>
      <c r="T1592" s="27" t="n">
        <f aca="false">MAX(0,NG-MAX(L1592,GWL))</f>
        <v>0.8</v>
      </c>
      <c r="U1592" s="27" t="n">
        <f aca="false">E1592+2*WS</f>
        <v>4.48359945157555</v>
      </c>
      <c r="V1592" s="27" t="n">
        <f aca="false">IF(Q1592="Shoring",D1592*M1592*U1592,0)</f>
        <v>27.0972002727774</v>
      </c>
      <c r="W1592" s="27" t="n">
        <f aca="false">IF(Q1592="Open cut",D1592*(U1592*M1592+SLOPE_B*S1592^2+2*SLOPE_B*S1592*T1592+SLOPE_A*T1592^2),0)</f>
        <v>0</v>
      </c>
      <c r="X1592" s="27" t="n">
        <f aca="false">IF(M1592&gt;0,D1592*(E1592+2*SLABOVH)*SLAB,0)</f>
        <v>2.73989982329667</v>
      </c>
      <c r="Y1592" s="27" t="n">
        <f aca="false">IF(M1592&gt;0,D1592*PI()*E1592^2/4,0)</f>
        <v>7.6206051240828</v>
      </c>
      <c r="Z1592" s="27" t="n">
        <f aca="false">IF(H1592-E1592&gt;=GWL,99,E1592*(MAX(0,GWL-H1592)*(GAM_S-GAM_W)+MAX(0,NG-MAX(H1592,GWL))*GAM_D)/(GAM_W*PI()*E1592^2/4))</f>
        <v>0.777436632676635</v>
      </c>
      <c r="AA1592" s="27" t="n">
        <f aca="false">IF(I1592-E1592&gt;=GWL,99,E1592*(MAX(0,GWL-I1592)*(GAM_S-GAM_W)+MAX(0,NG-MAX(I1592,GWL))*GAM_D)/(GAM_W*PI()*E1592^2/4))</f>
        <v>0.777636743140411</v>
      </c>
      <c r="AB1592" s="27" t="n">
        <f aca="false">IF(H1592-E1592&gt;=GWL,99,E1592*(MAX(0,GWL-H1592)*(GAM_S-GAM_W)+MAX(0,FL-MAX(H1592,GWL))*GAM_D)/(GAM_W*PI()*E1592^2/4))</f>
        <v>2.37655636565732</v>
      </c>
      <c r="AC1592" s="27" t="n">
        <f aca="false">IF(I1592-E1592&gt;=GWL,99,E1592*(MAX(0,GWL-I1592)*(GAM_S-GAM_W)+MAX(0,FL-MAX(I1592,GWL))*GAM_D)/(GAM_W*PI()*E1592^2/4))</f>
        <v>2.37675647612109</v>
      </c>
    </row>
    <row r="1593" customFormat="false" ht="15" hidden="false" customHeight="false" outlineLevel="0" collapsed="false">
      <c r="A1593" s="25" t="s">
        <v>2236</v>
      </c>
      <c r="B1593" s="25" t="s">
        <v>2237</v>
      </c>
      <c r="C1593" s="25" t="s">
        <v>2269</v>
      </c>
      <c r="D1593" s="26" t="n">
        <v>2.02690068594657</v>
      </c>
      <c r="E1593" s="26" t="n">
        <v>2.48359945157555</v>
      </c>
      <c r="F1593" s="26" t="n">
        <v>-4.54226727393544</v>
      </c>
      <c r="G1593" s="26" t="n">
        <v>-4.54286972578777</v>
      </c>
      <c r="H1593" s="26" t="n">
        <v>-1.55866782235989</v>
      </c>
      <c r="I1593" s="26" t="n">
        <v>-1.55927027421223</v>
      </c>
      <c r="J1593" s="26" t="n">
        <v>5.79</v>
      </c>
      <c r="K1593" s="27" t="n">
        <f aca="false">MIN(F1593,G1593)</f>
        <v>-4.54286972578777</v>
      </c>
      <c r="L1593" s="27" t="n">
        <f aca="false">AVERAGE(F1593,G1593)</f>
        <v>-4.54256849986161</v>
      </c>
      <c r="M1593" s="27" t="n">
        <f aca="false">MAX(0,NG-L1593)</f>
        <v>3.8425684998616</v>
      </c>
      <c r="N1593" s="27" t="n">
        <f aca="false">MAX(0,GWL-K1593)</f>
        <v>3.04286972578777</v>
      </c>
      <c r="O1593" s="27" t="n">
        <f aca="false">MAX(0,NG-MAX(K1593,GWL))</f>
        <v>0.8</v>
      </c>
      <c r="P1593" s="27" t="n">
        <f aca="false">E1593/2+WS+SLOPE_A*O1593+SLOPE_B*N1593</f>
        <v>9.52753917736332</v>
      </c>
      <c r="Q1593" s="28" t="str">
        <f aca="false">IF(AND(P1593&lt;J1593,N1593&lt;=MAXOC),"Open cut","Shoring")</f>
        <v>Shoring</v>
      </c>
      <c r="R1593" s="27" t="n">
        <f aca="false">IF(Q1593="Shoring",D1593,0)</f>
        <v>2.02690068594657</v>
      </c>
      <c r="S1593" s="27" t="n">
        <f aca="false">MAX(0,GWL-L1593)</f>
        <v>3.0425684998616</v>
      </c>
      <c r="T1593" s="27" t="n">
        <f aca="false">MAX(0,NG-MAX(L1593,GWL))</f>
        <v>0.8</v>
      </c>
      <c r="U1593" s="27" t="n">
        <f aca="false">E1593+2*WS</f>
        <v>4.48359945157555</v>
      </c>
      <c r="V1593" s="27" t="n">
        <f aca="false">IF(Q1593="Shoring",D1593*M1593*U1593,0)</f>
        <v>34.9205355277994</v>
      </c>
      <c r="W1593" s="27" t="n">
        <f aca="false">IF(Q1593="Open cut",D1593*(U1593*M1593+SLOPE_B*S1593^2+2*SLOPE_B*S1593*T1593+SLOPE_A*T1593^2),0)</f>
        <v>0</v>
      </c>
      <c r="X1593" s="27" t="n">
        <f aca="false">IF(M1593&gt;0,D1593*(E1593+2*SLABOVH)*SLAB,0)</f>
        <v>3.53045505898079</v>
      </c>
      <c r="Y1593" s="27" t="n">
        <f aca="false">IF(M1593&gt;0,D1593*PI()*E1593^2/4,0)</f>
        <v>9.81941152886444</v>
      </c>
      <c r="Z1593" s="27" t="n">
        <f aca="false">IF(H1593-E1593&gt;=GWL,99,E1593*(MAX(0,GWL-H1593)*(GAM_S-GAM_W)+MAX(0,NG-MAX(H1593,GWL))*GAM_D)/(GAM_W*PI()*E1593^2/4))</f>
        <v>0.777636743140411</v>
      </c>
      <c r="AA1593" s="27" t="n">
        <f aca="false">IF(I1593-E1593&gt;=GWL,99,E1593*(MAX(0,GWL-I1593)*(GAM_S-GAM_W)+MAX(0,NG-MAX(I1593,GWL))*GAM_D)/(GAM_W*PI()*E1593^2/4))</f>
        <v>0.777894592348401</v>
      </c>
      <c r="AB1593" s="27" t="n">
        <f aca="false">IF(H1593-E1593&gt;=GWL,99,E1593*(MAX(0,GWL-H1593)*(GAM_S-GAM_W)+MAX(0,FL-MAX(H1593,GWL))*GAM_D)/(GAM_W*PI()*E1593^2/4))</f>
        <v>2.37675647612109</v>
      </c>
      <c r="AC1593" s="27" t="n">
        <f aca="false">IF(I1593-E1593&gt;=GWL,99,E1593*(MAX(0,GWL-I1593)*(GAM_S-GAM_W)+MAX(0,FL-MAX(I1593,GWL))*GAM_D)/(GAM_W*PI()*E1593^2/4))</f>
        <v>2.37701432532908</v>
      </c>
    </row>
    <row r="1594" customFormat="false" ht="15" hidden="false" customHeight="false" outlineLevel="0" collapsed="false">
      <c r="A1594" s="25" t="s">
        <v>2236</v>
      </c>
      <c r="B1594" s="25" t="s">
        <v>2237</v>
      </c>
      <c r="C1594" s="25" t="s">
        <v>2270</v>
      </c>
      <c r="D1594" s="26" t="n">
        <v>3.60004999945997</v>
      </c>
      <c r="E1594" s="26" t="n">
        <v>2.48359602356316</v>
      </c>
      <c r="F1594" s="26" t="n">
        <v>-4.54286801178158</v>
      </c>
      <c r="G1594" s="26" t="n">
        <v>-4.54392801178158</v>
      </c>
      <c r="H1594" s="26" t="n">
        <v>-1.55927198821842</v>
      </c>
      <c r="I1594" s="26" t="n">
        <v>-1.56033198821842</v>
      </c>
      <c r="J1594" s="26" t="n">
        <v>3.07</v>
      </c>
      <c r="K1594" s="27" t="n">
        <f aca="false">MIN(F1594,G1594)</f>
        <v>-4.54392801178158</v>
      </c>
      <c r="L1594" s="27" t="n">
        <f aca="false">AVERAGE(F1594,G1594)</f>
        <v>-4.54339801178158</v>
      </c>
      <c r="M1594" s="27" t="n">
        <f aca="false">MAX(0,NG-L1594)</f>
        <v>3.84339801178158</v>
      </c>
      <c r="N1594" s="27" t="n">
        <f aca="false">MAX(0,GWL-K1594)</f>
        <v>3.04392801178158</v>
      </c>
      <c r="O1594" s="27" t="n">
        <f aca="false">MAX(0,NG-MAX(K1594,GWL))</f>
        <v>0.8</v>
      </c>
      <c r="P1594" s="27" t="n">
        <f aca="false">E1594/2+WS+SLOPE_A*O1594+SLOPE_B*N1594</f>
        <v>9.52965403534474</v>
      </c>
      <c r="Q1594" s="28" t="str">
        <f aca="false">IF(AND(P1594&lt;J1594,N1594&lt;=MAXOC),"Open cut","Shoring")</f>
        <v>Shoring</v>
      </c>
      <c r="R1594" s="27" t="n">
        <f aca="false">IF(Q1594="Shoring",D1594,0)</f>
        <v>3.60004999945997</v>
      </c>
      <c r="S1594" s="27" t="n">
        <f aca="false">MAX(0,GWL-L1594)</f>
        <v>3.04339801178158</v>
      </c>
      <c r="T1594" s="27" t="n">
        <f aca="false">MAX(0,NG-MAX(L1594,GWL))</f>
        <v>0.8</v>
      </c>
      <c r="U1594" s="27" t="n">
        <f aca="false">E1594+2*WS</f>
        <v>4.48359602356316</v>
      </c>
      <c r="V1594" s="27" t="n">
        <f aca="false">IF(Q1594="Shoring",D1594*M1594*U1594,0)</f>
        <v>62.0369401562362</v>
      </c>
      <c r="W1594" s="27" t="n">
        <f aca="false">IF(Q1594="Open cut",D1594*(U1594*M1594+SLOPE_B*S1594^2+2*SLOPE_B*S1594*T1594+SLOPE_A*T1594^2),0)</f>
        <v>0</v>
      </c>
      <c r="X1594" s="27" t="n">
        <f aca="false">IF(M1594&gt;0,D1594*(E1594+2*SLABOVH)*SLAB,0)</f>
        <v>6.27055993137365</v>
      </c>
      <c r="Y1594" s="27" t="n">
        <f aca="false">IF(M1594&gt;0,D1594*PI()*E1594^2/4,0)</f>
        <v>17.4405559823228</v>
      </c>
      <c r="Z1594" s="27" t="n">
        <f aca="false">IF(H1594-E1594&gt;=GWL,99,E1594*(MAX(0,GWL-H1594)*(GAM_S-GAM_W)+MAX(0,NG-MAX(H1594,GWL))*GAM_D)/(GAM_W*PI()*E1594^2/4))</f>
        <v>0.777896399641625</v>
      </c>
      <c r="AA1594" s="27" t="n">
        <f aca="false">IF(I1594-E1594&gt;=GWL,99,E1594*(MAX(0,GWL-I1594)*(GAM_S-GAM_W)+MAX(0,NG-MAX(I1594,GWL))*GAM_D)/(GAM_W*PI()*E1594^2/4))</f>
        <v>0.778350079942655</v>
      </c>
      <c r="AB1594" s="27" t="n">
        <f aca="false">IF(H1594-E1594&gt;=GWL,99,E1594*(MAX(0,GWL-H1594)*(GAM_S-GAM_W)+MAX(0,FL-MAX(H1594,GWL))*GAM_D)/(GAM_W*PI()*E1594^2/4))</f>
        <v>2.37701833982597</v>
      </c>
      <c r="AC1594" s="27" t="n">
        <f aca="false">IF(I1594-E1594&gt;=GWL,99,E1594*(MAX(0,GWL-I1594)*(GAM_S-GAM_W)+MAX(0,FL-MAX(I1594,GWL))*GAM_D)/(GAM_W*PI()*E1594^2/4))</f>
        <v>2.377472020127</v>
      </c>
    </row>
    <row r="1595" customFormat="false" ht="15" hidden="false" customHeight="false" outlineLevel="0" collapsed="false">
      <c r="A1595" s="25" t="s">
        <v>2236</v>
      </c>
      <c r="B1595" s="25" t="s">
        <v>2237</v>
      </c>
      <c r="C1595" s="25" t="s">
        <v>2271</v>
      </c>
      <c r="D1595" s="26" t="n">
        <v>4.37304931459653</v>
      </c>
      <c r="E1595" s="26" t="n">
        <v>2.48359602356316</v>
      </c>
      <c r="F1595" s="26" t="n">
        <v>-4.54392801178158</v>
      </c>
      <c r="G1595" s="26" t="n">
        <v>-4.54522240568321</v>
      </c>
      <c r="H1595" s="26" t="n">
        <v>-1.56033198821842</v>
      </c>
      <c r="I1595" s="26" t="n">
        <v>-1.56162638212005</v>
      </c>
      <c r="J1595" s="26" t="n">
        <v>2.19</v>
      </c>
      <c r="K1595" s="27" t="n">
        <f aca="false">MIN(F1595,G1595)</f>
        <v>-4.54522240568321</v>
      </c>
      <c r="L1595" s="27" t="n">
        <f aca="false">AVERAGE(F1595,G1595)</f>
        <v>-4.54457520873239</v>
      </c>
      <c r="M1595" s="27" t="n">
        <f aca="false">MAX(0,NG-L1595)</f>
        <v>3.84457520873239</v>
      </c>
      <c r="N1595" s="27" t="n">
        <f aca="false">MAX(0,GWL-K1595)</f>
        <v>3.04522240568321</v>
      </c>
      <c r="O1595" s="27" t="n">
        <f aca="false">MAX(0,NG-MAX(K1595,GWL))</f>
        <v>0.8</v>
      </c>
      <c r="P1595" s="27" t="n">
        <f aca="false">E1595/2+WS+SLOPE_A*O1595+SLOPE_B*N1595</f>
        <v>9.532242823148</v>
      </c>
      <c r="Q1595" s="28" t="str">
        <f aca="false">IF(AND(P1595&lt;J1595,N1595&lt;=MAXOC),"Open cut","Shoring")</f>
        <v>Shoring</v>
      </c>
      <c r="R1595" s="27" t="n">
        <f aca="false">IF(Q1595="Shoring",D1595,0)</f>
        <v>4.37304931459653</v>
      </c>
      <c r="S1595" s="27" t="n">
        <f aca="false">MAX(0,GWL-L1595)</f>
        <v>3.04457520873239</v>
      </c>
      <c r="T1595" s="27" t="n">
        <f aca="false">MAX(0,NG-MAX(L1595,GWL))</f>
        <v>0.8</v>
      </c>
      <c r="U1595" s="27" t="n">
        <f aca="false">E1595+2*WS</f>
        <v>4.48359602356316</v>
      </c>
      <c r="V1595" s="27" t="n">
        <f aca="false">IF(Q1595="Shoring",D1595*M1595*U1595,0)</f>
        <v>75.3805342841711</v>
      </c>
      <c r="W1595" s="27" t="n">
        <f aca="false">IF(Q1595="Open cut",D1595*(U1595*M1595+SLOPE_B*S1595^2+2*SLOPE_B*S1595*T1595+SLOPE_A*T1595^2),0)</f>
        <v>0</v>
      </c>
      <c r="X1595" s="27" t="n">
        <f aca="false">IF(M1595&gt;0,D1595*(E1595+2*SLABOVH)*SLAB,0)</f>
        <v>7.61696860158703</v>
      </c>
      <c r="Y1595" s="27" t="n">
        <f aca="false">IF(M1595&gt;0,D1595*PI()*E1595^2/4,0)</f>
        <v>21.1853755909279</v>
      </c>
      <c r="Z1595" s="27" t="n">
        <f aca="false">IF(H1595-E1595&gt;=GWL,99,E1595*(MAX(0,GWL-H1595)*(GAM_S-GAM_W)+MAX(0,NG-MAX(H1595,GWL))*GAM_D)/(GAM_W*PI()*E1595^2/4))</f>
        <v>0.778350079942655</v>
      </c>
      <c r="AA1595" s="27" t="n">
        <f aca="false">IF(I1595-E1595&gt;=GWL,99,E1595*(MAX(0,GWL-I1595)*(GAM_S-GAM_W)+MAX(0,NG-MAX(I1595,GWL))*GAM_D)/(GAM_W*PI()*E1595^2/4))</f>
        <v>0.778904080900149</v>
      </c>
      <c r="AB1595" s="27" t="n">
        <f aca="false">IF(H1595-E1595&gt;=GWL,99,E1595*(MAX(0,GWL-H1595)*(GAM_S-GAM_W)+MAX(0,FL-MAX(H1595,GWL))*GAM_D)/(GAM_W*PI()*E1595^2/4))</f>
        <v>2.377472020127</v>
      </c>
      <c r="AC1595" s="27" t="n">
        <f aca="false">IF(I1595-E1595&gt;=GWL,99,E1595*(MAX(0,GWL-I1595)*(GAM_S-GAM_W)+MAX(0,FL-MAX(I1595,GWL))*GAM_D)/(GAM_W*PI()*E1595^2/4))</f>
        <v>2.3780260210845</v>
      </c>
    </row>
    <row r="1596" customFormat="false" ht="15" hidden="false" customHeight="false" outlineLevel="0" collapsed="false">
      <c r="A1596" s="25" t="s">
        <v>2236</v>
      </c>
      <c r="B1596" s="25" t="s">
        <v>2237</v>
      </c>
      <c r="C1596" s="25" t="s">
        <v>2272</v>
      </c>
      <c r="D1596" s="26" t="n">
        <v>9.99999999993682</v>
      </c>
      <c r="E1596" s="26" t="n">
        <v>2.48359602356316</v>
      </c>
      <c r="F1596" s="26" t="n">
        <v>-4.54522240568321</v>
      </c>
      <c r="G1596" s="26" t="n">
        <v>-4.54818234006442</v>
      </c>
      <c r="H1596" s="26" t="n">
        <v>-1.56162638212005</v>
      </c>
      <c r="I1596" s="26" t="n">
        <v>-1.56458631650127</v>
      </c>
      <c r="J1596" s="26" t="n">
        <v>2.19</v>
      </c>
      <c r="K1596" s="27" t="n">
        <f aca="false">MIN(F1596,G1596)</f>
        <v>-4.54818234006442</v>
      </c>
      <c r="L1596" s="27" t="n">
        <f aca="false">AVERAGE(F1596,G1596)</f>
        <v>-4.54670237287382</v>
      </c>
      <c r="M1596" s="27" t="n">
        <f aca="false">MAX(0,NG-L1596)</f>
        <v>3.84670237287382</v>
      </c>
      <c r="N1596" s="27" t="n">
        <f aca="false">MAX(0,GWL-K1596)</f>
        <v>3.04818234006442</v>
      </c>
      <c r="O1596" s="27" t="n">
        <f aca="false">MAX(0,NG-MAX(K1596,GWL))</f>
        <v>0.8</v>
      </c>
      <c r="P1596" s="27" t="n">
        <f aca="false">E1596/2+WS+SLOPE_A*O1596+SLOPE_B*N1596</f>
        <v>9.53816269191043</v>
      </c>
      <c r="Q1596" s="28" t="str">
        <f aca="false">IF(AND(P1596&lt;J1596,N1596&lt;=MAXOC),"Open cut","Shoring")</f>
        <v>Shoring</v>
      </c>
      <c r="R1596" s="27" t="n">
        <f aca="false">IF(Q1596="Shoring",D1596,0)</f>
        <v>9.99999999993682</v>
      </c>
      <c r="S1596" s="27" t="n">
        <f aca="false">MAX(0,GWL-L1596)</f>
        <v>3.04670237287382</v>
      </c>
      <c r="T1596" s="27" t="n">
        <f aca="false">MAX(0,NG-MAX(L1596,GWL))</f>
        <v>0.8</v>
      </c>
      <c r="U1596" s="27" t="n">
        <f aca="false">E1596+2*WS</f>
        <v>4.48359602356316</v>
      </c>
      <c r="V1596" s="27" t="n">
        <f aca="false">IF(Q1596="Shoring",D1596*M1596*U1596,0)</f>
        <v>172.47059462739</v>
      </c>
      <c r="W1596" s="27" t="n">
        <f aca="false">IF(Q1596="Open cut",D1596*(U1596*M1596+SLOPE_B*S1596^2+2*SLOPE_B*S1596*T1596+SLOPE_A*T1596^2),0)</f>
        <v>0</v>
      </c>
      <c r="X1596" s="27" t="n">
        <f aca="false">IF(M1596&gt;0,D1596*(E1596+2*SLABOVH)*SLAB,0)</f>
        <v>17.4179801177057</v>
      </c>
      <c r="Y1596" s="27" t="n">
        <f aca="false">IF(M1596&gt;0,D1596*PI()*E1596^2/4,0)</f>
        <v>48.4453159951357</v>
      </c>
      <c r="Z1596" s="27" t="n">
        <f aca="false">IF(H1596-E1596&gt;=GWL,99,E1596*(MAX(0,GWL-H1596)*(GAM_S-GAM_W)+MAX(0,NG-MAX(H1596,GWL))*GAM_D)/(GAM_W*PI()*E1596^2/4))</f>
        <v>0.778904080900149</v>
      </c>
      <c r="AA1596" s="27" t="n">
        <f aca="false">IF(I1596-E1596&gt;=GWL,99,E1596*(MAX(0,GWL-I1596)*(GAM_S-GAM_W)+MAX(0,NG-MAX(I1596,GWL))*GAM_D)/(GAM_W*PI()*E1596^2/4))</f>
        <v>0.780170933655901</v>
      </c>
      <c r="AB1596" s="27" t="n">
        <f aca="false">IF(H1596-E1596&gt;=GWL,99,E1596*(MAX(0,GWL-H1596)*(GAM_S-GAM_W)+MAX(0,FL-MAX(H1596,GWL))*GAM_D)/(GAM_W*PI()*E1596^2/4))</f>
        <v>2.3780260210845</v>
      </c>
      <c r="AC1596" s="27" t="n">
        <f aca="false">IF(I1596-E1596&gt;=GWL,99,E1596*(MAX(0,GWL-I1596)*(GAM_S-GAM_W)+MAX(0,FL-MAX(I1596,GWL))*GAM_D)/(GAM_W*PI()*E1596^2/4))</f>
        <v>2.37929287384025</v>
      </c>
    </row>
    <row r="1597" customFormat="false" ht="15" hidden="false" customHeight="false" outlineLevel="0" collapsed="false">
      <c r="A1597" s="25" t="s">
        <v>2236</v>
      </c>
      <c r="B1597" s="25" t="s">
        <v>2237</v>
      </c>
      <c r="C1597" s="25" t="s">
        <v>2273</v>
      </c>
      <c r="D1597" s="26" t="n">
        <v>10.0000000003038</v>
      </c>
      <c r="E1597" s="26" t="n">
        <v>2.48359602356316</v>
      </c>
      <c r="F1597" s="26" t="n">
        <v>-4.54818234006442</v>
      </c>
      <c r="G1597" s="26" t="n">
        <v>-4.55114227444564</v>
      </c>
      <c r="H1597" s="26" t="n">
        <v>-1.56458631650127</v>
      </c>
      <c r="I1597" s="26" t="n">
        <v>-1.56754625088248</v>
      </c>
      <c r="J1597" s="26" t="n">
        <v>5.83</v>
      </c>
      <c r="K1597" s="27" t="n">
        <f aca="false">MIN(F1597,G1597)</f>
        <v>-4.55114227444564</v>
      </c>
      <c r="L1597" s="27" t="n">
        <f aca="false">AVERAGE(F1597,G1597)</f>
        <v>-4.54966230725503</v>
      </c>
      <c r="M1597" s="27" t="n">
        <f aca="false">MAX(0,NG-L1597)</f>
        <v>3.84966230725503</v>
      </c>
      <c r="N1597" s="27" t="n">
        <f aca="false">MAX(0,GWL-K1597)</f>
        <v>3.05114227444564</v>
      </c>
      <c r="O1597" s="27" t="n">
        <f aca="false">MAX(0,NG-MAX(K1597,GWL))</f>
        <v>0.8</v>
      </c>
      <c r="P1597" s="27" t="n">
        <f aca="false">E1597/2+WS+SLOPE_A*O1597+SLOPE_B*N1597</f>
        <v>9.54408256067286</v>
      </c>
      <c r="Q1597" s="28" t="str">
        <f aca="false">IF(AND(P1597&lt;J1597,N1597&lt;=MAXOC),"Open cut","Shoring")</f>
        <v>Shoring</v>
      </c>
      <c r="R1597" s="27" t="n">
        <f aca="false">IF(Q1597="Shoring",D1597,0)</f>
        <v>10.0000000003038</v>
      </c>
      <c r="S1597" s="27" t="n">
        <f aca="false">MAX(0,GWL-L1597)</f>
        <v>3.04966230725503</v>
      </c>
      <c r="T1597" s="27" t="n">
        <f aca="false">MAX(0,NG-MAX(L1597,GWL))</f>
        <v>0.8</v>
      </c>
      <c r="U1597" s="27" t="n">
        <f aca="false">E1597+2*WS</f>
        <v>4.48359602356316</v>
      </c>
      <c r="V1597" s="27" t="n">
        <f aca="false">IF(Q1597="Shoring",D1597*M1597*U1597,0)</f>
        <v>172.60330613394</v>
      </c>
      <c r="W1597" s="27" t="n">
        <f aca="false">IF(Q1597="Open cut",D1597*(U1597*M1597+SLOPE_B*S1597^2+2*SLOPE_B*S1597*T1597+SLOPE_A*T1597^2),0)</f>
        <v>0</v>
      </c>
      <c r="X1597" s="27" t="n">
        <f aca="false">IF(M1597&gt;0,D1597*(E1597+2*SLABOVH)*SLAB,0)</f>
        <v>17.417980118345</v>
      </c>
      <c r="Y1597" s="27" t="n">
        <f aca="false">IF(M1597&gt;0,D1597*PI()*E1597^2/4,0)</f>
        <v>48.4453159969135</v>
      </c>
      <c r="Z1597" s="27" t="n">
        <f aca="false">IF(H1597-E1597&gt;=GWL,99,E1597*(MAX(0,GWL-H1597)*(GAM_S-GAM_W)+MAX(0,NG-MAX(H1597,GWL))*GAM_D)/(GAM_W*PI()*E1597^2/4))</f>
        <v>0.780170933655901</v>
      </c>
      <c r="AA1597" s="27" t="n">
        <f aca="false">IF(I1597-E1597&gt;=GWL,99,E1597*(MAX(0,GWL-I1597)*(GAM_S-GAM_W)+MAX(0,NG-MAX(I1597,GWL))*GAM_D)/(GAM_W*PI()*E1597^2/4))</f>
        <v>0.781437786411655</v>
      </c>
      <c r="AB1597" s="27" t="n">
        <f aca="false">IF(H1597-E1597&gt;=GWL,99,E1597*(MAX(0,GWL-H1597)*(GAM_S-GAM_W)+MAX(0,FL-MAX(H1597,GWL))*GAM_D)/(GAM_W*PI()*E1597^2/4))</f>
        <v>2.37929287384025</v>
      </c>
      <c r="AC1597" s="27" t="n">
        <f aca="false">IF(I1597-E1597&gt;=GWL,99,E1597*(MAX(0,GWL-I1597)*(GAM_S-GAM_W)+MAX(0,FL-MAX(I1597,GWL))*GAM_D)/(GAM_W*PI()*E1597^2/4))</f>
        <v>2.380559726596</v>
      </c>
    </row>
    <row r="1598" customFormat="false" ht="15" hidden="false" customHeight="false" outlineLevel="0" collapsed="false">
      <c r="A1598" s="25" t="s">
        <v>2236</v>
      </c>
      <c r="B1598" s="25" t="s">
        <v>2237</v>
      </c>
      <c r="C1598" s="25" t="s">
        <v>2274</v>
      </c>
      <c r="D1598" s="26" t="n">
        <v>9.99999999960231</v>
      </c>
      <c r="E1598" s="26" t="n">
        <v>2.48359602356316</v>
      </c>
      <c r="F1598" s="26" t="n">
        <v>-4.55114227444564</v>
      </c>
      <c r="G1598" s="26" t="n">
        <v>-4.55410220882685</v>
      </c>
      <c r="H1598" s="26" t="n">
        <v>-1.56754625088248</v>
      </c>
      <c r="I1598" s="26" t="n">
        <v>-1.5705061852637</v>
      </c>
      <c r="J1598" s="26" t="n">
        <v>9.03</v>
      </c>
      <c r="K1598" s="27" t="n">
        <f aca="false">MIN(F1598,G1598)</f>
        <v>-4.55410220882685</v>
      </c>
      <c r="L1598" s="27" t="n">
        <f aca="false">AVERAGE(F1598,G1598)</f>
        <v>-4.55262224163625</v>
      </c>
      <c r="M1598" s="27" t="n">
        <f aca="false">MAX(0,NG-L1598)</f>
        <v>3.85262224163625</v>
      </c>
      <c r="N1598" s="27" t="n">
        <f aca="false">MAX(0,GWL-K1598)</f>
        <v>3.05410220882685</v>
      </c>
      <c r="O1598" s="27" t="n">
        <f aca="false">MAX(0,NG-MAX(K1598,GWL))</f>
        <v>0.8</v>
      </c>
      <c r="P1598" s="27" t="n">
        <f aca="false">E1598/2+WS+SLOPE_A*O1598+SLOPE_B*N1598</f>
        <v>9.55000242943529</v>
      </c>
      <c r="Q1598" s="28" t="str">
        <f aca="false">IF(AND(P1598&lt;J1598,N1598&lt;=MAXOC),"Open cut","Shoring")</f>
        <v>Shoring</v>
      </c>
      <c r="R1598" s="27" t="n">
        <f aca="false">IF(Q1598="Shoring",D1598,0)</f>
        <v>9.99999999960231</v>
      </c>
      <c r="S1598" s="27" t="n">
        <f aca="false">MAX(0,GWL-L1598)</f>
        <v>3.05262224163625</v>
      </c>
      <c r="T1598" s="27" t="n">
        <f aca="false">MAX(0,NG-MAX(L1598,GWL))</f>
        <v>0.8</v>
      </c>
      <c r="U1598" s="27" t="n">
        <f aca="false">E1598+2*WS</f>
        <v>4.48359602356316</v>
      </c>
      <c r="V1598" s="27" t="n">
        <f aca="false">IF(Q1598="Shoring",D1598*M1598*U1598,0)</f>
        <v>172.736017622043</v>
      </c>
      <c r="W1598" s="27" t="n">
        <f aca="false">IF(Q1598="Open cut",D1598*(U1598*M1598+SLOPE_B*S1598^2+2*SLOPE_B*S1598*T1598+SLOPE_A*T1598^2),0)</f>
        <v>0</v>
      </c>
      <c r="X1598" s="27" t="n">
        <f aca="false">IF(M1598&gt;0,D1598*(E1598+2*SLABOVH)*SLAB,0)</f>
        <v>17.4179801171231</v>
      </c>
      <c r="Y1598" s="27" t="n">
        <f aca="false">IF(M1598&gt;0,D1598*PI()*E1598^2/4,0)</f>
        <v>48.4453159935151</v>
      </c>
      <c r="Z1598" s="27" t="n">
        <f aca="false">IF(H1598-E1598&gt;=GWL,99,E1598*(MAX(0,GWL-H1598)*(GAM_S-GAM_W)+MAX(0,NG-MAX(H1598,GWL))*GAM_D)/(GAM_W*PI()*E1598^2/4))</f>
        <v>0.781437786411655</v>
      </c>
      <c r="AA1598" s="27" t="n">
        <f aca="false">IF(I1598-E1598&gt;=GWL,99,E1598*(MAX(0,GWL-I1598)*(GAM_S-GAM_W)+MAX(0,NG-MAX(I1598,GWL))*GAM_D)/(GAM_W*PI()*E1598^2/4))</f>
        <v>0.782704639167408</v>
      </c>
      <c r="AB1598" s="27" t="n">
        <f aca="false">IF(H1598-E1598&gt;=GWL,99,E1598*(MAX(0,GWL-H1598)*(GAM_S-GAM_W)+MAX(0,FL-MAX(H1598,GWL))*GAM_D)/(GAM_W*PI()*E1598^2/4))</f>
        <v>2.380559726596</v>
      </c>
      <c r="AC1598" s="27" t="n">
        <f aca="false">IF(I1598-E1598&gt;=GWL,99,E1598*(MAX(0,GWL-I1598)*(GAM_S-GAM_W)+MAX(0,FL-MAX(I1598,GWL))*GAM_D)/(GAM_W*PI()*E1598^2/4))</f>
        <v>2.38182657935176</v>
      </c>
    </row>
    <row r="1599" customFormat="false" ht="15" hidden="false" customHeight="false" outlineLevel="0" collapsed="false">
      <c r="A1599" s="25" t="s">
        <v>2236</v>
      </c>
      <c r="B1599" s="25" t="s">
        <v>2237</v>
      </c>
      <c r="C1599" s="25" t="s">
        <v>2275</v>
      </c>
      <c r="D1599" s="26" t="n">
        <v>9.99999999993682</v>
      </c>
      <c r="E1599" s="26" t="n">
        <v>2.48359602356316</v>
      </c>
      <c r="F1599" s="26" t="n">
        <v>-4.55410220882685</v>
      </c>
      <c r="G1599" s="26" t="n">
        <v>-4.55706214320807</v>
      </c>
      <c r="H1599" s="26" t="n">
        <v>-1.5705061852637</v>
      </c>
      <c r="I1599" s="26" t="n">
        <v>-1.57346611964491</v>
      </c>
      <c r="J1599" s="26" t="n">
        <v>7.59</v>
      </c>
      <c r="K1599" s="27" t="n">
        <f aca="false">MIN(F1599,G1599)</f>
        <v>-4.55706214320807</v>
      </c>
      <c r="L1599" s="27" t="n">
        <f aca="false">AVERAGE(F1599,G1599)</f>
        <v>-4.55558217601746</v>
      </c>
      <c r="M1599" s="27" t="n">
        <f aca="false">MAX(0,NG-L1599)</f>
        <v>3.85558217601746</v>
      </c>
      <c r="N1599" s="27" t="n">
        <f aca="false">MAX(0,GWL-K1599)</f>
        <v>3.05706214320807</v>
      </c>
      <c r="O1599" s="27" t="n">
        <f aca="false">MAX(0,NG-MAX(K1599,GWL))</f>
        <v>0.8</v>
      </c>
      <c r="P1599" s="27" t="n">
        <f aca="false">E1599/2+WS+SLOPE_A*O1599+SLOPE_B*N1599</f>
        <v>9.55592229819771</v>
      </c>
      <c r="Q1599" s="28" t="str">
        <f aca="false">IF(AND(P1599&lt;J1599,N1599&lt;=MAXOC),"Open cut","Shoring")</f>
        <v>Shoring</v>
      </c>
      <c r="R1599" s="27" t="n">
        <f aca="false">IF(Q1599="Shoring",D1599,0)</f>
        <v>9.99999999993682</v>
      </c>
      <c r="S1599" s="27" t="n">
        <f aca="false">MAX(0,GWL-L1599)</f>
        <v>3.05558217601746</v>
      </c>
      <c r="T1599" s="27" t="n">
        <f aca="false">MAX(0,NG-MAX(L1599,GWL))</f>
        <v>0.8</v>
      </c>
      <c r="U1599" s="27" t="n">
        <f aca="false">E1599+2*WS</f>
        <v>4.48359602356316</v>
      </c>
      <c r="V1599" s="27" t="n">
        <f aca="false">IF(Q1599="Shoring",D1599*M1599*U1599,0)</f>
        <v>172.868729128036</v>
      </c>
      <c r="W1599" s="27" t="n">
        <f aca="false">IF(Q1599="Open cut",D1599*(U1599*M1599+SLOPE_B*S1599^2+2*SLOPE_B*S1599*T1599+SLOPE_A*T1599^2),0)</f>
        <v>0</v>
      </c>
      <c r="X1599" s="27" t="n">
        <f aca="false">IF(M1599&gt;0,D1599*(E1599+2*SLABOVH)*SLAB,0)</f>
        <v>17.4179801177057</v>
      </c>
      <c r="Y1599" s="27" t="n">
        <f aca="false">IF(M1599&gt;0,D1599*PI()*E1599^2/4,0)</f>
        <v>48.4453159951357</v>
      </c>
      <c r="Z1599" s="27" t="n">
        <f aca="false">IF(H1599-E1599&gt;=GWL,99,E1599*(MAX(0,GWL-H1599)*(GAM_S-GAM_W)+MAX(0,NG-MAX(H1599,GWL))*GAM_D)/(GAM_W*PI()*E1599^2/4))</f>
        <v>0.782704639167408</v>
      </c>
      <c r="AA1599" s="27" t="n">
        <f aca="false">IF(I1599-E1599&gt;=GWL,99,E1599*(MAX(0,GWL-I1599)*(GAM_S-GAM_W)+MAX(0,NG-MAX(I1599,GWL))*GAM_D)/(GAM_W*PI()*E1599^2/4))</f>
        <v>0.783971491923161</v>
      </c>
      <c r="AB1599" s="27" t="n">
        <f aca="false">IF(H1599-E1599&gt;=GWL,99,E1599*(MAX(0,GWL-H1599)*(GAM_S-GAM_W)+MAX(0,FL-MAX(H1599,GWL))*GAM_D)/(GAM_W*PI()*E1599^2/4))</f>
        <v>2.38182657935176</v>
      </c>
      <c r="AC1599" s="27" t="n">
        <f aca="false">IF(I1599-E1599&gt;=GWL,99,E1599*(MAX(0,GWL-I1599)*(GAM_S-GAM_W)+MAX(0,FL-MAX(I1599,GWL))*GAM_D)/(GAM_W*PI()*E1599^2/4))</f>
        <v>2.38309343210751</v>
      </c>
    </row>
    <row r="1600" customFormat="false" ht="15" hidden="false" customHeight="false" outlineLevel="0" collapsed="false">
      <c r="A1600" s="25" t="s">
        <v>2236</v>
      </c>
      <c r="B1600" s="25" t="s">
        <v>2237</v>
      </c>
      <c r="C1600" s="25" t="s">
        <v>2276</v>
      </c>
      <c r="D1600" s="26" t="n">
        <v>10.0000000003038</v>
      </c>
      <c r="E1600" s="26" t="n">
        <v>2.48359602356316</v>
      </c>
      <c r="F1600" s="26" t="n">
        <v>-4.55706214320807</v>
      </c>
      <c r="G1600" s="26" t="n">
        <v>-4.56002207758928</v>
      </c>
      <c r="H1600" s="26" t="n">
        <v>-1.57346611964491</v>
      </c>
      <c r="I1600" s="26" t="n">
        <v>-1.57642605402612</v>
      </c>
      <c r="J1600" s="26" t="n">
        <v>6.3</v>
      </c>
      <c r="K1600" s="27" t="n">
        <f aca="false">MIN(F1600,G1600)</f>
        <v>-4.56002207758928</v>
      </c>
      <c r="L1600" s="27" t="n">
        <f aca="false">AVERAGE(F1600,G1600)</f>
        <v>-4.55854211039868</v>
      </c>
      <c r="M1600" s="27" t="n">
        <f aca="false">MAX(0,NG-L1600)</f>
        <v>3.85854211039868</v>
      </c>
      <c r="N1600" s="27" t="n">
        <f aca="false">MAX(0,GWL-K1600)</f>
        <v>3.06002207758928</v>
      </c>
      <c r="O1600" s="27" t="n">
        <f aca="false">MAX(0,NG-MAX(K1600,GWL))</f>
        <v>0.8</v>
      </c>
      <c r="P1600" s="27" t="n">
        <f aca="false">E1600/2+WS+SLOPE_A*O1600+SLOPE_B*N1600</f>
        <v>9.56184216696014</v>
      </c>
      <c r="Q1600" s="28" t="str">
        <f aca="false">IF(AND(P1600&lt;J1600,N1600&lt;=MAXOC),"Open cut","Shoring")</f>
        <v>Shoring</v>
      </c>
      <c r="R1600" s="27" t="n">
        <f aca="false">IF(Q1600="Shoring",D1600,0)</f>
        <v>10.0000000003038</v>
      </c>
      <c r="S1600" s="27" t="n">
        <f aca="false">MAX(0,GWL-L1600)</f>
        <v>3.05854211039868</v>
      </c>
      <c r="T1600" s="27" t="n">
        <f aca="false">MAX(0,NG-MAX(L1600,GWL))</f>
        <v>0.8</v>
      </c>
      <c r="U1600" s="27" t="n">
        <f aca="false">E1600+2*WS</f>
        <v>4.48359602356316</v>
      </c>
      <c r="V1600" s="27" t="n">
        <f aca="false">IF(Q1600="Shoring",D1600*M1600*U1600,0)</f>
        <v>173.001440634601</v>
      </c>
      <c r="W1600" s="27" t="n">
        <f aca="false">IF(Q1600="Open cut",D1600*(U1600*M1600+SLOPE_B*S1600^2+2*SLOPE_B*S1600*T1600+SLOPE_A*T1600^2),0)</f>
        <v>0</v>
      </c>
      <c r="X1600" s="27" t="n">
        <f aca="false">IF(M1600&gt;0,D1600*(E1600+2*SLABOVH)*SLAB,0)</f>
        <v>17.417980118345</v>
      </c>
      <c r="Y1600" s="27" t="n">
        <f aca="false">IF(M1600&gt;0,D1600*PI()*E1600^2/4,0)</f>
        <v>48.4453159969135</v>
      </c>
      <c r="Z1600" s="27" t="n">
        <f aca="false">IF(H1600-E1600&gt;=GWL,99,E1600*(MAX(0,GWL-H1600)*(GAM_S-GAM_W)+MAX(0,NG-MAX(H1600,GWL))*GAM_D)/(GAM_W*PI()*E1600^2/4))</f>
        <v>0.783971491923161</v>
      </c>
      <c r="AA1600" s="27" t="n">
        <f aca="false">IF(I1600-E1600&gt;=GWL,99,E1600*(MAX(0,GWL-I1600)*(GAM_S-GAM_W)+MAX(0,NG-MAX(I1600,GWL))*GAM_D)/(GAM_W*PI()*E1600^2/4))</f>
        <v>0.785238344678914</v>
      </c>
      <c r="AB1600" s="27" t="n">
        <f aca="false">IF(H1600-E1600&gt;=GWL,99,E1600*(MAX(0,GWL-H1600)*(GAM_S-GAM_W)+MAX(0,FL-MAX(H1600,GWL))*GAM_D)/(GAM_W*PI()*E1600^2/4))</f>
        <v>2.38309343210751</v>
      </c>
      <c r="AC1600" s="27" t="n">
        <f aca="false">IF(I1600-E1600&gt;=GWL,99,E1600*(MAX(0,GWL-I1600)*(GAM_S-GAM_W)+MAX(0,FL-MAX(I1600,GWL))*GAM_D)/(GAM_W*PI()*E1600^2/4))</f>
        <v>2.38436028486326</v>
      </c>
    </row>
    <row r="1601" customFormat="false" ht="15" hidden="false" customHeight="false" outlineLevel="0" collapsed="false">
      <c r="A1601" s="25" t="s">
        <v>2236</v>
      </c>
      <c r="B1601" s="25" t="s">
        <v>2237</v>
      </c>
      <c r="C1601" s="25" t="s">
        <v>2277</v>
      </c>
      <c r="D1601" s="26" t="n">
        <v>5.9999106856599</v>
      </c>
      <c r="E1601" s="26" t="n">
        <v>2.48359602356316</v>
      </c>
      <c r="F1601" s="26" t="n">
        <v>-4.56002207758928</v>
      </c>
      <c r="G1601" s="26" t="n">
        <v>-4.56179801178158</v>
      </c>
      <c r="H1601" s="26" t="n">
        <v>-1.57642605402612</v>
      </c>
      <c r="I1601" s="26" t="n">
        <v>-1.57820198821842</v>
      </c>
      <c r="J1601" s="26" t="n">
        <v>6.85</v>
      </c>
      <c r="K1601" s="27" t="n">
        <f aca="false">MIN(F1601,G1601)</f>
        <v>-4.56179801178158</v>
      </c>
      <c r="L1601" s="27" t="n">
        <f aca="false">AVERAGE(F1601,G1601)</f>
        <v>-4.56091004468543</v>
      </c>
      <c r="M1601" s="27" t="n">
        <f aca="false">MAX(0,NG-L1601)</f>
        <v>3.86091004468543</v>
      </c>
      <c r="N1601" s="27" t="n">
        <f aca="false">MAX(0,GWL-K1601)</f>
        <v>3.06179801178158</v>
      </c>
      <c r="O1601" s="27" t="n">
        <f aca="false">MAX(0,NG-MAX(K1601,GWL))</f>
        <v>0.8</v>
      </c>
      <c r="P1601" s="27" t="n">
        <f aca="false">E1601/2+WS+SLOPE_A*O1601+SLOPE_B*N1601</f>
        <v>9.56539403534474</v>
      </c>
      <c r="Q1601" s="28" t="str">
        <f aca="false">IF(AND(P1601&lt;J1601,N1601&lt;=MAXOC),"Open cut","Shoring")</f>
        <v>Shoring</v>
      </c>
      <c r="R1601" s="27" t="n">
        <f aca="false">IF(Q1601="Shoring",D1601,0)</f>
        <v>5.9999106856599</v>
      </c>
      <c r="S1601" s="27" t="n">
        <f aca="false">MAX(0,GWL-L1601)</f>
        <v>3.06091004468543</v>
      </c>
      <c r="T1601" s="27" t="n">
        <f aca="false">MAX(0,NG-MAX(L1601,GWL))</f>
        <v>0.8</v>
      </c>
      <c r="U1601" s="27" t="n">
        <f aca="false">E1601+2*WS</f>
        <v>4.48359602356316</v>
      </c>
      <c r="V1601" s="27" t="n">
        <f aca="false">IF(Q1601="Shoring",D1601*M1601*U1601,0)</f>
        <v>103.863019442931</v>
      </c>
      <c r="W1601" s="27" t="n">
        <f aca="false">IF(Q1601="Open cut",D1601*(U1601*M1601+SLOPE_B*S1601^2+2*SLOPE_B*S1601*T1601+SLOPE_A*T1601^2),0)</f>
        <v>0</v>
      </c>
      <c r="X1601" s="27" t="n">
        <f aca="false">IF(M1601&gt;0,D1601*(E1601+2*SLABOVH)*SLAB,0)</f>
        <v>10.4506325031495</v>
      </c>
      <c r="Y1601" s="27" t="n">
        <f aca="false">IF(M1601&gt;0,D1601*PI()*E1601^2/4,0)</f>
        <v>29.0667569111222</v>
      </c>
      <c r="Z1601" s="27" t="n">
        <f aca="false">IF(H1601-E1601&gt;=GWL,99,E1601*(MAX(0,GWL-H1601)*(GAM_S-GAM_W)+MAX(0,NG-MAX(H1601,GWL))*GAM_D)/(GAM_W*PI()*E1601^2/4))</f>
        <v>0.785238344678914</v>
      </c>
      <c r="AA1601" s="27" t="n">
        <f aca="false">IF(I1601-E1601&gt;=GWL,99,E1601*(MAX(0,GWL-I1601)*(GAM_S-GAM_W)+MAX(0,NG-MAX(I1601,GWL))*GAM_D)/(GAM_W*PI()*E1601^2/4))</f>
        <v>0.785998445017565</v>
      </c>
      <c r="AB1601" s="27" t="n">
        <f aca="false">IF(H1601-E1601&gt;=GWL,99,E1601*(MAX(0,GWL-H1601)*(GAM_S-GAM_W)+MAX(0,FL-MAX(H1601,GWL))*GAM_D)/(GAM_W*PI()*E1601^2/4))</f>
        <v>2.38436028486326</v>
      </c>
      <c r="AC1601" s="27" t="n">
        <f aca="false">IF(I1601-E1601&gt;=GWL,99,E1601*(MAX(0,GWL-I1601)*(GAM_S-GAM_W)+MAX(0,FL-MAX(I1601,GWL))*GAM_D)/(GAM_W*PI()*E1601^2/4))</f>
        <v>2.38512038520191</v>
      </c>
    </row>
    <row r="1602" customFormat="false" ht="15" hidden="false" customHeight="false" outlineLevel="0" collapsed="false">
      <c r="A1602" s="25" t="s">
        <v>2236</v>
      </c>
      <c r="B1602" s="25" t="s">
        <v>2237</v>
      </c>
      <c r="C1602" s="25" t="s">
        <v>2278</v>
      </c>
      <c r="D1602" s="26" t="n">
        <v>3.88397587539533</v>
      </c>
      <c r="E1602" s="26" t="n">
        <v>2.48359602356316</v>
      </c>
      <c r="F1602" s="26" t="n">
        <v>-4.56179801178158</v>
      </c>
      <c r="G1602" s="26" t="n">
        <v>-4.56179801178158</v>
      </c>
      <c r="H1602" s="26" t="n">
        <v>-1.57820198821842</v>
      </c>
      <c r="I1602" s="26" t="n">
        <v>-1.57820198821842</v>
      </c>
      <c r="J1602" s="26" t="n">
        <v>7.47</v>
      </c>
      <c r="K1602" s="27" t="n">
        <f aca="false">MIN(F1602,G1602)</f>
        <v>-4.56179801178158</v>
      </c>
      <c r="L1602" s="27" t="n">
        <f aca="false">AVERAGE(F1602,G1602)</f>
        <v>-4.56179801178158</v>
      </c>
      <c r="M1602" s="27" t="n">
        <f aca="false">MAX(0,NG-L1602)</f>
        <v>3.86179801178158</v>
      </c>
      <c r="N1602" s="27" t="n">
        <f aca="false">MAX(0,GWL-K1602)</f>
        <v>3.06179801178158</v>
      </c>
      <c r="O1602" s="27" t="n">
        <f aca="false">MAX(0,NG-MAX(K1602,GWL))</f>
        <v>0.8</v>
      </c>
      <c r="P1602" s="27" t="n">
        <f aca="false">E1602/2+WS+SLOPE_A*O1602+SLOPE_B*N1602</f>
        <v>9.56539403534474</v>
      </c>
      <c r="Q1602" s="28" t="str">
        <f aca="false">IF(AND(P1602&lt;J1602,N1602&lt;=MAXOC),"Open cut","Shoring")</f>
        <v>Shoring</v>
      </c>
      <c r="R1602" s="27" t="n">
        <f aca="false">IF(Q1602="Shoring",D1602,0)</f>
        <v>3.88397587539533</v>
      </c>
      <c r="S1602" s="27" t="n">
        <f aca="false">MAX(0,GWL-L1602)</f>
        <v>3.06179801178158</v>
      </c>
      <c r="T1602" s="27" t="n">
        <f aca="false">MAX(0,NG-MAX(L1602,GWL))</f>
        <v>0.8</v>
      </c>
      <c r="U1602" s="27" t="n">
        <f aca="false">E1602+2*WS</f>
        <v>4.48359602356316</v>
      </c>
      <c r="V1602" s="27" t="n">
        <f aca="false">IF(Q1602="Shoring",D1602*M1602*U1602,0)</f>
        <v>67.2500410301076</v>
      </c>
      <c r="W1602" s="27" t="n">
        <f aca="false">IF(Q1602="Open cut",D1602*(U1602*M1602+SLOPE_B*S1602^2+2*SLOPE_B*S1602*T1602+SLOPE_A*T1602^2),0)</f>
        <v>0</v>
      </c>
      <c r="X1602" s="27" t="n">
        <f aca="false">IF(M1602&gt;0,D1602*(E1602+2*SLABOVH)*SLAB,0)</f>
        <v>6.76510145757121</v>
      </c>
      <c r="Y1602" s="27" t="n">
        <f aca="false">IF(M1602&gt;0,D1602*PI()*E1602^2/4,0)</f>
        <v>18.8160438602199</v>
      </c>
      <c r="Z1602" s="27" t="n">
        <f aca="false">IF(H1602-E1602&gt;=GWL,99,E1602*(MAX(0,GWL-H1602)*(GAM_S-GAM_W)+MAX(0,NG-MAX(H1602,GWL))*GAM_D)/(GAM_W*PI()*E1602^2/4))</f>
        <v>0.785998445017565</v>
      </c>
      <c r="AA1602" s="27" t="n">
        <f aca="false">IF(I1602-E1602&gt;=GWL,99,E1602*(MAX(0,GWL-I1602)*(GAM_S-GAM_W)+MAX(0,NG-MAX(I1602,GWL))*GAM_D)/(GAM_W*PI()*E1602^2/4))</f>
        <v>0.785998445017565</v>
      </c>
      <c r="AB1602" s="27" t="n">
        <f aca="false">IF(H1602-E1602&gt;=GWL,99,E1602*(MAX(0,GWL-H1602)*(GAM_S-GAM_W)+MAX(0,FL-MAX(H1602,GWL))*GAM_D)/(GAM_W*PI()*E1602^2/4))</f>
        <v>2.38512038520191</v>
      </c>
      <c r="AC1602" s="27" t="n">
        <f aca="false">IF(I1602-E1602&gt;=GWL,99,E1602*(MAX(0,GWL-I1602)*(GAM_S-GAM_W)+MAX(0,FL-MAX(I1602,GWL))*GAM_D)/(GAM_W*PI()*E1602^2/4))</f>
        <v>2.38512038520191</v>
      </c>
    </row>
    <row r="1603" customFormat="false" ht="15" hidden="false" customHeight="false" outlineLevel="0" collapsed="false">
      <c r="A1603" s="25" t="s">
        <v>2236</v>
      </c>
      <c r="B1603" s="25" t="s">
        <v>2237</v>
      </c>
      <c r="C1603" s="25" t="s">
        <v>2279</v>
      </c>
      <c r="D1603" s="26" t="n">
        <v>0.116113439088308</v>
      </c>
      <c r="E1603" s="26" t="n">
        <v>2.48359456476602</v>
      </c>
      <c r="F1603" s="26" t="n">
        <v>-4.56179728238301</v>
      </c>
      <c r="G1603" s="26" t="n">
        <v>-4.56179728238301</v>
      </c>
      <c r="H1603" s="26" t="n">
        <v>-1.57820271761699</v>
      </c>
      <c r="I1603" s="26" t="n">
        <v>-1.57820271761699</v>
      </c>
      <c r="J1603" s="26" t="n">
        <v>7.86</v>
      </c>
      <c r="K1603" s="27" t="n">
        <f aca="false">MIN(F1603,G1603)</f>
        <v>-4.56179728238301</v>
      </c>
      <c r="L1603" s="27" t="n">
        <f aca="false">AVERAGE(F1603,G1603)</f>
        <v>-4.56179728238301</v>
      </c>
      <c r="M1603" s="27" t="n">
        <f aca="false">MAX(0,NG-L1603)</f>
        <v>3.86179728238301</v>
      </c>
      <c r="N1603" s="27" t="n">
        <f aca="false">MAX(0,GWL-K1603)</f>
        <v>3.06179728238301</v>
      </c>
      <c r="O1603" s="27" t="n">
        <f aca="false">MAX(0,NG-MAX(K1603,GWL))</f>
        <v>0.8</v>
      </c>
      <c r="P1603" s="27" t="n">
        <f aca="false">E1603/2+WS+SLOPE_A*O1603+SLOPE_B*N1603</f>
        <v>9.56539184714902</v>
      </c>
      <c r="Q1603" s="28" t="str">
        <f aca="false">IF(AND(P1603&lt;J1603,N1603&lt;=MAXOC),"Open cut","Shoring")</f>
        <v>Shoring</v>
      </c>
      <c r="R1603" s="27" t="n">
        <f aca="false">IF(Q1603="Shoring",D1603,0)</f>
        <v>0.116113439088308</v>
      </c>
      <c r="S1603" s="27" t="n">
        <f aca="false">MAX(0,GWL-L1603)</f>
        <v>3.06179728238301</v>
      </c>
      <c r="T1603" s="27" t="n">
        <f aca="false">MAX(0,NG-MAX(L1603,GWL))</f>
        <v>0.8</v>
      </c>
      <c r="U1603" s="27" t="n">
        <f aca="false">E1603+2*WS</f>
        <v>4.48359456476602</v>
      </c>
      <c r="V1603" s="27" t="n">
        <f aca="false">IF(Q1603="Shoring",D1603*M1603*U1603,0)</f>
        <v>2.01047323100087</v>
      </c>
      <c r="W1603" s="27" t="n">
        <f aca="false">IF(Q1603="Open cut",D1603*(U1603*M1603+SLOPE_B*S1603^2+2*SLOPE_B*S1603*T1603+SLOPE_A*T1603^2),0)</f>
        <v>0</v>
      </c>
      <c r="X1603" s="27" t="n">
        <f aca="false">IF(M1603&gt;0,D1603*(E1603+2*SLABOVH)*SLAB,0)</f>
        <v>0.20224607265216</v>
      </c>
      <c r="Y1603" s="27" t="n">
        <f aca="false">IF(M1603&gt;0,D1603*PI()*E1603^2/4,0)</f>
        <v>0.562514563982788</v>
      </c>
      <c r="Z1603" s="27" t="n">
        <f aca="false">IF(H1603-E1603&gt;=GWL,99,E1603*(MAX(0,GWL-H1603)*(GAM_S-GAM_W)+MAX(0,NG-MAX(H1603,GWL))*GAM_D)/(GAM_W*PI()*E1603^2/4))</f>
        <v>0.785999218875048</v>
      </c>
      <c r="AA1603" s="27" t="n">
        <f aca="false">IF(I1603-E1603&gt;=GWL,99,E1603*(MAX(0,GWL-I1603)*(GAM_S-GAM_W)+MAX(0,NG-MAX(I1603,GWL))*GAM_D)/(GAM_W*PI()*E1603^2/4))</f>
        <v>0.785999218875048</v>
      </c>
      <c r="AB1603" s="27" t="n">
        <f aca="false">IF(H1603-E1603&gt;=GWL,99,E1603*(MAX(0,GWL-H1603)*(GAM_S-GAM_W)+MAX(0,FL-MAX(H1603,GWL))*GAM_D)/(GAM_W*PI()*E1603^2/4))</f>
        <v>2.38512209834093</v>
      </c>
      <c r="AC1603" s="27" t="n">
        <f aca="false">IF(I1603-E1603&gt;=GWL,99,E1603*(MAX(0,GWL-I1603)*(GAM_S-GAM_W)+MAX(0,FL-MAX(I1603,GWL))*GAM_D)/(GAM_W*PI()*E1603^2/4))</f>
        <v>2.38512209834093</v>
      </c>
    </row>
    <row r="1604" customFormat="false" ht="15" hidden="false" customHeight="false" outlineLevel="0" collapsed="false">
      <c r="A1604" s="25" t="s">
        <v>2236</v>
      </c>
      <c r="B1604" s="25" t="s">
        <v>2237</v>
      </c>
      <c r="C1604" s="25" t="s">
        <v>2280</v>
      </c>
      <c r="D1604" s="26" t="n">
        <v>3.76750668841008</v>
      </c>
      <c r="E1604" s="26" t="n">
        <v>2.48359456476602</v>
      </c>
      <c r="F1604" s="26" t="n">
        <v>-4.56179728238301</v>
      </c>
      <c r="G1604" s="26" t="n">
        <v>-4.56179728238301</v>
      </c>
      <c r="H1604" s="26" t="n">
        <v>-1.57820271761699</v>
      </c>
      <c r="I1604" s="26" t="n">
        <v>-1.57820271761699</v>
      </c>
      <c r="J1604" s="26" t="n">
        <v>7.98</v>
      </c>
      <c r="K1604" s="27" t="n">
        <f aca="false">MIN(F1604,G1604)</f>
        <v>-4.56179728238301</v>
      </c>
      <c r="L1604" s="27" t="n">
        <f aca="false">AVERAGE(F1604,G1604)</f>
        <v>-4.56179728238301</v>
      </c>
      <c r="M1604" s="27" t="n">
        <f aca="false">MAX(0,NG-L1604)</f>
        <v>3.86179728238301</v>
      </c>
      <c r="N1604" s="27" t="n">
        <f aca="false">MAX(0,GWL-K1604)</f>
        <v>3.06179728238301</v>
      </c>
      <c r="O1604" s="27" t="n">
        <f aca="false">MAX(0,NG-MAX(K1604,GWL))</f>
        <v>0.8</v>
      </c>
      <c r="P1604" s="27" t="n">
        <f aca="false">E1604/2+WS+SLOPE_A*O1604+SLOPE_B*N1604</f>
        <v>9.56539184714902</v>
      </c>
      <c r="Q1604" s="28" t="str">
        <f aca="false">IF(AND(P1604&lt;J1604,N1604&lt;=MAXOC),"Open cut","Shoring")</f>
        <v>Shoring</v>
      </c>
      <c r="R1604" s="27" t="n">
        <f aca="false">IF(Q1604="Shoring",D1604,0)</f>
        <v>3.76750668841008</v>
      </c>
      <c r="S1604" s="27" t="n">
        <f aca="false">MAX(0,GWL-L1604)</f>
        <v>3.06179728238301</v>
      </c>
      <c r="T1604" s="27" t="n">
        <f aca="false">MAX(0,NG-MAX(L1604,GWL))</f>
        <v>0.8</v>
      </c>
      <c r="U1604" s="27" t="n">
        <f aca="false">E1604+2*WS</f>
        <v>4.48359456476602</v>
      </c>
      <c r="V1604" s="27" t="n">
        <f aca="false">IF(Q1604="Shoring",D1604*M1604*U1604,0)</f>
        <v>65.2333735365856</v>
      </c>
      <c r="W1604" s="27" t="n">
        <f aca="false">IF(Q1604="Open cut",D1604*(U1604*M1604+SLOPE_B*S1604^2+2*SLOPE_B*S1604*T1604+SLOPE_A*T1604^2),0)</f>
        <v>0</v>
      </c>
      <c r="X1604" s="27" t="n">
        <f aca="false">IF(M1604&gt;0,D1604*(E1604+2*SLABOVH)*SLAB,0)</f>
        <v>6.56223291123247</v>
      </c>
      <c r="Y1604" s="27" t="n">
        <f aca="false">IF(M1604&gt;0,D1604*PI()*E1604^2/4,0)</f>
        <v>18.2517837622693</v>
      </c>
      <c r="Z1604" s="27" t="n">
        <f aca="false">IF(H1604-E1604&gt;=GWL,99,E1604*(MAX(0,GWL-H1604)*(GAM_S-GAM_W)+MAX(0,NG-MAX(H1604,GWL))*GAM_D)/(GAM_W*PI()*E1604^2/4))</f>
        <v>0.785999218875048</v>
      </c>
      <c r="AA1604" s="27" t="n">
        <f aca="false">IF(I1604-E1604&gt;=GWL,99,E1604*(MAX(0,GWL-I1604)*(GAM_S-GAM_W)+MAX(0,NG-MAX(I1604,GWL))*GAM_D)/(GAM_W*PI()*E1604^2/4))</f>
        <v>0.785999218875048</v>
      </c>
      <c r="AB1604" s="27" t="n">
        <f aca="false">IF(H1604-E1604&gt;=GWL,99,E1604*(MAX(0,GWL-H1604)*(GAM_S-GAM_W)+MAX(0,FL-MAX(H1604,GWL))*GAM_D)/(GAM_W*PI()*E1604^2/4))</f>
        <v>2.38512209834093</v>
      </c>
      <c r="AC1604" s="27" t="n">
        <f aca="false">IF(I1604-E1604&gt;=GWL,99,E1604*(MAX(0,GWL-I1604)*(GAM_S-GAM_W)+MAX(0,FL-MAX(I1604,GWL))*GAM_D)/(GAM_W*PI()*E1604^2/4))</f>
        <v>2.38512209834093</v>
      </c>
    </row>
    <row r="1605" customFormat="false" ht="15" hidden="false" customHeight="false" outlineLevel="0" collapsed="false">
      <c r="A1605" s="25" t="s">
        <v>2236</v>
      </c>
      <c r="B1605" s="25" t="s">
        <v>2237</v>
      </c>
      <c r="C1605" s="25" t="s">
        <v>2281</v>
      </c>
      <c r="D1605" s="26" t="n">
        <v>6.23249331143413</v>
      </c>
      <c r="E1605" s="26" t="n">
        <v>2.48359456476602</v>
      </c>
      <c r="F1605" s="26" t="n">
        <v>-4.56179728238301</v>
      </c>
      <c r="G1605" s="26" t="n">
        <v>-4.56179728238301</v>
      </c>
      <c r="H1605" s="26" t="n">
        <v>-1.57820271761699</v>
      </c>
      <c r="I1605" s="26" t="n">
        <v>-1.57820271761699</v>
      </c>
      <c r="J1605" s="26" t="n">
        <v>9.93</v>
      </c>
      <c r="K1605" s="27" t="n">
        <f aca="false">MIN(F1605,G1605)</f>
        <v>-4.56179728238301</v>
      </c>
      <c r="L1605" s="27" t="n">
        <f aca="false">AVERAGE(F1605,G1605)</f>
        <v>-4.56179728238301</v>
      </c>
      <c r="M1605" s="27" t="n">
        <f aca="false">MAX(0,NG-L1605)</f>
        <v>3.86179728238301</v>
      </c>
      <c r="N1605" s="27" t="n">
        <f aca="false">MAX(0,GWL-K1605)</f>
        <v>3.06179728238301</v>
      </c>
      <c r="O1605" s="27" t="n">
        <f aca="false">MAX(0,NG-MAX(K1605,GWL))</f>
        <v>0.8</v>
      </c>
      <c r="P1605" s="27" t="n">
        <f aca="false">E1605/2+WS+SLOPE_A*O1605+SLOPE_B*N1605</f>
        <v>9.56539184714902</v>
      </c>
      <c r="Q1605" s="28" t="str">
        <f aca="false">IF(AND(P1605&lt;J1605,N1605&lt;=MAXOC),"Open cut","Shoring")</f>
        <v>Shoring</v>
      </c>
      <c r="R1605" s="27" t="n">
        <f aca="false">IF(Q1605="Shoring",D1605,0)</f>
        <v>6.23249331143413</v>
      </c>
      <c r="S1605" s="27" t="n">
        <f aca="false">MAX(0,GWL-L1605)</f>
        <v>3.06179728238301</v>
      </c>
      <c r="T1605" s="27" t="n">
        <f aca="false">MAX(0,NG-MAX(L1605,GWL))</f>
        <v>0.8</v>
      </c>
      <c r="U1605" s="27" t="n">
        <f aca="false">E1605+2*WS</f>
        <v>4.48359456476602</v>
      </c>
      <c r="V1605" s="27" t="n">
        <f aca="false">IF(Q1605="Shoring",D1605*M1605*U1605,0)</f>
        <v>107.913959515923</v>
      </c>
      <c r="W1605" s="27" t="n">
        <f aca="false">IF(Q1605="Open cut",D1605*(U1605*M1605+SLOPE_B*S1605^2+2*SLOPE_B*S1605*T1605+SLOPE_A*T1605^2),0)</f>
        <v>0</v>
      </c>
      <c r="X1605" s="27" t="n">
        <f aca="false">IF(M1605&gt;0,D1605*(E1605+2*SLABOVH)*SLAB,0)</f>
        <v>10.8557399123262</v>
      </c>
      <c r="Y1605" s="27" t="n">
        <f aca="false">IF(M1605&gt;0,D1605*PI()*E1605^2/4,0)</f>
        <v>30.1934753214972</v>
      </c>
      <c r="Z1605" s="27" t="n">
        <f aca="false">IF(H1605-E1605&gt;=GWL,99,E1605*(MAX(0,GWL-H1605)*(GAM_S-GAM_W)+MAX(0,NG-MAX(H1605,GWL))*GAM_D)/(GAM_W*PI()*E1605^2/4))</f>
        <v>0.785999218875048</v>
      </c>
      <c r="AA1605" s="27" t="n">
        <f aca="false">IF(I1605-E1605&gt;=GWL,99,E1605*(MAX(0,GWL-I1605)*(GAM_S-GAM_W)+MAX(0,NG-MAX(I1605,GWL))*GAM_D)/(GAM_W*PI()*E1605^2/4))</f>
        <v>0.785999218875048</v>
      </c>
      <c r="AB1605" s="27" t="n">
        <f aca="false">IF(H1605-E1605&gt;=GWL,99,E1605*(MAX(0,GWL-H1605)*(GAM_S-GAM_W)+MAX(0,FL-MAX(H1605,GWL))*GAM_D)/(GAM_W*PI()*E1605^2/4))</f>
        <v>2.38512209834093</v>
      </c>
      <c r="AC1605" s="27" t="n">
        <f aca="false">IF(I1605-E1605&gt;=GWL,99,E1605*(MAX(0,GWL-I1605)*(GAM_S-GAM_W)+MAX(0,FL-MAX(I1605,GWL))*GAM_D)/(GAM_W*PI()*E1605^2/4))</f>
        <v>2.38512209834093</v>
      </c>
    </row>
    <row r="1606" customFormat="false" ht="15" hidden="false" customHeight="false" outlineLevel="0" collapsed="false">
      <c r="A1606" s="25" t="s">
        <v>2236</v>
      </c>
      <c r="B1606" s="25" t="s">
        <v>2237</v>
      </c>
      <c r="C1606" s="25" t="s">
        <v>2282</v>
      </c>
      <c r="D1606" s="26" t="n">
        <v>10.000000000037</v>
      </c>
      <c r="E1606" s="26" t="n">
        <v>2.48359456476602</v>
      </c>
      <c r="F1606" s="26" t="n">
        <v>-4.56179728238301</v>
      </c>
      <c r="G1606" s="26" t="n">
        <v>-4.56179728238301</v>
      </c>
      <c r="H1606" s="26" t="n">
        <v>-1.57820271761699</v>
      </c>
      <c r="I1606" s="26" t="n">
        <v>-1.57820271761699</v>
      </c>
      <c r="J1606" s="26" t="n">
        <v>5.89</v>
      </c>
      <c r="K1606" s="27" t="n">
        <f aca="false">MIN(F1606,G1606)</f>
        <v>-4.56179728238301</v>
      </c>
      <c r="L1606" s="27" t="n">
        <f aca="false">AVERAGE(F1606,G1606)</f>
        <v>-4.56179728238301</v>
      </c>
      <c r="M1606" s="27" t="n">
        <f aca="false">MAX(0,NG-L1606)</f>
        <v>3.86179728238301</v>
      </c>
      <c r="N1606" s="27" t="n">
        <f aca="false">MAX(0,GWL-K1606)</f>
        <v>3.06179728238301</v>
      </c>
      <c r="O1606" s="27" t="n">
        <f aca="false">MAX(0,NG-MAX(K1606,GWL))</f>
        <v>0.8</v>
      </c>
      <c r="P1606" s="27" t="n">
        <f aca="false">E1606/2+WS+SLOPE_A*O1606+SLOPE_B*N1606</f>
        <v>9.56539184714902</v>
      </c>
      <c r="Q1606" s="28" t="str">
        <f aca="false">IF(AND(P1606&lt;J1606,N1606&lt;=MAXOC),"Open cut","Shoring")</f>
        <v>Shoring</v>
      </c>
      <c r="R1606" s="27" t="n">
        <f aca="false">IF(Q1606="Shoring",D1606,0)</f>
        <v>10.000000000037</v>
      </c>
      <c r="S1606" s="27" t="n">
        <f aca="false">MAX(0,GWL-L1606)</f>
        <v>3.06179728238301</v>
      </c>
      <c r="T1606" s="27" t="n">
        <f aca="false">MAX(0,NG-MAX(L1606,GWL))</f>
        <v>0.8</v>
      </c>
      <c r="U1606" s="27" t="n">
        <f aca="false">E1606+2*WS</f>
        <v>4.48359456476602</v>
      </c>
      <c r="V1606" s="27" t="n">
        <f aca="false">IF(Q1606="Shoring",D1606*M1606*U1606,0)</f>
        <v>173.147333055846</v>
      </c>
      <c r="W1606" s="27" t="n">
        <f aca="false">IF(Q1606="Open cut",D1606*(U1606*M1606+SLOPE_B*S1606^2+2*SLOPE_B*S1606*T1606+SLOPE_A*T1606^2),0)</f>
        <v>0</v>
      </c>
      <c r="X1606" s="27" t="n">
        <f aca="false">IF(M1606&gt;0,D1606*(E1606+2*SLABOVH)*SLAB,0)</f>
        <v>17.4179728238945</v>
      </c>
      <c r="Y1606" s="27" t="n">
        <f aca="false">IF(M1606&gt;0,D1606*PI()*E1606^2/4,0)</f>
        <v>48.4452590847004</v>
      </c>
      <c r="Z1606" s="27" t="n">
        <f aca="false">IF(H1606-E1606&gt;=GWL,99,E1606*(MAX(0,GWL-H1606)*(GAM_S-GAM_W)+MAX(0,NG-MAX(H1606,GWL))*GAM_D)/(GAM_W*PI()*E1606^2/4))</f>
        <v>0.785999218875048</v>
      </c>
      <c r="AA1606" s="27" t="n">
        <f aca="false">IF(I1606-E1606&gt;=GWL,99,E1606*(MAX(0,GWL-I1606)*(GAM_S-GAM_W)+MAX(0,NG-MAX(I1606,GWL))*GAM_D)/(GAM_W*PI()*E1606^2/4))</f>
        <v>0.785999218875048</v>
      </c>
      <c r="AB1606" s="27" t="n">
        <f aca="false">IF(H1606-E1606&gt;=GWL,99,E1606*(MAX(0,GWL-H1606)*(GAM_S-GAM_W)+MAX(0,FL-MAX(H1606,GWL))*GAM_D)/(GAM_W*PI()*E1606^2/4))</f>
        <v>2.38512209834093</v>
      </c>
      <c r="AC1606" s="27" t="n">
        <f aca="false">IF(I1606-E1606&gt;=GWL,99,E1606*(MAX(0,GWL-I1606)*(GAM_S-GAM_W)+MAX(0,FL-MAX(I1606,GWL))*GAM_D)/(GAM_W*PI()*E1606^2/4))</f>
        <v>2.38512209834093</v>
      </c>
    </row>
    <row r="1607" customFormat="false" ht="15" hidden="false" customHeight="false" outlineLevel="0" collapsed="false">
      <c r="A1607" s="25" t="s">
        <v>2236</v>
      </c>
      <c r="B1607" s="25" t="s">
        <v>2237</v>
      </c>
      <c r="C1607" s="25" t="s">
        <v>2283</v>
      </c>
      <c r="D1607" s="26" t="n">
        <v>10.000000000037</v>
      </c>
      <c r="E1607" s="26" t="n">
        <v>2.48359456476602</v>
      </c>
      <c r="F1607" s="26" t="n">
        <v>-4.56179728238301</v>
      </c>
      <c r="G1607" s="26" t="n">
        <v>-4.56179728238301</v>
      </c>
      <c r="H1607" s="26" t="n">
        <v>-1.57820271761699</v>
      </c>
      <c r="I1607" s="26" t="n">
        <v>-1.57820271761699</v>
      </c>
      <c r="J1607" s="26" t="n">
        <v>5.48</v>
      </c>
      <c r="K1607" s="27" t="n">
        <f aca="false">MIN(F1607,G1607)</f>
        <v>-4.56179728238301</v>
      </c>
      <c r="L1607" s="27" t="n">
        <f aca="false">AVERAGE(F1607,G1607)</f>
        <v>-4.56179728238301</v>
      </c>
      <c r="M1607" s="27" t="n">
        <f aca="false">MAX(0,NG-L1607)</f>
        <v>3.86179728238301</v>
      </c>
      <c r="N1607" s="27" t="n">
        <f aca="false">MAX(0,GWL-K1607)</f>
        <v>3.06179728238301</v>
      </c>
      <c r="O1607" s="27" t="n">
        <f aca="false">MAX(0,NG-MAX(K1607,GWL))</f>
        <v>0.8</v>
      </c>
      <c r="P1607" s="27" t="n">
        <f aca="false">E1607/2+WS+SLOPE_A*O1607+SLOPE_B*N1607</f>
        <v>9.56539184714902</v>
      </c>
      <c r="Q1607" s="28" t="str">
        <f aca="false">IF(AND(P1607&lt;J1607,N1607&lt;=MAXOC),"Open cut","Shoring")</f>
        <v>Shoring</v>
      </c>
      <c r="R1607" s="27" t="n">
        <f aca="false">IF(Q1607="Shoring",D1607,0)</f>
        <v>10.000000000037</v>
      </c>
      <c r="S1607" s="27" t="n">
        <f aca="false">MAX(0,GWL-L1607)</f>
        <v>3.06179728238301</v>
      </c>
      <c r="T1607" s="27" t="n">
        <f aca="false">MAX(0,NG-MAX(L1607,GWL))</f>
        <v>0.8</v>
      </c>
      <c r="U1607" s="27" t="n">
        <f aca="false">E1607+2*WS</f>
        <v>4.48359456476602</v>
      </c>
      <c r="V1607" s="27" t="n">
        <f aca="false">IF(Q1607="Shoring",D1607*M1607*U1607,0)</f>
        <v>173.147333055846</v>
      </c>
      <c r="W1607" s="27" t="n">
        <f aca="false">IF(Q1607="Open cut",D1607*(U1607*M1607+SLOPE_B*S1607^2+2*SLOPE_B*S1607*T1607+SLOPE_A*T1607^2),0)</f>
        <v>0</v>
      </c>
      <c r="X1607" s="27" t="n">
        <f aca="false">IF(M1607&gt;0,D1607*(E1607+2*SLABOVH)*SLAB,0)</f>
        <v>17.4179728238945</v>
      </c>
      <c r="Y1607" s="27" t="n">
        <f aca="false">IF(M1607&gt;0,D1607*PI()*E1607^2/4,0)</f>
        <v>48.4452590847004</v>
      </c>
      <c r="Z1607" s="27" t="n">
        <f aca="false">IF(H1607-E1607&gt;=GWL,99,E1607*(MAX(0,GWL-H1607)*(GAM_S-GAM_W)+MAX(0,NG-MAX(H1607,GWL))*GAM_D)/(GAM_W*PI()*E1607^2/4))</f>
        <v>0.785999218875048</v>
      </c>
      <c r="AA1607" s="27" t="n">
        <f aca="false">IF(I1607-E1607&gt;=GWL,99,E1607*(MAX(0,GWL-I1607)*(GAM_S-GAM_W)+MAX(0,NG-MAX(I1607,GWL))*GAM_D)/(GAM_W*PI()*E1607^2/4))</f>
        <v>0.785999218875048</v>
      </c>
      <c r="AB1607" s="27" t="n">
        <f aca="false">IF(H1607-E1607&gt;=GWL,99,E1607*(MAX(0,GWL-H1607)*(GAM_S-GAM_W)+MAX(0,FL-MAX(H1607,GWL))*GAM_D)/(GAM_W*PI()*E1607^2/4))</f>
        <v>2.38512209834093</v>
      </c>
      <c r="AC1607" s="27" t="n">
        <f aca="false">IF(I1607-E1607&gt;=GWL,99,E1607*(MAX(0,GWL-I1607)*(GAM_S-GAM_W)+MAX(0,FL-MAX(I1607,GWL))*GAM_D)/(GAM_W*PI()*E1607^2/4))</f>
        <v>2.38512209834093</v>
      </c>
    </row>
    <row r="1608" customFormat="false" ht="15" hidden="false" customHeight="false" outlineLevel="0" collapsed="false">
      <c r="A1608" s="25" t="s">
        <v>2236</v>
      </c>
      <c r="B1608" s="25" t="s">
        <v>2237</v>
      </c>
      <c r="C1608" s="25" t="s">
        <v>2284</v>
      </c>
      <c r="D1608" s="26" t="n">
        <v>10.0000000001045</v>
      </c>
      <c r="E1608" s="26" t="n">
        <v>2.48359456476602</v>
      </c>
      <c r="F1608" s="26" t="n">
        <v>-4.56179728238301</v>
      </c>
      <c r="G1608" s="26" t="n">
        <v>-4.56179728238301</v>
      </c>
      <c r="H1608" s="26" t="n">
        <v>-1.57820271761699</v>
      </c>
      <c r="I1608" s="26" t="n">
        <v>-1.57820271761699</v>
      </c>
      <c r="J1608" s="26" t="n">
        <v>6.35</v>
      </c>
      <c r="K1608" s="27" t="n">
        <f aca="false">MIN(F1608,G1608)</f>
        <v>-4.56179728238301</v>
      </c>
      <c r="L1608" s="27" t="n">
        <f aca="false">AVERAGE(F1608,G1608)</f>
        <v>-4.56179728238301</v>
      </c>
      <c r="M1608" s="27" t="n">
        <f aca="false">MAX(0,NG-L1608)</f>
        <v>3.86179728238301</v>
      </c>
      <c r="N1608" s="27" t="n">
        <f aca="false">MAX(0,GWL-K1608)</f>
        <v>3.06179728238301</v>
      </c>
      <c r="O1608" s="27" t="n">
        <f aca="false">MAX(0,NG-MAX(K1608,GWL))</f>
        <v>0.8</v>
      </c>
      <c r="P1608" s="27" t="n">
        <f aca="false">E1608/2+WS+SLOPE_A*O1608+SLOPE_B*N1608</f>
        <v>9.56539184714902</v>
      </c>
      <c r="Q1608" s="28" t="str">
        <f aca="false">IF(AND(P1608&lt;J1608,N1608&lt;=MAXOC),"Open cut","Shoring")</f>
        <v>Shoring</v>
      </c>
      <c r="R1608" s="27" t="n">
        <f aca="false">IF(Q1608="Shoring",D1608,0)</f>
        <v>10.0000000001045</v>
      </c>
      <c r="S1608" s="27" t="n">
        <f aca="false">MAX(0,GWL-L1608)</f>
        <v>3.06179728238301</v>
      </c>
      <c r="T1608" s="27" t="n">
        <f aca="false">MAX(0,NG-MAX(L1608,GWL))</f>
        <v>0.8</v>
      </c>
      <c r="U1608" s="27" t="n">
        <f aca="false">E1608+2*WS</f>
        <v>4.48359456476602</v>
      </c>
      <c r="V1608" s="27" t="n">
        <f aca="false">IF(Q1608="Shoring",D1608*M1608*U1608,0)</f>
        <v>173.147333057015</v>
      </c>
      <c r="W1608" s="27" t="n">
        <f aca="false">IF(Q1608="Open cut",D1608*(U1608*M1608+SLOPE_B*S1608^2+2*SLOPE_B*S1608*T1608+SLOPE_A*T1608^2),0)</f>
        <v>0</v>
      </c>
      <c r="X1608" s="27" t="n">
        <f aca="false">IF(M1608&gt;0,D1608*(E1608+2*SLABOVH)*SLAB,0)</f>
        <v>17.4179728240121</v>
      </c>
      <c r="Y1608" s="27" t="n">
        <f aca="false">IF(M1608&gt;0,D1608*PI()*E1608^2/4,0)</f>
        <v>48.4452590850275</v>
      </c>
      <c r="Z1608" s="27" t="n">
        <f aca="false">IF(H1608-E1608&gt;=GWL,99,E1608*(MAX(0,GWL-H1608)*(GAM_S-GAM_W)+MAX(0,NG-MAX(H1608,GWL))*GAM_D)/(GAM_W*PI()*E1608^2/4))</f>
        <v>0.785999218875048</v>
      </c>
      <c r="AA1608" s="27" t="n">
        <f aca="false">IF(I1608-E1608&gt;=GWL,99,E1608*(MAX(0,GWL-I1608)*(GAM_S-GAM_W)+MAX(0,NG-MAX(I1608,GWL))*GAM_D)/(GAM_W*PI()*E1608^2/4))</f>
        <v>0.785999218875048</v>
      </c>
      <c r="AB1608" s="27" t="n">
        <f aca="false">IF(H1608-E1608&gt;=GWL,99,E1608*(MAX(0,GWL-H1608)*(GAM_S-GAM_W)+MAX(0,FL-MAX(H1608,GWL))*GAM_D)/(GAM_W*PI()*E1608^2/4))</f>
        <v>2.38512209834093</v>
      </c>
      <c r="AC1608" s="27" t="n">
        <f aca="false">IF(I1608-E1608&gt;=GWL,99,E1608*(MAX(0,GWL-I1608)*(GAM_S-GAM_W)+MAX(0,FL-MAX(I1608,GWL))*GAM_D)/(GAM_W*PI()*E1608^2/4))</f>
        <v>2.38512209834093</v>
      </c>
    </row>
    <row r="1609" customFormat="false" ht="15" hidden="false" customHeight="false" outlineLevel="0" collapsed="false">
      <c r="A1609" s="25" t="s">
        <v>2236</v>
      </c>
      <c r="B1609" s="25" t="s">
        <v>2237</v>
      </c>
      <c r="C1609" s="25" t="s">
        <v>2285</v>
      </c>
      <c r="D1609" s="26" t="n">
        <v>10.000000000037</v>
      </c>
      <c r="E1609" s="26" t="n">
        <v>2.48359456476602</v>
      </c>
      <c r="F1609" s="26" t="n">
        <v>-4.56179728238301</v>
      </c>
      <c r="G1609" s="26" t="n">
        <v>-4.56179728238301</v>
      </c>
      <c r="H1609" s="26" t="n">
        <v>-1.57820271761699</v>
      </c>
      <c r="I1609" s="26" t="n">
        <v>-1.57820271761699</v>
      </c>
      <c r="J1609" s="26" t="n">
        <v>7.54</v>
      </c>
      <c r="K1609" s="27" t="n">
        <f aca="false">MIN(F1609,G1609)</f>
        <v>-4.56179728238301</v>
      </c>
      <c r="L1609" s="27" t="n">
        <f aca="false">AVERAGE(F1609,G1609)</f>
        <v>-4.56179728238301</v>
      </c>
      <c r="M1609" s="27" t="n">
        <f aca="false">MAX(0,NG-L1609)</f>
        <v>3.86179728238301</v>
      </c>
      <c r="N1609" s="27" t="n">
        <f aca="false">MAX(0,GWL-K1609)</f>
        <v>3.06179728238301</v>
      </c>
      <c r="O1609" s="27" t="n">
        <f aca="false">MAX(0,NG-MAX(K1609,GWL))</f>
        <v>0.8</v>
      </c>
      <c r="P1609" s="27" t="n">
        <f aca="false">E1609/2+WS+SLOPE_A*O1609+SLOPE_B*N1609</f>
        <v>9.56539184714902</v>
      </c>
      <c r="Q1609" s="28" t="str">
        <f aca="false">IF(AND(P1609&lt;J1609,N1609&lt;=MAXOC),"Open cut","Shoring")</f>
        <v>Shoring</v>
      </c>
      <c r="R1609" s="27" t="n">
        <f aca="false">IF(Q1609="Shoring",D1609,0)</f>
        <v>10.000000000037</v>
      </c>
      <c r="S1609" s="27" t="n">
        <f aca="false">MAX(0,GWL-L1609)</f>
        <v>3.06179728238301</v>
      </c>
      <c r="T1609" s="27" t="n">
        <f aca="false">MAX(0,NG-MAX(L1609,GWL))</f>
        <v>0.8</v>
      </c>
      <c r="U1609" s="27" t="n">
        <f aca="false">E1609+2*WS</f>
        <v>4.48359456476602</v>
      </c>
      <c r="V1609" s="27" t="n">
        <f aca="false">IF(Q1609="Shoring",D1609*M1609*U1609,0)</f>
        <v>173.147333055846</v>
      </c>
      <c r="W1609" s="27" t="n">
        <f aca="false">IF(Q1609="Open cut",D1609*(U1609*M1609+SLOPE_B*S1609^2+2*SLOPE_B*S1609*T1609+SLOPE_A*T1609^2),0)</f>
        <v>0</v>
      </c>
      <c r="X1609" s="27" t="n">
        <f aca="false">IF(M1609&gt;0,D1609*(E1609+2*SLABOVH)*SLAB,0)</f>
        <v>17.4179728238945</v>
      </c>
      <c r="Y1609" s="27" t="n">
        <f aca="false">IF(M1609&gt;0,D1609*PI()*E1609^2/4,0)</f>
        <v>48.4452590847004</v>
      </c>
      <c r="Z1609" s="27" t="n">
        <f aca="false">IF(H1609-E1609&gt;=GWL,99,E1609*(MAX(0,GWL-H1609)*(GAM_S-GAM_W)+MAX(0,NG-MAX(H1609,GWL))*GAM_D)/(GAM_W*PI()*E1609^2/4))</f>
        <v>0.785999218875048</v>
      </c>
      <c r="AA1609" s="27" t="n">
        <f aca="false">IF(I1609-E1609&gt;=GWL,99,E1609*(MAX(0,GWL-I1609)*(GAM_S-GAM_W)+MAX(0,NG-MAX(I1609,GWL))*GAM_D)/(GAM_W*PI()*E1609^2/4))</f>
        <v>0.785999218875048</v>
      </c>
      <c r="AB1609" s="27" t="n">
        <f aca="false">IF(H1609-E1609&gt;=GWL,99,E1609*(MAX(0,GWL-H1609)*(GAM_S-GAM_W)+MAX(0,FL-MAX(H1609,GWL))*GAM_D)/(GAM_W*PI()*E1609^2/4))</f>
        <v>2.38512209834093</v>
      </c>
      <c r="AC1609" s="27" t="n">
        <f aca="false">IF(I1609-E1609&gt;=GWL,99,E1609*(MAX(0,GWL-I1609)*(GAM_S-GAM_W)+MAX(0,FL-MAX(I1609,GWL))*GAM_D)/(GAM_W*PI()*E1609^2/4))</f>
        <v>2.38512209834093</v>
      </c>
    </row>
    <row r="1610" customFormat="false" ht="15" hidden="false" customHeight="false" outlineLevel="0" collapsed="false">
      <c r="A1610" s="25" t="s">
        <v>2236</v>
      </c>
      <c r="B1610" s="25" t="s">
        <v>2237</v>
      </c>
      <c r="C1610" s="25" t="s">
        <v>2286</v>
      </c>
      <c r="D1610" s="26" t="n">
        <v>10.000000000037</v>
      </c>
      <c r="E1610" s="26" t="n">
        <v>2.48359456476602</v>
      </c>
      <c r="F1610" s="26" t="n">
        <v>-4.56179728238301</v>
      </c>
      <c r="G1610" s="26" t="n">
        <v>-4.56179728238301</v>
      </c>
      <c r="H1610" s="26" t="n">
        <v>-1.57820271761699</v>
      </c>
      <c r="I1610" s="26" t="n">
        <v>-1.57820271761699</v>
      </c>
      <c r="J1610" s="26" t="n">
        <v>6.02</v>
      </c>
      <c r="K1610" s="27" t="n">
        <f aca="false">MIN(F1610,G1610)</f>
        <v>-4.56179728238301</v>
      </c>
      <c r="L1610" s="27" t="n">
        <f aca="false">AVERAGE(F1610,G1610)</f>
        <v>-4.56179728238301</v>
      </c>
      <c r="M1610" s="27" t="n">
        <f aca="false">MAX(0,NG-L1610)</f>
        <v>3.86179728238301</v>
      </c>
      <c r="N1610" s="27" t="n">
        <f aca="false">MAX(0,GWL-K1610)</f>
        <v>3.06179728238301</v>
      </c>
      <c r="O1610" s="27" t="n">
        <f aca="false">MAX(0,NG-MAX(K1610,GWL))</f>
        <v>0.8</v>
      </c>
      <c r="P1610" s="27" t="n">
        <f aca="false">E1610/2+WS+SLOPE_A*O1610+SLOPE_B*N1610</f>
        <v>9.56539184714902</v>
      </c>
      <c r="Q1610" s="28" t="str">
        <f aca="false">IF(AND(P1610&lt;J1610,N1610&lt;=MAXOC),"Open cut","Shoring")</f>
        <v>Shoring</v>
      </c>
      <c r="R1610" s="27" t="n">
        <f aca="false">IF(Q1610="Shoring",D1610,0)</f>
        <v>10.000000000037</v>
      </c>
      <c r="S1610" s="27" t="n">
        <f aca="false">MAX(0,GWL-L1610)</f>
        <v>3.06179728238301</v>
      </c>
      <c r="T1610" s="27" t="n">
        <f aca="false">MAX(0,NG-MAX(L1610,GWL))</f>
        <v>0.8</v>
      </c>
      <c r="U1610" s="27" t="n">
        <f aca="false">E1610+2*WS</f>
        <v>4.48359456476602</v>
      </c>
      <c r="V1610" s="27" t="n">
        <f aca="false">IF(Q1610="Shoring",D1610*M1610*U1610,0)</f>
        <v>173.147333055846</v>
      </c>
      <c r="W1610" s="27" t="n">
        <f aca="false">IF(Q1610="Open cut",D1610*(U1610*M1610+SLOPE_B*S1610^2+2*SLOPE_B*S1610*T1610+SLOPE_A*T1610^2),0)</f>
        <v>0</v>
      </c>
      <c r="X1610" s="27" t="n">
        <f aca="false">IF(M1610&gt;0,D1610*(E1610+2*SLABOVH)*SLAB,0)</f>
        <v>17.4179728238945</v>
      </c>
      <c r="Y1610" s="27" t="n">
        <f aca="false">IF(M1610&gt;0,D1610*PI()*E1610^2/4,0)</f>
        <v>48.4452590847004</v>
      </c>
      <c r="Z1610" s="27" t="n">
        <f aca="false">IF(H1610-E1610&gt;=GWL,99,E1610*(MAX(0,GWL-H1610)*(GAM_S-GAM_W)+MAX(0,NG-MAX(H1610,GWL))*GAM_D)/(GAM_W*PI()*E1610^2/4))</f>
        <v>0.785999218875048</v>
      </c>
      <c r="AA1610" s="27" t="n">
        <f aca="false">IF(I1610-E1610&gt;=GWL,99,E1610*(MAX(0,GWL-I1610)*(GAM_S-GAM_W)+MAX(0,NG-MAX(I1610,GWL))*GAM_D)/(GAM_W*PI()*E1610^2/4))</f>
        <v>0.785999218875048</v>
      </c>
      <c r="AB1610" s="27" t="n">
        <f aca="false">IF(H1610-E1610&gt;=GWL,99,E1610*(MAX(0,GWL-H1610)*(GAM_S-GAM_W)+MAX(0,FL-MAX(H1610,GWL))*GAM_D)/(GAM_W*PI()*E1610^2/4))</f>
        <v>2.38512209834093</v>
      </c>
      <c r="AC1610" s="27" t="n">
        <f aca="false">IF(I1610-E1610&gt;=GWL,99,E1610*(MAX(0,GWL-I1610)*(GAM_S-GAM_W)+MAX(0,FL-MAX(I1610,GWL))*GAM_D)/(GAM_W*PI()*E1610^2/4))</f>
        <v>2.38512209834093</v>
      </c>
    </row>
    <row r="1611" customFormat="false" ht="15" hidden="false" customHeight="false" outlineLevel="0" collapsed="false">
      <c r="A1611" s="25" t="s">
        <v>2236</v>
      </c>
      <c r="B1611" s="25" t="s">
        <v>2237</v>
      </c>
      <c r="C1611" s="25" t="s">
        <v>2287</v>
      </c>
      <c r="D1611" s="26" t="n">
        <v>10.000000000037</v>
      </c>
      <c r="E1611" s="26" t="n">
        <v>2.48359456476602</v>
      </c>
      <c r="F1611" s="26" t="n">
        <v>-4.56179728238301</v>
      </c>
      <c r="G1611" s="26" t="n">
        <v>-4.56179728238301</v>
      </c>
      <c r="H1611" s="26" t="n">
        <v>-1.57820271761699</v>
      </c>
      <c r="I1611" s="26" t="n">
        <v>-1.57820271761699</v>
      </c>
      <c r="J1611" s="26" t="n">
        <v>6.12</v>
      </c>
      <c r="K1611" s="27" t="n">
        <f aca="false">MIN(F1611,G1611)</f>
        <v>-4.56179728238301</v>
      </c>
      <c r="L1611" s="27" t="n">
        <f aca="false">AVERAGE(F1611,G1611)</f>
        <v>-4.56179728238301</v>
      </c>
      <c r="M1611" s="27" t="n">
        <f aca="false">MAX(0,NG-L1611)</f>
        <v>3.86179728238301</v>
      </c>
      <c r="N1611" s="27" t="n">
        <f aca="false">MAX(0,GWL-K1611)</f>
        <v>3.06179728238301</v>
      </c>
      <c r="O1611" s="27" t="n">
        <f aca="false">MAX(0,NG-MAX(K1611,GWL))</f>
        <v>0.8</v>
      </c>
      <c r="P1611" s="27" t="n">
        <f aca="false">E1611/2+WS+SLOPE_A*O1611+SLOPE_B*N1611</f>
        <v>9.56539184714902</v>
      </c>
      <c r="Q1611" s="28" t="str">
        <f aca="false">IF(AND(P1611&lt;J1611,N1611&lt;=MAXOC),"Open cut","Shoring")</f>
        <v>Shoring</v>
      </c>
      <c r="R1611" s="27" t="n">
        <f aca="false">IF(Q1611="Shoring",D1611,0)</f>
        <v>10.000000000037</v>
      </c>
      <c r="S1611" s="27" t="n">
        <f aca="false">MAX(0,GWL-L1611)</f>
        <v>3.06179728238301</v>
      </c>
      <c r="T1611" s="27" t="n">
        <f aca="false">MAX(0,NG-MAX(L1611,GWL))</f>
        <v>0.8</v>
      </c>
      <c r="U1611" s="27" t="n">
        <f aca="false">E1611+2*WS</f>
        <v>4.48359456476602</v>
      </c>
      <c r="V1611" s="27" t="n">
        <f aca="false">IF(Q1611="Shoring",D1611*M1611*U1611,0)</f>
        <v>173.147333055846</v>
      </c>
      <c r="W1611" s="27" t="n">
        <f aca="false">IF(Q1611="Open cut",D1611*(U1611*M1611+SLOPE_B*S1611^2+2*SLOPE_B*S1611*T1611+SLOPE_A*T1611^2),0)</f>
        <v>0</v>
      </c>
      <c r="X1611" s="27" t="n">
        <f aca="false">IF(M1611&gt;0,D1611*(E1611+2*SLABOVH)*SLAB,0)</f>
        <v>17.4179728238945</v>
      </c>
      <c r="Y1611" s="27" t="n">
        <f aca="false">IF(M1611&gt;0,D1611*PI()*E1611^2/4,0)</f>
        <v>48.4452590847004</v>
      </c>
      <c r="Z1611" s="27" t="n">
        <f aca="false">IF(H1611-E1611&gt;=GWL,99,E1611*(MAX(0,GWL-H1611)*(GAM_S-GAM_W)+MAX(0,NG-MAX(H1611,GWL))*GAM_D)/(GAM_W*PI()*E1611^2/4))</f>
        <v>0.785999218875048</v>
      </c>
      <c r="AA1611" s="27" t="n">
        <f aca="false">IF(I1611-E1611&gt;=GWL,99,E1611*(MAX(0,GWL-I1611)*(GAM_S-GAM_W)+MAX(0,NG-MAX(I1611,GWL))*GAM_D)/(GAM_W*PI()*E1611^2/4))</f>
        <v>0.785999218875048</v>
      </c>
      <c r="AB1611" s="27" t="n">
        <f aca="false">IF(H1611-E1611&gt;=GWL,99,E1611*(MAX(0,GWL-H1611)*(GAM_S-GAM_W)+MAX(0,FL-MAX(H1611,GWL))*GAM_D)/(GAM_W*PI()*E1611^2/4))</f>
        <v>2.38512209834093</v>
      </c>
      <c r="AC1611" s="27" t="n">
        <f aca="false">IF(I1611-E1611&gt;=GWL,99,E1611*(MAX(0,GWL-I1611)*(GAM_S-GAM_W)+MAX(0,FL-MAX(I1611,GWL))*GAM_D)/(GAM_W*PI()*E1611^2/4))</f>
        <v>2.38512209834093</v>
      </c>
    </row>
    <row r="1612" customFormat="false" ht="15" hidden="false" customHeight="false" outlineLevel="0" collapsed="false">
      <c r="A1612" s="25" t="s">
        <v>2236</v>
      </c>
      <c r="B1612" s="25" t="s">
        <v>2237</v>
      </c>
      <c r="C1612" s="25" t="s">
        <v>2288</v>
      </c>
      <c r="D1612" s="26" t="n">
        <v>9.99999999972511</v>
      </c>
      <c r="E1612" s="26" t="n">
        <v>2.48359456476602</v>
      </c>
      <c r="F1612" s="26" t="n">
        <v>-4.56179728238301</v>
      </c>
      <c r="G1612" s="26" t="n">
        <v>-4.56179728238301</v>
      </c>
      <c r="H1612" s="26" t="n">
        <v>-1.57820271761699</v>
      </c>
      <c r="I1612" s="26" t="n">
        <v>-1.57820271761699</v>
      </c>
      <c r="J1612" s="26" t="n">
        <v>9.25</v>
      </c>
      <c r="K1612" s="27" t="n">
        <f aca="false">MIN(F1612,G1612)</f>
        <v>-4.56179728238301</v>
      </c>
      <c r="L1612" s="27" t="n">
        <f aca="false">AVERAGE(F1612,G1612)</f>
        <v>-4.56179728238301</v>
      </c>
      <c r="M1612" s="27" t="n">
        <f aca="false">MAX(0,NG-L1612)</f>
        <v>3.86179728238301</v>
      </c>
      <c r="N1612" s="27" t="n">
        <f aca="false">MAX(0,GWL-K1612)</f>
        <v>3.06179728238301</v>
      </c>
      <c r="O1612" s="27" t="n">
        <f aca="false">MAX(0,NG-MAX(K1612,GWL))</f>
        <v>0.8</v>
      </c>
      <c r="P1612" s="27" t="n">
        <f aca="false">E1612/2+WS+SLOPE_A*O1612+SLOPE_B*N1612</f>
        <v>9.56539184714902</v>
      </c>
      <c r="Q1612" s="28" t="str">
        <f aca="false">IF(AND(P1612&lt;J1612,N1612&lt;=MAXOC),"Open cut","Shoring")</f>
        <v>Shoring</v>
      </c>
      <c r="R1612" s="27" t="n">
        <f aca="false">IF(Q1612="Shoring",D1612,0)</f>
        <v>9.99999999972511</v>
      </c>
      <c r="S1612" s="27" t="n">
        <f aca="false">MAX(0,GWL-L1612)</f>
        <v>3.06179728238301</v>
      </c>
      <c r="T1612" s="27" t="n">
        <f aca="false">MAX(0,NG-MAX(L1612,GWL))</f>
        <v>0.8</v>
      </c>
      <c r="U1612" s="27" t="n">
        <f aca="false">E1612+2*WS</f>
        <v>4.48359456476602</v>
      </c>
      <c r="V1612" s="27" t="n">
        <f aca="false">IF(Q1612="Shoring",D1612*M1612*U1612,0)</f>
        <v>173.147333050447</v>
      </c>
      <c r="W1612" s="27" t="n">
        <f aca="false">IF(Q1612="Open cut",D1612*(U1612*M1612+SLOPE_B*S1612^2+2*SLOPE_B*S1612*T1612+SLOPE_A*T1612^2),0)</f>
        <v>0</v>
      </c>
      <c r="X1612" s="27" t="n">
        <f aca="false">IF(M1612&gt;0,D1612*(E1612+2*SLABOVH)*SLAB,0)</f>
        <v>17.4179728233513</v>
      </c>
      <c r="Y1612" s="27" t="n">
        <f aca="false">IF(M1612&gt;0,D1612*PI()*E1612^2/4,0)</f>
        <v>48.4452590831896</v>
      </c>
      <c r="Z1612" s="27" t="n">
        <f aca="false">IF(H1612-E1612&gt;=GWL,99,E1612*(MAX(0,GWL-H1612)*(GAM_S-GAM_W)+MAX(0,NG-MAX(H1612,GWL))*GAM_D)/(GAM_W*PI()*E1612^2/4))</f>
        <v>0.785999218875048</v>
      </c>
      <c r="AA1612" s="27" t="n">
        <f aca="false">IF(I1612-E1612&gt;=GWL,99,E1612*(MAX(0,GWL-I1612)*(GAM_S-GAM_W)+MAX(0,NG-MAX(I1612,GWL))*GAM_D)/(GAM_W*PI()*E1612^2/4))</f>
        <v>0.785999218875048</v>
      </c>
      <c r="AB1612" s="27" t="n">
        <f aca="false">IF(H1612-E1612&gt;=GWL,99,E1612*(MAX(0,GWL-H1612)*(GAM_S-GAM_W)+MAX(0,FL-MAX(H1612,GWL))*GAM_D)/(GAM_W*PI()*E1612^2/4))</f>
        <v>2.38512209834093</v>
      </c>
      <c r="AC1612" s="27" t="n">
        <f aca="false">IF(I1612-E1612&gt;=GWL,99,E1612*(MAX(0,GWL-I1612)*(GAM_S-GAM_W)+MAX(0,FL-MAX(I1612,GWL))*GAM_D)/(GAM_W*PI()*E1612^2/4))</f>
        <v>2.38512209834093</v>
      </c>
    </row>
    <row r="1613" customFormat="false" ht="15" hidden="false" customHeight="false" outlineLevel="0" collapsed="false">
      <c r="A1613" s="25" t="s">
        <v>2236</v>
      </c>
      <c r="B1613" s="25" t="s">
        <v>2237</v>
      </c>
      <c r="C1613" s="25" t="s">
        <v>2289</v>
      </c>
      <c r="D1613" s="26" t="n">
        <v>10.000000000037</v>
      </c>
      <c r="E1613" s="26" t="n">
        <v>2.48359456476602</v>
      </c>
      <c r="F1613" s="26" t="n">
        <v>-4.56179728238301</v>
      </c>
      <c r="G1613" s="26" t="n">
        <v>-4.56179728238301</v>
      </c>
      <c r="H1613" s="26" t="n">
        <v>-1.57820271761699</v>
      </c>
      <c r="I1613" s="26" t="n">
        <v>-1.57820271761699</v>
      </c>
      <c r="J1613" s="26" t="n">
        <v>15.56</v>
      </c>
      <c r="K1613" s="27" t="n">
        <f aca="false">MIN(F1613,G1613)</f>
        <v>-4.56179728238301</v>
      </c>
      <c r="L1613" s="27" t="n">
        <f aca="false">AVERAGE(F1613,G1613)</f>
        <v>-4.56179728238301</v>
      </c>
      <c r="M1613" s="27" t="n">
        <f aca="false">MAX(0,NG-L1613)</f>
        <v>3.86179728238301</v>
      </c>
      <c r="N1613" s="27" t="n">
        <f aca="false">MAX(0,GWL-K1613)</f>
        <v>3.06179728238301</v>
      </c>
      <c r="O1613" s="27" t="n">
        <f aca="false">MAX(0,NG-MAX(K1613,GWL))</f>
        <v>0.8</v>
      </c>
      <c r="P1613" s="27" t="n">
        <f aca="false">E1613/2+WS+SLOPE_A*O1613+SLOPE_B*N1613</f>
        <v>9.56539184714902</v>
      </c>
      <c r="Q1613" s="28" t="str">
        <f aca="false">IF(AND(P1613&lt;J1613,N1613&lt;=MAXOC),"Open cut","Shoring")</f>
        <v>Shoring</v>
      </c>
      <c r="R1613" s="27" t="n">
        <f aca="false">IF(Q1613="Shoring",D1613,0)</f>
        <v>10.000000000037</v>
      </c>
      <c r="S1613" s="27" t="n">
        <f aca="false">MAX(0,GWL-L1613)</f>
        <v>3.06179728238301</v>
      </c>
      <c r="T1613" s="27" t="n">
        <f aca="false">MAX(0,NG-MAX(L1613,GWL))</f>
        <v>0.8</v>
      </c>
      <c r="U1613" s="27" t="n">
        <f aca="false">E1613+2*WS</f>
        <v>4.48359456476602</v>
      </c>
      <c r="V1613" s="27" t="n">
        <f aca="false">IF(Q1613="Shoring",D1613*M1613*U1613,0)</f>
        <v>173.147333055846</v>
      </c>
      <c r="W1613" s="27" t="n">
        <f aca="false">IF(Q1613="Open cut",D1613*(U1613*M1613+SLOPE_B*S1613^2+2*SLOPE_B*S1613*T1613+SLOPE_A*T1613^2),0)</f>
        <v>0</v>
      </c>
      <c r="X1613" s="27" t="n">
        <f aca="false">IF(M1613&gt;0,D1613*(E1613+2*SLABOVH)*SLAB,0)</f>
        <v>17.4179728238945</v>
      </c>
      <c r="Y1613" s="27" t="n">
        <f aca="false">IF(M1613&gt;0,D1613*PI()*E1613^2/4,0)</f>
        <v>48.4452590847004</v>
      </c>
      <c r="Z1613" s="27" t="n">
        <f aca="false">IF(H1613-E1613&gt;=GWL,99,E1613*(MAX(0,GWL-H1613)*(GAM_S-GAM_W)+MAX(0,NG-MAX(H1613,GWL))*GAM_D)/(GAM_W*PI()*E1613^2/4))</f>
        <v>0.785999218875048</v>
      </c>
      <c r="AA1613" s="27" t="n">
        <f aca="false">IF(I1613-E1613&gt;=GWL,99,E1613*(MAX(0,GWL-I1613)*(GAM_S-GAM_W)+MAX(0,NG-MAX(I1613,GWL))*GAM_D)/(GAM_W*PI()*E1613^2/4))</f>
        <v>0.785999218875048</v>
      </c>
      <c r="AB1613" s="27" t="n">
        <f aca="false">IF(H1613-E1613&gt;=GWL,99,E1613*(MAX(0,GWL-H1613)*(GAM_S-GAM_W)+MAX(0,FL-MAX(H1613,GWL))*GAM_D)/(GAM_W*PI()*E1613^2/4))</f>
        <v>2.38512209834093</v>
      </c>
      <c r="AC1613" s="27" t="n">
        <f aca="false">IF(I1613-E1613&gt;=GWL,99,E1613*(MAX(0,GWL-I1613)*(GAM_S-GAM_W)+MAX(0,FL-MAX(I1613,GWL))*GAM_D)/(GAM_W*PI()*E1613^2/4))</f>
        <v>2.38512209834093</v>
      </c>
    </row>
    <row r="1614" customFormat="false" ht="15" hidden="false" customHeight="false" outlineLevel="0" collapsed="false">
      <c r="A1614" s="25" t="s">
        <v>2236</v>
      </c>
      <c r="B1614" s="25" t="s">
        <v>2237</v>
      </c>
      <c r="C1614" s="25" t="s">
        <v>2290</v>
      </c>
      <c r="D1614" s="26" t="n">
        <v>10.000000000037</v>
      </c>
      <c r="E1614" s="26" t="n">
        <v>2.48359456476602</v>
      </c>
      <c r="F1614" s="26" t="n">
        <v>-4.56179728238301</v>
      </c>
      <c r="G1614" s="26" t="n">
        <v>-4.56179728238301</v>
      </c>
      <c r="H1614" s="26" t="n">
        <v>-1.57820271761699</v>
      </c>
      <c r="I1614" s="26" t="n">
        <v>-1.57820271761699</v>
      </c>
      <c r="J1614" s="26" t="n">
        <v>17.31</v>
      </c>
      <c r="K1614" s="27" t="n">
        <f aca="false">MIN(F1614,G1614)</f>
        <v>-4.56179728238301</v>
      </c>
      <c r="L1614" s="27" t="n">
        <f aca="false">AVERAGE(F1614,G1614)</f>
        <v>-4.56179728238301</v>
      </c>
      <c r="M1614" s="27" t="n">
        <f aca="false">MAX(0,NG-L1614)</f>
        <v>3.86179728238301</v>
      </c>
      <c r="N1614" s="27" t="n">
        <f aca="false">MAX(0,GWL-K1614)</f>
        <v>3.06179728238301</v>
      </c>
      <c r="O1614" s="27" t="n">
        <f aca="false">MAX(0,NG-MAX(K1614,GWL))</f>
        <v>0.8</v>
      </c>
      <c r="P1614" s="27" t="n">
        <f aca="false">E1614/2+WS+SLOPE_A*O1614+SLOPE_B*N1614</f>
        <v>9.56539184714902</v>
      </c>
      <c r="Q1614" s="28" t="str">
        <f aca="false">IF(AND(P1614&lt;J1614,N1614&lt;=MAXOC),"Open cut","Shoring")</f>
        <v>Shoring</v>
      </c>
      <c r="R1614" s="27" t="n">
        <f aca="false">IF(Q1614="Shoring",D1614,0)</f>
        <v>10.000000000037</v>
      </c>
      <c r="S1614" s="27" t="n">
        <f aca="false">MAX(0,GWL-L1614)</f>
        <v>3.06179728238301</v>
      </c>
      <c r="T1614" s="27" t="n">
        <f aca="false">MAX(0,NG-MAX(L1614,GWL))</f>
        <v>0.8</v>
      </c>
      <c r="U1614" s="27" t="n">
        <f aca="false">E1614+2*WS</f>
        <v>4.48359456476602</v>
      </c>
      <c r="V1614" s="27" t="n">
        <f aca="false">IF(Q1614="Shoring",D1614*M1614*U1614,0)</f>
        <v>173.147333055846</v>
      </c>
      <c r="W1614" s="27" t="n">
        <f aca="false">IF(Q1614="Open cut",D1614*(U1614*M1614+SLOPE_B*S1614^2+2*SLOPE_B*S1614*T1614+SLOPE_A*T1614^2),0)</f>
        <v>0</v>
      </c>
      <c r="X1614" s="27" t="n">
        <f aca="false">IF(M1614&gt;0,D1614*(E1614+2*SLABOVH)*SLAB,0)</f>
        <v>17.4179728238945</v>
      </c>
      <c r="Y1614" s="27" t="n">
        <f aca="false">IF(M1614&gt;0,D1614*PI()*E1614^2/4,0)</f>
        <v>48.4452590847004</v>
      </c>
      <c r="Z1614" s="27" t="n">
        <f aca="false">IF(H1614-E1614&gt;=GWL,99,E1614*(MAX(0,GWL-H1614)*(GAM_S-GAM_W)+MAX(0,NG-MAX(H1614,GWL))*GAM_D)/(GAM_W*PI()*E1614^2/4))</f>
        <v>0.785999218875048</v>
      </c>
      <c r="AA1614" s="27" t="n">
        <f aca="false">IF(I1614-E1614&gt;=GWL,99,E1614*(MAX(0,GWL-I1614)*(GAM_S-GAM_W)+MAX(0,NG-MAX(I1614,GWL))*GAM_D)/(GAM_W*PI()*E1614^2/4))</f>
        <v>0.785999218875048</v>
      </c>
      <c r="AB1614" s="27" t="n">
        <f aca="false">IF(H1614-E1614&gt;=GWL,99,E1614*(MAX(0,GWL-H1614)*(GAM_S-GAM_W)+MAX(0,FL-MAX(H1614,GWL))*GAM_D)/(GAM_W*PI()*E1614^2/4))</f>
        <v>2.38512209834093</v>
      </c>
      <c r="AC1614" s="27" t="n">
        <f aca="false">IF(I1614-E1614&gt;=GWL,99,E1614*(MAX(0,GWL-I1614)*(GAM_S-GAM_W)+MAX(0,FL-MAX(I1614,GWL))*GAM_D)/(GAM_W*PI()*E1614^2/4))</f>
        <v>2.38512209834093</v>
      </c>
    </row>
    <row r="1615" customFormat="false" ht="15" hidden="false" customHeight="false" outlineLevel="0" collapsed="false">
      <c r="A1615" s="25" t="s">
        <v>2236</v>
      </c>
      <c r="B1615" s="25" t="s">
        <v>2237</v>
      </c>
      <c r="C1615" s="25" t="s">
        <v>2291</v>
      </c>
      <c r="D1615" s="26" t="n">
        <v>9.99999999927824</v>
      </c>
      <c r="E1615" s="26" t="n">
        <v>2.48359456476602</v>
      </c>
      <c r="F1615" s="26" t="n">
        <v>-4.56179728238301</v>
      </c>
      <c r="G1615" s="26" t="n">
        <v>-4.56179728238301</v>
      </c>
      <c r="H1615" s="26" t="n">
        <v>-1.57820271761699</v>
      </c>
      <c r="I1615" s="26" t="n">
        <v>-1.57820271761699</v>
      </c>
      <c r="J1615" s="26" t="n">
        <v>7.32</v>
      </c>
      <c r="K1615" s="27" t="n">
        <f aca="false">MIN(F1615,G1615)</f>
        <v>-4.56179728238301</v>
      </c>
      <c r="L1615" s="27" t="n">
        <f aca="false">AVERAGE(F1615,G1615)</f>
        <v>-4.56179728238301</v>
      </c>
      <c r="M1615" s="27" t="n">
        <f aca="false">MAX(0,NG-L1615)</f>
        <v>3.86179728238301</v>
      </c>
      <c r="N1615" s="27" t="n">
        <f aca="false">MAX(0,GWL-K1615)</f>
        <v>3.06179728238301</v>
      </c>
      <c r="O1615" s="27" t="n">
        <f aca="false">MAX(0,NG-MAX(K1615,GWL))</f>
        <v>0.8</v>
      </c>
      <c r="P1615" s="27" t="n">
        <f aca="false">E1615/2+WS+SLOPE_A*O1615+SLOPE_B*N1615</f>
        <v>9.56539184714902</v>
      </c>
      <c r="Q1615" s="28" t="str">
        <f aca="false">IF(AND(P1615&lt;J1615,N1615&lt;=MAXOC),"Open cut","Shoring")</f>
        <v>Shoring</v>
      </c>
      <c r="R1615" s="27" t="n">
        <f aca="false">IF(Q1615="Shoring",D1615,0)</f>
        <v>9.99999999927824</v>
      </c>
      <c r="S1615" s="27" t="n">
        <f aca="false">MAX(0,GWL-L1615)</f>
        <v>3.06179728238301</v>
      </c>
      <c r="T1615" s="27" t="n">
        <f aca="false">MAX(0,NG-MAX(L1615,GWL))</f>
        <v>0.8</v>
      </c>
      <c r="U1615" s="27" t="n">
        <f aca="false">E1615+2*WS</f>
        <v>4.48359456476602</v>
      </c>
      <c r="V1615" s="27" t="n">
        <f aca="false">IF(Q1615="Shoring",D1615*M1615*U1615,0)</f>
        <v>173.147333042709</v>
      </c>
      <c r="W1615" s="27" t="n">
        <f aca="false">IF(Q1615="Open cut",D1615*(U1615*M1615+SLOPE_B*S1615^2+2*SLOPE_B*S1615*T1615+SLOPE_A*T1615^2),0)</f>
        <v>0</v>
      </c>
      <c r="X1615" s="27" t="n">
        <f aca="false">IF(M1615&gt;0,D1615*(E1615+2*SLABOVH)*SLAB,0)</f>
        <v>17.4179728225729</v>
      </c>
      <c r="Y1615" s="27" t="n">
        <f aca="false">IF(M1615&gt;0,D1615*PI()*E1615^2/4,0)</f>
        <v>48.4452590810247</v>
      </c>
      <c r="Z1615" s="27" t="n">
        <f aca="false">IF(H1615-E1615&gt;=GWL,99,E1615*(MAX(0,GWL-H1615)*(GAM_S-GAM_W)+MAX(0,NG-MAX(H1615,GWL))*GAM_D)/(GAM_W*PI()*E1615^2/4))</f>
        <v>0.785999218875048</v>
      </c>
      <c r="AA1615" s="27" t="n">
        <f aca="false">IF(I1615-E1615&gt;=GWL,99,E1615*(MAX(0,GWL-I1615)*(GAM_S-GAM_W)+MAX(0,NG-MAX(I1615,GWL))*GAM_D)/(GAM_W*PI()*E1615^2/4))</f>
        <v>0.785999218875048</v>
      </c>
      <c r="AB1615" s="27" t="n">
        <f aca="false">IF(H1615-E1615&gt;=GWL,99,E1615*(MAX(0,GWL-H1615)*(GAM_S-GAM_W)+MAX(0,FL-MAX(H1615,GWL))*GAM_D)/(GAM_W*PI()*E1615^2/4))</f>
        <v>2.38512209834093</v>
      </c>
      <c r="AC1615" s="27" t="n">
        <f aca="false">IF(I1615-E1615&gt;=GWL,99,E1615*(MAX(0,GWL-I1615)*(GAM_S-GAM_W)+MAX(0,FL-MAX(I1615,GWL))*GAM_D)/(GAM_W*PI()*E1615^2/4))</f>
        <v>2.38512209834093</v>
      </c>
    </row>
    <row r="1616" customFormat="false" ht="15" hidden="false" customHeight="false" outlineLevel="0" collapsed="false">
      <c r="A1616" s="25" t="s">
        <v>2236</v>
      </c>
      <c r="B1616" s="25" t="s">
        <v>2237</v>
      </c>
      <c r="C1616" s="25" t="s">
        <v>2292</v>
      </c>
      <c r="D1616" s="26" t="n">
        <v>10.0000000001045</v>
      </c>
      <c r="E1616" s="26" t="n">
        <v>2.48359456476602</v>
      </c>
      <c r="F1616" s="26" t="n">
        <v>-4.56179728238301</v>
      </c>
      <c r="G1616" s="26" t="n">
        <v>-4.56179728238301</v>
      </c>
      <c r="H1616" s="26" t="n">
        <v>-1.57820271761699</v>
      </c>
      <c r="I1616" s="26" t="n">
        <v>-1.57820271761699</v>
      </c>
      <c r="J1616" s="26" t="n">
        <v>0</v>
      </c>
      <c r="K1616" s="27" t="n">
        <f aca="false">MIN(F1616,G1616)</f>
        <v>-4.56179728238301</v>
      </c>
      <c r="L1616" s="27" t="n">
        <f aca="false">AVERAGE(F1616,G1616)</f>
        <v>-4.56179728238301</v>
      </c>
      <c r="M1616" s="27" t="n">
        <f aca="false">MAX(0,NG-L1616)</f>
        <v>3.86179728238301</v>
      </c>
      <c r="N1616" s="27" t="n">
        <f aca="false">MAX(0,GWL-K1616)</f>
        <v>3.06179728238301</v>
      </c>
      <c r="O1616" s="27" t="n">
        <f aca="false">MAX(0,NG-MAX(K1616,GWL))</f>
        <v>0.8</v>
      </c>
      <c r="P1616" s="27" t="n">
        <f aca="false">E1616/2+WS+SLOPE_A*O1616+SLOPE_B*N1616</f>
        <v>9.56539184714902</v>
      </c>
      <c r="Q1616" s="28" t="str">
        <f aca="false">IF(AND(P1616&lt;J1616,N1616&lt;=MAXOC),"Open cut","Shoring")</f>
        <v>Shoring</v>
      </c>
      <c r="R1616" s="27" t="n">
        <f aca="false">IF(Q1616="Shoring",D1616,0)</f>
        <v>10.0000000001045</v>
      </c>
      <c r="S1616" s="27" t="n">
        <f aca="false">MAX(0,GWL-L1616)</f>
        <v>3.06179728238301</v>
      </c>
      <c r="T1616" s="27" t="n">
        <f aca="false">MAX(0,NG-MAX(L1616,GWL))</f>
        <v>0.8</v>
      </c>
      <c r="U1616" s="27" t="n">
        <f aca="false">E1616+2*WS</f>
        <v>4.48359456476602</v>
      </c>
      <c r="V1616" s="27" t="n">
        <f aca="false">IF(Q1616="Shoring",D1616*M1616*U1616,0)</f>
        <v>173.147333057015</v>
      </c>
      <c r="W1616" s="27" t="n">
        <f aca="false">IF(Q1616="Open cut",D1616*(U1616*M1616+SLOPE_B*S1616^2+2*SLOPE_B*S1616*T1616+SLOPE_A*T1616^2),0)</f>
        <v>0</v>
      </c>
      <c r="X1616" s="27" t="n">
        <f aca="false">IF(M1616&gt;0,D1616*(E1616+2*SLABOVH)*SLAB,0)</f>
        <v>17.4179728240121</v>
      </c>
      <c r="Y1616" s="27" t="n">
        <f aca="false">IF(M1616&gt;0,D1616*PI()*E1616^2/4,0)</f>
        <v>48.4452590850275</v>
      </c>
      <c r="Z1616" s="27" t="n">
        <f aca="false">IF(H1616-E1616&gt;=GWL,99,E1616*(MAX(0,GWL-H1616)*(GAM_S-GAM_W)+MAX(0,NG-MAX(H1616,GWL))*GAM_D)/(GAM_W*PI()*E1616^2/4))</f>
        <v>0.785999218875048</v>
      </c>
      <c r="AA1616" s="27" t="n">
        <f aca="false">IF(I1616-E1616&gt;=GWL,99,E1616*(MAX(0,GWL-I1616)*(GAM_S-GAM_W)+MAX(0,NG-MAX(I1616,GWL))*GAM_D)/(GAM_W*PI()*E1616^2/4))</f>
        <v>0.785999218875048</v>
      </c>
      <c r="AB1616" s="27" t="n">
        <f aca="false">IF(H1616-E1616&gt;=GWL,99,E1616*(MAX(0,GWL-H1616)*(GAM_S-GAM_W)+MAX(0,FL-MAX(H1616,GWL))*GAM_D)/(GAM_W*PI()*E1616^2/4))</f>
        <v>2.38512209834093</v>
      </c>
      <c r="AC1616" s="27" t="n">
        <f aca="false">IF(I1616-E1616&gt;=GWL,99,E1616*(MAX(0,GWL-I1616)*(GAM_S-GAM_W)+MAX(0,FL-MAX(I1616,GWL))*GAM_D)/(GAM_W*PI()*E1616^2/4))</f>
        <v>2.38512209834093</v>
      </c>
    </row>
    <row r="1617" customFormat="false" ht="15" hidden="false" customHeight="false" outlineLevel="0" collapsed="false">
      <c r="A1617" s="25" t="s">
        <v>2236</v>
      </c>
      <c r="B1617" s="25" t="s">
        <v>2237</v>
      </c>
      <c r="C1617" s="25" t="s">
        <v>2293</v>
      </c>
      <c r="D1617" s="26" t="n">
        <v>10.000000000037</v>
      </c>
      <c r="E1617" s="26" t="n">
        <v>2.48359456476602</v>
      </c>
      <c r="F1617" s="26" t="n">
        <v>-4.56179728238301</v>
      </c>
      <c r="G1617" s="26" t="n">
        <v>-4.56179728238301</v>
      </c>
      <c r="H1617" s="26" t="n">
        <v>-1.57820271761699</v>
      </c>
      <c r="I1617" s="26" t="n">
        <v>-1.57820271761699</v>
      </c>
      <c r="J1617" s="26" t="n">
        <v>0</v>
      </c>
      <c r="K1617" s="27" t="n">
        <f aca="false">MIN(F1617,G1617)</f>
        <v>-4.56179728238301</v>
      </c>
      <c r="L1617" s="27" t="n">
        <f aca="false">AVERAGE(F1617,G1617)</f>
        <v>-4.56179728238301</v>
      </c>
      <c r="M1617" s="27" t="n">
        <f aca="false">MAX(0,NG-L1617)</f>
        <v>3.86179728238301</v>
      </c>
      <c r="N1617" s="27" t="n">
        <f aca="false">MAX(0,GWL-K1617)</f>
        <v>3.06179728238301</v>
      </c>
      <c r="O1617" s="27" t="n">
        <f aca="false">MAX(0,NG-MAX(K1617,GWL))</f>
        <v>0.8</v>
      </c>
      <c r="P1617" s="27" t="n">
        <f aca="false">E1617/2+WS+SLOPE_A*O1617+SLOPE_B*N1617</f>
        <v>9.56539184714902</v>
      </c>
      <c r="Q1617" s="28" t="str">
        <f aca="false">IF(AND(P1617&lt;J1617,N1617&lt;=MAXOC),"Open cut","Shoring")</f>
        <v>Shoring</v>
      </c>
      <c r="R1617" s="27" t="n">
        <f aca="false">IF(Q1617="Shoring",D1617,0)</f>
        <v>10.000000000037</v>
      </c>
      <c r="S1617" s="27" t="n">
        <f aca="false">MAX(0,GWL-L1617)</f>
        <v>3.06179728238301</v>
      </c>
      <c r="T1617" s="27" t="n">
        <f aca="false">MAX(0,NG-MAX(L1617,GWL))</f>
        <v>0.8</v>
      </c>
      <c r="U1617" s="27" t="n">
        <f aca="false">E1617+2*WS</f>
        <v>4.48359456476602</v>
      </c>
      <c r="V1617" s="27" t="n">
        <f aca="false">IF(Q1617="Shoring",D1617*M1617*U1617,0)</f>
        <v>173.147333055846</v>
      </c>
      <c r="W1617" s="27" t="n">
        <f aca="false">IF(Q1617="Open cut",D1617*(U1617*M1617+SLOPE_B*S1617^2+2*SLOPE_B*S1617*T1617+SLOPE_A*T1617^2),0)</f>
        <v>0</v>
      </c>
      <c r="X1617" s="27" t="n">
        <f aca="false">IF(M1617&gt;0,D1617*(E1617+2*SLABOVH)*SLAB,0)</f>
        <v>17.4179728238945</v>
      </c>
      <c r="Y1617" s="27" t="n">
        <f aca="false">IF(M1617&gt;0,D1617*PI()*E1617^2/4,0)</f>
        <v>48.4452590847004</v>
      </c>
      <c r="Z1617" s="27" t="n">
        <f aca="false">IF(H1617-E1617&gt;=GWL,99,E1617*(MAX(0,GWL-H1617)*(GAM_S-GAM_W)+MAX(0,NG-MAX(H1617,GWL))*GAM_D)/(GAM_W*PI()*E1617^2/4))</f>
        <v>0.785999218875048</v>
      </c>
      <c r="AA1617" s="27" t="n">
        <f aca="false">IF(I1617-E1617&gt;=GWL,99,E1617*(MAX(0,GWL-I1617)*(GAM_S-GAM_W)+MAX(0,NG-MAX(I1617,GWL))*GAM_D)/(GAM_W*PI()*E1617^2/4))</f>
        <v>0.785999218875048</v>
      </c>
      <c r="AB1617" s="27" t="n">
        <f aca="false">IF(H1617-E1617&gt;=GWL,99,E1617*(MAX(0,GWL-H1617)*(GAM_S-GAM_W)+MAX(0,FL-MAX(H1617,GWL))*GAM_D)/(GAM_W*PI()*E1617^2/4))</f>
        <v>2.38512209834093</v>
      </c>
      <c r="AC1617" s="27" t="n">
        <f aca="false">IF(I1617-E1617&gt;=GWL,99,E1617*(MAX(0,GWL-I1617)*(GAM_S-GAM_W)+MAX(0,FL-MAX(I1617,GWL))*GAM_D)/(GAM_W*PI()*E1617^2/4))</f>
        <v>2.38512209834093</v>
      </c>
    </row>
    <row r="1618" customFormat="false" ht="15" hidden="false" customHeight="false" outlineLevel="0" collapsed="false">
      <c r="A1618" s="25" t="s">
        <v>2236</v>
      </c>
      <c r="B1618" s="25" t="s">
        <v>2237</v>
      </c>
      <c r="C1618" s="25" t="s">
        <v>2294</v>
      </c>
      <c r="D1618" s="26" t="n">
        <v>10.000000000037</v>
      </c>
      <c r="E1618" s="26" t="n">
        <v>2.48359456476602</v>
      </c>
      <c r="F1618" s="26" t="n">
        <v>-4.56179728238301</v>
      </c>
      <c r="G1618" s="26" t="n">
        <v>-4.56179728238301</v>
      </c>
      <c r="H1618" s="26" t="n">
        <v>-1.57820271761699</v>
      </c>
      <c r="I1618" s="26" t="n">
        <v>-1.57820271761699</v>
      </c>
      <c r="J1618" s="26" t="n">
        <v>8.69</v>
      </c>
      <c r="K1618" s="27" t="n">
        <f aca="false">MIN(F1618,G1618)</f>
        <v>-4.56179728238301</v>
      </c>
      <c r="L1618" s="27" t="n">
        <f aca="false">AVERAGE(F1618,G1618)</f>
        <v>-4.56179728238301</v>
      </c>
      <c r="M1618" s="27" t="n">
        <f aca="false">MAX(0,NG-L1618)</f>
        <v>3.86179728238301</v>
      </c>
      <c r="N1618" s="27" t="n">
        <f aca="false">MAX(0,GWL-K1618)</f>
        <v>3.06179728238301</v>
      </c>
      <c r="O1618" s="27" t="n">
        <f aca="false">MAX(0,NG-MAX(K1618,GWL))</f>
        <v>0.8</v>
      </c>
      <c r="P1618" s="27" t="n">
        <f aca="false">E1618/2+WS+SLOPE_A*O1618+SLOPE_B*N1618</f>
        <v>9.56539184714902</v>
      </c>
      <c r="Q1618" s="28" t="str">
        <f aca="false">IF(AND(P1618&lt;J1618,N1618&lt;=MAXOC),"Open cut","Shoring")</f>
        <v>Shoring</v>
      </c>
      <c r="R1618" s="27" t="n">
        <f aca="false">IF(Q1618="Shoring",D1618,0)</f>
        <v>10.000000000037</v>
      </c>
      <c r="S1618" s="27" t="n">
        <f aca="false">MAX(0,GWL-L1618)</f>
        <v>3.06179728238301</v>
      </c>
      <c r="T1618" s="27" t="n">
        <f aca="false">MAX(0,NG-MAX(L1618,GWL))</f>
        <v>0.8</v>
      </c>
      <c r="U1618" s="27" t="n">
        <f aca="false">E1618+2*WS</f>
        <v>4.48359456476602</v>
      </c>
      <c r="V1618" s="27" t="n">
        <f aca="false">IF(Q1618="Shoring",D1618*M1618*U1618,0)</f>
        <v>173.147333055846</v>
      </c>
      <c r="W1618" s="27" t="n">
        <f aca="false">IF(Q1618="Open cut",D1618*(U1618*M1618+SLOPE_B*S1618^2+2*SLOPE_B*S1618*T1618+SLOPE_A*T1618^2),0)</f>
        <v>0</v>
      </c>
      <c r="X1618" s="27" t="n">
        <f aca="false">IF(M1618&gt;0,D1618*(E1618+2*SLABOVH)*SLAB,0)</f>
        <v>17.4179728238945</v>
      </c>
      <c r="Y1618" s="27" t="n">
        <f aca="false">IF(M1618&gt;0,D1618*PI()*E1618^2/4,0)</f>
        <v>48.4452590847004</v>
      </c>
      <c r="Z1618" s="27" t="n">
        <f aca="false">IF(H1618-E1618&gt;=GWL,99,E1618*(MAX(0,GWL-H1618)*(GAM_S-GAM_W)+MAX(0,NG-MAX(H1618,GWL))*GAM_D)/(GAM_W*PI()*E1618^2/4))</f>
        <v>0.785999218875048</v>
      </c>
      <c r="AA1618" s="27" t="n">
        <f aca="false">IF(I1618-E1618&gt;=GWL,99,E1618*(MAX(0,GWL-I1618)*(GAM_S-GAM_W)+MAX(0,NG-MAX(I1618,GWL))*GAM_D)/(GAM_W*PI()*E1618^2/4))</f>
        <v>0.785999218875048</v>
      </c>
      <c r="AB1618" s="27" t="n">
        <f aca="false">IF(H1618-E1618&gt;=GWL,99,E1618*(MAX(0,GWL-H1618)*(GAM_S-GAM_W)+MAX(0,FL-MAX(H1618,GWL))*GAM_D)/(GAM_W*PI()*E1618^2/4))</f>
        <v>2.38512209834093</v>
      </c>
      <c r="AC1618" s="27" t="n">
        <f aca="false">IF(I1618-E1618&gt;=GWL,99,E1618*(MAX(0,GWL-I1618)*(GAM_S-GAM_W)+MAX(0,FL-MAX(I1618,GWL))*GAM_D)/(GAM_W*PI()*E1618^2/4))</f>
        <v>2.38512209834093</v>
      </c>
    </row>
    <row r="1619" customFormat="false" ht="15" hidden="false" customHeight="false" outlineLevel="0" collapsed="false">
      <c r="A1619" s="25" t="s">
        <v>2236</v>
      </c>
      <c r="B1619" s="25" t="s">
        <v>2237</v>
      </c>
      <c r="C1619" s="25" t="s">
        <v>2295</v>
      </c>
      <c r="D1619" s="26" t="n">
        <v>10.000000000037</v>
      </c>
      <c r="E1619" s="26" t="n">
        <v>2.48359456476602</v>
      </c>
      <c r="F1619" s="26" t="n">
        <v>-4.56179728238301</v>
      </c>
      <c r="G1619" s="26" t="n">
        <v>-4.56179728238301</v>
      </c>
      <c r="H1619" s="26" t="n">
        <v>-1.57820271761699</v>
      </c>
      <c r="I1619" s="26" t="n">
        <v>-1.57820271761699</v>
      </c>
      <c r="J1619" s="26" t="n">
        <v>18.44</v>
      </c>
      <c r="K1619" s="27" t="n">
        <f aca="false">MIN(F1619,G1619)</f>
        <v>-4.56179728238301</v>
      </c>
      <c r="L1619" s="27" t="n">
        <f aca="false">AVERAGE(F1619,G1619)</f>
        <v>-4.56179728238301</v>
      </c>
      <c r="M1619" s="27" t="n">
        <f aca="false">MAX(0,NG-L1619)</f>
        <v>3.86179728238301</v>
      </c>
      <c r="N1619" s="27" t="n">
        <f aca="false">MAX(0,GWL-K1619)</f>
        <v>3.06179728238301</v>
      </c>
      <c r="O1619" s="27" t="n">
        <f aca="false">MAX(0,NG-MAX(K1619,GWL))</f>
        <v>0.8</v>
      </c>
      <c r="P1619" s="27" t="n">
        <f aca="false">E1619/2+WS+SLOPE_A*O1619+SLOPE_B*N1619</f>
        <v>9.56539184714902</v>
      </c>
      <c r="Q1619" s="28" t="str">
        <f aca="false">IF(AND(P1619&lt;J1619,N1619&lt;=MAXOC),"Open cut","Shoring")</f>
        <v>Shoring</v>
      </c>
      <c r="R1619" s="27" t="n">
        <f aca="false">IF(Q1619="Shoring",D1619,0)</f>
        <v>10.000000000037</v>
      </c>
      <c r="S1619" s="27" t="n">
        <f aca="false">MAX(0,GWL-L1619)</f>
        <v>3.06179728238301</v>
      </c>
      <c r="T1619" s="27" t="n">
        <f aca="false">MAX(0,NG-MAX(L1619,GWL))</f>
        <v>0.8</v>
      </c>
      <c r="U1619" s="27" t="n">
        <f aca="false">E1619+2*WS</f>
        <v>4.48359456476602</v>
      </c>
      <c r="V1619" s="27" t="n">
        <f aca="false">IF(Q1619="Shoring",D1619*M1619*U1619,0)</f>
        <v>173.147333055846</v>
      </c>
      <c r="W1619" s="27" t="n">
        <f aca="false">IF(Q1619="Open cut",D1619*(U1619*M1619+SLOPE_B*S1619^2+2*SLOPE_B*S1619*T1619+SLOPE_A*T1619^2),0)</f>
        <v>0</v>
      </c>
      <c r="X1619" s="27" t="n">
        <f aca="false">IF(M1619&gt;0,D1619*(E1619+2*SLABOVH)*SLAB,0)</f>
        <v>17.4179728238945</v>
      </c>
      <c r="Y1619" s="27" t="n">
        <f aca="false">IF(M1619&gt;0,D1619*PI()*E1619^2/4,0)</f>
        <v>48.4452590847004</v>
      </c>
      <c r="Z1619" s="27" t="n">
        <f aca="false">IF(H1619-E1619&gt;=GWL,99,E1619*(MAX(0,GWL-H1619)*(GAM_S-GAM_W)+MAX(0,NG-MAX(H1619,GWL))*GAM_D)/(GAM_W*PI()*E1619^2/4))</f>
        <v>0.785999218875048</v>
      </c>
      <c r="AA1619" s="27" t="n">
        <f aca="false">IF(I1619-E1619&gt;=GWL,99,E1619*(MAX(0,GWL-I1619)*(GAM_S-GAM_W)+MAX(0,NG-MAX(I1619,GWL))*GAM_D)/(GAM_W*PI()*E1619^2/4))</f>
        <v>0.785999218875048</v>
      </c>
      <c r="AB1619" s="27" t="n">
        <f aca="false">IF(H1619-E1619&gt;=GWL,99,E1619*(MAX(0,GWL-H1619)*(GAM_S-GAM_W)+MAX(0,FL-MAX(H1619,GWL))*GAM_D)/(GAM_W*PI()*E1619^2/4))</f>
        <v>2.38512209834093</v>
      </c>
      <c r="AC1619" s="27" t="n">
        <f aca="false">IF(I1619-E1619&gt;=GWL,99,E1619*(MAX(0,GWL-I1619)*(GAM_S-GAM_W)+MAX(0,FL-MAX(I1619,GWL))*GAM_D)/(GAM_W*PI()*E1619^2/4))</f>
        <v>2.38512209834093</v>
      </c>
    </row>
    <row r="1620" customFormat="false" ht="15" hidden="false" customHeight="false" outlineLevel="0" collapsed="false">
      <c r="A1620" s="25" t="s">
        <v>2236</v>
      </c>
      <c r="B1620" s="25" t="s">
        <v>2237</v>
      </c>
      <c r="C1620" s="25" t="s">
        <v>2296</v>
      </c>
      <c r="D1620" s="26" t="n">
        <v>5.71457668900144</v>
      </c>
      <c r="E1620" s="26" t="n">
        <v>2.48359456476602</v>
      </c>
      <c r="F1620" s="26" t="n">
        <v>-4.56179728238301</v>
      </c>
      <c r="G1620" s="26" t="n">
        <v>-4.56179728238301</v>
      </c>
      <c r="H1620" s="26" t="n">
        <v>-1.57820271761699</v>
      </c>
      <c r="I1620" s="26" t="n">
        <v>-1.57820271761699</v>
      </c>
      <c r="J1620" s="26" t="n">
        <v>28.32</v>
      </c>
      <c r="K1620" s="27" t="n">
        <f aca="false">MIN(F1620,G1620)</f>
        <v>-4.56179728238301</v>
      </c>
      <c r="L1620" s="27" t="n">
        <f aca="false">AVERAGE(F1620,G1620)</f>
        <v>-4.56179728238301</v>
      </c>
      <c r="M1620" s="27" t="n">
        <f aca="false">MAX(0,NG-L1620)</f>
        <v>3.86179728238301</v>
      </c>
      <c r="N1620" s="27" t="n">
        <f aca="false">MAX(0,GWL-K1620)</f>
        <v>3.06179728238301</v>
      </c>
      <c r="O1620" s="27" t="n">
        <f aca="false">MAX(0,NG-MAX(K1620,GWL))</f>
        <v>0.8</v>
      </c>
      <c r="P1620" s="27" t="n">
        <f aca="false">E1620/2+WS+SLOPE_A*O1620+SLOPE_B*N1620</f>
        <v>9.56539184714902</v>
      </c>
      <c r="Q1620" s="28" t="str">
        <f aca="false">IF(AND(P1620&lt;J1620,N1620&lt;=MAXOC),"Open cut","Shoring")</f>
        <v>Shoring</v>
      </c>
      <c r="R1620" s="27" t="n">
        <f aca="false">IF(Q1620="Shoring",D1620,0)</f>
        <v>5.71457668900144</v>
      </c>
      <c r="S1620" s="27" t="n">
        <f aca="false">MAX(0,GWL-L1620)</f>
        <v>3.06179728238301</v>
      </c>
      <c r="T1620" s="27" t="n">
        <f aca="false">MAX(0,NG-MAX(L1620,GWL))</f>
        <v>0.8</v>
      </c>
      <c r="U1620" s="27" t="n">
        <f aca="false">E1620+2*WS</f>
        <v>4.48359456476602</v>
      </c>
      <c r="V1620" s="27" t="n">
        <f aca="false">IF(Q1620="Shoring",D1620*M1620*U1620,0)</f>
        <v>98.946371324005</v>
      </c>
      <c r="W1620" s="27" t="n">
        <f aca="false">IF(Q1620="Open cut",D1620*(U1620*M1620+SLOPE_B*S1620^2+2*SLOPE_B*S1620*T1620+SLOPE_A*T1620^2),0)</f>
        <v>0</v>
      </c>
      <c r="X1620" s="27" t="n">
        <f aca="false">IF(M1620&gt;0,D1620*(E1620+2*SLABOVH)*SLAB,0)</f>
        <v>9.95363414687199</v>
      </c>
      <c r="Y1620" s="27" t="n">
        <f aca="false">IF(M1620&gt;0,D1620*PI()*E1620^2/4,0)</f>
        <v>27.6844148257041</v>
      </c>
      <c r="Z1620" s="27" t="n">
        <f aca="false">IF(H1620-E1620&gt;=GWL,99,E1620*(MAX(0,GWL-H1620)*(GAM_S-GAM_W)+MAX(0,NG-MAX(H1620,GWL))*GAM_D)/(GAM_W*PI()*E1620^2/4))</f>
        <v>0.785999218875048</v>
      </c>
      <c r="AA1620" s="27" t="n">
        <f aca="false">IF(I1620-E1620&gt;=GWL,99,E1620*(MAX(0,GWL-I1620)*(GAM_S-GAM_W)+MAX(0,NG-MAX(I1620,GWL))*GAM_D)/(GAM_W*PI()*E1620^2/4))</f>
        <v>0.785999218875048</v>
      </c>
      <c r="AB1620" s="27" t="n">
        <f aca="false">IF(H1620-E1620&gt;=GWL,99,E1620*(MAX(0,GWL-H1620)*(GAM_S-GAM_W)+MAX(0,FL-MAX(H1620,GWL))*GAM_D)/(GAM_W*PI()*E1620^2/4))</f>
        <v>2.38512209834093</v>
      </c>
      <c r="AC1620" s="27" t="n">
        <f aca="false">IF(I1620-E1620&gt;=GWL,99,E1620*(MAX(0,GWL-I1620)*(GAM_S-GAM_W)+MAX(0,FL-MAX(I1620,GWL))*GAM_D)/(GAM_W*PI()*E1620^2/4))</f>
        <v>2.38512209834093</v>
      </c>
    </row>
    <row r="1621" customFormat="false" ht="15" hidden="false" customHeight="false" outlineLevel="0" collapsed="false">
      <c r="A1621" s="25" t="s">
        <v>2297</v>
      </c>
      <c r="B1621" s="25" t="s">
        <v>2298</v>
      </c>
      <c r="C1621" s="25" t="s">
        <v>2299</v>
      </c>
      <c r="D1621" s="26" t="n">
        <v>0.500000988816232</v>
      </c>
      <c r="E1621" s="26" t="n">
        <v>0.500000988403368</v>
      </c>
      <c r="F1621" s="26" t="n">
        <v>-0.638980494201684</v>
      </c>
      <c r="G1621" s="26" t="n">
        <v>-0.639170494201684</v>
      </c>
      <c r="H1621" s="26" t="n">
        <v>0.361020494201684</v>
      </c>
      <c r="I1621" s="26" t="n">
        <v>0.360830494201684</v>
      </c>
      <c r="J1621" s="26" t="n">
        <v>11.22</v>
      </c>
      <c r="K1621" s="27" t="n">
        <f aca="false">MIN(F1621,G1621)</f>
        <v>-0.639170494201684</v>
      </c>
      <c r="L1621" s="27" t="n">
        <f aca="false">AVERAGE(F1621,G1621)</f>
        <v>-0.639075494201684</v>
      </c>
      <c r="M1621" s="27" t="n">
        <f aca="false">MAX(0,NG-L1621)</f>
        <v>0</v>
      </c>
      <c r="N1621" s="27" t="n">
        <f aca="false">MAX(0,GWL-K1621)</f>
        <v>0</v>
      </c>
      <c r="O1621" s="27" t="n">
        <f aca="false">MAX(0,NG-MAX(K1621,GWL))</f>
        <v>0</v>
      </c>
      <c r="P1621" s="27" t="n">
        <f aca="false">E1621/2+WS+SLOPE_A*O1621+SLOPE_B*N1621</f>
        <v>1.25000049420168</v>
      </c>
      <c r="Q1621" s="28" t="str">
        <f aca="false">IF(AND(P1621&lt;J1621,N1621&lt;=MAXOC),"Open cut","Shoring")</f>
        <v>Open cut</v>
      </c>
      <c r="R1621" s="27" t="n">
        <f aca="false">IF(Q1621="Shoring",D1621,0)</f>
        <v>0</v>
      </c>
      <c r="S1621" s="27" t="n">
        <f aca="false">MAX(0,GWL-L1621)</f>
        <v>0</v>
      </c>
      <c r="T1621" s="27" t="n">
        <f aca="false">MAX(0,NG-MAX(L1621,GWL))</f>
        <v>0</v>
      </c>
      <c r="U1621" s="27" t="n">
        <f aca="false">E1621+2*WS</f>
        <v>2.50000098840337</v>
      </c>
      <c r="V1621" s="27" t="n">
        <f aca="false">IF(Q1621="Shoring",D1621*M1621*U1621,0)</f>
        <v>0</v>
      </c>
      <c r="W1621" s="27" t="n">
        <f aca="false">IF(Q1621="Open cut",D1621*(U1621*M1621+SLOPE_B*S1621^2+2*SLOPE_B*S1621*T1621+SLOPE_A*T1621^2),0)</f>
        <v>0</v>
      </c>
      <c r="X1621" s="27" t="n">
        <f aca="false">IF(M1621&gt;0,D1621*(E1621+2*SLABOVH)*SLAB,0)</f>
        <v>0</v>
      </c>
      <c r="Y1621" s="27" t="n">
        <f aca="false">IF(M1621&gt;0,D1621*PI()*E1621^2/4,0)</f>
        <v>0</v>
      </c>
      <c r="Z1621" s="27" t="n">
        <f aca="false">IF(H1621-E1621&gt;=GWL,99,E1621*(MAX(0,GWL-H1621)*(GAM_S-GAM_W)+MAX(0,NG-MAX(H1621,GWL))*GAM_D)/(GAM_W*PI()*E1621^2/4))</f>
        <v>99</v>
      </c>
      <c r="AA1621" s="27" t="n">
        <f aca="false">IF(I1621-E1621&gt;=GWL,99,E1621*(MAX(0,GWL-I1621)*(GAM_S-GAM_W)+MAX(0,NG-MAX(I1621,GWL))*GAM_D)/(GAM_W*PI()*E1621^2/4))</f>
        <v>99</v>
      </c>
      <c r="AB1621" s="27" t="n">
        <f aca="false">IF(H1621-E1621&gt;=GWL,99,E1621*(MAX(0,GWL-H1621)*(GAM_S-GAM_W)+MAX(0,FL-MAX(H1621,GWL))*GAM_D)/(GAM_W*PI()*E1621^2/4))</f>
        <v>99</v>
      </c>
      <c r="AC1621" s="27" t="n">
        <f aca="false">IF(I1621-E1621&gt;=GWL,99,E1621*(MAX(0,GWL-I1621)*(GAM_S-GAM_W)+MAX(0,FL-MAX(I1621,GWL))*GAM_D)/(GAM_W*PI()*E1621^2/4))</f>
        <v>99</v>
      </c>
    </row>
    <row r="1622" customFormat="false" ht="15" hidden="false" customHeight="false" outlineLevel="0" collapsed="false">
      <c r="A1622" s="25" t="s">
        <v>2297</v>
      </c>
      <c r="B1622" s="25" t="s">
        <v>2298</v>
      </c>
      <c r="C1622" s="25" t="s">
        <v>2300</v>
      </c>
      <c r="D1622" s="26" t="n">
        <v>0.600000008795536</v>
      </c>
      <c r="E1622" s="26" t="n">
        <v>0.500000988403368</v>
      </c>
      <c r="F1622" s="26" t="n">
        <v>-0.639170494201684</v>
      </c>
      <c r="G1622" s="26" t="n">
        <v>-0.639410494201684</v>
      </c>
      <c r="H1622" s="26" t="n">
        <v>0.360830494201684</v>
      </c>
      <c r="I1622" s="26" t="n">
        <v>0.360590494201684</v>
      </c>
      <c r="J1622" s="26" t="n">
        <v>11.21</v>
      </c>
      <c r="K1622" s="27" t="n">
        <f aca="false">MIN(F1622,G1622)</f>
        <v>-0.639410494201684</v>
      </c>
      <c r="L1622" s="27" t="n">
        <f aca="false">AVERAGE(F1622,G1622)</f>
        <v>-0.639290494201684</v>
      </c>
      <c r="M1622" s="27" t="n">
        <f aca="false">MAX(0,NG-L1622)</f>
        <v>0</v>
      </c>
      <c r="N1622" s="27" t="n">
        <f aca="false">MAX(0,GWL-K1622)</f>
        <v>0</v>
      </c>
      <c r="O1622" s="27" t="n">
        <f aca="false">MAX(0,NG-MAX(K1622,GWL))</f>
        <v>0</v>
      </c>
      <c r="P1622" s="27" t="n">
        <f aca="false">E1622/2+WS+SLOPE_A*O1622+SLOPE_B*N1622</f>
        <v>1.25000049420168</v>
      </c>
      <c r="Q1622" s="28" t="str">
        <f aca="false">IF(AND(P1622&lt;J1622,N1622&lt;=MAXOC),"Open cut","Shoring")</f>
        <v>Open cut</v>
      </c>
      <c r="R1622" s="27" t="n">
        <f aca="false">IF(Q1622="Shoring",D1622,0)</f>
        <v>0</v>
      </c>
      <c r="S1622" s="27" t="n">
        <f aca="false">MAX(0,GWL-L1622)</f>
        <v>0</v>
      </c>
      <c r="T1622" s="27" t="n">
        <f aca="false">MAX(0,NG-MAX(L1622,GWL))</f>
        <v>0</v>
      </c>
      <c r="U1622" s="27" t="n">
        <f aca="false">E1622+2*WS</f>
        <v>2.50000098840337</v>
      </c>
      <c r="V1622" s="27" t="n">
        <f aca="false">IF(Q1622="Shoring",D1622*M1622*U1622,0)</f>
        <v>0</v>
      </c>
      <c r="W1622" s="27" t="n">
        <f aca="false">IF(Q1622="Open cut",D1622*(U1622*M1622+SLOPE_B*S1622^2+2*SLOPE_B*S1622*T1622+SLOPE_A*T1622^2),0)</f>
        <v>0</v>
      </c>
      <c r="X1622" s="27" t="n">
        <f aca="false">IF(M1622&gt;0,D1622*(E1622+2*SLABOVH)*SLAB,0)</f>
        <v>0</v>
      </c>
      <c r="Y1622" s="27" t="n">
        <f aca="false">IF(M1622&gt;0,D1622*PI()*E1622^2/4,0)</f>
        <v>0</v>
      </c>
      <c r="Z1622" s="27" t="n">
        <f aca="false">IF(H1622-E1622&gt;=GWL,99,E1622*(MAX(0,GWL-H1622)*(GAM_S-GAM_W)+MAX(0,NG-MAX(H1622,GWL))*GAM_D)/(GAM_W*PI()*E1622^2/4))</f>
        <v>99</v>
      </c>
      <c r="AA1622" s="27" t="n">
        <f aca="false">IF(I1622-E1622&gt;=GWL,99,E1622*(MAX(0,GWL-I1622)*(GAM_S-GAM_W)+MAX(0,NG-MAX(I1622,GWL))*GAM_D)/(GAM_W*PI()*E1622^2/4))</f>
        <v>99</v>
      </c>
      <c r="AB1622" s="27" t="n">
        <f aca="false">IF(H1622-E1622&gt;=GWL,99,E1622*(MAX(0,GWL-H1622)*(GAM_S-GAM_W)+MAX(0,FL-MAX(H1622,GWL))*GAM_D)/(GAM_W*PI()*E1622^2/4))</f>
        <v>99</v>
      </c>
      <c r="AC1622" s="27" t="n">
        <f aca="false">IF(I1622-E1622&gt;=GWL,99,E1622*(MAX(0,GWL-I1622)*(GAM_S-GAM_W)+MAX(0,FL-MAX(I1622,GWL))*GAM_D)/(GAM_W*PI()*E1622^2/4))</f>
        <v>99</v>
      </c>
    </row>
    <row r="1623" customFormat="false" ht="15" hidden="false" customHeight="false" outlineLevel="0" collapsed="false">
      <c r="A1623" s="25" t="s">
        <v>2297</v>
      </c>
      <c r="B1623" s="25" t="s">
        <v>2301</v>
      </c>
      <c r="C1623" s="25" t="s">
        <v>2302</v>
      </c>
      <c r="D1623" s="26" t="n">
        <v>4.4306100002034</v>
      </c>
      <c r="E1623" s="26" t="n">
        <v>0.500002969591336</v>
      </c>
      <c r="F1623" s="26" t="n">
        <v>-5.60000148479567</v>
      </c>
      <c r="G1623" s="26" t="n">
        <v>-5.60000148479567</v>
      </c>
      <c r="H1623" s="26" t="n">
        <v>-4.59999851520433</v>
      </c>
      <c r="I1623" s="26" t="n">
        <v>-4.59999851520433</v>
      </c>
      <c r="J1623" s="26" t="n">
        <v>34.93</v>
      </c>
      <c r="K1623" s="27" t="n">
        <f aca="false">MIN(F1623,G1623)</f>
        <v>-5.60000148479567</v>
      </c>
      <c r="L1623" s="27" t="n">
        <f aca="false">AVERAGE(F1623,G1623)</f>
        <v>-5.60000148479567</v>
      </c>
      <c r="M1623" s="27" t="n">
        <f aca="false">MAX(0,NG-L1623)</f>
        <v>4.90000148479567</v>
      </c>
      <c r="N1623" s="27" t="n">
        <f aca="false">MAX(0,GWL-K1623)</f>
        <v>4.10000148479567</v>
      </c>
      <c r="O1623" s="27" t="n">
        <f aca="false">MAX(0,NG-MAX(K1623,GWL))</f>
        <v>0.8</v>
      </c>
      <c r="P1623" s="27" t="n">
        <f aca="false">E1623/2+WS+SLOPE_A*O1623+SLOPE_B*N1623</f>
        <v>10.650004454387</v>
      </c>
      <c r="Q1623" s="28" t="str">
        <f aca="false">IF(AND(P1623&lt;J1623,N1623&lt;=MAXOC),"Open cut","Shoring")</f>
        <v>Shoring</v>
      </c>
      <c r="R1623" s="27" t="n">
        <f aca="false">IF(Q1623="Shoring",D1623,0)</f>
        <v>4.4306100002034</v>
      </c>
      <c r="S1623" s="27" t="n">
        <f aca="false">MAX(0,GWL-L1623)</f>
        <v>4.10000148479567</v>
      </c>
      <c r="T1623" s="27" t="n">
        <f aca="false">MAX(0,NG-MAX(L1623,GWL))</f>
        <v>0.8</v>
      </c>
      <c r="U1623" s="27" t="n">
        <f aca="false">E1623+2*WS</f>
        <v>2.50000296959134</v>
      </c>
      <c r="V1623" s="27" t="n">
        <f aca="false">IF(Q1623="Shoring",D1623*M1623*U1623,0)</f>
        <v>54.2750534186828</v>
      </c>
      <c r="W1623" s="27" t="n">
        <f aca="false">IF(Q1623="Open cut",D1623*(U1623*M1623+SLOPE_B*S1623^2+2*SLOPE_B*S1623*T1623+SLOPE_A*T1623^2),0)</f>
        <v>0</v>
      </c>
      <c r="X1623" s="27" t="n">
        <f aca="false">IF(M1623&gt;0,D1623*(E1623+2*SLABOVH)*SLAB,0)</f>
        <v>3.32296407870309</v>
      </c>
      <c r="Y1623" s="27" t="n">
        <f aca="false">IF(M1623&gt;0,D1623*PI()*E1623^2/4,0)</f>
        <v>0.869958572816231</v>
      </c>
      <c r="Z1623" s="27" t="n">
        <f aca="false">IF(H1623-E1623&gt;=GWL,99,E1623*(MAX(0,GWL-H1623)*(GAM_S-GAM_W)+MAX(0,NG-MAX(H1623,GWL))*GAM_D)/(GAM_W*PI()*E1623^2/4))</f>
        <v>10.328361239478</v>
      </c>
      <c r="AA1623" s="27" t="n">
        <f aca="false">IF(I1623-E1623&gt;=GWL,99,E1623*(MAX(0,GWL-I1623)*(GAM_S-GAM_W)+MAX(0,NG-MAX(I1623,GWL))*GAM_D)/(GAM_W*PI()*E1623^2/4))</f>
        <v>10.328361239478</v>
      </c>
      <c r="AB1623" s="27" t="n">
        <f aca="false">IF(H1623-E1623&gt;=GWL,99,E1623*(MAX(0,GWL-H1623)*(GAM_S-GAM_W)+MAX(0,FL-MAX(H1623,GWL))*GAM_D)/(GAM_W*PI()*E1623^2/4))</f>
        <v>18.2714598476333</v>
      </c>
      <c r="AC1623" s="27" t="n">
        <f aca="false">IF(I1623-E1623&gt;=GWL,99,E1623*(MAX(0,GWL-I1623)*(GAM_S-GAM_W)+MAX(0,FL-MAX(I1623,GWL))*GAM_D)/(GAM_W*PI()*E1623^2/4))</f>
        <v>18.2714598476333</v>
      </c>
    </row>
    <row r="1624" customFormat="false" ht="15" hidden="false" customHeight="false" outlineLevel="0" collapsed="false">
      <c r="A1624" s="25" t="s">
        <v>2297</v>
      </c>
      <c r="B1624" s="25" t="s">
        <v>2301</v>
      </c>
      <c r="C1624" s="25" t="s">
        <v>2303</v>
      </c>
      <c r="D1624" s="26" t="n">
        <v>0.664961208660318</v>
      </c>
      <c r="E1624" s="26" t="n">
        <v>0.500002969591336</v>
      </c>
      <c r="F1624" s="26" t="n">
        <v>-5.60000148479567</v>
      </c>
      <c r="G1624" s="26" t="n">
        <v>-5.60000148479567</v>
      </c>
      <c r="H1624" s="26" t="n">
        <v>-4.59999851520433</v>
      </c>
      <c r="I1624" s="26" t="n">
        <v>-4.59999851520433</v>
      </c>
      <c r="J1624" s="26" t="n">
        <v>34.95</v>
      </c>
      <c r="K1624" s="27" t="n">
        <f aca="false">MIN(F1624,G1624)</f>
        <v>-5.60000148479567</v>
      </c>
      <c r="L1624" s="27" t="n">
        <f aca="false">AVERAGE(F1624,G1624)</f>
        <v>-5.60000148479567</v>
      </c>
      <c r="M1624" s="27" t="n">
        <f aca="false">MAX(0,NG-L1624)</f>
        <v>4.90000148479567</v>
      </c>
      <c r="N1624" s="27" t="n">
        <f aca="false">MAX(0,GWL-K1624)</f>
        <v>4.10000148479567</v>
      </c>
      <c r="O1624" s="27" t="n">
        <f aca="false">MAX(0,NG-MAX(K1624,GWL))</f>
        <v>0.8</v>
      </c>
      <c r="P1624" s="27" t="n">
        <f aca="false">E1624/2+WS+SLOPE_A*O1624+SLOPE_B*N1624</f>
        <v>10.650004454387</v>
      </c>
      <c r="Q1624" s="28" t="str">
        <f aca="false">IF(AND(P1624&lt;J1624,N1624&lt;=MAXOC),"Open cut","Shoring")</f>
        <v>Shoring</v>
      </c>
      <c r="R1624" s="27" t="n">
        <f aca="false">IF(Q1624="Shoring",D1624,0)</f>
        <v>0.664961208660318</v>
      </c>
      <c r="S1624" s="27" t="n">
        <f aca="false">MAX(0,GWL-L1624)</f>
        <v>4.10000148479567</v>
      </c>
      <c r="T1624" s="27" t="n">
        <f aca="false">MAX(0,NG-MAX(L1624,GWL))</f>
        <v>0.8</v>
      </c>
      <c r="U1624" s="27" t="n">
        <f aca="false">E1624+2*WS</f>
        <v>2.50000296959134</v>
      </c>
      <c r="V1624" s="27" t="n">
        <f aca="false">IF(Q1624="Shoring",D1624*M1624*U1624,0)</f>
        <v>8.14578695026954</v>
      </c>
      <c r="W1624" s="27" t="n">
        <f aca="false">IF(Q1624="Open cut",D1624*(U1624*M1624+SLOPE_B*S1624^2+2*SLOPE_B*S1624*T1624+SLOPE_A*T1624^2),0)</f>
        <v>0</v>
      </c>
      <c r="X1624" s="27" t="n">
        <f aca="false">IF(M1624&gt;0,D1624*(E1624+2*SLABOVH)*SLAB,0)</f>
        <v>0.49872189382676</v>
      </c>
      <c r="Y1624" s="27" t="n">
        <f aca="false">IF(M1624&gt;0,D1624*PI()*E1624^2/4,0)</f>
        <v>0.130566378904424</v>
      </c>
      <c r="Z1624" s="27" t="n">
        <f aca="false">IF(H1624-E1624&gt;=GWL,99,E1624*(MAX(0,GWL-H1624)*(GAM_S-GAM_W)+MAX(0,NG-MAX(H1624,GWL))*GAM_D)/(GAM_W*PI()*E1624^2/4))</f>
        <v>10.328361239478</v>
      </c>
      <c r="AA1624" s="27" t="n">
        <f aca="false">IF(I1624-E1624&gt;=GWL,99,E1624*(MAX(0,GWL-I1624)*(GAM_S-GAM_W)+MAX(0,NG-MAX(I1624,GWL))*GAM_D)/(GAM_W*PI()*E1624^2/4))</f>
        <v>10.328361239478</v>
      </c>
      <c r="AB1624" s="27" t="n">
        <f aca="false">IF(H1624-E1624&gt;=GWL,99,E1624*(MAX(0,GWL-H1624)*(GAM_S-GAM_W)+MAX(0,FL-MAX(H1624,GWL))*GAM_D)/(GAM_W*PI()*E1624^2/4))</f>
        <v>18.2714598476333</v>
      </c>
      <c r="AC1624" s="27" t="n">
        <f aca="false">IF(I1624-E1624&gt;=GWL,99,E1624*(MAX(0,GWL-I1624)*(GAM_S-GAM_W)+MAX(0,FL-MAX(I1624,GWL))*GAM_D)/(GAM_W*PI()*E1624^2/4))</f>
        <v>18.2714598476333</v>
      </c>
    </row>
    <row r="1625" customFormat="false" ht="15" hidden="false" customHeight="false" outlineLevel="0" collapsed="false">
      <c r="A1625" s="25" t="s">
        <v>2297</v>
      </c>
      <c r="B1625" s="25" t="s">
        <v>2301</v>
      </c>
      <c r="C1625" s="25" t="s">
        <v>2304</v>
      </c>
      <c r="D1625" s="26" t="n">
        <v>0.665020219928503</v>
      </c>
      <c r="E1625" s="26" t="n">
        <v>0.500000873453625</v>
      </c>
      <c r="F1625" s="26" t="n">
        <v>-5.60000043672681</v>
      </c>
      <c r="G1625" s="26" t="n">
        <v>-5.60000043672681</v>
      </c>
      <c r="H1625" s="26" t="n">
        <v>-4.59999956327319</v>
      </c>
      <c r="I1625" s="26" t="n">
        <v>-4.59999956327319</v>
      </c>
      <c r="J1625" s="26" t="n">
        <v>34.98</v>
      </c>
      <c r="K1625" s="27" t="n">
        <f aca="false">MIN(F1625,G1625)</f>
        <v>-5.60000043672681</v>
      </c>
      <c r="L1625" s="27" t="n">
        <f aca="false">AVERAGE(F1625,G1625)</f>
        <v>-5.60000043672681</v>
      </c>
      <c r="M1625" s="27" t="n">
        <f aca="false">MAX(0,NG-L1625)</f>
        <v>4.90000043672681</v>
      </c>
      <c r="N1625" s="27" t="n">
        <f aca="false">MAX(0,GWL-K1625)</f>
        <v>4.10000043672681</v>
      </c>
      <c r="O1625" s="27" t="n">
        <f aca="false">MAX(0,NG-MAX(K1625,GWL))</f>
        <v>0.8</v>
      </c>
      <c r="P1625" s="27" t="n">
        <f aca="false">E1625/2+WS+SLOPE_A*O1625+SLOPE_B*N1625</f>
        <v>10.6500013101804</v>
      </c>
      <c r="Q1625" s="28" t="str">
        <f aca="false">IF(AND(P1625&lt;J1625,N1625&lt;=MAXOC),"Open cut","Shoring")</f>
        <v>Shoring</v>
      </c>
      <c r="R1625" s="27" t="n">
        <f aca="false">IF(Q1625="Shoring",D1625,0)</f>
        <v>0.665020219928503</v>
      </c>
      <c r="S1625" s="27" t="n">
        <f aca="false">MAX(0,GWL-L1625)</f>
        <v>4.10000043672681</v>
      </c>
      <c r="T1625" s="27" t="n">
        <f aca="false">MAX(0,NG-MAX(L1625,GWL))</f>
        <v>0.8</v>
      </c>
      <c r="U1625" s="27" t="n">
        <f aca="false">E1625+2*WS</f>
        <v>2.50000087345363</v>
      </c>
      <c r="V1625" s="27" t="n">
        <f aca="false">IF(Q1625="Shoring",D1625*M1625*U1625,0)</f>
        <v>8.14650126643999</v>
      </c>
      <c r="W1625" s="27" t="n">
        <f aca="false">IF(Q1625="Open cut",D1625*(U1625*M1625+SLOPE_B*S1625^2+2*SLOPE_B*S1625*T1625+SLOPE_A*T1625^2),0)</f>
        <v>0</v>
      </c>
      <c r="X1625" s="27" t="n">
        <f aca="false">IF(M1625&gt;0,D1625*(E1625+2*SLABOVH)*SLAB,0)</f>
        <v>0.498765455378538</v>
      </c>
      <c r="Y1625" s="27" t="n">
        <f aca="false">IF(M1625&gt;0,D1625*PI()*E1625^2/4,0)</f>
        <v>0.130576871048674</v>
      </c>
      <c r="Z1625" s="27" t="n">
        <f aca="false">IF(H1625-E1625&gt;=GWL,99,E1625*(MAX(0,GWL-H1625)*(GAM_S-GAM_W)+MAX(0,NG-MAX(H1625,GWL))*GAM_D)/(GAM_W*PI()*E1625^2/4))</f>
        <v>10.3284067668855</v>
      </c>
      <c r="AA1625" s="27" t="n">
        <f aca="false">IF(I1625-E1625&gt;=GWL,99,E1625*(MAX(0,GWL-I1625)*(GAM_S-GAM_W)+MAX(0,NG-MAX(I1625,GWL))*GAM_D)/(GAM_W*PI()*E1625^2/4))</f>
        <v>10.3284067668855</v>
      </c>
      <c r="AB1625" s="27" t="n">
        <f aca="false">IF(H1625-E1625&gt;=GWL,99,E1625*(MAX(0,GWL-H1625)*(GAM_S-GAM_W)+MAX(0,FL-MAX(H1625,GWL))*GAM_D)/(GAM_W*PI()*E1625^2/4))</f>
        <v>18.2715386746397</v>
      </c>
      <c r="AC1625" s="27" t="n">
        <f aca="false">IF(I1625-E1625&gt;=GWL,99,E1625*(MAX(0,GWL-I1625)*(GAM_S-GAM_W)+MAX(0,FL-MAX(I1625,GWL))*GAM_D)/(GAM_W*PI()*E1625^2/4))</f>
        <v>18.2715386746397</v>
      </c>
    </row>
    <row r="1626" customFormat="false" ht="15" hidden="false" customHeight="false" outlineLevel="0" collapsed="false">
      <c r="A1626" s="25" t="s">
        <v>2297</v>
      </c>
      <c r="B1626" s="25" t="s">
        <v>2301</v>
      </c>
      <c r="C1626" s="25" t="s">
        <v>2305</v>
      </c>
      <c r="D1626" s="26" t="n">
        <v>0.485950000099464</v>
      </c>
      <c r="E1626" s="26" t="n">
        <v>0.500000873453625</v>
      </c>
      <c r="F1626" s="26" t="n">
        <v>-5.60000043672681</v>
      </c>
      <c r="G1626" s="26" t="n">
        <v>-5.60000043672681</v>
      </c>
      <c r="H1626" s="26" t="n">
        <v>-4.59999956327319</v>
      </c>
      <c r="I1626" s="26" t="n">
        <v>-4.59999956327319</v>
      </c>
      <c r="J1626" s="26" t="n">
        <v>35.48</v>
      </c>
      <c r="K1626" s="27" t="n">
        <f aca="false">MIN(F1626,G1626)</f>
        <v>-5.60000043672681</v>
      </c>
      <c r="L1626" s="27" t="n">
        <f aca="false">AVERAGE(F1626,G1626)</f>
        <v>-5.60000043672681</v>
      </c>
      <c r="M1626" s="27" t="n">
        <f aca="false">MAX(0,NG-L1626)</f>
        <v>4.90000043672681</v>
      </c>
      <c r="N1626" s="27" t="n">
        <f aca="false">MAX(0,GWL-K1626)</f>
        <v>4.10000043672681</v>
      </c>
      <c r="O1626" s="27" t="n">
        <f aca="false">MAX(0,NG-MAX(K1626,GWL))</f>
        <v>0.8</v>
      </c>
      <c r="P1626" s="27" t="n">
        <f aca="false">E1626/2+WS+SLOPE_A*O1626+SLOPE_B*N1626</f>
        <v>10.6500013101804</v>
      </c>
      <c r="Q1626" s="28" t="str">
        <f aca="false">IF(AND(P1626&lt;J1626,N1626&lt;=MAXOC),"Open cut","Shoring")</f>
        <v>Shoring</v>
      </c>
      <c r="R1626" s="27" t="n">
        <f aca="false">IF(Q1626="Shoring",D1626,0)</f>
        <v>0.485950000099464</v>
      </c>
      <c r="S1626" s="27" t="n">
        <f aca="false">MAX(0,GWL-L1626)</f>
        <v>4.10000043672681</v>
      </c>
      <c r="T1626" s="27" t="n">
        <f aca="false">MAX(0,NG-MAX(L1626,GWL))</f>
        <v>0.8</v>
      </c>
      <c r="U1626" s="27" t="n">
        <f aca="false">E1626+2*WS</f>
        <v>2.50000087345363</v>
      </c>
      <c r="V1626" s="27" t="n">
        <f aca="false">IF(Q1626="Shoring",D1626*M1626*U1626,0)</f>
        <v>5.95289011161557</v>
      </c>
      <c r="W1626" s="27" t="n">
        <f aca="false">IF(Q1626="Open cut",D1626*(U1626*M1626+SLOPE_B*S1626^2+2*SLOPE_B*S1626*T1626+SLOPE_A*T1626^2),0)</f>
        <v>0</v>
      </c>
      <c r="X1626" s="27" t="n">
        <f aca="false">IF(M1626&gt;0,D1626*(E1626+2*SLABOVH)*SLAB,0)</f>
        <v>0.364462712301992</v>
      </c>
      <c r="Y1626" s="27" t="n">
        <f aca="false">IF(M1626&gt;0,D1626*PI()*E1626^2/4,0)</f>
        <v>0.0954163927615804</v>
      </c>
      <c r="Z1626" s="27" t="n">
        <f aca="false">IF(H1626-E1626&gt;=GWL,99,E1626*(MAX(0,GWL-H1626)*(GAM_S-GAM_W)+MAX(0,NG-MAX(H1626,GWL))*GAM_D)/(GAM_W*PI()*E1626^2/4))</f>
        <v>10.3284067668855</v>
      </c>
      <c r="AA1626" s="27" t="n">
        <f aca="false">IF(I1626-E1626&gt;=GWL,99,E1626*(MAX(0,GWL-I1626)*(GAM_S-GAM_W)+MAX(0,NG-MAX(I1626,GWL))*GAM_D)/(GAM_W*PI()*E1626^2/4))</f>
        <v>10.3284067668855</v>
      </c>
      <c r="AB1626" s="27" t="n">
        <f aca="false">IF(H1626-E1626&gt;=GWL,99,E1626*(MAX(0,GWL-H1626)*(GAM_S-GAM_W)+MAX(0,FL-MAX(H1626,GWL))*GAM_D)/(GAM_W*PI()*E1626^2/4))</f>
        <v>18.2715386746397</v>
      </c>
      <c r="AC1626" s="27" t="n">
        <f aca="false">IF(I1626-E1626&gt;=GWL,99,E1626*(MAX(0,GWL-I1626)*(GAM_S-GAM_W)+MAX(0,FL-MAX(I1626,GWL))*GAM_D)/(GAM_W*PI()*E1626^2/4))</f>
        <v>18.2715386746397</v>
      </c>
    </row>
    <row r="1627" customFormat="false" ht="15" hidden="false" customHeight="false" outlineLevel="0" collapsed="false">
      <c r="A1627" s="25" t="s">
        <v>2297</v>
      </c>
      <c r="B1627" s="25" t="s">
        <v>2301</v>
      </c>
      <c r="C1627" s="25" t="s">
        <v>2306</v>
      </c>
      <c r="D1627" s="26" t="n">
        <v>0.664986768241096</v>
      </c>
      <c r="E1627" s="26" t="n">
        <v>0.500000873453625</v>
      </c>
      <c r="F1627" s="26" t="n">
        <v>-5.60000043672681</v>
      </c>
      <c r="G1627" s="26" t="n">
        <v>-5.60000043672681</v>
      </c>
      <c r="H1627" s="26" t="n">
        <v>-4.59999956327319</v>
      </c>
      <c r="I1627" s="26" t="n">
        <v>-4.59999956327319</v>
      </c>
      <c r="J1627" s="26" t="n">
        <v>35.85</v>
      </c>
      <c r="K1627" s="27" t="n">
        <f aca="false">MIN(F1627,G1627)</f>
        <v>-5.60000043672681</v>
      </c>
      <c r="L1627" s="27" t="n">
        <f aca="false">AVERAGE(F1627,G1627)</f>
        <v>-5.60000043672681</v>
      </c>
      <c r="M1627" s="27" t="n">
        <f aca="false">MAX(0,NG-L1627)</f>
        <v>4.90000043672681</v>
      </c>
      <c r="N1627" s="27" t="n">
        <f aca="false">MAX(0,GWL-K1627)</f>
        <v>4.10000043672681</v>
      </c>
      <c r="O1627" s="27" t="n">
        <f aca="false">MAX(0,NG-MAX(K1627,GWL))</f>
        <v>0.8</v>
      </c>
      <c r="P1627" s="27" t="n">
        <f aca="false">E1627/2+WS+SLOPE_A*O1627+SLOPE_B*N1627</f>
        <v>10.6500013101804</v>
      </c>
      <c r="Q1627" s="28" t="str">
        <f aca="false">IF(AND(P1627&lt;J1627,N1627&lt;=MAXOC),"Open cut","Shoring")</f>
        <v>Shoring</v>
      </c>
      <c r="R1627" s="27" t="n">
        <f aca="false">IF(Q1627="Shoring",D1627,0)</f>
        <v>0.664986768241096</v>
      </c>
      <c r="S1627" s="27" t="n">
        <f aca="false">MAX(0,GWL-L1627)</f>
        <v>4.10000043672681</v>
      </c>
      <c r="T1627" s="27" t="n">
        <f aca="false">MAX(0,NG-MAX(L1627,GWL))</f>
        <v>0.8</v>
      </c>
      <c r="U1627" s="27" t="n">
        <f aca="false">E1627+2*WS</f>
        <v>2.50000087345363</v>
      </c>
      <c r="V1627" s="27" t="n">
        <f aca="false">IF(Q1627="Shoring",D1627*M1627*U1627,0)</f>
        <v>8.14609148308957</v>
      </c>
      <c r="W1627" s="27" t="n">
        <f aca="false">IF(Q1627="Open cut",D1627*(U1627*M1627+SLOPE_B*S1627^2+2*SLOPE_B*S1627*T1627+SLOPE_A*T1627^2),0)</f>
        <v>0</v>
      </c>
      <c r="X1627" s="27" t="n">
        <f aca="false">IF(M1627&gt;0,D1627*(E1627+2*SLABOVH)*SLAB,0)</f>
        <v>0.498740366598374</v>
      </c>
      <c r="Y1627" s="27" t="n">
        <f aca="false">IF(M1627&gt;0,D1627*PI()*E1627^2/4,0)</f>
        <v>0.130570302802262</v>
      </c>
      <c r="Z1627" s="27" t="n">
        <f aca="false">IF(H1627-E1627&gt;=GWL,99,E1627*(MAX(0,GWL-H1627)*(GAM_S-GAM_W)+MAX(0,NG-MAX(H1627,GWL))*GAM_D)/(GAM_W*PI()*E1627^2/4))</f>
        <v>10.3284067668855</v>
      </c>
      <c r="AA1627" s="27" t="n">
        <f aca="false">IF(I1627-E1627&gt;=GWL,99,E1627*(MAX(0,GWL-I1627)*(GAM_S-GAM_W)+MAX(0,NG-MAX(I1627,GWL))*GAM_D)/(GAM_W*PI()*E1627^2/4))</f>
        <v>10.3284067668855</v>
      </c>
      <c r="AB1627" s="27" t="n">
        <f aca="false">IF(H1627-E1627&gt;=GWL,99,E1627*(MAX(0,GWL-H1627)*(GAM_S-GAM_W)+MAX(0,FL-MAX(H1627,GWL))*GAM_D)/(GAM_W*PI()*E1627^2/4))</f>
        <v>18.2715386746397</v>
      </c>
      <c r="AC1627" s="27" t="n">
        <f aca="false">IF(I1627-E1627&gt;=GWL,99,E1627*(MAX(0,GWL-I1627)*(GAM_S-GAM_W)+MAX(0,FL-MAX(I1627,GWL))*GAM_D)/(GAM_W*PI()*E1627^2/4))</f>
        <v>18.2715386746397</v>
      </c>
    </row>
    <row r="1628" customFormat="false" ht="15" hidden="false" customHeight="false" outlineLevel="0" collapsed="false">
      <c r="A1628" s="25" t="s">
        <v>2297</v>
      </c>
      <c r="B1628" s="25" t="s">
        <v>2301</v>
      </c>
      <c r="C1628" s="25" t="s">
        <v>2307</v>
      </c>
      <c r="D1628" s="26" t="n">
        <v>0.665000000322549</v>
      </c>
      <c r="E1628" s="26" t="n">
        <v>0.499996885454354</v>
      </c>
      <c r="F1628" s="26" t="n">
        <v>-5.59999844272718</v>
      </c>
      <c r="G1628" s="26" t="n">
        <v>-5.59999844272718</v>
      </c>
      <c r="H1628" s="26" t="n">
        <v>-4.60000155727282</v>
      </c>
      <c r="I1628" s="26" t="n">
        <v>-4.60000155727282</v>
      </c>
      <c r="J1628" s="26" t="n">
        <v>36.35</v>
      </c>
      <c r="K1628" s="27" t="n">
        <f aca="false">MIN(F1628,G1628)</f>
        <v>-5.59999844272718</v>
      </c>
      <c r="L1628" s="27" t="n">
        <f aca="false">AVERAGE(F1628,G1628)</f>
        <v>-5.59999844272718</v>
      </c>
      <c r="M1628" s="27" t="n">
        <f aca="false">MAX(0,NG-L1628)</f>
        <v>4.89999844272718</v>
      </c>
      <c r="N1628" s="27" t="n">
        <f aca="false">MAX(0,GWL-K1628)</f>
        <v>4.09999844272718</v>
      </c>
      <c r="O1628" s="27" t="n">
        <f aca="false">MAX(0,NG-MAX(K1628,GWL))</f>
        <v>0.8</v>
      </c>
      <c r="P1628" s="27" t="n">
        <f aca="false">E1628/2+WS+SLOPE_A*O1628+SLOPE_B*N1628</f>
        <v>10.6499953281815</v>
      </c>
      <c r="Q1628" s="28" t="str">
        <f aca="false">IF(AND(P1628&lt;J1628,N1628&lt;=MAXOC),"Open cut","Shoring")</f>
        <v>Shoring</v>
      </c>
      <c r="R1628" s="27" t="n">
        <f aca="false">IF(Q1628="Shoring",D1628,0)</f>
        <v>0.665000000322549</v>
      </c>
      <c r="S1628" s="27" t="n">
        <f aca="false">MAX(0,GWL-L1628)</f>
        <v>4.09999844272718</v>
      </c>
      <c r="T1628" s="27" t="n">
        <f aca="false">MAX(0,NG-MAX(L1628,GWL))</f>
        <v>0.8</v>
      </c>
      <c r="U1628" s="27" t="n">
        <f aca="false">E1628+2*WS</f>
        <v>2.49999688545435</v>
      </c>
      <c r="V1628" s="27" t="n">
        <f aca="false">IF(Q1628="Shoring",D1628*M1628*U1628,0)</f>
        <v>8.14623726624139</v>
      </c>
      <c r="W1628" s="27" t="n">
        <f aca="false">IF(Q1628="Open cut",D1628*(U1628*M1628+SLOPE_B*S1628^2+2*SLOPE_B*S1628*T1628+SLOPE_A*T1628^2),0)</f>
        <v>0</v>
      </c>
      <c r="X1628" s="27" t="n">
        <f aca="false">IF(M1628&gt;0,D1628*(E1628+2*SLABOVH)*SLAB,0)</f>
        <v>0.498748964655484</v>
      </c>
      <c r="Y1628" s="27" t="n">
        <f aca="false">IF(M1628&gt;0,D1628*PI()*E1628^2/4,0)</f>
        <v>0.130570818037868</v>
      </c>
      <c r="Z1628" s="27" t="n">
        <f aca="false">IF(H1628-E1628&gt;=GWL,99,E1628*(MAX(0,GWL-H1628)*(GAM_S-GAM_W)+MAX(0,NG-MAX(H1628,GWL))*GAM_D)/(GAM_W*PI()*E1628^2/4))</f>
        <v>10.328493385945</v>
      </c>
      <c r="AA1628" s="27" t="n">
        <f aca="false">IF(I1628-E1628&gt;=GWL,99,E1628*(MAX(0,GWL-I1628)*(GAM_S-GAM_W)+MAX(0,NG-MAX(I1628,GWL))*GAM_D)/(GAM_W*PI()*E1628^2/4))</f>
        <v>10.328493385945</v>
      </c>
      <c r="AB1628" s="27" t="n">
        <f aca="false">IF(H1628-E1628&gt;=GWL,99,E1628*(MAX(0,GWL-H1628)*(GAM_S-GAM_W)+MAX(0,FL-MAX(H1628,GWL))*GAM_D)/(GAM_W*PI()*E1628^2/4))</f>
        <v>18.2716886485024</v>
      </c>
      <c r="AC1628" s="27" t="n">
        <f aca="false">IF(I1628-E1628&gt;=GWL,99,E1628*(MAX(0,GWL-I1628)*(GAM_S-GAM_W)+MAX(0,FL-MAX(I1628,GWL))*GAM_D)/(GAM_W*PI()*E1628^2/4))</f>
        <v>18.2716886485024</v>
      </c>
    </row>
    <row r="1629" customFormat="false" ht="15" hidden="false" customHeight="false" outlineLevel="0" collapsed="false">
      <c r="A1629" s="25" t="s">
        <v>2297</v>
      </c>
      <c r="B1629" s="25" t="s">
        <v>2301</v>
      </c>
      <c r="C1629" s="25" t="s">
        <v>2308</v>
      </c>
      <c r="D1629" s="26" t="n">
        <v>0.121998115166426</v>
      </c>
      <c r="E1629" s="26" t="n">
        <v>0.499996885454354</v>
      </c>
      <c r="F1629" s="26" t="n">
        <v>-5.59999844272718</v>
      </c>
      <c r="G1629" s="26" t="n">
        <v>-5.59999844272718</v>
      </c>
      <c r="H1629" s="26" t="n">
        <v>-4.60000155727282</v>
      </c>
      <c r="I1629" s="26" t="n">
        <v>-4.60000155727282</v>
      </c>
      <c r="J1629" s="26" t="n">
        <v>36.42</v>
      </c>
      <c r="K1629" s="27" t="n">
        <f aca="false">MIN(F1629,G1629)</f>
        <v>-5.59999844272718</v>
      </c>
      <c r="L1629" s="27" t="n">
        <f aca="false">AVERAGE(F1629,G1629)</f>
        <v>-5.59999844272718</v>
      </c>
      <c r="M1629" s="27" t="n">
        <f aca="false">MAX(0,NG-L1629)</f>
        <v>4.89999844272718</v>
      </c>
      <c r="N1629" s="27" t="n">
        <f aca="false">MAX(0,GWL-K1629)</f>
        <v>4.09999844272718</v>
      </c>
      <c r="O1629" s="27" t="n">
        <f aca="false">MAX(0,NG-MAX(K1629,GWL))</f>
        <v>0.8</v>
      </c>
      <c r="P1629" s="27" t="n">
        <f aca="false">E1629/2+WS+SLOPE_A*O1629+SLOPE_B*N1629</f>
        <v>10.6499953281815</v>
      </c>
      <c r="Q1629" s="28" t="str">
        <f aca="false">IF(AND(P1629&lt;J1629,N1629&lt;=MAXOC),"Open cut","Shoring")</f>
        <v>Shoring</v>
      </c>
      <c r="R1629" s="27" t="n">
        <f aca="false">IF(Q1629="Shoring",D1629,0)</f>
        <v>0.121998115166426</v>
      </c>
      <c r="S1629" s="27" t="n">
        <f aca="false">MAX(0,GWL-L1629)</f>
        <v>4.09999844272718</v>
      </c>
      <c r="T1629" s="27" t="n">
        <f aca="false">MAX(0,NG-MAX(L1629,GWL))</f>
        <v>0.8</v>
      </c>
      <c r="U1629" s="27" t="n">
        <f aca="false">E1629+2*WS</f>
        <v>2.49999688545435</v>
      </c>
      <c r="V1629" s="27" t="n">
        <f aca="false">IF(Q1629="Shoring",D1629*M1629*U1629,0)</f>
        <v>1.49447457398181</v>
      </c>
      <c r="W1629" s="27" t="n">
        <f aca="false">IF(Q1629="Open cut",D1629*(U1629*M1629+SLOPE_B*S1629^2+2*SLOPE_B*S1629*T1629+SLOPE_A*T1629^2),0)</f>
        <v>0</v>
      </c>
      <c r="X1629" s="27" t="n">
        <f aca="false">IF(M1629&gt;0,D1629*(E1629+2*SLABOVH)*SLAB,0)</f>
        <v>0.0914983963904702</v>
      </c>
      <c r="Y1629" s="27" t="n">
        <f aca="false">IF(M1629&gt;0,D1629*PI()*E1629^2/4,0)</f>
        <v>0.0239539754716269</v>
      </c>
      <c r="Z1629" s="27" t="n">
        <f aca="false">IF(H1629-E1629&gt;=GWL,99,E1629*(MAX(0,GWL-H1629)*(GAM_S-GAM_W)+MAX(0,NG-MAX(H1629,GWL))*GAM_D)/(GAM_W*PI()*E1629^2/4))</f>
        <v>10.328493385945</v>
      </c>
      <c r="AA1629" s="27" t="n">
        <f aca="false">IF(I1629-E1629&gt;=GWL,99,E1629*(MAX(0,GWL-I1629)*(GAM_S-GAM_W)+MAX(0,NG-MAX(I1629,GWL))*GAM_D)/(GAM_W*PI()*E1629^2/4))</f>
        <v>10.328493385945</v>
      </c>
      <c r="AB1629" s="27" t="n">
        <f aca="false">IF(H1629-E1629&gt;=GWL,99,E1629*(MAX(0,GWL-H1629)*(GAM_S-GAM_W)+MAX(0,FL-MAX(H1629,GWL))*GAM_D)/(GAM_W*PI()*E1629^2/4))</f>
        <v>18.2716886485024</v>
      </c>
      <c r="AC1629" s="27" t="n">
        <f aca="false">IF(I1629-E1629&gt;=GWL,99,E1629*(MAX(0,GWL-I1629)*(GAM_S-GAM_W)+MAX(0,FL-MAX(I1629,GWL))*GAM_D)/(GAM_W*PI()*E1629^2/4))</f>
        <v>18.2716886485024</v>
      </c>
    </row>
    <row r="1630" customFormat="false" ht="15" hidden="false" customHeight="false" outlineLevel="0" collapsed="false">
      <c r="A1630" s="25" t="s">
        <v>2297</v>
      </c>
      <c r="B1630" s="25" t="s">
        <v>2301</v>
      </c>
      <c r="C1630" s="25" t="s">
        <v>2309</v>
      </c>
      <c r="D1630" s="26" t="n">
        <v>2.3014736875124</v>
      </c>
      <c r="E1630" s="26" t="n">
        <v>0.499996885972199</v>
      </c>
      <c r="F1630" s="26" t="n">
        <v>-5.5999984429861</v>
      </c>
      <c r="G1630" s="26" t="n">
        <v>-5.5999984429861</v>
      </c>
      <c r="H1630" s="26" t="n">
        <v>-4.6000015570139</v>
      </c>
      <c r="I1630" s="26" t="n">
        <v>-4.6000015570139</v>
      </c>
      <c r="J1630" s="26" t="n">
        <v>36.43</v>
      </c>
      <c r="K1630" s="27" t="n">
        <f aca="false">MIN(F1630,G1630)</f>
        <v>-5.5999984429861</v>
      </c>
      <c r="L1630" s="27" t="n">
        <f aca="false">AVERAGE(F1630,G1630)</f>
        <v>-5.5999984429861</v>
      </c>
      <c r="M1630" s="27" t="n">
        <f aca="false">MAX(0,NG-L1630)</f>
        <v>4.8999984429861</v>
      </c>
      <c r="N1630" s="27" t="n">
        <f aca="false">MAX(0,GWL-K1630)</f>
        <v>4.0999984429861</v>
      </c>
      <c r="O1630" s="27" t="n">
        <f aca="false">MAX(0,NG-MAX(K1630,GWL))</f>
        <v>0.8</v>
      </c>
      <c r="P1630" s="27" t="n">
        <f aca="false">E1630/2+WS+SLOPE_A*O1630+SLOPE_B*N1630</f>
        <v>10.6499953289583</v>
      </c>
      <c r="Q1630" s="28" t="str">
        <f aca="false">IF(AND(P1630&lt;J1630,N1630&lt;=MAXOC),"Open cut","Shoring")</f>
        <v>Shoring</v>
      </c>
      <c r="R1630" s="27" t="n">
        <f aca="false">IF(Q1630="Shoring",D1630,0)</f>
        <v>2.3014736875124</v>
      </c>
      <c r="S1630" s="27" t="n">
        <f aca="false">MAX(0,GWL-L1630)</f>
        <v>4.0999984429861</v>
      </c>
      <c r="T1630" s="27" t="n">
        <f aca="false">MAX(0,NG-MAX(L1630,GWL))</f>
        <v>0.8</v>
      </c>
      <c r="U1630" s="27" t="n">
        <f aca="false">E1630+2*WS</f>
        <v>2.4999968859722</v>
      </c>
      <c r="V1630" s="27" t="n">
        <f aca="false">IF(Q1630="Shoring",D1630*M1630*U1630,0)</f>
        <v>28.1930085958918</v>
      </c>
      <c r="W1630" s="27" t="n">
        <f aca="false">IF(Q1630="Open cut",D1630*(U1630*M1630+SLOPE_B*S1630^2+2*SLOPE_B*S1630*T1630+SLOPE_A*T1630^2),0)</f>
        <v>0</v>
      </c>
      <c r="X1630" s="27" t="n">
        <f aca="false">IF(M1630&gt;0,D1630*(E1630+2*SLABOVH)*SLAB,0)</f>
        <v>1.72610168220778</v>
      </c>
      <c r="Y1630" s="27" t="n">
        <f aca="false">IF(M1630&gt;0,D1630*PI()*E1630^2/4,0)</f>
        <v>0.451887673004256</v>
      </c>
      <c r="Z1630" s="27" t="n">
        <f aca="false">IF(H1630-E1630&gt;=GWL,99,E1630*(MAX(0,GWL-H1630)*(GAM_S-GAM_W)+MAX(0,NG-MAX(H1630,GWL))*GAM_D)/(GAM_W*PI()*E1630^2/4))</f>
        <v>10.3284933746974</v>
      </c>
      <c r="AA1630" s="27" t="n">
        <f aca="false">IF(I1630-E1630&gt;=GWL,99,E1630*(MAX(0,GWL-I1630)*(GAM_S-GAM_W)+MAX(0,NG-MAX(I1630,GWL))*GAM_D)/(GAM_W*PI()*E1630^2/4))</f>
        <v>10.3284933746974</v>
      </c>
      <c r="AB1630" s="27" t="n">
        <f aca="false">IF(H1630-E1630&gt;=GWL,99,E1630*(MAX(0,GWL-H1630)*(GAM_S-GAM_W)+MAX(0,FL-MAX(H1630,GWL))*GAM_D)/(GAM_W*PI()*E1630^2/4))</f>
        <v>18.271688629028</v>
      </c>
      <c r="AC1630" s="27" t="n">
        <f aca="false">IF(I1630-E1630&gt;=GWL,99,E1630*(MAX(0,GWL-I1630)*(GAM_S-GAM_W)+MAX(0,FL-MAX(I1630,GWL))*GAM_D)/(GAM_W*PI()*E1630^2/4))</f>
        <v>18.271688629028</v>
      </c>
    </row>
    <row r="1631" customFormat="false" ht="15" hidden="false" customHeight="false" outlineLevel="0" collapsed="false">
      <c r="A1631" s="25" t="s">
        <v>2297</v>
      </c>
      <c r="B1631" s="25" t="s">
        <v>2301</v>
      </c>
      <c r="C1631" s="25" t="s">
        <v>2310</v>
      </c>
      <c r="D1631" s="26" t="n">
        <v>2.40942631267044</v>
      </c>
      <c r="E1631" s="26" t="n">
        <v>0.499996885972199</v>
      </c>
      <c r="F1631" s="26" t="n">
        <v>-5.5999984429861</v>
      </c>
      <c r="G1631" s="26" t="n">
        <v>-5.5999984429861</v>
      </c>
      <c r="H1631" s="26" t="n">
        <v>-4.6000015570139</v>
      </c>
      <c r="I1631" s="26" t="n">
        <v>-4.6000015570139</v>
      </c>
      <c r="J1631" s="26" t="n">
        <v>25.25</v>
      </c>
      <c r="K1631" s="27" t="n">
        <f aca="false">MIN(F1631,G1631)</f>
        <v>-5.5999984429861</v>
      </c>
      <c r="L1631" s="27" t="n">
        <f aca="false">AVERAGE(F1631,G1631)</f>
        <v>-5.5999984429861</v>
      </c>
      <c r="M1631" s="27" t="n">
        <f aca="false">MAX(0,NG-L1631)</f>
        <v>4.8999984429861</v>
      </c>
      <c r="N1631" s="27" t="n">
        <f aca="false">MAX(0,GWL-K1631)</f>
        <v>4.0999984429861</v>
      </c>
      <c r="O1631" s="27" t="n">
        <f aca="false">MAX(0,NG-MAX(K1631,GWL))</f>
        <v>0.8</v>
      </c>
      <c r="P1631" s="27" t="n">
        <f aca="false">E1631/2+WS+SLOPE_A*O1631+SLOPE_B*N1631</f>
        <v>10.6499953289583</v>
      </c>
      <c r="Q1631" s="28" t="str">
        <f aca="false">IF(AND(P1631&lt;J1631,N1631&lt;=MAXOC),"Open cut","Shoring")</f>
        <v>Shoring</v>
      </c>
      <c r="R1631" s="27" t="n">
        <f aca="false">IF(Q1631="Shoring",D1631,0)</f>
        <v>2.40942631267044</v>
      </c>
      <c r="S1631" s="27" t="n">
        <f aca="false">MAX(0,GWL-L1631)</f>
        <v>4.0999984429861</v>
      </c>
      <c r="T1631" s="27" t="n">
        <f aca="false">MAX(0,NG-MAX(L1631,GWL))</f>
        <v>0.8</v>
      </c>
      <c r="U1631" s="27" t="n">
        <f aca="false">E1631+2*WS</f>
        <v>2.4999968859722</v>
      </c>
      <c r="V1631" s="27" t="n">
        <f aca="false">IF(Q1631="Shoring",D1631*M1631*U1631,0)</f>
        <v>29.5154261866484</v>
      </c>
      <c r="W1631" s="27" t="n">
        <f aca="false">IF(Q1631="Open cut",D1631*(U1631*M1631+SLOPE_B*S1631^2+2*SLOPE_B*S1631*T1631+SLOPE_A*T1631^2),0)</f>
        <v>0</v>
      </c>
      <c r="X1631" s="27" t="n">
        <f aca="false">IF(M1631&gt;0,D1631*(E1631+2*SLABOVH)*SLAB,0)</f>
        <v>1.80706598299257</v>
      </c>
      <c r="Y1631" s="27" t="n">
        <f aca="false">IF(M1631&gt;0,D1631*PI()*E1631^2/4,0)</f>
        <v>0.473083857363025</v>
      </c>
      <c r="Z1631" s="27" t="n">
        <f aca="false">IF(H1631-E1631&gt;=GWL,99,E1631*(MAX(0,GWL-H1631)*(GAM_S-GAM_W)+MAX(0,NG-MAX(H1631,GWL))*GAM_D)/(GAM_W*PI()*E1631^2/4))</f>
        <v>10.3284933746974</v>
      </c>
      <c r="AA1631" s="27" t="n">
        <f aca="false">IF(I1631-E1631&gt;=GWL,99,E1631*(MAX(0,GWL-I1631)*(GAM_S-GAM_W)+MAX(0,NG-MAX(I1631,GWL))*GAM_D)/(GAM_W*PI()*E1631^2/4))</f>
        <v>10.3284933746974</v>
      </c>
      <c r="AB1631" s="27" t="n">
        <f aca="false">IF(H1631-E1631&gt;=GWL,99,E1631*(MAX(0,GWL-H1631)*(GAM_S-GAM_W)+MAX(0,FL-MAX(H1631,GWL))*GAM_D)/(GAM_W*PI()*E1631^2/4))</f>
        <v>18.271688629028</v>
      </c>
      <c r="AC1631" s="27" t="n">
        <f aca="false">IF(I1631-E1631&gt;=GWL,99,E1631*(MAX(0,GWL-I1631)*(GAM_S-GAM_W)+MAX(0,FL-MAX(I1631,GWL))*GAM_D)/(GAM_W*PI()*E1631^2/4))</f>
        <v>18.271688629028</v>
      </c>
    </row>
    <row r="1632" customFormat="false" ht="15" hidden="false" customHeight="false" outlineLevel="0" collapsed="false">
      <c r="A1632" s="25" t="s">
        <v>2297</v>
      </c>
      <c r="B1632" s="25" t="s">
        <v>2301</v>
      </c>
      <c r="C1632" s="25" t="s">
        <v>2311</v>
      </c>
      <c r="D1632" s="26" t="n">
        <v>0.0359999996117021</v>
      </c>
      <c r="E1632" s="26" t="n">
        <v>0.499996885972199</v>
      </c>
      <c r="F1632" s="26" t="n">
        <v>-5.5999984429861</v>
      </c>
      <c r="G1632" s="26" t="n">
        <v>-5.5999984429861</v>
      </c>
      <c r="H1632" s="26" t="n">
        <v>-4.6000015570139</v>
      </c>
      <c r="I1632" s="26" t="n">
        <v>-4.6000015570139</v>
      </c>
      <c r="J1632" s="26" t="n">
        <v>25.23</v>
      </c>
      <c r="K1632" s="27" t="n">
        <f aca="false">MIN(F1632,G1632)</f>
        <v>-5.5999984429861</v>
      </c>
      <c r="L1632" s="27" t="n">
        <f aca="false">AVERAGE(F1632,G1632)</f>
        <v>-5.5999984429861</v>
      </c>
      <c r="M1632" s="27" t="n">
        <f aca="false">MAX(0,NG-L1632)</f>
        <v>4.8999984429861</v>
      </c>
      <c r="N1632" s="27" t="n">
        <f aca="false">MAX(0,GWL-K1632)</f>
        <v>4.0999984429861</v>
      </c>
      <c r="O1632" s="27" t="n">
        <f aca="false">MAX(0,NG-MAX(K1632,GWL))</f>
        <v>0.8</v>
      </c>
      <c r="P1632" s="27" t="n">
        <f aca="false">E1632/2+WS+SLOPE_A*O1632+SLOPE_B*N1632</f>
        <v>10.6499953289583</v>
      </c>
      <c r="Q1632" s="28" t="str">
        <f aca="false">IF(AND(P1632&lt;J1632,N1632&lt;=MAXOC),"Open cut","Shoring")</f>
        <v>Shoring</v>
      </c>
      <c r="R1632" s="27" t="n">
        <f aca="false">IF(Q1632="Shoring",D1632,0)</f>
        <v>0.0359999996117021</v>
      </c>
      <c r="S1632" s="27" t="n">
        <f aca="false">MAX(0,GWL-L1632)</f>
        <v>4.0999984429861</v>
      </c>
      <c r="T1632" s="27" t="n">
        <f aca="false">MAX(0,NG-MAX(L1632,GWL))</f>
        <v>0.8</v>
      </c>
      <c r="U1632" s="27" t="n">
        <f aca="false">E1632+2*WS</f>
        <v>2.4999968859722</v>
      </c>
      <c r="V1632" s="27" t="n">
        <f aca="false">IF(Q1632="Shoring",D1632*M1632*U1632,0)</f>
        <v>0.440999305797777</v>
      </c>
      <c r="W1632" s="27" t="n">
        <f aca="false">IF(Q1632="Open cut",D1632*(U1632*M1632+SLOPE_B*S1632^2+2*SLOPE_B*S1632*T1632+SLOPE_A*T1632^2),0)</f>
        <v>0</v>
      </c>
      <c r="X1632" s="27" t="n">
        <f aca="false">IF(M1632&gt;0,D1632*(E1632+2*SLABOVH)*SLAB,0)</f>
        <v>0.0269999436562768</v>
      </c>
      <c r="Y1632" s="27" t="n">
        <f aca="false">IF(M1632&gt;0,D1632*PI()*E1632^2/4,0)</f>
        <v>0.00706849534754828</v>
      </c>
      <c r="Z1632" s="27" t="n">
        <f aca="false">IF(H1632-E1632&gt;=GWL,99,E1632*(MAX(0,GWL-H1632)*(GAM_S-GAM_W)+MAX(0,NG-MAX(H1632,GWL))*GAM_D)/(GAM_W*PI()*E1632^2/4))</f>
        <v>10.3284933746974</v>
      </c>
      <c r="AA1632" s="27" t="n">
        <f aca="false">IF(I1632-E1632&gt;=GWL,99,E1632*(MAX(0,GWL-I1632)*(GAM_S-GAM_W)+MAX(0,NG-MAX(I1632,GWL))*GAM_D)/(GAM_W*PI()*E1632^2/4))</f>
        <v>10.3284933746974</v>
      </c>
      <c r="AB1632" s="27" t="n">
        <f aca="false">IF(H1632-E1632&gt;=GWL,99,E1632*(MAX(0,GWL-H1632)*(GAM_S-GAM_W)+MAX(0,FL-MAX(H1632,GWL))*GAM_D)/(GAM_W*PI()*E1632^2/4))</f>
        <v>18.271688629028</v>
      </c>
      <c r="AC1632" s="27" t="n">
        <f aca="false">IF(I1632-E1632&gt;=GWL,99,E1632*(MAX(0,GWL-I1632)*(GAM_S-GAM_W)+MAX(0,FL-MAX(I1632,GWL))*GAM_D)/(GAM_W*PI()*E1632^2/4))</f>
        <v>18.271688629028</v>
      </c>
    </row>
    <row r="1633" customFormat="false" ht="15" hidden="false" customHeight="false" outlineLevel="0" collapsed="false">
      <c r="A1633" s="25" t="s">
        <v>2312</v>
      </c>
      <c r="B1633" s="25" t="s">
        <v>2313</v>
      </c>
      <c r="C1633" s="25" t="s">
        <v>2314</v>
      </c>
      <c r="D1633" s="26" t="n">
        <v>0.0455000000194029</v>
      </c>
      <c r="E1633" s="26" t="n">
        <v>0.314993533490969</v>
      </c>
      <c r="F1633" s="26" t="n">
        <v>-0.547496766745485</v>
      </c>
      <c r="G1633" s="26" t="n">
        <v>-0.547496766745485</v>
      </c>
      <c r="H1633" s="26" t="n">
        <v>0.267496766745485</v>
      </c>
      <c r="I1633" s="26" t="n">
        <v>0.267496766745485</v>
      </c>
      <c r="J1633" s="26" t="n">
        <v>14.08</v>
      </c>
      <c r="K1633" s="27" t="n">
        <f aca="false">MIN(F1633,G1633)</f>
        <v>-0.547496766745485</v>
      </c>
      <c r="L1633" s="27" t="n">
        <f aca="false">AVERAGE(F1633,G1633)</f>
        <v>-0.547496766745485</v>
      </c>
      <c r="M1633" s="27" t="n">
        <f aca="false">MAX(0,NG-L1633)</f>
        <v>0</v>
      </c>
      <c r="N1633" s="27" t="n">
        <f aca="false">MAX(0,GWL-K1633)</f>
        <v>0</v>
      </c>
      <c r="O1633" s="27" t="n">
        <f aca="false">MAX(0,NG-MAX(K1633,GWL))</f>
        <v>0</v>
      </c>
      <c r="P1633" s="27" t="n">
        <f aca="false">E1633/2+WS+SLOPE_A*O1633+SLOPE_B*N1633</f>
        <v>1.15749676674548</v>
      </c>
      <c r="Q1633" s="28" t="str">
        <f aca="false">IF(AND(P1633&lt;J1633,N1633&lt;=MAXOC),"Open cut","Shoring")</f>
        <v>Open cut</v>
      </c>
      <c r="R1633" s="27" t="n">
        <f aca="false">IF(Q1633="Shoring",D1633,0)</f>
        <v>0</v>
      </c>
      <c r="S1633" s="27" t="n">
        <f aca="false">MAX(0,GWL-L1633)</f>
        <v>0</v>
      </c>
      <c r="T1633" s="27" t="n">
        <f aca="false">MAX(0,NG-MAX(L1633,GWL))</f>
        <v>0</v>
      </c>
      <c r="U1633" s="27" t="n">
        <f aca="false">E1633+2*WS</f>
        <v>2.31499353349097</v>
      </c>
      <c r="V1633" s="27" t="n">
        <f aca="false">IF(Q1633="Shoring",D1633*M1633*U1633,0)</f>
        <v>0</v>
      </c>
      <c r="W1633" s="27" t="n">
        <f aca="false">IF(Q1633="Open cut",D1633*(U1633*M1633+SLOPE_B*S1633^2+2*SLOPE_B*S1633*T1633+SLOPE_A*T1633^2),0)</f>
        <v>0</v>
      </c>
      <c r="X1633" s="27" t="n">
        <f aca="false">IF(M1633&gt;0,D1633*(E1633+2*SLABOVH)*SLAB,0)</f>
        <v>0</v>
      </c>
      <c r="Y1633" s="27" t="n">
        <f aca="false">IF(M1633&gt;0,D1633*PI()*E1633^2/4,0)</f>
        <v>0</v>
      </c>
      <c r="Z1633" s="27" t="n">
        <f aca="false">IF(H1633-E1633&gt;=GWL,99,E1633*(MAX(0,GWL-H1633)*(GAM_S-GAM_W)+MAX(0,NG-MAX(H1633,GWL))*GAM_D)/(GAM_W*PI()*E1633^2/4))</f>
        <v>99</v>
      </c>
      <c r="AA1633" s="27" t="n">
        <f aca="false">IF(I1633-E1633&gt;=GWL,99,E1633*(MAX(0,GWL-I1633)*(GAM_S-GAM_W)+MAX(0,NG-MAX(I1633,GWL))*GAM_D)/(GAM_W*PI()*E1633^2/4))</f>
        <v>99</v>
      </c>
      <c r="AB1633" s="27" t="n">
        <f aca="false">IF(H1633-E1633&gt;=GWL,99,E1633*(MAX(0,GWL-H1633)*(GAM_S-GAM_W)+MAX(0,FL-MAX(H1633,GWL))*GAM_D)/(GAM_W*PI()*E1633^2/4))</f>
        <v>99</v>
      </c>
      <c r="AC1633" s="27" t="n">
        <f aca="false">IF(I1633-E1633&gt;=GWL,99,E1633*(MAX(0,GWL-I1633)*(GAM_S-GAM_W)+MAX(0,FL-MAX(I1633,GWL))*GAM_D)/(GAM_W*PI()*E1633^2/4))</f>
        <v>99</v>
      </c>
    </row>
    <row r="1634" customFormat="false" ht="15" hidden="false" customHeight="false" outlineLevel="0" collapsed="false">
      <c r="A1634" s="25" t="s">
        <v>2312</v>
      </c>
      <c r="B1634" s="25" t="s">
        <v>2313</v>
      </c>
      <c r="C1634" s="25" t="s">
        <v>2315</v>
      </c>
      <c r="D1634" s="26" t="n">
        <v>2.09716999999709</v>
      </c>
      <c r="E1634" s="26" t="n">
        <v>0.314993533490969</v>
      </c>
      <c r="F1634" s="26" t="n">
        <v>-0.547496766745485</v>
      </c>
      <c r="G1634" s="26" t="n">
        <v>-0.547496766745485</v>
      </c>
      <c r="H1634" s="26" t="n">
        <v>0.267496766745485</v>
      </c>
      <c r="I1634" s="26" t="n">
        <v>0.267496766745485</v>
      </c>
      <c r="J1634" s="26" t="n">
        <v>11.99</v>
      </c>
      <c r="K1634" s="27" t="n">
        <f aca="false">MIN(F1634,G1634)</f>
        <v>-0.547496766745485</v>
      </c>
      <c r="L1634" s="27" t="n">
        <f aca="false">AVERAGE(F1634,G1634)</f>
        <v>-0.547496766745485</v>
      </c>
      <c r="M1634" s="27" t="n">
        <f aca="false">MAX(0,NG-L1634)</f>
        <v>0</v>
      </c>
      <c r="N1634" s="27" t="n">
        <f aca="false">MAX(0,GWL-K1634)</f>
        <v>0</v>
      </c>
      <c r="O1634" s="27" t="n">
        <f aca="false">MAX(0,NG-MAX(K1634,GWL))</f>
        <v>0</v>
      </c>
      <c r="P1634" s="27" t="n">
        <f aca="false">E1634/2+WS+SLOPE_A*O1634+SLOPE_B*N1634</f>
        <v>1.15749676674548</v>
      </c>
      <c r="Q1634" s="28" t="str">
        <f aca="false">IF(AND(P1634&lt;J1634,N1634&lt;=MAXOC),"Open cut","Shoring")</f>
        <v>Open cut</v>
      </c>
      <c r="R1634" s="27" t="n">
        <f aca="false">IF(Q1634="Shoring",D1634,0)</f>
        <v>0</v>
      </c>
      <c r="S1634" s="27" t="n">
        <f aca="false">MAX(0,GWL-L1634)</f>
        <v>0</v>
      </c>
      <c r="T1634" s="27" t="n">
        <f aca="false">MAX(0,NG-MAX(L1634,GWL))</f>
        <v>0</v>
      </c>
      <c r="U1634" s="27" t="n">
        <f aca="false">E1634+2*WS</f>
        <v>2.31499353349097</v>
      </c>
      <c r="V1634" s="27" t="n">
        <f aca="false">IF(Q1634="Shoring",D1634*M1634*U1634,0)</f>
        <v>0</v>
      </c>
      <c r="W1634" s="27" t="n">
        <f aca="false">IF(Q1634="Open cut",D1634*(U1634*M1634+SLOPE_B*S1634^2+2*SLOPE_B*S1634*T1634+SLOPE_A*T1634^2),0)</f>
        <v>0</v>
      </c>
      <c r="X1634" s="27" t="n">
        <f aca="false">IF(M1634&gt;0,D1634*(E1634+2*SLABOVH)*SLAB,0)</f>
        <v>0</v>
      </c>
      <c r="Y1634" s="27" t="n">
        <f aca="false">IF(M1634&gt;0,D1634*PI()*E1634^2/4,0)</f>
        <v>0</v>
      </c>
      <c r="Z1634" s="27" t="n">
        <f aca="false">IF(H1634-E1634&gt;=GWL,99,E1634*(MAX(0,GWL-H1634)*(GAM_S-GAM_W)+MAX(0,NG-MAX(H1634,GWL))*GAM_D)/(GAM_W*PI()*E1634^2/4))</f>
        <v>99</v>
      </c>
      <c r="AA1634" s="27" t="n">
        <f aca="false">IF(I1634-E1634&gt;=GWL,99,E1634*(MAX(0,GWL-I1634)*(GAM_S-GAM_W)+MAX(0,NG-MAX(I1634,GWL))*GAM_D)/(GAM_W*PI()*E1634^2/4))</f>
        <v>99</v>
      </c>
      <c r="AB1634" s="27" t="n">
        <f aca="false">IF(H1634-E1634&gt;=GWL,99,E1634*(MAX(0,GWL-H1634)*(GAM_S-GAM_W)+MAX(0,FL-MAX(H1634,GWL))*GAM_D)/(GAM_W*PI()*E1634^2/4))</f>
        <v>99</v>
      </c>
      <c r="AC1634" s="27" t="n">
        <f aca="false">IF(I1634-E1634&gt;=GWL,99,E1634*(MAX(0,GWL-I1634)*(GAM_S-GAM_W)+MAX(0,FL-MAX(I1634,GWL))*GAM_D)/(GAM_W*PI()*E1634^2/4))</f>
        <v>99</v>
      </c>
    </row>
    <row r="1635" customFormat="false" ht="15" hidden="false" customHeight="false" outlineLevel="0" collapsed="false">
      <c r="A1635" s="25" t="s">
        <v>2312</v>
      </c>
      <c r="B1635" s="25" t="s">
        <v>2313</v>
      </c>
      <c r="C1635" s="25" t="s">
        <v>2316</v>
      </c>
      <c r="D1635" s="26" t="n">
        <v>0.772996603110556</v>
      </c>
      <c r="E1635" s="26" t="n">
        <v>0.314993533490969</v>
      </c>
      <c r="F1635" s="26" t="n">
        <v>-0.547496766745485</v>
      </c>
      <c r="G1635" s="26" t="n">
        <v>-0.546906766745485</v>
      </c>
      <c r="H1635" s="26" t="n">
        <v>0.267496766745485</v>
      </c>
      <c r="I1635" s="26" t="n">
        <v>0.268086766745485</v>
      </c>
      <c r="J1635" s="26" t="n">
        <v>11.21</v>
      </c>
      <c r="K1635" s="27" t="n">
        <f aca="false">MIN(F1635,G1635)</f>
        <v>-0.547496766745485</v>
      </c>
      <c r="L1635" s="27" t="n">
        <f aca="false">AVERAGE(F1635,G1635)</f>
        <v>-0.547201766745485</v>
      </c>
      <c r="M1635" s="27" t="n">
        <f aca="false">MAX(0,NG-L1635)</f>
        <v>0</v>
      </c>
      <c r="N1635" s="27" t="n">
        <f aca="false">MAX(0,GWL-K1635)</f>
        <v>0</v>
      </c>
      <c r="O1635" s="27" t="n">
        <f aca="false">MAX(0,NG-MAX(K1635,GWL))</f>
        <v>0</v>
      </c>
      <c r="P1635" s="27" t="n">
        <f aca="false">E1635/2+WS+SLOPE_A*O1635+SLOPE_B*N1635</f>
        <v>1.15749676674548</v>
      </c>
      <c r="Q1635" s="28" t="str">
        <f aca="false">IF(AND(P1635&lt;J1635,N1635&lt;=MAXOC),"Open cut","Shoring")</f>
        <v>Open cut</v>
      </c>
      <c r="R1635" s="27" t="n">
        <f aca="false">IF(Q1635="Shoring",D1635,0)</f>
        <v>0</v>
      </c>
      <c r="S1635" s="27" t="n">
        <f aca="false">MAX(0,GWL-L1635)</f>
        <v>0</v>
      </c>
      <c r="T1635" s="27" t="n">
        <f aca="false">MAX(0,NG-MAX(L1635,GWL))</f>
        <v>0</v>
      </c>
      <c r="U1635" s="27" t="n">
        <f aca="false">E1635+2*WS</f>
        <v>2.31499353349097</v>
      </c>
      <c r="V1635" s="27" t="n">
        <f aca="false">IF(Q1635="Shoring",D1635*M1635*U1635,0)</f>
        <v>0</v>
      </c>
      <c r="W1635" s="27" t="n">
        <f aca="false">IF(Q1635="Open cut",D1635*(U1635*M1635+SLOPE_B*S1635^2+2*SLOPE_B*S1635*T1635+SLOPE_A*T1635^2),0)</f>
        <v>0</v>
      </c>
      <c r="X1635" s="27" t="n">
        <f aca="false">IF(M1635&gt;0,D1635*(E1635+2*SLABOVH)*SLAB,0)</f>
        <v>0</v>
      </c>
      <c r="Y1635" s="27" t="n">
        <f aca="false">IF(M1635&gt;0,D1635*PI()*E1635^2/4,0)</f>
        <v>0</v>
      </c>
      <c r="Z1635" s="27" t="n">
        <f aca="false">IF(H1635-E1635&gt;=GWL,99,E1635*(MAX(0,GWL-H1635)*(GAM_S-GAM_W)+MAX(0,NG-MAX(H1635,GWL))*GAM_D)/(GAM_W*PI()*E1635^2/4))</f>
        <v>99</v>
      </c>
      <c r="AA1635" s="27" t="n">
        <f aca="false">IF(I1635-E1635&gt;=GWL,99,E1635*(MAX(0,GWL-I1635)*(GAM_S-GAM_W)+MAX(0,NG-MAX(I1635,GWL))*GAM_D)/(GAM_W*PI()*E1635^2/4))</f>
        <v>99</v>
      </c>
      <c r="AB1635" s="27" t="n">
        <f aca="false">IF(H1635-E1635&gt;=GWL,99,E1635*(MAX(0,GWL-H1635)*(GAM_S-GAM_W)+MAX(0,FL-MAX(H1635,GWL))*GAM_D)/(GAM_W*PI()*E1635^2/4))</f>
        <v>99</v>
      </c>
      <c r="AC1635" s="27" t="n">
        <f aca="false">IF(I1635-E1635&gt;=GWL,99,E1635*(MAX(0,GWL-I1635)*(GAM_S-GAM_W)+MAX(0,FL-MAX(I1635,GWL))*GAM_D)/(GAM_W*PI()*E1635^2/4))</f>
        <v>99</v>
      </c>
    </row>
    <row r="1636" customFormat="false" ht="15" hidden="false" customHeight="false" outlineLevel="0" collapsed="false">
      <c r="A1636" s="25" t="s">
        <v>2312</v>
      </c>
      <c r="B1636" s="25" t="s">
        <v>2313</v>
      </c>
      <c r="C1636" s="25" t="s">
        <v>2317</v>
      </c>
      <c r="D1636" s="26" t="n">
        <v>1.10000099761172</v>
      </c>
      <c r="E1636" s="26" t="n">
        <v>0.314996780067832</v>
      </c>
      <c r="F1636" s="26" t="n">
        <v>-0.546908390033916</v>
      </c>
      <c r="G1636" s="26" t="n">
        <v>-0.546478390033916</v>
      </c>
      <c r="H1636" s="26" t="n">
        <v>0.268088390033916</v>
      </c>
      <c r="I1636" s="26" t="n">
        <v>0.268518390033916</v>
      </c>
      <c r="J1636" s="26" t="n">
        <v>11.21</v>
      </c>
      <c r="K1636" s="27" t="n">
        <f aca="false">MIN(F1636,G1636)</f>
        <v>-0.546908390033916</v>
      </c>
      <c r="L1636" s="27" t="n">
        <f aca="false">AVERAGE(F1636,G1636)</f>
        <v>-0.546693390033916</v>
      </c>
      <c r="M1636" s="27" t="n">
        <f aca="false">MAX(0,NG-L1636)</f>
        <v>0</v>
      </c>
      <c r="N1636" s="27" t="n">
        <f aca="false">MAX(0,GWL-K1636)</f>
        <v>0</v>
      </c>
      <c r="O1636" s="27" t="n">
        <f aca="false">MAX(0,NG-MAX(K1636,GWL))</f>
        <v>0</v>
      </c>
      <c r="P1636" s="27" t="n">
        <f aca="false">E1636/2+WS+SLOPE_A*O1636+SLOPE_B*N1636</f>
        <v>1.15749839003392</v>
      </c>
      <c r="Q1636" s="28" t="str">
        <f aca="false">IF(AND(P1636&lt;J1636,N1636&lt;=MAXOC),"Open cut","Shoring")</f>
        <v>Open cut</v>
      </c>
      <c r="R1636" s="27" t="n">
        <f aca="false">IF(Q1636="Shoring",D1636,0)</f>
        <v>0</v>
      </c>
      <c r="S1636" s="27" t="n">
        <f aca="false">MAX(0,GWL-L1636)</f>
        <v>0</v>
      </c>
      <c r="T1636" s="27" t="n">
        <f aca="false">MAX(0,NG-MAX(L1636,GWL))</f>
        <v>0</v>
      </c>
      <c r="U1636" s="27" t="n">
        <f aca="false">E1636+2*WS</f>
        <v>2.31499678006783</v>
      </c>
      <c r="V1636" s="27" t="n">
        <f aca="false">IF(Q1636="Shoring",D1636*M1636*U1636,0)</f>
        <v>0</v>
      </c>
      <c r="W1636" s="27" t="n">
        <f aca="false">IF(Q1636="Open cut",D1636*(U1636*M1636+SLOPE_B*S1636^2+2*SLOPE_B*S1636*T1636+SLOPE_A*T1636^2),0)</f>
        <v>0</v>
      </c>
      <c r="X1636" s="27" t="n">
        <f aca="false">IF(M1636&gt;0,D1636*(E1636+2*SLABOVH)*SLAB,0)</f>
        <v>0</v>
      </c>
      <c r="Y1636" s="27" t="n">
        <f aca="false">IF(M1636&gt;0,D1636*PI()*E1636^2/4,0)</f>
        <v>0</v>
      </c>
      <c r="Z1636" s="27" t="n">
        <f aca="false">IF(H1636-E1636&gt;=GWL,99,E1636*(MAX(0,GWL-H1636)*(GAM_S-GAM_W)+MAX(0,NG-MAX(H1636,GWL))*GAM_D)/(GAM_W*PI()*E1636^2/4))</f>
        <v>99</v>
      </c>
      <c r="AA1636" s="27" t="n">
        <f aca="false">IF(I1636-E1636&gt;=GWL,99,E1636*(MAX(0,GWL-I1636)*(GAM_S-GAM_W)+MAX(0,NG-MAX(I1636,GWL))*GAM_D)/(GAM_W*PI()*E1636^2/4))</f>
        <v>99</v>
      </c>
      <c r="AB1636" s="27" t="n">
        <f aca="false">IF(H1636-E1636&gt;=GWL,99,E1636*(MAX(0,GWL-H1636)*(GAM_S-GAM_W)+MAX(0,FL-MAX(H1636,GWL))*GAM_D)/(GAM_W*PI()*E1636^2/4))</f>
        <v>99</v>
      </c>
      <c r="AC1636" s="27" t="n">
        <f aca="false">IF(I1636-E1636&gt;=GWL,99,E1636*(MAX(0,GWL-I1636)*(GAM_S-GAM_W)+MAX(0,FL-MAX(I1636,GWL))*GAM_D)/(GAM_W*PI()*E1636^2/4))</f>
        <v>99</v>
      </c>
    </row>
    <row r="1637" customFormat="false" ht="15" hidden="false" customHeight="false" outlineLevel="0" collapsed="false">
      <c r="A1637" s="25" t="s">
        <v>2312</v>
      </c>
      <c r="B1637" s="25" t="s">
        <v>2313</v>
      </c>
      <c r="C1637" s="25" t="s">
        <v>2318</v>
      </c>
      <c r="D1637" s="26" t="n">
        <v>0.169990000932891</v>
      </c>
      <c r="E1637" s="26" t="n">
        <v>0.314996780067832</v>
      </c>
      <c r="F1637" s="26" t="n">
        <v>-0.546478390033916</v>
      </c>
      <c r="G1637" s="26" t="n">
        <v>-0.546348390033916</v>
      </c>
      <c r="H1637" s="26" t="n">
        <v>0.268518390033916</v>
      </c>
      <c r="I1637" s="26" t="n">
        <v>0.268648390033916</v>
      </c>
      <c r="J1637" s="26" t="n">
        <v>11.24</v>
      </c>
      <c r="K1637" s="27" t="n">
        <f aca="false">MIN(F1637,G1637)</f>
        <v>-0.546478390033916</v>
      </c>
      <c r="L1637" s="27" t="n">
        <f aca="false">AVERAGE(F1637,G1637)</f>
        <v>-0.546413390033916</v>
      </c>
      <c r="M1637" s="27" t="n">
        <f aca="false">MAX(0,NG-L1637)</f>
        <v>0</v>
      </c>
      <c r="N1637" s="27" t="n">
        <f aca="false">MAX(0,GWL-K1637)</f>
        <v>0</v>
      </c>
      <c r="O1637" s="27" t="n">
        <f aca="false">MAX(0,NG-MAX(K1637,GWL))</f>
        <v>0</v>
      </c>
      <c r="P1637" s="27" t="n">
        <f aca="false">E1637/2+WS+SLOPE_A*O1637+SLOPE_B*N1637</f>
        <v>1.15749839003392</v>
      </c>
      <c r="Q1637" s="28" t="str">
        <f aca="false">IF(AND(P1637&lt;J1637,N1637&lt;=MAXOC),"Open cut","Shoring")</f>
        <v>Open cut</v>
      </c>
      <c r="R1637" s="27" t="n">
        <f aca="false">IF(Q1637="Shoring",D1637,0)</f>
        <v>0</v>
      </c>
      <c r="S1637" s="27" t="n">
        <f aca="false">MAX(0,GWL-L1637)</f>
        <v>0</v>
      </c>
      <c r="T1637" s="27" t="n">
        <f aca="false">MAX(0,NG-MAX(L1637,GWL))</f>
        <v>0</v>
      </c>
      <c r="U1637" s="27" t="n">
        <f aca="false">E1637+2*WS</f>
        <v>2.31499678006783</v>
      </c>
      <c r="V1637" s="27" t="n">
        <f aca="false">IF(Q1637="Shoring",D1637*M1637*U1637,0)</f>
        <v>0</v>
      </c>
      <c r="W1637" s="27" t="n">
        <f aca="false">IF(Q1637="Open cut",D1637*(U1637*M1637+SLOPE_B*S1637^2+2*SLOPE_B*S1637*T1637+SLOPE_A*T1637^2),0)</f>
        <v>0</v>
      </c>
      <c r="X1637" s="27" t="n">
        <f aca="false">IF(M1637&gt;0,D1637*(E1637+2*SLABOVH)*SLAB,0)</f>
        <v>0</v>
      </c>
      <c r="Y1637" s="27" t="n">
        <f aca="false">IF(M1637&gt;0,D1637*PI()*E1637^2/4,0)</f>
        <v>0</v>
      </c>
      <c r="Z1637" s="27" t="n">
        <f aca="false">IF(H1637-E1637&gt;=GWL,99,E1637*(MAX(0,GWL-H1637)*(GAM_S-GAM_W)+MAX(0,NG-MAX(H1637,GWL))*GAM_D)/(GAM_W*PI()*E1637^2/4))</f>
        <v>99</v>
      </c>
      <c r="AA1637" s="27" t="n">
        <f aca="false">IF(I1637-E1637&gt;=GWL,99,E1637*(MAX(0,GWL-I1637)*(GAM_S-GAM_W)+MAX(0,NG-MAX(I1637,GWL))*GAM_D)/(GAM_W*PI()*E1637^2/4))</f>
        <v>99</v>
      </c>
      <c r="AB1637" s="27" t="n">
        <f aca="false">IF(H1637-E1637&gt;=GWL,99,E1637*(MAX(0,GWL-H1637)*(GAM_S-GAM_W)+MAX(0,FL-MAX(H1637,GWL))*GAM_D)/(GAM_W*PI()*E1637^2/4))</f>
        <v>99</v>
      </c>
      <c r="AC1637" s="27" t="n">
        <f aca="false">IF(I1637-E1637&gt;=GWL,99,E1637*(MAX(0,GWL-I1637)*(GAM_S-GAM_W)+MAX(0,FL-MAX(I1637,GWL))*GAM_D)/(GAM_W*PI()*E1637^2/4))</f>
        <v>99</v>
      </c>
    </row>
    <row r="1638" customFormat="false" ht="15" hidden="false" customHeight="false" outlineLevel="0" collapsed="false">
      <c r="A1638" s="25" t="s">
        <v>2312</v>
      </c>
      <c r="B1638" s="25" t="s">
        <v>2313</v>
      </c>
      <c r="C1638" s="25" t="s">
        <v>2319</v>
      </c>
      <c r="D1638" s="26" t="n">
        <v>5.81434239806384</v>
      </c>
      <c r="E1638" s="26" t="n">
        <v>0.314999467537836</v>
      </c>
      <c r="F1638" s="26" t="n">
        <v>-0.546349733768918</v>
      </c>
      <c r="G1638" s="26" t="n">
        <v>-0.541876724616754</v>
      </c>
      <c r="H1638" s="26" t="n">
        <v>0.268649733768918</v>
      </c>
      <c r="I1638" s="26" t="n">
        <v>0.273122742921082</v>
      </c>
      <c r="J1638" s="26" t="n">
        <v>11.25</v>
      </c>
      <c r="K1638" s="27" t="n">
        <f aca="false">MIN(F1638,G1638)</f>
        <v>-0.546349733768918</v>
      </c>
      <c r="L1638" s="27" t="n">
        <f aca="false">AVERAGE(F1638,G1638)</f>
        <v>-0.544113229192836</v>
      </c>
      <c r="M1638" s="27" t="n">
        <f aca="false">MAX(0,NG-L1638)</f>
        <v>0</v>
      </c>
      <c r="N1638" s="27" t="n">
        <f aca="false">MAX(0,GWL-K1638)</f>
        <v>0</v>
      </c>
      <c r="O1638" s="27" t="n">
        <f aca="false">MAX(0,NG-MAX(K1638,GWL))</f>
        <v>0</v>
      </c>
      <c r="P1638" s="27" t="n">
        <f aca="false">E1638/2+WS+SLOPE_A*O1638+SLOPE_B*N1638</f>
        <v>1.15749973376892</v>
      </c>
      <c r="Q1638" s="28" t="str">
        <f aca="false">IF(AND(P1638&lt;J1638,N1638&lt;=MAXOC),"Open cut","Shoring")</f>
        <v>Open cut</v>
      </c>
      <c r="R1638" s="27" t="n">
        <f aca="false">IF(Q1638="Shoring",D1638,0)</f>
        <v>0</v>
      </c>
      <c r="S1638" s="27" t="n">
        <f aca="false">MAX(0,GWL-L1638)</f>
        <v>0</v>
      </c>
      <c r="T1638" s="27" t="n">
        <f aca="false">MAX(0,NG-MAX(L1638,GWL))</f>
        <v>0</v>
      </c>
      <c r="U1638" s="27" t="n">
        <f aca="false">E1638+2*WS</f>
        <v>2.31499946753784</v>
      </c>
      <c r="V1638" s="27" t="n">
        <f aca="false">IF(Q1638="Shoring",D1638*M1638*U1638,0)</f>
        <v>0</v>
      </c>
      <c r="W1638" s="27" t="n">
        <f aca="false">IF(Q1638="Open cut",D1638*(U1638*M1638+SLOPE_B*S1638^2+2*SLOPE_B*S1638*T1638+SLOPE_A*T1638^2),0)</f>
        <v>0</v>
      </c>
      <c r="X1638" s="27" t="n">
        <f aca="false">IF(M1638&gt;0,D1638*(E1638+2*SLABOVH)*SLAB,0)</f>
        <v>0</v>
      </c>
      <c r="Y1638" s="27" t="n">
        <f aca="false">IF(M1638&gt;0,D1638*PI()*E1638^2/4,0)</f>
        <v>0</v>
      </c>
      <c r="Z1638" s="27" t="n">
        <f aca="false">IF(H1638-E1638&gt;=GWL,99,E1638*(MAX(0,GWL-H1638)*(GAM_S-GAM_W)+MAX(0,NG-MAX(H1638,GWL))*GAM_D)/(GAM_W*PI()*E1638^2/4))</f>
        <v>99</v>
      </c>
      <c r="AA1638" s="27" t="n">
        <f aca="false">IF(I1638-E1638&gt;=GWL,99,E1638*(MAX(0,GWL-I1638)*(GAM_S-GAM_W)+MAX(0,NG-MAX(I1638,GWL))*GAM_D)/(GAM_W*PI()*E1638^2/4))</f>
        <v>99</v>
      </c>
      <c r="AB1638" s="27" t="n">
        <f aca="false">IF(H1638-E1638&gt;=GWL,99,E1638*(MAX(0,GWL-H1638)*(GAM_S-GAM_W)+MAX(0,FL-MAX(H1638,GWL))*GAM_D)/(GAM_W*PI()*E1638^2/4))</f>
        <v>99</v>
      </c>
      <c r="AC1638" s="27" t="n">
        <f aca="false">IF(I1638-E1638&gt;=GWL,99,E1638*(MAX(0,GWL-I1638)*(GAM_S-GAM_W)+MAX(0,FL-MAX(I1638,GWL))*GAM_D)/(GAM_W*PI()*E1638^2/4))</f>
        <v>99</v>
      </c>
    </row>
    <row r="1639" customFormat="false" ht="15" hidden="false" customHeight="false" outlineLevel="0" collapsed="false">
      <c r="A1639" s="25" t="s">
        <v>2312</v>
      </c>
      <c r="B1639" s="25" t="s">
        <v>2313</v>
      </c>
      <c r="C1639" s="25" t="s">
        <v>2320</v>
      </c>
      <c r="D1639" s="26" t="n">
        <v>4.14268233794166</v>
      </c>
      <c r="E1639" s="26" t="n">
        <v>0.314999467537836</v>
      </c>
      <c r="F1639" s="26" t="n">
        <v>-0.541876724616754</v>
      </c>
      <c r="G1639" s="26" t="n">
        <v>-0.538689733768918</v>
      </c>
      <c r="H1639" s="26" t="n">
        <v>0.273122742921082</v>
      </c>
      <c r="I1639" s="26" t="n">
        <v>0.276309733768918</v>
      </c>
      <c r="J1639" s="26" t="n">
        <v>13.08</v>
      </c>
      <c r="K1639" s="27" t="n">
        <f aca="false">MIN(F1639,G1639)</f>
        <v>-0.541876724616754</v>
      </c>
      <c r="L1639" s="27" t="n">
        <f aca="false">AVERAGE(F1639,G1639)</f>
        <v>-0.540283229192836</v>
      </c>
      <c r="M1639" s="27" t="n">
        <f aca="false">MAX(0,NG-L1639)</f>
        <v>0</v>
      </c>
      <c r="N1639" s="27" t="n">
        <f aca="false">MAX(0,GWL-K1639)</f>
        <v>0</v>
      </c>
      <c r="O1639" s="27" t="n">
        <f aca="false">MAX(0,NG-MAX(K1639,GWL))</f>
        <v>0</v>
      </c>
      <c r="P1639" s="27" t="n">
        <f aca="false">E1639/2+WS+SLOPE_A*O1639+SLOPE_B*N1639</f>
        <v>1.15749973376892</v>
      </c>
      <c r="Q1639" s="28" t="str">
        <f aca="false">IF(AND(P1639&lt;J1639,N1639&lt;=MAXOC),"Open cut","Shoring")</f>
        <v>Open cut</v>
      </c>
      <c r="R1639" s="27" t="n">
        <f aca="false">IF(Q1639="Shoring",D1639,0)</f>
        <v>0</v>
      </c>
      <c r="S1639" s="27" t="n">
        <f aca="false">MAX(0,GWL-L1639)</f>
        <v>0</v>
      </c>
      <c r="T1639" s="27" t="n">
        <f aca="false">MAX(0,NG-MAX(L1639,GWL))</f>
        <v>0</v>
      </c>
      <c r="U1639" s="27" t="n">
        <f aca="false">E1639+2*WS</f>
        <v>2.31499946753784</v>
      </c>
      <c r="V1639" s="27" t="n">
        <f aca="false">IF(Q1639="Shoring",D1639*M1639*U1639,0)</f>
        <v>0</v>
      </c>
      <c r="W1639" s="27" t="n">
        <f aca="false">IF(Q1639="Open cut",D1639*(U1639*M1639+SLOPE_B*S1639^2+2*SLOPE_B*S1639*T1639+SLOPE_A*T1639^2),0)</f>
        <v>0</v>
      </c>
      <c r="X1639" s="27" t="n">
        <f aca="false">IF(M1639&gt;0,D1639*(E1639+2*SLABOVH)*SLAB,0)</f>
        <v>0</v>
      </c>
      <c r="Y1639" s="27" t="n">
        <f aca="false">IF(M1639&gt;0,D1639*PI()*E1639^2/4,0)</f>
        <v>0</v>
      </c>
      <c r="Z1639" s="27" t="n">
        <f aca="false">IF(H1639-E1639&gt;=GWL,99,E1639*(MAX(0,GWL-H1639)*(GAM_S-GAM_W)+MAX(0,NG-MAX(H1639,GWL))*GAM_D)/(GAM_W*PI()*E1639^2/4))</f>
        <v>99</v>
      </c>
      <c r="AA1639" s="27" t="n">
        <f aca="false">IF(I1639-E1639&gt;=GWL,99,E1639*(MAX(0,GWL-I1639)*(GAM_S-GAM_W)+MAX(0,NG-MAX(I1639,GWL))*GAM_D)/(GAM_W*PI()*E1639^2/4))</f>
        <v>99</v>
      </c>
      <c r="AB1639" s="27" t="n">
        <f aca="false">IF(H1639-E1639&gt;=GWL,99,E1639*(MAX(0,GWL-H1639)*(GAM_S-GAM_W)+MAX(0,FL-MAX(H1639,GWL))*GAM_D)/(GAM_W*PI()*E1639^2/4))</f>
        <v>99</v>
      </c>
      <c r="AC1639" s="27" t="n">
        <f aca="false">IF(I1639-E1639&gt;=GWL,99,E1639*(MAX(0,GWL-I1639)*(GAM_S-GAM_W)+MAX(0,FL-MAX(I1639,GWL))*GAM_D)/(GAM_W*PI()*E1639^2/4))</f>
        <v>99</v>
      </c>
    </row>
    <row r="1640" customFormat="false" ht="15" hidden="false" customHeight="false" outlineLevel="0" collapsed="false">
      <c r="A1640" s="25" t="s">
        <v>2312</v>
      </c>
      <c r="B1640" s="25" t="s">
        <v>2313</v>
      </c>
      <c r="C1640" s="25" t="s">
        <v>2321</v>
      </c>
      <c r="D1640" s="26" t="n">
        <v>0.772994954284097</v>
      </c>
      <c r="E1640" s="26" t="n">
        <v>0.314999467537836</v>
      </c>
      <c r="F1640" s="26" t="n">
        <v>-0.538689733768918</v>
      </c>
      <c r="G1640" s="26" t="n">
        <v>-0.538099733768918</v>
      </c>
      <c r="H1640" s="26" t="n">
        <v>0.276309733768918</v>
      </c>
      <c r="I1640" s="26" t="n">
        <v>0.276899733768918</v>
      </c>
      <c r="J1640" s="26" t="n">
        <v>13.24</v>
      </c>
      <c r="K1640" s="27" t="n">
        <f aca="false">MIN(F1640,G1640)</f>
        <v>-0.538689733768918</v>
      </c>
      <c r="L1640" s="27" t="n">
        <f aca="false">AVERAGE(F1640,G1640)</f>
        <v>-0.538394733768918</v>
      </c>
      <c r="M1640" s="27" t="n">
        <f aca="false">MAX(0,NG-L1640)</f>
        <v>0</v>
      </c>
      <c r="N1640" s="27" t="n">
        <f aca="false">MAX(0,GWL-K1640)</f>
        <v>0</v>
      </c>
      <c r="O1640" s="27" t="n">
        <f aca="false">MAX(0,NG-MAX(K1640,GWL))</f>
        <v>0</v>
      </c>
      <c r="P1640" s="27" t="n">
        <f aca="false">E1640/2+WS+SLOPE_A*O1640+SLOPE_B*N1640</f>
        <v>1.15749973376892</v>
      </c>
      <c r="Q1640" s="28" t="str">
        <f aca="false">IF(AND(P1640&lt;J1640,N1640&lt;=MAXOC),"Open cut","Shoring")</f>
        <v>Open cut</v>
      </c>
      <c r="R1640" s="27" t="n">
        <f aca="false">IF(Q1640="Shoring",D1640,0)</f>
        <v>0</v>
      </c>
      <c r="S1640" s="27" t="n">
        <f aca="false">MAX(0,GWL-L1640)</f>
        <v>0</v>
      </c>
      <c r="T1640" s="27" t="n">
        <f aca="false">MAX(0,NG-MAX(L1640,GWL))</f>
        <v>0</v>
      </c>
      <c r="U1640" s="27" t="n">
        <f aca="false">E1640+2*WS</f>
        <v>2.31499946753784</v>
      </c>
      <c r="V1640" s="27" t="n">
        <f aca="false">IF(Q1640="Shoring",D1640*M1640*U1640,0)</f>
        <v>0</v>
      </c>
      <c r="W1640" s="27" t="n">
        <f aca="false">IF(Q1640="Open cut",D1640*(U1640*M1640+SLOPE_B*S1640^2+2*SLOPE_B*S1640*T1640+SLOPE_A*T1640^2),0)</f>
        <v>0</v>
      </c>
      <c r="X1640" s="27" t="n">
        <f aca="false">IF(M1640&gt;0,D1640*(E1640+2*SLABOVH)*SLAB,0)</f>
        <v>0</v>
      </c>
      <c r="Y1640" s="27" t="n">
        <f aca="false">IF(M1640&gt;0,D1640*PI()*E1640^2/4,0)</f>
        <v>0</v>
      </c>
      <c r="Z1640" s="27" t="n">
        <f aca="false">IF(H1640-E1640&gt;=GWL,99,E1640*(MAX(0,GWL-H1640)*(GAM_S-GAM_W)+MAX(0,NG-MAX(H1640,GWL))*GAM_D)/(GAM_W*PI()*E1640^2/4))</f>
        <v>99</v>
      </c>
      <c r="AA1640" s="27" t="n">
        <f aca="false">IF(I1640-E1640&gt;=GWL,99,E1640*(MAX(0,GWL-I1640)*(GAM_S-GAM_W)+MAX(0,NG-MAX(I1640,GWL))*GAM_D)/(GAM_W*PI()*E1640^2/4))</f>
        <v>99</v>
      </c>
      <c r="AB1640" s="27" t="n">
        <f aca="false">IF(H1640-E1640&gt;=GWL,99,E1640*(MAX(0,GWL-H1640)*(GAM_S-GAM_W)+MAX(0,FL-MAX(H1640,GWL))*GAM_D)/(GAM_W*PI()*E1640^2/4))</f>
        <v>99</v>
      </c>
      <c r="AC1640" s="27" t="n">
        <f aca="false">IF(I1640-E1640&gt;=GWL,99,E1640*(MAX(0,GWL-I1640)*(GAM_S-GAM_W)+MAX(0,FL-MAX(I1640,GWL))*GAM_D)/(GAM_W*PI()*E1640^2/4))</f>
        <v>99</v>
      </c>
    </row>
    <row r="1641" customFormat="false" ht="15" hidden="false" customHeight="false" outlineLevel="0" collapsed="false">
      <c r="A1641" s="25" t="s">
        <v>2312</v>
      </c>
      <c r="B1641" s="25" t="s">
        <v>2313</v>
      </c>
      <c r="C1641" s="25" t="s">
        <v>2322</v>
      </c>
      <c r="D1641" s="26" t="n">
        <v>0.779027526589024</v>
      </c>
      <c r="E1641" s="26" t="n">
        <v>0.31500217193228</v>
      </c>
      <c r="F1641" s="26" t="n">
        <v>-0.53810108596614</v>
      </c>
      <c r="G1641" s="26" t="n">
        <v>-0.53750108596614</v>
      </c>
      <c r="H1641" s="26" t="n">
        <v>0.27690108596614</v>
      </c>
      <c r="I1641" s="26" t="n">
        <v>0.27750108596614</v>
      </c>
      <c r="J1641" s="26" t="n">
        <v>13.24</v>
      </c>
      <c r="K1641" s="27" t="n">
        <f aca="false">MIN(F1641,G1641)</f>
        <v>-0.53810108596614</v>
      </c>
      <c r="L1641" s="27" t="n">
        <f aca="false">AVERAGE(F1641,G1641)</f>
        <v>-0.53780108596614</v>
      </c>
      <c r="M1641" s="27" t="n">
        <f aca="false">MAX(0,NG-L1641)</f>
        <v>0</v>
      </c>
      <c r="N1641" s="27" t="n">
        <f aca="false">MAX(0,GWL-K1641)</f>
        <v>0</v>
      </c>
      <c r="O1641" s="27" t="n">
        <f aca="false">MAX(0,NG-MAX(K1641,GWL))</f>
        <v>0</v>
      </c>
      <c r="P1641" s="27" t="n">
        <f aca="false">E1641/2+WS+SLOPE_A*O1641+SLOPE_B*N1641</f>
        <v>1.15750108596614</v>
      </c>
      <c r="Q1641" s="28" t="str">
        <f aca="false">IF(AND(P1641&lt;J1641,N1641&lt;=MAXOC),"Open cut","Shoring")</f>
        <v>Open cut</v>
      </c>
      <c r="R1641" s="27" t="n">
        <f aca="false">IF(Q1641="Shoring",D1641,0)</f>
        <v>0</v>
      </c>
      <c r="S1641" s="27" t="n">
        <f aca="false">MAX(0,GWL-L1641)</f>
        <v>0</v>
      </c>
      <c r="T1641" s="27" t="n">
        <f aca="false">MAX(0,NG-MAX(L1641,GWL))</f>
        <v>0</v>
      </c>
      <c r="U1641" s="27" t="n">
        <f aca="false">E1641+2*WS</f>
        <v>2.31500217193228</v>
      </c>
      <c r="V1641" s="27" t="n">
        <f aca="false">IF(Q1641="Shoring",D1641*M1641*U1641,0)</f>
        <v>0</v>
      </c>
      <c r="W1641" s="27" t="n">
        <f aca="false">IF(Q1641="Open cut",D1641*(U1641*M1641+SLOPE_B*S1641^2+2*SLOPE_B*S1641*T1641+SLOPE_A*T1641^2),0)</f>
        <v>0</v>
      </c>
      <c r="X1641" s="27" t="n">
        <f aca="false">IF(M1641&gt;0,D1641*(E1641+2*SLABOVH)*SLAB,0)</f>
        <v>0</v>
      </c>
      <c r="Y1641" s="27" t="n">
        <f aca="false">IF(M1641&gt;0,D1641*PI()*E1641^2/4,0)</f>
        <v>0</v>
      </c>
      <c r="Z1641" s="27" t="n">
        <f aca="false">IF(H1641-E1641&gt;=GWL,99,E1641*(MAX(0,GWL-H1641)*(GAM_S-GAM_W)+MAX(0,NG-MAX(H1641,GWL))*GAM_D)/(GAM_W*PI()*E1641^2/4))</f>
        <v>99</v>
      </c>
      <c r="AA1641" s="27" t="n">
        <f aca="false">IF(I1641-E1641&gt;=GWL,99,E1641*(MAX(0,GWL-I1641)*(GAM_S-GAM_W)+MAX(0,NG-MAX(I1641,GWL))*GAM_D)/(GAM_W*PI()*E1641^2/4))</f>
        <v>99</v>
      </c>
      <c r="AB1641" s="27" t="n">
        <f aca="false">IF(H1641-E1641&gt;=GWL,99,E1641*(MAX(0,GWL-H1641)*(GAM_S-GAM_W)+MAX(0,FL-MAX(H1641,GWL))*GAM_D)/(GAM_W*PI()*E1641^2/4))</f>
        <v>99</v>
      </c>
      <c r="AC1641" s="27" t="n">
        <f aca="false">IF(I1641-E1641&gt;=GWL,99,E1641*(MAX(0,GWL-I1641)*(GAM_S-GAM_W)+MAX(0,FL-MAX(I1641,GWL))*GAM_D)/(GAM_W*PI()*E1641^2/4))</f>
        <v>99</v>
      </c>
    </row>
    <row r="1642" customFormat="false" ht="15" hidden="false" customHeight="false" outlineLevel="0" collapsed="false">
      <c r="A1642" s="25" t="s">
        <v>2312</v>
      </c>
      <c r="B1642" s="25" t="s">
        <v>2313</v>
      </c>
      <c r="C1642" s="25" t="s">
        <v>2323</v>
      </c>
      <c r="D1642" s="26" t="n">
        <v>2.09716000031666</v>
      </c>
      <c r="E1642" s="26" t="n">
        <v>0.314993533161776</v>
      </c>
      <c r="F1642" s="26" t="n">
        <v>-0.537496766580888</v>
      </c>
      <c r="G1642" s="26" t="n">
        <v>-0.537496766580888</v>
      </c>
      <c r="H1642" s="26" t="n">
        <v>0.277496766580888</v>
      </c>
      <c r="I1642" s="26" t="n">
        <v>0.277496766580888</v>
      </c>
      <c r="J1642" s="26" t="n">
        <v>14.02</v>
      </c>
      <c r="K1642" s="27" t="n">
        <f aca="false">MIN(F1642,G1642)</f>
        <v>-0.537496766580888</v>
      </c>
      <c r="L1642" s="27" t="n">
        <f aca="false">AVERAGE(F1642,G1642)</f>
        <v>-0.537496766580888</v>
      </c>
      <c r="M1642" s="27" t="n">
        <f aca="false">MAX(0,NG-L1642)</f>
        <v>0</v>
      </c>
      <c r="N1642" s="27" t="n">
        <f aca="false">MAX(0,GWL-K1642)</f>
        <v>0</v>
      </c>
      <c r="O1642" s="27" t="n">
        <f aca="false">MAX(0,NG-MAX(K1642,GWL))</f>
        <v>0</v>
      </c>
      <c r="P1642" s="27" t="n">
        <f aca="false">E1642/2+WS+SLOPE_A*O1642+SLOPE_B*N1642</f>
        <v>1.15749676658089</v>
      </c>
      <c r="Q1642" s="28" t="str">
        <f aca="false">IF(AND(P1642&lt;J1642,N1642&lt;=MAXOC),"Open cut","Shoring")</f>
        <v>Open cut</v>
      </c>
      <c r="R1642" s="27" t="n">
        <f aca="false">IF(Q1642="Shoring",D1642,0)</f>
        <v>0</v>
      </c>
      <c r="S1642" s="27" t="n">
        <f aca="false">MAX(0,GWL-L1642)</f>
        <v>0</v>
      </c>
      <c r="T1642" s="27" t="n">
        <f aca="false">MAX(0,NG-MAX(L1642,GWL))</f>
        <v>0</v>
      </c>
      <c r="U1642" s="27" t="n">
        <f aca="false">E1642+2*WS</f>
        <v>2.31499353316178</v>
      </c>
      <c r="V1642" s="27" t="n">
        <f aca="false">IF(Q1642="Shoring",D1642*M1642*U1642,0)</f>
        <v>0</v>
      </c>
      <c r="W1642" s="27" t="n">
        <f aca="false">IF(Q1642="Open cut",D1642*(U1642*M1642+SLOPE_B*S1642^2+2*SLOPE_B*S1642*T1642+SLOPE_A*T1642^2),0)</f>
        <v>0</v>
      </c>
      <c r="X1642" s="27" t="n">
        <f aca="false">IF(M1642&gt;0,D1642*(E1642+2*SLABOVH)*SLAB,0)</f>
        <v>0</v>
      </c>
      <c r="Y1642" s="27" t="n">
        <f aca="false">IF(M1642&gt;0,D1642*PI()*E1642^2/4,0)</f>
        <v>0</v>
      </c>
      <c r="Z1642" s="27" t="n">
        <f aca="false">IF(H1642-E1642&gt;=GWL,99,E1642*(MAX(0,GWL-H1642)*(GAM_S-GAM_W)+MAX(0,NG-MAX(H1642,GWL))*GAM_D)/(GAM_W*PI()*E1642^2/4))</f>
        <v>99</v>
      </c>
      <c r="AA1642" s="27" t="n">
        <f aca="false">IF(I1642-E1642&gt;=GWL,99,E1642*(MAX(0,GWL-I1642)*(GAM_S-GAM_W)+MAX(0,NG-MAX(I1642,GWL))*GAM_D)/(GAM_W*PI()*E1642^2/4))</f>
        <v>99</v>
      </c>
      <c r="AB1642" s="27" t="n">
        <f aca="false">IF(H1642-E1642&gt;=GWL,99,E1642*(MAX(0,GWL-H1642)*(GAM_S-GAM_W)+MAX(0,FL-MAX(H1642,GWL))*GAM_D)/(GAM_W*PI()*E1642^2/4))</f>
        <v>99</v>
      </c>
      <c r="AC1642" s="27" t="n">
        <f aca="false">IF(I1642-E1642&gt;=GWL,99,E1642*(MAX(0,GWL-I1642)*(GAM_S-GAM_W)+MAX(0,FL-MAX(I1642,GWL))*GAM_D)/(GAM_W*PI()*E1642^2/4))</f>
        <v>99</v>
      </c>
    </row>
    <row r="1643" customFormat="false" ht="15" hidden="false" customHeight="false" outlineLevel="0" collapsed="false">
      <c r="A1643" s="25" t="s">
        <v>2312</v>
      </c>
      <c r="B1643" s="25" t="s">
        <v>2313</v>
      </c>
      <c r="C1643" s="25" t="s">
        <v>2324</v>
      </c>
      <c r="D1643" s="26" t="n">
        <v>0.0455100000415644</v>
      </c>
      <c r="E1643" s="26" t="n">
        <v>0.314993533161776</v>
      </c>
      <c r="F1643" s="26" t="n">
        <v>-0.537496766580888</v>
      </c>
      <c r="G1643" s="26" t="n">
        <v>-0.537496766580888</v>
      </c>
      <c r="H1643" s="26" t="n">
        <v>0.277496766580888</v>
      </c>
      <c r="I1643" s="26" t="n">
        <v>0.277496766580888</v>
      </c>
      <c r="J1643" s="26" t="n">
        <v>16.11</v>
      </c>
      <c r="K1643" s="27" t="n">
        <f aca="false">MIN(F1643,G1643)</f>
        <v>-0.537496766580888</v>
      </c>
      <c r="L1643" s="27" t="n">
        <f aca="false">AVERAGE(F1643,G1643)</f>
        <v>-0.537496766580888</v>
      </c>
      <c r="M1643" s="27" t="n">
        <f aca="false">MAX(0,NG-L1643)</f>
        <v>0</v>
      </c>
      <c r="N1643" s="27" t="n">
        <f aca="false">MAX(0,GWL-K1643)</f>
        <v>0</v>
      </c>
      <c r="O1643" s="27" t="n">
        <f aca="false">MAX(0,NG-MAX(K1643,GWL))</f>
        <v>0</v>
      </c>
      <c r="P1643" s="27" t="n">
        <f aca="false">E1643/2+WS+SLOPE_A*O1643+SLOPE_B*N1643</f>
        <v>1.15749676658089</v>
      </c>
      <c r="Q1643" s="28" t="str">
        <f aca="false">IF(AND(P1643&lt;J1643,N1643&lt;=MAXOC),"Open cut","Shoring")</f>
        <v>Open cut</v>
      </c>
      <c r="R1643" s="27" t="n">
        <f aca="false">IF(Q1643="Shoring",D1643,0)</f>
        <v>0</v>
      </c>
      <c r="S1643" s="27" t="n">
        <f aca="false">MAX(0,GWL-L1643)</f>
        <v>0</v>
      </c>
      <c r="T1643" s="27" t="n">
        <f aca="false">MAX(0,NG-MAX(L1643,GWL))</f>
        <v>0</v>
      </c>
      <c r="U1643" s="27" t="n">
        <f aca="false">E1643+2*WS</f>
        <v>2.31499353316178</v>
      </c>
      <c r="V1643" s="27" t="n">
        <f aca="false">IF(Q1643="Shoring",D1643*M1643*U1643,0)</f>
        <v>0</v>
      </c>
      <c r="W1643" s="27" t="n">
        <f aca="false">IF(Q1643="Open cut",D1643*(U1643*M1643+SLOPE_B*S1643^2+2*SLOPE_B*S1643*T1643+SLOPE_A*T1643^2),0)</f>
        <v>0</v>
      </c>
      <c r="X1643" s="27" t="n">
        <f aca="false">IF(M1643&gt;0,D1643*(E1643+2*SLABOVH)*SLAB,0)</f>
        <v>0</v>
      </c>
      <c r="Y1643" s="27" t="n">
        <f aca="false">IF(M1643&gt;0,D1643*PI()*E1643^2/4,0)</f>
        <v>0</v>
      </c>
      <c r="Z1643" s="27" t="n">
        <f aca="false">IF(H1643-E1643&gt;=GWL,99,E1643*(MAX(0,GWL-H1643)*(GAM_S-GAM_W)+MAX(0,NG-MAX(H1643,GWL))*GAM_D)/(GAM_W*PI()*E1643^2/4))</f>
        <v>99</v>
      </c>
      <c r="AA1643" s="27" t="n">
        <f aca="false">IF(I1643-E1643&gt;=GWL,99,E1643*(MAX(0,GWL-I1643)*(GAM_S-GAM_W)+MAX(0,NG-MAX(I1643,GWL))*GAM_D)/(GAM_W*PI()*E1643^2/4))</f>
        <v>99</v>
      </c>
      <c r="AB1643" s="27" t="n">
        <f aca="false">IF(H1643-E1643&gt;=GWL,99,E1643*(MAX(0,GWL-H1643)*(GAM_S-GAM_W)+MAX(0,FL-MAX(H1643,GWL))*GAM_D)/(GAM_W*PI()*E1643^2/4))</f>
        <v>99</v>
      </c>
      <c r="AC1643" s="27" t="n">
        <f aca="false">IF(I1643-E1643&gt;=GWL,99,E1643*(MAX(0,GWL-I1643)*(GAM_S-GAM_W)+MAX(0,FL-MAX(I1643,GWL))*GAM_D)/(GAM_W*PI()*E1643^2/4))</f>
        <v>99</v>
      </c>
    </row>
  </sheetData>
  <autoFilter ref="A5:AC164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209"/>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6"/>
    <col collapsed="false" customWidth="true" hidden="false" outlineLevel="0" max="4" min="4" style="0" width="40"/>
    <col collapsed="false" customWidth="true" hidden="false" outlineLevel="0" max="5" min="5" style="0" width="7"/>
    <col collapsed="false" customWidth="true" hidden="false" outlineLevel="0" max="6" min="6" style="0" width="10"/>
    <col collapsed="false" customWidth="true" hidden="false" outlineLevel="0" max="8" min="7" style="0" width="12"/>
    <col collapsed="false" customWidth="true" hidden="false" outlineLevel="0" max="9" min="9" style="0" width="11"/>
    <col collapsed="false" customWidth="true" hidden="false" outlineLevel="0" max="10" min="10" style="0" width="12"/>
    <col collapsed="false" customWidth="true" hidden="false" outlineLevel="0" max="11" min="11" style="0" width="11"/>
    <col collapsed="false" customWidth="true" hidden="false" outlineLevel="0" max="12" min="12" style="0" width="9"/>
    <col collapsed="false" customWidth="true" hidden="false" outlineLevel="0" max="13" min="13" style="0" width="8"/>
    <col collapsed="false" customWidth="true" hidden="false" outlineLevel="0" max="15" min="14" style="0" width="9"/>
    <col collapsed="false" customWidth="true" hidden="false" outlineLevel="0" max="18" min="16" style="0" width="8"/>
    <col collapsed="false" customWidth="true" hidden="false" outlineLevel="0" max="22" min="19" style="0" width="9"/>
    <col collapsed="false" customWidth="true" hidden="false" outlineLevel="0" max="23" min="23" style="0" width="18"/>
    <col collapsed="false" customWidth="true" hidden="false" outlineLevel="0" max="25" min="24" style="0" width="10"/>
    <col collapsed="false" customWidth="true" hidden="false" outlineLevel="0" max="27" min="26" style="0" width="9"/>
    <col collapsed="false" customWidth="true" hidden="false" outlineLevel="0" max="28" min="28" style="0" width="10"/>
    <col collapsed="false" customWidth="true" hidden="false" outlineLevel="0" max="31" min="29" style="0" width="9"/>
    <col collapsed="false" customWidth="true" hidden="false" outlineLevel="0" max="33" min="32" style="0" width="10"/>
    <col collapsed="false" customWidth="true" hidden="false" outlineLevel="0" max="34" min="34" style="0" width="22"/>
    <col collapsed="false" customWidth="true" hidden="false" outlineLevel="0" max="36" min="35" style="0" width="9"/>
    <col collapsed="false" customWidth="true" hidden="false" outlineLevel="0" max="37" min="37" style="0" width="30"/>
    <col collapsed="false" customWidth="true" hidden="false" outlineLevel="0" max="39" min="38" style="0" width="11"/>
    <col collapsed="false" customWidth="true" hidden="false" outlineLevel="0" max="40" min="40" style="0" width="8"/>
    <col collapsed="false" customWidth="true" hidden="false" outlineLevel="0" max="43" min="41" style="0" width="60"/>
    <col collapsed="false" customWidth="true" hidden="false" outlineLevel="0" max="45" min="44" style="0" width="11"/>
  </cols>
  <sheetData>
    <row r="1" customFormat="false" ht="17.35" hidden="false" customHeight="false" outlineLevel="0" collapsed="false">
      <c r="A1" s="1" t="s">
        <v>2325</v>
      </c>
    </row>
    <row r="2" customFormat="false" ht="15" hidden="false" customHeight="false" outlineLevel="0" collapsed="false">
      <c r="A2" s="2" t="s">
        <v>2326</v>
      </c>
    </row>
    <row r="5" customFormat="false" ht="42" hidden="false" customHeight="true" outlineLevel="0" collapsed="false">
      <c r="A5" s="5" t="s">
        <v>414</v>
      </c>
      <c r="B5" s="5" t="s">
        <v>415</v>
      </c>
      <c r="C5" s="5" t="s">
        <v>370</v>
      </c>
      <c r="D5" s="5" t="s">
        <v>2327</v>
      </c>
      <c r="E5" s="5" t="s">
        <v>2328</v>
      </c>
      <c r="F5" s="5" t="s">
        <v>2329</v>
      </c>
      <c r="G5" s="5" t="s">
        <v>2330</v>
      </c>
      <c r="H5" s="5" t="s">
        <v>2331</v>
      </c>
      <c r="I5" s="5" t="s">
        <v>2332</v>
      </c>
      <c r="J5" s="5" t="s">
        <v>2333</v>
      </c>
      <c r="K5" s="5" t="s">
        <v>2334</v>
      </c>
      <c r="L5" s="5" t="s">
        <v>2335</v>
      </c>
      <c r="M5" s="5" t="s">
        <v>2336</v>
      </c>
      <c r="N5" s="5" t="s">
        <v>418</v>
      </c>
      <c r="O5" s="5" t="s">
        <v>417</v>
      </c>
      <c r="P5" s="5" t="s">
        <v>2337</v>
      </c>
      <c r="Q5" s="5" t="s">
        <v>2338</v>
      </c>
      <c r="R5" s="5" t="s">
        <v>424</v>
      </c>
      <c r="S5" s="5" t="s">
        <v>2339</v>
      </c>
      <c r="T5" s="5" t="s">
        <v>2340</v>
      </c>
      <c r="U5" s="5" t="s">
        <v>375</v>
      </c>
      <c r="V5" s="5" t="s">
        <v>2341</v>
      </c>
      <c r="W5" s="5" t="s">
        <v>2342</v>
      </c>
      <c r="X5" s="5" t="s">
        <v>433</v>
      </c>
      <c r="Y5" s="5" t="s">
        <v>434</v>
      </c>
      <c r="Z5" s="5" t="s">
        <v>435</v>
      </c>
      <c r="AA5" s="5" t="s">
        <v>2343</v>
      </c>
      <c r="AB5" s="5" t="s">
        <v>2344</v>
      </c>
      <c r="AC5" s="5" t="s">
        <v>2345</v>
      </c>
      <c r="AD5" s="5" t="s">
        <v>2346</v>
      </c>
      <c r="AE5" s="5" t="s">
        <v>2347</v>
      </c>
      <c r="AF5" s="5" t="s">
        <v>2348</v>
      </c>
      <c r="AG5" s="5" t="s">
        <v>2349</v>
      </c>
      <c r="AH5" s="5" t="s">
        <v>2350</v>
      </c>
      <c r="AI5" s="5" t="s">
        <v>2351</v>
      </c>
      <c r="AJ5" s="5" t="s">
        <v>2352</v>
      </c>
      <c r="AK5" s="5" t="s">
        <v>2353</v>
      </c>
      <c r="AL5" s="5" t="s">
        <v>382</v>
      </c>
      <c r="AM5" s="5" t="s">
        <v>383</v>
      </c>
      <c r="AN5" s="5" t="s">
        <v>2354</v>
      </c>
      <c r="AO5" s="5" t="s">
        <v>2355</v>
      </c>
      <c r="AP5" s="5" t="s">
        <v>2356</v>
      </c>
      <c r="AQ5" s="5" t="s">
        <v>2357</v>
      </c>
      <c r="AR5" s="5" t="s">
        <v>2358</v>
      </c>
      <c r="AS5" s="5" t="s">
        <v>2359</v>
      </c>
    </row>
    <row r="6" customFormat="false" ht="15" hidden="false" customHeight="false" outlineLevel="0" collapsed="false">
      <c r="A6" s="15" t="s">
        <v>441</v>
      </c>
      <c r="B6" s="29" t="s">
        <v>447</v>
      </c>
      <c r="C6" s="15" t="s">
        <v>385</v>
      </c>
      <c r="D6" s="15" t="s">
        <v>2360</v>
      </c>
      <c r="E6" s="15" t="s">
        <v>2361</v>
      </c>
      <c r="F6" s="15" t="n">
        <v>28</v>
      </c>
      <c r="G6" s="15" t="s">
        <v>2362</v>
      </c>
      <c r="H6" s="15"/>
      <c r="I6" s="16" t="n">
        <v>0</v>
      </c>
      <c r="J6" s="15"/>
      <c r="K6" s="16" t="n">
        <v>0</v>
      </c>
      <c r="L6" s="15" t="s">
        <v>296</v>
      </c>
      <c r="M6" s="15" t="n">
        <v>13</v>
      </c>
      <c r="N6" s="30" t="n">
        <f aca="false">_xlfn.MAXIFS('Piece check'!$E$6:$E$1643,'Piece check'!$B$6:$B$1643,B6)</f>
        <v>2.58640426587351</v>
      </c>
      <c r="O6" s="31" t="n">
        <f aca="false">SUMIFS('Piece check'!$D$6:$D$1643,'Piece check'!$B$6:$B$1643,B6)</f>
        <v>276.060569871476</v>
      </c>
      <c r="P6" s="32" t="n">
        <v>-5.44260942486156</v>
      </c>
      <c r="Q6" s="32" t="n">
        <v>-6.51653232291706</v>
      </c>
      <c r="R6" s="30" t="n">
        <f aca="false">_xlfn.MINIFS('Piece check'!$K$6:$K$1643,'Piece check'!$B$6:$B$1643,B6)</f>
        <v>-7.43732213293676</v>
      </c>
      <c r="S6" s="18" t="n">
        <f aca="false">MAX(0,GWL-R6)</f>
        <v>5.93732213293676</v>
      </c>
      <c r="T6" s="18" t="n">
        <f aca="false">MAX(0,NG-R6)</f>
        <v>6.73732213293676</v>
      </c>
      <c r="U6" s="31" t="n">
        <f aca="false">SUMIFS('Piece check'!$R$6:$R$1643,'Piece check'!$B$6:$B$1643,B6)</f>
        <v>276.060569871476</v>
      </c>
      <c r="V6" s="21" t="n">
        <f aca="false">O6-U6</f>
        <v>0</v>
      </c>
      <c r="W6" s="12" t="str">
        <f aca="false">IF(U6&lt;0.05,"Open cut",IF(V6&lt;0.05,"Sheet piles","Mixed: "&amp;TEXT(U6,"0")&amp;" m sheet piles"))</f>
        <v>Sheet piles</v>
      </c>
      <c r="X6" s="33" t="n">
        <f aca="false">SUMIFS('Piece check'!$V$6:$V$1643,'Piece check'!$B$6:$B$1643,B6)</f>
        <v>7037.0478448479</v>
      </c>
      <c r="Y6" s="33" t="n">
        <f aca="false">SUMIFS('Piece check'!$W$6:$W$1643,'Piece check'!$B$6:$B$1643,B6)</f>
        <v>0</v>
      </c>
      <c r="Z6" s="33" t="n">
        <f aca="false">SUMIFS('Piece check'!$X$6:$X$1643,'Piece check'!$B$6:$B$1643,B6)</f>
        <v>488.869995656581</v>
      </c>
      <c r="AA6" s="33" t="n">
        <f aca="false">SUMIFS('Piece check'!$Y$6:$Y$1643,'Piece check'!$B$6:$B$1643,B6)</f>
        <v>1413.41048059736</v>
      </c>
      <c r="AB6" s="20" t="n">
        <f aca="false">MAX(0,X6+Y6-Z6-AA6)</f>
        <v>5134.76736859396</v>
      </c>
      <c r="AC6" s="20" t="n">
        <f aca="false">(ROUNDUP(O6/PILE_SP,0)+1)*IF(N6&gt;=PILE_THR,PILE_N_LARGE,PILE_N_SMALL)</f>
        <v>188</v>
      </c>
      <c r="AD6" s="20" t="n">
        <f aca="false">2*U6</f>
        <v>552.121139742952</v>
      </c>
      <c r="AE6" s="34" t="n">
        <f aca="false">IF(U6&gt;0,ROUNDUP(T6*SHEET_RATIO,0),0)</f>
        <v>14</v>
      </c>
      <c r="AF6" s="20" t="n">
        <f aca="false">AD6*AE6</f>
        <v>7729.69595640133</v>
      </c>
      <c r="AG6" s="18" t="n">
        <f aca="false">MAX(0,GWL-(R6-DD_BELOW))</f>
        <v>6.43732213293676</v>
      </c>
      <c r="AH6" s="12" t="str">
        <f aca="false">IF(AG6=0,"Not required",IF(AG6&lt;=WP_LIMIT,"Single-stage wellpoints","Deep wells or two-stage wellpoints"))</f>
        <v>Deep wells or two-stage wellpoints</v>
      </c>
      <c r="AI6" s="30" t="n">
        <f aca="false">MIN(_xlfn.MINIFS('Piece check'!$Z$6:$Z$1643,'Piece check'!$B$6:$B$1643,B6),_xlfn.MINIFS('Piece check'!$AA$6:$AA$1643,'Piece check'!$B$6:$B$1643,B6))</f>
        <v>1.09993187738341</v>
      </c>
      <c r="AJ6" s="30" t="n">
        <f aca="false">MIN(_xlfn.MINIFS('Piece check'!$AB$6:$AB$1643,'Piece check'!$B$6:$B$1643,B6),_xlfn.MINIFS('Piece check'!$AC$6:$AC$1643,'Piece check'!$B$6:$B$1643,B6))</f>
        <v>2.65375608675842</v>
      </c>
      <c r="AK6" s="12" t="str">
        <f aca="false">IF(AJ6&lt;FOS_FLOT,"Anchor pipe to piled slab (permanent straps)",IF(AI6&lt;FOS_FLOT,"Keep dewatering on until fill reaches FL, or strap to slab","No extra measure"))</f>
        <v>Keep dewatering on until fill reaches FL, or strap to slab</v>
      </c>
      <c r="AL6" s="35" t="n">
        <f aca="false">Activities!P7</f>
        <v>46357</v>
      </c>
      <c r="AM6" s="35" t="n">
        <f aca="false">Activities!Q16</f>
        <v>46447</v>
      </c>
      <c r="AN6" s="15" t="n">
        <v>14</v>
      </c>
      <c r="AO6" s="36" t="s">
        <v>2363</v>
      </c>
      <c r="AP6" s="36" t="s">
        <v>2364</v>
      </c>
      <c r="AQ6" s="36" t="s">
        <v>2365</v>
      </c>
      <c r="AR6" s="37" t="n">
        <f aca="false">Activities!P15-Activities!Q13</f>
        <v>-15</v>
      </c>
      <c r="AS6" s="37" t="n">
        <f aca="false">IF(Activities!K10=0,0,Activities!Q16-Activities!P10)</f>
        <v>65</v>
      </c>
    </row>
    <row r="7" customFormat="false" ht="15" hidden="false" customHeight="false" outlineLevel="0" collapsed="false">
      <c r="A7" s="15" t="s">
        <v>441</v>
      </c>
      <c r="B7" s="29" t="s">
        <v>495</v>
      </c>
      <c r="C7" s="15" t="s">
        <v>385</v>
      </c>
      <c r="D7" s="15" t="s">
        <v>2366</v>
      </c>
      <c r="E7" s="15" t="s">
        <v>2361</v>
      </c>
      <c r="F7" s="15" t="n">
        <v>28</v>
      </c>
      <c r="G7" s="15" t="s">
        <v>2367</v>
      </c>
      <c r="H7" s="15" t="s">
        <v>335</v>
      </c>
      <c r="I7" s="35" t="n">
        <f aca="false">MAX(Structures!$H$21)</f>
        <v>0</v>
      </c>
      <c r="J7" s="15"/>
      <c r="K7" s="16" t="n">
        <v>0</v>
      </c>
      <c r="L7" s="15" t="s">
        <v>358</v>
      </c>
      <c r="M7" s="15" t="n">
        <v>0</v>
      </c>
      <c r="N7" s="30" t="n">
        <f aca="false">_xlfn.MAXIFS('Piece check'!$E$6:$E$1643,'Piece check'!$B$6:$B$1643,B7)</f>
        <v>0.61306464583412</v>
      </c>
      <c r="O7" s="31" t="n">
        <f aca="false">SUMIFS('Piece check'!$D$6:$D$1643,'Piece check'!$B$6:$B$1643,B7)</f>
        <v>29.4101699998186</v>
      </c>
      <c r="P7" s="32" t="n">
        <v>-6.51653232291706</v>
      </c>
      <c r="Q7" s="32" t="n">
        <v>-6.51653232291706</v>
      </c>
      <c r="R7" s="30" t="n">
        <f aca="false">_xlfn.MINIFS('Piece check'!$K$6:$K$1643,'Piece check'!$B$6:$B$1643,B7)</f>
        <v>-6.51653232291706</v>
      </c>
      <c r="S7" s="18" t="n">
        <f aca="false">MAX(0,GWL-R7)</f>
        <v>5.01653232291706</v>
      </c>
      <c r="T7" s="18" t="n">
        <f aca="false">MAX(0,NG-R7)</f>
        <v>5.81653232291706</v>
      </c>
      <c r="U7" s="31" t="n">
        <f aca="false">SUMIFS('Piece check'!$R$6:$R$1643,'Piece check'!$B$6:$B$1643,B7)</f>
        <v>29.4101699998186</v>
      </c>
      <c r="V7" s="21" t="n">
        <f aca="false">O7-U7</f>
        <v>0</v>
      </c>
      <c r="W7" s="12" t="str">
        <f aca="false">IF(U7&lt;0.05,"Open cut",IF(V7&lt;0.05,"Sheet piles","Mixed: "&amp;TEXT(U7,"0")&amp;" m sheet piles"))</f>
        <v>Sheet piles</v>
      </c>
      <c r="X7" s="33" t="n">
        <f aca="false">SUMIFS('Piece check'!$V$6:$V$1643,'Piece check'!$B$6:$B$1643,B7)</f>
        <v>447.004437819093</v>
      </c>
      <c r="Y7" s="33" t="n">
        <f aca="false">SUMIFS('Piece check'!$W$6:$W$1643,'Piece check'!$B$6:$B$1643,B7)</f>
        <v>0</v>
      </c>
      <c r="Z7" s="33" t="n">
        <f aca="false">SUMIFS('Piece check'!$X$6:$X$1643,'Piece check'!$B$6:$B$1643,B7)</f>
        <v>23.7202527273394</v>
      </c>
      <c r="AA7" s="33" t="n">
        <f aca="false">SUMIFS('Piece check'!$Y$6:$Y$1643,'Piece check'!$B$6:$B$1643,B7)</f>
        <v>8.68160376074667</v>
      </c>
      <c r="AB7" s="20" t="n">
        <f aca="false">MAX(0,X7+Y7-Z7-AA7)</f>
        <v>414.602581331007</v>
      </c>
      <c r="AC7" s="20" t="n">
        <f aca="false">(ROUNDUP(O7/PILE_SP,0)+1)*IF(N7&gt;=PILE_THR,PILE_N_LARGE,PILE_N_SMALL)</f>
        <v>11</v>
      </c>
      <c r="AD7" s="20" t="n">
        <f aca="false">2*U7</f>
        <v>58.8203399996373</v>
      </c>
      <c r="AE7" s="34" t="n">
        <f aca="false">IF(U7&gt;0,ROUNDUP(T7*SHEET_RATIO,0),0)</f>
        <v>12</v>
      </c>
      <c r="AF7" s="20" t="n">
        <f aca="false">AD7*AE7</f>
        <v>705.844079995648</v>
      </c>
      <c r="AG7" s="18" t="n">
        <f aca="false">MAX(0,GWL-(R7-DD_BELOW))</f>
        <v>5.51653232291706</v>
      </c>
      <c r="AH7" s="12" t="str">
        <f aca="false">IF(AG7=0,"Not required",IF(AG7&lt;=WP_LIMIT,"Single-stage wellpoints","Deep wells or two-stage wellpoints"))</f>
        <v>Deep wells or two-stage wellpoints</v>
      </c>
      <c r="AI7" s="30" t="n">
        <f aca="false">MIN(_xlfn.MINIFS('Piece check'!$Z$6:$Z$1643,'Piece check'!$B$6:$B$1643,B7),_xlfn.MINIFS('Piece check'!$AA$6:$AA$1643,'Piece check'!$B$6:$B$1643,B7))</f>
        <v>9.81671806289959</v>
      </c>
      <c r="AJ7" s="30" t="n">
        <f aca="false">MIN(_xlfn.MINIFS('Piece check'!$AB$6:$AB$1643,'Piece check'!$B$6:$B$1643,B7),_xlfn.MINIFS('Piece check'!$AC$6:$AC$1643,'Piece check'!$B$6:$B$1643,B7))</f>
        <v>16.2949466132197</v>
      </c>
      <c r="AK7" s="12" t="str">
        <f aca="false">IF(AJ7&lt;FOS_FLOT,"Anchor pipe to piled slab (permanent straps)",IF(AI7&lt;FOS_FLOT,"Keep dewatering on until fill reaches FL, or strap to slab","No extra measure"))</f>
        <v>No extra measure</v>
      </c>
      <c r="AL7" s="35" t="n">
        <f aca="false">Activities!P18</f>
        <v>46359</v>
      </c>
      <c r="AM7" s="35" t="n">
        <f aca="false">Activities!Q27</f>
        <v>46451</v>
      </c>
      <c r="AN7" s="15" t="n">
        <v>15</v>
      </c>
      <c r="AO7" s="36" t="s">
        <v>2363</v>
      </c>
      <c r="AP7" s="36" t="s">
        <v>2368</v>
      </c>
      <c r="AQ7" s="36" t="s">
        <v>2369</v>
      </c>
      <c r="AR7" s="37" t="n">
        <f aca="false">Activities!P26-Activities!Q24</f>
        <v>-1</v>
      </c>
      <c r="AS7" s="37" t="n">
        <f aca="false">IF(Activities!K21=0,0,Activities!Q27-Activities!P21)</f>
        <v>87</v>
      </c>
    </row>
    <row r="8" customFormat="false" ht="15" hidden="false" customHeight="false" outlineLevel="0" collapsed="false">
      <c r="A8" s="15" t="s">
        <v>441</v>
      </c>
      <c r="B8" s="29" t="s">
        <v>442</v>
      </c>
      <c r="C8" s="15" t="s">
        <v>385</v>
      </c>
      <c r="D8" s="15" t="s">
        <v>2370</v>
      </c>
      <c r="E8" s="15" t="s">
        <v>2361</v>
      </c>
      <c r="F8" s="15" t="n">
        <v>28</v>
      </c>
      <c r="G8" s="15" t="s">
        <v>2367</v>
      </c>
      <c r="H8" s="15" t="s">
        <v>329</v>
      </c>
      <c r="I8" s="35" t="n">
        <f aca="false">MAX(Structures!$H$19)</f>
        <v>0</v>
      </c>
      <c r="J8" s="15"/>
      <c r="K8" s="16" t="n">
        <v>0</v>
      </c>
      <c r="L8" s="15" t="s">
        <v>358</v>
      </c>
      <c r="M8" s="15" t="n">
        <v>2</v>
      </c>
      <c r="N8" s="30" t="n">
        <f aca="false">_xlfn.MAXIFS('Piece check'!$E$6:$E$1643,'Piece check'!$B$6:$B$1643,B8)</f>
        <v>2.58638661161905</v>
      </c>
      <c r="O8" s="31" t="n">
        <f aca="false">SUMIFS('Piece check'!$D$6:$D$1643,'Piece check'!$B$6:$B$1643,B8)</f>
        <v>18.8051631162368</v>
      </c>
      <c r="P8" s="32" t="n">
        <v>-5.39319330580952</v>
      </c>
      <c r="Q8" s="32" t="n">
        <v>-5.44260942486156</v>
      </c>
      <c r="R8" s="30" t="n">
        <f aca="false">_xlfn.MINIFS('Piece check'!$K$6:$K$1643,'Piece check'!$B$6:$B$1643,B8)</f>
        <v>-5.44260942486156</v>
      </c>
      <c r="S8" s="18" t="n">
        <f aca="false">MAX(0,GWL-R8)</f>
        <v>3.94260942486156</v>
      </c>
      <c r="T8" s="18" t="n">
        <f aca="false">MAX(0,NG-R8)</f>
        <v>4.74260942486156</v>
      </c>
      <c r="U8" s="31" t="n">
        <f aca="false">SUMIFS('Piece check'!$R$6:$R$1643,'Piece check'!$B$6:$B$1643,B8)</f>
        <v>18.8051631162368</v>
      </c>
      <c r="V8" s="21" t="n">
        <f aca="false">O8-U8</f>
        <v>0</v>
      </c>
      <c r="W8" s="12" t="str">
        <f aca="false">IF(U8&lt;0.05,"Open cut",IF(V8&lt;0.05,"Sheet piles","Mixed: "&amp;TEXT(U8,"0")&amp;" m sheet piles"))</f>
        <v>Sheet piles</v>
      </c>
      <c r="X8" s="33" t="n">
        <f aca="false">SUMIFS('Piece check'!$V$6:$V$1643,'Piece check'!$B$6:$B$1643,B8)</f>
        <v>405.532146059919</v>
      </c>
      <c r="Y8" s="33" t="n">
        <f aca="false">SUMIFS('Piece check'!$W$6:$W$1643,'Piece check'!$B$6:$B$1643,B8)</f>
        <v>0</v>
      </c>
      <c r="Z8" s="33" t="n">
        <f aca="false">SUMIFS('Piece check'!$X$6:$X$1643,'Piece check'!$B$6:$B$1643,B8)</f>
        <v>33.6620395313738</v>
      </c>
      <c r="AA8" s="33" t="n">
        <f aca="false">SUMIFS('Piece check'!$Y$6:$Y$1643,'Piece check'!$B$6:$B$1643,B8)</f>
        <v>98.3206761888291</v>
      </c>
      <c r="AB8" s="20" t="n">
        <f aca="false">MAX(0,X8+Y8-Z8-AA8)</f>
        <v>273.549430339716</v>
      </c>
      <c r="AC8" s="20" t="n">
        <f aca="false">(ROUNDUP(O8/PILE_SP,0)+1)*IF(N8&gt;=PILE_THR,PILE_N_LARGE,PILE_N_SMALL)</f>
        <v>16</v>
      </c>
      <c r="AD8" s="20" t="n">
        <f aca="false">2*U8</f>
        <v>37.6103262324735</v>
      </c>
      <c r="AE8" s="34" t="n">
        <f aca="false">IF(U8&gt;0,ROUNDUP(T8*SHEET_RATIO,0),0)</f>
        <v>10</v>
      </c>
      <c r="AF8" s="20" t="n">
        <f aca="false">AD8*AE8</f>
        <v>376.103262324735</v>
      </c>
      <c r="AG8" s="18" t="n">
        <f aca="false">MAX(0,GWL-(R8-DD_BELOW))</f>
        <v>4.44260942486156</v>
      </c>
      <c r="AH8" s="12" t="str">
        <f aca="false">IF(AG8=0,"Not required",IF(AG8&lt;=WP_LIMIT,"Single-stage wellpoints","Deep wells or two-stage wellpoints"))</f>
        <v>Single-stage wellpoints</v>
      </c>
      <c r="AI8" s="30" t="n">
        <f aca="false">MIN(_xlfn.MINIFS('Piece check'!$Z$6:$Z$1643,'Piece check'!$B$6:$B$1643,B8),_xlfn.MINIFS('Piece check'!$AA$6:$AA$1643,'Piece check'!$B$6:$B$1643,B8))</f>
        <v>1.0542100270068</v>
      </c>
      <c r="AJ8" s="30" t="n">
        <f aca="false">MIN(_xlfn.MINIFS('Piece check'!$AB$6:$AB$1643,'Piece check'!$B$6:$B$1643,B8),_xlfn.MINIFS('Piece check'!$AC$6:$AC$1643,'Piece check'!$B$6:$B$1643,B8))</f>
        <v>2.58977817215286</v>
      </c>
      <c r="AK8" s="12" t="str">
        <f aca="false">IF(AJ8&lt;FOS_FLOT,"Anchor pipe to piled slab (permanent straps)",IF(AI8&lt;FOS_FLOT,"Keep dewatering on until fill reaches FL, or strap to slab","No extra measure"))</f>
        <v>Keep dewatering on until fill reaches FL, or strap to slab</v>
      </c>
      <c r="AL8" s="35" t="n">
        <f aca="false">Activities!P29</f>
        <v>46359</v>
      </c>
      <c r="AM8" s="35" t="n">
        <f aca="false">Activities!Q38</f>
        <v>46452</v>
      </c>
      <c r="AN8" s="15" t="n">
        <v>16</v>
      </c>
      <c r="AO8" s="36" t="s">
        <v>2363</v>
      </c>
      <c r="AP8" s="36" t="s">
        <v>2371</v>
      </c>
      <c r="AQ8" s="36" t="s">
        <v>2369</v>
      </c>
      <c r="AR8" s="37" t="n">
        <f aca="false">Activities!P37-Activities!Q35</f>
        <v>-2</v>
      </c>
      <c r="AS8" s="37" t="n">
        <f aca="false">IF(Activities!K32=0,0,Activities!Q38-Activities!P32)</f>
        <v>89</v>
      </c>
    </row>
    <row r="9" customFormat="false" ht="15" hidden="false" customHeight="false" outlineLevel="0" collapsed="false">
      <c r="A9" s="15" t="s">
        <v>500</v>
      </c>
      <c r="B9" s="29" t="s">
        <v>518</v>
      </c>
      <c r="C9" s="15" t="s">
        <v>385</v>
      </c>
      <c r="D9" s="15" t="s">
        <v>2372</v>
      </c>
      <c r="E9" s="15" t="s">
        <v>2361</v>
      </c>
      <c r="F9" s="15" t="n">
        <v>28</v>
      </c>
      <c r="G9" s="15" t="s">
        <v>2362</v>
      </c>
      <c r="H9" s="15"/>
      <c r="I9" s="16" t="n">
        <v>0</v>
      </c>
      <c r="J9" s="15" t="s">
        <v>2373</v>
      </c>
      <c r="K9" s="35" t="n">
        <f aca="false">MAX(Aeration!$I$7,Aeration!$I$9)</f>
        <v>46333</v>
      </c>
      <c r="L9" s="15" t="s">
        <v>358</v>
      </c>
      <c r="M9" s="15" t="n">
        <v>0</v>
      </c>
      <c r="N9" s="30" t="n">
        <f aca="false">_xlfn.MAXIFS('Piece check'!$E$6:$E$1643,'Piece check'!$B$6:$B$1643,B9)</f>
        <v>2.06960947668155</v>
      </c>
      <c r="O9" s="31" t="n">
        <f aca="false">SUMIFS('Piece check'!$D$6:$D$1643,'Piece check'!$B$6:$B$1643,B9)</f>
        <v>65.0999999998516</v>
      </c>
      <c r="P9" s="32" t="n">
        <v>-5.8080993726041</v>
      </c>
      <c r="Q9" s="32" t="n">
        <v>-6.16776199938879</v>
      </c>
      <c r="R9" s="30" t="n">
        <f aca="false">_xlfn.MINIFS('Piece check'!$K$6:$K$1643,'Piece check'!$B$6:$B$1643,B9)</f>
        <v>-6.16776199938879</v>
      </c>
      <c r="S9" s="18" t="n">
        <f aca="false">MAX(0,GWL-R9)</f>
        <v>4.66776199938879</v>
      </c>
      <c r="T9" s="18" t="n">
        <f aca="false">MAX(0,NG-R9)</f>
        <v>5.46776199938879</v>
      </c>
      <c r="U9" s="31" t="n">
        <f aca="false">SUMIFS('Piece check'!$R$6:$R$1643,'Piece check'!$B$6:$B$1643,B9)</f>
        <v>65.0999999998516</v>
      </c>
      <c r="V9" s="21" t="n">
        <f aca="false">O9-U9</f>
        <v>0</v>
      </c>
      <c r="W9" s="12" t="str">
        <f aca="false">IF(U9&lt;0.05,"Open cut",IF(V9&lt;0.05,"Sheet piles","Mixed: "&amp;TEXT(U9,"0")&amp;" m sheet piles"))</f>
        <v>Sheet piles</v>
      </c>
      <c r="X9" s="33" t="n">
        <f aca="false">SUMIFS('Piece check'!$V$6:$V$1643,'Piece check'!$B$6:$B$1643,B9)</f>
        <v>1400.9398153447</v>
      </c>
      <c r="Y9" s="33" t="n">
        <f aca="false">SUMIFS('Piece check'!$W$6:$W$1643,'Piece check'!$B$6:$B$1643,B9)</f>
        <v>0</v>
      </c>
      <c r="Z9" s="33" t="n">
        <f aca="false">SUMIFS('Piece check'!$X$6:$X$1643,'Piece check'!$B$6:$B$1643,B9)</f>
        <v>99.9157884657566</v>
      </c>
      <c r="AA9" s="33" t="n">
        <f aca="false">SUMIFS('Piece check'!$Y$6:$Y$1643,'Piece check'!$B$6:$B$1643,B9)</f>
        <v>219.001797092326</v>
      </c>
      <c r="AB9" s="20" t="n">
        <f aca="false">MAX(0,X9+Y9-Z9-AA9)</f>
        <v>1082.02222978662</v>
      </c>
      <c r="AC9" s="20" t="n">
        <f aca="false">(ROUNDUP(O9/PILE_SP,0)+1)*IF(N9&gt;=PILE_THR,PILE_N_LARGE,PILE_N_SMALL)</f>
        <v>46</v>
      </c>
      <c r="AD9" s="20" t="n">
        <f aca="false">2*U9</f>
        <v>130.199999999703</v>
      </c>
      <c r="AE9" s="34" t="n">
        <f aca="false">IF(U9&gt;0,ROUNDUP(T9*SHEET_RATIO,0),0)</f>
        <v>11</v>
      </c>
      <c r="AF9" s="20" t="n">
        <f aca="false">AD9*AE9</f>
        <v>1432.19999999673</v>
      </c>
      <c r="AG9" s="18" t="n">
        <f aca="false">MAX(0,GWL-(R9-DD_BELOW))</f>
        <v>5.16776199938879</v>
      </c>
      <c r="AH9" s="12" t="str">
        <f aca="false">IF(AG9=0,"Not required",IF(AG9&lt;=WP_LIMIT,"Single-stage wellpoints","Deep wells or two-stage wellpoints"))</f>
        <v>Deep wells or two-stage wellpoints</v>
      </c>
      <c r="AI9" s="30" t="n">
        <f aca="false">MIN(_xlfn.MINIFS('Piece check'!$Z$6:$Z$1643,'Piece check'!$B$6:$B$1643,B9),_xlfn.MINIFS('Piece check'!$AA$6:$AA$1643,'Piece check'!$B$6:$B$1643,B9))</f>
        <v>1.79596932086704</v>
      </c>
      <c r="AJ9" s="30" t="n">
        <f aca="false">MIN(_xlfn.MINIFS('Piece check'!$AB$6:$AB$1643,'Piece check'!$B$6:$B$1643,B9),_xlfn.MINIFS('Piece check'!$AC$6:$AC$1643,'Piece check'!$B$6:$B$1643,B9))</f>
        <v>3.71496560329736</v>
      </c>
      <c r="AK9" s="12" t="str">
        <f aca="false">IF(AJ9&lt;FOS_FLOT,"Anchor pipe to piled slab (permanent straps)",IF(AI9&lt;FOS_FLOT,"Keep dewatering on until fill reaches FL, or strap to slab","No extra measure"))</f>
        <v>No extra measure</v>
      </c>
      <c r="AL9" s="35" t="n">
        <f aca="false">Activities!P40</f>
        <v>46359</v>
      </c>
      <c r="AM9" s="35" t="n">
        <f aca="false">Activities!Q49</f>
        <v>46521</v>
      </c>
      <c r="AN9" s="15" t="n">
        <v>17</v>
      </c>
      <c r="AO9" s="36" t="s">
        <v>2374</v>
      </c>
      <c r="AP9" s="36" t="s">
        <v>2375</v>
      </c>
      <c r="AQ9" s="36" t="s">
        <v>2376</v>
      </c>
      <c r="AR9" s="37" t="n">
        <f aca="false">Activities!P48-Activities!Q46</f>
        <v>64</v>
      </c>
      <c r="AS9" s="37" t="n">
        <f aca="false">IF(Activities!K43=0,0,Activities!Q49-Activities!P43)</f>
        <v>104</v>
      </c>
    </row>
    <row r="10" customFormat="false" ht="15" hidden="false" customHeight="false" outlineLevel="0" collapsed="false">
      <c r="A10" s="15" t="s">
        <v>500</v>
      </c>
      <c r="B10" s="29" t="s">
        <v>508</v>
      </c>
      <c r="C10" s="15" t="s">
        <v>385</v>
      </c>
      <c r="D10" s="15" t="s">
        <v>2377</v>
      </c>
      <c r="E10" s="15" t="s">
        <v>2361</v>
      </c>
      <c r="F10" s="15" t="n">
        <v>28</v>
      </c>
      <c r="G10" s="15" t="s">
        <v>2362</v>
      </c>
      <c r="H10" s="15"/>
      <c r="I10" s="16" t="n">
        <v>0</v>
      </c>
      <c r="J10" s="15" t="s">
        <v>2378</v>
      </c>
      <c r="K10" s="35" t="n">
        <f aca="false">MAX(Aeration!$I$9)</f>
        <v>46333</v>
      </c>
      <c r="L10" s="15" t="s">
        <v>358</v>
      </c>
      <c r="M10" s="15" t="n">
        <v>0</v>
      </c>
      <c r="N10" s="30" t="n">
        <f aca="false">_xlfn.MAXIFS('Piece check'!$E$6:$E$1643,'Piece check'!$B$6:$B$1643,B10)</f>
        <v>2.06960947668155</v>
      </c>
      <c r="O10" s="31" t="n">
        <f aca="false">SUMIFS('Piece check'!$D$6:$D$1643,'Piece check'!$B$6:$B$1643,B10)</f>
        <v>78.047505078822</v>
      </c>
      <c r="P10" s="32" t="n">
        <v>-5.37690473834078</v>
      </c>
      <c r="Q10" s="32" t="n">
        <v>-5.8080993726041</v>
      </c>
      <c r="R10" s="30" t="n">
        <f aca="false">_xlfn.MINIFS('Piece check'!$K$6:$K$1643,'Piece check'!$B$6:$B$1643,B10)</f>
        <v>-5.8080993726041</v>
      </c>
      <c r="S10" s="18" t="n">
        <f aca="false">MAX(0,GWL-R10)</f>
        <v>4.3080993726041</v>
      </c>
      <c r="T10" s="18" t="n">
        <f aca="false">MAX(0,NG-R10)</f>
        <v>5.1080993726041</v>
      </c>
      <c r="U10" s="31" t="n">
        <f aca="false">SUMIFS('Piece check'!$R$6:$R$1643,'Piece check'!$B$6:$B$1643,B10)</f>
        <v>78.047505078822</v>
      </c>
      <c r="V10" s="21" t="n">
        <f aca="false">O10-U10</f>
        <v>0</v>
      </c>
      <c r="W10" s="12" t="str">
        <f aca="false">IF(U10&lt;0.05,"Open cut",IF(V10&lt;0.05,"Sheet piles","Mixed: "&amp;TEXT(U10,"0")&amp;" m sheet piles"))</f>
        <v>Sheet piles</v>
      </c>
      <c r="X10" s="33" t="n">
        <f aca="false">SUMIFS('Piece check'!$V$6:$V$1643,'Piece check'!$B$6:$B$1643,B10)</f>
        <v>1553.97052623812</v>
      </c>
      <c r="Y10" s="33" t="n">
        <f aca="false">SUMIFS('Piece check'!$W$6:$W$1643,'Piece check'!$B$6:$B$1643,B10)</f>
        <v>0</v>
      </c>
      <c r="Z10" s="33" t="n">
        <f aca="false">SUMIFS('Piece check'!$X$6:$X$1643,'Piece check'!$B$6:$B$1643,B10)</f>
        <v>119.787680610652</v>
      </c>
      <c r="AA10" s="33" t="n">
        <f aca="false">SUMIFS('Piece check'!$Y$6:$Y$1643,'Piece check'!$B$6:$B$1643,B10)</f>
        <v>262.558277586382</v>
      </c>
      <c r="AB10" s="20" t="n">
        <f aca="false">MAX(0,X10+Y10-Z10-AA10)</f>
        <v>1171.62456804109</v>
      </c>
      <c r="AC10" s="20" t="n">
        <f aca="false">(ROUNDUP(O10/PILE_SP,0)+1)*IF(N10&gt;=PILE_THR,PILE_N_LARGE,PILE_N_SMALL)</f>
        <v>56</v>
      </c>
      <c r="AD10" s="20" t="n">
        <f aca="false">2*U10</f>
        <v>156.095010157644</v>
      </c>
      <c r="AE10" s="34" t="n">
        <f aca="false">IF(U10&gt;0,ROUNDUP(T10*SHEET_RATIO,0),0)</f>
        <v>11</v>
      </c>
      <c r="AF10" s="20" t="n">
        <f aca="false">AD10*AE10</f>
        <v>1717.04511173408</v>
      </c>
      <c r="AG10" s="18" t="n">
        <f aca="false">MAX(0,GWL-(R10-DD_BELOW))</f>
        <v>4.8080993726041</v>
      </c>
      <c r="AH10" s="12" t="str">
        <f aca="false">IF(AG10=0,"Not required",IF(AG10&lt;=WP_LIMIT,"Single-stage wellpoints","Deep wells or two-stage wellpoints"))</f>
        <v>Deep wells or two-stage wellpoints</v>
      </c>
      <c r="AI10" s="30" t="n">
        <f aca="false">MIN(_xlfn.MINIFS('Piece check'!$Z$6:$Z$1643,'Piece check'!$B$6:$B$1643,B10),_xlfn.MINIFS('Piece check'!$AA$6:$AA$1643,'Piece check'!$B$6:$B$1643,B10))</f>
        <v>1.57450184464902</v>
      </c>
      <c r="AJ10" s="30" t="n">
        <f aca="false">MIN(_xlfn.MINIFS('Piece check'!$AB$6:$AB$1643,'Piece check'!$B$6:$B$1643,B10),_xlfn.MINIFS('Piece check'!$AC$6:$AC$1643,'Piece check'!$B$6:$B$1643,B10))</f>
        <v>3.49349812707934</v>
      </c>
      <c r="AK10" s="12" t="str">
        <f aca="false">IF(AJ10&lt;FOS_FLOT,"Anchor pipe to piled slab (permanent straps)",IF(AI10&lt;FOS_FLOT,"Keep dewatering on until fill reaches FL, or strap to slab","No extra measure"))</f>
        <v>No extra measure</v>
      </c>
      <c r="AL10" s="35" t="n">
        <f aca="false">Activities!P51</f>
        <v>46404</v>
      </c>
      <c r="AM10" s="35" t="n">
        <f aca="false">Activities!Q60</f>
        <v>46527</v>
      </c>
      <c r="AN10" s="15" t="n">
        <v>18</v>
      </c>
      <c r="AO10" s="36" t="s">
        <v>2374</v>
      </c>
      <c r="AP10" s="36" t="s">
        <v>2379</v>
      </c>
      <c r="AQ10" s="36" t="s">
        <v>2380</v>
      </c>
      <c r="AR10" s="37" t="n">
        <f aca="false">Activities!P59-Activities!Q57</f>
        <v>57</v>
      </c>
      <c r="AS10" s="37" t="n">
        <f aca="false">IF(Activities!K54=0,0,Activities!Q60-Activities!P54)</f>
        <v>103</v>
      </c>
    </row>
    <row r="11" customFormat="false" ht="15" hidden="false" customHeight="false" outlineLevel="0" collapsed="false">
      <c r="A11" s="15" t="s">
        <v>500</v>
      </c>
      <c r="B11" s="29" t="s">
        <v>541</v>
      </c>
      <c r="C11" s="15" t="s">
        <v>385</v>
      </c>
      <c r="D11" s="15" t="s">
        <v>2381</v>
      </c>
      <c r="E11" s="15" t="s">
        <v>2361</v>
      </c>
      <c r="F11" s="15" t="n">
        <v>28</v>
      </c>
      <c r="G11" s="15" t="s">
        <v>2367</v>
      </c>
      <c r="H11" s="15" t="s">
        <v>332</v>
      </c>
      <c r="I11" s="35" t="n">
        <f aca="false">MAX(Structures!$H$20)</f>
        <v>0</v>
      </c>
      <c r="J11" s="15" t="s">
        <v>2382</v>
      </c>
      <c r="K11" s="35" t="n">
        <f aca="false">MAX(Aeration!$I$12)</f>
        <v>46355</v>
      </c>
      <c r="L11" s="15" t="s">
        <v>358</v>
      </c>
      <c r="M11" s="15" t="n">
        <v>0</v>
      </c>
      <c r="N11" s="30" t="n">
        <f aca="false">_xlfn.MAXIFS('Piece check'!$E$6:$E$1643,'Piece check'!$B$6:$B$1643,B11)</f>
        <v>2.06959976412667</v>
      </c>
      <c r="O11" s="31" t="n">
        <f aca="false">SUMIFS('Piece check'!$D$6:$D$1643,'Piece check'!$B$6:$B$1643,B11)</f>
        <v>5.96785999962656</v>
      </c>
      <c r="P11" s="32" t="n">
        <v>-6.72496988206334</v>
      </c>
      <c r="Q11" s="32" t="n">
        <v>-6.73479988206334</v>
      </c>
      <c r="R11" s="30" t="n">
        <f aca="false">_xlfn.MINIFS('Piece check'!$K$6:$K$1643,'Piece check'!$B$6:$B$1643,B11)</f>
        <v>-6.73479988206334</v>
      </c>
      <c r="S11" s="18" t="n">
        <f aca="false">MAX(0,GWL-R11)</f>
        <v>5.23479988206334</v>
      </c>
      <c r="T11" s="18" t="n">
        <f aca="false">MAX(0,NG-R11)</f>
        <v>6.03479988206334</v>
      </c>
      <c r="U11" s="31" t="n">
        <f aca="false">SUMIFS('Piece check'!$R$6:$R$1643,'Piece check'!$B$6:$B$1643,B11)</f>
        <v>5.96785999962656</v>
      </c>
      <c r="V11" s="21" t="n">
        <f aca="false">O11-U11</f>
        <v>0</v>
      </c>
      <c r="W11" s="12" t="str">
        <f aca="false">IF(U11&lt;0.05,"Open cut",IF(V11&lt;0.05,"Sheet piles","Mixed: "&amp;TEXT(U11,"0")&amp;" m sheet piles"))</f>
        <v>Sheet piles</v>
      </c>
      <c r="X11" s="33" t="n">
        <f aca="false">SUMIFS('Piece check'!$V$6:$V$1643,'Piece check'!$B$6:$B$1643,B11)</f>
        <v>146.446618083839</v>
      </c>
      <c r="Y11" s="33" t="n">
        <f aca="false">SUMIFS('Piece check'!$W$6:$W$1643,'Piece check'!$B$6:$B$1643,B11)</f>
        <v>0</v>
      </c>
      <c r="Z11" s="33" t="n">
        <f aca="false">SUMIFS('Piece check'!$X$6:$X$1643,'Piece check'!$B$6:$B$1643,B11)</f>
        <v>9.15947082359735</v>
      </c>
      <c r="AA11" s="33" t="n">
        <f aca="false">SUMIFS('Piece check'!$Y$6:$Y$1643,'Piece check'!$B$6:$B$1643,B11)</f>
        <v>20.076187368052</v>
      </c>
      <c r="AB11" s="20" t="n">
        <f aca="false">MAX(0,X11+Y11-Z11-AA11)</f>
        <v>117.210959892189</v>
      </c>
      <c r="AC11" s="20" t="n">
        <f aca="false">(ROUNDUP(O11/PILE_SP,0)+1)*IF(N11&gt;=PILE_THR,PILE_N_LARGE,PILE_N_SMALL)</f>
        <v>6</v>
      </c>
      <c r="AD11" s="20" t="n">
        <f aca="false">2*U11</f>
        <v>11.9357199992531</v>
      </c>
      <c r="AE11" s="34" t="n">
        <f aca="false">IF(U11&gt;0,ROUNDUP(T11*SHEET_RATIO,0),0)</f>
        <v>13</v>
      </c>
      <c r="AF11" s="20" t="n">
        <f aca="false">AD11*AE11</f>
        <v>155.164359990291</v>
      </c>
      <c r="AG11" s="18" t="n">
        <f aca="false">MAX(0,GWL-(R11-DD_BELOW))</f>
        <v>5.73479988206334</v>
      </c>
      <c r="AH11" s="12" t="str">
        <f aca="false">IF(AG11=0,"Not required",IF(AG11&lt;=WP_LIMIT,"Single-stage wellpoints","Deep wells or two-stage wellpoints"))</f>
        <v>Deep wells or two-stage wellpoints</v>
      </c>
      <c r="AI11" s="30" t="n">
        <f aca="false">MIN(_xlfn.MINIFS('Piece check'!$Z$6:$Z$1643,'Piece check'!$B$6:$B$1643,B11),_xlfn.MINIFS('Piece check'!$AA$6:$AA$1643,'Piece check'!$B$6:$B$1643,B11))</f>
        <v>2.26690221257149</v>
      </c>
      <c r="AJ11" s="30" t="n">
        <f aca="false">MIN(_xlfn.MINIFS('Piece check'!$AB$6:$AB$1643,'Piece check'!$B$6:$B$1643,B11),_xlfn.MINIFS('Piece check'!$AC$6:$AC$1643,'Piece check'!$B$6:$B$1643,B11))</f>
        <v>4.18590750078013</v>
      </c>
      <c r="AK11" s="12" t="str">
        <f aca="false">IF(AJ11&lt;FOS_FLOT,"Anchor pipe to piled slab (permanent straps)",IF(AI11&lt;FOS_FLOT,"Keep dewatering on until fill reaches FL, or strap to slab","No extra measure"))</f>
        <v>No extra measure</v>
      </c>
      <c r="AL11" s="35" t="n">
        <f aca="false">Activities!P62</f>
        <v>46430</v>
      </c>
      <c r="AM11" s="35" t="n">
        <f aca="false">Activities!Q71</f>
        <v>46528</v>
      </c>
      <c r="AN11" s="15" t="n">
        <v>19</v>
      </c>
      <c r="AO11" s="36" t="s">
        <v>2363</v>
      </c>
      <c r="AP11" s="36" t="s">
        <v>2383</v>
      </c>
      <c r="AQ11" s="36" t="s">
        <v>2384</v>
      </c>
      <c r="AR11" s="37" t="n">
        <f aca="false">Activities!P70-Activities!Q68</f>
        <v>17</v>
      </c>
      <c r="AS11" s="37" t="n">
        <f aca="false">IF(Activities!K65=0,0,Activities!Q71-Activities!P65)</f>
        <v>95</v>
      </c>
    </row>
    <row r="12" customFormat="false" ht="15" hidden="false" customHeight="false" outlineLevel="0" collapsed="false">
      <c r="A12" s="15" t="s">
        <v>500</v>
      </c>
      <c r="B12" s="29" t="s">
        <v>526</v>
      </c>
      <c r="C12" s="15" t="s">
        <v>385</v>
      </c>
      <c r="D12" s="15" t="s">
        <v>2385</v>
      </c>
      <c r="E12" s="15" t="s">
        <v>2361</v>
      </c>
      <c r="F12" s="15" t="n">
        <v>28</v>
      </c>
      <c r="G12" s="15" t="s">
        <v>2362</v>
      </c>
      <c r="H12" s="15"/>
      <c r="I12" s="16" t="n">
        <v>0</v>
      </c>
      <c r="J12" s="15" t="s">
        <v>2386</v>
      </c>
      <c r="K12" s="35" t="n">
        <f aca="false">MAX(Aeration!$I$7,Aeration!$I$12)</f>
        <v>46355</v>
      </c>
      <c r="L12" s="15" t="s">
        <v>296</v>
      </c>
      <c r="M12" s="15" t="n">
        <v>2</v>
      </c>
      <c r="N12" s="30" t="n">
        <f aca="false">_xlfn.MAXIFS('Piece check'!$E$6:$E$1643,'Piece check'!$B$6:$B$1643,B12)</f>
        <v>2.06960947668155</v>
      </c>
      <c r="O12" s="31" t="n">
        <f aca="false">SUMIFS('Piece check'!$D$6:$D$1643,'Piece check'!$B$6:$B$1643,B12)</f>
        <v>105.194074918404</v>
      </c>
      <c r="P12" s="32" t="n">
        <v>-6.16776199938879</v>
      </c>
      <c r="Q12" s="32" t="n">
        <v>-6.72496988206334</v>
      </c>
      <c r="R12" s="30" t="n">
        <f aca="false">_xlfn.MINIFS('Piece check'!$K$6:$K$1643,'Piece check'!$B$6:$B$1643,B12)</f>
        <v>-6.72496988206334</v>
      </c>
      <c r="S12" s="18" t="n">
        <f aca="false">MAX(0,GWL-R12)</f>
        <v>5.22496988206334</v>
      </c>
      <c r="T12" s="18" t="n">
        <f aca="false">MAX(0,NG-R12)</f>
        <v>6.02496988206334</v>
      </c>
      <c r="U12" s="31" t="n">
        <f aca="false">SUMIFS('Piece check'!$R$6:$R$1643,'Piece check'!$B$6:$B$1643,B12)</f>
        <v>105.194074918404</v>
      </c>
      <c r="V12" s="21" t="n">
        <f aca="false">O12-U12</f>
        <v>0</v>
      </c>
      <c r="W12" s="12" t="str">
        <f aca="false">IF(U12&lt;0.05,"Open cut",IF(V12&lt;0.05,"Sheet piles","Mixed: "&amp;TEXT(U12,"0")&amp;" m sheet piles"))</f>
        <v>Sheet piles</v>
      </c>
      <c r="X12" s="33" t="n">
        <f aca="false">SUMIFS('Piece check'!$V$6:$V$1643,'Piece check'!$B$6:$B$1643,B12)</f>
        <v>2464.84067827765</v>
      </c>
      <c r="Y12" s="33" t="n">
        <f aca="false">SUMIFS('Piece check'!$W$6:$W$1643,'Piece check'!$B$6:$B$1643,B12)</f>
        <v>0</v>
      </c>
      <c r="Z12" s="33" t="n">
        <f aca="false">SUMIFS('Piece check'!$X$6:$X$1643,'Piece check'!$B$6:$B$1643,B12)</f>
        <v>161.452349684024</v>
      </c>
      <c r="AA12" s="33" t="n">
        <f aca="false">SUMIFS('Piece check'!$Y$6:$Y$1643,'Piece check'!$B$6:$B$1643,B12)</f>
        <v>353.881491926176</v>
      </c>
      <c r="AB12" s="20" t="n">
        <f aca="false">MAX(0,X12+Y12-Z12-AA12)</f>
        <v>1949.50683666745</v>
      </c>
      <c r="AC12" s="20" t="n">
        <f aca="false">(ROUNDUP(O12/PILE_SP,0)+1)*IF(N12&gt;=PILE_THR,PILE_N_LARGE,PILE_N_SMALL)</f>
        <v>74</v>
      </c>
      <c r="AD12" s="20" t="n">
        <f aca="false">2*U12</f>
        <v>210.388149836808</v>
      </c>
      <c r="AE12" s="34" t="n">
        <f aca="false">IF(U12&gt;0,ROUNDUP(T12*SHEET_RATIO,0),0)</f>
        <v>13</v>
      </c>
      <c r="AF12" s="20" t="n">
        <f aca="false">AD12*AE12</f>
        <v>2735.0459478785</v>
      </c>
      <c r="AG12" s="18" t="n">
        <f aca="false">MAX(0,GWL-(R12-DD_BELOW))</f>
        <v>5.72496988206334</v>
      </c>
      <c r="AH12" s="12" t="str">
        <f aca="false">IF(AG12=0,"Not required",IF(AG12&lt;=WP_LIMIT,"Single-stage wellpoints","Deep wells or two-stage wellpoints"))</f>
        <v>Deep wells or two-stage wellpoints</v>
      </c>
      <c r="AI12" s="30" t="n">
        <f aca="false">MIN(_xlfn.MINIFS('Piece check'!$Z$6:$Z$1643,'Piece check'!$B$6:$B$1643,B12),_xlfn.MINIFS('Piece check'!$AA$6:$AA$1643,'Piece check'!$B$6:$B$1643,B12))</f>
        <v>1.98069697727684</v>
      </c>
      <c r="AJ12" s="30" t="n">
        <f aca="false">MIN(_xlfn.MINIFS('Piece check'!$AB$6:$AB$1643,'Piece check'!$B$6:$B$1643,B12),_xlfn.MINIFS('Piece check'!$AC$6:$AC$1643,'Piece check'!$B$6:$B$1643,B12))</f>
        <v>3.89969325970716</v>
      </c>
      <c r="AK12" s="12" t="str">
        <f aca="false">IF(AJ12&lt;FOS_FLOT,"Anchor pipe to piled slab (permanent straps)",IF(AI12&lt;FOS_FLOT,"Keep dewatering on until fill reaches FL, or strap to slab","No extra measure"))</f>
        <v>No extra measure</v>
      </c>
      <c r="AL12" s="35" t="n">
        <f aca="false">Activities!P73</f>
        <v>46416</v>
      </c>
      <c r="AM12" s="35" t="n">
        <f aca="false">Activities!Q82</f>
        <v>46547</v>
      </c>
      <c r="AN12" s="15" t="n">
        <v>20</v>
      </c>
      <c r="AO12" s="36" t="s">
        <v>2363</v>
      </c>
      <c r="AP12" s="36" t="s">
        <v>2387</v>
      </c>
      <c r="AQ12" s="36" t="s">
        <v>2388</v>
      </c>
      <c r="AR12" s="37" t="n">
        <f aca="false">Activities!P81-Activities!Q79</f>
        <v>40</v>
      </c>
      <c r="AS12" s="37" t="n">
        <f aca="false">IF(Activities!K76=0,0,Activities!Q82-Activities!P76)</f>
        <v>107</v>
      </c>
    </row>
    <row r="13" customFormat="false" ht="15" hidden="false" customHeight="false" outlineLevel="0" collapsed="false">
      <c r="A13" s="15" t="s">
        <v>543</v>
      </c>
      <c r="B13" s="29" t="s">
        <v>544</v>
      </c>
      <c r="C13" s="15" t="s">
        <v>385</v>
      </c>
      <c r="D13" s="15" t="s">
        <v>2389</v>
      </c>
      <c r="E13" s="15" t="s">
        <v>2361</v>
      </c>
      <c r="F13" s="15" t="n">
        <v>28</v>
      </c>
      <c r="G13" s="15" t="s">
        <v>2362</v>
      </c>
      <c r="H13" s="15"/>
      <c r="I13" s="16" t="n">
        <v>0</v>
      </c>
      <c r="J13" s="15"/>
      <c r="K13" s="16" t="n">
        <v>0</v>
      </c>
      <c r="L13" s="15" t="s">
        <v>358</v>
      </c>
      <c r="M13" s="15" t="n">
        <v>3</v>
      </c>
      <c r="N13" s="30" t="n">
        <f aca="false">_xlfn.MAXIFS('Piece check'!$E$6:$E$1643,'Piece check'!$B$6:$B$1643,B13)</f>
        <v>2.04120726337557</v>
      </c>
      <c r="O13" s="31" t="n">
        <f aca="false">SUMIFS('Piece check'!$D$6:$D$1643,'Piece check'!$B$6:$B$1643,B13)</f>
        <v>65.9999999999322</v>
      </c>
      <c r="P13" s="32" t="n">
        <v>-5.09590049853259</v>
      </c>
      <c r="Q13" s="32" t="n">
        <v>-5.85727420801945</v>
      </c>
      <c r="R13" s="30" t="n">
        <f aca="false">_xlfn.MINIFS('Piece check'!$K$6:$K$1643,'Piece check'!$B$6:$B$1643,B13)</f>
        <v>-5.85727420801945</v>
      </c>
      <c r="S13" s="18" t="n">
        <f aca="false">MAX(0,GWL-R13)</f>
        <v>4.35727420801945</v>
      </c>
      <c r="T13" s="18" t="n">
        <f aca="false">MAX(0,NG-R13)</f>
        <v>5.15727420801945</v>
      </c>
      <c r="U13" s="31" t="n">
        <f aca="false">SUMIFS('Piece check'!$R$6:$R$1643,'Piece check'!$B$6:$B$1643,B13)</f>
        <v>65.9999999999322</v>
      </c>
      <c r="V13" s="21" t="n">
        <f aca="false">O13-U13</f>
        <v>0</v>
      </c>
      <c r="W13" s="12" t="str">
        <f aca="false">IF(U13&lt;0.05,"Open cut",IF(V13&lt;0.05,"Sheet piles","Mixed: "&amp;TEXT(U13,"0")&amp;" m sheet piles"))</f>
        <v>Sheet piles</v>
      </c>
      <c r="X13" s="33" t="n">
        <f aca="false">SUMIFS('Piece check'!$V$6:$V$1643,'Piece check'!$B$6:$B$1643,B13)</f>
        <v>1291.19831992381</v>
      </c>
      <c r="Y13" s="33" t="n">
        <f aca="false">SUMIFS('Piece check'!$W$6:$W$1643,'Piece check'!$B$6:$B$1643,B13)</f>
        <v>0</v>
      </c>
      <c r="Z13" s="33" t="n">
        <f aca="false">SUMIFS('Piece check'!$X$6:$X$1643,'Piece check'!$B$6:$B$1643,B13)</f>
        <v>99.456496799908</v>
      </c>
      <c r="AA13" s="33" t="n">
        <f aca="false">SUMIFS('Piece check'!$Y$6:$Y$1643,'Piece check'!$B$6:$B$1643,B13)</f>
        <v>210.8787323995</v>
      </c>
      <c r="AB13" s="20" t="n">
        <f aca="false">MAX(0,X13+Y13-Z13-AA13)</f>
        <v>980.863090724399</v>
      </c>
      <c r="AC13" s="20" t="n">
        <f aca="false">(ROUNDUP(O13/PILE_SP,0)+1)*IF(N13&gt;=PILE_THR,PILE_N_LARGE,PILE_N_SMALL)</f>
        <v>46</v>
      </c>
      <c r="AD13" s="20" t="n">
        <f aca="false">2*U13</f>
        <v>131.999999999864</v>
      </c>
      <c r="AE13" s="34" t="n">
        <f aca="false">IF(U13&gt;0,ROUNDUP(T13*SHEET_RATIO,0),0)</f>
        <v>11</v>
      </c>
      <c r="AF13" s="20" t="n">
        <f aca="false">AD13*AE13</f>
        <v>1451.99999999851</v>
      </c>
      <c r="AG13" s="18" t="n">
        <f aca="false">MAX(0,GWL-(R13-DD_BELOW))</f>
        <v>4.85727420801945</v>
      </c>
      <c r="AH13" s="12" t="str">
        <f aca="false">IF(AG13=0,"Not required",IF(AG13&lt;=WP_LIMIT,"Single-stage wellpoints","Deep wells or two-stage wellpoints"))</f>
        <v>Deep wells or two-stage wellpoints</v>
      </c>
      <c r="AI13" s="30" t="n">
        <f aca="false">MIN(_xlfn.MINIFS('Piece check'!$Z$6:$Z$1643,'Piece check'!$B$6:$B$1643,B13),_xlfn.MINIFS('Piece check'!$AA$6:$AA$1643,'Piece check'!$B$6:$B$1643,B13))</f>
        <v>1.59229669272595</v>
      </c>
      <c r="AJ13" s="30" t="n">
        <f aca="false">MIN(_xlfn.MINIFS('Piece check'!$AB$6:$AB$1643,'Piece check'!$B$6:$B$1643,B13),_xlfn.MINIFS('Piece check'!$AC$6:$AC$1643,'Piece check'!$B$6:$B$1643,B13))</f>
        <v>3.53799469365634</v>
      </c>
      <c r="AK13" s="12" t="str">
        <f aca="false">IF(AJ13&lt;FOS_FLOT,"Anchor pipe to piled slab (permanent straps)",IF(AI13&lt;FOS_FLOT,"Keep dewatering on until fill reaches FL, or strap to slab","No extra measure"))</f>
        <v>No extra measure</v>
      </c>
      <c r="AL13" s="35" t="n">
        <f aca="false">Activities!P84</f>
        <v>46430</v>
      </c>
      <c r="AM13" s="35" t="n">
        <f aca="false">Activities!Q93</f>
        <v>46551</v>
      </c>
      <c r="AN13" s="15" t="n">
        <v>21</v>
      </c>
      <c r="AO13" s="36" t="s">
        <v>2390</v>
      </c>
      <c r="AP13" s="36" t="s">
        <v>2391</v>
      </c>
      <c r="AQ13" s="36" t="s">
        <v>2392</v>
      </c>
      <c r="AR13" s="37" t="n">
        <f aca="false">Activities!P92-Activities!Q90</f>
        <v>36</v>
      </c>
      <c r="AS13" s="37" t="n">
        <f aca="false">IF(Activities!K87=0,0,Activities!Q93-Activities!P87)</f>
        <v>73</v>
      </c>
    </row>
    <row r="14" customFormat="false" ht="15" hidden="false" customHeight="false" outlineLevel="0" collapsed="false">
      <c r="A14" s="15" t="s">
        <v>543</v>
      </c>
      <c r="B14" s="29" t="s">
        <v>556</v>
      </c>
      <c r="C14" s="15" t="s">
        <v>385</v>
      </c>
      <c r="D14" s="15" t="s">
        <v>2393</v>
      </c>
      <c r="E14" s="15" t="s">
        <v>2361</v>
      </c>
      <c r="F14" s="15" t="n">
        <v>28</v>
      </c>
      <c r="G14" s="15" t="s">
        <v>2362</v>
      </c>
      <c r="H14" s="15"/>
      <c r="I14" s="16" t="n">
        <v>0</v>
      </c>
      <c r="J14" s="15"/>
      <c r="K14" s="16" t="n">
        <v>0</v>
      </c>
      <c r="L14" s="15" t="s">
        <v>358</v>
      </c>
      <c r="M14" s="15" t="n">
        <v>0</v>
      </c>
      <c r="N14" s="30" t="n">
        <f aca="false">_xlfn.MAXIFS('Piece check'!$E$6:$E$1643,'Piece check'!$B$6:$B$1643,B14)</f>
        <v>2.04120006230099</v>
      </c>
      <c r="O14" s="31" t="n">
        <f aca="false">SUMIFS('Piece check'!$D$6:$D$1643,'Piece check'!$B$6:$B$1643,B14)</f>
        <v>15.9999999994241</v>
      </c>
      <c r="P14" s="32" t="n">
        <v>-5.85727420801945</v>
      </c>
      <c r="Q14" s="32" t="n">
        <v>-5.98994685031919</v>
      </c>
      <c r="R14" s="30" t="n">
        <f aca="false">_xlfn.MINIFS('Piece check'!$K$6:$K$1643,'Piece check'!$B$6:$B$1643,B14)</f>
        <v>-5.98994685031919</v>
      </c>
      <c r="S14" s="18" t="n">
        <f aca="false">MAX(0,GWL-R14)</f>
        <v>4.48994685031919</v>
      </c>
      <c r="T14" s="18" t="n">
        <f aca="false">MAX(0,NG-R14)</f>
        <v>5.28994685031919</v>
      </c>
      <c r="U14" s="31" t="n">
        <f aca="false">SUMIFS('Piece check'!$R$6:$R$1643,'Piece check'!$B$6:$B$1643,B14)</f>
        <v>15.9999999994241</v>
      </c>
      <c r="V14" s="21" t="n">
        <f aca="false">O14-U14</f>
        <v>0</v>
      </c>
      <c r="W14" s="12" t="str">
        <f aca="false">IF(U14&lt;0.05,"Open cut",IF(V14&lt;0.05,"Sheet piles","Mixed: "&amp;TEXT(U14,"0")&amp;" m sheet piles"))</f>
        <v>Sheet piles</v>
      </c>
      <c r="X14" s="33" t="n">
        <f aca="false">SUMIFS('Piece check'!$V$6:$V$1643,'Piece check'!$B$6:$B$1643,B14)</f>
        <v>337.754483122565</v>
      </c>
      <c r="Y14" s="33" t="n">
        <f aca="false">SUMIFS('Piece check'!$W$6:$W$1643,'Piece check'!$B$6:$B$1643,B14)</f>
        <v>0</v>
      </c>
      <c r="Z14" s="33" t="n">
        <f aca="false">SUMIFS('Piece check'!$X$6:$X$1643,'Piece check'!$B$6:$B$1643,B14)</f>
        <v>24.3296004975322</v>
      </c>
      <c r="AA14" s="33" t="n">
        <f aca="false">SUMIFS('Piece check'!$Y$6:$Y$1643,'Piece check'!$B$6:$B$1643,B14)</f>
        <v>52.3577541890343</v>
      </c>
      <c r="AB14" s="20" t="n">
        <f aca="false">MAX(0,X14+Y14-Z14-AA14)</f>
        <v>261.067128435998</v>
      </c>
      <c r="AC14" s="20" t="n">
        <f aca="false">(ROUNDUP(O14/PILE_SP,0)+1)*IF(N14&gt;=PILE_THR,PILE_N_LARGE,PILE_N_SMALL)</f>
        <v>14</v>
      </c>
      <c r="AD14" s="20" t="n">
        <f aca="false">2*U14</f>
        <v>31.9999999988483</v>
      </c>
      <c r="AE14" s="34" t="n">
        <f aca="false">IF(U14&gt;0,ROUNDUP(T14*SHEET_RATIO,0),0)</f>
        <v>11</v>
      </c>
      <c r="AF14" s="20" t="n">
        <f aca="false">AD14*AE14</f>
        <v>351.999999987331</v>
      </c>
      <c r="AG14" s="18" t="n">
        <f aca="false">MAX(0,GWL-(R14-DD_BELOW))</f>
        <v>4.98994685031919</v>
      </c>
      <c r="AH14" s="12" t="str">
        <f aca="false">IF(AG14=0,"Not required",IF(AG14&lt;=WP_LIMIT,"Single-stage wellpoints","Deep wells or two-stage wellpoints"))</f>
        <v>Deep wells or two-stage wellpoints</v>
      </c>
      <c r="AI14" s="30" t="n">
        <f aca="false">MIN(_xlfn.MINIFS('Piece check'!$Z$6:$Z$1643,'Piece check'!$B$6:$B$1643,B14),_xlfn.MINIFS('Piece check'!$AA$6:$AA$1643,'Piece check'!$B$6:$B$1643,B14))</f>
        <v>1.86136855816473</v>
      </c>
      <c r="AJ14" s="30" t="n">
        <f aca="false">MIN(_xlfn.MINIFS('Piece check'!$AB$6:$AB$1643,'Piece check'!$B$6:$B$1643,B14),_xlfn.MINIFS('Piece check'!$AC$6:$AC$1643,'Piece check'!$B$6:$B$1643,B14))</f>
        <v>3.80707342325151</v>
      </c>
      <c r="AK14" s="12" t="str">
        <f aca="false">IF(AJ14&lt;FOS_FLOT,"Anchor pipe to piled slab (permanent straps)",IF(AI14&lt;FOS_FLOT,"Keep dewatering on until fill reaches FL, or strap to slab","No extra measure"))</f>
        <v>No extra measure</v>
      </c>
      <c r="AL14" s="35" t="n">
        <f aca="false">Activities!P95</f>
        <v>46448</v>
      </c>
      <c r="AM14" s="35" t="n">
        <f aca="false">Activities!Q104</f>
        <v>46552</v>
      </c>
      <c r="AN14" s="15" t="n">
        <v>22</v>
      </c>
      <c r="AO14" s="36" t="s">
        <v>2374</v>
      </c>
      <c r="AP14" s="36" t="s">
        <v>2394</v>
      </c>
      <c r="AQ14" s="36" t="s">
        <v>2395</v>
      </c>
      <c r="AR14" s="37" t="n">
        <f aca="false">Activities!P103-Activities!Q101</f>
        <v>34</v>
      </c>
      <c r="AS14" s="37" t="n">
        <f aca="false">IF(Activities!K98=0,0,Activities!Q104-Activities!P98)</f>
        <v>66</v>
      </c>
    </row>
    <row r="15" customFormat="false" ht="15" hidden="false" customHeight="false" outlineLevel="0" collapsed="false">
      <c r="A15" s="15" t="s">
        <v>543</v>
      </c>
      <c r="B15" s="29" t="s">
        <v>570</v>
      </c>
      <c r="C15" s="15" t="s">
        <v>385</v>
      </c>
      <c r="D15" s="15" t="s">
        <v>2396</v>
      </c>
      <c r="E15" s="15" t="s">
        <v>2361</v>
      </c>
      <c r="F15" s="15" t="n">
        <v>28</v>
      </c>
      <c r="G15" s="15" t="s">
        <v>2362</v>
      </c>
      <c r="H15" s="15"/>
      <c r="I15" s="16" t="n">
        <v>0</v>
      </c>
      <c r="J15" s="15"/>
      <c r="K15" s="16" t="n">
        <v>0</v>
      </c>
      <c r="L15" s="15" t="s">
        <v>358</v>
      </c>
      <c r="M15" s="15" t="n">
        <v>2</v>
      </c>
      <c r="N15" s="30" t="n">
        <f aca="false">_xlfn.MAXIFS('Piece check'!$E$6:$E$1643,'Piece check'!$B$6:$B$1643,B15)</f>
        <v>2.06959883798015</v>
      </c>
      <c r="O15" s="31" t="n">
        <f aca="false">SUMIFS('Piece check'!$D$6:$D$1643,'Piece check'!$B$6:$B$1643,B15)</f>
        <v>6.9803856869693</v>
      </c>
      <c r="P15" s="32" t="n">
        <v>-6.70389150669467</v>
      </c>
      <c r="Q15" s="32" t="n">
        <v>-6.72839941899007</v>
      </c>
      <c r="R15" s="30" t="n">
        <f aca="false">_xlfn.MINIFS('Piece check'!$K$6:$K$1643,'Piece check'!$B$6:$B$1643,B15)</f>
        <v>-6.72839941899007</v>
      </c>
      <c r="S15" s="18" t="n">
        <f aca="false">MAX(0,GWL-R15)</f>
        <v>5.22839941899007</v>
      </c>
      <c r="T15" s="18" t="n">
        <f aca="false">MAX(0,NG-R15)</f>
        <v>6.02839941899007</v>
      </c>
      <c r="U15" s="31" t="n">
        <f aca="false">SUMIFS('Piece check'!$R$6:$R$1643,'Piece check'!$B$6:$B$1643,B15)</f>
        <v>6.9803856869693</v>
      </c>
      <c r="V15" s="21" t="n">
        <f aca="false">O15-U15</f>
        <v>0</v>
      </c>
      <c r="W15" s="12" t="str">
        <f aca="false">IF(U15&lt;0.05,"Open cut",IF(V15&lt;0.05,"Sheet piles","Mixed: "&amp;TEXT(U15,"0")&amp;" m sheet piles"))</f>
        <v>Sheet piles</v>
      </c>
      <c r="X15" s="33" t="n">
        <f aca="false">SUMIFS('Piece check'!$V$6:$V$1643,'Piece check'!$B$6:$B$1643,B15)</f>
        <v>170.288367887531</v>
      </c>
      <c r="Y15" s="33" t="n">
        <f aca="false">SUMIFS('Piece check'!$W$6:$W$1643,'Piece check'!$B$6:$B$1643,B15)</f>
        <v>0</v>
      </c>
      <c r="Z15" s="33" t="n">
        <f aca="false">SUMIFS('Piece check'!$X$6:$X$1643,'Piece check'!$B$6:$B$1643,B15)</f>
        <v>10.6579027744747</v>
      </c>
      <c r="AA15" s="33" t="n">
        <f aca="false">SUMIFS('Piece check'!$Y$6:$Y$1643,'Piece check'!$B$6:$B$1643,B15)</f>
        <v>23.1234031102835</v>
      </c>
      <c r="AB15" s="20" t="n">
        <f aca="false">MAX(0,X15+Y15-Z15-AA15)</f>
        <v>136.507062002773</v>
      </c>
      <c r="AC15" s="20" t="n">
        <f aca="false">(ROUNDUP(O15/PILE_SP,0)+1)*IF(N15&gt;=PILE_THR,PILE_N_LARGE,PILE_N_SMALL)</f>
        <v>8</v>
      </c>
      <c r="AD15" s="20" t="n">
        <f aca="false">2*U15</f>
        <v>13.9607713739386</v>
      </c>
      <c r="AE15" s="34" t="n">
        <f aca="false">IF(U15&gt;0,ROUNDUP(T15*SHEET_RATIO,0),0)</f>
        <v>13</v>
      </c>
      <c r="AF15" s="20" t="n">
        <f aca="false">AD15*AE15</f>
        <v>181.490027861202</v>
      </c>
      <c r="AG15" s="18" t="n">
        <f aca="false">MAX(0,GWL-(R15-DD_BELOW))</f>
        <v>5.72839941899007</v>
      </c>
      <c r="AH15" s="12" t="str">
        <f aca="false">IF(AG15=0,"Not required",IF(AG15&lt;=WP_LIMIT,"Single-stage wellpoints","Deep wells or two-stage wellpoints"))</f>
        <v>Deep wells or two-stage wellpoints</v>
      </c>
      <c r="AI15" s="30" t="n">
        <f aca="false">MIN(_xlfn.MINIFS('Piece check'!$Z$6:$Z$1643,'Piece check'!$B$6:$B$1643,B15),_xlfn.MINIFS('Piece check'!$AA$6:$AA$1643,'Piece check'!$B$6:$B$1643,B15))</f>
        <v>2.26774579566918</v>
      </c>
      <c r="AJ15" s="30" t="n">
        <f aca="false">MIN(_xlfn.MINIFS('Piece check'!$AB$6:$AB$1643,'Piece check'!$B$6:$B$1643,B15),_xlfn.MINIFS('Piece check'!$AC$6:$AC$1643,'Piece check'!$B$6:$B$1643,B15))</f>
        <v>4.18675194263366</v>
      </c>
      <c r="AK15" s="12" t="str">
        <f aca="false">IF(AJ15&lt;FOS_FLOT,"Anchor pipe to piled slab (permanent straps)",IF(AI15&lt;FOS_FLOT,"Keep dewatering on until fill reaches FL, or strap to slab","No extra measure"))</f>
        <v>No extra measure</v>
      </c>
      <c r="AL15" s="35" t="n">
        <f aca="false">Activities!P106</f>
        <v>46460</v>
      </c>
      <c r="AM15" s="35" t="n">
        <f aca="false">Activities!Q115</f>
        <v>46554</v>
      </c>
      <c r="AN15" s="15" t="n">
        <v>23</v>
      </c>
      <c r="AO15" s="36" t="s">
        <v>2363</v>
      </c>
      <c r="AP15" s="36" t="s">
        <v>2397</v>
      </c>
      <c r="AQ15" s="36" t="s">
        <v>2398</v>
      </c>
      <c r="AR15" s="37" t="n">
        <f aca="false">Activities!P114-Activities!Q112</f>
        <v>31</v>
      </c>
      <c r="AS15" s="37" t="n">
        <f aca="false">IF(Activities!K109=0,0,Activities!Q115-Activities!P109)</f>
        <v>65</v>
      </c>
    </row>
    <row r="16" customFormat="false" ht="15" hidden="false" customHeight="false" outlineLevel="0" collapsed="false">
      <c r="A16" s="15" t="s">
        <v>543</v>
      </c>
      <c r="B16" s="29" t="s">
        <v>575</v>
      </c>
      <c r="C16" s="15" t="s">
        <v>385</v>
      </c>
      <c r="D16" s="15" t="s">
        <v>2399</v>
      </c>
      <c r="E16" s="15" t="s">
        <v>2361</v>
      </c>
      <c r="F16" s="15" t="n">
        <v>28</v>
      </c>
      <c r="G16" s="15" t="s">
        <v>2367</v>
      </c>
      <c r="H16" s="15" t="s">
        <v>332</v>
      </c>
      <c r="I16" s="35" t="n">
        <f aca="false">MAX(Structures!$H$20)</f>
        <v>0</v>
      </c>
      <c r="J16" s="15"/>
      <c r="K16" s="16" t="n">
        <v>0</v>
      </c>
      <c r="L16" s="15" t="s">
        <v>358</v>
      </c>
      <c r="M16" s="15" t="n">
        <v>0</v>
      </c>
      <c r="N16" s="30" t="n">
        <f aca="false">_xlfn.MAXIFS('Piece check'!$E$6:$E$1643,'Piece check'!$B$6:$B$1643,B16)</f>
        <v>2.06959883798015</v>
      </c>
      <c r="O16" s="31" t="n">
        <f aca="false">SUMIFS('Piece check'!$D$6:$D$1643,'Piece check'!$B$6:$B$1643,B16)</f>
        <v>10.9787800002896</v>
      </c>
      <c r="P16" s="32" t="n">
        <v>-6.72839941899007</v>
      </c>
      <c r="Q16" s="32" t="n">
        <v>-6.73479941899007</v>
      </c>
      <c r="R16" s="30" t="n">
        <f aca="false">_xlfn.MINIFS('Piece check'!$K$6:$K$1643,'Piece check'!$B$6:$B$1643,B16)</f>
        <v>-6.73479941899007</v>
      </c>
      <c r="S16" s="18" t="n">
        <f aca="false">MAX(0,GWL-R16)</f>
        <v>5.23479941899007</v>
      </c>
      <c r="T16" s="18" t="n">
        <f aca="false">MAX(0,NG-R16)</f>
        <v>6.03479941899007</v>
      </c>
      <c r="U16" s="31" t="n">
        <f aca="false">SUMIFS('Piece check'!$R$6:$R$1643,'Piece check'!$B$6:$B$1643,B16)</f>
        <v>10.9787800002896</v>
      </c>
      <c r="V16" s="21" t="n">
        <f aca="false">O16-U16</f>
        <v>0</v>
      </c>
      <c r="W16" s="12" t="str">
        <f aca="false">IF(U16&lt;0.05,"Open cut",IF(V16&lt;0.05,"Sheet piles","Mixed: "&amp;TEXT(U16,"0")&amp;" m sheet piles"))</f>
        <v>Sheet piles</v>
      </c>
      <c r="X16" s="33" t="n">
        <f aca="false">SUMIFS('Piece check'!$V$6:$V$1643,'Piece check'!$B$6:$B$1643,B16)</f>
        <v>269.487219709113</v>
      </c>
      <c r="Y16" s="33" t="n">
        <f aca="false">SUMIFS('Piece check'!$W$6:$W$1643,'Piece check'!$B$6:$B$1643,B16)</f>
        <v>0</v>
      </c>
      <c r="Z16" s="33" t="n">
        <f aca="false">SUMIFS('Piece check'!$X$6:$X$1643,'Piece check'!$B$6:$B$1643,B16)</f>
        <v>16.8502251656643</v>
      </c>
      <c r="AA16" s="33" t="n">
        <f aca="false">SUMIFS('Piece check'!$Y$6:$Y$1643,'Piece check'!$B$6:$B$1643,B16)</f>
        <v>36.9331464048013</v>
      </c>
      <c r="AB16" s="20" t="n">
        <f aca="false">MAX(0,X16+Y16-Z16-AA16)</f>
        <v>215.703848138647</v>
      </c>
      <c r="AC16" s="20" t="n">
        <f aca="false">(ROUNDUP(O16/PILE_SP,0)+1)*IF(N16&gt;=PILE_THR,PILE_N_LARGE,PILE_N_SMALL)</f>
        <v>10</v>
      </c>
      <c r="AD16" s="20" t="n">
        <f aca="false">2*U16</f>
        <v>21.9575600005792</v>
      </c>
      <c r="AE16" s="34" t="n">
        <f aca="false">IF(U16&gt;0,ROUNDUP(T16*SHEET_RATIO,0),0)</f>
        <v>13</v>
      </c>
      <c r="AF16" s="20" t="n">
        <f aca="false">AD16*AE16</f>
        <v>285.44828000753</v>
      </c>
      <c r="AG16" s="18" t="n">
        <f aca="false">MAX(0,GWL-(R16-DD_BELOW))</f>
        <v>5.73479941899007</v>
      </c>
      <c r="AH16" s="12" t="str">
        <f aca="false">IF(AG16=0,"Not required",IF(AG16&lt;=WP_LIMIT,"Single-stage wellpoints","Deep wells or two-stage wellpoints"))</f>
        <v>Deep wells or two-stage wellpoints</v>
      </c>
      <c r="AI16" s="30" t="n">
        <f aca="false">MIN(_xlfn.MINIFS('Piece check'!$Z$6:$Z$1643,'Piece check'!$B$6:$B$1643,B16),_xlfn.MINIFS('Piece check'!$AA$6:$AA$1643,'Piece check'!$B$6:$B$1643,B16))</f>
        <v>2.26866516893765</v>
      </c>
      <c r="AJ16" s="30" t="n">
        <f aca="false">MIN(_xlfn.MINIFS('Piece check'!$AB$6:$AB$1643,'Piece check'!$B$6:$B$1643,B16),_xlfn.MINIFS('Piece check'!$AC$6:$AC$1643,'Piece check'!$B$6:$B$1643,B16))</f>
        <v>4.18767131590213</v>
      </c>
      <c r="AK16" s="12" t="str">
        <f aca="false">IF(AJ16&lt;FOS_FLOT,"Anchor pipe to piled slab (permanent straps)",IF(AI16&lt;FOS_FLOT,"Keep dewatering on until fill reaches FL, or strap to slab","No extra measure"))</f>
        <v>No extra measure</v>
      </c>
      <c r="AL16" s="35" t="n">
        <f aca="false">Activities!P117</f>
        <v>46464</v>
      </c>
      <c r="AM16" s="35" t="n">
        <f aca="false">Activities!Q126</f>
        <v>46533</v>
      </c>
      <c r="AN16" s="15" t="n">
        <v>24</v>
      </c>
      <c r="AO16" s="36" t="s">
        <v>2363</v>
      </c>
      <c r="AP16" s="36" t="s">
        <v>2400</v>
      </c>
      <c r="AQ16" s="36" t="s">
        <v>2401</v>
      </c>
      <c r="AR16" s="37" t="n">
        <f aca="false">Activities!P125-Activities!Q123</f>
        <v>5</v>
      </c>
      <c r="AS16" s="37" t="n">
        <f aca="false">IF(Activities!K120=0,0,Activities!Q126-Activities!P120)</f>
        <v>66</v>
      </c>
    </row>
    <row r="17" customFormat="false" ht="15" hidden="false" customHeight="false" outlineLevel="0" collapsed="false">
      <c r="A17" s="15" t="s">
        <v>578</v>
      </c>
      <c r="B17" s="29" t="s">
        <v>579</v>
      </c>
      <c r="C17" s="15" t="s">
        <v>385</v>
      </c>
      <c r="D17" s="15" t="s">
        <v>2402</v>
      </c>
      <c r="E17" s="15" t="s">
        <v>2361</v>
      </c>
      <c r="F17" s="15" t="n">
        <v>28</v>
      </c>
      <c r="G17" s="15" t="s">
        <v>2362</v>
      </c>
      <c r="H17" s="15"/>
      <c r="I17" s="16" t="n">
        <v>0</v>
      </c>
      <c r="J17" s="15"/>
      <c r="K17" s="16" t="n">
        <v>0</v>
      </c>
      <c r="L17" s="15" t="s">
        <v>358</v>
      </c>
      <c r="M17" s="15" t="n">
        <v>5</v>
      </c>
      <c r="N17" s="30" t="n">
        <f aca="false">_xlfn.MAXIFS('Piece check'!$E$6:$E$1643,'Piece check'!$B$6:$B$1643,B17)</f>
        <v>2.06959766203719</v>
      </c>
      <c r="O17" s="31" t="n">
        <f aca="false">SUMIFS('Piece check'!$D$6:$D$1643,'Piece check'!$B$6:$B$1643,B17)</f>
        <v>10.3096902754036</v>
      </c>
      <c r="P17" s="32" t="n">
        <v>-5.0857987575821</v>
      </c>
      <c r="Q17" s="32" t="n">
        <v>-5.86216883101859</v>
      </c>
      <c r="R17" s="30" t="n">
        <f aca="false">_xlfn.MINIFS('Piece check'!$K$6:$K$1643,'Piece check'!$B$6:$B$1643,B17)</f>
        <v>-5.86216883101859</v>
      </c>
      <c r="S17" s="18" t="n">
        <f aca="false">MAX(0,GWL-R17)</f>
        <v>4.36216883101859</v>
      </c>
      <c r="T17" s="18" t="n">
        <f aca="false">MAX(0,NG-R17)</f>
        <v>5.16216883101859</v>
      </c>
      <c r="U17" s="31" t="n">
        <f aca="false">SUMIFS('Piece check'!$R$6:$R$1643,'Piece check'!$B$6:$B$1643,B17)</f>
        <v>10.3096902754036</v>
      </c>
      <c r="V17" s="21" t="n">
        <f aca="false">O17-U17</f>
        <v>0</v>
      </c>
      <c r="W17" s="12" t="str">
        <f aca="false">IF(U17&lt;0.05,"Open cut",IF(V17&lt;0.05,"Sheet piles","Mixed: "&amp;TEXT(U17,"0")&amp;" m sheet piles"))</f>
        <v>Sheet piles</v>
      </c>
      <c r="X17" s="33" t="n">
        <f aca="false">SUMIFS('Piece check'!$V$6:$V$1643,'Piece check'!$B$6:$B$1643,B17)</f>
        <v>191.574073467958</v>
      </c>
      <c r="Y17" s="33" t="n">
        <f aca="false">SUMIFS('Piece check'!$W$6:$W$1643,'Piece check'!$B$6:$B$1643,B17)</f>
        <v>0</v>
      </c>
      <c r="Z17" s="33" t="n">
        <f aca="false">SUMIFS('Piece check'!$X$6:$X$1643,'Piece check'!$B$6:$B$1643,B17)</f>
        <v>14.9573715059107</v>
      </c>
      <c r="AA17" s="33" t="n">
        <f aca="false">SUMIFS('Piece check'!$Y$6:$Y$1643,'Piece check'!$B$6:$B$1643,B17)</f>
        <v>29.7651529563906</v>
      </c>
      <c r="AB17" s="20" t="n">
        <f aca="false">MAX(0,X17+Y17-Z17-AA17)</f>
        <v>146.851549005657</v>
      </c>
      <c r="AC17" s="20" t="n">
        <f aca="false">(ROUNDUP(O17/PILE_SP,0)+1)*IF(N17&gt;=PILE_THR,PILE_N_LARGE,PILE_N_SMALL)</f>
        <v>10</v>
      </c>
      <c r="AD17" s="20" t="n">
        <f aca="false">2*U17</f>
        <v>20.6193805508073</v>
      </c>
      <c r="AE17" s="34" t="n">
        <f aca="false">IF(U17&gt;0,ROUNDUP(T17*SHEET_RATIO,0),0)</f>
        <v>11</v>
      </c>
      <c r="AF17" s="20" t="n">
        <f aca="false">AD17*AE17</f>
        <v>226.81318605888</v>
      </c>
      <c r="AG17" s="18" t="n">
        <f aca="false">MAX(0,GWL-(R17-DD_BELOW))</f>
        <v>4.86216883101859</v>
      </c>
      <c r="AH17" s="12" t="str">
        <f aca="false">IF(AG17=0,"Not required",IF(AG17&lt;=WP_LIMIT,"Single-stage wellpoints","Deep wells or two-stage wellpoints"))</f>
        <v>Deep wells or two-stage wellpoints</v>
      </c>
      <c r="AI17" s="30" t="n">
        <f aca="false">MIN(_xlfn.MINIFS('Piece check'!$Z$6:$Z$1643,'Piece check'!$B$6:$B$1643,B17),_xlfn.MINIFS('Piece check'!$AA$6:$AA$1643,'Piece check'!$B$6:$B$1643,B17))</f>
        <v>1.5922993124694</v>
      </c>
      <c r="AJ17" s="30" t="n">
        <f aca="false">MIN(_xlfn.MINIFS('Piece check'!$AB$6:$AB$1643,'Piece check'!$B$6:$B$1643,B17),_xlfn.MINIFS('Piece check'!$AC$6:$AC$1643,'Piece check'!$B$6:$B$1643,B17))</f>
        <v>3.53799971346655</v>
      </c>
      <c r="AK17" s="12" t="str">
        <f aca="false">IF(AJ17&lt;FOS_FLOT,"Anchor pipe to piled slab (permanent straps)",IF(AI17&lt;FOS_FLOT,"Keep dewatering on until fill reaches FL, or strap to slab","No extra measure"))</f>
        <v>No extra measure</v>
      </c>
      <c r="AL17" s="35" t="n">
        <f aca="false">Activities!P128</f>
        <v>46464</v>
      </c>
      <c r="AM17" s="35" t="n">
        <f aca="false">Activities!Q137</f>
        <v>46556</v>
      </c>
      <c r="AN17" s="15" t="n">
        <v>25</v>
      </c>
      <c r="AO17" s="36" t="s">
        <v>2390</v>
      </c>
      <c r="AP17" s="36" t="s">
        <v>2403</v>
      </c>
      <c r="AQ17" s="36" t="s">
        <v>2404</v>
      </c>
      <c r="AR17" s="37" t="n">
        <f aca="false">Activities!P136-Activities!Q134</f>
        <v>28</v>
      </c>
      <c r="AS17" s="37" t="n">
        <f aca="false">IF(Activities!K131=0,0,Activities!Q137-Activities!P131)</f>
        <v>65</v>
      </c>
    </row>
    <row r="18" customFormat="false" ht="15" hidden="false" customHeight="false" outlineLevel="0" collapsed="false">
      <c r="A18" s="15" t="s">
        <v>578</v>
      </c>
      <c r="B18" s="29" t="s">
        <v>588</v>
      </c>
      <c r="C18" s="15" t="s">
        <v>385</v>
      </c>
      <c r="D18" s="15" t="s">
        <v>2405</v>
      </c>
      <c r="E18" s="15" t="s">
        <v>2361</v>
      </c>
      <c r="F18" s="15" t="n">
        <v>28</v>
      </c>
      <c r="G18" s="15" t="s">
        <v>2367</v>
      </c>
      <c r="H18" s="15" t="s">
        <v>332</v>
      </c>
      <c r="I18" s="35" t="n">
        <f aca="false">MAX(Structures!$H$20)</f>
        <v>0</v>
      </c>
      <c r="J18" s="15"/>
      <c r="K18" s="16" t="n">
        <v>0</v>
      </c>
      <c r="L18" s="15" t="s">
        <v>358</v>
      </c>
      <c r="M18" s="15" t="n">
        <v>0</v>
      </c>
      <c r="N18" s="30" t="n">
        <f aca="false">_xlfn.MAXIFS('Piece check'!$E$6:$E$1643,'Piece check'!$B$6:$B$1643,B18)</f>
        <v>2.06959766203719</v>
      </c>
      <c r="O18" s="31" t="n">
        <f aca="false">SUMIFS('Piece check'!$D$6:$D$1643,'Piece check'!$B$6:$B$1643,B18)</f>
        <v>12.345200000319</v>
      </c>
      <c r="P18" s="32" t="n">
        <v>-5.86216883101859</v>
      </c>
      <c r="Q18" s="32" t="n">
        <v>-6.73479883100326</v>
      </c>
      <c r="R18" s="30" t="n">
        <f aca="false">_xlfn.MINIFS('Piece check'!$K$6:$K$1643,'Piece check'!$B$6:$B$1643,B18)</f>
        <v>-6.73479883100326</v>
      </c>
      <c r="S18" s="18" t="n">
        <f aca="false">MAX(0,GWL-R18)</f>
        <v>5.23479883100326</v>
      </c>
      <c r="T18" s="18" t="n">
        <f aca="false">MAX(0,NG-R18)</f>
        <v>6.03479883100326</v>
      </c>
      <c r="U18" s="31" t="n">
        <f aca="false">SUMIFS('Piece check'!$R$6:$R$1643,'Piece check'!$B$6:$B$1643,B18)</f>
        <v>12.345200000319</v>
      </c>
      <c r="V18" s="21" t="n">
        <f aca="false">O18-U18</f>
        <v>0</v>
      </c>
      <c r="W18" s="12" t="str">
        <f aca="false">IF(U18&lt;0.05,"Open cut",IF(V18&lt;0.05,"Sheet piles","Mixed: "&amp;TEXT(U18,"0")&amp;" m sheet piles"))</f>
        <v>Sheet piles</v>
      </c>
      <c r="X18" s="33" t="n">
        <f aca="false">SUMIFS('Piece check'!$V$6:$V$1643,'Piece check'!$B$6:$B$1643,B18)</f>
        <v>281.26785336355</v>
      </c>
      <c r="Y18" s="33" t="n">
        <f aca="false">SUMIFS('Piece check'!$W$6:$W$1643,'Piece check'!$B$6:$B$1643,B18)</f>
        <v>0</v>
      </c>
      <c r="Z18" s="33" t="n">
        <f aca="false">SUMIFS('Piece check'!$X$6:$X$1643,'Piece check'!$B$6:$B$1643,B18)</f>
        <v>18.9473985289961</v>
      </c>
      <c r="AA18" s="33" t="n">
        <f aca="false">SUMIFS('Piece check'!$Y$6:$Y$1643,'Piece check'!$B$6:$B$1643,B18)</f>
        <v>41.5298021133869</v>
      </c>
      <c r="AB18" s="20" t="n">
        <f aca="false">MAX(0,X18+Y18-Z18-AA18)</f>
        <v>220.790652721167</v>
      </c>
      <c r="AC18" s="20" t="n">
        <f aca="false">(ROUNDUP(O18/PILE_SP,0)+1)*IF(N18&gt;=PILE_THR,PILE_N_LARGE,PILE_N_SMALL)</f>
        <v>12</v>
      </c>
      <c r="AD18" s="20" t="n">
        <f aca="false">2*U18</f>
        <v>24.690400000638</v>
      </c>
      <c r="AE18" s="34" t="n">
        <f aca="false">IF(U18&gt;0,ROUNDUP(T18*SHEET_RATIO,0),0)</f>
        <v>13</v>
      </c>
      <c r="AF18" s="20" t="n">
        <f aca="false">AD18*AE18</f>
        <v>320.975200008294</v>
      </c>
      <c r="AG18" s="18" t="n">
        <f aca="false">MAX(0,GWL-(R18-DD_BELOW))</f>
        <v>5.73479883100326</v>
      </c>
      <c r="AH18" s="12" t="str">
        <f aca="false">IF(AG18=0,"Not required",IF(AG18&lt;=WP_LIMIT,"Single-stage wellpoints","Deep wells or two-stage wellpoints"))</f>
        <v>Deep wells or two-stage wellpoints</v>
      </c>
      <c r="AI18" s="30" t="n">
        <f aca="false">MIN(_xlfn.MINIFS('Piece check'!$Z$6:$Z$1643,'Piece check'!$B$6:$B$1643,B18),_xlfn.MINIFS('Piece check'!$AA$6:$AA$1643,'Piece check'!$B$6:$B$1643,B18))</f>
        <v>1.82375661537242</v>
      </c>
      <c r="AJ18" s="30" t="n">
        <f aca="false">MIN(_xlfn.MINIFS('Piece check'!$AB$6:$AB$1643,'Piece check'!$B$6:$B$1643,B18),_xlfn.MINIFS('Piece check'!$AC$6:$AC$1643,'Piece check'!$B$6:$B$1643,B18))</f>
        <v>3.74276385271395</v>
      </c>
      <c r="AK18" s="12" t="str">
        <f aca="false">IF(AJ18&lt;FOS_FLOT,"Anchor pipe to piled slab (permanent straps)",IF(AI18&lt;FOS_FLOT,"Keep dewatering on until fill reaches FL, or strap to slab","No extra measure"))</f>
        <v>No extra measure</v>
      </c>
      <c r="AL18" s="35" t="n">
        <f aca="false">Activities!P139</f>
        <v>46467</v>
      </c>
      <c r="AM18" s="35" t="n">
        <f aca="false">Activities!Q148</f>
        <v>46535</v>
      </c>
      <c r="AN18" s="15" t="n">
        <v>26</v>
      </c>
      <c r="AO18" s="36" t="s">
        <v>2363</v>
      </c>
      <c r="AP18" s="36" t="s">
        <v>2406</v>
      </c>
      <c r="AQ18" s="36" t="s">
        <v>2407</v>
      </c>
      <c r="AR18" s="37" t="n">
        <f aca="false">Activities!P147-Activities!Q145</f>
        <v>-1</v>
      </c>
      <c r="AS18" s="37" t="n">
        <f aca="false">IF(Activities!K142=0,0,Activities!Q148-Activities!P142)</f>
        <v>64</v>
      </c>
    </row>
    <row r="19" customFormat="false" ht="15" hidden="false" customHeight="false" outlineLevel="0" collapsed="false">
      <c r="A19" s="15" t="s">
        <v>543</v>
      </c>
      <c r="B19" s="29" t="s">
        <v>560</v>
      </c>
      <c r="C19" s="15" t="s">
        <v>385</v>
      </c>
      <c r="D19" s="15" t="s">
        <v>2408</v>
      </c>
      <c r="E19" s="15" t="s">
        <v>2361</v>
      </c>
      <c r="F19" s="15" t="n">
        <v>28</v>
      </c>
      <c r="G19" s="15" t="s">
        <v>2362</v>
      </c>
      <c r="H19" s="15"/>
      <c r="I19" s="16" t="n">
        <v>0</v>
      </c>
      <c r="J19" s="15"/>
      <c r="K19" s="16" t="n">
        <v>0</v>
      </c>
      <c r="L19" s="15" t="s">
        <v>296</v>
      </c>
      <c r="M19" s="15" t="n">
        <v>0</v>
      </c>
      <c r="N19" s="30" t="n">
        <f aca="false">_xlfn.MAXIFS('Piece check'!$E$6:$E$1643,'Piece check'!$B$6:$B$1643,B19)</f>
        <v>2.04120006230099</v>
      </c>
      <c r="O19" s="31" t="n">
        <f aca="false">SUMIFS('Piece check'!$D$6:$D$1643,'Piece check'!$B$6:$B$1643,B19)</f>
        <v>86.1000000004996</v>
      </c>
      <c r="P19" s="32" t="n">
        <v>-5.98994685031919</v>
      </c>
      <c r="Q19" s="32" t="n">
        <v>-6.70389150669467</v>
      </c>
      <c r="R19" s="30" t="n">
        <f aca="false">_xlfn.MINIFS('Piece check'!$K$6:$K$1643,'Piece check'!$B$6:$B$1643,B19)</f>
        <v>-6.70389150669467</v>
      </c>
      <c r="S19" s="18" t="n">
        <f aca="false">MAX(0,GWL-R19)</f>
        <v>5.20389150669467</v>
      </c>
      <c r="T19" s="18" t="n">
        <f aca="false">MAX(0,NG-R19)</f>
        <v>6.00389150669467</v>
      </c>
      <c r="U19" s="31" t="n">
        <f aca="false">SUMIFS('Piece check'!$R$6:$R$1643,'Piece check'!$B$6:$B$1643,B19)</f>
        <v>86.1000000004996</v>
      </c>
      <c r="V19" s="21" t="n">
        <f aca="false">O19-U19</f>
        <v>0</v>
      </c>
      <c r="W19" s="12" t="str">
        <f aca="false">IF(U19&lt;0.05,"Open cut",IF(V19&lt;0.05,"Sheet piles","Mixed: "&amp;TEXT(U19,"0")&amp;" m sheet piles"))</f>
        <v>Sheet piles</v>
      </c>
      <c r="X19" s="33" t="n">
        <f aca="false">SUMIFS('Piece check'!$V$6:$V$1643,'Piece check'!$B$6:$B$1643,B19)</f>
        <v>1964.83042472024</v>
      </c>
      <c r="Y19" s="33" t="n">
        <f aca="false">SUMIFS('Piece check'!$W$6:$W$1643,'Piece check'!$B$6:$B$1643,B19)</f>
        <v>0</v>
      </c>
      <c r="Z19" s="33" t="n">
        <f aca="false">SUMIFS('Piece check'!$X$6:$X$1643,'Piece check'!$B$6:$B$1643,B19)</f>
        <v>130.923662682817</v>
      </c>
      <c r="AA19" s="33" t="n">
        <f aca="false">SUMIFS('Piece check'!$Y$6:$Y$1643,'Piece check'!$B$6:$B$1643,B19)</f>
        <v>281.750164741516</v>
      </c>
      <c r="AB19" s="20" t="n">
        <f aca="false">MAX(0,X19+Y19-Z19-AA19)</f>
        <v>1552.15659729591</v>
      </c>
      <c r="AC19" s="20" t="n">
        <f aca="false">(ROUNDUP(O19/PILE_SP,0)+1)*IF(N19&gt;=PILE_THR,PILE_N_LARGE,PILE_N_SMALL)</f>
        <v>60</v>
      </c>
      <c r="AD19" s="20" t="n">
        <f aca="false">2*U19</f>
        <v>172.200000000999</v>
      </c>
      <c r="AE19" s="34" t="n">
        <f aca="false">IF(U19&gt;0,ROUNDUP(T19*SHEET_RATIO,0),0)</f>
        <v>13</v>
      </c>
      <c r="AF19" s="20" t="n">
        <f aca="false">AD19*AE19</f>
        <v>2238.60000001299</v>
      </c>
      <c r="AG19" s="18" t="n">
        <f aca="false">MAX(0,GWL-(R19-DD_BELOW))</f>
        <v>5.70389150669467</v>
      </c>
      <c r="AH19" s="12" t="str">
        <f aca="false">IF(AG19=0,"Not required",IF(AG19&lt;=WP_LIMIT,"Single-stage wellpoints","Deep wells or two-stage wellpoints"))</f>
        <v>Deep wells or two-stage wellpoints</v>
      </c>
      <c r="AI19" s="30" t="n">
        <f aca="false">MIN(_xlfn.MINIFS('Piece check'!$Z$6:$Z$1643,'Piece check'!$B$6:$B$1643,B19),_xlfn.MINIFS('Piece check'!$AA$6:$AA$1643,'Piece check'!$B$6:$B$1643,B19))</f>
        <v>1.93045945318936</v>
      </c>
      <c r="AJ19" s="30" t="n">
        <f aca="false">MIN(_xlfn.MINIFS('Piece check'!$AB$6:$AB$1643,'Piece check'!$B$6:$B$1643,B19),_xlfn.MINIFS('Piece check'!$AC$6:$AC$1643,'Piece check'!$B$6:$B$1643,B19))</f>
        <v>3.87616431827613</v>
      </c>
      <c r="AK19" s="12" t="str">
        <f aca="false">IF(AJ19&lt;FOS_FLOT,"Anchor pipe to piled slab (permanent straps)",IF(AI19&lt;FOS_FLOT,"Keep dewatering on until fill reaches FL, or strap to slab","No extra measure"))</f>
        <v>No extra measure</v>
      </c>
      <c r="AL19" s="35" t="n">
        <f aca="false">Activities!P150</f>
        <v>46467</v>
      </c>
      <c r="AM19" s="35" t="n">
        <f aca="false">Activities!Q159</f>
        <v>46562</v>
      </c>
      <c r="AN19" s="15" t="n">
        <v>27</v>
      </c>
      <c r="AO19" s="36" t="s">
        <v>2374</v>
      </c>
      <c r="AP19" s="36" t="s">
        <v>2409</v>
      </c>
      <c r="AQ19" s="36" t="s">
        <v>2410</v>
      </c>
      <c r="AR19" s="37" t="n">
        <f aca="false">Activities!P158-Activities!Q156</f>
        <v>17</v>
      </c>
      <c r="AS19" s="37" t="n">
        <f aca="false">IF(Activities!K153=0,0,Activities!Q159-Activities!P153)</f>
        <v>71</v>
      </c>
    </row>
    <row r="20" customFormat="false" ht="15" hidden="false" customHeight="false" outlineLevel="0" collapsed="false">
      <c r="A20" s="15" t="s">
        <v>500</v>
      </c>
      <c r="B20" s="29" t="s">
        <v>501</v>
      </c>
      <c r="C20" s="15" t="s">
        <v>385</v>
      </c>
      <c r="D20" s="15" t="s">
        <v>2411</v>
      </c>
      <c r="E20" s="15" t="s">
        <v>2361</v>
      </c>
      <c r="F20" s="15" t="n">
        <v>28</v>
      </c>
      <c r="G20" s="15" t="s">
        <v>2367</v>
      </c>
      <c r="H20" s="15" t="s">
        <v>338</v>
      </c>
      <c r="I20" s="35" t="n">
        <f aca="false">MAX(Structures!$H$22)</f>
        <v>0</v>
      </c>
      <c r="J20" s="15"/>
      <c r="K20" s="16" t="n">
        <v>0</v>
      </c>
      <c r="L20" s="15" t="s">
        <v>358</v>
      </c>
      <c r="M20" s="15" t="n">
        <v>3</v>
      </c>
      <c r="N20" s="30" t="n">
        <f aca="false">_xlfn.MAXIFS('Piece check'!$E$6:$E$1643,'Piece check'!$B$6:$B$1643,B20)</f>
        <v>2.06960947668155</v>
      </c>
      <c r="O20" s="31" t="n">
        <f aca="false">SUMIFS('Piece check'!$D$6:$D$1643,'Piece check'!$B$6:$B$1643,B20)</f>
        <v>13.0524949210489</v>
      </c>
      <c r="P20" s="32" t="n">
        <v>-5.09590049834039</v>
      </c>
      <c r="Q20" s="32" t="n">
        <v>-5.37690473834078</v>
      </c>
      <c r="R20" s="30" t="n">
        <f aca="false">_xlfn.MINIFS('Piece check'!$K$6:$K$1643,'Piece check'!$B$6:$B$1643,B20)</f>
        <v>-5.37690473834078</v>
      </c>
      <c r="S20" s="18" t="n">
        <f aca="false">MAX(0,GWL-R20)</f>
        <v>3.87690473834078</v>
      </c>
      <c r="T20" s="18" t="n">
        <f aca="false">MAX(0,NG-R20)</f>
        <v>4.67690473834078</v>
      </c>
      <c r="U20" s="31" t="n">
        <f aca="false">SUMIFS('Piece check'!$R$6:$R$1643,'Piece check'!$B$6:$B$1643,B20)</f>
        <v>13.0524949210489</v>
      </c>
      <c r="V20" s="21" t="n">
        <f aca="false">O20-U20</f>
        <v>0</v>
      </c>
      <c r="W20" s="12" t="str">
        <f aca="false">IF(U20&lt;0.05,"Open cut",IF(V20&lt;0.05,"Sheet piles","Mixed: "&amp;TEXT(U20,"0")&amp;" m sheet piles"))</f>
        <v>Sheet piles</v>
      </c>
      <c r="X20" s="33" t="n">
        <f aca="false">SUMIFS('Piece check'!$V$6:$V$1643,'Piece check'!$B$6:$B$1643,B20)</f>
        <v>232.249794804271</v>
      </c>
      <c r="Y20" s="33" t="n">
        <f aca="false">SUMIFS('Piece check'!$W$6:$W$1643,'Piece check'!$B$6:$B$1643,B20)</f>
        <v>0</v>
      </c>
      <c r="Z20" s="33" t="n">
        <f aca="false">SUMIFS('Piece check'!$X$6:$X$1643,'Piece check'!$B$6:$B$1643,B20)</f>
        <v>18.8526492913711</v>
      </c>
      <c r="AA20" s="33" t="n">
        <f aca="false">SUMIFS('Piece check'!$Y$6:$Y$1643,'Piece check'!$B$6:$B$1643,B20)</f>
        <v>37.1868631973265</v>
      </c>
      <c r="AB20" s="20" t="n">
        <f aca="false">MAX(0,X20+Y20-Z20-AA20)</f>
        <v>176.210282315574</v>
      </c>
      <c r="AC20" s="20" t="n">
        <f aca="false">(ROUNDUP(O20/PILE_SP,0)+1)*IF(N20&gt;=PILE_THR,PILE_N_LARGE,PILE_N_SMALL)</f>
        <v>12</v>
      </c>
      <c r="AD20" s="20" t="n">
        <f aca="false">2*U20</f>
        <v>26.1049898420979</v>
      </c>
      <c r="AE20" s="34" t="n">
        <f aca="false">IF(U20&gt;0,ROUNDUP(T20*SHEET_RATIO,0),0)</f>
        <v>10</v>
      </c>
      <c r="AF20" s="20" t="n">
        <f aca="false">AD20*AE20</f>
        <v>261.049898420979</v>
      </c>
      <c r="AG20" s="18" t="n">
        <f aca="false">MAX(0,GWL-(R20-DD_BELOW))</f>
        <v>4.37690473834078</v>
      </c>
      <c r="AH20" s="12" t="str">
        <f aca="false">IF(AG20=0,"Not required",IF(AG20&lt;=WP_LIMIT,"Single-stage wellpoints","Deep wells or two-stage wellpoints"))</f>
        <v>Single-stage wellpoints</v>
      </c>
      <c r="AI20" s="30" t="n">
        <f aca="false">MIN(_xlfn.MINIFS('Piece check'!$Z$6:$Z$1643,'Piece check'!$B$6:$B$1643,B20),_xlfn.MINIFS('Piece check'!$AA$6:$AA$1643,'Piece check'!$B$6:$B$1643,B20))</f>
        <v>1.56316145489285</v>
      </c>
      <c r="AJ20" s="30" t="n">
        <f aca="false">MIN(_xlfn.MINIFS('Piece check'!$AB$6:$AB$1643,'Piece check'!$B$6:$B$1643,B20),_xlfn.MINIFS('Piece check'!$AC$6:$AC$1643,'Piece check'!$B$6:$B$1643,B20))</f>
        <v>3.48216733235037</v>
      </c>
      <c r="AK20" s="12" t="str">
        <f aca="false">IF(AJ20&lt;FOS_FLOT,"Anchor pipe to piled slab (permanent straps)",IF(AI20&lt;FOS_FLOT,"Keep dewatering on until fill reaches FL, or strap to slab","No extra measure"))</f>
        <v>No extra measure</v>
      </c>
      <c r="AL20" s="35" t="n">
        <f aca="false">Activities!P161</f>
        <v>46416</v>
      </c>
      <c r="AM20" s="35" t="n">
        <f aca="false">Activities!Q170</f>
        <v>46475</v>
      </c>
      <c r="AN20" s="15" t="n">
        <v>28</v>
      </c>
      <c r="AO20" s="36" t="s">
        <v>2363</v>
      </c>
      <c r="AP20" s="36" t="s">
        <v>2412</v>
      </c>
      <c r="AQ20" s="36" t="s">
        <v>2413</v>
      </c>
      <c r="AR20" s="37" t="n">
        <f aca="false">Activities!P169-Activities!Q167</f>
        <v>-2</v>
      </c>
      <c r="AS20" s="37" t="n">
        <f aca="false">IF(Activities!K164=0,0,Activities!Q170-Activities!P164)</f>
        <v>55</v>
      </c>
    </row>
    <row r="21" customFormat="false" ht="15" hidden="false" customHeight="false" outlineLevel="0" collapsed="false">
      <c r="A21" s="15" t="s">
        <v>642</v>
      </c>
      <c r="B21" s="29" t="s">
        <v>651</v>
      </c>
      <c r="C21" s="15" t="s">
        <v>388</v>
      </c>
      <c r="D21" s="15" t="s">
        <v>2414</v>
      </c>
      <c r="E21" s="15" t="s">
        <v>2361</v>
      </c>
      <c r="F21" s="15" t="n">
        <v>28</v>
      </c>
      <c r="G21" s="15" t="s">
        <v>2362</v>
      </c>
      <c r="H21" s="15"/>
      <c r="I21" s="16" t="n">
        <v>0</v>
      </c>
      <c r="J21" s="15"/>
      <c r="K21" s="16" t="n">
        <v>0</v>
      </c>
      <c r="L21" s="15" t="s">
        <v>358</v>
      </c>
      <c r="M21" s="15" t="n">
        <v>0</v>
      </c>
      <c r="N21" s="30" t="n">
        <f aca="false">_xlfn.MAXIFS('Piece check'!$E$6:$E$1643,'Piece check'!$B$6:$B$1643,B21)</f>
        <v>2.24899607836451</v>
      </c>
      <c r="O21" s="31" t="n">
        <f aca="false">SUMIFS('Piece check'!$D$6:$D$1643,'Piece check'!$B$6:$B$1643,B21)</f>
        <v>27.9153913269512</v>
      </c>
      <c r="P21" s="32" t="n">
        <v>-4.05449803918226</v>
      </c>
      <c r="Q21" s="32" t="n">
        <v>-4.05449803918226</v>
      </c>
      <c r="R21" s="30" t="n">
        <f aca="false">_xlfn.MINIFS('Piece check'!$K$6:$K$1643,'Piece check'!$B$6:$B$1643,B21)</f>
        <v>-4.05449803918226</v>
      </c>
      <c r="S21" s="18" t="n">
        <f aca="false">MAX(0,GWL-R21)</f>
        <v>2.55449803918226</v>
      </c>
      <c r="T21" s="18" t="n">
        <f aca="false">MAX(0,NG-R21)</f>
        <v>3.35449803918226</v>
      </c>
      <c r="U21" s="31" t="n">
        <f aca="false">SUMIFS('Piece check'!$R$6:$R$1643,'Piece check'!$B$6:$B$1643,B21)</f>
        <v>27.9153913269512</v>
      </c>
      <c r="V21" s="21" t="n">
        <f aca="false">O21-U21</f>
        <v>0</v>
      </c>
      <c r="W21" s="12" t="str">
        <f aca="false">IF(U21&lt;0.05,"Open cut",IF(V21&lt;0.05,"Sheet piles","Mixed: "&amp;TEXT(U21,"0")&amp;" m sheet piles"))</f>
        <v>Sheet piles</v>
      </c>
      <c r="X21" s="33" t="n">
        <f aca="false">SUMIFS('Piece check'!$V$6:$V$1643,'Piece check'!$B$6:$B$1643,B21)</f>
        <v>397.885023888616</v>
      </c>
      <c r="Y21" s="33" t="n">
        <f aca="false">SUMIFS('Piece check'!$W$6:$W$1643,'Piece check'!$B$6:$B$1643,B21)</f>
        <v>0</v>
      </c>
      <c r="Z21" s="33" t="n">
        <f aca="false">SUMIFS('Piece check'!$X$6:$X$1643,'Piece check'!$B$6:$B$1643,B21)</f>
        <v>45.3484984736375</v>
      </c>
      <c r="AA21" s="33" t="n">
        <f aca="false">SUMIFS('Piece check'!$Y$6:$Y$1643,'Piece check'!$B$6:$B$1643,B21)</f>
        <v>110.894753008088</v>
      </c>
      <c r="AB21" s="20" t="n">
        <f aca="false">MAX(0,X21+Y21-Z21-AA21)</f>
        <v>241.641772406891</v>
      </c>
      <c r="AC21" s="20" t="n">
        <f aca="false">(ROUNDUP(O21/PILE_SP,0)+1)*IF(N21&gt;=PILE_THR,PILE_N_LARGE,PILE_N_SMALL)</f>
        <v>22</v>
      </c>
      <c r="AD21" s="20" t="n">
        <f aca="false">2*U21</f>
        <v>55.8307826539024</v>
      </c>
      <c r="AE21" s="34" t="n">
        <f aca="false">IF(U21&gt;0,ROUNDUP(T21*SHEET_RATIO,0),0)</f>
        <v>7</v>
      </c>
      <c r="AF21" s="20" t="n">
        <f aca="false">AD21*AE21</f>
        <v>390.815478577316</v>
      </c>
      <c r="AG21" s="18" t="n">
        <f aca="false">MAX(0,GWL-(R21-DD_BELOW))</f>
        <v>3.05449803918226</v>
      </c>
      <c r="AH21" s="12" t="str">
        <f aca="false">IF(AG21=0,"Not required",IF(AG21&lt;=WP_LIMIT,"Single-stage wellpoints","Deep wells or two-stage wellpoints"))</f>
        <v>Single-stage wellpoints</v>
      </c>
      <c r="AI21" s="30" t="n">
        <f aca="false">MIN(_xlfn.MINIFS('Piece check'!$Z$6:$Z$1643,'Piece check'!$B$6:$B$1643,B21),_xlfn.MINIFS('Piece check'!$AA$6:$AA$1643,'Piece check'!$B$6:$B$1643,B21))</f>
        <v>0.628985265828724</v>
      </c>
      <c r="AJ21" s="30" t="n">
        <f aca="false">MIN(_xlfn.MINIFS('Piece check'!$AB$6:$AB$1643,'Piece check'!$B$6:$B$1643,B21),_xlfn.MINIFS('Piece check'!$AC$6:$AC$1643,'Piece check'!$B$6:$B$1643,B21))</f>
        <v>2.39491670965882</v>
      </c>
      <c r="AK21" s="12" t="str">
        <f aca="false">IF(AJ21&lt;FOS_FLOT,"Anchor pipe to piled slab (permanent straps)",IF(AI21&lt;FOS_FLOT,"Keep dewatering on until fill reaches FL, or strap to slab","No extra measure"))</f>
        <v>Keep dewatering on until fill reaches FL, or strap to slab</v>
      </c>
      <c r="AL21" s="35" t="n">
        <f aca="false">Activities!P172</f>
        <v>46357</v>
      </c>
      <c r="AM21" s="35" t="n">
        <f aca="false">Activities!Q181</f>
        <v>46386</v>
      </c>
      <c r="AN21" s="15" t="n">
        <v>175</v>
      </c>
      <c r="AO21" s="36" t="s">
        <v>2415</v>
      </c>
      <c r="AP21" s="36" t="s">
        <v>2416</v>
      </c>
      <c r="AQ21" s="36" t="s">
        <v>2365</v>
      </c>
      <c r="AR21" s="37" t="n">
        <f aca="false">Activities!P180-Activities!Q178</f>
        <v>-3</v>
      </c>
      <c r="AS21" s="37" t="n">
        <f aca="false">IF(Activities!K175=0,0,Activities!Q181-Activities!P175)</f>
        <v>25</v>
      </c>
    </row>
    <row r="22" customFormat="false" ht="15" hidden="false" customHeight="false" outlineLevel="0" collapsed="false">
      <c r="A22" s="15" t="s">
        <v>2170</v>
      </c>
      <c r="B22" s="29" t="s">
        <v>2171</v>
      </c>
      <c r="C22" s="15" t="s">
        <v>388</v>
      </c>
      <c r="D22" s="15" t="s">
        <v>2417</v>
      </c>
      <c r="E22" s="15" t="s">
        <v>2361</v>
      </c>
      <c r="F22" s="15" t="n">
        <v>28</v>
      </c>
      <c r="G22" s="15" t="s">
        <v>2362</v>
      </c>
      <c r="H22" s="15"/>
      <c r="I22" s="16" t="n">
        <v>0</v>
      </c>
      <c r="J22" s="15"/>
      <c r="K22" s="16" t="n">
        <v>0</v>
      </c>
      <c r="L22" s="15" t="s">
        <v>358</v>
      </c>
      <c r="M22" s="15" t="n">
        <v>11</v>
      </c>
      <c r="N22" s="30" t="n">
        <f aca="false">_xlfn.MAXIFS('Piece check'!$E$6:$E$1643,'Piece check'!$B$6:$B$1643,B22)</f>
        <v>2.48360104533367</v>
      </c>
      <c r="O22" s="31" t="n">
        <f aca="false">SUMIFS('Piece check'!$D$6:$D$1643,'Piece check'!$B$6:$B$1643,B22)</f>
        <v>495.217183428037</v>
      </c>
      <c r="P22" s="32" t="n">
        <v>-4.55180052266684</v>
      </c>
      <c r="Q22" s="32" t="n">
        <v>-4.7018</v>
      </c>
      <c r="R22" s="30" t="n">
        <f aca="false">_xlfn.MINIFS('Piece check'!$K$6:$K$1643,'Piece check'!$B$6:$B$1643,B22)</f>
        <v>-4.7018</v>
      </c>
      <c r="S22" s="18" t="n">
        <f aca="false">MAX(0,GWL-R22)</f>
        <v>3.2018</v>
      </c>
      <c r="T22" s="18" t="n">
        <f aca="false">MAX(0,NG-R22)</f>
        <v>4.0018</v>
      </c>
      <c r="U22" s="31" t="n">
        <f aca="false">SUMIFS('Piece check'!$R$6:$R$1643,'Piece check'!$B$6:$B$1643,B22)</f>
        <v>495.217183428037</v>
      </c>
      <c r="V22" s="21" t="n">
        <f aca="false">O22-U22</f>
        <v>0</v>
      </c>
      <c r="W22" s="12" t="str">
        <f aca="false">IF(U22&lt;0.05,"Open cut",IF(V22&lt;0.05,"Sheet piles","Mixed: "&amp;TEXT(U22,"0")&amp;" m sheet piles"))</f>
        <v>Sheet piles</v>
      </c>
      <c r="X22" s="33" t="n">
        <f aca="false">SUMIFS('Piece check'!$V$6:$V$1643,'Piece check'!$B$6:$B$1643,B22)</f>
        <v>8609.06651371478</v>
      </c>
      <c r="Y22" s="33" t="n">
        <f aca="false">SUMIFS('Piece check'!$W$6:$W$1643,'Piece check'!$B$6:$B$1643,B22)</f>
        <v>0</v>
      </c>
      <c r="Z22" s="33" t="n">
        <f aca="false">SUMIFS('Piece check'!$X$6:$X$1643,'Piece check'!$B$6:$B$1643,B22)</f>
        <v>862.259107342691</v>
      </c>
      <c r="AA22" s="33" t="n">
        <f aca="false">SUMIFS('Piece check'!$Y$6:$Y$1643,'Piece check'!$B$6:$B$1643,B22)</f>
        <v>2396.69768125462</v>
      </c>
      <c r="AB22" s="20" t="n">
        <f aca="false">MAX(0,X22+Y22-Z22-AA22)</f>
        <v>5350.10972511747</v>
      </c>
      <c r="AC22" s="20" t="n">
        <f aca="false">(ROUNDUP(O22/PILE_SP,0)+1)*IF(N22&gt;=PILE_THR,PILE_N_LARGE,PILE_N_SMALL)</f>
        <v>334</v>
      </c>
      <c r="AD22" s="20" t="n">
        <f aca="false">2*U22</f>
        <v>990.434366856074</v>
      </c>
      <c r="AE22" s="34" t="n">
        <f aca="false">IF(U22&gt;0,ROUNDUP(T22*SHEET_RATIO,0),0)</f>
        <v>9</v>
      </c>
      <c r="AF22" s="20" t="n">
        <f aca="false">AD22*AE22</f>
        <v>8913.90930170467</v>
      </c>
      <c r="AG22" s="18" t="n">
        <f aca="false">MAX(0,GWL-(R22-DD_BELOW))</f>
        <v>3.7018</v>
      </c>
      <c r="AH22" s="12" t="str">
        <f aca="false">IF(AG22=0,"Not required",IF(AG22&lt;=WP_LIMIT,"Single-stage wellpoints","Deep wells or two-stage wellpoints"))</f>
        <v>Single-stage wellpoints</v>
      </c>
      <c r="AI22" s="30" t="n">
        <f aca="false">MIN(_xlfn.MINIFS('Piece check'!$Z$6:$Z$1643,'Piece check'!$B$6:$B$1643,B22),_xlfn.MINIFS('Piece check'!$AA$6:$AA$1643,'Piece check'!$B$6:$B$1643,B22))</f>
        <v>0.781715786907825</v>
      </c>
      <c r="AJ22" s="30" t="n">
        <f aca="false">MIN(_xlfn.MINIFS('Piece check'!$AB$6:$AB$1643,'Piece check'!$B$6:$B$1643,B22),_xlfn.MINIFS('Piece check'!$AC$6:$AC$1643,'Piece check'!$B$6:$B$1643,B22))</f>
        <v>2.3808344937132</v>
      </c>
      <c r="AK22" s="12" t="str">
        <f aca="false">IF(AJ22&lt;FOS_FLOT,"Anchor pipe to piled slab (permanent straps)",IF(AI22&lt;FOS_FLOT,"Keep dewatering on until fill reaches FL, or strap to slab","No extra measure"))</f>
        <v>Keep dewatering on until fill reaches FL, or strap to slab</v>
      </c>
      <c r="AL22" s="35" t="n">
        <f aca="false">Activities!P183</f>
        <v>46358</v>
      </c>
      <c r="AM22" s="35" t="n">
        <f aca="false">Activities!Q192</f>
        <v>46522</v>
      </c>
      <c r="AN22" s="15" t="n">
        <v>176</v>
      </c>
      <c r="AO22" s="36" t="s">
        <v>2418</v>
      </c>
      <c r="AP22" s="36" t="s">
        <v>2419</v>
      </c>
      <c r="AQ22" s="36" t="s">
        <v>2420</v>
      </c>
      <c r="AR22" s="37" t="n">
        <f aca="false">Activities!P191-Activities!Q189</f>
        <v>61</v>
      </c>
      <c r="AS22" s="37" t="n">
        <f aca="false">IF(Activities!K186=0,0,Activities!Q192-Activities!P186)</f>
        <v>140</v>
      </c>
    </row>
    <row r="23" customFormat="false" ht="15" hidden="false" customHeight="false" outlineLevel="0" collapsed="false">
      <c r="A23" s="15" t="s">
        <v>2236</v>
      </c>
      <c r="B23" s="29" t="s">
        <v>2237</v>
      </c>
      <c r="C23" s="15" t="s">
        <v>388</v>
      </c>
      <c r="D23" s="15" t="s">
        <v>2421</v>
      </c>
      <c r="E23" s="15" t="s">
        <v>2361</v>
      </c>
      <c r="F23" s="15" t="n">
        <v>28</v>
      </c>
      <c r="G23" s="15" t="s">
        <v>2362</v>
      </c>
      <c r="H23" s="15"/>
      <c r="I23" s="16" t="n">
        <v>0</v>
      </c>
      <c r="J23" s="15"/>
      <c r="K23" s="16" t="n">
        <v>0</v>
      </c>
      <c r="L23" s="15" t="s">
        <v>358</v>
      </c>
      <c r="M23" s="15" t="n">
        <v>6</v>
      </c>
      <c r="N23" s="30" t="n">
        <f aca="false">_xlfn.MAXIFS('Piece check'!$E$6:$E$1643,'Piece check'!$B$6:$B$1643,B23)</f>
        <v>2.48359945157555</v>
      </c>
      <c r="O23" s="31" t="n">
        <f aca="false">SUMIFS('Piece check'!$D$6:$D$1643,'Piece check'!$B$6:$B$1643,B23)</f>
        <v>495.714576688877</v>
      </c>
      <c r="P23" s="32" t="n">
        <v>-4.19179550120643</v>
      </c>
      <c r="Q23" s="32" t="n">
        <v>-4.56179728238301</v>
      </c>
      <c r="R23" s="30" t="n">
        <f aca="false">_xlfn.MINIFS('Piece check'!$K$6:$K$1643,'Piece check'!$B$6:$B$1643,B23)</f>
        <v>-4.56179801178158</v>
      </c>
      <c r="S23" s="18" t="n">
        <f aca="false">MAX(0,GWL-R23)</f>
        <v>3.06179801178158</v>
      </c>
      <c r="T23" s="18" t="n">
        <f aca="false">MAX(0,NG-R23)</f>
        <v>3.86179801178158</v>
      </c>
      <c r="U23" s="31" t="n">
        <f aca="false">SUMIFS('Piece check'!$R$6:$R$1643,'Piece check'!$B$6:$B$1643,B23)</f>
        <v>495.714576688877</v>
      </c>
      <c r="V23" s="21" t="n">
        <f aca="false">O23-U23</f>
        <v>0</v>
      </c>
      <c r="W23" s="12" t="str">
        <f aca="false">IF(U23&lt;0.05,"Open cut",IF(V23&lt;0.05,"Sheet piles","Mixed: "&amp;TEXT(U23,"0")&amp;" m sheet piles"))</f>
        <v>Sheet piles</v>
      </c>
      <c r="X23" s="33" t="n">
        <f aca="false">SUMIFS('Piece check'!$V$6:$V$1643,'Piece check'!$B$6:$B$1643,B23)</f>
        <v>8189.58431918329</v>
      </c>
      <c r="Y23" s="33" t="n">
        <f aca="false">SUMIFS('Piece check'!$W$6:$W$1643,'Piece check'!$B$6:$B$1643,B23)</f>
        <v>0</v>
      </c>
      <c r="Z23" s="33" t="n">
        <f aca="false">SUMIFS('Piece check'!$X$6:$X$1643,'Piece check'!$B$6:$B$1643,B23)</f>
        <v>863.434259462575</v>
      </c>
      <c r="AA23" s="33" t="n">
        <f aca="false">SUMIFS('Piece check'!$Y$6:$Y$1643,'Piece check'!$B$6:$B$1643,B23)</f>
        <v>2401.50177406145</v>
      </c>
      <c r="AB23" s="20" t="n">
        <f aca="false">MAX(0,X23+Y23-Z23-AA23)</f>
        <v>4924.64828565927</v>
      </c>
      <c r="AC23" s="20" t="n">
        <f aca="false">(ROUNDUP(O23/PILE_SP,0)+1)*IF(N23&gt;=PILE_THR,PILE_N_LARGE,PILE_N_SMALL)</f>
        <v>334</v>
      </c>
      <c r="AD23" s="20" t="n">
        <f aca="false">2*U23</f>
        <v>991.429153377755</v>
      </c>
      <c r="AE23" s="34" t="n">
        <f aca="false">IF(U23&gt;0,ROUNDUP(T23*SHEET_RATIO,0),0)</f>
        <v>8</v>
      </c>
      <c r="AF23" s="20" t="n">
        <f aca="false">AD23*AE23</f>
        <v>7931.43322702204</v>
      </c>
      <c r="AG23" s="18" t="n">
        <f aca="false">MAX(0,GWL-(R23-DD_BELOW))</f>
        <v>3.56179801178158</v>
      </c>
      <c r="AH23" s="12" t="str">
        <f aca="false">IF(AG23=0,"Not required",IF(AG23&lt;=WP_LIMIT,"Single-stage wellpoints","Deep wells or two-stage wellpoints"))</f>
        <v>Single-stage wellpoints</v>
      </c>
      <c r="AI23" s="30" t="n">
        <f aca="false">MIN(_xlfn.MINIFS('Piece check'!$Z$6:$Z$1643,'Piece check'!$B$6:$B$1643,B23),_xlfn.MINIFS('Piece check'!$AA$6:$AA$1643,'Piece check'!$B$6:$B$1643,B23))</f>
        <v>0.449828736439604</v>
      </c>
      <c r="AJ23" s="30" t="n">
        <f aca="false">MIN(_xlfn.MINIFS('Piece check'!$AB$6:$AB$1643,'Piece check'!$B$6:$B$1643,B23),_xlfn.MINIFS('Piece check'!$AC$6:$AC$1643,'Piece check'!$B$6:$B$1643,B23))</f>
        <v>2.04895390961667</v>
      </c>
      <c r="AK23" s="12" t="str">
        <f aca="false">IF(AJ23&lt;FOS_FLOT,"Anchor pipe to piled slab (permanent straps)",IF(AI23&lt;FOS_FLOT,"Keep dewatering on until fill reaches FL, or strap to slab","No extra measure"))</f>
        <v>Keep dewatering on until fill reaches FL, or strap to slab</v>
      </c>
      <c r="AL23" s="35" t="n">
        <f aca="false">Activities!P194</f>
        <v>46362</v>
      </c>
      <c r="AM23" s="35" t="n">
        <f aca="false">Activities!Q203</f>
        <v>46532</v>
      </c>
      <c r="AN23" s="15" t="n">
        <v>177</v>
      </c>
      <c r="AO23" s="36" t="s">
        <v>2422</v>
      </c>
      <c r="AP23" s="36" t="s">
        <v>2423</v>
      </c>
      <c r="AQ23" s="36" t="s">
        <v>2424</v>
      </c>
      <c r="AR23" s="37" t="n">
        <f aca="false">Activities!P202-Activities!Q200</f>
        <v>32</v>
      </c>
      <c r="AS23" s="37" t="n">
        <f aca="false">IF(Activities!K197=0,0,Activities!Q203-Activities!P197)</f>
        <v>110</v>
      </c>
    </row>
    <row r="24" customFormat="false" ht="15" hidden="false" customHeight="false" outlineLevel="0" collapsed="false">
      <c r="A24" s="15" t="s">
        <v>642</v>
      </c>
      <c r="B24" s="29" t="s">
        <v>691</v>
      </c>
      <c r="C24" s="15" t="s">
        <v>388</v>
      </c>
      <c r="D24" s="15" t="s">
        <v>2425</v>
      </c>
      <c r="E24" s="15" t="s">
        <v>2361</v>
      </c>
      <c r="F24" s="15" t="n">
        <v>28</v>
      </c>
      <c r="G24" s="15" t="s">
        <v>2362</v>
      </c>
      <c r="H24" s="15"/>
      <c r="I24" s="16" t="n">
        <v>0</v>
      </c>
      <c r="J24" s="15"/>
      <c r="K24" s="16" t="n">
        <v>0</v>
      </c>
      <c r="L24" s="15" t="s">
        <v>358</v>
      </c>
      <c r="M24" s="15" t="n">
        <v>0</v>
      </c>
      <c r="N24" s="30" t="n">
        <f aca="false">_xlfn.MAXIFS('Piece check'!$E$6:$E$1643,'Piece check'!$B$6:$B$1643,B24)</f>
        <v>2.24900040254933</v>
      </c>
      <c r="O24" s="31" t="n">
        <f aca="false">SUMIFS('Piece check'!$D$6:$D$1643,'Piece check'!$B$6:$B$1643,B24)</f>
        <v>22.1072020730459</v>
      </c>
      <c r="P24" s="32" t="n">
        <v>-4.1258546430933</v>
      </c>
      <c r="Q24" s="32" t="n">
        <v>-4.12450020127466</v>
      </c>
      <c r="R24" s="30" t="n">
        <f aca="false">_xlfn.MINIFS('Piece check'!$K$6:$K$1643,'Piece check'!$B$6:$B$1643,B24)</f>
        <v>-4.1258546430933</v>
      </c>
      <c r="S24" s="18" t="n">
        <f aca="false">MAX(0,GWL-R24)</f>
        <v>2.6258546430933</v>
      </c>
      <c r="T24" s="18" t="n">
        <f aca="false">MAX(0,NG-R24)</f>
        <v>3.4258546430933</v>
      </c>
      <c r="U24" s="31" t="n">
        <f aca="false">SUMIFS('Piece check'!$R$6:$R$1643,'Piece check'!$B$6:$B$1643,B24)</f>
        <v>22.1072020730459</v>
      </c>
      <c r="V24" s="21" t="n">
        <f aca="false">O24-U24</f>
        <v>0</v>
      </c>
      <c r="W24" s="12" t="str">
        <f aca="false">IF(U24&lt;0.05,"Open cut",IF(V24&lt;0.05,"Sheet piles","Mixed: "&amp;TEXT(U24,"0")&amp;" m sheet piles"))</f>
        <v>Sheet piles</v>
      </c>
      <c r="X24" s="33" t="n">
        <f aca="false">SUMIFS('Piece check'!$V$6:$V$1643,'Piece check'!$B$6:$B$1643,B24)</f>
        <v>321.738939377153</v>
      </c>
      <c r="Y24" s="33" t="n">
        <f aca="false">SUMIFS('Piece check'!$W$6:$W$1643,'Piece check'!$B$6:$B$1643,B24)</f>
        <v>0</v>
      </c>
      <c r="Z24" s="33" t="n">
        <f aca="false">SUMIFS('Piece check'!$X$6:$X$1643,'Piece check'!$B$6:$B$1643,B24)</f>
        <v>35.9131542172827</v>
      </c>
      <c r="AA24" s="33" t="n">
        <f aca="false">SUMIFS('Piece check'!$Y$6:$Y$1643,'Piece check'!$B$6:$B$1643,B24)</f>
        <v>87.8218797741698</v>
      </c>
      <c r="AB24" s="20" t="n">
        <f aca="false">MAX(0,X24+Y24-Z24-AA24)</f>
        <v>198.0039053857</v>
      </c>
      <c r="AC24" s="20" t="n">
        <f aca="false">(ROUNDUP(O24/PILE_SP,0)+1)*IF(N24&gt;=PILE_THR,PILE_N_LARGE,PILE_N_SMALL)</f>
        <v>18</v>
      </c>
      <c r="AD24" s="20" t="n">
        <f aca="false">2*U24</f>
        <v>44.2144041460918</v>
      </c>
      <c r="AE24" s="34" t="n">
        <f aca="false">IF(U24&gt;0,ROUNDUP(T24*SHEET_RATIO,0),0)</f>
        <v>7</v>
      </c>
      <c r="AF24" s="20" t="n">
        <f aca="false">AD24*AE24</f>
        <v>309.500829022643</v>
      </c>
      <c r="AG24" s="18" t="n">
        <f aca="false">MAX(0,GWL-(R24-DD_BELOW))</f>
        <v>3.1258546430933</v>
      </c>
      <c r="AH24" s="12" t="str">
        <f aca="false">IF(AG24=0,"Not required",IF(AG24&lt;=WP_LIMIT,"Single-stage wellpoints","Deep wells or two-stage wellpoints"))</f>
        <v>Single-stage wellpoints</v>
      </c>
      <c r="AI24" s="30" t="n">
        <f aca="false">MIN(_xlfn.MINIFS('Piece check'!$Z$6:$Z$1643,'Piece check'!$B$6:$B$1643,B24),_xlfn.MINIFS('Piece check'!$AA$6:$AA$1643,'Piece check'!$B$6:$B$1643,B24))</f>
        <v>0.701696494876811</v>
      </c>
      <c r="AJ24" s="30" t="n">
        <f aca="false">MIN(_xlfn.MINIFS('Piece check'!$AB$6:$AB$1643,'Piece check'!$B$6:$B$1643,B24),_xlfn.MINIFS('Piece check'!$AC$6:$AC$1643,'Piece check'!$B$6:$B$1643,B24))</f>
        <v>2.46762454332559</v>
      </c>
      <c r="AK24" s="12" t="str">
        <f aca="false">IF(AJ24&lt;FOS_FLOT,"Anchor pipe to piled slab (permanent straps)",IF(AI24&lt;FOS_FLOT,"Keep dewatering on until fill reaches FL, or strap to slab","No extra measure"))</f>
        <v>Keep dewatering on until fill reaches FL, or strap to slab</v>
      </c>
      <c r="AL24" s="35" t="n">
        <f aca="false">Activities!P205</f>
        <v>46402</v>
      </c>
      <c r="AM24" s="35" t="n">
        <f aca="false">Activities!Q214</f>
        <v>46519</v>
      </c>
      <c r="AN24" s="15" t="n">
        <v>178</v>
      </c>
      <c r="AO24" s="36" t="s">
        <v>2426</v>
      </c>
      <c r="AP24" s="36" t="s">
        <v>2427</v>
      </c>
      <c r="AQ24" s="36" t="s">
        <v>2428</v>
      </c>
      <c r="AR24" s="37" t="n">
        <f aca="false">Activities!P213-Activities!Q211</f>
        <v>38</v>
      </c>
      <c r="AS24" s="37" t="n">
        <f aca="false">IF(Activities!K208=0,0,Activities!Q214-Activities!P208)</f>
        <v>73</v>
      </c>
    </row>
    <row r="25" customFormat="false" ht="15" hidden="false" customHeight="false" outlineLevel="0" collapsed="false">
      <c r="A25" s="15" t="s">
        <v>642</v>
      </c>
      <c r="B25" s="29" t="s">
        <v>676</v>
      </c>
      <c r="C25" s="15" t="s">
        <v>388</v>
      </c>
      <c r="D25" s="15" t="s">
        <v>2429</v>
      </c>
      <c r="E25" s="15" t="s">
        <v>2361</v>
      </c>
      <c r="F25" s="15" t="n">
        <v>28</v>
      </c>
      <c r="G25" s="15" t="s">
        <v>2362</v>
      </c>
      <c r="H25" s="15"/>
      <c r="I25" s="16" t="n">
        <v>0</v>
      </c>
      <c r="J25" s="15"/>
      <c r="K25" s="16" t="n">
        <v>0</v>
      </c>
      <c r="L25" s="15" t="s">
        <v>358</v>
      </c>
      <c r="M25" s="15" t="n">
        <v>0</v>
      </c>
      <c r="N25" s="30" t="n">
        <f aca="false">_xlfn.MAXIFS('Piece check'!$E$6:$E$1643,'Piece check'!$B$6:$B$1643,B25)</f>
        <v>2.24900040254933</v>
      </c>
      <c r="O25" s="31" t="n">
        <f aca="false">SUMIFS('Piece check'!$D$6:$D$1643,'Piece check'!$B$6:$B$1643,B25)</f>
        <v>130.39999999941</v>
      </c>
      <c r="P25" s="32" t="n">
        <v>-4.13384385912206</v>
      </c>
      <c r="Q25" s="32" t="n">
        <v>-4.1258546430933</v>
      </c>
      <c r="R25" s="30" t="n">
        <f aca="false">_xlfn.MINIFS('Piece check'!$K$6:$K$1643,'Piece check'!$B$6:$B$1643,B25)</f>
        <v>-4.13384385912206</v>
      </c>
      <c r="S25" s="18" t="n">
        <f aca="false">MAX(0,GWL-R25)</f>
        <v>2.63384385912206</v>
      </c>
      <c r="T25" s="18" t="n">
        <f aca="false">MAX(0,NG-R25)</f>
        <v>3.43384385912206</v>
      </c>
      <c r="U25" s="31" t="n">
        <f aca="false">SUMIFS('Piece check'!$R$6:$R$1643,'Piece check'!$B$6:$B$1643,B25)</f>
        <v>130.39999999941</v>
      </c>
      <c r="V25" s="21" t="n">
        <f aca="false">O25-U25</f>
        <v>0</v>
      </c>
      <c r="W25" s="12" t="str">
        <f aca="false">IF(U25&lt;0.05,"Open cut",IF(V25&lt;0.05,"Sheet piles","Mixed: "&amp;TEXT(U25,"0")&amp;" m sheet piles"))</f>
        <v>Sheet piles</v>
      </c>
      <c r="X25" s="33" t="n">
        <f aca="false">SUMIFS('Piece check'!$V$6:$V$1643,'Piece check'!$B$6:$B$1643,B25)</f>
        <v>1900.37538265407</v>
      </c>
      <c r="Y25" s="33" t="n">
        <f aca="false">SUMIFS('Piece check'!$W$6:$W$1643,'Piece check'!$B$6:$B$1643,B25)</f>
        <v>0</v>
      </c>
      <c r="Z25" s="33" t="n">
        <f aca="false">SUMIFS('Piece check'!$X$6:$X$1643,'Piece check'!$B$6:$B$1643,B25)</f>
        <v>211.834826245258</v>
      </c>
      <c r="AA25" s="33" t="n">
        <f aca="false">SUMIFS('Piece check'!$Y$6:$Y$1643,'Piece check'!$B$6:$B$1643,B25)</f>
        <v>518.020013779251</v>
      </c>
      <c r="AB25" s="20" t="n">
        <f aca="false">MAX(0,X25+Y25-Z25-AA25)</f>
        <v>1170.52054262956</v>
      </c>
      <c r="AC25" s="20" t="n">
        <f aca="false">(ROUNDUP(O25/PILE_SP,0)+1)*IF(N25&gt;=PILE_THR,PILE_N_LARGE,PILE_N_SMALL)</f>
        <v>90</v>
      </c>
      <c r="AD25" s="20" t="n">
        <f aca="false">2*U25</f>
        <v>260.79999999882</v>
      </c>
      <c r="AE25" s="34" t="n">
        <f aca="false">IF(U25&gt;0,ROUNDUP(T25*SHEET_RATIO,0),0)</f>
        <v>7</v>
      </c>
      <c r="AF25" s="20" t="n">
        <f aca="false">AD25*AE25</f>
        <v>1825.59999999174</v>
      </c>
      <c r="AG25" s="18" t="n">
        <f aca="false">MAX(0,GWL-(R25-DD_BELOW))</f>
        <v>3.13384385912206</v>
      </c>
      <c r="AH25" s="12" t="str">
        <f aca="false">IF(AG25=0,"Not required",IF(AG25&lt;=WP_LIMIT,"Single-stage wellpoints","Deep wells or two-stage wellpoints"))</f>
        <v>Single-stage wellpoints</v>
      </c>
      <c r="AI25" s="30" t="n">
        <f aca="false">MIN(_xlfn.MINIFS('Piece check'!$Z$6:$Z$1643,'Piece check'!$B$6:$B$1643,B25),_xlfn.MINIFS('Piece check'!$AA$6:$AA$1643,'Piece check'!$B$6:$B$1643,B25))</f>
        <v>0.703103463581235</v>
      </c>
      <c r="AJ25" s="30" t="n">
        <f aca="false">MIN(_xlfn.MINIFS('Piece check'!$AB$6:$AB$1643,'Piece check'!$B$6:$B$1643,B25),_xlfn.MINIFS('Piece check'!$AC$6:$AC$1643,'Piece check'!$B$6:$B$1643,B25))</f>
        <v>2.46903151203002</v>
      </c>
      <c r="AK25" s="12" t="str">
        <f aca="false">IF(AJ25&lt;FOS_FLOT,"Anchor pipe to piled slab (permanent straps)",IF(AI25&lt;FOS_FLOT,"Keep dewatering on until fill reaches FL, or strap to slab","No extra measure"))</f>
        <v>Keep dewatering on until fill reaches FL, or strap to slab</v>
      </c>
      <c r="AL25" s="35" t="n">
        <f aca="false">Activities!P216</f>
        <v>46442</v>
      </c>
      <c r="AM25" s="35" t="n">
        <f aca="false">Activities!Q225</f>
        <v>46535</v>
      </c>
      <c r="AN25" s="15" t="n">
        <v>179</v>
      </c>
      <c r="AO25" s="36" t="s">
        <v>2430</v>
      </c>
      <c r="AP25" s="36" t="s">
        <v>2431</v>
      </c>
      <c r="AQ25" s="36" t="s">
        <v>2432</v>
      </c>
      <c r="AR25" s="37" t="n">
        <f aca="false">Activities!P224-Activities!Q222</f>
        <v>37</v>
      </c>
      <c r="AS25" s="37" t="n">
        <f aca="false">IF(Activities!K219=0,0,Activities!Q225-Activities!P219)</f>
        <v>83</v>
      </c>
    </row>
    <row r="26" customFormat="false" ht="15" hidden="false" customHeight="false" outlineLevel="0" collapsed="false">
      <c r="A26" s="15" t="s">
        <v>592</v>
      </c>
      <c r="B26" s="29" t="s">
        <v>638</v>
      </c>
      <c r="C26" s="15" t="s">
        <v>388</v>
      </c>
      <c r="D26" s="15" t="s">
        <v>2433</v>
      </c>
      <c r="E26" s="15" t="s">
        <v>2361</v>
      </c>
      <c r="F26" s="15" t="n">
        <v>28</v>
      </c>
      <c r="G26" s="15" t="s">
        <v>2362</v>
      </c>
      <c r="H26" s="15"/>
      <c r="I26" s="16" t="n">
        <v>0</v>
      </c>
      <c r="J26" s="15"/>
      <c r="K26" s="16" t="n">
        <v>0</v>
      </c>
      <c r="L26" s="15" t="s">
        <v>358</v>
      </c>
      <c r="M26" s="15" t="n">
        <v>0</v>
      </c>
      <c r="N26" s="30" t="n">
        <f aca="false">_xlfn.MAXIFS('Piece check'!$E$6:$E$1643,'Piece check'!$B$6:$B$1643,B26)</f>
        <v>2.24900040237721</v>
      </c>
      <c r="O26" s="31" t="n">
        <f aca="false">SUMIFS('Piece check'!$D$6:$D$1643,'Piece check'!$B$6:$B$1643,B26)</f>
        <v>25.0174339320869</v>
      </c>
      <c r="P26" s="32" t="n">
        <v>-4.12300365783262</v>
      </c>
      <c r="Q26" s="32" t="n">
        <v>-4.1245002011886</v>
      </c>
      <c r="R26" s="30" t="n">
        <f aca="false">_xlfn.MINIFS('Piece check'!$K$6:$K$1643,'Piece check'!$B$6:$B$1643,B26)</f>
        <v>-4.1245002011886</v>
      </c>
      <c r="S26" s="18" t="n">
        <f aca="false">MAX(0,GWL-R26)</f>
        <v>2.6245002011886</v>
      </c>
      <c r="T26" s="18" t="n">
        <f aca="false">MAX(0,NG-R26)</f>
        <v>3.4245002011886</v>
      </c>
      <c r="U26" s="31" t="n">
        <f aca="false">SUMIFS('Piece check'!$R$6:$R$1643,'Piece check'!$B$6:$B$1643,B26)</f>
        <v>25.0174339320869</v>
      </c>
      <c r="V26" s="21" t="n">
        <f aca="false">O26-U26</f>
        <v>0</v>
      </c>
      <c r="W26" s="12" t="str">
        <f aca="false">IF(U26&lt;0.05,"Open cut",IF(V26&lt;0.05,"Sheet piles","Mixed: "&amp;TEXT(U26,"0")&amp;" m sheet piles"))</f>
        <v>Sheet piles</v>
      </c>
      <c r="X26" s="33" t="n">
        <f aca="false">SUMIFS('Piece check'!$V$6:$V$1643,'Piece check'!$B$6:$B$1643,B26)</f>
        <v>363.94170368696</v>
      </c>
      <c r="Y26" s="33" t="n">
        <f aca="false">SUMIFS('Piece check'!$W$6:$W$1643,'Piece check'!$B$6:$B$1643,B26)</f>
        <v>0</v>
      </c>
      <c r="Z26" s="33" t="n">
        <f aca="false">SUMIFS('Piece check'!$X$6:$X$1643,'Piece check'!$B$6:$B$1643,B26)</f>
        <v>40.6408264558978</v>
      </c>
      <c r="AA26" s="33" t="n">
        <f aca="false">SUMIFS('Piece check'!$Y$6:$Y$1643,'Piece check'!$B$6:$B$1643,B26)</f>
        <v>99.382910032946</v>
      </c>
      <c r="AB26" s="20" t="n">
        <f aca="false">MAX(0,X26+Y26-Z26-AA26)</f>
        <v>223.917967198116</v>
      </c>
      <c r="AC26" s="20" t="n">
        <f aca="false">(ROUNDUP(O26/PILE_SP,0)+1)*IF(N26&gt;=PILE_THR,PILE_N_LARGE,PILE_N_SMALL)</f>
        <v>20</v>
      </c>
      <c r="AD26" s="20" t="n">
        <f aca="false">2*U26</f>
        <v>50.0348678641738</v>
      </c>
      <c r="AE26" s="34" t="n">
        <f aca="false">IF(U26&gt;0,ROUNDUP(T26*SHEET_RATIO,0),0)</f>
        <v>7</v>
      </c>
      <c r="AF26" s="20" t="n">
        <f aca="false">AD26*AE26</f>
        <v>350.244075049217</v>
      </c>
      <c r="AG26" s="18" t="n">
        <f aca="false">MAX(0,GWL-(R26-DD_BELOW))</f>
        <v>3.1245002011886</v>
      </c>
      <c r="AH26" s="12" t="str">
        <f aca="false">IF(AG26=0,"Not required",IF(AG26&lt;=WP_LIMIT,"Single-stage wellpoints","Deep wells or two-stage wellpoints"))</f>
        <v>Single-stage wellpoints</v>
      </c>
      <c r="AI26" s="30" t="n">
        <f aca="false">MIN(_xlfn.MINIFS('Piece check'!$Z$6:$Z$1643,'Piece check'!$B$6:$B$1643,B26),_xlfn.MINIFS('Piece check'!$AA$6:$AA$1643,'Piece check'!$B$6:$B$1643,B26))</f>
        <v>0.700141913909176</v>
      </c>
      <c r="AJ26" s="30" t="n">
        <f aca="false">MIN(_xlfn.MINIFS('Piece check'!$AB$6:$AB$1643,'Piece check'!$B$6:$B$1643,B26),_xlfn.MINIFS('Piece check'!$AC$6:$AC$1643,'Piece check'!$B$6:$B$1643,B26))</f>
        <v>2.46606996249311</v>
      </c>
      <c r="AK26" s="12" t="str">
        <f aca="false">IF(AJ26&lt;FOS_FLOT,"Anchor pipe to piled slab (permanent straps)",IF(AI26&lt;FOS_FLOT,"Keep dewatering on until fill reaches FL, or strap to slab","No extra measure"))</f>
        <v>Keep dewatering on until fill reaches FL, or strap to slab</v>
      </c>
      <c r="AL26" s="35" t="n">
        <f aca="false">Activities!P227</f>
        <v>46445</v>
      </c>
      <c r="AM26" s="35" t="n">
        <f aca="false">Activities!Q236</f>
        <v>46533</v>
      </c>
      <c r="AN26" s="15" t="n">
        <v>180</v>
      </c>
      <c r="AO26" s="36" t="s">
        <v>2426</v>
      </c>
      <c r="AP26" s="36" t="s">
        <v>2434</v>
      </c>
      <c r="AQ26" s="36" t="s">
        <v>2435</v>
      </c>
      <c r="AR26" s="37" t="n">
        <f aca="false">Activities!P235-Activities!Q233</f>
        <v>34</v>
      </c>
      <c r="AS26" s="37" t="n">
        <f aca="false">IF(Activities!K230=0,0,Activities!Q236-Activities!P230)</f>
        <v>74</v>
      </c>
    </row>
    <row r="27" customFormat="false" ht="15" hidden="false" customHeight="false" outlineLevel="0" collapsed="false">
      <c r="A27" s="15" t="s">
        <v>642</v>
      </c>
      <c r="B27" s="29" t="s">
        <v>655</v>
      </c>
      <c r="C27" s="15" t="s">
        <v>388</v>
      </c>
      <c r="D27" s="15" t="s">
        <v>2436</v>
      </c>
      <c r="E27" s="15" t="s">
        <v>2361</v>
      </c>
      <c r="F27" s="15" t="n">
        <v>28</v>
      </c>
      <c r="G27" s="15" t="s">
        <v>2362</v>
      </c>
      <c r="H27" s="15"/>
      <c r="I27" s="16" t="n">
        <v>0</v>
      </c>
      <c r="J27" s="15"/>
      <c r="K27" s="16" t="n">
        <v>0</v>
      </c>
      <c r="L27" s="15" t="s">
        <v>358</v>
      </c>
      <c r="M27" s="15" t="n">
        <v>6</v>
      </c>
      <c r="N27" s="30" t="n">
        <f aca="false">_xlfn.MAXIFS('Piece check'!$E$6:$E$1643,'Piece check'!$B$6:$B$1643,B27)</f>
        <v>2.24900040254933</v>
      </c>
      <c r="O27" s="31" t="n">
        <f aca="false">SUMIFS('Piece check'!$D$6:$D$1643,'Piece check'!$B$6:$B$1643,B27)</f>
        <v>98.3000000019989</v>
      </c>
      <c r="P27" s="32" t="n">
        <v>-4.05449803918226</v>
      </c>
      <c r="Q27" s="32" t="n">
        <v>-4.13384385912206</v>
      </c>
      <c r="R27" s="30" t="n">
        <f aca="false">_xlfn.MINIFS('Piece check'!$K$6:$K$1643,'Piece check'!$B$6:$B$1643,B27)</f>
        <v>-4.13450020127466</v>
      </c>
      <c r="S27" s="18" t="n">
        <f aca="false">MAX(0,GWL-R27)</f>
        <v>2.63450020127466</v>
      </c>
      <c r="T27" s="18" t="n">
        <f aca="false">MAX(0,NG-R27)</f>
        <v>3.43450020127466</v>
      </c>
      <c r="U27" s="31" t="n">
        <f aca="false">SUMIFS('Piece check'!$R$6:$R$1643,'Piece check'!$B$6:$B$1643,B27)</f>
        <v>98.3000000019989</v>
      </c>
      <c r="V27" s="21" t="n">
        <f aca="false">O27-U27</f>
        <v>0</v>
      </c>
      <c r="W27" s="12" t="str">
        <f aca="false">IF(U27&lt;0.05,"Open cut",IF(V27&lt;0.05,"Sheet piles","Mixed: "&amp;TEXT(U27,"0")&amp;" m sheet piles"))</f>
        <v>Sheet piles</v>
      </c>
      <c r="X27" s="33" t="n">
        <f aca="false">SUMIFS('Piece check'!$V$6:$V$1643,'Piece check'!$B$6:$B$1643,B27)</f>
        <v>1408.20398541755</v>
      </c>
      <c r="Y27" s="33" t="n">
        <f aca="false">SUMIFS('Piece check'!$W$6:$W$1643,'Piece check'!$B$6:$B$1643,B27)</f>
        <v>0</v>
      </c>
      <c r="Z27" s="33" t="n">
        <f aca="false">SUMIFS('Piece check'!$X$6:$X$1643,'Piece check'!$B$6:$B$1643,B27)</f>
        <v>159.688158716182</v>
      </c>
      <c r="AA27" s="33" t="n">
        <f aca="false">SUMIFS('Piece check'!$Y$6:$Y$1643,'Piece check'!$B$6:$B$1643,B27)</f>
        <v>390.499792085239</v>
      </c>
      <c r="AB27" s="20" t="n">
        <f aca="false">MAX(0,X27+Y27-Z27-AA27)</f>
        <v>858.016034616127</v>
      </c>
      <c r="AC27" s="20" t="n">
        <f aca="false">(ROUNDUP(O27/PILE_SP,0)+1)*IF(N27&gt;=PILE_THR,PILE_N_LARGE,PILE_N_SMALL)</f>
        <v>68</v>
      </c>
      <c r="AD27" s="20" t="n">
        <f aca="false">2*U27</f>
        <v>196.600000003998</v>
      </c>
      <c r="AE27" s="34" t="n">
        <f aca="false">IF(U27&gt;0,ROUNDUP(T27*SHEET_RATIO,0),0)</f>
        <v>7</v>
      </c>
      <c r="AF27" s="20" t="n">
        <f aca="false">AD27*AE27</f>
        <v>1376.20000002798</v>
      </c>
      <c r="AG27" s="18" t="n">
        <f aca="false">MAX(0,GWL-(R27-DD_BELOW))</f>
        <v>3.13450020127466</v>
      </c>
      <c r="AH27" s="12" t="str">
        <f aca="false">IF(AG27=0,"Not required",IF(AG27&lt;=WP_LIMIT,"Single-stage wellpoints","Deep wells or two-stage wellpoints"))</f>
        <v>Single-stage wellpoints</v>
      </c>
      <c r="AI27" s="30" t="n">
        <f aca="false">MIN(_xlfn.MINIFS('Piece check'!$Z$6:$Z$1643,'Piece check'!$B$6:$B$1643,B27),_xlfn.MINIFS('Piece check'!$AA$6:$AA$1643,'Piece check'!$B$6:$B$1643,B27))</f>
        <v>0.62898184405324</v>
      </c>
      <c r="AJ27" s="30" t="n">
        <f aca="false">MIN(_xlfn.MINIFS('Piece check'!$AB$6:$AB$1643,'Piece check'!$B$6:$B$1643,B27),_xlfn.MINIFS('Piece check'!$AC$6:$AC$1643,'Piece check'!$B$6:$B$1643,B27))</f>
        <v>2.39490992544499</v>
      </c>
      <c r="AK27" s="12" t="str">
        <f aca="false">IF(AJ27&lt;FOS_FLOT,"Anchor pipe to piled slab (permanent straps)",IF(AI27&lt;FOS_FLOT,"Keep dewatering on until fill reaches FL, or strap to slab","No extra measure"))</f>
        <v>Keep dewatering on until fill reaches FL, or strap to slab</v>
      </c>
      <c r="AL27" s="35" t="n">
        <f aca="false">Activities!P238</f>
        <v>46456</v>
      </c>
      <c r="AM27" s="35" t="n">
        <f aca="false">Activities!Q247</f>
        <v>46539</v>
      </c>
      <c r="AN27" s="15" t="n">
        <v>181</v>
      </c>
      <c r="AO27" s="36" t="s">
        <v>2437</v>
      </c>
      <c r="AP27" s="36" t="s">
        <v>2427</v>
      </c>
      <c r="AQ27" s="36" t="s">
        <v>2438</v>
      </c>
      <c r="AR27" s="37" t="n">
        <f aca="false">Activities!P246-Activities!Q244</f>
        <v>28</v>
      </c>
      <c r="AS27" s="37" t="n">
        <f aca="false">IF(Activities!K241=0,0,Activities!Q247-Activities!P241)</f>
        <v>75</v>
      </c>
    </row>
    <row r="28" customFormat="false" ht="15" hidden="false" customHeight="false" outlineLevel="0" collapsed="false">
      <c r="A28" s="15" t="s">
        <v>592</v>
      </c>
      <c r="B28" s="29" t="s">
        <v>623</v>
      </c>
      <c r="C28" s="15" t="s">
        <v>388</v>
      </c>
      <c r="D28" s="15" t="s">
        <v>2439</v>
      </c>
      <c r="E28" s="15" t="s">
        <v>2361</v>
      </c>
      <c r="F28" s="15" t="n">
        <v>28</v>
      </c>
      <c r="G28" s="15" t="s">
        <v>2362</v>
      </c>
      <c r="H28" s="15"/>
      <c r="I28" s="16" t="n">
        <v>0</v>
      </c>
      <c r="J28" s="15"/>
      <c r="K28" s="16" t="n">
        <v>0</v>
      </c>
      <c r="L28" s="15" t="s">
        <v>358</v>
      </c>
      <c r="M28" s="15" t="n">
        <v>0</v>
      </c>
      <c r="N28" s="30" t="n">
        <f aca="false">_xlfn.MAXIFS('Piece check'!$E$6:$E$1643,'Piece check'!$B$6:$B$1643,B28)</f>
        <v>2.24900040237721</v>
      </c>
      <c r="O28" s="31" t="n">
        <f aca="false">SUMIFS('Piece check'!$D$6:$D$1643,'Piece check'!$B$6:$B$1643,B28)</f>
        <v>123.199999999879</v>
      </c>
      <c r="P28" s="32" t="n">
        <v>-4.11563383157628</v>
      </c>
      <c r="Q28" s="32" t="n">
        <v>-4.12300365783262</v>
      </c>
      <c r="R28" s="30" t="n">
        <f aca="false">_xlfn.MINIFS('Piece check'!$K$6:$K$1643,'Piece check'!$B$6:$B$1643,B28)</f>
        <v>-4.12300365783262</v>
      </c>
      <c r="S28" s="18" t="n">
        <f aca="false">MAX(0,GWL-R28)</f>
        <v>2.62300365783262</v>
      </c>
      <c r="T28" s="18" t="n">
        <f aca="false">MAX(0,NG-R28)</f>
        <v>3.42300365783262</v>
      </c>
      <c r="U28" s="31" t="n">
        <f aca="false">SUMIFS('Piece check'!$R$6:$R$1643,'Piece check'!$B$6:$B$1643,B28)</f>
        <v>123.199999999879</v>
      </c>
      <c r="V28" s="21" t="n">
        <f aca="false">O28-U28</f>
        <v>0</v>
      </c>
      <c r="W28" s="12" t="str">
        <f aca="false">IF(U28&lt;0.05,"Open cut",IF(V28&lt;0.05,"Sheet piles","Mixed: "&amp;TEXT(U28,"0")&amp;" m sheet piles"))</f>
        <v>Sheet piles</v>
      </c>
      <c r="X28" s="33" t="n">
        <f aca="false">SUMIFS('Piece check'!$V$6:$V$1643,'Piece check'!$B$6:$B$1643,B28)</f>
        <v>1789.93420416159</v>
      </c>
      <c r="Y28" s="33" t="n">
        <f aca="false">SUMIFS('Piece check'!$W$6:$W$1643,'Piece check'!$B$6:$B$1643,B28)</f>
        <v>0</v>
      </c>
      <c r="Z28" s="33" t="n">
        <f aca="false">SUMIFS('Piece check'!$X$6:$X$1643,'Piece check'!$B$6:$B$1643,B28)</f>
        <v>200.138424786239</v>
      </c>
      <c r="AA28" s="33" t="n">
        <f aca="false">SUMIFS('Piece check'!$Y$6:$Y$1643,'Piece check'!$B$6:$B$1643,B28)</f>
        <v>489.417681656911</v>
      </c>
      <c r="AB28" s="20" t="n">
        <f aca="false">MAX(0,X28+Y28-Z28-AA28)</f>
        <v>1100.37809771844</v>
      </c>
      <c r="AC28" s="20" t="n">
        <f aca="false">(ROUNDUP(O28/PILE_SP,0)+1)*IF(N28&gt;=PILE_THR,PILE_N_LARGE,PILE_N_SMALL)</f>
        <v>86</v>
      </c>
      <c r="AD28" s="20" t="n">
        <f aca="false">2*U28</f>
        <v>246.399999999758</v>
      </c>
      <c r="AE28" s="34" t="n">
        <f aca="false">IF(U28&gt;0,ROUNDUP(T28*SHEET_RATIO,0),0)</f>
        <v>7</v>
      </c>
      <c r="AF28" s="20" t="n">
        <f aca="false">AD28*AE28</f>
        <v>1724.7999999983</v>
      </c>
      <c r="AG28" s="18" t="n">
        <f aca="false">MAX(0,GWL-(R28-DD_BELOW))</f>
        <v>3.12300365783262</v>
      </c>
      <c r="AH28" s="12" t="str">
        <f aca="false">IF(AG28=0,"Not required",IF(AG28&lt;=WP_LIMIT,"Single-stage wellpoints","Deep wells or two-stage wellpoints"))</f>
        <v>Single-stage wellpoints</v>
      </c>
      <c r="AI28" s="30" t="n">
        <f aca="false">MIN(_xlfn.MINIFS('Piece check'!$Z$6:$Z$1643,'Piece check'!$B$6:$B$1643,B28),_xlfn.MINIFS('Piece check'!$AA$6:$AA$1643,'Piece check'!$B$6:$B$1643,B28))</f>
        <v>0.692486276909608</v>
      </c>
      <c r="AJ28" s="30" t="n">
        <f aca="false">MIN(_xlfn.MINIFS('Piece check'!$AB$6:$AB$1643,'Piece check'!$B$6:$B$1643,B28),_xlfn.MINIFS('Piece check'!$AC$6:$AC$1643,'Piece check'!$B$6:$B$1643,B28))</f>
        <v>2.45841432549354</v>
      </c>
      <c r="AK28" s="12" t="str">
        <f aca="false">IF(AJ28&lt;FOS_FLOT,"Anchor pipe to piled slab (permanent straps)",IF(AI28&lt;FOS_FLOT,"Keep dewatering on until fill reaches FL, or strap to slab","No extra measure"))</f>
        <v>Keep dewatering on until fill reaches FL, or strap to slab</v>
      </c>
      <c r="AL28" s="35" t="n">
        <f aca="false">Activities!P249</f>
        <v>46459</v>
      </c>
      <c r="AM28" s="35" t="n">
        <f aca="false">Activities!Q258</f>
        <v>46543</v>
      </c>
      <c r="AN28" s="15" t="n">
        <v>182</v>
      </c>
      <c r="AO28" s="36" t="s">
        <v>2430</v>
      </c>
      <c r="AP28" s="36" t="s">
        <v>2440</v>
      </c>
      <c r="AQ28" s="36" t="s">
        <v>2441</v>
      </c>
      <c r="AR28" s="37" t="n">
        <f aca="false">Activities!P257-Activities!Q255</f>
        <v>20</v>
      </c>
      <c r="AS28" s="37" t="n">
        <f aca="false">IF(Activities!K252=0,0,Activities!Q258-Activities!P252)</f>
        <v>69</v>
      </c>
    </row>
    <row r="29" customFormat="false" ht="15" hidden="false" customHeight="false" outlineLevel="0" collapsed="false">
      <c r="A29" s="15" t="s">
        <v>592</v>
      </c>
      <c r="B29" s="29" t="s">
        <v>605</v>
      </c>
      <c r="C29" s="15" t="s">
        <v>388</v>
      </c>
      <c r="D29" s="15" t="s">
        <v>2442</v>
      </c>
      <c r="E29" s="15" t="s">
        <v>2361</v>
      </c>
      <c r="F29" s="15" t="n">
        <v>28</v>
      </c>
      <c r="G29" s="15" t="s">
        <v>2362</v>
      </c>
      <c r="H29" s="15"/>
      <c r="I29" s="16" t="n">
        <v>0</v>
      </c>
      <c r="J29" s="15"/>
      <c r="K29" s="16" t="n">
        <v>0</v>
      </c>
      <c r="L29" s="15" t="s">
        <v>358</v>
      </c>
      <c r="M29" s="15" t="n">
        <v>4</v>
      </c>
      <c r="N29" s="30" t="n">
        <f aca="false">_xlfn.MAXIFS('Piece check'!$E$6:$E$1643,'Piece check'!$B$6:$B$1643,B29)</f>
        <v>2.24900472632683</v>
      </c>
      <c r="O29" s="31" t="n">
        <f aca="false">SUMIFS('Piece check'!$D$6:$D$1643,'Piece check'!$B$6:$B$1643,B29)</f>
        <v>104.200000000977</v>
      </c>
      <c r="P29" s="32" t="n">
        <v>-3.82212935150506</v>
      </c>
      <c r="Q29" s="32" t="n">
        <v>-4.11563383157628</v>
      </c>
      <c r="R29" s="30" t="n">
        <f aca="false">_xlfn.MINIFS('Piece check'!$K$6:$K$1643,'Piece check'!$B$6:$B$1643,B29)</f>
        <v>-4.11563383157628</v>
      </c>
      <c r="S29" s="18" t="n">
        <f aca="false">MAX(0,GWL-R29)</f>
        <v>2.61563383157628</v>
      </c>
      <c r="T29" s="18" t="n">
        <f aca="false">MAX(0,NG-R29)</f>
        <v>3.41563383157628</v>
      </c>
      <c r="U29" s="31" t="n">
        <f aca="false">SUMIFS('Piece check'!$R$6:$R$1643,'Piece check'!$B$6:$B$1643,B29)</f>
        <v>58.3000000004981</v>
      </c>
      <c r="V29" s="21" t="n">
        <f aca="false">O29-U29</f>
        <v>45.9000000004787</v>
      </c>
      <c r="W29" s="12" t="str">
        <f aca="false">IF(U29&lt;0.05,"Open cut",IF(V29&lt;0.05,"Sheet piles","Mixed: "&amp;TEXT(U29,"0")&amp;" m sheet piles"))</f>
        <v>Mixed: 58 m sheet piles</v>
      </c>
      <c r="X29" s="33" t="n">
        <f aca="false">SUMIFS('Piece check'!$V$6:$V$1643,'Piece check'!$B$6:$B$1643,B29)</f>
        <v>834.592267824404</v>
      </c>
      <c r="Y29" s="33" t="n">
        <f aca="false">SUMIFS('Piece check'!$W$6:$W$1643,'Piece check'!$B$6:$B$1643,B29)</f>
        <v>1550.27489357519</v>
      </c>
      <c r="Z29" s="33" t="n">
        <f aca="false">SUMIFS('Piece check'!$X$6:$X$1643,'Piece check'!$B$6:$B$1643,B29)</f>
        <v>169.272999492407</v>
      </c>
      <c r="AA29" s="33" t="n">
        <f aca="false">SUMIFS('Piece check'!$Y$6:$Y$1643,'Piece check'!$B$6:$B$1643,B29)</f>
        <v>413.939860260865</v>
      </c>
      <c r="AB29" s="20" t="n">
        <f aca="false">MAX(0,X29+Y29-Z29-AA29)</f>
        <v>1801.65430164632</v>
      </c>
      <c r="AC29" s="20" t="n">
        <f aca="false">(ROUNDUP(O29/PILE_SP,0)+1)*IF(N29&gt;=PILE_THR,PILE_N_LARGE,PILE_N_SMALL)</f>
        <v>72</v>
      </c>
      <c r="AD29" s="20" t="n">
        <f aca="false">2*U29</f>
        <v>116.600000000996</v>
      </c>
      <c r="AE29" s="34" t="n">
        <f aca="false">IF(U29&gt;0,ROUNDUP(T29*SHEET_RATIO,0),0)</f>
        <v>7</v>
      </c>
      <c r="AF29" s="20" t="n">
        <f aca="false">AD29*AE29</f>
        <v>816.200000006973</v>
      </c>
      <c r="AG29" s="18" t="n">
        <f aca="false">MAX(0,GWL-(R29-DD_BELOW))</f>
        <v>3.11563383157628</v>
      </c>
      <c r="AH29" s="12" t="str">
        <f aca="false">IF(AG29=0,"Not required",IF(AG29&lt;=WP_LIMIT,"Single-stage wellpoints","Deep wells or two-stage wellpoints"))</f>
        <v>Single-stage wellpoints</v>
      </c>
      <c r="AI29" s="30" t="n">
        <f aca="false">MIN(_xlfn.MINIFS('Piece check'!$Z$6:$Z$1643,'Piece check'!$B$6:$B$1643,B29),_xlfn.MINIFS('Piece check'!$AA$6:$AA$1643,'Piece check'!$B$6:$B$1643,B29))</f>
        <v>0.387594102584111</v>
      </c>
      <c r="AJ29" s="30" t="n">
        <f aca="false">MIN(_xlfn.MINIFS('Piece check'!$AB$6:$AB$1643,'Piece check'!$B$6:$B$1643,B29),_xlfn.MINIFS('Piece check'!$AC$6:$AC$1643,'Piece check'!$B$6:$B$1643,B29))</f>
        <v>2.15351875598446</v>
      </c>
      <c r="AK29" s="12" t="str">
        <f aca="false">IF(AJ29&lt;FOS_FLOT,"Anchor pipe to piled slab (permanent straps)",IF(AI29&lt;FOS_FLOT,"Keep dewatering on until fill reaches FL, or strap to slab","No extra measure"))</f>
        <v>Keep dewatering on until fill reaches FL, or strap to slab</v>
      </c>
      <c r="AL29" s="35" t="n">
        <f aca="false">Activities!P260</f>
        <v>46468</v>
      </c>
      <c r="AM29" s="35" t="n">
        <f aca="false">Activities!Q269</f>
        <v>46545</v>
      </c>
      <c r="AN29" s="15" t="n">
        <v>183</v>
      </c>
      <c r="AO29" s="36" t="s">
        <v>2443</v>
      </c>
      <c r="AP29" s="36" t="s">
        <v>2434</v>
      </c>
      <c r="AQ29" s="36" t="s">
        <v>2444</v>
      </c>
      <c r="AR29" s="37" t="n">
        <f aca="false">Activities!P268-Activities!Q266</f>
        <v>13</v>
      </c>
      <c r="AS29" s="37" t="n">
        <f aca="false">IF(Activities!K263=0,0,Activities!Q269-Activities!P263)</f>
        <v>61</v>
      </c>
    </row>
    <row r="30" customFormat="false" ht="15" hidden="false" customHeight="false" outlineLevel="0" collapsed="false">
      <c r="A30" s="15" t="s">
        <v>592</v>
      </c>
      <c r="B30" s="29" t="s">
        <v>595</v>
      </c>
      <c r="C30" s="15" t="s">
        <v>388</v>
      </c>
      <c r="D30" s="15" t="s">
        <v>2445</v>
      </c>
      <c r="E30" s="15" t="s">
        <v>2361</v>
      </c>
      <c r="F30" s="15" t="n">
        <v>28</v>
      </c>
      <c r="G30" s="15" t="s">
        <v>2362</v>
      </c>
      <c r="H30" s="15"/>
      <c r="I30" s="16" t="n">
        <v>0</v>
      </c>
      <c r="J30" s="15"/>
      <c r="K30" s="16" t="n">
        <v>0</v>
      </c>
      <c r="L30" s="15" t="s">
        <v>358</v>
      </c>
      <c r="M30" s="15" t="n">
        <v>2</v>
      </c>
      <c r="N30" s="30" t="n">
        <f aca="false">_xlfn.MAXIFS('Piece check'!$E$6:$E$1643,'Piece check'!$B$6:$B$1643,B30)</f>
        <v>2.27639231323138</v>
      </c>
      <c r="O30" s="31" t="n">
        <f aca="false">SUMIFS('Piece check'!$D$6:$D$1643,'Piece check'!$B$6:$B$1643,B30)</f>
        <v>48.09999999922</v>
      </c>
      <c r="P30" s="32" t="n">
        <v>-3.66034860200654</v>
      </c>
      <c r="Q30" s="32" t="n">
        <v>-3.82212935150506</v>
      </c>
      <c r="R30" s="30" t="n">
        <f aca="false">_xlfn.MINIFS('Piece check'!$K$6:$K$1643,'Piece check'!$B$6:$B$1643,B30)</f>
        <v>-3.82212935150506</v>
      </c>
      <c r="S30" s="18" t="n">
        <f aca="false">MAX(0,GWL-R30)</f>
        <v>2.32212935150506</v>
      </c>
      <c r="T30" s="18" t="n">
        <f aca="false">MAX(0,NG-R30)</f>
        <v>3.12212935150506</v>
      </c>
      <c r="U30" s="31" t="n">
        <f aca="false">SUMIFS('Piece check'!$R$6:$R$1643,'Piece check'!$B$6:$B$1643,B30)</f>
        <v>0</v>
      </c>
      <c r="V30" s="21" t="n">
        <f aca="false">O30-U30</f>
        <v>48.09999999922</v>
      </c>
      <c r="W30" s="12" t="str">
        <f aca="false">IF(U30&lt;0.05,"Open cut",IF(V30&lt;0.05,"Sheet piles","Mixed: "&amp;TEXT(U30,"0")&amp;" m sheet piles"))</f>
        <v>Open cut</v>
      </c>
      <c r="X30" s="33" t="n">
        <f aca="false">SUMIFS('Piece check'!$V$6:$V$1643,'Piece check'!$B$6:$B$1643,B30)</f>
        <v>0</v>
      </c>
      <c r="Y30" s="33" t="n">
        <f aca="false">SUMIFS('Piece check'!$W$6:$W$1643,'Piece check'!$B$6:$B$1643,B30)</f>
        <v>1502.70666309794</v>
      </c>
      <c r="Z30" s="33" t="n">
        <f aca="false">SUMIFS('Piece check'!$X$6:$X$1643,'Piece check'!$B$6:$B$1643,B30)</f>
        <v>78.6404268123266</v>
      </c>
      <c r="AA30" s="33" t="n">
        <f aca="false">SUMIFS('Piece check'!$Y$6:$Y$1643,'Piece check'!$B$6:$B$1643,B30)</f>
        <v>194.647685634571</v>
      </c>
      <c r="AB30" s="20" t="n">
        <f aca="false">MAX(0,X30+Y30-Z30-AA30)</f>
        <v>1229.41855065104</v>
      </c>
      <c r="AC30" s="20" t="n">
        <f aca="false">(ROUNDUP(O30/PILE_SP,0)+1)*IF(N30&gt;=PILE_THR,PILE_N_LARGE,PILE_N_SMALL)</f>
        <v>36</v>
      </c>
      <c r="AD30" s="20" t="n">
        <f aca="false">2*U30</f>
        <v>0</v>
      </c>
      <c r="AE30" s="34" t="n">
        <f aca="false">IF(U30&gt;0,ROUNDUP(T30*SHEET_RATIO,0),0)</f>
        <v>0</v>
      </c>
      <c r="AF30" s="20" t="n">
        <f aca="false">AD30*AE30</f>
        <v>0</v>
      </c>
      <c r="AG30" s="18" t="n">
        <f aca="false">MAX(0,GWL-(R30-DD_BELOW))</f>
        <v>2.82212935150506</v>
      </c>
      <c r="AH30" s="12" t="str">
        <f aca="false">IF(AG30=0,"Not required",IF(AG30&lt;=WP_LIMIT,"Single-stage wellpoints","Deep wells or two-stage wellpoints"))</f>
        <v>Single-stage wellpoints</v>
      </c>
      <c r="AI30" s="30" t="n">
        <f aca="false">MIN(_xlfn.MINIFS('Piece check'!$Z$6:$Z$1643,'Piece check'!$B$6:$B$1643,B30),_xlfn.MINIFS('Piece check'!$AA$6:$AA$1643,'Piece check'!$B$6:$B$1643,B30))</f>
        <v>0.188790938429288</v>
      </c>
      <c r="AJ30" s="30" t="n">
        <f aca="false">MIN(_xlfn.MINIFS('Piece check'!$AB$6:$AB$1643,'Piece check'!$B$6:$B$1643,B30),_xlfn.MINIFS('Piece check'!$AC$6:$AC$1643,'Piece check'!$B$6:$B$1643,B30))</f>
        <v>1.93346951107687</v>
      </c>
      <c r="AK30" s="12" t="str">
        <f aca="false">IF(AJ30&lt;FOS_FLOT,"Anchor pipe to piled slab (permanent straps)",IF(AI30&lt;FOS_FLOT,"Keep dewatering on until fill reaches FL, or strap to slab","No extra measure"))</f>
        <v>Keep dewatering on until fill reaches FL, or strap to slab</v>
      </c>
      <c r="AL30" s="35" t="n">
        <f aca="false">Activities!P271</f>
        <v>46479</v>
      </c>
      <c r="AM30" s="35" t="n">
        <f aca="false">Activities!Q280</f>
        <v>46586</v>
      </c>
      <c r="AN30" s="15" t="n">
        <v>184</v>
      </c>
      <c r="AO30" s="36" t="s">
        <v>2443</v>
      </c>
      <c r="AP30" s="36" t="s">
        <v>2416</v>
      </c>
      <c r="AQ30" s="36" t="s">
        <v>2446</v>
      </c>
      <c r="AR30" s="37" t="n">
        <f aca="false">Activities!P279-Activities!Q277</f>
        <v>49</v>
      </c>
      <c r="AS30" s="37" t="n">
        <f aca="false">IF(Activities!K274=0,0,Activities!Q280-Activities!P274)</f>
        <v>95</v>
      </c>
    </row>
    <row r="31" customFormat="false" ht="15" hidden="false" customHeight="false" outlineLevel="0" collapsed="false">
      <c r="A31" s="15" t="s">
        <v>642</v>
      </c>
      <c r="B31" s="29" t="s">
        <v>643</v>
      </c>
      <c r="C31" s="15" t="s">
        <v>388</v>
      </c>
      <c r="D31" s="15" t="s">
        <v>2447</v>
      </c>
      <c r="E31" s="15" t="s">
        <v>2361</v>
      </c>
      <c r="F31" s="15" t="n">
        <v>28</v>
      </c>
      <c r="G31" s="15" t="s">
        <v>2367</v>
      </c>
      <c r="H31" s="15" t="s">
        <v>332</v>
      </c>
      <c r="I31" s="35" t="n">
        <f aca="false">MAX(Structures!$H$20)</f>
        <v>0</v>
      </c>
      <c r="J31" s="15"/>
      <c r="K31" s="16" t="n">
        <v>0</v>
      </c>
      <c r="L31" s="15" t="s">
        <v>358</v>
      </c>
      <c r="M31" s="15" t="n">
        <v>4</v>
      </c>
      <c r="N31" s="30" t="n">
        <f aca="false">_xlfn.MAXIFS('Piece check'!$E$6:$E$1643,'Piece check'!$B$6:$B$1643,B31)</f>
        <v>2.27637586492562</v>
      </c>
      <c r="O31" s="31" t="n">
        <f aca="false">SUMIFS('Piece check'!$D$6:$D$1643,'Piece check'!$B$6:$B$1643,B31)</f>
        <v>21.1846086731647</v>
      </c>
      <c r="P31" s="32" t="n">
        <v>-4.06818793246281</v>
      </c>
      <c r="Q31" s="32" t="n">
        <v>-4.05449803934997</v>
      </c>
      <c r="R31" s="30" t="n">
        <f aca="false">_xlfn.MINIFS('Piece check'!$K$6:$K$1643,'Piece check'!$B$6:$B$1643,B31)</f>
        <v>-4.06818793246281</v>
      </c>
      <c r="S31" s="18" t="n">
        <f aca="false">MAX(0,GWL-R31)</f>
        <v>2.56818793246281</v>
      </c>
      <c r="T31" s="18" t="n">
        <f aca="false">MAX(0,NG-R31)</f>
        <v>3.36818793246281</v>
      </c>
      <c r="U31" s="31" t="n">
        <f aca="false">SUMIFS('Piece check'!$R$6:$R$1643,'Piece check'!$B$6:$B$1643,B31)</f>
        <v>21.1846086731647</v>
      </c>
      <c r="V31" s="21" t="n">
        <f aca="false">O31-U31</f>
        <v>0</v>
      </c>
      <c r="W31" s="12" t="str">
        <f aca="false">IF(U31&lt;0.05,"Open cut",IF(V31&lt;0.05,"Sheet piles","Mixed: "&amp;TEXT(U31,"0")&amp;" m sheet piles"))</f>
        <v>Sheet piles</v>
      </c>
      <c r="X31" s="33" t="n">
        <f aca="false">SUMIFS('Piece check'!$V$6:$V$1643,'Piece check'!$B$6:$B$1643,B31)</f>
        <v>303.281026422411</v>
      </c>
      <c r="Y31" s="33" t="n">
        <f aca="false">SUMIFS('Piece check'!$W$6:$W$1643,'Piece check'!$B$6:$B$1643,B31)</f>
        <v>0</v>
      </c>
      <c r="Z31" s="33" t="n">
        <f aca="false">SUMIFS('Piece check'!$X$6:$X$1643,'Piece check'!$B$6:$B$1643,B31)</f>
        <v>34.5355640933266</v>
      </c>
      <c r="AA31" s="33" t="n">
        <f aca="false">SUMIFS('Piece check'!$Y$6:$Y$1643,'Piece check'!$B$6:$B$1643,B31)</f>
        <v>85.01811608873</v>
      </c>
      <c r="AB31" s="20" t="n">
        <f aca="false">MAX(0,X31+Y31-Z31-AA31)</f>
        <v>183.727346240354</v>
      </c>
      <c r="AC31" s="20" t="n">
        <f aca="false">(ROUNDUP(O31/PILE_SP,0)+1)*IF(N31&gt;=PILE_THR,PILE_N_LARGE,PILE_N_SMALL)</f>
        <v>18</v>
      </c>
      <c r="AD31" s="20" t="n">
        <f aca="false">2*U31</f>
        <v>42.3692173463294</v>
      </c>
      <c r="AE31" s="34" t="n">
        <f aca="false">IF(U31&gt;0,ROUNDUP(T31*SHEET_RATIO,0),0)</f>
        <v>7</v>
      </c>
      <c r="AF31" s="20" t="n">
        <f aca="false">AD31*AE31</f>
        <v>296.584521424306</v>
      </c>
      <c r="AG31" s="18" t="n">
        <f aca="false">MAX(0,GWL-(R31-DD_BELOW))</f>
        <v>3.06818793246281</v>
      </c>
      <c r="AH31" s="12" t="str">
        <f aca="false">IF(AG31=0,"Not required",IF(AG31&lt;=WP_LIMIT,"Single-stage wellpoints","Deep wells or two-stage wellpoints"))</f>
        <v>Single-stage wellpoints</v>
      </c>
      <c r="AI31" s="30" t="n">
        <f aca="false">MIN(_xlfn.MINIFS('Piece check'!$Z$6:$Z$1643,'Piece check'!$B$6:$B$1643,B31),_xlfn.MINIFS('Piece check'!$AA$6:$AA$1643,'Piece check'!$B$6:$B$1643,B31))</f>
        <v>0.607370172889734</v>
      </c>
      <c r="AJ31" s="30" t="n">
        <f aca="false">MIN(_xlfn.MINIFS('Piece check'!$AB$6:$AB$1643,'Piece check'!$B$6:$B$1643,B31),_xlfn.MINIFS('Piece check'!$AC$6:$AC$1643,'Piece check'!$B$6:$B$1643,B31))</f>
        <v>2.35206135198209</v>
      </c>
      <c r="AK31" s="12" t="str">
        <f aca="false">IF(AJ31&lt;FOS_FLOT,"Anchor pipe to piled slab (permanent straps)",IF(AI31&lt;FOS_FLOT,"Keep dewatering on until fill reaches FL, or strap to slab","No extra measure"))</f>
        <v>Keep dewatering on until fill reaches FL, or strap to slab</v>
      </c>
      <c r="AL31" s="35" t="n">
        <f aca="false">Activities!P282</f>
        <v>46358</v>
      </c>
      <c r="AM31" s="35" t="n">
        <f aca="false">Activities!Q291</f>
        <v>46541</v>
      </c>
      <c r="AN31" s="15" t="n">
        <v>185</v>
      </c>
      <c r="AO31" s="36" t="s">
        <v>2448</v>
      </c>
      <c r="AP31" s="36" t="s">
        <v>2449</v>
      </c>
      <c r="AQ31" s="36" t="s">
        <v>2450</v>
      </c>
      <c r="AR31" s="37" t="n">
        <f aca="false">Activities!P290-Activities!Q288</f>
        <v>150</v>
      </c>
      <c r="AS31" s="37" t="n">
        <f aca="false">IF(Activities!K285=0,0,Activities!Q291-Activities!P285)</f>
        <v>180</v>
      </c>
    </row>
    <row r="32" customFormat="false" ht="15" hidden="false" customHeight="false" outlineLevel="0" collapsed="false">
      <c r="A32" s="15" t="s">
        <v>592</v>
      </c>
      <c r="B32" s="29" t="s">
        <v>593</v>
      </c>
      <c r="C32" s="15" t="s">
        <v>388</v>
      </c>
      <c r="D32" s="15" t="s">
        <v>2451</v>
      </c>
      <c r="E32" s="15" t="s">
        <v>2361</v>
      </c>
      <c r="F32" s="15" t="n">
        <v>28</v>
      </c>
      <c r="G32" s="15" t="s">
        <v>2367</v>
      </c>
      <c r="H32" s="15" t="s">
        <v>332</v>
      </c>
      <c r="I32" s="35" t="n">
        <f aca="false">MAX(Structures!$H$20)</f>
        <v>0</v>
      </c>
      <c r="J32" s="15"/>
      <c r="K32" s="16" t="n">
        <v>0</v>
      </c>
      <c r="L32" s="15" t="s">
        <v>358</v>
      </c>
      <c r="M32" s="15" t="n">
        <v>0</v>
      </c>
      <c r="N32" s="30" t="n">
        <f aca="false">_xlfn.MAXIFS('Piece check'!$E$6:$E$1643,'Piece check'!$B$6:$B$1643,B32)</f>
        <v>2.27639231323138</v>
      </c>
      <c r="O32" s="31" t="n">
        <f aca="false">SUMIFS('Piece check'!$D$6:$D$1643,'Piece check'!$B$6:$B$1643,B32)</f>
        <v>5.99999999987172</v>
      </c>
      <c r="P32" s="32" t="n">
        <v>-3.63819615661569</v>
      </c>
      <c r="Q32" s="32" t="n">
        <v>-3.66034860200654</v>
      </c>
      <c r="R32" s="30" t="n">
        <f aca="false">_xlfn.MINIFS('Piece check'!$K$6:$K$1643,'Piece check'!$B$6:$B$1643,B32)</f>
        <v>-3.66034860200654</v>
      </c>
      <c r="S32" s="18" t="n">
        <f aca="false">MAX(0,GWL-R32)</f>
        <v>2.16034860200654</v>
      </c>
      <c r="T32" s="18" t="n">
        <f aca="false">MAX(0,NG-R32)</f>
        <v>2.96034860200654</v>
      </c>
      <c r="U32" s="31" t="n">
        <f aca="false">SUMIFS('Piece check'!$R$6:$R$1643,'Piece check'!$B$6:$B$1643,B32)</f>
        <v>0</v>
      </c>
      <c r="V32" s="21" t="n">
        <f aca="false">O32-U32</f>
        <v>5.99999999987172</v>
      </c>
      <c r="W32" s="12" t="str">
        <f aca="false">IF(U32&lt;0.05,"Open cut",IF(V32&lt;0.05,"Sheet piles","Mixed: "&amp;TEXT(U32,"0")&amp;" m sheet piles"))</f>
        <v>Open cut</v>
      </c>
      <c r="X32" s="33" t="n">
        <f aca="false">SUMIFS('Piece check'!$V$6:$V$1643,'Piece check'!$B$6:$B$1643,B32)</f>
        <v>0</v>
      </c>
      <c r="Y32" s="33" t="n">
        <f aca="false">SUMIFS('Piece check'!$W$6:$W$1643,'Piece check'!$B$6:$B$1643,B32)</f>
        <v>178.131965199671</v>
      </c>
      <c r="Z32" s="33" t="n">
        <f aca="false">SUMIFS('Piece check'!$X$6:$X$1643,'Piece check'!$B$6:$B$1643,B32)</f>
        <v>9.829176939484</v>
      </c>
      <c r="AA32" s="33" t="n">
        <f aca="false">SUMIFS('Piece check'!$Y$6:$Y$1643,'Piece check'!$B$6:$B$1643,B32)</f>
        <v>24.4194204541738</v>
      </c>
      <c r="AB32" s="20" t="n">
        <f aca="false">MAX(0,X32+Y32-Z32-AA32)</f>
        <v>143.883367806013</v>
      </c>
      <c r="AC32" s="20" t="n">
        <f aca="false">(ROUNDUP(O32/PILE_SP,0)+1)*IF(N32&gt;=PILE_THR,PILE_N_LARGE,PILE_N_SMALL)</f>
        <v>6</v>
      </c>
      <c r="AD32" s="20" t="n">
        <f aca="false">2*U32</f>
        <v>0</v>
      </c>
      <c r="AE32" s="34" t="n">
        <f aca="false">IF(U32&gt;0,ROUNDUP(T32*SHEET_RATIO,0),0)</f>
        <v>0</v>
      </c>
      <c r="AF32" s="20" t="n">
        <f aca="false">AD32*AE32</f>
        <v>0</v>
      </c>
      <c r="AG32" s="18" t="n">
        <f aca="false">MAX(0,GWL-(R32-DD_BELOW))</f>
        <v>2.66034860200654</v>
      </c>
      <c r="AH32" s="12" t="str">
        <f aca="false">IF(AG32=0,"Not required",IF(AG32&lt;=WP_LIMIT,"Single-stage wellpoints","Deep wells or two-stage wellpoints"))</f>
        <v>Single-stage wellpoints</v>
      </c>
      <c r="AI32" s="30" t="n">
        <f aca="false">MIN(_xlfn.MINIFS('Piece check'!$Z$6:$Z$1643,'Piece check'!$B$6:$B$1643,B32),_xlfn.MINIFS('Piece check'!$AA$6:$AA$1643,'Piece check'!$B$6:$B$1643,B32))</f>
        <v>0.166056293249781</v>
      </c>
      <c r="AJ32" s="30" t="n">
        <f aca="false">MIN(_xlfn.MINIFS('Piece check'!$AB$6:$AB$1643,'Piece check'!$B$6:$B$1643,B32),_xlfn.MINIFS('Piece check'!$AC$6:$AC$1643,'Piece check'!$B$6:$B$1643,B32))</f>
        <v>1.91073486589736</v>
      </c>
      <c r="AK32" s="12" t="str">
        <f aca="false">IF(AJ32&lt;FOS_FLOT,"Anchor pipe to piled slab (permanent straps)",IF(AI32&lt;FOS_FLOT,"Keep dewatering on until fill reaches FL, or strap to slab","No extra measure"))</f>
        <v>Keep dewatering on until fill reaches FL, or strap to slab</v>
      </c>
      <c r="AL32" s="35" t="n">
        <f aca="false">Activities!P293</f>
        <v>46489</v>
      </c>
      <c r="AM32" s="35" t="n">
        <f aca="false">Activities!Q302</f>
        <v>46585</v>
      </c>
      <c r="AN32" s="15" t="n">
        <v>186</v>
      </c>
      <c r="AO32" s="36" t="s">
        <v>2443</v>
      </c>
      <c r="AP32" s="36" t="s">
        <v>2449</v>
      </c>
      <c r="AQ32" s="36" t="s">
        <v>2452</v>
      </c>
      <c r="AR32" s="37" t="n">
        <f aca="false">Activities!P301-Activities!Q299</f>
        <v>44</v>
      </c>
      <c r="AS32" s="37" t="n">
        <f aca="false">IF(Activities!K296=0,0,Activities!Q302-Activities!P296)</f>
        <v>94</v>
      </c>
    </row>
    <row r="33" customFormat="false" ht="15" hidden="false" customHeight="false" outlineLevel="0" collapsed="false">
      <c r="A33" s="15" t="s">
        <v>2142</v>
      </c>
      <c r="B33" s="29" t="s">
        <v>2143</v>
      </c>
      <c r="C33" s="15" t="s">
        <v>388</v>
      </c>
      <c r="D33" s="15" t="s">
        <v>2453</v>
      </c>
      <c r="E33" s="15" t="s">
        <v>2361</v>
      </c>
      <c r="F33" s="15" t="n">
        <v>28</v>
      </c>
      <c r="G33" s="15" t="s">
        <v>2362</v>
      </c>
      <c r="H33" s="15"/>
      <c r="I33" s="16" t="n">
        <v>0</v>
      </c>
      <c r="J33" s="15" t="s">
        <v>2454</v>
      </c>
      <c r="K33" s="35" t="n">
        <f aca="false">MAX(Aeration!$I$7,Aeration!$I$12)</f>
        <v>46355</v>
      </c>
      <c r="L33" s="15" t="s">
        <v>358</v>
      </c>
      <c r="M33" s="15" t="n">
        <v>8</v>
      </c>
      <c r="N33" s="30" t="n">
        <f aca="false">_xlfn.MAXIFS('Piece check'!$E$6:$E$1643,'Piece check'!$B$6:$B$1643,B33)</f>
        <v>2.04500264308151</v>
      </c>
      <c r="O33" s="31" t="n">
        <f aca="false">SUMIFS('Piece check'!$D$6:$D$1643,'Piece check'!$B$6:$B$1643,B33)</f>
        <v>123.745504749227</v>
      </c>
      <c r="P33" s="32" t="n">
        <v>-2.59999650829679</v>
      </c>
      <c r="Q33" s="32" t="n">
        <v>-3.02249697139058</v>
      </c>
      <c r="R33" s="30" t="n">
        <f aca="false">_xlfn.MINIFS('Piece check'!$K$6:$K$1643,'Piece check'!$B$6:$B$1643,B33)</f>
        <v>-3.02250132154076</v>
      </c>
      <c r="S33" s="18" t="n">
        <f aca="false">MAX(0,GWL-R33)</f>
        <v>1.52250132154076</v>
      </c>
      <c r="T33" s="18" t="n">
        <f aca="false">MAX(0,NG-R33)</f>
        <v>2.32250132154076</v>
      </c>
      <c r="U33" s="31" t="n">
        <f aca="false">SUMIFS('Piece check'!$R$6:$R$1643,'Piece check'!$B$6:$B$1643,B33)</f>
        <v>69.9999999999276</v>
      </c>
      <c r="V33" s="21" t="n">
        <f aca="false">O33-U33</f>
        <v>53.7455047492996</v>
      </c>
      <c r="W33" s="12" t="str">
        <f aca="false">IF(U33&lt;0.05,"Open cut",IF(V33&lt;0.05,"Sheet piles","Mixed: "&amp;TEXT(U33,"0")&amp;" m sheet piles"))</f>
        <v>Mixed: 70 m sheet piles</v>
      </c>
      <c r="X33" s="33" t="n">
        <f aca="false">SUMIFS('Piece check'!$V$6:$V$1643,'Piece check'!$B$6:$B$1643,B33)</f>
        <v>656.432889869213</v>
      </c>
      <c r="Y33" s="33" t="n">
        <f aca="false">SUMIFS('Piece check'!$W$6:$W$1643,'Piece check'!$B$6:$B$1643,B33)</f>
        <v>1015.92570710493</v>
      </c>
      <c r="Z33" s="33" t="n">
        <f aca="false">SUMIFS('Piece check'!$X$6:$X$1643,'Piece check'!$B$6:$B$1643,B33)</f>
        <v>185.179218233105</v>
      </c>
      <c r="AA33" s="33" t="n">
        <f aca="false">SUMIFS('Piece check'!$Y$6:$Y$1643,'Piece check'!$B$6:$B$1643,B33)</f>
        <v>388.812812907305</v>
      </c>
      <c r="AB33" s="20" t="n">
        <f aca="false">MAX(0,X33+Y33-Z33-AA33)</f>
        <v>1098.36656583373</v>
      </c>
      <c r="AC33" s="20" t="n">
        <f aca="false">(ROUNDUP(O33/PILE_SP,0)+1)*IF(N33&gt;=PILE_THR,PILE_N_LARGE,PILE_N_SMALL)</f>
        <v>86</v>
      </c>
      <c r="AD33" s="20" t="n">
        <f aca="false">2*U33</f>
        <v>139.999999999855</v>
      </c>
      <c r="AE33" s="34" t="n">
        <f aca="false">IF(U33&gt;0,ROUNDUP(T33*SHEET_RATIO,0),0)</f>
        <v>5</v>
      </c>
      <c r="AF33" s="20" t="n">
        <f aca="false">AD33*AE33</f>
        <v>699.999999999276</v>
      </c>
      <c r="AG33" s="18" t="n">
        <f aca="false">MAX(0,GWL-(R33-DD_BELOW))</f>
        <v>2.02250132154076</v>
      </c>
      <c r="AH33" s="12" t="str">
        <f aca="false">IF(AG33=0,"Not required",IF(AG33&lt;=WP_LIMIT,"Single-stage wellpoints","Deep wells or two-stage wellpoints"))</f>
        <v>Single-stage wellpoints</v>
      </c>
      <c r="AI33" s="30" t="n">
        <f aca="false">MIN(_xlfn.MINIFS('Piece check'!$Z$6:$Z$1643,'Piece check'!$B$6:$B$1643,B33),_xlfn.MINIFS('Piece check'!$AA$6:$AA$1643,'Piece check'!$B$6:$B$1643,B33))</f>
        <v>0</v>
      </c>
      <c r="AJ33" s="30" t="n">
        <f aca="false">MIN(_xlfn.MINIFS('Piece check'!$AB$6:$AB$1643,'Piece check'!$B$6:$B$1643,B33),_xlfn.MINIFS('Piece check'!$AC$6:$AC$1643,'Piece check'!$B$6:$B$1643,B33))</f>
        <v>1.68790050768022</v>
      </c>
      <c r="AK33" s="12" t="str">
        <f aca="false">IF(AJ33&lt;FOS_FLOT,"Anchor pipe to piled slab (permanent straps)",IF(AI33&lt;FOS_FLOT,"Keep dewatering on until fill reaches FL, or strap to slab","No extra measure"))</f>
        <v>Keep dewatering on until fill reaches FL, or strap to slab</v>
      </c>
      <c r="AL33" s="35" t="n">
        <f aca="false">Activities!P304</f>
        <v>46489</v>
      </c>
      <c r="AM33" s="35" t="n">
        <f aca="false">Activities!Q313</f>
        <v>46590</v>
      </c>
      <c r="AN33" s="15" t="n">
        <v>187</v>
      </c>
      <c r="AO33" s="36" t="s">
        <v>2455</v>
      </c>
      <c r="AP33" s="36" t="s">
        <v>2456</v>
      </c>
      <c r="AQ33" s="36" t="s">
        <v>2457</v>
      </c>
      <c r="AR33" s="37" t="n">
        <f aca="false">Activities!P312-Activities!Q310</f>
        <v>8</v>
      </c>
      <c r="AS33" s="37" t="n">
        <f aca="false">IF(Activities!K307=0,0,Activities!Q313-Activities!P307)</f>
        <v>90</v>
      </c>
    </row>
    <row r="34" customFormat="false" ht="15" hidden="false" customHeight="false" outlineLevel="0" collapsed="false">
      <c r="A34" s="15" t="s">
        <v>2142</v>
      </c>
      <c r="B34" s="29" t="s">
        <v>2168</v>
      </c>
      <c r="C34" s="15" t="s">
        <v>388</v>
      </c>
      <c r="D34" s="15" t="s">
        <v>2458</v>
      </c>
      <c r="E34" s="15" t="s">
        <v>2361</v>
      </c>
      <c r="F34" s="15" t="n">
        <v>28</v>
      </c>
      <c r="G34" s="15" t="s">
        <v>2367</v>
      </c>
      <c r="H34" s="15" t="s">
        <v>332</v>
      </c>
      <c r="I34" s="35" t="n">
        <f aca="false">MAX(Structures!$H$20)</f>
        <v>0</v>
      </c>
      <c r="J34" s="15"/>
      <c r="K34" s="16" t="n">
        <v>0</v>
      </c>
      <c r="L34" s="15" t="s">
        <v>358</v>
      </c>
      <c r="M34" s="15" t="n">
        <v>0</v>
      </c>
      <c r="N34" s="30" t="n">
        <f aca="false">_xlfn.MAXIFS('Piece check'!$E$6:$E$1643,'Piece check'!$B$6:$B$1643,B34)</f>
        <v>2.06959657505504</v>
      </c>
      <c r="O34" s="31" t="n">
        <f aca="false">SUMIFS('Piece check'!$D$6:$D$1643,'Piece check'!$B$6:$B$1643,B34)</f>
        <v>3.08560000077398</v>
      </c>
      <c r="P34" s="32" t="n">
        <v>-3.03479828752752</v>
      </c>
      <c r="Q34" s="32" t="n">
        <v>-3.03479828752752</v>
      </c>
      <c r="R34" s="30" t="n">
        <f aca="false">_xlfn.MINIFS('Piece check'!$K$6:$K$1643,'Piece check'!$B$6:$B$1643,B34)</f>
        <v>-3.03479828752752</v>
      </c>
      <c r="S34" s="18" t="n">
        <f aca="false">MAX(0,GWL-R34)</f>
        <v>1.53479828752752</v>
      </c>
      <c r="T34" s="18" t="n">
        <f aca="false">MAX(0,NG-R34)</f>
        <v>2.33479828752752</v>
      </c>
      <c r="U34" s="31" t="n">
        <f aca="false">SUMIFS('Piece check'!$R$6:$R$1643,'Piece check'!$B$6:$B$1643,B34)</f>
        <v>0</v>
      </c>
      <c r="V34" s="21" t="n">
        <f aca="false">O34-U34</f>
        <v>3.08560000077398</v>
      </c>
      <c r="W34" s="12" t="str">
        <f aca="false">IF(U34&lt;0.05,"Open cut",IF(V34&lt;0.05,"Sheet piles","Mixed: "&amp;TEXT(U34,"0")&amp;" m sheet piles"))</f>
        <v>Open cut</v>
      </c>
      <c r="X34" s="33" t="n">
        <f aca="false">SUMIFS('Piece check'!$V$6:$V$1643,'Piece check'!$B$6:$B$1643,B34)</f>
        <v>0</v>
      </c>
      <c r="Y34" s="33" t="n">
        <f aca="false">SUMIFS('Piece check'!$W$6:$W$1643,'Piece check'!$B$6:$B$1643,B34)</f>
        <v>61.9719716933194</v>
      </c>
      <c r="Z34" s="33" t="n">
        <f aca="false">SUMIFS('Piece check'!$X$6:$X$1643,'Piece check'!$B$6:$B$1643,B34)</f>
        <v>4.73577359718281</v>
      </c>
      <c r="AA34" s="33" t="n">
        <f aca="false">SUMIFS('Piece check'!$Y$6:$Y$1643,'Piece check'!$B$6:$B$1643,B34)</f>
        <v>10.3800847962892</v>
      </c>
      <c r="AB34" s="20" t="n">
        <f aca="false">MAX(0,X34+Y34-Z34-AA34)</f>
        <v>46.8561132998474</v>
      </c>
      <c r="AC34" s="20" t="n">
        <f aca="false">(ROUNDUP(O34/PILE_SP,0)+1)*IF(N34&gt;=PILE_THR,PILE_N_LARGE,PILE_N_SMALL)</f>
        <v>6</v>
      </c>
      <c r="AD34" s="20" t="n">
        <f aca="false">2*U34</f>
        <v>0</v>
      </c>
      <c r="AE34" s="34" t="n">
        <f aca="false">IF(U34&gt;0,ROUNDUP(T34*SHEET_RATIO,0),0)</f>
        <v>0</v>
      </c>
      <c r="AF34" s="20" t="n">
        <f aca="false">AD34*AE34</f>
        <v>0</v>
      </c>
      <c r="AG34" s="18" t="n">
        <f aca="false">MAX(0,GWL-(R34-DD_BELOW))</f>
        <v>2.03479828752752</v>
      </c>
      <c r="AH34" s="12" t="str">
        <f aca="false">IF(AG34=0,"Not required",IF(AG34&lt;=WP_LIMIT,"Single-stage wellpoints","Deep wells or two-stage wellpoints"))</f>
        <v>Single-stage wellpoints</v>
      </c>
      <c r="AI34" s="30" t="n">
        <f aca="false">MIN(_xlfn.MINIFS('Piece check'!$Z$6:$Z$1643,'Piece check'!$B$6:$B$1643,B34),_xlfn.MINIFS('Piece check'!$AA$6:$AA$1643,'Piece check'!$B$6:$B$1643,B34))</f>
        <v>0</v>
      </c>
      <c r="AJ34" s="30" t="n">
        <f aca="false">MIN(_xlfn.MINIFS('Piece check'!$AB$6:$AB$1643,'Piece check'!$B$6:$B$1643,B34),_xlfn.MINIFS('Piece check'!$AC$6:$AC$1643,'Piece check'!$B$6:$B$1643,B34))</f>
        <v>1.65396127480158</v>
      </c>
      <c r="AK34" s="12" t="str">
        <f aca="false">IF(AJ34&lt;FOS_FLOT,"Anchor pipe to piled slab (permanent straps)",IF(AI34&lt;FOS_FLOT,"Keep dewatering on until fill reaches FL, or strap to slab","No extra measure"))</f>
        <v>Keep dewatering on until fill reaches FL, or strap to slab</v>
      </c>
      <c r="AL34" s="35" t="n">
        <f aca="false">Activities!P315</f>
        <v>46494</v>
      </c>
      <c r="AM34" s="35" t="n">
        <f aca="false">Activities!Q324</f>
        <v>46587</v>
      </c>
      <c r="AN34" s="15" t="n">
        <v>188</v>
      </c>
      <c r="AO34" s="36" t="s">
        <v>2363</v>
      </c>
      <c r="AP34" s="36" t="s">
        <v>2459</v>
      </c>
      <c r="AQ34" s="36" t="s">
        <v>2460</v>
      </c>
      <c r="AR34" s="37" t="n">
        <f aca="false">Activities!P323-Activities!Q321</f>
        <v>-1</v>
      </c>
      <c r="AS34" s="37" t="n">
        <f aca="false">IF(Activities!K318=0,0,Activities!Q324-Activities!P318)</f>
        <v>91</v>
      </c>
    </row>
    <row r="35" customFormat="false" ht="15" hidden="false" customHeight="false" outlineLevel="0" collapsed="false">
      <c r="A35" s="15" t="s">
        <v>1198</v>
      </c>
      <c r="B35" s="29" t="s">
        <v>1227</v>
      </c>
      <c r="C35" s="15" t="s">
        <v>391</v>
      </c>
      <c r="D35" s="15" t="s">
        <v>2461</v>
      </c>
      <c r="E35" s="15" t="s">
        <v>2361</v>
      </c>
      <c r="F35" s="15" t="n">
        <v>28</v>
      </c>
      <c r="G35" s="15" t="s">
        <v>2362</v>
      </c>
      <c r="H35" s="15"/>
      <c r="I35" s="16" t="n">
        <v>0</v>
      </c>
      <c r="J35" s="15"/>
      <c r="K35" s="16" t="n">
        <v>0</v>
      </c>
      <c r="L35" s="15" t="s">
        <v>358</v>
      </c>
      <c r="M35" s="15" t="n">
        <v>2</v>
      </c>
      <c r="N35" s="30" t="n">
        <f aca="false">_xlfn.MAXIFS('Piece check'!$E$6:$E$1643,'Piece check'!$B$6:$B$1643,B35)</f>
        <v>2.69000114499508</v>
      </c>
      <c r="O35" s="31" t="n">
        <f aca="false">SUMIFS('Piece check'!$D$6:$D$1643,'Piece check'!$B$6:$B$1643,B35)</f>
        <v>53.1990000006288</v>
      </c>
      <c r="P35" s="32" t="n">
        <v>-3.76103549064675</v>
      </c>
      <c r="Q35" s="32" t="n">
        <v>-5.00500057249754</v>
      </c>
      <c r="R35" s="30" t="n">
        <f aca="false">_xlfn.MINIFS('Piece check'!$K$6:$K$1643,'Piece check'!$B$6:$B$1643,B35)</f>
        <v>-5.00500057249754</v>
      </c>
      <c r="S35" s="18" t="n">
        <f aca="false">MAX(0,GWL-R35)</f>
        <v>3.50500057249754</v>
      </c>
      <c r="T35" s="18" t="n">
        <f aca="false">MAX(0,NG-R35)</f>
        <v>4.30500057249754</v>
      </c>
      <c r="U35" s="31" t="n">
        <f aca="false">SUMIFS('Piece check'!$R$6:$R$1643,'Piece check'!$B$6:$B$1643,B35)</f>
        <v>53.1990000006288</v>
      </c>
      <c r="V35" s="21" t="n">
        <f aca="false">O35-U35</f>
        <v>0</v>
      </c>
      <c r="W35" s="12" t="str">
        <f aca="false">IF(U35&lt;0.05,"Open cut",IF(V35&lt;0.05,"Sheet piles","Mixed: "&amp;TEXT(U35,"0")&amp;" m sheet piles"))</f>
        <v>Sheet piles</v>
      </c>
      <c r="X35" s="33" t="n">
        <f aca="false">SUMIFS('Piece check'!$V$6:$V$1643,'Piece check'!$B$6:$B$1643,B35)</f>
        <v>1038.89368650551</v>
      </c>
      <c r="Y35" s="33" t="n">
        <f aca="false">SUMIFS('Piece check'!$W$6:$W$1643,'Piece check'!$B$6:$B$1643,B35)</f>
        <v>0</v>
      </c>
      <c r="Z35" s="33" t="n">
        <f aca="false">SUMIFS('Piece check'!$X$6:$X$1643,'Piece check'!$B$6:$B$1643,B35)</f>
        <v>98.1521502608213</v>
      </c>
      <c r="AA35" s="33" t="n">
        <f aca="false">SUMIFS('Piece check'!$Y$6:$Y$1643,'Piece check'!$B$6:$B$1643,B35)</f>
        <v>302.341562112734</v>
      </c>
      <c r="AB35" s="20" t="n">
        <f aca="false">MAX(0,X35+Y35-Z35-AA35)</f>
        <v>638.399974131951</v>
      </c>
      <c r="AC35" s="20" t="n">
        <f aca="false">(ROUNDUP(O35/PILE_SP,0)+1)*IF(N35&gt;=PILE_THR,PILE_N_LARGE,PILE_N_SMALL)</f>
        <v>38</v>
      </c>
      <c r="AD35" s="20" t="n">
        <f aca="false">2*U35</f>
        <v>106.398000001258</v>
      </c>
      <c r="AE35" s="34" t="n">
        <f aca="false">IF(U35&gt;0,ROUNDUP(T35*SHEET_RATIO,0),0)</f>
        <v>9</v>
      </c>
      <c r="AF35" s="20" t="n">
        <f aca="false">AD35*AE35</f>
        <v>957.582000011319</v>
      </c>
      <c r="AG35" s="18" t="n">
        <f aca="false">MAX(0,GWL-(R35-DD_BELOW))</f>
        <v>4.00500057249754</v>
      </c>
      <c r="AH35" s="12" t="str">
        <f aca="false">IF(AG35=0,"Not required",IF(AG35&lt;=WP_LIMIT,"Single-stage wellpoints","Deep wells or two-stage wellpoints"))</f>
        <v>Single-stage wellpoints</v>
      </c>
      <c r="AI35" s="30" t="n">
        <f aca="false">MIN(_xlfn.MINIFS('Piece check'!$Z$6:$Z$1643,'Piece check'!$B$6:$B$1643,B35),_xlfn.MINIFS('Piece check'!$AA$6:$AA$1643,'Piece check'!$B$6:$B$1643,B35))</f>
        <v>0</v>
      </c>
      <c r="AJ35" s="30" t="n">
        <f aca="false">MIN(_xlfn.MINIFS('Piece check'!$AB$6:$AB$1643,'Piece check'!$B$6:$B$1643,B35),_xlfn.MINIFS('Piece check'!$AC$6:$AC$1643,'Piece check'!$B$6:$B$1643,B35))</f>
        <v>1.36442630924652</v>
      </c>
      <c r="AK35" s="12" t="str">
        <f aca="false">IF(AJ35&lt;FOS_FLOT,"Anchor pipe to piled slab (permanent straps)",IF(AI35&lt;FOS_FLOT,"Keep dewatering on until fill reaches FL, or strap to slab","No extra measure"))</f>
        <v>Keep dewatering on until fill reaches FL, or strap to slab</v>
      </c>
      <c r="AL35" s="35" t="n">
        <f aca="false">Activities!P326</f>
        <v>46357</v>
      </c>
      <c r="AM35" s="35" t="n">
        <f aca="false">Activities!Q335</f>
        <v>46432</v>
      </c>
      <c r="AN35" s="15" t="n">
        <v>118</v>
      </c>
      <c r="AO35" s="36" t="s">
        <v>2363</v>
      </c>
      <c r="AP35" s="36" t="s">
        <v>2416</v>
      </c>
      <c r="AQ35" s="36" t="s">
        <v>2462</v>
      </c>
      <c r="AR35" s="37" t="n">
        <f aca="false">Activities!P334-Activities!Q332</f>
        <v>-5</v>
      </c>
      <c r="AS35" s="37" t="n">
        <f aca="false">IF(Activities!K329=0,0,Activities!Q335-Activities!P329)</f>
        <v>69</v>
      </c>
    </row>
    <row r="36" customFormat="false" ht="15" hidden="false" customHeight="false" outlineLevel="0" collapsed="false">
      <c r="A36" s="15" t="s">
        <v>1198</v>
      </c>
      <c r="B36" s="29" t="s">
        <v>1237</v>
      </c>
      <c r="C36" s="15" t="s">
        <v>391</v>
      </c>
      <c r="D36" s="15" t="s">
        <v>2463</v>
      </c>
      <c r="E36" s="15" t="s">
        <v>2361</v>
      </c>
      <c r="F36" s="15" t="n">
        <v>28</v>
      </c>
      <c r="G36" s="15" t="s">
        <v>2367</v>
      </c>
      <c r="H36" s="15" t="s">
        <v>342</v>
      </c>
      <c r="I36" s="35" t="n">
        <f aca="false">MAX(Structures!$H$24)</f>
        <v>0</v>
      </c>
      <c r="J36" s="15"/>
      <c r="K36" s="16" t="n">
        <v>0</v>
      </c>
      <c r="L36" s="15" t="s">
        <v>358</v>
      </c>
      <c r="M36" s="15" t="n">
        <v>0</v>
      </c>
      <c r="N36" s="30" t="n">
        <f aca="false">_xlfn.MAXIFS('Piece check'!$E$6:$E$1643,'Piece check'!$B$6:$B$1643,B36)</f>
        <v>2.69000114499508</v>
      </c>
      <c r="O36" s="31" t="n">
        <f aca="false">SUMIFS('Piece check'!$D$6:$D$1643,'Piece check'!$B$6:$B$1643,B36)</f>
        <v>5.99973128746272</v>
      </c>
      <c r="P36" s="32" t="n">
        <v>-5.00500057249754</v>
      </c>
      <c r="Q36" s="32" t="n">
        <v>-5.00500057249754</v>
      </c>
      <c r="R36" s="30" t="n">
        <f aca="false">_xlfn.MINIFS('Piece check'!$K$6:$K$1643,'Piece check'!$B$6:$B$1643,B36)</f>
        <v>-5.00500057249754</v>
      </c>
      <c r="S36" s="18" t="n">
        <f aca="false">MAX(0,GWL-R36)</f>
        <v>3.50500057249754</v>
      </c>
      <c r="T36" s="18" t="n">
        <f aca="false">MAX(0,NG-R36)</f>
        <v>4.30500057249754</v>
      </c>
      <c r="U36" s="31" t="n">
        <f aca="false">SUMIFS('Piece check'!$R$6:$R$1643,'Piece check'!$B$6:$B$1643,B36)</f>
        <v>5.99973128746272</v>
      </c>
      <c r="V36" s="21" t="n">
        <f aca="false">O36-U36</f>
        <v>0</v>
      </c>
      <c r="W36" s="12" t="str">
        <f aca="false">IF(U36&lt;0.05,"Open cut",IF(V36&lt;0.05,"Sheet piles","Mixed: "&amp;TEXT(U36,"0")&amp;" m sheet piles"))</f>
        <v>Sheet piles</v>
      </c>
      <c r="X36" s="33" t="n">
        <f aca="false">SUMIFS('Piece check'!$V$6:$V$1643,'Piece check'!$B$6:$B$1643,B36)</f>
        <v>121.137320256213</v>
      </c>
      <c r="Y36" s="33" t="n">
        <f aca="false">SUMIFS('Piece check'!$W$6:$W$1643,'Piece check'!$B$6:$B$1643,B36)</f>
        <v>0</v>
      </c>
      <c r="Z36" s="33" t="n">
        <f aca="false">SUMIFS('Piece check'!$X$6:$X$1643,'Piece check'!$B$6:$B$1643,B36)</f>
        <v>11.0695076602001</v>
      </c>
      <c r="AA36" s="33" t="n">
        <f aca="false">SUMIFS('Piece check'!$Y$6:$Y$1643,'Piece check'!$B$6:$B$1643,B36)</f>
        <v>34.0978197759584</v>
      </c>
      <c r="AB36" s="20" t="n">
        <f aca="false">MAX(0,X36+Y36-Z36-AA36)</f>
        <v>75.969992820055</v>
      </c>
      <c r="AC36" s="20" t="n">
        <f aca="false">(ROUNDUP(O36/PILE_SP,0)+1)*IF(N36&gt;=PILE_THR,PILE_N_LARGE,PILE_N_SMALL)</f>
        <v>6</v>
      </c>
      <c r="AD36" s="20" t="n">
        <f aca="false">2*U36</f>
        <v>11.9994625749254</v>
      </c>
      <c r="AE36" s="34" t="n">
        <f aca="false">IF(U36&gt;0,ROUNDUP(T36*SHEET_RATIO,0),0)</f>
        <v>9</v>
      </c>
      <c r="AF36" s="20" t="n">
        <f aca="false">AD36*AE36</f>
        <v>107.995163174329</v>
      </c>
      <c r="AG36" s="18" t="n">
        <f aca="false">MAX(0,GWL-(R36-DD_BELOW))</f>
        <v>4.00500057249754</v>
      </c>
      <c r="AH36" s="12" t="str">
        <f aca="false">IF(AG36=0,"Not required",IF(AG36&lt;=WP_LIMIT,"Single-stage wellpoints","Deep wells or two-stage wellpoints"))</f>
        <v>Single-stage wellpoints</v>
      </c>
      <c r="AI36" s="30" t="n">
        <f aca="false">MIN(_xlfn.MINIFS('Piece check'!$Z$6:$Z$1643,'Piece check'!$B$6:$B$1643,B36),_xlfn.MINIFS('Piece check'!$AA$6:$AA$1643,'Piece check'!$B$6:$B$1643,B36))</f>
        <v>0.8192611784308</v>
      </c>
      <c r="AJ36" s="30" t="n">
        <f aca="false">MIN(_xlfn.MINIFS('Piece check'!$AB$6:$AB$1643,'Piece check'!$B$6:$B$1643,B36),_xlfn.MINIFS('Piece check'!$AC$6:$AC$1643,'Piece check'!$B$6:$B$1643,B36))</f>
        <v>2.29568169937512</v>
      </c>
      <c r="AK36" s="12" t="str">
        <f aca="false">IF(AJ36&lt;FOS_FLOT,"Anchor pipe to piled slab (permanent straps)",IF(AI36&lt;FOS_FLOT,"Keep dewatering on until fill reaches FL, or strap to slab","No extra measure"))</f>
        <v>Keep dewatering on until fill reaches FL, or strap to slab</v>
      </c>
      <c r="AL36" s="35" t="n">
        <f aca="false">Activities!P337</f>
        <v>46358</v>
      </c>
      <c r="AM36" s="35" t="n">
        <f aca="false">Activities!Q346</f>
        <v>46437</v>
      </c>
      <c r="AN36" s="15" t="n">
        <v>119</v>
      </c>
      <c r="AO36" s="36" t="s">
        <v>2374</v>
      </c>
      <c r="AP36" s="36" t="s">
        <v>2464</v>
      </c>
      <c r="AQ36" s="36" t="s">
        <v>2465</v>
      </c>
      <c r="AR36" s="37" t="n">
        <f aca="false">Activities!P345-Activities!Q343</f>
        <v>-1</v>
      </c>
      <c r="AS36" s="37" t="n">
        <f aca="false">IF(Activities!K340=0,0,Activities!Q346-Activities!P340)</f>
        <v>76</v>
      </c>
    </row>
    <row r="37" customFormat="false" ht="15" hidden="false" customHeight="false" outlineLevel="0" collapsed="false">
      <c r="A37" s="15" t="s">
        <v>1198</v>
      </c>
      <c r="B37" s="29" t="s">
        <v>1219</v>
      </c>
      <c r="C37" s="15" t="s">
        <v>391</v>
      </c>
      <c r="D37" s="15" t="s">
        <v>2466</v>
      </c>
      <c r="E37" s="15" t="s">
        <v>2361</v>
      </c>
      <c r="F37" s="15" t="n">
        <v>28</v>
      </c>
      <c r="G37" s="15" t="s">
        <v>2362</v>
      </c>
      <c r="H37" s="15"/>
      <c r="I37" s="16" t="n">
        <v>0</v>
      </c>
      <c r="J37" s="15"/>
      <c r="K37" s="16" t="n">
        <v>0</v>
      </c>
      <c r="L37" s="15" t="s">
        <v>358</v>
      </c>
      <c r="M37" s="15" t="n">
        <v>2</v>
      </c>
      <c r="N37" s="30" t="n">
        <f aca="false">_xlfn.MAXIFS('Piece check'!$E$6:$E$1643,'Piece check'!$B$6:$B$1643,B37)</f>
        <v>2.68999371406641</v>
      </c>
      <c r="O37" s="31" t="n">
        <f aca="false">SUMIFS('Piece check'!$D$6:$D$1643,'Piece check'!$B$6:$B$1643,B37)</f>
        <v>32.09999999991</v>
      </c>
      <c r="P37" s="32" t="n">
        <v>-3.35841098915405</v>
      </c>
      <c r="Q37" s="32" t="n">
        <v>-3.76103549064675</v>
      </c>
      <c r="R37" s="30" t="n">
        <f aca="false">_xlfn.MINIFS('Piece check'!$K$6:$K$1643,'Piece check'!$B$6:$B$1643,B37)</f>
        <v>-3.76103549064675</v>
      </c>
      <c r="S37" s="18" t="n">
        <f aca="false">MAX(0,GWL-R37)</f>
        <v>2.26103549064675</v>
      </c>
      <c r="T37" s="18" t="n">
        <f aca="false">MAX(0,NG-R37)</f>
        <v>3.06103549064675</v>
      </c>
      <c r="U37" s="31" t="n">
        <f aca="false">SUMIFS('Piece check'!$R$6:$R$1643,'Piece check'!$B$6:$B$1643,B37)</f>
        <v>15.6999999999201</v>
      </c>
      <c r="V37" s="21" t="n">
        <f aca="false">O37-U37</f>
        <v>16.3999999999899</v>
      </c>
      <c r="W37" s="12" t="str">
        <f aca="false">IF(U37&lt;0.05,"Open cut",IF(V37&lt;0.05,"Sheet piles","Mixed: "&amp;TEXT(U37,"0")&amp;" m sheet piles"))</f>
        <v>Mixed: 16 m sheet piles</v>
      </c>
      <c r="X37" s="33" t="n">
        <f aca="false">SUMIFS('Piece check'!$V$6:$V$1643,'Piece check'!$B$6:$B$1643,B37)</f>
        <v>197.075240119912</v>
      </c>
      <c r="Y37" s="33" t="n">
        <f aca="false">SUMIFS('Piece check'!$W$6:$W$1643,'Piece check'!$B$6:$B$1643,B37)</f>
        <v>464.582533052279</v>
      </c>
      <c r="Z37" s="33" t="n">
        <f aca="false">SUMIFS('Piece check'!$X$6:$X$1643,'Piece check'!$B$6:$B$1643,B37)</f>
        <v>58.7767199847063</v>
      </c>
      <c r="AA37" s="33" t="n">
        <f aca="false">SUMIFS('Piece check'!$Y$6:$Y$1643,'Piece check'!$B$6:$B$1643,B37)</f>
        <v>178.670427350137</v>
      </c>
      <c r="AB37" s="20" t="n">
        <f aca="false">MAX(0,X37+Y37-Z37-AA37)</f>
        <v>424.210625837348</v>
      </c>
      <c r="AC37" s="20" t="n">
        <f aca="false">(ROUNDUP(O37/PILE_SP,0)+1)*IF(N37&gt;=PILE_THR,PILE_N_LARGE,PILE_N_SMALL)</f>
        <v>24</v>
      </c>
      <c r="AD37" s="20" t="n">
        <f aca="false">2*U37</f>
        <v>31.3999999998402</v>
      </c>
      <c r="AE37" s="34" t="n">
        <f aca="false">IF(U37&gt;0,ROUNDUP(T37*SHEET_RATIO,0),0)</f>
        <v>7</v>
      </c>
      <c r="AF37" s="20" t="n">
        <f aca="false">AD37*AE37</f>
        <v>219.799999998881</v>
      </c>
      <c r="AG37" s="18" t="n">
        <f aca="false">MAX(0,GWL-(R37-DD_BELOW))</f>
        <v>2.76103549064675</v>
      </c>
      <c r="AH37" s="12" t="str">
        <f aca="false">IF(AG37=0,"Not required",IF(AG37&lt;=WP_LIMIT,"Single-stage wellpoints","Deep wells or two-stage wellpoints"))</f>
        <v>Single-stage wellpoints</v>
      </c>
      <c r="AI37" s="30" t="n">
        <f aca="false">MIN(_xlfn.MINIFS('Piece check'!$Z$6:$Z$1643,'Piece check'!$B$6:$B$1643,B37),_xlfn.MINIFS('Piece check'!$AA$6:$AA$1643,'Piece check'!$B$6:$B$1643,B37))</f>
        <v>0</v>
      </c>
      <c r="AJ37" s="30" t="n">
        <f aca="false">MIN(_xlfn.MINIFS('Piece check'!$AB$6:$AB$1643,'Piece check'!$B$6:$B$1643,B37),_xlfn.MINIFS('Piece check'!$AC$6:$AC$1643,'Piece check'!$B$6:$B$1643,B37))</f>
        <v>1.05637000000753</v>
      </c>
      <c r="AK37" s="12" t="str">
        <f aca="false">IF(AJ37&lt;FOS_FLOT,"Anchor pipe to piled slab (permanent straps)",IF(AI37&lt;FOS_FLOT,"Keep dewatering on until fill reaches FL, or strap to slab","No extra measure"))</f>
        <v>Anchor pipe to piled slab (permanent straps)</v>
      </c>
      <c r="AL37" s="35" t="n">
        <f aca="false">Activities!P348</f>
        <v>46358</v>
      </c>
      <c r="AM37" s="35" t="n">
        <f aca="false">Activities!Q357</f>
        <v>46439</v>
      </c>
      <c r="AN37" s="15" t="n">
        <v>120</v>
      </c>
      <c r="AO37" s="36" t="s">
        <v>2363</v>
      </c>
      <c r="AP37" s="36" t="s">
        <v>2467</v>
      </c>
      <c r="AQ37" s="36" t="s">
        <v>2468</v>
      </c>
      <c r="AR37" s="37" t="n">
        <f aca="false">Activities!P356-Activities!Q354</f>
        <v>-2</v>
      </c>
      <c r="AS37" s="37" t="n">
        <f aca="false">IF(Activities!K351=0,0,Activities!Q357-Activities!P351)</f>
        <v>31</v>
      </c>
    </row>
    <row r="38" customFormat="false" ht="15" hidden="false" customHeight="false" outlineLevel="0" collapsed="false">
      <c r="A38" s="15" t="s">
        <v>1198</v>
      </c>
      <c r="B38" s="29" t="s">
        <v>1203</v>
      </c>
      <c r="C38" s="15" t="s">
        <v>391</v>
      </c>
      <c r="D38" s="15" t="s">
        <v>2469</v>
      </c>
      <c r="E38" s="15" t="s">
        <v>2361</v>
      </c>
      <c r="F38" s="15" t="n">
        <v>28</v>
      </c>
      <c r="G38" s="15" t="s">
        <v>2362</v>
      </c>
      <c r="H38" s="15"/>
      <c r="I38" s="16" t="n">
        <v>0</v>
      </c>
      <c r="J38" s="15" t="s">
        <v>2470</v>
      </c>
      <c r="K38" s="35" t="n">
        <f aca="false">MAX(Aeration!$I$8,Aeration!$I$11)</f>
        <v>46349</v>
      </c>
      <c r="L38" s="15" t="s">
        <v>358</v>
      </c>
      <c r="M38" s="15" t="n">
        <v>2</v>
      </c>
      <c r="N38" s="30" t="n">
        <f aca="false">_xlfn.MAXIFS('Piece check'!$E$6:$E$1643,'Piece check'!$B$6:$B$1643,B38)</f>
        <v>2.65699543354906</v>
      </c>
      <c r="O38" s="31" t="n">
        <f aca="false">SUMIFS('Piece check'!$D$6:$D$1643,'Piece check'!$B$6:$B$1643,B38)</f>
        <v>106.855922199026</v>
      </c>
      <c r="P38" s="32" t="n">
        <v>-3.18849771668227</v>
      </c>
      <c r="Q38" s="32" t="n">
        <v>-3.35841098915405</v>
      </c>
      <c r="R38" s="30" t="n">
        <f aca="false">_xlfn.MINIFS('Piece check'!$K$6:$K$1643,'Piece check'!$B$6:$B$1643,B38)</f>
        <v>-3.35841098915405</v>
      </c>
      <c r="S38" s="18" t="n">
        <f aca="false">MAX(0,GWL-R38)</f>
        <v>1.85841098915405</v>
      </c>
      <c r="T38" s="18" t="n">
        <f aca="false">MAX(0,NG-R38)</f>
        <v>2.65841098915405</v>
      </c>
      <c r="U38" s="31" t="n">
        <f aca="false">SUMIFS('Piece check'!$R$6:$R$1643,'Piece check'!$B$6:$B$1643,B38)</f>
        <v>106.855922199026</v>
      </c>
      <c r="V38" s="21" t="n">
        <f aca="false">O38-U38</f>
        <v>0</v>
      </c>
      <c r="W38" s="12" t="str">
        <f aca="false">IF(U38&lt;0.05,"Open cut",IF(V38&lt;0.05,"Sheet piles","Mixed: "&amp;TEXT(U38,"0")&amp;" m sheet piles"))</f>
        <v>Sheet piles</v>
      </c>
      <c r="X38" s="33" t="n">
        <f aca="false">SUMIFS('Piece check'!$V$6:$V$1643,'Piece check'!$B$6:$B$1643,B38)</f>
        <v>1252.60375059631</v>
      </c>
      <c r="Y38" s="33" t="n">
        <f aca="false">SUMIFS('Piece check'!$W$6:$W$1643,'Piece check'!$B$6:$B$1643,B38)</f>
        <v>0</v>
      </c>
      <c r="Z38" s="33" t="n">
        <f aca="false">SUMIFS('Piece check'!$X$6:$X$1643,'Piece check'!$B$6:$B$1643,B38)</f>
        <v>195.385809758462</v>
      </c>
      <c r="AA38" s="33" t="n">
        <f aca="false">SUMIFS('Piece check'!$Y$6:$Y$1643,'Piece check'!$B$6:$B$1643,B38)</f>
        <v>592.475087953711</v>
      </c>
      <c r="AB38" s="20" t="n">
        <f aca="false">MAX(0,X38+Y38-Z38-AA38)</f>
        <v>464.742852884135</v>
      </c>
      <c r="AC38" s="20" t="n">
        <f aca="false">(ROUNDUP(O38/PILE_SP,0)+1)*IF(N38&gt;=PILE_THR,PILE_N_LARGE,PILE_N_SMALL)</f>
        <v>74</v>
      </c>
      <c r="AD38" s="20" t="n">
        <f aca="false">2*U38</f>
        <v>213.711844398051</v>
      </c>
      <c r="AE38" s="34" t="n">
        <f aca="false">IF(U38&gt;0,ROUNDUP(T38*SHEET_RATIO,0),0)</f>
        <v>6</v>
      </c>
      <c r="AF38" s="20" t="n">
        <f aca="false">AD38*AE38</f>
        <v>1282.27106638831</v>
      </c>
      <c r="AG38" s="18" t="n">
        <f aca="false">MAX(0,GWL-(R38-DD_BELOW))</f>
        <v>2.35841098915405</v>
      </c>
      <c r="AH38" s="12" t="str">
        <f aca="false">IF(AG38=0,"Not required",IF(AG38&lt;=WP_LIMIT,"Single-stage wellpoints","Deep wells or two-stage wellpoints"))</f>
        <v>Single-stage wellpoints</v>
      </c>
      <c r="AI38" s="30" t="n">
        <f aca="false">MIN(_xlfn.MINIFS('Piece check'!$Z$6:$Z$1643,'Piece check'!$B$6:$B$1643,B38),_xlfn.MINIFS('Piece check'!$AA$6:$AA$1643,'Piece check'!$B$6:$B$1643,B38))</f>
        <v>0</v>
      </c>
      <c r="AJ38" s="30" t="n">
        <f aca="false">MIN(_xlfn.MINIFS('Piece check'!$AB$6:$AB$1643,'Piece check'!$B$6:$B$1643,B38),_xlfn.MINIFS('Piece check'!$AC$6:$AC$1643,'Piece check'!$B$6:$B$1643,B38))</f>
        <v>0.90697016686283</v>
      </c>
      <c r="AK38" s="12" t="str">
        <f aca="false">IF(AJ38&lt;FOS_FLOT,"Anchor pipe to piled slab (permanent straps)",IF(AI38&lt;FOS_FLOT,"Keep dewatering on until fill reaches FL, or strap to slab","No extra measure"))</f>
        <v>Anchor pipe to piled slab (permanent straps)</v>
      </c>
      <c r="AL38" s="35" t="n">
        <f aca="false">Activities!P359</f>
        <v>46368</v>
      </c>
      <c r="AM38" s="35" t="n">
        <f aca="false">Activities!Q368</f>
        <v>46453</v>
      </c>
      <c r="AN38" s="15" t="n">
        <v>121</v>
      </c>
      <c r="AO38" s="36" t="s">
        <v>2363</v>
      </c>
      <c r="AP38" s="36" t="s">
        <v>2471</v>
      </c>
      <c r="AQ38" s="36" t="s">
        <v>2472</v>
      </c>
      <c r="AR38" s="37" t="n">
        <f aca="false">Activities!P367-Activities!Q365</f>
        <v>-6</v>
      </c>
      <c r="AS38" s="37" t="n">
        <f aca="false">IF(Activities!K362=0,0,Activities!Q368-Activities!P362)</f>
        <v>44</v>
      </c>
    </row>
    <row r="39" customFormat="false" ht="15" hidden="false" customHeight="false" outlineLevel="0" collapsed="false">
      <c r="A39" s="15" t="s">
        <v>1198</v>
      </c>
      <c r="B39" s="29" t="s">
        <v>1199</v>
      </c>
      <c r="C39" s="15" t="s">
        <v>391</v>
      </c>
      <c r="D39" s="15" t="s">
        <v>2473</v>
      </c>
      <c r="E39" s="15" t="s">
        <v>2361</v>
      </c>
      <c r="F39" s="15" t="n">
        <v>28</v>
      </c>
      <c r="G39" s="15" t="s">
        <v>2367</v>
      </c>
      <c r="H39" s="15" t="s">
        <v>294</v>
      </c>
      <c r="I39" s="35" t="n">
        <f aca="false">MAX(Structures!$H$5)</f>
        <v>0</v>
      </c>
      <c r="J39" s="15" t="s">
        <v>2474</v>
      </c>
      <c r="K39" s="35" t="n">
        <f aca="false">MAX(Aeration!$I$11)</f>
        <v>46349</v>
      </c>
      <c r="L39" s="15" t="s">
        <v>358</v>
      </c>
      <c r="M39" s="15" t="n">
        <v>2</v>
      </c>
      <c r="N39" s="30" t="n">
        <f aca="false">_xlfn.MAXIFS('Piece check'!$E$6:$E$1643,'Piece check'!$B$6:$B$1643,B39)</f>
        <v>2.6899961074783</v>
      </c>
      <c r="O39" s="31" t="n">
        <f aca="false">SUMIFS('Piece check'!$D$6:$D$1643,'Piece check'!$B$6:$B$1643,B39)</f>
        <v>7.4440778008973</v>
      </c>
      <c r="P39" s="32" t="n">
        <v>-3.20499805373915</v>
      </c>
      <c r="Q39" s="32" t="n">
        <v>-3.18849771668227</v>
      </c>
      <c r="R39" s="30" t="n">
        <f aca="false">_xlfn.MINIFS('Piece check'!$K$6:$K$1643,'Piece check'!$B$6:$B$1643,B39)</f>
        <v>-3.20499805373915</v>
      </c>
      <c r="S39" s="18" t="n">
        <f aca="false">MAX(0,GWL-R39)</f>
        <v>1.70499805373915</v>
      </c>
      <c r="T39" s="18" t="n">
        <f aca="false">MAX(0,NG-R39)</f>
        <v>2.50499805373915</v>
      </c>
      <c r="U39" s="31" t="n">
        <f aca="false">SUMIFS('Piece check'!$R$6:$R$1643,'Piece check'!$B$6:$B$1643,B39)</f>
        <v>5.19999780141023</v>
      </c>
      <c r="V39" s="21" t="n">
        <f aca="false">O39-U39</f>
        <v>2.24407999948706</v>
      </c>
      <c r="W39" s="12" t="str">
        <f aca="false">IF(U39&lt;0.05,"Open cut",IF(V39&lt;0.05,"Sheet piles","Mixed: "&amp;TEXT(U39,"0")&amp;" m sheet piles"))</f>
        <v>Mixed: 5 m sheet piles</v>
      </c>
      <c r="X39" s="33" t="n">
        <f aca="false">SUMIFS('Piece check'!$V$6:$V$1643,'Piece check'!$B$6:$B$1643,B39)</f>
        <v>60.677092169656</v>
      </c>
      <c r="Y39" s="33" t="n">
        <f aca="false">SUMIFS('Piece check'!$W$6:$W$1643,'Piece check'!$B$6:$B$1643,B39)</f>
        <v>53.8095861393518</v>
      </c>
      <c r="Z39" s="33" t="n">
        <f aca="false">SUMIFS('Piece check'!$X$6:$X$1643,'Piece check'!$B$6:$B$1643,B39)</f>
        <v>13.6914080310655</v>
      </c>
      <c r="AA39" s="33" t="n">
        <f aca="false">SUMIFS('Piece check'!$Y$6:$Y$1643,'Piece check'!$B$6:$B$1643,B39)</f>
        <v>41.9458796144662</v>
      </c>
      <c r="AB39" s="20" t="n">
        <f aca="false">MAX(0,X39+Y39-Z39-AA39)</f>
        <v>58.8493906634761</v>
      </c>
      <c r="AC39" s="20" t="n">
        <f aca="false">(ROUNDUP(O39/PILE_SP,0)+1)*IF(N39&gt;=PILE_THR,PILE_N_LARGE,PILE_N_SMALL)</f>
        <v>8</v>
      </c>
      <c r="AD39" s="20" t="n">
        <f aca="false">2*U39</f>
        <v>10.3999956028205</v>
      </c>
      <c r="AE39" s="34" t="n">
        <f aca="false">IF(U39&gt;0,ROUNDUP(T39*SHEET_RATIO,0),0)</f>
        <v>6</v>
      </c>
      <c r="AF39" s="20" t="n">
        <f aca="false">AD39*AE39</f>
        <v>62.3999736169228</v>
      </c>
      <c r="AG39" s="18" t="n">
        <f aca="false">MAX(0,GWL-(R39-DD_BELOW))</f>
        <v>2.20499805373915</v>
      </c>
      <c r="AH39" s="12" t="str">
        <f aca="false">IF(AG39=0,"Not required",IF(AG39&lt;=WP_LIMIT,"Single-stage wellpoints","Deep wells or two-stage wellpoints"))</f>
        <v>Single-stage wellpoints</v>
      </c>
      <c r="AI39" s="30" t="n">
        <f aca="false">MIN(_xlfn.MINIFS('Piece check'!$Z$6:$Z$1643,'Piece check'!$B$6:$B$1643,B39),_xlfn.MINIFS('Piece check'!$AA$6:$AA$1643,'Piece check'!$B$6:$B$1643,B39))</f>
        <v>0</v>
      </c>
      <c r="AJ39" s="30" t="n">
        <f aca="false">MIN(_xlfn.MINIFS('Piece check'!$AB$6:$AB$1643,'Piece check'!$B$6:$B$1643,B39),_xlfn.MINIFS('Piece check'!$AC$6:$AC$1643,'Piece check'!$B$6:$B$1643,B39))</f>
        <v>0.88151324035749</v>
      </c>
      <c r="AK39" s="12" t="str">
        <f aca="false">IF(AJ39&lt;FOS_FLOT,"Anchor pipe to piled slab (permanent straps)",IF(AI39&lt;FOS_FLOT,"Keep dewatering on until fill reaches FL, or strap to slab","No extra measure"))</f>
        <v>Anchor pipe to piled slab (permanent straps)</v>
      </c>
      <c r="AL39" s="35" t="n">
        <f aca="false">Activities!P370</f>
        <v>46374</v>
      </c>
      <c r="AM39" s="35" t="n">
        <f aca="false">Activities!Q379</f>
        <v>46459</v>
      </c>
      <c r="AN39" s="15" t="n">
        <v>124</v>
      </c>
      <c r="AO39" s="36" t="s">
        <v>2363</v>
      </c>
      <c r="AP39" s="36" t="s">
        <v>2475</v>
      </c>
      <c r="AQ39" s="36" t="s">
        <v>2476</v>
      </c>
      <c r="AR39" s="37" t="n">
        <f aca="false">Activities!P378-Activities!Q376</f>
        <v>-2</v>
      </c>
      <c r="AS39" s="37" t="n">
        <f aca="false">IF(Activities!K373=0,0,Activities!Q379-Activities!P373)</f>
        <v>82</v>
      </c>
    </row>
    <row r="40" customFormat="false" ht="15" hidden="false" customHeight="false" outlineLevel="0" collapsed="false">
      <c r="A40" s="15" t="s">
        <v>1075</v>
      </c>
      <c r="B40" s="29" t="s">
        <v>1125</v>
      </c>
      <c r="C40" s="15" t="s">
        <v>391</v>
      </c>
      <c r="D40" s="15" t="s">
        <v>2477</v>
      </c>
      <c r="E40" s="15" t="s">
        <v>2361</v>
      </c>
      <c r="F40" s="15" t="n">
        <v>28</v>
      </c>
      <c r="G40" s="15" t="s">
        <v>2362</v>
      </c>
      <c r="H40" s="15"/>
      <c r="I40" s="16" t="n">
        <v>0</v>
      </c>
      <c r="J40" s="15"/>
      <c r="K40" s="16" t="n">
        <v>0</v>
      </c>
      <c r="L40" s="15" t="s">
        <v>358</v>
      </c>
      <c r="M40" s="15" t="n">
        <v>0</v>
      </c>
      <c r="N40" s="30" t="n">
        <f aca="false">_xlfn.MAXIFS('Piece check'!$E$6:$E$1643,'Piece check'!$B$6:$B$1643,B40)</f>
        <v>2.65699925074753</v>
      </c>
      <c r="O40" s="31" t="n">
        <f aca="false">SUMIFS('Piece check'!$D$6:$D$1643,'Piece check'!$B$6:$B$1643,B40)</f>
        <v>53.013999999569</v>
      </c>
      <c r="P40" s="32" t="n">
        <v>-4.98849962537376</v>
      </c>
      <c r="Q40" s="32" t="n">
        <v>-4.98849962537376</v>
      </c>
      <c r="R40" s="30" t="n">
        <f aca="false">_xlfn.MINIFS('Piece check'!$K$6:$K$1643,'Piece check'!$B$6:$B$1643,B40)</f>
        <v>-4.98849962537376</v>
      </c>
      <c r="S40" s="18" t="n">
        <f aca="false">MAX(0,GWL-R40)</f>
        <v>3.48849962537376</v>
      </c>
      <c r="T40" s="18" t="n">
        <f aca="false">MAX(0,NG-R40)</f>
        <v>4.28849962537376</v>
      </c>
      <c r="U40" s="31" t="n">
        <f aca="false">SUMIFS('Piece check'!$R$6:$R$1643,'Piece check'!$B$6:$B$1643,B40)</f>
        <v>53.013999999569</v>
      </c>
      <c r="V40" s="21" t="n">
        <f aca="false">O40-U40</f>
        <v>0</v>
      </c>
      <c r="W40" s="12" t="str">
        <f aca="false">IF(U40&lt;0.05,"Open cut",IF(V40&lt;0.05,"Sheet piles","Mixed: "&amp;TEXT(U40,"0")&amp;" m sheet piles"))</f>
        <v>Sheet piles</v>
      </c>
      <c r="X40" s="33" t="n">
        <f aca="false">SUMIFS('Piece check'!$V$6:$V$1643,'Piece check'!$B$6:$B$1643,B40)</f>
        <v>1058.77119728141</v>
      </c>
      <c r="Y40" s="33" t="n">
        <f aca="false">SUMIFS('Piece check'!$W$6:$W$1643,'Piece check'!$B$6:$B$1643,B40)</f>
        <v>0</v>
      </c>
      <c r="Z40" s="33" t="n">
        <f aca="false">SUMIFS('Piece check'!$X$6:$X$1643,'Piece check'!$B$6:$B$1643,B40)</f>
        <v>96.9360791387766</v>
      </c>
      <c r="AA40" s="33" t="n">
        <f aca="false">SUMIFS('Piece check'!$Y$6:$Y$1643,'Piece check'!$B$6:$B$1643,B40)</f>
        <v>293.943133131423</v>
      </c>
      <c r="AB40" s="20" t="n">
        <f aca="false">MAX(0,X40+Y40-Z40-AA40)</f>
        <v>667.891985011206</v>
      </c>
      <c r="AC40" s="20" t="n">
        <f aca="false">(ROUNDUP(O40/PILE_SP,0)+1)*IF(N40&gt;=PILE_THR,PILE_N_LARGE,PILE_N_SMALL)</f>
        <v>38</v>
      </c>
      <c r="AD40" s="20" t="n">
        <f aca="false">2*U40</f>
        <v>106.027999999138</v>
      </c>
      <c r="AE40" s="34" t="n">
        <f aca="false">IF(U40&gt;0,ROUNDUP(T40*SHEET_RATIO,0),0)</f>
        <v>9</v>
      </c>
      <c r="AF40" s="20" t="n">
        <f aca="false">AD40*AE40</f>
        <v>954.251999992242</v>
      </c>
      <c r="AG40" s="18" t="n">
        <f aca="false">MAX(0,GWL-(R40-DD_BELOW))</f>
        <v>3.98849962537376</v>
      </c>
      <c r="AH40" s="12" t="str">
        <f aca="false">IF(AG40=0,"Not required",IF(AG40&lt;=WP_LIMIT,"Single-stage wellpoints","Deep wells or two-stage wellpoints"))</f>
        <v>Single-stage wellpoints</v>
      </c>
      <c r="AI40" s="30" t="n">
        <f aca="false">MIN(_xlfn.MINIFS('Piece check'!$Z$6:$Z$1643,'Piece check'!$B$6:$B$1643,B40),_xlfn.MINIFS('Piece check'!$AA$6:$AA$1643,'Piece check'!$B$6:$B$1643,B40))</f>
        <v>0.836038505066762</v>
      </c>
      <c r="AJ40" s="30" t="n">
        <f aca="false">MIN(_xlfn.MINIFS('Piece check'!$AB$6:$AB$1643,'Piece check'!$B$6:$B$1643,B40),_xlfn.MINIFS('Piece check'!$AC$6:$AC$1643,'Piece check'!$B$6:$B$1643,B40))</f>
        <v>2.3307972599731</v>
      </c>
      <c r="AK40" s="12" t="str">
        <f aca="false">IF(AJ40&lt;FOS_FLOT,"Anchor pipe to piled slab (permanent straps)",IF(AI40&lt;FOS_FLOT,"Keep dewatering on until fill reaches FL, or strap to slab","No extra measure"))</f>
        <v>Keep dewatering on until fill reaches FL, or strap to slab</v>
      </c>
      <c r="AL40" s="35" t="n">
        <f aca="false">Activities!P381</f>
        <v>46374</v>
      </c>
      <c r="AM40" s="35" t="n">
        <f aca="false">Activities!Q390</f>
        <v>46534</v>
      </c>
      <c r="AN40" s="15" t="n">
        <v>125</v>
      </c>
      <c r="AO40" s="36" t="s">
        <v>2374</v>
      </c>
      <c r="AP40" s="36" t="s">
        <v>2416</v>
      </c>
      <c r="AQ40" s="36" t="s">
        <v>2478</v>
      </c>
      <c r="AR40" s="37" t="n">
        <f aca="false">Activities!P389-Activities!Q387</f>
        <v>71</v>
      </c>
      <c r="AS40" s="37" t="n">
        <f aca="false">IF(Activities!K384=0,0,Activities!Q390-Activities!P384)</f>
        <v>117</v>
      </c>
    </row>
    <row r="41" customFormat="false" ht="15" hidden="false" customHeight="false" outlineLevel="0" collapsed="false">
      <c r="A41" s="15" t="s">
        <v>1136</v>
      </c>
      <c r="B41" s="29" t="s">
        <v>1189</v>
      </c>
      <c r="C41" s="15" t="s">
        <v>391</v>
      </c>
      <c r="D41" s="15" t="s">
        <v>2479</v>
      </c>
      <c r="E41" s="15" t="s">
        <v>2361</v>
      </c>
      <c r="F41" s="15" t="n">
        <v>28</v>
      </c>
      <c r="G41" s="15" t="s">
        <v>2362</v>
      </c>
      <c r="H41" s="15"/>
      <c r="I41" s="16" t="n">
        <v>0</v>
      </c>
      <c r="J41" s="15"/>
      <c r="K41" s="16" t="n">
        <v>0</v>
      </c>
      <c r="L41" s="15" t="s">
        <v>358</v>
      </c>
      <c r="M41" s="15" t="n">
        <v>0</v>
      </c>
      <c r="N41" s="30" t="n">
        <f aca="false">_xlfn.MAXIFS('Piece check'!$E$6:$E$1643,'Piece check'!$B$6:$B$1643,B41)</f>
        <v>2.65699402572284</v>
      </c>
      <c r="O41" s="31" t="n">
        <f aca="false">SUMIFS('Piece check'!$D$6:$D$1643,'Piece check'!$B$6:$B$1643,B41)</f>
        <v>51.1818527164358</v>
      </c>
      <c r="P41" s="32" t="n">
        <v>-4.97849701286142</v>
      </c>
      <c r="Q41" s="32" t="n">
        <v>-4.97849701286142</v>
      </c>
      <c r="R41" s="30" t="n">
        <f aca="false">_xlfn.MINIFS('Piece check'!$K$6:$K$1643,'Piece check'!$B$6:$B$1643,B41)</f>
        <v>-4.97849701286142</v>
      </c>
      <c r="S41" s="18" t="n">
        <f aca="false">MAX(0,GWL-R41)</f>
        <v>3.47849701286142</v>
      </c>
      <c r="T41" s="18" t="n">
        <f aca="false">MAX(0,NG-R41)</f>
        <v>4.27849701286142</v>
      </c>
      <c r="U41" s="31" t="n">
        <f aca="false">SUMIFS('Piece check'!$R$6:$R$1643,'Piece check'!$B$6:$B$1643,B41)</f>
        <v>51.1818527164358</v>
      </c>
      <c r="V41" s="21" t="n">
        <f aca="false">O41-U41</f>
        <v>0</v>
      </c>
      <c r="W41" s="12" t="str">
        <f aca="false">IF(U41&lt;0.05,"Open cut",IF(V41&lt;0.05,"Sheet piles","Mixed: "&amp;TEXT(U41,"0")&amp;" m sheet piles"))</f>
        <v>Sheet piles</v>
      </c>
      <c r="X41" s="33" t="n">
        <f aca="false">SUMIFS('Piece check'!$V$6:$V$1643,'Piece check'!$B$6:$B$1643,B41)</f>
        <v>1019.79508998605</v>
      </c>
      <c r="Y41" s="33" t="n">
        <f aca="false">SUMIFS('Piece check'!$W$6:$W$1643,'Piece check'!$B$6:$B$1643,B41)</f>
        <v>0</v>
      </c>
      <c r="Z41" s="33" t="n">
        <f aca="false">SUMIFS('Piece check'!$X$6:$X$1643,'Piece check'!$B$6:$B$1643,B41)</f>
        <v>93.5858648047161</v>
      </c>
      <c r="AA41" s="33" t="n">
        <f aca="false">SUMIFS('Piece check'!$Y$6:$Y$1643,'Piece check'!$B$6:$B$1643,B41)</f>
        <v>283.7834341209</v>
      </c>
      <c r="AB41" s="20" t="n">
        <f aca="false">MAX(0,X41+Y41-Z41-AA41)</f>
        <v>642.425791060429</v>
      </c>
      <c r="AC41" s="20" t="n">
        <f aca="false">(ROUNDUP(O41/PILE_SP,0)+1)*IF(N41&gt;=PILE_THR,PILE_N_LARGE,PILE_N_SMALL)</f>
        <v>38</v>
      </c>
      <c r="AD41" s="20" t="n">
        <f aca="false">2*U41</f>
        <v>102.363705432872</v>
      </c>
      <c r="AE41" s="34" t="n">
        <f aca="false">IF(U41&gt;0,ROUNDUP(T41*SHEET_RATIO,0),0)</f>
        <v>9</v>
      </c>
      <c r="AF41" s="20" t="n">
        <f aca="false">AD41*AE41</f>
        <v>921.273348895845</v>
      </c>
      <c r="AG41" s="18" t="n">
        <f aca="false">MAX(0,GWL-(R41-DD_BELOW))</f>
        <v>3.97849701286142</v>
      </c>
      <c r="AH41" s="12" t="str">
        <f aca="false">IF(AG41=0,"Not required",IF(AG41&lt;=WP_LIMIT,"Single-stage wellpoints","Deep wells or two-stage wellpoints"))</f>
        <v>Single-stage wellpoints</v>
      </c>
      <c r="AI41" s="30" t="n">
        <f aca="false">MIN(_xlfn.MINIFS('Piece check'!$Z$6:$Z$1643,'Piece check'!$B$6:$B$1643,B41),_xlfn.MINIFS('Piece check'!$AA$6:$AA$1643,'Piece check'!$B$6:$B$1643,B41))</f>
        <v>0.832040508623598</v>
      </c>
      <c r="AJ41" s="30" t="n">
        <f aca="false">MIN(_xlfn.MINIFS('Piece check'!$AB$6:$AB$1643,'Piece check'!$B$6:$B$1643,B41),_xlfn.MINIFS('Piece check'!$AC$6:$AC$1643,'Piece check'!$B$6:$B$1643,B41))</f>
        <v>2.32680220299887</v>
      </c>
      <c r="AK41" s="12" t="str">
        <f aca="false">IF(AJ41&lt;FOS_FLOT,"Anchor pipe to piled slab (permanent straps)",IF(AI41&lt;FOS_FLOT,"Keep dewatering on until fill reaches FL, or strap to slab","No extra measure"))</f>
        <v>Keep dewatering on until fill reaches FL, or strap to slab</v>
      </c>
      <c r="AL41" s="35" t="n">
        <f aca="false">Activities!P392</f>
        <v>46392</v>
      </c>
      <c r="AM41" s="35" t="n">
        <f aca="false">Activities!Q401</f>
        <v>46537</v>
      </c>
      <c r="AN41" s="15" t="n">
        <v>126</v>
      </c>
      <c r="AO41" s="36" t="s">
        <v>2363</v>
      </c>
      <c r="AP41" s="36" t="s">
        <v>2416</v>
      </c>
      <c r="AQ41" s="36" t="s">
        <v>2480</v>
      </c>
      <c r="AR41" s="37" t="n">
        <f aca="false">Activities!P400-Activities!Q398</f>
        <v>64</v>
      </c>
      <c r="AS41" s="37" t="n">
        <f aca="false">IF(Activities!K395=0,0,Activities!Q401-Activities!P395)</f>
        <v>114</v>
      </c>
    </row>
    <row r="42" customFormat="false" ht="15" hidden="false" customHeight="false" outlineLevel="0" collapsed="false">
      <c r="A42" s="15" t="s">
        <v>1075</v>
      </c>
      <c r="B42" s="29" t="s">
        <v>1101</v>
      </c>
      <c r="C42" s="15" t="s">
        <v>391</v>
      </c>
      <c r="D42" s="15" t="s">
        <v>2481</v>
      </c>
      <c r="E42" s="15" t="s">
        <v>2361</v>
      </c>
      <c r="F42" s="15" t="n">
        <v>28</v>
      </c>
      <c r="G42" s="15" t="s">
        <v>2362</v>
      </c>
      <c r="H42" s="15"/>
      <c r="I42" s="16" t="n">
        <v>0</v>
      </c>
      <c r="J42" s="15"/>
      <c r="K42" s="16" t="n">
        <v>0</v>
      </c>
      <c r="L42" s="15" t="s">
        <v>358</v>
      </c>
      <c r="M42" s="15" t="n">
        <v>8</v>
      </c>
      <c r="N42" s="30" t="n">
        <f aca="false">_xlfn.MAXIFS('Piece check'!$E$6:$E$1643,'Piece check'!$B$6:$B$1643,B42)</f>
        <v>2.69000084962693</v>
      </c>
      <c r="O42" s="31" t="n">
        <f aca="false">SUMIFS('Piece check'!$D$6:$D$1643,'Piece check'!$B$6:$B$1643,B42)</f>
        <v>116.100000000298</v>
      </c>
      <c r="P42" s="32" t="n">
        <v>-3.17500042481346</v>
      </c>
      <c r="Q42" s="32" t="n">
        <v>-4.98849962537376</v>
      </c>
      <c r="R42" s="30" t="n">
        <f aca="false">_xlfn.MINIFS('Piece check'!$K$6:$K$1643,'Piece check'!$B$6:$B$1643,B42)</f>
        <v>-4.98849962537376</v>
      </c>
      <c r="S42" s="18" t="n">
        <f aca="false">MAX(0,GWL-R42)</f>
        <v>3.48849962537376</v>
      </c>
      <c r="T42" s="18" t="n">
        <f aca="false">MAX(0,NG-R42)</f>
        <v>4.28849962537376</v>
      </c>
      <c r="U42" s="31" t="n">
        <f aca="false">SUMIFS('Piece check'!$R$6:$R$1643,'Piece check'!$B$6:$B$1643,B42)</f>
        <v>54.1000000001818</v>
      </c>
      <c r="V42" s="21" t="n">
        <f aca="false">O42-U42</f>
        <v>62.0000000001161</v>
      </c>
      <c r="W42" s="12" t="str">
        <f aca="false">IF(U42&lt;0.05,"Open cut",IF(V42&lt;0.05,"Sheet piles","Mixed: "&amp;TEXT(U42,"0")&amp;" m sheet piles"))</f>
        <v>Mixed: 54 m sheet piles</v>
      </c>
      <c r="X42" s="33" t="n">
        <f aca="false">SUMIFS('Piece check'!$V$6:$V$1643,'Piece check'!$B$6:$B$1643,B42)</f>
        <v>886.823886005418</v>
      </c>
      <c r="Y42" s="33" t="n">
        <f aca="false">SUMIFS('Piece check'!$W$6:$W$1643,'Piece check'!$B$6:$B$1643,B42)</f>
        <v>1474.33566368933</v>
      </c>
      <c r="Z42" s="33" t="n">
        <f aca="false">SUMIFS('Piece check'!$X$6:$X$1643,'Piece check'!$B$6:$B$1643,B42)</f>
        <v>213.002012723951</v>
      </c>
      <c r="AA42" s="33" t="n">
        <f aca="false">SUMIFS('Piece check'!$Y$6:$Y$1643,'Piece check'!$B$6:$B$1643,B42)</f>
        <v>649.727523371508</v>
      </c>
      <c r="AB42" s="20" t="n">
        <f aca="false">MAX(0,X42+Y42-Z42-AA42)</f>
        <v>1498.43001359929</v>
      </c>
      <c r="AC42" s="20" t="n">
        <f aca="false">(ROUNDUP(O42/PILE_SP,0)+1)*IF(N42&gt;=PILE_THR,PILE_N_LARGE,PILE_N_SMALL)</f>
        <v>80</v>
      </c>
      <c r="AD42" s="20" t="n">
        <f aca="false">2*U42</f>
        <v>108.200000000364</v>
      </c>
      <c r="AE42" s="34" t="n">
        <f aca="false">IF(U42&gt;0,ROUNDUP(T42*SHEET_RATIO,0),0)</f>
        <v>9</v>
      </c>
      <c r="AF42" s="20" t="n">
        <f aca="false">AD42*AE42</f>
        <v>973.800000003272</v>
      </c>
      <c r="AG42" s="18" t="n">
        <f aca="false">MAX(0,GWL-(R42-DD_BELOW))</f>
        <v>3.98849962537376</v>
      </c>
      <c r="AH42" s="12" t="str">
        <f aca="false">IF(AG42=0,"Not required",IF(AG42&lt;=WP_LIMIT,"Single-stage wellpoints","Deep wells or two-stage wellpoints"))</f>
        <v>Single-stage wellpoints</v>
      </c>
      <c r="AI42" s="30" t="n">
        <f aca="false">MIN(_xlfn.MINIFS('Piece check'!$Z$6:$Z$1643,'Piece check'!$B$6:$B$1643,B42),_xlfn.MINIFS('Piece check'!$AA$6:$AA$1643,'Piece check'!$B$6:$B$1643,B42))</f>
        <v>0</v>
      </c>
      <c r="AJ42" s="30" t="n">
        <f aca="false">MIN(_xlfn.MINIFS('Piece check'!$AB$6:$AB$1643,'Piece check'!$B$6:$B$1643,B42),_xlfn.MINIFS('Piece check'!$AC$6:$AC$1643,'Piece check'!$B$6:$B$1643,B42))</f>
        <v>0.855455144476092</v>
      </c>
      <c r="AK42" s="12" t="str">
        <f aca="false">IF(AJ42&lt;FOS_FLOT,"Anchor pipe to piled slab (permanent straps)",IF(AI42&lt;FOS_FLOT,"Keep dewatering on until fill reaches FL, or strap to slab","No extra measure"))</f>
        <v>Anchor pipe to piled slab (permanent straps)</v>
      </c>
      <c r="AL42" s="35" t="n">
        <f aca="false">Activities!P403</f>
        <v>46402</v>
      </c>
      <c r="AM42" s="35" t="n">
        <f aca="false">Activities!Q412</f>
        <v>46563</v>
      </c>
      <c r="AN42" s="15" t="n">
        <v>127</v>
      </c>
      <c r="AO42" s="36" t="s">
        <v>2363</v>
      </c>
      <c r="AP42" s="36" t="s">
        <v>2482</v>
      </c>
      <c r="AQ42" s="36" t="s">
        <v>2483</v>
      </c>
      <c r="AR42" s="37" t="n">
        <f aca="false">Activities!P411-Activities!Q409</f>
        <v>72</v>
      </c>
      <c r="AS42" s="37" t="n">
        <f aca="false">IF(Activities!K406=0,0,Activities!Q412-Activities!P406)</f>
        <v>135</v>
      </c>
    </row>
    <row r="43" customFormat="false" ht="15" hidden="false" customHeight="false" outlineLevel="0" collapsed="false">
      <c r="A43" s="15" t="s">
        <v>1136</v>
      </c>
      <c r="B43" s="29" t="s">
        <v>1178</v>
      </c>
      <c r="C43" s="15" t="s">
        <v>391</v>
      </c>
      <c r="D43" s="15" t="s">
        <v>2484</v>
      </c>
      <c r="E43" s="15" t="s">
        <v>2361</v>
      </c>
      <c r="F43" s="15" t="n">
        <v>28</v>
      </c>
      <c r="G43" s="15" t="s">
        <v>2362</v>
      </c>
      <c r="H43" s="15"/>
      <c r="I43" s="16" t="n">
        <v>0</v>
      </c>
      <c r="J43" s="15"/>
      <c r="K43" s="16" t="n">
        <v>0</v>
      </c>
      <c r="L43" s="15" t="s">
        <v>358</v>
      </c>
      <c r="M43" s="15" t="n">
        <v>2</v>
      </c>
      <c r="N43" s="30" t="n">
        <f aca="false">_xlfn.MAXIFS('Piece check'!$E$6:$E$1643,'Piece check'!$B$6:$B$1643,B43)</f>
        <v>2.65699766496155</v>
      </c>
      <c r="O43" s="31" t="n">
        <f aca="false">SUMIFS('Piece check'!$D$6:$D$1643,'Piece check'!$B$6:$B$1643,B43)</f>
        <v>62.1171472829751</v>
      </c>
      <c r="P43" s="32" t="n">
        <v>-3.29822421981583</v>
      </c>
      <c r="Q43" s="32" t="n">
        <v>-4.97849701286142</v>
      </c>
      <c r="R43" s="30" t="n">
        <f aca="false">_xlfn.MINIFS('Piece check'!$K$6:$K$1643,'Piece check'!$B$6:$B$1643,B43)</f>
        <v>-4.97849701286142</v>
      </c>
      <c r="S43" s="18" t="n">
        <f aca="false">MAX(0,GWL-R43)</f>
        <v>3.47849701286142</v>
      </c>
      <c r="T43" s="18" t="n">
        <f aca="false">MAX(0,NG-R43)</f>
        <v>4.27849701286142</v>
      </c>
      <c r="U43" s="31" t="n">
        <f aca="false">SUMIFS('Piece check'!$R$6:$R$1643,'Piece check'!$B$6:$B$1643,B43)</f>
        <v>60.6171472831227</v>
      </c>
      <c r="V43" s="21" t="n">
        <f aca="false">O43-U43</f>
        <v>1.49999999985241</v>
      </c>
      <c r="W43" s="12" t="str">
        <f aca="false">IF(U43&lt;0.05,"Open cut",IF(V43&lt;0.05,"Sheet piles","Mixed: "&amp;TEXT(U43,"0")&amp;" m sheet piles"))</f>
        <v>Mixed: 61 m sheet piles</v>
      </c>
      <c r="X43" s="33" t="n">
        <f aca="false">SUMIFS('Piece check'!$V$6:$V$1643,'Piece check'!$B$6:$B$1643,B43)</f>
        <v>976.356060285415</v>
      </c>
      <c r="Y43" s="33" t="n">
        <f aca="false">SUMIFS('Piece check'!$W$6:$W$1643,'Piece check'!$B$6:$B$1643,B43)</f>
        <v>38.3814180195466</v>
      </c>
      <c r="Z43" s="33" t="n">
        <f aca="false">SUMIFS('Piece check'!$X$6:$X$1643,'Piece check'!$B$6:$B$1643,B43)</f>
        <v>113.581126552855</v>
      </c>
      <c r="AA43" s="33" t="n">
        <f aca="false">SUMIFS('Piece check'!$Y$6:$Y$1643,'Piece check'!$B$6:$B$1643,B43)</f>
        <v>344.416286359169</v>
      </c>
      <c r="AB43" s="20" t="n">
        <f aca="false">MAX(0,X43+Y43-Z43-AA43)</f>
        <v>556.740065392937</v>
      </c>
      <c r="AC43" s="20" t="n">
        <f aca="false">(ROUNDUP(O43/PILE_SP,0)+1)*IF(N43&gt;=PILE_THR,PILE_N_LARGE,PILE_N_SMALL)</f>
        <v>44</v>
      </c>
      <c r="AD43" s="20" t="n">
        <f aca="false">2*U43</f>
        <v>121.234294566245</v>
      </c>
      <c r="AE43" s="34" t="n">
        <f aca="false">IF(U43&gt;0,ROUNDUP(T43*SHEET_RATIO,0),0)</f>
        <v>9</v>
      </c>
      <c r="AF43" s="20" t="n">
        <f aca="false">AD43*AE43</f>
        <v>1091.10865109621</v>
      </c>
      <c r="AG43" s="18" t="n">
        <f aca="false">MAX(0,GWL-(R43-DD_BELOW))</f>
        <v>3.97849701286142</v>
      </c>
      <c r="AH43" s="12" t="str">
        <f aca="false">IF(AG43=0,"Not required",IF(AG43&lt;=WP_LIMIT,"Single-stage wellpoints","Deep wells or two-stage wellpoints"))</f>
        <v>Single-stage wellpoints</v>
      </c>
      <c r="AI43" s="30" t="n">
        <f aca="false">MIN(_xlfn.MINIFS('Piece check'!$Z$6:$Z$1643,'Piece check'!$B$6:$B$1643,B43),_xlfn.MINIFS('Piece check'!$AA$6:$AA$1643,'Piece check'!$B$6:$B$1643,B43))</f>
        <v>0</v>
      </c>
      <c r="AJ43" s="30" t="n">
        <f aca="false">MIN(_xlfn.MINIFS('Piece check'!$AB$6:$AB$1643,'Piece check'!$B$6:$B$1643,B43),_xlfn.MINIFS('Piece check'!$AC$6:$AC$1643,'Piece check'!$B$6:$B$1643,B43))</f>
        <v>1.0034467072435</v>
      </c>
      <c r="AK43" s="12" t="str">
        <f aca="false">IF(AJ43&lt;FOS_FLOT,"Anchor pipe to piled slab (permanent straps)",IF(AI43&lt;FOS_FLOT,"Keep dewatering on until fill reaches FL, or strap to slab","No extra measure"))</f>
        <v>Anchor pipe to piled slab (permanent straps)</v>
      </c>
      <c r="AL43" s="35" t="n">
        <f aca="false">Activities!P414</f>
        <v>46412</v>
      </c>
      <c r="AM43" s="35" t="n">
        <f aca="false">Activities!Q423</f>
        <v>46567</v>
      </c>
      <c r="AN43" s="15" t="n">
        <v>128</v>
      </c>
      <c r="AO43" s="36" t="s">
        <v>2363</v>
      </c>
      <c r="AP43" s="36" t="s">
        <v>2485</v>
      </c>
      <c r="AQ43" s="36" t="s">
        <v>2486</v>
      </c>
      <c r="AR43" s="37" t="n">
        <f aca="false">Activities!P422-Activities!Q420</f>
        <v>33</v>
      </c>
      <c r="AS43" s="37" t="n">
        <f aca="false">IF(Activities!K417=0,0,Activities!Q423-Activities!P417)</f>
        <v>110</v>
      </c>
    </row>
    <row r="44" customFormat="false" ht="15" hidden="false" customHeight="false" outlineLevel="0" collapsed="false">
      <c r="A44" s="15" t="s">
        <v>1136</v>
      </c>
      <c r="B44" s="29" t="s">
        <v>1168</v>
      </c>
      <c r="C44" s="15" t="s">
        <v>391</v>
      </c>
      <c r="D44" s="15" t="s">
        <v>2487</v>
      </c>
      <c r="E44" s="15" t="s">
        <v>2361</v>
      </c>
      <c r="F44" s="15" t="n">
        <v>28</v>
      </c>
      <c r="G44" s="15" t="s">
        <v>2362</v>
      </c>
      <c r="H44" s="15"/>
      <c r="I44" s="16" t="n">
        <v>0</v>
      </c>
      <c r="J44" s="15"/>
      <c r="K44" s="16" t="n">
        <v>0</v>
      </c>
      <c r="L44" s="15" t="s">
        <v>358</v>
      </c>
      <c r="M44" s="15" t="n">
        <v>6</v>
      </c>
      <c r="N44" s="30" t="n">
        <f aca="false">_xlfn.MAXIFS('Piece check'!$E$6:$E$1643,'Piece check'!$B$6:$B$1643,B44)</f>
        <v>2.68999231710726</v>
      </c>
      <c r="O44" s="31" t="n">
        <f aca="false">SUMIFS('Piece check'!$D$6:$D$1643,'Piece check'!$B$6:$B$1643,B44)</f>
        <v>18.1000000004934</v>
      </c>
      <c r="P44" s="32" t="n">
        <v>-3.17499615855363</v>
      </c>
      <c r="Q44" s="32" t="n">
        <v>-3.29822421981583</v>
      </c>
      <c r="R44" s="30" t="n">
        <f aca="false">_xlfn.MINIFS('Piece check'!$K$6:$K$1643,'Piece check'!$B$6:$B$1643,B44)</f>
        <v>-3.29822421981583</v>
      </c>
      <c r="S44" s="18" t="n">
        <f aca="false">MAX(0,GWL-R44)</f>
        <v>1.79822421981583</v>
      </c>
      <c r="T44" s="18" t="n">
        <f aca="false">MAX(0,NG-R44)</f>
        <v>2.59822421981583</v>
      </c>
      <c r="U44" s="31" t="n">
        <f aca="false">SUMIFS('Piece check'!$R$6:$R$1643,'Piece check'!$B$6:$B$1643,B44)</f>
        <v>0</v>
      </c>
      <c r="V44" s="21" t="n">
        <f aca="false">O44-U44</f>
        <v>18.1000000004934</v>
      </c>
      <c r="W44" s="12" t="str">
        <f aca="false">IF(U44&lt;0.05,"Open cut",IF(V44&lt;0.05,"Sheet piles","Mixed: "&amp;TEXT(U44,"0")&amp;" m sheet piles"))</f>
        <v>Open cut</v>
      </c>
      <c r="X44" s="33" t="n">
        <f aca="false">SUMIFS('Piece check'!$V$6:$V$1643,'Piece check'!$B$6:$B$1643,B44)</f>
        <v>0</v>
      </c>
      <c r="Y44" s="33" t="n">
        <f aca="false">SUMIFS('Piece check'!$W$6:$W$1643,'Piece check'!$B$6:$B$1643,B44)</f>
        <v>430.344239261063</v>
      </c>
      <c r="Z44" s="33" t="n">
        <f aca="false">SUMIFS('Piece check'!$X$6:$X$1643,'Piece check'!$B$6:$B$1643,B44)</f>
        <v>33.1405930951116</v>
      </c>
      <c r="AA44" s="33" t="n">
        <f aca="false">SUMIFS('Piece check'!$Y$6:$Y$1643,'Piece check'!$B$6:$B$1643,B44)</f>
        <v>100.739167939432</v>
      </c>
      <c r="AB44" s="20" t="n">
        <f aca="false">MAX(0,X44+Y44-Z44-AA44)</f>
        <v>296.46447822652</v>
      </c>
      <c r="AC44" s="20" t="n">
        <f aca="false">(ROUNDUP(O44/PILE_SP,0)+1)*IF(N44&gt;=PILE_THR,PILE_N_LARGE,PILE_N_SMALL)</f>
        <v>16</v>
      </c>
      <c r="AD44" s="20" t="n">
        <f aca="false">2*U44</f>
        <v>0</v>
      </c>
      <c r="AE44" s="34" t="n">
        <f aca="false">IF(U44&gt;0,ROUNDUP(T44*SHEET_RATIO,0),0)</f>
        <v>0</v>
      </c>
      <c r="AF44" s="20" t="n">
        <f aca="false">AD44*AE44</f>
        <v>0</v>
      </c>
      <c r="AG44" s="18" t="n">
        <f aca="false">MAX(0,GWL-(R44-DD_BELOW))</f>
        <v>2.29822421981583</v>
      </c>
      <c r="AH44" s="12" t="str">
        <f aca="false">IF(AG44=0,"Not required",IF(AG44&lt;=WP_LIMIT,"Single-stage wellpoints","Deep wells or two-stage wellpoints"))</f>
        <v>Single-stage wellpoints</v>
      </c>
      <c r="AI44" s="30" t="n">
        <f aca="false">MIN(_xlfn.MINIFS('Piece check'!$Z$6:$Z$1643,'Piece check'!$B$6:$B$1643,B44),_xlfn.MINIFS('Piece check'!$AA$6:$AA$1643,'Piece check'!$B$6:$B$1643,B44))</f>
        <v>0</v>
      </c>
      <c r="AJ44" s="30" t="n">
        <f aca="false">MIN(_xlfn.MINIFS('Piece check'!$AB$6:$AB$1643,'Piece check'!$B$6:$B$1643,B44),_xlfn.MINIFS('Piece check'!$AC$6:$AC$1643,'Piece check'!$B$6:$B$1643,B44))</f>
        <v>0.855461563121419</v>
      </c>
      <c r="AK44" s="12" t="str">
        <f aca="false">IF(AJ44&lt;FOS_FLOT,"Anchor pipe to piled slab (permanent straps)",IF(AI44&lt;FOS_FLOT,"Keep dewatering on until fill reaches FL, or strap to slab","No extra measure"))</f>
        <v>Anchor pipe to piled slab (permanent straps)</v>
      </c>
      <c r="AL44" s="35" t="n">
        <f aca="false">Activities!P425</f>
        <v>46431</v>
      </c>
      <c r="AM44" s="35" t="n">
        <f aca="false">Activities!Q434</f>
        <v>46568</v>
      </c>
      <c r="AN44" s="15" t="n">
        <v>129</v>
      </c>
      <c r="AO44" s="36" t="s">
        <v>2363</v>
      </c>
      <c r="AP44" s="36" t="s">
        <v>2488</v>
      </c>
      <c r="AQ44" s="36" t="s">
        <v>2489</v>
      </c>
      <c r="AR44" s="37" t="n">
        <f aca="false">Activities!P433-Activities!Q431</f>
        <v>30</v>
      </c>
      <c r="AS44" s="37" t="n">
        <f aca="false">IF(Activities!K428=0,0,Activities!Q434-Activities!P428)</f>
        <v>60</v>
      </c>
    </row>
    <row r="45" customFormat="false" ht="15" hidden="false" customHeight="false" outlineLevel="0" collapsed="false">
      <c r="A45" s="15" t="s">
        <v>1075</v>
      </c>
      <c r="B45" s="29" t="s">
        <v>1091</v>
      </c>
      <c r="C45" s="15" t="s">
        <v>391</v>
      </c>
      <c r="D45" s="15" t="s">
        <v>2490</v>
      </c>
      <c r="E45" s="15" t="s">
        <v>2361</v>
      </c>
      <c r="F45" s="15" t="n">
        <v>28</v>
      </c>
      <c r="G45" s="15" t="s">
        <v>2362</v>
      </c>
      <c r="H45" s="15"/>
      <c r="I45" s="16" t="n">
        <v>0</v>
      </c>
      <c r="J45" s="15"/>
      <c r="K45" s="16" t="n">
        <v>0</v>
      </c>
      <c r="L45" s="15" t="s">
        <v>358</v>
      </c>
      <c r="M45" s="15" t="n">
        <v>3</v>
      </c>
      <c r="N45" s="30" t="n">
        <f aca="false">_xlfn.MAXIFS('Piece check'!$E$6:$E$1643,'Piece check'!$B$6:$B$1643,B45)</f>
        <v>2.69000084962693</v>
      </c>
      <c r="O45" s="31" t="n">
        <f aca="false">SUMIFS('Piece check'!$D$6:$D$1643,'Piece check'!$B$6:$B$1643,B45)</f>
        <v>48.0000000000572</v>
      </c>
      <c r="P45" s="32" t="n">
        <v>-3.17499524993977</v>
      </c>
      <c r="Q45" s="32" t="n">
        <v>-3.17500042481346</v>
      </c>
      <c r="R45" s="30" t="n">
        <f aca="false">_xlfn.MINIFS('Piece check'!$K$6:$K$1643,'Piece check'!$B$6:$B$1643,B45)</f>
        <v>-3.17500042481346</v>
      </c>
      <c r="S45" s="18" t="n">
        <f aca="false">MAX(0,GWL-R45)</f>
        <v>1.67500042481346</v>
      </c>
      <c r="T45" s="18" t="n">
        <f aca="false">MAX(0,NG-R45)</f>
        <v>2.47500042481346</v>
      </c>
      <c r="U45" s="31" t="n">
        <f aca="false">SUMIFS('Piece check'!$R$6:$R$1643,'Piece check'!$B$6:$B$1643,B45)</f>
        <v>0</v>
      </c>
      <c r="V45" s="21" t="n">
        <f aca="false">O45-U45</f>
        <v>48.0000000000572</v>
      </c>
      <c r="W45" s="12" t="str">
        <f aca="false">IF(U45&lt;0.05,"Open cut",IF(V45&lt;0.05,"Sheet piles","Mixed: "&amp;TEXT(U45,"0")&amp;" m sheet piles"))</f>
        <v>Open cut</v>
      </c>
      <c r="X45" s="33" t="n">
        <f aca="false">SUMIFS('Piece check'!$V$6:$V$1643,'Piece check'!$B$6:$B$1643,B45)</f>
        <v>0</v>
      </c>
      <c r="Y45" s="33" t="n">
        <f aca="false">SUMIFS('Piece check'!$W$6:$W$1643,'Piece check'!$B$6:$B$1643,B45)</f>
        <v>1129.87082388328</v>
      </c>
      <c r="Z45" s="33" t="n">
        <f aca="false">SUMIFS('Piece check'!$X$6:$X$1643,'Piece check'!$B$6:$B$1643,B45)</f>
        <v>88.5599398097529</v>
      </c>
      <c r="AA45" s="33" t="n">
        <f aca="false">SUMIFS('Piece check'!$Y$6:$Y$1643,'Piece check'!$B$6:$B$1643,B45)</f>
        <v>272.794034547438</v>
      </c>
      <c r="AB45" s="20" t="n">
        <f aca="false">MAX(0,X45+Y45-Z45-AA45)</f>
        <v>768.516849526093</v>
      </c>
      <c r="AC45" s="20" t="n">
        <f aca="false">(ROUNDUP(O45/PILE_SP,0)+1)*IF(N45&gt;=PILE_THR,PILE_N_LARGE,PILE_N_SMALL)</f>
        <v>34</v>
      </c>
      <c r="AD45" s="20" t="n">
        <f aca="false">2*U45</f>
        <v>0</v>
      </c>
      <c r="AE45" s="34" t="n">
        <f aca="false">IF(U45&gt;0,ROUNDUP(T45*SHEET_RATIO,0),0)</f>
        <v>0</v>
      </c>
      <c r="AF45" s="20" t="n">
        <f aca="false">AD45*AE45</f>
        <v>0</v>
      </c>
      <c r="AG45" s="18" t="n">
        <f aca="false">MAX(0,GWL-(R45-DD_BELOW))</f>
        <v>2.17500042481346</v>
      </c>
      <c r="AH45" s="12" t="str">
        <f aca="false">IF(AG45=0,"Not required",IF(AG45&lt;=WP_LIMIT,"Single-stage wellpoints","Deep wells or two-stage wellpoints"))</f>
        <v>Single-stage wellpoints</v>
      </c>
      <c r="AI45" s="30" t="n">
        <f aca="false">MIN(_xlfn.MINIFS('Piece check'!$Z$6:$Z$1643,'Piece check'!$B$6:$B$1643,B45),_xlfn.MINIFS('Piece check'!$AA$6:$AA$1643,'Piece check'!$B$6:$B$1643,B45))</f>
        <v>0</v>
      </c>
      <c r="AJ45" s="30" t="n">
        <f aca="false">MIN(_xlfn.MINIFS('Piece check'!$AB$6:$AB$1643,'Piece check'!$B$6:$B$1643,B45),_xlfn.MINIFS('Piece check'!$AC$6:$AC$1643,'Piece check'!$B$6:$B$1643,B45))</f>
        <v>0.855455144476092</v>
      </c>
      <c r="AK45" s="12" t="str">
        <f aca="false">IF(AJ45&lt;FOS_FLOT,"Anchor pipe to piled slab (permanent straps)",IF(AI45&lt;FOS_FLOT,"Keep dewatering on until fill reaches FL, or strap to slab","No extra measure"))</f>
        <v>Anchor pipe to piled slab (permanent straps)</v>
      </c>
      <c r="AL45" s="35" t="n">
        <f aca="false">Activities!P436</f>
        <v>46442</v>
      </c>
      <c r="AM45" s="35" t="n">
        <f aca="false">Activities!Q445</f>
        <v>46579</v>
      </c>
      <c r="AN45" s="15" t="n">
        <v>130</v>
      </c>
      <c r="AO45" s="36" t="s">
        <v>2374</v>
      </c>
      <c r="AP45" s="36" t="s">
        <v>2491</v>
      </c>
      <c r="AQ45" s="36" t="s">
        <v>2492</v>
      </c>
      <c r="AR45" s="37" t="n">
        <f aca="false">Activities!P444-Activities!Q442</f>
        <v>30</v>
      </c>
      <c r="AS45" s="37" t="n">
        <f aca="false">IF(Activities!K439=0,0,Activities!Q445-Activities!P439)</f>
        <v>70</v>
      </c>
    </row>
    <row r="46" customFormat="false" ht="15" hidden="false" customHeight="false" outlineLevel="0" collapsed="false">
      <c r="A46" s="15" t="s">
        <v>1136</v>
      </c>
      <c r="B46" s="29" t="s">
        <v>1152</v>
      </c>
      <c r="C46" s="15" t="s">
        <v>391</v>
      </c>
      <c r="D46" s="15" t="s">
        <v>2493</v>
      </c>
      <c r="E46" s="15" t="s">
        <v>2361</v>
      </c>
      <c r="F46" s="15" t="n">
        <v>28</v>
      </c>
      <c r="G46" s="15" t="s">
        <v>2362</v>
      </c>
      <c r="H46" s="15"/>
      <c r="I46" s="16" t="n">
        <v>0</v>
      </c>
      <c r="J46" s="15"/>
      <c r="K46" s="16" t="n">
        <v>0</v>
      </c>
      <c r="L46" s="15" t="s">
        <v>358</v>
      </c>
      <c r="M46" s="15" t="n">
        <v>4</v>
      </c>
      <c r="N46" s="30" t="n">
        <f aca="false">_xlfn.MAXIFS('Piece check'!$E$6:$E$1643,'Piece check'!$B$6:$B$1643,B46)</f>
        <v>2.68999231710726</v>
      </c>
      <c r="O46" s="31" t="n">
        <f aca="false">SUMIFS('Piece check'!$D$6:$D$1643,'Piece check'!$B$6:$B$1643,B46)</f>
        <v>83.2000000001375</v>
      </c>
      <c r="P46" s="32" t="n">
        <v>-3.15849816192721</v>
      </c>
      <c r="Q46" s="32" t="n">
        <v>-3.17499615855363</v>
      </c>
      <c r="R46" s="30" t="n">
        <f aca="false">_xlfn.MINIFS('Piece check'!$K$6:$K$1643,'Piece check'!$B$6:$B$1643,B46)</f>
        <v>-3.17499615855363</v>
      </c>
      <c r="S46" s="18" t="n">
        <f aca="false">MAX(0,GWL-R46)</f>
        <v>1.67499615855363</v>
      </c>
      <c r="T46" s="18" t="n">
        <f aca="false">MAX(0,NG-R46)</f>
        <v>2.47499615855363</v>
      </c>
      <c r="U46" s="31" t="n">
        <f aca="false">SUMIFS('Piece check'!$R$6:$R$1643,'Piece check'!$B$6:$B$1643,B46)</f>
        <v>0</v>
      </c>
      <c r="V46" s="21" t="n">
        <f aca="false">O46-U46</f>
        <v>83.2000000001375</v>
      </c>
      <c r="W46" s="12" t="str">
        <f aca="false">IF(U46&lt;0.05,"Open cut",IF(V46&lt;0.05,"Sheet piles","Mixed: "&amp;TEXT(U46,"0")&amp;" m sheet piles"))</f>
        <v>Open cut</v>
      </c>
      <c r="X46" s="33" t="n">
        <f aca="false">SUMIFS('Piece check'!$V$6:$V$1643,'Piece check'!$B$6:$B$1643,B46)</f>
        <v>0</v>
      </c>
      <c r="Y46" s="33" t="n">
        <f aca="false">SUMIFS('Piece check'!$W$6:$W$1643,'Piece check'!$B$6:$B$1643,B46)</f>
        <v>1958.30799914825</v>
      </c>
      <c r="Z46" s="33" t="n">
        <f aca="false">SUMIFS('Piece check'!$X$6:$X$1643,'Piece check'!$B$6:$B$1643,B46)</f>
        <v>153.496976308631</v>
      </c>
      <c r="AA46" s="33" t="n">
        <f aca="false">SUMIFS('Piece check'!$Y$6:$Y$1643,'Piece check'!$B$6:$B$1643,B46)</f>
        <v>472.784865697576</v>
      </c>
      <c r="AB46" s="20" t="n">
        <f aca="false">MAX(0,X46+Y46-Z46-AA46)</f>
        <v>1332.02615714204</v>
      </c>
      <c r="AC46" s="20" t="n">
        <f aca="false">(ROUNDUP(O46/PILE_SP,0)+1)*IF(N46&gt;=PILE_THR,PILE_N_LARGE,PILE_N_SMALL)</f>
        <v>58</v>
      </c>
      <c r="AD46" s="20" t="n">
        <f aca="false">2*U46</f>
        <v>0</v>
      </c>
      <c r="AE46" s="34" t="n">
        <f aca="false">IF(U46&gt;0,ROUNDUP(T46*SHEET_RATIO,0),0)</f>
        <v>0</v>
      </c>
      <c r="AF46" s="20" t="n">
        <f aca="false">AD46*AE46</f>
        <v>0</v>
      </c>
      <c r="AG46" s="18" t="n">
        <f aca="false">MAX(0,GWL-(R46-DD_BELOW))</f>
        <v>2.17499615855363</v>
      </c>
      <c r="AH46" s="12" t="str">
        <f aca="false">IF(AG46=0,"Not required",IF(AG46&lt;=WP_LIMIT,"Single-stage wellpoints","Deep wells or two-stage wellpoints"))</f>
        <v>Single-stage wellpoints</v>
      </c>
      <c r="AI46" s="30" t="n">
        <f aca="false">MIN(_xlfn.MINIFS('Piece check'!$Z$6:$Z$1643,'Piece check'!$B$6:$B$1643,B46),_xlfn.MINIFS('Piece check'!$AA$6:$AA$1643,'Piece check'!$B$6:$B$1643,B46))</f>
        <v>0</v>
      </c>
      <c r="AJ46" s="30" t="n">
        <f aca="false">MIN(_xlfn.MINIFS('Piece check'!$AB$6:$AB$1643,'Piece check'!$B$6:$B$1643,B46),_xlfn.MINIFS('Piece check'!$AC$6:$AC$1643,'Piece check'!$B$6:$B$1643,B46))</f>
        <v>0.855461563121419</v>
      </c>
      <c r="AK46" s="12" t="str">
        <f aca="false">IF(AJ46&lt;FOS_FLOT,"Anchor pipe to piled slab (permanent straps)",IF(AI46&lt;FOS_FLOT,"Keep dewatering on until fill reaches FL, or strap to slab","No extra measure"))</f>
        <v>Anchor pipe to piled slab (permanent straps)</v>
      </c>
      <c r="AL46" s="35" t="n">
        <f aca="false">Activities!P447</f>
        <v>46447</v>
      </c>
      <c r="AM46" s="35" t="n">
        <f aca="false">Activities!Q456</f>
        <v>46584</v>
      </c>
      <c r="AN46" s="15" t="n">
        <v>131</v>
      </c>
      <c r="AO46" s="36" t="s">
        <v>2374</v>
      </c>
      <c r="AP46" s="36" t="s">
        <v>2494</v>
      </c>
      <c r="AQ46" s="36" t="s">
        <v>2495</v>
      </c>
      <c r="AR46" s="37" t="n">
        <f aca="false">Activities!P455-Activities!Q453</f>
        <v>22</v>
      </c>
      <c r="AS46" s="37" t="n">
        <f aca="false">IF(Activities!K450=0,0,Activities!Q456-Activities!P450)</f>
        <v>72</v>
      </c>
    </row>
    <row r="47" customFormat="false" ht="15" hidden="false" customHeight="false" outlineLevel="0" collapsed="false">
      <c r="A47" s="15" t="s">
        <v>1075</v>
      </c>
      <c r="B47" s="29" t="s">
        <v>1085</v>
      </c>
      <c r="C47" s="15" t="s">
        <v>391</v>
      </c>
      <c r="D47" s="15" t="s">
        <v>2496</v>
      </c>
      <c r="E47" s="15" t="s">
        <v>2361</v>
      </c>
      <c r="F47" s="15" t="n">
        <v>28</v>
      </c>
      <c r="G47" s="15" t="s">
        <v>2362</v>
      </c>
      <c r="H47" s="15"/>
      <c r="I47" s="16" t="n">
        <v>0</v>
      </c>
      <c r="J47" s="15"/>
      <c r="K47" s="16" t="n">
        <v>0</v>
      </c>
      <c r="L47" s="15" t="s">
        <v>358</v>
      </c>
      <c r="M47" s="15" t="n">
        <v>2</v>
      </c>
      <c r="N47" s="30" t="n">
        <f aca="false">_xlfn.MAXIFS('Piece check'!$E$6:$E$1643,'Piece check'!$B$6:$B$1643,B47)</f>
        <v>2.68999049987954</v>
      </c>
      <c r="O47" s="31" t="n">
        <f aca="false">SUMIFS('Piece check'!$D$6:$D$1643,'Piece check'!$B$6:$B$1643,B47)</f>
        <v>21.9999999999885</v>
      </c>
      <c r="P47" s="32" t="n">
        <v>-3.1584988908999</v>
      </c>
      <c r="Q47" s="32" t="n">
        <v>-3.17499524993977</v>
      </c>
      <c r="R47" s="30" t="n">
        <f aca="false">_xlfn.MINIFS('Piece check'!$K$6:$K$1643,'Piece check'!$B$6:$B$1643,B47)</f>
        <v>-3.17499524993977</v>
      </c>
      <c r="S47" s="18" t="n">
        <f aca="false">MAX(0,GWL-R47)</f>
        <v>1.67499524993977</v>
      </c>
      <c r="T47" s="18" t="n">
        <f aca="false">MAX(0,NG-R47)</f>
        <v>2.47499524993977</v>
      </c>
      <c r="U47" s="31" t="n">
        <f aca="false">SUMIFS('Piece check'!$R$6:$R$1643,'Piece check'!$B$6:$B$1643,B47)</f>
        <v>18.9080365822208</v>
      </c>
      <c r="V47" s="21" t="n">
        <f aca="false">O47-U47</f>
        <v>3.0919634177677</v>
      </c>
      <c r="W47" s="12" t="str">
        <f aca="false">IF(U47&lt;0.05,"Open cut",IF(V47&lt;0.05,"Sheet piles","Mixed: "&amp;TEXT(U47,"0")&amp;" m sheet piles"))</f>
        <v>Mixed: 19 m sheet piles</v>
      </c>
      <c r="X47" s="33" t="n">
        <f aca="false">SUMIFS('Piece check'!$V$6:$V$1643,'Piece check'!$B$6:$B$1643,B47)</f>
        <v>216.482343989025</v>
      </c>
      <c r="Y47" s="33" t="n">
        <f aca="false">SUMIFS('Piece check'!$W$6:$W$1643,'Piece check'!$B$6:$B$1643,B47)</f>
        <v>71.9461770768034</v>
      </c>
      <c r="Z47" s="33" t="n">
        <f aca="false">SUMIFS('Piece check'!$X$6:$X$1643,'Piece check'!$B$6:$B$1643,B47)</f>
        <v>40.2350905073098</v>
      </c>
      <c r="AA47" s="33" t="n">
        <f aca="false">SUMIFS('Piece check'!$Y$6:$Y$1643,'Piece check'!$B$6:$B$1643,B47)</f>
        <v>122.049931568826</v>
      </c>
      <c r="AB47" s="20" t="n">
        <f aca="false">MAX(0,X47+Y47-Z47-AA47)</f>
        <v>126.143498989692</v>
      </c>
      <c r="AC47" s="20" t="n">
        <f aca="false">(ROUNDUP(O47/PILE_SP,0)+1)*IF(N47&gt;=PILE_THR,PILE_N_LARGE,PILE_N_SMALL)</f>
        <v>18</v>
      </c>
      <c r="AD47" s="20" t="n">
        <f aca="false">2*U47</f>
        <v>37.8160731644416</v>
      </c>
      <c r="AE47" s="34" t="n">
        <f aca="false">IF(U47&gt;0,ROUNDUP(T47*SHEET_RATIO,0),0)</f>
        <v>5</v>
      </c>
      <c r="AF47" s="20" t="n">
        <f aca="false">AD47*AE47</f>
        <v>189.080365822208</v>
      </c>
      <c r="AG47" s="18" t="n">
        <f aca="false">MAX(0,GWL-(R47-DD_BELOW))</f>
        <v>2.17499524993977</v>
      </c>
      <c r="AH47" s="12" t="str">
        <f aca="false">IF(AG47=0,"Not required",IF(AG47&lt;=WP_LIMIT,"Single-stage wellpoints","Deep wells or two-stage wellpoints"))</f>
        <v>Single-stage wellpoints</v>
      </c>
      <c r="AI47" s="30" t="n">
        <f aca="false">MIN(_xlfn.MINIFS('Piece check'!$Z$6:$Z$1643,'Piece check'!$B$6:$B$1643,B47),_xlfn.MINIFS('Piece check'!$AA$6:$AA$1643,'Piece check'!$B$6:$B$1643,B47))</f>
        <v>0</v>
      </c>
      <c r="AJ47" s="30" t="n">
        <f aca="false">MIN(_xlfn.MINIFS('Piece check'!$AB$6:$AB$1643,'Piece check'!$B$6:$B$1643,B47),_xlfn.MINIFS('Piece check'!$AC$6:$AC$1643,'Piece check'!$B$6:$B$1643,B47))</f>
        <v>0.855462930148459</v>
      </c>
      <c r="AK47" s="12" t="str">
        <f aca="false">IF(AJ47&lt;FOS_FLOT,"Anchor pipe to piled slab (permanent straps)",IF(AI47&lt;FOS_FLOT,"Keep dewatering on until fill reaches FL, or strap to slab","No extra measure"))</f>
        <v>Anchor pipe to piled slab (permanent straps)</v>
      </c>
      <c r="AL47" s="35" t="n">
        <f aca="false">Activities!P458</f>
        <v>46456</v>
      </c>
      <c r="AM47" s="35" t="n">
        <f aca="false">Activities!Q467</f>
        <v>46586</v>
      </c>
      <c r="AN47" s="15" t="n">
        <v>132</v>
      </c>
      <c r="AO47" s="36" t="s">
        <v>2363</v>
      </c>
      <c r="AP47" s="36" t="s">
        <v>2497</v>
      </c>
      <c r="AQ47" s="36" t="s">
        <v>2498</v>
      </c>
      <c r="AR47" s="37" t="n">
        <f aca="false">Activities!P466-Activities!Q464</f>
        <v>21</v>
      </c>
      <c r="AS47" s="37" t="n">
        <f aca="false">IF(Activities!K461=0,0,Activities!Q467-Activities!P461)</f>
        <v>66</v>
      </c>
    </row>
    <row r="48" customFormat="false" ht="15" hidden="false" customHeight="false" outlineLevel="0" collapsed="false">
      <c r="A48" s="15" t="s">
        <v>1075</v>
      </c>
      <c r="B48" s="29" t="s">
        <v>1082</v>
      </c>
      <c r="C48" s="15" t="s">
        <v>391</v>
      </c>
      <c r="D48" s="15" t="s">
        <v>2499</v>
      </c>
      <c r="E48" s="15" t="s">
        <v>2361</v>
      </c>
      <c r="F48" s="15" t="n">
        <v>28</v>
      </c>
      <c r="G48" s="15" t="s">
        <v>2362</v>
      </c>
      <c r="H48" s="15"/>
      <c r="I48" s="16" t="n">
        <v>0</v>
      </c>
      <c r="J48" s="15"/>
      <c r="K48" s="16" t="n">
        <v>0</v>
      </c>
      <c r="L48" s="15" t="s">
        <v>358</v>
      </c>
      <c r="M48" s="15" t="n">
        <v>0</v>
      </c>
      <c r="N48" s="30" t="n">
        <f aca="false">_xlfn.MAXIFS('Piece check'!$E$6:$E$1643,'Piece check'!$B$6:$B$1643,B48)</f>
        <v>2.65699778179981</v>
      </c>
      <c r="O48" s="31" t="n">
        <f aca="false">SUMIFS('Piece check'!$D$6:$D$1643,'Piece check'!$B$6:$B$1643,B48)</f>
        <v>17.4789034181319</v>
      </c>
      <c r="P48" s="32" t="n">
        <v>-3.1584988908999</v>
      </c>
      <c r="Q48" s="32" t="n">
        <v>-3.1584988908999</v>
      </c>
      <c r="R48" s="30" t="n">
        <f aca="false">_xlfn.MINIFS('Piece check'!$K$6:$K$1643,'Piece check'!$B$6:$B$1643,B48)</f>
        <v>-3.1584988908999</v>
      </c>
      <c r="S48" s="18" t="n">
        <f aca="false">MAX(0,GWL-R48)</f>
        <v>1.6584988908999</v>
      </c>
      <c r="T48" s="18" t="n">
        <f aca="false">MAX(0,NG-R48)</f>
        <v>2.4584988908999</v>
      </c>
      <c r="U48" s="31" t="n">
        <f aca="false">SUMIFS('Piece check'!$R$6:$R$1643,'Piece check'!$B$6:$B$1643,B48)</f>
        <v>17.4789034181319</v>
      </c>
      <c r="V48" s="21" t="n">
        <f aca="false">O48-U48</f>
        <v>0</v>
      </c>
      <c r="W48" s="12" t="str">
        <f aca="false">IF(U48&lt;0.05,"Open cut",IF(V48&lt;0.05,"Sheet piles","Mixed: "&amp;TEXT(U48,"0")&amp;" m sheet piles"))</f>
        <v>Sheet piles</v>
      </c>
      <c r="X48" s="33" t="n">
        <f aca="false">SUMIFS('Piece check'!$V$6:$V$1643,'Piece check'!$B$6:$B$1643,B48)</f>
        <v>200.119878436926</v>
      </c>
      <c r="Y48" s="33" t="n">
        <f aca="false">SUMIFS('Piece check'!$W$6:$W$1643,'Piece check'!$B$6:$B$1643,B48)</f>
        <v>0</v>
      </c>
      <c r="Z48" s="33" t="n">
        <f aca="false">SUMIFS('Piece check'!$X$6:$X$1643,'Piece check'!$B$6:$B$1643,B48)</f>
        <v>31.9601555142007</v>
      </c>
      <c r="AA48" s="33" t="n">
        <f aca="false">SUMIFS('Piece check'!$Y$6:$Y$1643,'Piece check'!$B$6:$B$1643,B48)</f>
        <v>96.9139841080049</v>
      </c>
      <c r="AB48" s="20" t="n">
        <f aca="false">MAX(0,X48+Y48-Z48-AA48)</f>
        <v>71.24573881472</v>
      </c>
      <c r="AC48" s="20" t="n">
        <f aca="false">(ROUNDUP(O48/PILE_SP,0)+1)*IF(N48&gt;=PILE_THR,PILE_N_LARGE,PILE_N_SMALL)</f>
        <v>14</v>
      </c>
      <c r="AD48" s="20" t="n">
        <f aca="false">2*U48</f>
        <v>34.9578068362638</v>
      </c>
      <c r="AE48" s="34" t="n">
        <f aca="false">IF(U48&gt;0,ROUNDUP(T48*SHEET_RATIO,0),0)</f>
        <v>5</v>
      </c>
      <c r="AF48" s="20" t="n">
        <f aca="false">AD48*AE48</f>
        <v>174.789034181319</v>
      </c>
      <c r="AG48" s="18" t="n">
        <f aca="false">MAX(0,GWL-(R48-DD_BELOW))</f>
        <v>2.1584988908999</v>
      </c>
      <c r="AH48" s="12" t="str">
        <f aca="false">IF(AG48=0,"Not required",IF(AG48&lt;=WP_LIMIT,"Single-stage wellpoints","Deep wells or two-stage wellpoints"))</f>
        <v>Single-stage wellpoints</v>
      </c>
      <c r="AI48" s="30" t="n">
        <f aca="false">MIN(_xlfn.MINIFS('Piece check'!$Z$6:$Z$1643,'Piece check'!$B$6:$B$1643,B48),_xlfn.MINIFS('Piece check'!$AA$6:$AA$1643,'Piece check'!$B$6:$B$1643,B48))</f>
        <v>0</v>
      </c>
      <c r="AJ48" s="30" t="n">
        <f aca="false">MIN(_xlfn.MINIFS('Piece check'!$AB$6:$AB$1643,'Piece check'!$B$6:$B$1643,B48),_xlfn.MINIFS('Piece check'!$AC$6:$AC$1643,'Piece check'!$B$6:$B$1643,B48))</f>
        <v>0.880590222652098</v>
      </c>
      <c r="AK48" s="12" t="str">
        <f aca="false">IF(AJ48&lt;FOS_FLOT,"Anchor pipe to piled slab (permanent straps)",IF(AI48&lt;FOS_FLOT,"Keep dewatering on until fill reaches FL, or strap to slab","No extra measure"))</f>
        <v>Anchor pipe to piled slab (permanent straps)</v>
      </c>
      <c r="AL48" s="35" t="n">
        <f aca="false">Activities!P469</f>
        <v>46470</v>
      </c>
      <c r="AM48" s="35" t="n">
        <f aca="false">Activities!Q478</f>
        <v>46590</v>
      </c>
      <c r="AN48" s="15" t="n">
        <v>133</v>
      </c>
      <c r="AO48" s="36" t="s">
        <v>2374</v>
      </c>
      <c r="AP48" s="36" t="s">
        <v>2500</v>
      </c>
      <c r="AQ48" s="36" t="s">
        <v>2501</v>
      </c>
      <c r="AR48" s="37" t="n">
        <f aca="false">Activities!P477-Activities!Q475</f>
        <v>19</v>
      </c>
      <c r="AS48" s="37" t="n">
        <f aca="false">IF(Activities!K472=0,0,Activities!Q478-Activities!P472)</f>
        <v>67</v>
      </c>
    </row>
    <row r="49" customFormat="false" ht="15" hidden="false" customHeight="false" outlineLevel="0" collapsed="false">
      <c r="A49" s="15" t="s">
        <v>1136</v>
      </c>
      <c r="B49" s="29" t="s">
        <v>1147</v>
      </c>
      <c r="C49" s="15" t="s">
        <v>391</v>
      </c>
      <c r="D49" s="15" t="s">
        <v>2502</v>
      </c>
      <c r="E49" s="15" t="s">
        <v>2361</v>
      </c>
      <c r="F49" s="15" t="n">
        <v>28</v>
      </c>
      <c r="G49" s="15" t="s">
        <v>2362</v>
      </c>
      <c r="H49" s="15"/>
      <c r="I49" s="16" t="n">
        <v>0</v>
      </c>
      <c r="J49" s="15"/>
      <c r="K49" s="16" t="n">
        <v>0</v>
      </c>
      <c r="L49" s="15" t="s">
        <v>358</v>
      </c>
      <c r="M49" s="15" t="n">
        <v>1</v>
      </c>
      <c r="N49" s="30" t="n">
        <f aca="false">_xlfn.MAXIFS('Piece check'!$E$6:$E$1643,'Piece check'!$B$6:$B$1643,B49)</f>
        <v>2.65699632385441</v>
      </c>
      <c r="O49" s="31" t="n">
        <f aca="false">SUMIFS('Piece check'!$D$6:$D$1643,'Piece check'!$B$6:$B$1643,B49)</f>
        <v>23.1000000001454</v>
      </c>
      <c r="P49" s="32" t="n">
        <v>-3.15849816192721</v>
      </c>
      <c r="Q49" s="32" t="n">
        <v>-3.15849816192721</v>
      </c>
      <c r="R49" s="30" t="n">
        <f aca="false">_xlfn.MINIFS('Piece check'!$K$6:$K$1643,'Piece check'!$B$6:$B$1643,B49)</f>
        <v>-3.15849816192721</v>
      </c>
      <c r="S49" s="18" t="n">
        <f aca="false">MAX(0,GWL-R49)</f>
        <v>1.6584981619272</v>
      </c>
      <c r="T49" s="18" t="n">
        <f aca="false">MAX(0,NG-R49)</f>
        <v>2.4584981619272</v>
      </c>
      <c r="U49" s="31" t="n">
        <f aca="false">SUMIFS('Piece check'!$R$6:$R$1643,'Piece check'!$B$6:$B$1643,B49)</f>
        <v>5.90000000019347</v>
      </c>
      <c r="V49" s="21" t="n">
        <f aca="false">O49-U49</f>
        <v>17.1999999999519</v>
      </c>
      <c r="W49" s="12" t="str">
        <f aca="false">IF(U49&lt;0.05,"Open cut",IF(V49&lt;0.05,"Sheet piles","Mixed: "&amp;TEXT(U49,"0")&amp;" m sheet piles"))</f>
        <v>Mixed: 6 m sheet piles</v>
      </c>
      <c r="X49" s="33" t="n">
        <f aca="false">SUMIFS('Piece check'!$V$6:$V$1643,'Piece check'!$B$6:$B$1643,B49)</f>
        <v>67.5503797257722</v>
      </c>
      <c r="Y49" s="33" t="n">
        <f aca="false">SUMIFS('Piece check'!$W$6:$W$1643,'Piece check'!$B$6:$B$1643,B49)</f>
        <v>399.343465218067</v>
      </c>
      <c r="Z49" s="33" t="n">
        <f aca="false">SUMIFS('Piece check'!$X$6:$X$1643,'Piece check'!$B$6:$B$1643,B49)</f>
        <v>42.2383075407843</v>
      </c>
      <c r="AA49" s="33" t="n">
        <f aca="false">SUMIFS('Piece check'!$Y$6:$Y$1643,'Piece check'!$B$6:$B$1643,B49)</f>
        <v>128.080722371758</v>
      </c>
      <c r="AB49" s="20" t="n">
        <f aca="false">MAX(0,X49+Y49-Z49-AA49)</f>
        <v>296.574815031297</v>
      </c>
      <c r="AC49" s="20" t="n">
        <f aca="false">(ROUNDUP(O49/PILE_SP,0)+1)*IF(N49&gt;=PILE_THR,PILE_N_LARGE,PILE_N_SMALL)</f>
        <v>18</v>
      </c>
      <c r="AD49" s="20" t="n">
        <f aca="false">2*U49</f>
        <v>11.8000000003869</v>
      </c>
      <c r="AE49" s="34" t="n">
        <f aca="false">IF(U49&gt;0,ROUNDUP(T49*SHEET_RATIO,0),0)</f>
        <v>5</v>
      </c>
      <c r="AF49" s="20" t="n">
        <f aca="false">AD49*AE49</f>
        <v>59.0000000019347</v>
      </c>
      <c r="AG49" s="18" t="n">
        <f aca="false">MAX(0,GWL-(R49-DD_BELOW))</f>
        <v>2.15849816192721</v>
      </c>
      <c r="AH49" s="12" t="str">
        <f aca="false">IF(AG49=0,"Not required",IF(AG49&lt;=WP_LIMIT,"Single-stage wellpoints","Deep wells or two-stage wellpoints"))</f>
        <v>Single-stage wellpoints</v>
      </c>
      <c r="AI49" s="30" t="n">
        <f aca="false">MIN(_xlfn.MINIFS('Piece check'!$Z$6:$Z$1643,'Piece check'!$B$6:$B$1643,B49),_xlfn.MINIFS('Piece check'!$AA$6:$AA$1643,'Piece check'!$B$6:$B$1643,B49))</f>
        <v>0</v>
      </c>
      <c r="AJ49" s="30" t="n">
        <f aca="false">MIN(_xlfn.MINIFS('Piece check'!$AB$6:$AB$1643,'Piece check'!$B$6:$B$1643,B49),_xlfn.MINIFS('Piece check'!$AC$6:$AC$1643,'Piece check'!$B$6:$B$1643,B49))</f>
        <v>0.880591346813453</v>
      </c>
      <c r="AK49" s="12" t="str">
        <f aca="false">IF(AJ49&lt;FOS_FLOT,"Anchor pipe to piled slab (permanent straps)",IF(AI49&lt;FOS_FLOT,"Keep dewatering on until fill reaches FL, or strap to slab","No extra measure"))</f>
        <v>Anchor pipe to piled slab (permanent straps)</v>
      </c>
      <c r="AL49" s="35" t="n">
        <f aca="false">Activities!P480</f>
        <v>46475</v>
      </c>
      <c r="AM49" s="35" t="n">
        <f aca="false">Activities!Q489</f>
        <v>46592</v>
      </c>
      <c r="AN49" s="15" t="n">
        <v>134</v>
      </c>
      <c r="AO49" s="36" t="s">
        <v>2363</v>
      </c>
      <c r="AP49" s="36" t="s">
        <v>2503</v>
      </c>
      <c r="AQ49" s="36" t="s">
        <v>2504</v>
      </c>
      <c r="AR49" s="37" t="n">
        <f aca="false">Activities!P488-Activities!Q486</f>
        <v>15</v>
      </c>
      <c r="AS49" s="37" t="n">
        <f aca="false">IF(Activities!K483=0,0,Activities!Q489-Activities!P483)</f>
        <v>67</v>
      </c>
    </row>
    <row r="50" customFormat="false" ht="15" hidden="false" customHeight="false" outlineLevel="0" collapsed="false">
      <c r="A50" s="15" t="s">
        <v>1075</v>
      </c>
      <c r="B50" s="29" t="s">
        <v>1076</v>
      </c>
      <c r="C50" s="15" t="s">
        <v>391</v>
      </c>
      <c r="D50" s="15" t="s">
        <v>2505</v>
      </c>
      <c r="E50" s="15" t="s">
        <v>2361</v>
      </c>
      <c r="F50" s="15" t="n">
        <v>28</v>
      </c>
      <c r="G50" s="15" t="s">
        <v>2367</v>
      </c>
      <c r="H50" s="15" t="s">
        <v>294</v>
      </c>
      <c r="I50" s="35" t="n">
        <f aca="false">MAX(Structures!$H$5)</f>
        <v>0</v>
      </c>
      <c r="J50" s="15"/>
      <c r="K50" s="16" t="n">
        <v>0</v>
      </c>
      <c r="L50" s="15" t="s">
        <v>358</v>
      </c>
      <c r="M50" s="15" t="n">
        <v>2</v>
      </c>
      <c r="N50" s="30" t="n">
        <f aca="false">_xlfn.MAXIFS('Piece check'!$E$6:$E$1643,'Piece check'!$B$6:$B$1643,B50)</f>
        <v>2.68999339034444</v>
      </c>
      <c r="O50" s="31" t="n">
        <f aca="false">SUMIFS('Piece check'!$D$6:$D$1643,'Piece check'!$B$6:$B$1643,B50)</f>
        <v>20.5210965823392</v>
      </c>
      <c r="P50" s="32" t="n">
        <v>-3.17499669517222</v>
      </c>
      <c r="Q50" s="32" t="n">
        <v>-3.1584988908999</v>
      </c>
      <c r="R50" s="30" t="n">
        <f aca="false">_xlfn.MINIFS('Piece check'!$K$6:$K$1643,'Piece check'!$B$6:$B$1643,B50)</f>
        <v>-3.17499669517222</v>
      </c>
      <c r="S50" s="18" t="n">
        <f aca="false">MAX(0,GWL-R50)</f>
        <v>1.67499669517222</v>
      </c>
      <c r="T50" s="18" t="n">
        <f aca="false">MAX(0,NG-R50)</f>
        <v>2.47499669517222</v>
      </c>
      <c r="U50" s="31" t="n">
        <f aca="false">SUMIFS('Piece check'!$R$6:$R$1643,'Piece check'!$B$6:$B$1643,B50)</f>
        <v>0</v>
      </c>
      <c r="V50" s="21" t="n">
        <f aca="false">O50-U50</f>
        <v>20.5210965823392</v>
      </c>
      <c r="W50" s="12" t="str">
        <f aca="false">IF(U50&lt;0.05,"Open cut",IF(V50&lt;0.05,"Sheet piles","Mixed: "&amp;TEXT(U50,"0")&amp;" m sheet piles"))</f>
        <v>Open cut</v>
      </c>
      <c r="X50" s="33" t="n">
        <f aca="false">SUMIFS('Piece check'!$V$6:$V$1643,'Piece check'!$B$6:$B$1643,B50)</f>
        <v>0</v>
      </c>
      <c r="Y50" s="33" t="n">
        <f aca="false">SUMIFS('Piece check'!$W$6:$W$1643,'Piece check'!$B$6:$B$1643,B50)</f>
        <v>482.209441585664</v>
      </c>
      <c r="Z50" s="33" t="n">
        <f aca="false">SUMIFS('Piece check'!$X$6:$X$1643,'Piece check'!$B$6:$B$1643,B50)</f>
        <v>37.8184609294362</v>
      </c>
      <c r="AA50" s="33" t="n">
        <f aca="false">SUMIFS('Piece check'!$Y$6:$Y$1643,'Piece check'!$B$6:$B$1643,B50)</f>
        <v>116.265054295622</v>
      </c>
      <c r="AB50" s="20" t="n">
        <f aca="false">MAX(0,X50+Y50-Z50-AA50)</f>
        <v>328.125926360605</v>
      </c>
      <c r="AC50" s="20" t="n">
        <f aca="false">(ROUNDUP(O50/PILE_SP,0)+1)*IF(N50&gt;=PILE_THR,PILE_N_LARGE,PILE_N_SMALL)</f>
        <v>16</v>
      </c>
      <c r="AD50" s="20" t="n">
        <f aca="false">2*U50</f>
        <v>0</v>
      </c>
      <c r="AE50" s="34" t="n">
        <f aca="false">IF(U50&gt;0,ROUNDUP(T50*SHEET_RATIO,0),0)</f>
        <v>0</v>
      </c>
      <c r="AF50" s="20" t="n">
        <f aca="false">AD50*AE50</f>
        <v>0</v>
      </c>
      <c r="AG50" s="18" t="n">
        <f aca="false">MAX(0,GWL-(R50-DD_BELOW))</f>
        <v>2.17499669517222</v>
      </c>
      <c r="AH50" s="12" t="str">
        <f aca="false">IF(AG50=0,"Not required",IF(AG50&lt;=WP_LIMIT,"Single-stage wellpoints","Deep wells or two-stage wellpoints"))</f>
        <v>Single-stage wellpoints</v>
      </c>
      <c r="AI50" s="30" t="n">
        <f aca="false">MIN(_xlfn.MINIFS('Piece check'!$Z$6:$Z$1643,'Piece check'!$B$6:$B$1643,B50),_xlfn.MINIFS('Piece check'!$AA$6:$AA$1643,'Piece check'!$B$6:$B$1643,B50))</f>
        <v>0</v>
      </c>
      <c r="AJ50" s="30" t="n">
        <f aca="false">MIN(_xlfn.MINIFS('Piece check'!$AB$6:$AB$1643,'Piece check'!$B$6:$B$1643,B50),_xlfn.MINIFS('Piece check'!$AC$6:$AC$1643,'Piece check'!$B$6:$B$1643,B50))</f>
        <v>0.855460755769288</v>
      </c>
      <c r="AK50" s="12" t="str">
        <f aca="false">IF(AJ50&lt;FOS_FLOT,"Anchor pipe to piled slab (permanent straps)",IF(AI50&lt;FOS_FLOT,"Keep dewatering on until fill reaches FL, or strap to slab","No extra measure"))</f>
        <v>Anchor pipe to piled slab (permanent straps)</v>
      </c>
      <c r="AL50" s="35" t="n">
        <f aca="false">Activities!P491</f>
        <v>46475</v>
      </c>
      <c r="AM50" s="35" t="n">
        <f aca="false">Activities!Q500</f>
        <v>46590</v>
      </c>
      <c r="AN50" s="15" t="n">
        <v>135</v>
      </c>
      <c r="AO50" s="36" t="s">
        <v>2363</v>
      </c>
      <c r="AP50" s="36" t="s">
        <v>2506</v>
      </c>
      <c r="AQ50" s="36" t="s">
        <v>2507</v>
      </c>
      <c r="AR50" s="37" t="n">
        <f aca="false">Activities!P499-Activities!Q497</f>
        <v>12</v>
      </c>
      <c r="AS50" s="37" t="n">
        <f aca="false">IF(Activities!K494=0,0,Activities!Q500-Activities!P494)</f>
        <v>112</v>
      </c>
    </row>
    <row r="51" customFormat="false" ht="15" hidden="false" customHeight="false" outlineLevel="0" collapsed="false">
      <c r="A51" s="15" t="s">
        <v>1136</v>
      </c>
      <c r="B51" s="29" t="s">
        <v>1143</v>
      </c>
      <c r="C51" s="15" t="s">
        <v>391</v>
      </c>
      <c r="D51" s="15" t="s">
        <v>2508</v>
      </c>
      <c r="E51" s="15" t="s">
        <v>2361</v>
      </c>
      <c r="F51" s="15" t="n">
        <v>28</v>
      </c>
      <c r="G51" s="15" t="s">
        <v>2362</v>
      </c>
      <c r="H51" s="15"/>
      <c r="I51" s="16" t="n">
        <v>0</v>
      </c>
      <c r="J51" s="15"/>
      <c r="K51" s="16" t="n">
        <v>0</v>
      </c>
      <c r="L51" s="15" t="s">
        <v>358</v>
      </c>
      <c r="M51" s="15" t="n">
        <v>0</v>
      </c>
      <c r="N51" s="30" t="n">
        <f aca="false">_xlfn.MAXIFS('Piece check'!$E$6:$E$1643,'Piece check'!$B$6:$B$1643,B51)</f>
        <v>2.65699632385441</v>
      </c>
      <c r="O51" s="31" t="n">
        <f aca="false">SUMIFS('Piece check'!$D$6:$D$1643,'Piece check'!$B$6:$B$1643,B51)</f>
        <v>20.2371217176385</v>
      </c>
      <c r="P51" s="32" t="n">
        <v>-3.15849816192721</v>
      </c>
      <c r="Q51" s="32" t="n">
        <v>-3.15849816192721</v>
      </c>
      <c r="R51" s="30" t="n">
        <f aca="false">_xlfn.MINIFS('Piece check'!$K$6:$K$1643,'Piece check'!$B$6:$B$1643,B51)</f>
        <v>-3.15849816192721</v>
      </c>
      <c r="S51" s="18" t="n">
        <f aca="false">MAX(0,GWL-R51)</f>
        <v>1.6584981619272</v>
      </c>
      <c r="T51" s="18" t="n">
        <f aca="false">MAX(0,NG-R51)</f>
        <v>2.4584981619272</v>
      </c>
      <c r="U51" s="31" t="n">
        <f aca="false">SUMIFS('Piece check'!$R$6:$R$1643,'Piece check'!$B$6:$B$1643,B51)</f>
        <v>14.0999999993481</v>
      </c>
      <c r="V51" s="21" t="n">
        <f aca="false">O51-U51</f>
        <v>6.13712171829039</v>
      </c>
      <c r="W51" s="12" t="str">
        <f aca="false">IF(U51&lt;0.05,"Open cut",IF(V51&lt;0.05,"Sheet piles","Mixed: "&amp;TEXT(U51,"0")&amp;" m sheet piles"))</f>
        <v>Mixed: 14 m sheet piles</v>
      </c>
      <c r="X51" s="33" t="n">
        <f aca="false">SUMIFS('Piece check'!$V$6:$V$1643,'Piece check'!$B$6:$B$1643,B51)</f>
        <v>161.433958314935</v>
      </c>
      <c r="Y51" s="33" t="n">
        <f aca="false">SUMIFS('Piece check'!$W$6:$W$1643,'Piece check'!$B$6:$B$1643,B51)</f>
        <v>142.48950310779</v>
      </c>
      <c r="Z51" s="33" t="n">
        <f aca="false">SUMIFS('Piece check'!$X$6:$X$1643,'Piece check'!$B$6:$B$1643,B51)</f>
        <v>37.0035398633991</v>
      </c>
      <c r="AA51" s="33" t="n">
        <f aca="false">SUMIFS('Piece check'!$Y$6:$Y$1643,'Piece check'!$B$6:$B$1643,B51)</f>
        <v>112.207150143031</v>
      </c>
      <c r="AB51" s="20" t="n">
        <f aca="false">MAX(0,X51+Y51-Z51-AA51)</f>
        <v>154.712771416295</v>
      </c>
      <c r="AC51" s="20" t="n">
        <f aca="false">(ROUNDUP(O51/PILE_SP,0)+1)*IF(N51&gt;=PILE_THR,PILE_N_LARGE,PILE_N_SMALL)</f>
        <v>16</v>
      </c>
      <c r="AD51" s="20" t="n">
        <f aca="false">2*U51</f>
        <v>28.1999999986962</v>
      </c>
      <c r="AE51" s="34" t="n">
        <f aca="false">IF(U51&gt;0,ROUNDUP(T51*SHEET_RATIO,0),0)</f>
        <v>5</v>
      </c>
      <c r="AF51" s="20" t="n">
        <f aca="false">AD51*AE51</f>
        <v>140.999999993481</v>
      </c>
      <c r="AG51" s="18" t="n">
        <f aca="false">MAX(0,GWL-(R51-DD_BELOW))</f>
        <v>2.15849816192721</v>
      </c>
      <c r="AH51" s="12" t="str">
        <f aca="false">IF(AG51=0,"Not required",IF(AG51&lt;=WP_LIMIT,"Single-stage wellpoints","Deep wells or two-stage wellpoints"))</f>
        <v>Single-stage wellpoints</v>
      </c>
      <c r="AI51" s="30" t="n">
        <f aca="false">MIN(_xlfn.MINIFS('Piece check'!$Z$6:$Z$1643,'Piece check'!$B$6:$B$1643,B51),_xlfn.MINIFS('Piece check'!$AA$6:$AA$1643,'Piece check'!$B$6:$B$1643,B51))</f>
        <v>0</v>
      </c>
      <c r="AJ51" s="30" t="n">
        <f aca="false">MIN(_xlfn.MINIFS('Piece check'!$AB$6:$AB$1643,'Piece check'!$B$6:$B$1643,B51),_xlfn.MINIFS('Piece check'!$AC$6:$AC$1643,'Piece check'!$B$6:$B$1643,B51))</f>
        <v>0.880591346813453</v>
      </c>
      <c r="AK51" s="12" t="str">
        <f aca="false">IF(AJ51&lt;FOS_FLOT,"Anchor pipe to piled slab (permanent straps)",IF(AI51&lt;FOS_FLOT,"Keep dewatering on until fill reaches FL, or strap to slab","No extra measure"))</f>
        <v>Anchor pipe to piled slab (permanent straps)</v>
      </c>
      <c r="AL51" s="35" t="n">
        <f aca="false">Activities!P502</f>
        <v>46479</v>
      </c>
      <c r="AM51" s="35" t="n">
        <f aca="false">Activities!Q511</f>
        <v>46594</v>
      </c>
      <c r="AN51" s="15" t="n">
        <v>136</v>
      </c>
      <c r="AO51" s="36" t="s">
        <v>2374</v>
      </c>
      <c r="AP51" s="36" t="s">
        <v>2509</v>
      </c>
      <c r="AQ51" s="36" t="s">
        <v>2510</v>
      </c>
      <c r="AR51" s="37" t="n">
        <f aca="false">Activities!P510-Activities!Q508</f>
        <v>11</v>
      </c>
      <c r="AS51" s="37" t="n">
        <f aca="false">IF(Activities!K505=0,0,Activities!Q511-Activities!P505)</f>
        <v>66</v>
      </c>
    </row>
    <row r="52" customFormat="false" ht="15" hidden="false" customHeight="false" outlineLevel="0" collapsed="false">
      <c r="A52" s="15" t="s">
        <v>1136</v>
      </c>
      <c r="B52" s="29" t="s">
        <v>1137</v>
      </c>
      <c r="C52" s="15" t="s">
        <v>391</v>
      </c>
      <c r="D52" s="15" t="s">
        <v>2511</v>
      </c>
      <c r="E52" s="15" t="s">
        <v>2361</v>
      </c>
      <c r="F52" s="15" t="n">
        <v>28</v>
      </c>
      <c r="G52" s="15" t="s">
        <v>2367</v>
      </c>
      <c r="H52" s="15" t="s">
        <v>294</v>
      </c>
      <c r="I52" s="35" t="n">
        <f aca="false">MAX(Structures!$H$5)</f>
        <v>0</v>
      </c>
      <c r="J52" s="15"/>
      <c r="K52" s="16" t="n">
        <v>0</v>
      </c>
      <c r="L52" s="15" t="s">
        <v>358</v>
      </c>
      <c r="M52" s="15" t="n">
        <v>2</v>
      </c>
      <c r="N52" s="30" t="n">
        <f aca="false">_xlfn.MAXIFS('Piece check'!$E$6:$E$1643,'Piece check'!$B$6:$B$1643,B52)</f>
        <v>2.6900070694241</v>
      </c>
      <c r="O52" s="31" t="n">
        <f aca="false">SUMIFS('Piece check'!$D$6:$D$1643,'Piece check'!$B$6:$B$1643,B52)</f>
        <v>23.8628782815891</v>
      </c>
      <c r="P52" s="32" t="n">
        <v>-3.17500353471205</v>
      </c>
      <c r="Q52" s="32" t="n">
        <v>-3.15849816192721</v>
      </c>
      <c r="R52" s="30" t="n">
        <f aca="false">_xlfn.MINIFS('Piece check'!$K$6:$K$1643,'Piece check'!$B$6:$B$1643,B52)</f>
        <v>-3.17500353471205</v>
      </c>
      <c r="S52" s="18" t="n">
        <f aca="false">MAX(0,GWL-R52)</f>
        <v>1.67500353471205</v>
      </c>
      <c r="T52" s="18" t="n">
        <f aca="false">MAX(0,NG-R52)</f>
        <v>2.47500353471205</v>
      </c>
      <c r="U52" s="31" t="n">
        <f aca="false">SUMIFS('Piece check'!$R$6:$R$1643,'Piece check'!$B$6:$B$1643,B52)</f>
        <v>0</v>
      </c>
      <c r="V52" s="21" t="n">
        <f aca="false">O52-U52</f>
        <v>23.8628782815891</v>
      </c>
      <c r="W52" s="12" t="str">
        <f aca="false">IF(U52&lt;0.05,"Open cut",IF(V52&lt;0.05,"Sheet piles","Mixed: "&amp;TEXT(U52,"0")&amp;" m sheet piles"))</f>
        <v>Open cut</v>
      </c>
      <c r="X52" s="33" t="n">
        <f aca="false">SUMIFS('Piece check'!$V$6:$V$1643,'Piece check'!$B$6:$B$1643,B52)</f>
        <v>0</v>
      </c>
      <c r="Y52" s="33" t="n">
        <f aca="false">SUMIFS('Piece check'!$W$6:$W$1643,'Piece check'!$B$6:$B$1643,B52)</f>
        <v>560.874234674013</v>
      </c>
      <c r="Z52" s="33" t="n">
        <f aca="false">SUMIFS('Piece check'!$X$6:$X$1643,'Piece check'!$B$6:$B$1643,B52)</f>
        <v>43.9841808889515</v>
      </c>
      <c r="AA52" s="33" t="n">
        <f aca="false">SUMIFS('Piece check'!$Y$6:$Y$1643,'Piece check'!$B$6:$B$1643,B52)</f>
        <v>135.258255538404</v>
      </c>
      <c r="AB52" s="20" t="n">
        <f aca="false">MAX(0,X52+Y52-Z52-AA52)</f>
        <v>381.631798246657</v>
      </c>
      <c r="AC52" s="20" t="n">
        <f aca="false">(ROUNDUP(O52/PILE_SP,0)+1)*IF(N52&gt;=PILE_THR,PILE_N_LARGE,PILE_N_SMALL)</f>
        <v>18</v>
      </c>
      <c r="AD52" s="20" t="n">
        <f aca="false">2*U52</f>
        <v>0</v>
      </c>
      <c r="AE52" s="34" t="n">
        <f aca="false">IF(U52&gt;0,ROUNDUP(T52*SHEET_RATIO,0),0)</f>
        <v>0</v>
      </c>
      <c r="AF52" s="20" t="n">
        <f aca="false">AD52*AE52</f>
        <v>0</v>
      </c>
      <c r="AG52" s="18" t="n">
        <f aca="false">MAX(0,GWL-(R52-DD_BELOW))</f>
        <v>2.17500353471205</v>
      </c>
      <c r="AH52" s="12" t="str">
        <f aca="false">IF(AG52=0,"Not required",IF(AG52&lt;=WP_LIMIT,"Single-stage wellpoints","Deep wells or two-stage wellpoints"))</f>
        <v>Single-stage wellpoints</v>
      </c>
      <c r="AI52" s="30" t="n">
        <f aca="false">MIN(_xlfn.MINIFS('Piece check'!$Z$6:$Z$1643,'Piece check'!$B$6:$B$1643,B52),_xlfn.MINIFS('Piece check'!$AA$6:$AA$1643,'Piece check'!$B$6:$B$1643,B52))</f>
        <v>0</v>
      </c>
      <c r="AJ52" s="30" t="n">
        <f aca="false">MIN(_xlfn.MINIFS('Piece check'!$AB$6:$AB$1643,'Piece check'!$B$6:$B$1643,B52),_xlfn.MINIFS('Piece check'!$AC$6:$AC$1643,'Piece check'!$B$6:$B$1643,B52))</f>
        <v>0.855450465617484</v>
      </c>
      <c r="AK52" s="12" t="str">
        <f aca="false">IF(AJ52&lt;FOS_FLOT,"Anchor pipe to piled slab (permanent straps)",IF(AI52&lt;FOS_FLOT,"Keep dewatering on until fill reaches FL, or strap to slab","No extra measure"))</f>
        <v>Anchor pipe to piled slab (permanent straps)</v>
      </c>
      <c r="AL52" s="35" t="n">
        <f aca="false">Activities!P513</f>
        <v>46484</v>
      </c>
      <c r="AM52" s="35" t="n">
        <f aca="false">Activities!Q522</f>
        <v>46592</v>
      </c>
      <c r="AN52" s="15" t="n">
        <v>137</v>
      </c>
      <c r="AO52" s="36" t="s">
        <v>2363</v>
      </c>
      <c r="AP52" s="36" t="s">
        <v>2512</v>
      </c>
      <c r="AQ52" s="36" t="s">
        <v>2513</v>
      </c>
      <c r="AR52" s="37" t="n">
        <f aca="false">Activities!P521-Activities!Q519</f>
        <v>-2</v>
      </c>
      <c r="AS52" s="37" t="n">
        <f aca="false">IF(Activities!K516=0,0,Activities!Q522-Activities!P516)</f>
        <v>105</v>
      </c>
    </row>
    <row r="53" customFormat="false" ht="15" hidden="false" customHeight="false" outlineLevel="0" collapsed="false">
      <c r="A53" s="15" t="s">
        <v>1075</v>
      </c>
      <c r="B53" s="29" t="s">
        <v>1132</v>
      </c>
      <c r="C53" s="15" t="s">
        <v>391</v>
      </c>
      <c r="D53" s="15" t="s">
        <v>2514</v>
      </c>
      <c r="E53" s="15" t="s">
        <v>2361</v>
      </c>
      <c r="F53" s="15" t="n">
        <v>28</v>
      </c>
      <c r="G53" s="15" t="s">
        <v>2367</v>
      </c>
      <c r="H53" s="15" t="s">
        <v>348</v>
      </c>
      <c r="I53" s="35" t="n">
        <f aca="false">MAX(Structures!$H$26)</f>
        <v>0</v>
      </c>
      <c r="J53" s="15"/>
      <c r="K53" s="16" t="n">
        <v>0</v>
      </c>
      <c r="L53" s="15" t="s">
        <v>358</v>
      </c>
      <c r="M53" s="15" t="n">
        <v>0</v>
      </c>
      <c r="N53" s="30" t="n">
        <f aca="false">_xlfn.MAXIFS('Piece check'!$E$6:$E$1643,'Piece check'!$B$6:$B$1643,B53)</f>
        <v>2.65699925074753</v>
      </c>
      <c r="O53" s="31" t="n">
        <f aca="false">SUMIFS('Piece check'!$D$6:$D$1643,'Piece check'!$B$6:$B$1643,B53)</f>
        <v>5.99994133227277</v>
      </c>
      <c r="P53" s="32" t="n">
        <v>-4.98849962537376</v>
      </c>
      <c r="Q53" s="32" t="n">
        <v>-4.98849701298165</v>
      </c>
      <c r="R53" s="30" t="n">
        <f aca="false">_xlfn.MINIFS('Piece check'!$K$6:$K$1643,'Piece check'!$B$6:$B$1643,B53)</f>
        <v>-4.98849962537376</v>
      </c>
      <c r="S53" s="18" t="n">
        <f aca="false">MAX(0,GWL-R53)</f>
        <v>3.48849962537376</v>
      </c>
      <c r="T53" s="18" t="n">
        <f aca="false">MAX(0,NG-R53)</f>
        <v>4.28849962537376</v>
      </c>
      <c r="U53" s="31" t="n">
        <f aca="false">SUMIFS('Piece check'!$R$6:$R$1643,'Piece check'!$B$6:$B$1643,B53)</f>
        <v>5.99994133227277</v>
      </c>
      <c r="V53" s="21" t="n">
        <f aca="false">O53-U53</f>
        <v>0</v>
      </c>
      <c r="W53" s="12" t="str">
        <f aca="false">IF(U53&lt;0.05,"Open cut",IF(V53&lt;0.05,"Sheet piles","Mixed: "&amp;TEXT(U53,"0")&amp;" m sheet piles"))</f>
        <v>Sheet piles</v>
      </c>
      <c r="X53" s="33" t="n">
        <f aca="false">SUMIFS('Piece check'!$V$6:$V$1643,'Piece check'!$B$6:$B$1643,B53)</f>
        <v>119.827979351793</v>
      </c>
      <c r="Y53" s="33" t="n">
        <f aca="false">SUMIFS('Piece check'!$W$6:$W$1643,'Piece check'!$B$6:$B$1643,B53)</f>
        <v>0</v>
      </c>
      <c r="Z53" s="33" t="n">
        <f aca="false">SUMIFS('Piece check'!$X$6:$X$1643,'Piece check'!$B$6:$B$1643,B53)</f>
        <v>10.9708839635455</v>
      </c>
      <c r="AA53" s="33" t="n">
        <f aca="false">SUMIFS('Piece check'!$Y$6:$Y$1643,'Piece check'!$B$6:$B$1643,B53)</f>
        <v>33.2674137193307</v>
      </c>
      <c r="AB53" s="20" t="n">
        <f aca="false">MAX(0,X53+Y53-Z53-AA53)</f>
        <v>75.5896816689173</v>
      </c>
      <c r="AC53" s="20" t="n">
        <f aca="false">(ROUNDUP(O53/PILE_SP,0)+1)*IF(N53&gt;=PILE_THR,PILE_N_LARGE,PILE_N_SMALL)</f>
        <v>6</v>
      </c>
      <c r="AD53" s="20" t="n">
        <f aca="false">2*U53</f>
        <v>11.9998826645455</v>
      </c>
      <c r="AE53" s="34" t="n">
        <f aca="false">IF(U53&gt;0,ROUNDUP(T53*SHEET_RATIO,0),0)</f>
        <v>9</v>
      </c>
      <c r="AF53" s="20" t="n">
        <f aca="false">AD53*AE53</f>
        <v>107.99894398091</v>
      </c>
      <c r="AG53" s="18" t="n">
        <f aca="false">MAX(0,GWL-(R53-DD_BELOW))</f>
        <v>3.98849962537376</v>
      </c>
      <c r="AH53" s="12" t="str">
        <f aca="false">IF(AG53=0,"Not required",IF(AG53&lt;=WP_LIMIT,"Single-stage wellpoints","Deep wells or two-stage wellpoints"))</f>
        <v>Single-stage wellpoints</v>
      </c>
      <c r="AI53" s="30" t="n">
        <f aca="false">MIN(_xlfn.MINIFS('Piece check'!$Z$6:$Z$1643,'Piece check'!$B$6:$B$1643,B53),_xlfn.MINIFS('Piece check'!$AA$6:$AA$1643,'Piece check'!$B$6:$B$1643,B53))</f>
        <v>0.836038505066762</v>
      </c>
      <c r="AJ53" s="30" t="n">
        <f aca="false">MIN(_xlfn.MINIFS('Piece check'!$AB$6:$AB$1643,'Piece check'!$B$6:$B$1643,B53),_xlfn.MINIFS('Piece check'!$AC$6:$AC$1643,'Piece check'!$B$6:$B$1643,B53))</f>
        <v>2.3307972599731</v>
      </c>
      <c r="AK53" s="12" t="str">
        <f aca="false">IF(AJ53&lt;FOS_FLOT,"Anchor pipe to piled slab (permanent straps)",IF(AI53&lt;FOS_FLOT,"Keep dewatering on until fill reaches FL, or strap to slab","No extra measure"))</f>
        <v>Keep dewatering on until fill reaches FL, or strap to slab</v>
      </c>
      <c r="AL53" s="35" t="n">
        <f aca="false">Activities!P524</f>
        <v>46392</v>
      </c>
      <c r="AM53" s="35" t="n">
        <f aca="false">Activities!Q533</f>
        <v>46468</v>
      </c>
      <c r="AN53" s="15" t="n">
        <v>138</v>
      </c>
      <c r="AO53" s="36" t="s">
        <v>2374</v>
      </c>
      <c r="AP53" s="36" t="s">
        <v>2515</v>
      </c>
      <c r="AQ53" s="36" t="s">
        <v>2516</v>
      </c>
      <c r="AR53" s="37" t="n">
        <f aca="false">Activities!P532-Activities!Q530</f>
        <v>-1</v>
      </c>
      <c r="AS53" s="37" t="n">
        <f aca="false">IF(Activities!K527=0,0,Activities!Q533-Activities!P527)</f>
        <v>73</v>
      </c>
    </row>
    <row r="54" customFormat="false" ht="15" hidden="false" customHeight="false" outlineLevel="0" collapsed="false">
      <c r="A54" s="15" t="s">
        <v>1502</v>
      </c>
      <c r="B54" s="29" t="s">
        <v>1564</v>
      </c>
      <c r="C54" s="15" t="s">
        <v>391</v>
      </c>
      <c r="D54" s="15" t="s">
        <v>2517</v>
      </c>
      <c r="E54" s="15" t="s">
        <v>2518</v>
      </c>
      <c r="F54" s="15" t="n">
        <v>28</v>
      </c>
      <c r="G54" s="15" t="s">
        <v>2367</v>
      </c>
      <c r="H54" s="15" t="s">
        <v>325</v>
      </c>
      <c r="I54" s="35" t="n">
        <f aca="false">MAX(Structures!$H$17)</f>
        <v>0</v>
      </c>
      <c r="J54" s="15"/>
      <c r="K54" s="16" t="n">
        <v>0</v>
      </c>
      <c r="L54" s="15" t="s">
        <v>358</v>
      </c>
      <c r="M54" s="15" t="n">
        <v>2</v>
      </c>
      <c r="N54" s="30" t="n">
        <f aca="false">_xlfn.MAXIFS('Piece check'!$E$6:$E$1643,'Piece check'!$B$6:$B$1643,B54)</f>
        <v>0.999998411198069</v>
      </c>
      <c r="O54" s="31" t="n">
        <f aca="false">SUMIFS('Piece check'!$D$6:$D$1643,'Piece check'!$B$6:$B$1643,B54)</f>
        <v>30.3665462773059</v>
      </c>
      <c r="P54" s="32" t="n">
        <v>-4.09999920559904</v>
      </c>
      <c r="Q54" s="32" t="n">
        <v>-4.09999562689627</v>
      </c>
      <c r="R54" s="30" t="n">
        <f aca="false">_xlfn.MINIFS('Piece check'!$K$6:$K$1643,'Piece check'!$B$6:$B$1643,B54)</f>
        <v>-4.09999920559904</v>
      </c>
      <c r="S54" s="18" t="n">
        <f aca="false">MAX(0,GWL-R54)</f>
        <v>2.59999920559904</v>
      </c>
      <c r="T54" s="18" t="n">
        <f aca="false">MAX(0,NG-R54)</f>
        <v>3.39999920559904</v>
      </c>
      <c r="U54" s="31" t="n">
        <f aca="false">SUMIFS('Piece check'!$R$6:$R$1643,'Piece check'!$B$6:$B$1643,B54)</f>
        <v>30.3665462773059</v>
      </c>
      <c r="V54" s="21" t="n">
        <f aca="false">O54-U54</f>
        <v>0</v>
      </c>
      <c r="W54" s="12" t="str">
        <f aca="false">IF(U54&lt;0.05,"Open cut",IF(V54&lt;0.05,"Sheet piles","Mixed: "&amp;TEXT(U54,"0")&amp;" m sheet piles"))</f>
        <v>Sheet piles</v>
      </c>
      <c r="X54" s="33" t="n">
        <f aca="false">SUMIFS('Piece check'!$V$6:$V$1643,'Piece check'!$B$6:$B$1643,B54)</f>
        <v>309.738522322029</v>
      </c>
      <c r="Y54" s="33" t="n">
        <f aca="false">SUMIFS('Piece check'!$W$6:$W$1643,'Piece check'!$B$6:$B$1643,B54)</f>
        <v>0</v>
      </c>
      <c r="Z54" s="33" t="n">
        <f aca="false">SUMIFS('Piece check'!$X$6:$X$1643,'Piece check'!$B$6:$B$1643,B54)</f>
        <v>30.3665207970464</v>
      </c>
      <c r="AA54" s="33" t="n">
        <f aca="false">SUMIFS('Piece check'!$Y$6:$Y$1643,'Piece check'!$B$6:$B$1643,B54)</f>
        <v>23.8497496264059</v>
      </c>
      <c r="AB54" s="20" t="n">
        <f aca="false">MAX(0,X54+Y54-Z54-AA54)</f>
        <v>255.522251898577</v>
      </c>
      <c r="AC54" s="20" t="n">
        <f aca="false">(ROUNDUP(O54/PILE_SP,0)+1)*IF(N54&gt;=PILE_THR,PILE_N_LARGE,PILE_N_SMALL)</f>
        <v>12</v>
      </c>
      <c r="AD54" s="20" t="n">
        <f aca="false">2*U54</f>
        <v>60.7330925546117</v>
      </c>
      <c r="AE54" s="34" t="n">
        <f aca="false">IF(U54&gt;0,ROUNDUP(T54*SHEET_RATIO,0),0)</f>
        <v>7</v>
      </c>
      <c r="AF54" s="20" t="n">
        <f aca="false">AD54*AE54</f>
        <v>425.131647882282</v>
      </c>
      <c r="AG54" s="18" t="n">
        <f aca="false">MAX(0,GWL-(R54-DD_BELOW))</f>
        <v>3.09999920559904</v>
      </c>
      <c r="AH54" s="12" t="str">
        <f aca="false">IF(AG54=0,"Not required",IF(AG54&lt;=WP_LIMIT,"Single-stage wellpoints","Deep wells or two-stage wellpoints"))</f>
        <v>Single-stage wellpoints</v>
      </c>
      <c r="AI54" s="30" t="n">
        <f aca="false">MIN(_xlfn.MINIFS('Piece check'!$Z$6:$Z$1643,'Piece check'!$B$6:$B$1643,B54),_xlfn.MINIFS('Piece check'!$AA$6:$AA$1643,'Piece check'!$B$6:$B$1643,B54))</f>
        <v>3.0382589338772</v>
      </c>
      <c r="AJ54" s="30" t="n">
        <f aca="false">MIN(_xlfn.MINIFS('Piece check'!$AB$6:$AB$1643,'Piece check'!$B$6:$B$1643,B54),_xlfn.MINIFS('Piece check'!$AC$6:$AC$1643,'Piece check'!$B$6:$B$1643,B54))</f>
        <v>7.00983813576436</v>
      </c>
      <c r="AK54" s="12" t="str">
        <f aca="false">IF(AJ54&lt;FOS_FLOT,"Anchor pipe to piled slab (permanent straps)",IF(AI54&lt;FOS_FLOT,"Keep dewatering on until fill reaches FL, or strap to slab","No extra measure"))</f>
        <v>No extra measure</v>
      </c>
      <c r="AL54" s="35" t="n">
        <f aca="false">Activities!P535</f>
        <v>46483</v>
      </c>
      <c r="AM54" s="35" t="n">
        <f aca="false">Activities!Q544</f>
        <v>46592</v>
      </c>
      <c r="AN54" s="15" t="n">
        <v>139</v>
      </c>
      <c r="AO54" s="36" t="s">
        <v>2519</v>
      </c>
      <c r="AP54" s="36" t="s">
        <v>2520</v>
      </c>
      <c r="AQ54" s="36" t="s">
        <v>2521</v>
      </c>
      <c r="AR54" s="37" t="n">
        <f aca="false">Activities!P543-Activities!Q541</f>
        <v>-2</v>
      </c>
      <c r="AS54" s="37" t="n">
        <f aca="false">IF(Activities!K538=0,0,Activities!Q544-Activities!P538)</f>
        <v>104</v>
      </c>
    </row>
    <row r="55" customFormat="false" ht="15" hidden="false" customHeight="false" outlineLevel="0" collapsed="false">
      <c r="A55" s="15" t="s">
        <v>1840</v>
      </c>
      <c r="B55" s="29" t="s">
        <v>1841</v>
      </c>
      <c r="C55" s="15" t="s">
        <v>391</v>
      </c>
      <c r="D55" s="15" t="s">
        <v>2522</v>
      </c>
      <c r="E55" s="15" t="s">
        <v>2518</v>
      </c>
      <c r="F55" s="15" t="n">
        <v>28</v>
      </c>
      <c r="G55" s="15" t="s">
        <v>2523</v>
      </c>
      <c r="H55" s="15" t="s">
        <v>2524</v>
      </c>
      <c r="I55" s="35" t="n">
        <f aca="false">MAX(Structures!$H$26,Structures!$H$17)</f>
        <v>0</v>
      </c>
      <c r="J55" s="15"/>
      <c r="K55" s="16" t="n">
        <v>0</v>
      </c>
      <c r="L55" s="15" t="s">
        <v>358</v>
      </c>
      <c r="M55" s="15" t="n">
        <v>8</v>
      </c>
      <c r="N55" s="30" t="n">
        <f aca="false">_xlfn.MAXIFS('Piece check'!$E$6:$E$1643,'Piece check'!$B$6:$B$1643,B55)</f>
        <v>1.60000626897294</v>
      </c>
      <c r="O55" s="31" t="n">
        <f aca="false">SUMIFS('Piece check'!$D$6:$D$1643,'Piece check'!$B$6:$B$1643,B55)</f>
        <v>37.7243673381659</v>
      </c>
      <c r="P55" s="32" t="n">
        <v>0.790000124417346</v>
      </c>
      <c r="Q55" s="32" t="n">
        <v>-4.00000121517116</v>
      </c>
      <c r="R55" s="30" t="n">
        <f aca="false">_xlfn.MINIFS('Piece check'!$K$6:$K$1643,'Piece check'!$B$6:$B$1643,B55)</f>
        <v>-4.0000012151718</v>
      </c>
      <c r="S55" s="18" t="n">
        <f aca="false">MAX(0,GWL-R55)</f>
        <v>2.5000012151718</v>
      </c>
      <c r="T55" s="18" t="n">
        <f aca="false">MAX(0,NG-R55)</f>
        <v>3.3000012151718</v>
      </c>
      <c r="U55" s="31" t="n">
        <f aca="false">SUMIFS('Piece check'!$R$6:$R$1643,'Piece check'!$B$6:$B$1643,B55)</f>
        <v>27.7243673370429</v>
      </c>
      <c r="V55" s="21" t="n">
        <f aca="false">O55-U55</f>
        <v>10.000000001123</v>
      </c>
      <c r="W55" s="12" t="str">
        <f aca="false">IF(U55&lt;0.05,"Open cut",IF(V55&lt;0.05,"Sheet piles","Mixed: "&amp;TEXT(U55,"0")&amp;" m sheet piles"))</f>
        <v>Mixed: 28 m sheet piles</v>
      </c>
      <c r="X55" s="33" t="n">
        <f aca="false">SUMIFS('Piece check'!$V$6:$V$1643,'Piece check'!$B$6:$B$1643,B55)</f>
        <v>329.283091846103</v>
      </c>
      <c r="Y55" s="33" t="n">
        <f aca="false">SUMIFS('Piece check'!$W$6:$W$1643,'Piece check'!$B$6:$B$1643,B55)</f>
        <v>61.6461890566545</v>
      </c>
      <c r="Z55" s="33" t="n">
        <f aca="false">SUMIFS('Piece check'!$X$6:$X$1643,'Piece check'!$B$6:$B$1643,B55)</f>
        <v>45.0314683601708</v>
      </c>
      <c r="AA55" s="33" t="n">
        <f aca="false">SUMIFS('Piece check'!$Y$6:$Y$1643,'Piece check'!$B$6:$B$1643,B55)</f>
        <v>69.6472083290651</v>
      </c>
      <c r="AB55" s="20" t="n">
        <f aca="false">MAX(0,X55+Y55-Z55-AA55)</f>
        <v>276.250604213522</v>
      </c>
      <c r="AC55" s="20" t="n">
        <f aca="false">(ROUNDUP(O55/PILE_SP,0)+1)*IF(N55&gt;=PILE_THR,PILE_N_LARGE,PILE_N_SMALL)</f>
        <v>28</v>
      </c>
      <c r="AD55" s="20" t="n">
        <f aca="false">2*U55</f>
        <v>55.4487346740858</v>
      </c>
      <c r="AE55" s="34" t="n">
        <f aca="false">IF(U55&gt;0,ROUNDUP(T55*SHEET_RATIO,0),0)</f>
        <v>7</v>
      </c>
      <c r="AF55" s="20" t="n">
        <f aca="false">AD55*AE55</f>
        <v>388.1411427186</v>
      </c>
      <c r="AG55" s="18" t="n">
        <f aca="false">MAX(0,GWL-(R55-DD_BELOW))</f>
        <v>3.0000012151718</v>
      </c>
      <c r="AH55" s="12" t="str">
        <f aca="false">IF(AG55=0,"Not required",IF(AG55&lt;=WP_LIMIT,"Single-stage wellpoints","Deep wells or two-stage wellpoints"))</f>
        <v>Single-stage wellpoints</v>
      </c>
      <c r="AI55" s="30" t="n">
        <f aca="false">MIN(_xlfn.MINIFS('Piece check'!$Z$6:$Z$1643,'Piece check'!$B$6:$B$1643,B55),_xlfn.MINIFS('Piece check'!$AA$6:$AA$1643,'Piece check'!$B$6:$B$1643,B55))</f>
        <v>0.384375006820532</v>
      </c>
      <c r="AJ55" s="30" t="n">
        <f aca="false">MIN(_xlfn.MINIFS('Piece check'!$AB$6:$AB$1643,'Piece check'!$B$6:$B$1643,B55),_xlfn.MINIFS('Piece check'!$AC$6:$AC$1643,'Piece check'!$B$6:$B$1643,B55))</f>
        <v>2.86659833859775</v>
      </c>
      <c r="AK55" s="12" t="str">
        <f aca="false">IF(AJ55&lt;FOS_FLOT,"Anchor pipe to piled slab (permanent straps)",IF(AI55&lt;FOS_FLOT,"Keep dewatering on until fill reaches FL, or strap to slab","No extra measure"))</f>
        <v>Keep dewatering on until fill reaches FL, or strap to slab</v>
      </c>
      <c r="AL55" s="35" t="n">
        <f aca="false">Activities!P546</f>
        <v>46357</v>
      </c>
      <c r="AM55" s="35" t="n">
        <f aca="false">Activities!Q555</f>
        <v>46591</v>
      </c>
      <c r="AN55" s="15" t="n">
        <v>140</v>
      </c>
      <c r="AO55" s="36" t="s">
        <v>2525</v>
      </c>
      <c r="AP55" s="36" t="s">
        <v>2526</v>
      </c>
      <c r="AQ55" s="36" t="s">
        <v>2527</v>
      </c>
      <c r="AR55" s="37" t="n">
        <f aca="false">Activities!P554-Activities!Q552</f>
        <v>73</v>
      </c>
      <c r="AS55" s="37" t="n">
        <f aca="false">IF(Activities!K549=0,0,Activities!Q555-Activities!P549)</f>
        <v>228</v>
      </c>
    </row>
    <row r="56" customFormat="false" ht="15" hidden="false" customHeight="false" outlineLevel="0" collapsed="false">
      <c r="A56" s="15" t="s">
        <v>1136</v>
      </c>
      <c r="B56" s="29" t="s">
        <v>1196</v>
      </c>
      <c r="C56" s="15" t="s">
        <v>391</v>
      </c>
      <c r="D56" s="15" t="s">
        <v>2528</v>
      </c>
      <c r="E56" s="15" t="s">
        <v>2361</v>
      </c>
      <c r="F56" s="15" t="n">
        <v>28</v>
      </c>
      <c r="G56" s="15" t="s">
        <v>2367</v>
      </c>
      <c r="H56" s="15" t="s">
        <v>346</v>
      </c>
      <c r="I56" s="35" t="n">
        <f aca="false">MAX(Structures!$H$25)</f>
        <v>0</v>
      </c>
      <c r="J56" s="15"/>
      <c r="K56" s="16" t="n">
        <v>0</v>
      </c>
      <c r="L56" s="15" t="s">
        <v>358</v>
      </c>
      <c r="M56" s="15" t="n">
        <v>0</v>
      </c>
      <c r="N56" s="30" t="n">
        <f aca="false">_xlfn.MAXIFS('Piece check'!$E$6:$E$1643,'Piece check'!$B$6:$B$1643,B56)</f>
        <v>2.65699402572284</v>
      </c>
      <c r="O56" s="31" t="n">
        <f aca="false">SUMIFS('Piece check'!$D$6:$D$1643,'Piece check'!$B$6:$B$1643,B56)</f>
        <v>5.99997728332391</v>
      </c>
      <c r="P56" s="32" t="n">
        <v>-4.97849701286142</v>
      </c>
      <c r="Q56" s="32" t="n">
        <v>-4.97849701286142</v>
      </c>
      <c r="R56" s="30" t="n">
        <f aca="false">_xlfn.MINIFS('Piece check'!$K$6:$K$1643,'Piece check'!$B$6:$B$1643,B56)</f>
        <v>-4.97849701286142</v>
      </c>
      <c r="S56" s="18" t="n">
        <f aca="false">MAX(0,GWL-R56)</f>
        <v>3.47849701286142</v>
      </c>
      <c r="T56" s="18" t="n">
        <f aca="false">MAX(0,NG-R56)</f>
        <v>4.27849701286142</v>
      </c>
      <c r="U56" s="31" t="n">
        <f aca="false">SUMIFS('Piece check'!$R$6:$R$1643,'Piece check'!$B$6:$B$1643,B56)</f>
        <v>5.99997728332391</v>
      </c>
      <c r="V56" s="21" t="n">
        <f aca="false">O56-U56</f>
        <v>0</v>
      </c>
      <c r="W56" s="12" t="str">
        <f aca="false">IF(U56&lt;0.05,"Open cut",IF(V56&lt;0.05,"Sheet piles","Mixed: "&amp;TEXT(U56,"0")&amp;" m sheet piles"))</f>
        <v>Sheet piles</v>
      </c>
      <c r="X56" s="33" t="n">
        <f aca="false">SUMIFS('Piece check'!$V$6:$V$1643,'Piece check'!$B$6:$B$1643,B56)</f>
        <v>119.549157539517</v>
      </c>
      <c r="Y56" s="33" t="n">
        <f aca="false">SUMIFS('Piece check'!$W$6:$W$1643,'Piece check'!$B$6:$B$1643,B56)</f>
        <v>0</v>
      </c>
      <c r="Z56" s="33" t="n">
        <f aca="false">SUMIFS('Piece check'!$X$6:$X$1643,'Piece check'!$B$6:$B$1643,B56)</f>
        <v>10.9709405397942</v>
      </c>
      <c r="AA56" s="33" t="n">
        <f aca="false">SUMIFS('Piece check'!$Y$6:$Y$1643,'Piece check'!$B$6:$B$1643,B56)</f>
        <v>33.2675365923647</v>
      </c>
      <c r="AB56" s="20" t="n">
        <f aca="false">MAX(0,X56+Y56-Z56-AA56)</f>
        <v>75.310680407358</v>
      </c>
      <c r="AC56" s="20" t="n">
        <f aca="false">(ROUNDUP(O56/PILE_SP,0)+1)*IF(N56&gt;=PILE_THR,PILE_N_LARGE,PILE_N_SMALL)</f>
        <v>6</v>
      </c>
      <c r="AD56" s="20" t="n">
        <f aca="false">2*U56</f>
        <v>11.9999545666478</v>
      </c>
      <c r="AE56" s="34" t="n">
        <f aca="false">IF(U56&gt;0,ROUNDUP(T56*SHEET_RATIO,0),0)</f>
        <v>9</v>
      </c>
      <c r="AF56" s="20" t="n">
        <f aca="false">AD56*AE56</f>
        <v>107.99959109983</v>
      </c>
      <c r="AG56" s="18" t="n">
        <f aca="false">MAX(0,GWL-(R56-DD_BELOW))</f>
        <v>3.97849701286142</v>
      </c>
      <c r="AH56" s="12" t="str">
        <f aca="false">IF(AG56=0,"Not required",IF(AG56&lt;=WP_LIMIT,"Single-stage wellpoints","Deep wells or two-stage wellpoints"))</f>
        <v>Single-stage wellpoints</v>
      </c>
      <c r="AI56" s="30" t="n">
        <f aca="false">MIN(_xlfn.MINIFS('Piece check'!$Z$6:$Z$1643,'Piece check'!$B$6:$B$1643,B56),_xlfn.MINIFS('Piece check'!$AA$6:$AA$1643,'Piece check'!$B$6:$B$1643,B56))</f>
        <v>0.832040508623598</v>
      </c>
      <c r="AJ56" s="30" t="n">
        <f aca="false">MIN(_xlfn.MINIFS('Piece check'!$AB$6:$AB$1643,'Piece check'!$B$6:$B$1643,B56),_xlfn.MINIFS('Piece check'!$AC$6:$AC$1643,'Piece check'!$B$6:$B$1643,B56))</f>
        <v>2.32680220299887</v>
      </c>
      <c r="AK56" s="12" t="str">
        <f aca="false">IF(AJ56&lt;FOS_FLOT,"Anchor pipe to piled slab (permanent straps)",IF(AI56&lt;FOS_FLOT,"Keep dewatering on until fill reaches FL, or strap to slab","No extra measure"))</f>
        <v>Keep dewatering on until fill reaches FL, or strap to slab</v>
      </c>
      <c r="AL56" s="35" t="n">
        <f aca="false">Activities!P557</f>
        <v>46402</v>
      </c>
      <c r="AM56" s="35" t="n">
        <f aca="false">Activities!Q566</f>
        <v>46478</v>
      </c>
      <c r="AN56" s="15" t="n">
        <v>141</v>
      </c>
      <c r="AO56" s="36" t="s">
        <v>2374</v>
      </c>
      <c r="AP56" s="36" t="s">
        <v>2529</v>
      </c>
      <c r="AQ56" s="36" t="s">
        <v>2530</v>
      </c>
      <c r="AR56" s="37" t="n">
        <f aca="false">Activities!P565-Activities!Q563</f>
        <v>-1</v>
      </c>
      <c r="AS56" s="37" t="n">
        <f aca="false">IF(Activities!K560=0,0,Activities!Q566-Activities!P560)</f>
        <v>73</v>
      </c>
    </row>
    <row r="57" customFormat="false" ht="15" hidden="false" customHeight="false" outlineLevel="0" collapsed="false">
      <c r="A57" s="15" t="s">
        <v>1594</v>
      </c>
      <c r="B57" s="29" t="s">
        <v>1595</v>
      </c>
      <c r="C57" s="15" t="s">
        <v>391</v>
      </c>
      <c r="D57" s="15" t="s">
        <v>2531</v>
      </c>
      <c r="E57" s="15" t="s">
        <v>2518</v>
      </c>
      <c r="F57" s="15" t="n">
        <v>28</v>
      </c>
      <c r="G57" s="15" t="s">
        <v>2367</v>
      </c>
      <c r="H57" s="15" t="s">
        <v>313</v>
      </c>
      <c r="I57" s="35" t="n">
        <f aca="false">MAX(Structures!$H$11)</f>
        <v>0</v>
      </c>
      <c r="J57" s="15"/>
      <c r="K57" s="16" t="n">
        <v>0</v>
      </c>
      <c r="L57" s="15" t="s">
        <v>358</v>
      </c>
      <c r="M57" s="15" t="n">
        <v>2</v>
      </c>
      <c r="N57" s="30" t="n">
        <f aca="false">_xlfn.MAXIFS('Piece check'!$E$6:$E$1643,'Piece check'!$B$6:$B$1643,B57)</f>
        <v>1.00000271397922</v>
      </c>
      <c r="O57" s="31" t="n">
        <f aca="false">SUMIFS('Piece check'!$D$6:$D$1643,'Piece check'!$B$6:$B$1643,B57)</f>
        <v>30.7431758732464</v>
      </c>
      <c r="P57" s="32" t="n">
        <v>-4.0999972073616</v>
      </c>
      <c r="Q57" s="32" t="n">
        <v>-4.10000135698961</v>
      </c>
      <c r="R57" s="30" t="n">
        <f aca="false">_xlfn.MINIFS('Piece check'!$K$6:$K$1643,'Piece check'!$B$6:$B$1643,B57)</f>
        <v>-4.10000135698961</v>
      </c>
      <c r="S57" s="18" t="n">
        <f aca="false">MAX(0,GWL-R57)</f>
        <v>2.60000135698961</v>
      </c>
      <c r="T57" s="18" t="n">
        <f aca="false">MAX(0,NG-R57)</f>
        <v>3.40000135698961</v>
      </c>
      <c r="U57" s="31" t="n">
        <f aca="false">SUMIFS('Piece check'!$R$6:$R$1643,'Piece check'!$B$6:$B$1643,B57)</f>
        <v>30.7431758732464</v>
      </c>
      <c r="V57" s="21" t="n">
        <f aca="false">O57-U57</f>
        <v>0</v>
      </c>
      <c r="W57" s="12" t="str">
        <f aca="false">IF(U57&lt;0.05,"Open cut",IF(V57&lt;0.05,"Sheet piles","Mixed: "&amp;TEXT(U57,"0")&amp;" m sheet piles"))</f>
        <v>Sheet piles</v>
      </c>
      <c r="X57" s="33" t="n">
        <f aca="false">SUMIFS('Piece check'!$V$6:$V$1643,'Piece check'!$B$6:$B$1643,B57)</f>
        <v>313.579567488226</v>
      </c>
      <c r="Y57" s="33" t="n">
        <f aca="false">SUMIFS('Piece check'!$W$6:$W$1643,'Piece check'!$B$6:$B$1643,B57)</f>
        <v>0</v>
      </c>
      <c r="Z57" s="33" t="n">
        <f aca="false">SUMIFS('Piece check'!$X$6:$X$1643,'Piece check'!$B$6:$B$1643,B57)</f>
        <v>30.74309154474</v>
      </c>
      <c r="AA57" s="33" t="n">
        <f aca="false">SUMIFS('Piece check'!$Y$6:$Y$1643,'Piece check'!$B$6:$B$1643,B57)</f>
        <v>24.1453689427826</v>
      </c>
      <c r="AB57" s="20" t="n">
        <f aca="false">MAX(0,X57+Y57-Z57-AA57)</f>
        <v>258.691107000703</v>
      </c>
      <c r="AC57" s="20" t="n">
        <f aca="false">(ROUNDUP(O57/PILE_SP,0)+1)*IF(N57&gt;=PILE_THR,PILE_N_LARGE,PILE_N_SMALL)</f>
        <v>24</v>
      </c>
      <c r="AD57" s="20" t="n">
        <f aca="false">2*U57</f>
        <v>61.4863517464929</v>
      </c>
      <c r="AE57" s="34" t="n">
        <f aca="false">IF(U57&gt;0,ROUNDUP(T57*SHEET_RATIO,0),0)</f>
        <v>7</v>
      </c>
      <c r="AF57" s="20" t="n">
        <f aca="false">AD57*AE57</f>
        <v>430.40446222545</v>
      </c>
      <c r="AG57" s="18" t="n">
        <f aca="false">MAX(0,GWL-(R57-DD_BELOW))</f>
        <v>3.10000135698961</v>
      </c>
      <c r="AH57" s="12" t="str">
        <f aca="false">IF(AG57=0,"Not required",IF(AG57&lt;=WP_LIMIT,"Single-stage wellpoints","Deep wells or two-stage wellpoints"))</f>
        <v>Single-stage wellpoints</v>
      </c>
      <c r="AI57" s="30" t="n">
        <f aca="false">MIN(_xlfn.MINIFS('Piece check'!$Z$6:$Z$1643,'Piece check'!$B$6:$B$1643,B57),_xlfn.MINIFS('Piece check'!$AA$6:$AA$1643,'Piece check'!$B$6:$B$1643,B57))</f>
        <v>3.03824357407087</v>
      </c>
      <c r="AJ57" s="30" t="n">
        <f aca="false">MIN(_xlfn.MINIFS('Piece check'!$AB$6:$AB$1643,'Piece check'!$B$6:$B$1643,B57),_xlfn.MINIFS('Piece check'!$AC$6:$AC$1643,'Piece check'!$B$6:$B$1643,B57))</f>
        <v>7.00980568716826</v>
      </c>
      <c r="AK57" s="12" t="str">
        <f aca="false">IF(AJ57&lt;FOS_FLOT,"Anchor pipe to piled slab (permanent straps)",IF(AI57&lt;FOS_FLOT,"Keep dewatering on until fill reaches FL, or strap to slab","No extra measure"))</f>
        <v>No extra measure</v>
      </c>
      <c r="AL57" s="35" t="n">
        <f aca="false">Activities!P568</f>
        <v>46446</v>
      </c>
      <c r="AM57" s="35" t="n">
        <f aca="false">Activities!Q577</f>
        <v>46539</v>
      </c>
      <c r="AN57" s="15" t="n">
        <v>142</v>
      </c>
      <c r="AO57" s="36" t="s">
        <v>2532</v>
      </c>
      <c r="AP57" s="36" t="s">
        <v>2533</v>
      </c>
      <c r="AQ57" s="36" t="s">
        <v>2534</v>
      </c>
      <c r="AR57" s="37" t="n">
        <f aca="false">Activities!P576-Activities!Q574</f>
        <v>-2</v>
      </c>
      <c r="AS57" s="37" t="n">
        <f aca="false">IF(Activities!K571=0,0,Activities!Q577-Activities!P571)</f>
        <v>88</v>
      </c>
    </row>
    <row r="58" customFormat="false" ht="15" hidden="false" customHeight="false" outlineLevel="0" collapsed="false">
      <c r="A58" s="15" t="s">
        <v>1683</v>
      </c>
      <c r="B58" s="29" t="s">
        <v>1684</v>
      </c>
      <c r="C58" s="15" t="s">
        <v>391</v>
      </c>
      <c r="D58" s="15" t="s">
        <v>2535</v>
      </c>
      <c r="E58" s="15" t="s">
        <v>2518</v>
      </c>
      <c r="F58" s="15" t="n">
        <v>28</v>
      </c>
      <c r="G58" s="15" t="s">
        <v>2523</v>
      </c>
      <c r="H58" s="15" t="s">
        <v>2536</v>
      </c>
      <c r="I58" s="35" t="n">
        <f aca="false">MAX(Structures!$H$25,Structures!$H$11)</f>
        <v>0</v>
      </c>
      <c r="J58" s="15"/>
      <c r="K58" s="16" t="n">
        <v>0</v>
      </c>
      <c r="L58" s="15" t="s">
        <v>358</v>
      </c>
      <c r="M58" s="15" t="n">
        <v>8</v>
      </c>
      <c r="N58" s="30" t="n">
        <f aca="false">_xlfn.MAXIFS('Piece check'!$E$6:$E$1643,'Piece check'!$B$6:$B$1643,B58)</f>
        <v>1.60000694401201</v>
      </c>
      <c r="O58" s="31" t="n">
        <f aca="false">SUMIFS('Piece check'!$D$6:$D$1643,'Piece check'!$B$6:$B$1643,B58)</f>
        <v>37.5875732857337</v>
      </c>
      <c r="P58" s="32" t="n">
        <v>0.79999917436412</v>
      </c>
      <c r="Q58" s="32" t="n">
        <v>-3.9999996061379</v>
      </c>
      <c r="R58" s="30" t="n">
        <f aca="false">_xlfn.MINIFS('Piece check'!$K$6:$K$1643,'Piece check'!$B$6:$B$1643,B58)</f>
        <v>-3.99999960634659</v>
      </c>
      <c r="S58" s="18" t="n">
        <f aca="false">MAX(0,GWL-R58)</f>
        <v>2.49999960634659</v>
      </c>
      <c r="T58" s="18" t="n">
        <f aca="false">MAX(0,NG-R58)</f>
        <v>3.29999960634659</v>
      </c>
      <c r="U58" s="31" t="n">
        <f aca="false">SUMIFS('Piece check'!$R$6:$R$1643,'Piece check'!$B$6:$B$1643,B58)</f>
        <v>0</v>
      </c>
      <c r="V58" s="21" t="n">
        <f aca="false">O58-U58</f>
        <v>37.5875732857337</v>
      </c>
      <c r="W58" s="12" t="str">
        <f aca="false">IF(U58&lt;0.05,"Open cut",IF(V58&lt;0.05,"Sheet piles","Mixed: "&amp;TEXT(U58,"0")&amp;" m sheet piles"))</f>
        <v>Open cut</v>
      </c>
      <c r="X58" s="33" t="n">
        <f aca="false">SUMIFS('Piece check'!$V$6:$V$1643,'Piece check'!$B$6:$B$1643,B58)</f>
        <v>0</v>
      </c>
      <c r="Y58" s="33" t="n">
        <f aca="false">SUMIFS('Piece check'!$W$6:$W$1643,'Piece check'!$B$6:$B$1643,B58)</f>
        <v>1001.06762151733</v>
      </c>
      <c r="Z58" s="33" t="n">
        <f aca="false">SUMIFS('Piece check'!$X$6:$X$1643,'Piece check'!$B$6:$B$1643,B58)</f>
        <v>44.7264886065221</v>
      </c>
      <c r="AA58" s="33" t="n">
        <f aca="false">SUMIFS('Piece check'!$Y$6:$Y$1643,'Piece check'!$B$6:$B$1643,B58)</f>
        <v>69.175355469826</v>
      </c>
      <c r="AB58" s="20" t="n">
        <f aca="false">MAX(0,X58+Y58-Z58-AA58)</f>
        <v>887.165777440982</v>
      </c>
      <c r="AC58" s="20" t="n">
        <f aca="false">(ROUNDUP(O58/PILE_SP,0)+1)*IF(N58&gt;=PILE_THR,PILE_N_LARGE,PILE_N_SMALL)</f>
        <v>28</v>
      </c>
      <c r="AD58" s="20" t="n">
        <f aca="false">2*U58</f>
        <v>0</v>
      </c>
      <c r="AE58" s="34" t="n">
        <f aca="false">IF(U58&gt;0,ROUNDUP(T58*SHEET_RATIO,0),0)</f>
        <v>0</v>
      </c>
      <c r="AF58" s="20" t="n">
        <f aca="false">AD58*AE58</f>
        <v>0</v>
      </c>
      <c r="AG58" s="18" t="n">
        <f aca="false">MAX(0,GWL-(R58-DD_BELOW))</f>
        <v>2.99999960634659</v>
      </c>
      <c r="AH58" s="12" t="str">
        <f aca="false">IF(AG58=0,"Not required",IF(AG58&lt;=WP_LIMIT,"Single-stage wellpoints","Deep wells or two-stage wellpoints"))</f>
        <v>Single-stage wellpoints</v>
      </c>
      <c r="AI58" s="30" t="n">
        <f aca="false">MIN(_xlfn.MINIFS('Piece check'!$Z$6:$Z$1643,'Piece check'!$B$6:$B$1643,B58),_xlfn.MINIFS('Piece check'!$AA$6:$AA$1643,'Piece check'!$B$6:$B$1643,B58))</f>
        <v>0.527978211645013</v>
      </c>
      <c r="AJ58" s="30" t="n">
        <f aca="false">MIN(_xlfn.MINIFS('Piece check'!$AB$6:$AB$1643,'Piece check'!$B$6:$B$1643,B58),_xlfn.MINIFS('Piece check'!$AC$6:$AC$1643,'Piece check'!$B$6:$B$1643,B58))</f>
        <v>3.0102004961782</v>
      </c>
      <c r="AK58" s="12" t="str">
        <f aca="false">IF(AJ58&lt;FOS_FLOT,"Anchor pipe to piled slab (permanent straps)",IF(AI58&lt;FOS_FLOT,"Keep dewatering on until fill reaches FL, or strap to slab","No extra measure"))</f>
        <v>Keep dewatering on until fill reaches FL, or strap to slab</v>
      </c>
      <c r="AL58" s="35" t="n">
        <f aca="false">Activities!P579</f>
        <v>46357</v>
      </c>
      <c r="AM58" s="35" t="n">
        <f aca="false">Activities!Q588</f>
        <v>46539</v>
      </c>
      <c r="AN58" s="15" t="n">
        <v>143</v>
      </c>
      <c r="AO58" s="36" t="s">
        <v>2537</v>
      </c>
      <c r="AP58" s="36" t="s">
        <v>2538</v>
      </c>
      <c r="AQ58" s="36" t="s">
        <v>2539</v>
      </c>
      <c r="AR58" s="37" t="n">
        <f aca="false">Activities!P587-Activities!Q585</f>
        <v>41</v>
      </c>
      <c r="AS58" s="37" t="n">
        <f aca="false">IF(Activities!K582=0,0,Activities!Q588-Activities!P582)</f>
        <v>178</v>
      </c>
    </row>
    <row r="59" customFormat="false" ht="15" hidden="false" customHeight="false" outlineLevel="0" collapsed="false">
      <c r="A59" s="15" t="s">
        <v>1341</v>
      </c>
      <c r="B59" s="29" t="s">
        <v>1425</v>
      </c>
      <c r="C59" s="15" t="s">
        <v>391</v>
      </c>
      <c r="D59" s="15" t="s">
        <v>2540</v>
      </c>
      <c r="E59" s="15" t="s">
        <v>2518</v>
      </c>
      <c r="F59" s="15" t="n">
        <v>28</v>
      </c>
      <c r="G59" s="15" t="s">
        <v>2367</v>
      </c>
      <c r="H59" s="15" t="s">
        <v>307</v>
      </c>
      <c r="I59" s="35" t="n">
        <f aca="false">MAX(Structures!$H$8)</f>
        <v>0</v>
      </c>
      <c r="J59" s="15"/>
      <c r="K59" s="16" t="n">
        <v>0</v>
      </c>
      <c r="L59" s="15" t="s">
        <v>358</v>
      </c>
      <c r="M59" s="15" t="n">
        <v>0</v>
      </c>
      <c r="N59" s="30" t="n">
        <f aca="false">_xlfn.MAXIFS('Piece check'!$E$6:$E$1643,'Piece check'!$B$6:$B$1643,B59)</f>
        <v>1.0000031039704</v>
      </c>
      <c r="O59" s="31" t="n">
        <f aca="false">SUMIFS('Piece check'!$D$6:$D$1643,'Piece check'!$B$6:$B$1643,B59)</f>
        <v>29.4570400000048</v>
      </c>
      <c r="P59" s="32" t="n">
        <v>-4.1000015519852</v>
      </c>
      <c r="Q59" s="32" t="n">
        <v>-4.1000015519852</v>
      </c>
      <c r="R59" s="30" t="n">
        <f aca="false">_xlfn.MINIFS('Piece check'!$K$6:$K$1643,'Piece check'!$B$6:$B$1643,B59)</f>
        <v>-4.1000015519852</v>
      </c>
      <c r="S59" s="18" t="n">
        <f aca="false">MAX(0,GWL-R59)</f>
        <v>2.6000015519852</v>
      </c>
      <c r="T59" s="18" t="n">
        <f aca="false">MAX(0,NG-R59)</f>
        <v>3.4000015519852</v>
      </c>
      <c r="U59" s="31" t="n">
        <f aca="false">SUMIFS('Piece check'!$R$6:$R$1643,'Piece check'!$B$6:$B$1643,B59)</f>
        <v>29.4570400000048</v>
      </c>
      <c r="V59" s="21" t="n">
        <f aca="false">O59-U59</f>
        <v>0</v>
      </c>
      <c r="W59" s="12" t="str">
        <f aca="false">IF(U59&lt;0.05,"Open cut",IF(V59&lt;0.05,"Sheet piles","Mixed: "&amp;TEXT(U59,"0")&amp;" m sheet piles"))</f>
        <v>Sheet piles</v>
      </c>
      <c r="X59" s="33" t="n">
        <f aca="false">SUMIFS('Piece check'!$V$6:$V$1643,'Piece check'!$B$6:$B$1643,B59)</f>
        <v>300.462256025713</v>
      </c>
      <c r="Y59" s="33" t="n">
        <f aca="false">SUMIFS('Piece check'!$W$6:$W$1643,'Piece check'!$B$6:$B$1643,B59)</f>
        <v>0</v>
      </c>
      <c r="Z59" s="33" t="n">
        <f aca="false">SUMIFS('Piece check'!$X$6:$X$1643,'Piece check'!$B$6:$B$1643,B59)</f>
        <v>29.4570857168948</v>
      </c>
      <c r="AA59" s="33" t="n">
        <f aca="false">SUMIFS('Piece check'!$Y$6:$Y$1643,'Piece check'!$B$6:$B$1643,B59)</f>
        <v>23.1356487391978</v>
      </c>
      <c r="AB59" s="20" t="n">
        <f aca="false">MAX(0,X59+Y59-Z59-AA59)</f>
        <v>247.869521569621</v>
      </c>
      <c r="AC59" s="20" t="n">
        <f aca="false">(ROUNDUP(O59/PILE_SP,0)+1)*IF(N59&gt;=PILE_THR,PILE_N_LARGE,PILE_N_SMALL)</f>
        <v>22</v>
      </c>
      <c r="AD59" s="20" t="n">
        <f aca="false">2*U59</f>
        <v>58.9140800000096</v>
      </c>
      <c r="AE59" s="34" t="n">
        <f aca="false">IF(U59&gt;0,ROUNDUP(T59*SHEET_RATIO,0),0)</f>
        <v>7</v>
      </c>
      <c r="AF59" s="20" t="n">
        <f aca="false">AD59*AE59</f>
        <v>412.398560000067</v>
      </c>
      <c r="AG59" s="18" t="n">
        <f aca="false">MAX(0,GWL-(R59-DD_BELOW))</f>
        <v>3.1000015519852</v>
      </c>
      <c r="AH59" s="12" t="str">
        <f aca="false">IF(AG59=0,"Not required",IF(AG59&lt;=WP_LIMIT,"Single-stage wellpoints","Deep wells or two-stage wellpoints"))</f>
        <v>Single-stage wellpoints</v>
      </c>
      <c r="AI59" s="30" t="n">
        <f aca="false">MIN(_xlfn.MINIFS('Piece check'!$Z$6:$Z$1643,'Piece check'!$B$6:$B$1643,B59),_xlfn.MINIFS('Piece check'!$AA$6:$AA$1643,'Piece check'!$B$6:$B$1643,B59))</f>
        <v>3.03824218191065</v>
      </c>
      <c r="AJ59" s="30" t="n">
        <f aca="false">MIN(_xlfn.MINIFS('Piece check'!$AB$6:$AB$1643,'Piece check'!$B$6:$B$1643,B59),_xlfn.MINIFS('Piece check'!$AC$6:$AC$1643,'Piece check'!$B$6:$B$1643,B59))</f>
        <v>7.00980274613868</v>
      </c>
      <c r="AK59" s="12" t="str">
        <f aca="false">IF(AJ59&lt;FOS_FLOT,"Anchor pipe to piled slab (permanent straps)",IF(AI59&lt;FOS_FLOT,"Keep dewatering on until fill reaches FL, or strap to slab","No extra measure"))</f>
        <v>No extra measure</v>
      </c>
      <c r="AL59" s="35" t="n">
        <f aca="false">Activities!P590</f>
        <v>46425</v>
      </c>
      <c r="AM59" s="35" t="n">
        <f aca="false">Activities!Q599</f>
        <v>46519</v>
      </c>
      <c r="AN59" s="15" t="n">
        <v>151</v>
      </c>
      <c r="AO59" s="36" t="s">
        <v>2519</v>
      </c>
      <c r="AP59" s="36" t="s">
        <v>2541</v>
      </c>
      <c r="AQ59" s="36" t="s">
        <v>2542</v>
      </c>
      <c r="AR59" s="37" t="n">
        <f aca="false">Activities!P598-Activities!Q596</f>
        <v>-1</v>
      </c>
      <c r="AS59" s="37" t="n">
        <f aca="false">IF(Activities!K593=0,0,Activities!Q599-Activities!P593)</f>
        <v>89</v>
      </c>
    </row>
    <row r="60" customFormat="false" ht="15" hidden="false" customHeight="false" outlineLevel="0" collapsed="false">
      <c r="A60" s="15" t="s">
        <v>1763</v>
      </c>
      <c r="B60" s="29" t="s">
        <v>1764</v>
      </c>
      <c r="C60" s="15" t="s">
        <v>391</v>
      </c>
      <c r="D60" s="15" t="s">
        <v>2543</v>
      </c>
      <c r="E60" s="15" t="s">
        <v>2518</v>
      </c>
      <c r="F60" s="15" t="n">
        <v>28</v>
      </c>
      <c r="G60" s="15" t="s">
        <v>2523</v>
      </c>
      <c r="H60" s="15" t="s">
        <v>2544</v>
      </c>
      <c r="I60" s="35" t="n">
        <f aca="false">MAX(Structures!$H$24,Structures!$H$8)</f>
        <v>0</v>
      </c>
      <c r="J60" s="15"/>
      <c r="K60" s="16" t="n">
        <v>0</v>
      </c>
      <c r="L60" s="15" t="s">
        <v>358</v>
      </c>
      <c r="M60" s="15" t="n">
        <v>8</v>
      </c>
      <c r="N60" s="30" t="n">
        <f aca="false">_xlfn.MAXIFS('Piece check'!$E$6:$E$1643,'Piece check'!$B$6:$B$1643,B60)</f>
        <v>1.60000756630035</v>
      </c>
      <c r="O60" s="31" t="n">
        <f aca="false">SUMIFS('Piece check'!$D$6:$D$1643,'Piece check'!$B$6:$B$1643,B60)</f>
        <v>38.1234150651088</v>
      </c>
      <c r="P60" s="32" t="n">
        <v>0.789996216849823</v>
      </c>
      <c r="Q60" s="32" t="n">
        <v>-4.00000019554622</v>
      </c>
      <c r="R60" s="30" t="n">
        <f aca="false">_xlfn.MINIFS('Piece check'!$K$6:$K$1643,'Piece check'!$B$6:$B$1643,B60)</f>
        <v>-4.00000019554622</v>
      </c>
      <c r="S60" s="18" t="n">
        <f aca="false">MAX(0,GWL-R60)</f>
        <v>2.50000019554622</v>
      </c>
      <c r="T60" s="18" t="n">
        <f aca="false">MAX(0,NG-R60)</f>
        <v>3.30000019554622</v>
      </c>
      <c r="U60" s="31" t="n">
        <f aca="false">SUMIFS('Piece check'!$R$6:$R$1643,'Piece check'!$B$6:$B$1643,B60)</f>
        <v>28.0040000000552</v>
      </c>
      <c r="V60" s="21" t="n">
        <f aca="false">O60-U60</f>
        <v>10.1194150650536</v>
      </c>
      <c r="W60" s="12" t="str">
        <f aca="false">IF(U60&lt;0.05,"Open cut",IF(V60&lt;0.05,"Sheet piles","Mixed: "&amp;TEXT(U60,"0")&amp;" m sheet piles"))</f>
        <v>Mixed: 28 m sheet piles</v>
      </c>
      <c r="X60" s="33" t="n">
        <f aca="false">SUMIFS('Piece check'!$V$6:$V$1643,'Piece check'!$B$6:$B$1643,B60)</f>
        <v>332.687575856638</v>
      </c>
      <c r="Y60" s="33" t="n">
        <f aca="false">SUMIFS('Piece check'!$W$6:$W$1643,'Piece check'!$B$6:$B$1643,B60)</f>
        <v>67.2762947314977</v>
      </c>
      <c r="Z60" s="33" t="n">
        <f aca="false">SUMIFS('Piece check'!$X$6:$X$1643,'Piece check'!$B$6:$B$1643,B60)</f>
        <v>45.035103061719</v>
      </c>
      <c r="AA60" s="33" t="n">
        <f aca="false">SUMIFS('Piece check'!$Y$6:$Y$1643,'Piece check'!$B$6:$B$1643,B60)</f>
        <v>69.6527011802783</v>
      </c>
      <c r="AB60" s="20" t="n">
        <f aca="false">MAX(0,X60+Y60-Z60-AA60)</f>
        <v>285.276066346138</v>
      </c>
      <c r="AC60" s="20" t="n">
        <f aca="false">(ROUNDUP(O60/PILE_SP,0)+1)*IF(N60&gt;=PILE_THR,PILE_N_LARGE,PILE_N_SMALL)</f>
        <v>28</v>
      </c>
      <c r="AD60" s="20" t="n">
        <f aca="false">2*U60</f>
        <v>56.0080000001104</v>
      </c>
      <c r="AE60" s="34" t="n">
        <f aca="false">IF(U60&gt;0,ROUNDUP(T60*SHEET_RATIO,0),0)</f>
        <v>7</v>
      </c>
      <c r="AF60" s="20" t="n">
        <f aca="false">AD60*AE60</f>
        <v>392.056000000773</v>
      </c>
      <c r="AG60" s="18" t="n">
        <f aca="false">MAX(0,GWL-(R60-DD_BELOW))</f>
        <v>3.00000019554622</v>
      </c>
      <c r="AH60" s="12" t="str">
        <f aca="false">IF(AG60=0,"Not required",IF(AG60&lt;=WP_LIMIT,"Single-stage wellpoints","Deep wells or two-stage wellpoints"))</f>
        <v>Single-stage wellpoints</v>
      </c>
      <c r="AI60" s="30" t="n">
        <f aca="false">MIN(_xlfn.MINIFS('Piece check'!$Z$6:$Z$1643,'Piece check'!$B$6:$B$1643,B60),_xlfn.MINIFS('Piece check'!$AA$6:$AA$1643,'Piece check'!$B$6:$B$1643,B60))</f>
        <v>0.288618878872001</v>
      </c>
      <c r="AJ60" s="30" t="n">
        <f aca="false">MIN(_xlfn.MINIFS('Piece check'!$AB$6:$AB$1643,'Piece check'!$B$6:$B$1643,B60),_xlfn.MINIFS('Piece check'!$AC$6:$AC$1643,'Piece check'!$B$6:$B$1643,B60))</f>
        <v>2.77084099640548</v>
      </c>
      <c r="AK60" s="12" t="str">
        <f aca="false">IF(AJ60&lt;FOS_FLOT,"Anchor pipe to piled slab (permanent straps)",IF(AI60&lt;FOS_FLOT,"Keep dewatering on until fill reaches FL, or strap to slab","No extra measure"))</f>
        <v>Keep dewatering on until fill reaches FL, or strap to slab</v>
      </c>
      <c r="AL60" s="35" t="n">
        <f aca="false">Activities!P601</f>
        <v>46357</v>
      </c>
      <c r="AM60" s="35" t="n">
        <f aca="false">Activities!Q610</f>
        <v>46518</v>
      </c>
      <c r="AN60" s="15" t="n">
        <v>152</v>
      </c>
      <c r="AO60" s="36" t="s">
        <v>2525</v>
      </c>
      <c r="AP60" s="36" t="s">
        <v>2545</v>
      </c>
      <c r="AQ60" s="36" t="s">
        <v>2546</v>
      </c>
      <c r="AR60" s="37" t="n">
        <f aca="false">Activities!P609-Activities!Q607</f>
        <v>58</v>
      </c>
      <c r="AS60" s="37" t="n">
        <f aca="false">IF(Activities!K604=0,0,Activities!Q610-Activities!P604)</f>
        <v>155</v>
      </c>
    </row>
    <row r="61" customFormat="false" ht="15" hidden="false" customHeight="false" outlineLevel="0" collapsed="false">
      <c r="A61" s="15" t="s">
        <v>1699</v>
      </c>
      <c r="B61" s="29" t="s">
        <v>1700</v>
      </c>
      <c r="C61" s="15" t="s">
        <v>391</v>
      </c>
      <c r="D61" s="15" t="s">
        <v>2547</v>
      </c>
      <c r="E61" s="15" t="s">
        <v>2518</v>
      </c>
      <c r="F61" s="15" t="n">
        <v>28</v>
      </c>
      <c r="G61" s="15" t="s">
        <v>2523</v>
      </c>
      <c r="H61" s="15" t="s">
        <v>2548</v>
      </c>
      <c r="I61" s="35" t="n">
        <f aca="false">MAX(Structures!$H$25,Structures!$H$12)</f>
        <v>0</v>
      </c>
      <c r="J61" s="15"/>
      <c r="K61" s="16" t="n">
        <v>0</v>
      </c>
      <c r="L61" s="15" t="s">
        <v>358</v>
      </c>
      <c r="M61" s="15" t="n">
        <v>8</v>
      </c>
      <c r="N61" s="30" t="n">
        <f aca="false">_xlfn.MAXIFS('Piece check'!$E$6:$E$1643,'Piece check'!$B$6:$B$1643,B61)</f>
        <v>1.60000821327484</v>
      </c>
      <c r="O61" s="31" t="n">
        <f aca="false">SUMIFS('Piece check'!$D$6:$D$1643,'Piece check'!$B$6:$B$1643,B61)</f>
        <v>38.0884809423306</v>
      </c>
      <c r="P61" s="32" t="n">
        <v>0.80000103536767</v>
      </c>
      <c r="Q61" s="32" t="n">
        <v>-4.00000090953901</v>
      </c>
      <c r="R61" s="30" t="n">
        <f aca="false">_xlfn.MINIFS('Piece check'!$K$6:$K$1643,'Piece check'!$B$6:$B$1643,B61)</f>
        <v>-4.00000090953901</v>
      </c>
      <c r="S61" s="18" t="n">
        <f aca="false">MAX(0,GWL-R61)</f>
        <v>2.50000090953901</v>
      </c>
      <c r="T61" s="18" t="n">
        <f aca="false">MAX(0,NG-R61)</f>
        <v>3.30000090953901</v>
      </c>
      <c r="U61" s="31" t="n">
        <f aca="false">SUMIFS('Piece check'!$R$6:$R$1643,'Piece check'!$B$6:$B$1643,B61)</f>
        <v>28.0375000001695</v>
      </c>
      <c r="V61" s="21" t="n">
        <f aca="false">O61-U61</f>
        <v>10.050980942161</v>
      </c>
      <c r="W61" s="12" t="str">
        <f aca="false">IF(U61&lt;0.05,"Open cut",IF(V61&lt;0.05,"Sheet piles","Mixed: "&amp;TEXT(U61,"0")&amp;" m sheet piles"))</f>
        <v>Mixed: 28 m sheet piles</v>
      </c>
      <c r="X61" s="33" t="n">
        <f aca="false">SUMIFS('Piece check'!$V$6:$V$1643,'Piece check'!$B$6:$B$1643,B61)</f>
        <v>333.0857601143</v>
      </c>
      <c r="Y61" s="33" t="n">
        <f aca="false">SUMIFS('Piece check'!$W$6:$W$1643,'Piece check'!$B$6:$B$1643,B61)</f>
        <v>84.5006213584185</v>
      </c>
      <c r="Z61" s="33" t="n">
        <f aca="false">SUMIFS('Piece check'!$X$6:$X$1643,'Piece check'!$B$6:$B$1643,B61)</f>
        <v>45.114282513398</v>
      </c>
      <c r="AA61" s="33" t="n">
        <f aca="false">SUMIFS('Piece check'!$Y$6:$Y$1643,'Piece check'!$B$6:$B$1643,B61)</f>
        <v>69.775189806</v>
      </c>
      <c r="AB61" s="20" t="n">
        <f aca="false">MAX(0,X61+Y61-Z61-AA61)</f>
        <v>302.69690915332</v>
      </c>
      <c r="AC61" s="20" t="n">
        <f aca="false">(ROUNDUP(O61/PILE_SP,0)+1)*IF(N61&gt;=PILE_THR,PILE_N_LARGE,PILE_N_SMALL)</f>
        <v>28</v>
      </c>
      <c r="AD61" s="20" t="n">
        <f aca="false">2*U61</f>
        <v>56.0750000003391</v>
      </c>
      <c r="AE61" s="34" t="n">
        <f aca="false">IF(U61&gt;0,ROUNDUP(T61*SHEET_RATIO,0),0)</f>
        <v>7</v>
      </c>
      <c r="AF61" s="20" t="n">
        <f aca="false">AD61*AE61</f>
        <v>392.525000002374</v>
      </c>
      <c r="AG61" s="18" t="n">
        <f aca="false">MAX(0,GWL-(R61-DD_BELOW))</f>
        <v>3.00000090953901</v>
      </c>
      <c r="AH61" s="12" t="str">
        <f aca="false">IF(AG61=0,"Not required",IF(AG61&lt;=WP_LIMIT,"Single-stage wellpoints","Deep wells or two-stage wellpoints"))</f>
        <v>Single-stage wellpoints</v>
      </c>
      <c r="AI61" s="30" t="n">
        <f aca="false">MIN(_xlfn.MINIFS('Piece check'!$Z$6:$Z$1643,'Piece check'!$B$6:$B$1643,B61),_xlfn.MINIFS('Piece check'!$AA$6:$AA$1643,'Piece check'!$B$6:$B$1643,B61))</f>
        <v>0.526655882071504</v>
      </c>
      <c r="AJ61" s="30" t="n">
        <f aca="false">MIN(_xlfn.MINIFS('Piece check'!$AB$6:$AB$1643,'Piece check'!$B$6:$B$1643,B61),_xlfn.MINIFS('Piece check'!$AC$6:$AC$1643,'Piece check'!$B$6:$B$1643,B61))</f>
        <v>3.00888752483467</v>
      </c>
      <c r="AK61" s="12" t="str">
        <f aca="false">IF(AJ61&lt;FOS_FLOT,"Anchor pipe to piled slab (permanent straps)",IF(AI61&lt;FOS_FLOT,"Keep dewatering on until fill reaches FL, or strap to slab","No extra measure"))</f>
        <v>Keep dewatering on until fill reaches FL, or strap to slab</v>
      </c>
      <c r="AL61" s="35" t="n">
        <f aca="false">Activities!P612</f>
        <v>46357</v>
      </c>
      <c r="AM61" s="35" t="n">
        <f aca="false">Activities!Q621</f>
        <v>46532</v>
      </c>
      <c r="AN61" s="15" t="n">
        <v>189</v>
      </c>
      <c r="AO61" s="36" t="s">
        <v>2537</v>
      </c>
      <c r="AP61" s="36" t="s">
        <v>2549</v>
      </c>
      <c r="AQ61" s="36" t="s">
        <v>2550</v>
      </c>
      <c r="AR61" s="37" t="n">
        <f aca="false">Activities!P620-Activities!Q618</f>
        <v>-5</v>
      </c>
      <c r="AS61" s="37" t="n">
        <f aca="false">IF(Activities!K615=0,0,Activities!Q621-Activities!P615)</f>
        <v>169</v>
      </c>
    </row>
    <row r="62" customFormat="false" ht="15" hidden="false" customHeight="false" outlineLevel="0" collapsed="false">
      <c r="A62" s="15" t="s">
        <v>1823</v>
      </c>
      <c r="B62" s="29" t="s">
        <v>1836</v>
      </c>
      <c r="C62" s="15" t="s">
        <v>391</v>
      </c>
      <c r="D62" s="15" t="s">
        <v>2551</v>
      </c>
      <c r="E62" s="15" t="s">
        <v>2518</v>
      </c>
      <c r="F62" s="15" t="n">
        <v>28</v>
      </c>
      <c r="G62" s="15" t="s">
        <v>2523</v>
      </c>
      <c r="H62" s="15" t="s">
        <v>323</v>
      </c>
      <c r="I62" s="35" t="n">
        <f aca="false">MAX(Structures!$H$16)</f>
        <v>0</v>
      </c>
      <c r="J62" s="15"/>
      <c r="K62" s="16" t="n">
        <v>0</v>
      </c>
      <c r="L62" s="15" t="s">
        <v>358</v>
      </c>
      <c r="M62" s="15" t="n">
        <v>0</v>
      </c>
      <c r="N62" s="30" t="n">
        <f aca="false">_xlfn.MAXIFS('Piece check'!$E$6:$E$1643,'Piece check'!$B$6:$B$1643,B62)</f>
        <v>1.59999792926031</v>
      </c>
      <c r="O62" s="31" t="n">
        <f aca="false">SUMIFS('Piece check'!$D$6:$D$1643,'Piece check'!$B$6:$B$1643,B62)</f>
        <v>22.0645608888882</v>
      </c>
      <c r="P62" s="32" t="n">
        <v>-3.99999896463015</v>
      </c>
      <c r="Q62" s="32" t="n">
        <v>-3.99999896463015</v>
      </c>
      <c r="R62" s="30" t="n">
        <f aca="false">_xlfn.MINIFS('Piece check'!$K$6:$K$1643,'Piece check'!$B$6:$B$1643,B62)</f>
        <v>-3.99999896463015</v>
      </c>
      <c r="S62" s="18" t="n">
        <f aca="false">MAX(0,GWL-R62)</f>
        <v>2.49999896463015</v>
      </c>
      <c r="T62" s="18" t="n">
        <f aca="false">MAX(0,NG-R62)</f>
        <v>3.29999896463015</v>
      </c>
      <c r="U62" s="31" t="n">
        <f aca="false">SUMIFS('Piece check'!$R$6:$R$1643,'Piece check'!$B$6:$B$1643,B62)</f>
        <v>0</v>
      </c>
      <c r="V62" s="21" t="n">
        <f aca="false">O62-U62</f>
        <v>22.0645608888882</v>
      </c>
      <c r="W62" s="12" t="str">
        <f aca="false">IF(U62&lt;0.05,"Open cut",IF(V62&lt;0.05,"Sheet piles","Mixed: "&amp;TEXT(U62,"0")&amp;" m sheet piles"))</f>
        <v>Open cut</v>
      </c>
      <c r="X62" s="33" t="n">
        <f aca="false">SUMIFS('Piece check'!$V$6:$V$1643,'Piece check'!$B$6:$B$1643,B62)</f>
        <v>0</v>
      </c>
      <c r="Y62" s="33" t="n">
        <f aca="false">SUMIFS('Piece check'!$W$6:$W$1643,'Piece check'!$B$6:$B$1643,B62)</f>
        <v>735.63192546307</v>
      </c>
      <c r="Z62" s="33" t="n">
        <f aca="false">SUMIFS('Piece check'!$X$6:$X$1643,'Piece check'!$B$6:$B$1643,B62)</f>
        <v>28.6839063105736</v>
      </c>
      <c r="AA62" s="33" t="n">
        <f aca="false">SUMIFS('Piece check'!$Y$6:$Y$1643,'Piece check'!$B$6:$B$1643,B62)</f>
        <v>44.363317100333</v>
      </c>
      <c r="AB62" s="20" t="n">
        <f aca="false">MAX(0,X62+Y62-Z62-AA62)</f>
        <v>662.584702052164</v>
      </c>
      <c r="AC62" s="20" t="n">
        <f aca="false">(ROUNDUP(O62/PILE_SP,0)+1)*IF(N62&gt;=PILE_THR,PILE_N_LARGE,PILE_N_SMALL)</f>
        <v>18</v>
      </c>
      <c r="AD62" s="20" t="n">
        <f aca="false">2*U62</f>
        <v>0</v>
      </c>
      <c r="AE62" s="34" t="n">
        <f aca="false">IF(U62&gt;0,ROUNDUP(T62*SHEET_RATIO,0),0)</f>
        <v>0</v>
      </c>
      <c r="AF62" s="20" t="n">
        <f aca="false">AD62*AE62</f>
        <v>0</v>
      </c>
      <c r="AG62" s="18" t="n">
        <f aca="false">MAX(0,GWL-(R62-DD_BELOW))</f>
        <v>2.99999896463015</v>
      </c>
      <c r="AH62" s="12" t="str">
        <f aca="false">IF(AG62=0,"Not required",IF(AG62&lt;=WP_LIMIT,"Single-stage wellpoints","Deep wells or two-stage wellpoints"))</f>
        <v>Single-stage wellpoints</v>
      </c>
      <c r="AI62" s="30" t="n">
        <f aca="false">MIN(_xlfn.MINIFS('Piece check'!$Z$6:$Z$1643,'Piece check'!$B$6:$B$1643,B62),_xlfn.MINIFS('Piece check'!$AA$6:$AA$1643,'Piece check'!$B$6:$B$1643,B62))</f>
        <v>1.43385716849601</v>
      </c>
      <c r="AJ62" s="30" t="n">
        <f aca="false">MIN(_xlfn.MINIFS('Piece check'!$AB$6:$AB$1643,'Piece check'!$B$6:$B$1643,B62),_xlfn.MINIFS('Piece check'!$AC$6:$AC$1643,'Piece check'!$B$6:$B$1643,B62))</f>
        <v>3.91609343843328</v>
      </c>
      <c r="AK62" s="12" t="str">
        <f aca="false">IF(AJ62&lt;FOS_FLOT,"Anchor pipe to piled slab (permanent straps)",IF(AI62&lt;FOS_FLOT,"Keep dewatering on until fill reaches FL, or strap to slab","No extra measure"))</f>
        <v>No extra measure</v>
      </c>
      <c r="AL62" s="35" t="n">
        <f aca="false">Activities!P623</f>
        <v>46357</v>
      </c>
      <c r="AM62" s="35" t="n">
        <f aca="false">Activities!Q632</f>
        <v>46576</v>
      </c>
      <c r="AN62" s="15" t="n">
        <v>190</v>
      </c>
      <c r="AO62" s="36" t="s">
        <v>2552</v>
      </c>
      <c r="AP62" s="36" t="s">
        <v>2553</v>
      </c>
      <c r="AQ62" s="36" t="s">
        <v>2554</v>
      </c>
      <c r="AR62" s="37" t="n">
        <f aca="false">Activities!P631-Activities!Q629</f>
        <v>-2</v>
      </c>
      <c r="AS62" s="37" t="n">
        <f aca="false">IF(Activities!K626=0,0,Activities!Q632-Activities!P626)</f>
        <v>216</v>
      </c>
    </row>
    <row r="63" customFormat="false" ht="15" hidden="false" customHeight="false" outlineLevel="0" collapsed="false">
      <c r="A63" s="15" t="s">
        <v>1823</v>
      </c>
      <c r="B63" s="29" t="s">
        <v>1824</v>
      </c>
      <c r="C63" s="15" t="s">
        <v>391</v>
      </c>
      <c r="D63" s="15" t="s">
        <v>2555</v>
      </c>
      <c r="E63" s="15" t="s">
        <v>2518</v>
      </c>
      <c r="F63" s="15" t="n">
        <v>28</v>
      </c>
      <c r="G63" s="15" t="s">
        <v>2523</v>
      </c>
      <c r="H63" s="15" t="s">
        <v>348</v>
      </c>
      <c r="I63" s="35" t="n">
        <f aca="false">MAX(Structures!$H$26)</f>
        <v>0</v>
      </c>
      <c r="J63" s="15"/>
      <c r="K63" s="16" t="n">
        <v>0</v>
      </c>
      <c r="L63" s="15" t="s">
        <v>358</v>
      </c>
      <c r="M63" s="15" t="n">
        <v>7</v>
      </c>
      <c r="N63" s="30" t="n">
        <f aca="false">_xlfn.MAXIFS('Piece check'!$E$6:$E$1643,'Piece check'!$B$6:$B$1643,B63)</f>
        <v>1.60000267613069</v>
      </c>
      <c r="O63" s="31" t="n">
        <f aca="false">SUMIFS('Piece check'!$D$6:$D$1643,'Piece check'!$B$6:$B$1643,B63)</f>
        <v>15.9999999994304</v>
      </c>
      <c r="P63" s="32" t="n">
        <v>0.790001035312663</v>
      </c>
      <c r="Q63" s="32" t="n">
        <v>-3.99999896463015</v>
      </c>
      <c r="R63" s="30" t="n">
        <f aca="false">_xlfn.MINIFS('Piece check'!$K$6:$K$1643,'Piece check'!$B$6:$B$1643,B63)</f>
        <v>-4.00000029933806</v>
      </c>
      <c r="S63" s="18" t="n">
        <f aca="false">MAX(0,GWL-R63)</f>
        <v>2.50000029933806</v>
      </c>
      <c r="T63" s="18" t="n">
        <f aca="false">MAX(0,NG-R63)</f>
        <v>3.30000029933806</v>
      </c>
      <c r="U63" s="31" t="n">
        <f aca="false">SUMIFS('Piece check'!$R$6:$R$1643,'Piece check'!$B$6:$B$1643,B63)</f>
        <v>0.12144088763144</v>
      </c>
      <c r="V63" s="21" t="n">
        <f aca="false">O63-U63</f>
        <v>15.8785591117989</v>
      </c>
      <c r="W63" s="12" t="str">
        <f aca="false">IF(U63&lt;0.05,"Open cut",IF(V63&lt;0.05,"Sheet piles","Mixed: "&amp;TEXT(U63,"0")&amp;" m sheet piles"))</f>
        <v>Mixed: 0 m sheet piles</v>
      </c>
      <c r="X63" s="33" t="n">
        <f aca="false">SUMIFS('Piece check'!$V$6:$V$1643,'Piece check'!$B$6:$B$1643,B63)</f>
        <v>1.42767641507064</v>
      </c>
      <c r="Y63" s="33" t="n">
        <f aca="false">SUMIFS('Piece check'!$W$6:$W$1643,'Piece check'!$B$6:$B$1643,B63)</f>
        <v>259.634123273106</v>
      </c>
      <c r="Z63" s="33" t="n">
        <f aca="false">SUMIFS('Piece check'!$X$6:$X$1643,'Piece check'!$B$6:$B$1643,B63)</f>
        <v>16.3429621082379</v>
      </c>
      <c r="AA63" s="33" t="n">
        <f aca="false">SUMIFS('Piece check'!$Y$6:$Y$1643,'Piece check'!$B$6:$B$1643,B63)</f>
        <v>25.2764935274916</v>
      </c>
      <c r="AB63" s="20" t="n">
        <f aca="false">MAX(0,X63+Y63-Z63-AA63)</f>
        <v>219.442344052447</v>
      </c>
      <c r="AC63" s="20" t="n">
        <f aca="false">(ROUNDUP(O63/PILE_SP,0)+1)*IF(N63&gt;=PILE_THR,PILE_N_LARGE,PILE_N_SMALL)</f>
        <v>14</v>
      </c>
      <c r="AD63" s="20" t="n">
        <f aca="false">2*U63</f>
        <v>0.242881775262879</v>
      </c>
      <c r="AE63" s="34" t="n">
        <f aca="false">IF(U63&gt;0,ROUNDUP(T63*SHEET_RATIO,0),0)</f>
        <v>7</v>
      </c>
      <c r="AF63" s="20" t="n">
        <f aca="false">AD63*AE63</f>
        <v>1.70017242684015</v>
      </c>
      <c r="AG63" s="18" t="n">
        <f aca="false">MAX(0,GWL-(R63-DD_BELOW))</f>
        <v>3.00000029933806</v>
      </c>
      <c r="AH63" s="12" t="str">
        <f aca="false">IF(AG63=0,"Not required",IF(AG63&lt;=WP_LIMIT,"Single-stage wellpoints","Deep wells or two-stage wellpoints"))</f>
        <v>Single-stage wellpoints</v>
      </c>
      <c r="AI63" s="30" t="n">
        <f aca="false">MIN(_xlfn.MINIFS('Piece check'!$Z$6:$Z$1643,'Piece check'!$B$6:$B$1643,B63),_xlfn.MINIFS('Piece check'!$AA$6:$AA$1643,'Piece check'!$B$6:$B$1643,B63))</f>
        <v>0.298757018666833</v>
      </c>
      <c r="AJ63" s="30" t="n">
        <f aca="false">MIN(_xlfn.MINIFS('Piece check'!$AB$6:$AB$1643,'Piece check'!$B$6:$B$1643,B63),_xlfn.MINIFS('Piece check'!$AC$6:$AC$1643,'Piece check'!$B$6:$B$1643,B63))</f>
        <v>2.78098731465318</v>
      </c>
      <c r="AK63" s="12" t="str">
        <f aca="false">IF(AJ63&lt;FOS_FLOT,"Anchor pipe to piled slab (permanent straps)",IF(AI63&lt;FOS_FLOT,"Keep dewatering on until fill reaches FL, or strap to slab","No extra measure"))</f>
        <v>Keep dewatering on until fill reaches FL, or strap to slab</v>
      </c>
      <c r="AL63" s="35" t="n">
        <f aca="false">Activities!P634</f>
        <v>46357</v>
      </c>
      <c r="AM63" s="35" t="n">
        <f aca="false">Activities!Q643</f>
        <v>46585</v>
      </c>
      <c r="AN63" s="15" t="n">
        <v>191</v>
      </c>
      <c r="AO63" s="36" t="s">
        <v>2556</v>
      </c>
      <c r="AP63" s="36" t="s">
        <v>2557</v>
      </c>
      <c r="AQ63" s="36" t="s">
        <v>2558</v>
      </c>
      <c r="AR63" s="37" t="n">
        <f aca="false">Activities!P642-Activities!Q640</f>
        <v>-5</v>
      </c>
      <c r="AS63" s="37" t="n">
        <f aca="false">IF(Activities!K637=0,0,Activities!Q643-Activities!P637)</f>
        <v>224</v>
      </c>
    </row>
    <row r="64" customFormat="false" ht="15" hidden="false" customHeight="false" outlineLevel="0" collapsed="false">
      <c r="A64" s="15" t="s">
        <v>1856</v>
      </c>
      <c r="B64" s="29" t="s">
        <v>1857</v>
      </c>
      <c r="C64" s="15" t="s">
        <v>391</v>
      </c>
      <c r="D64" s="15" t="s">
        <v>2559</v>
      </c>
      <c r="E64" s="15" t="s">
        <v>2518</v>
      </c>
      <c r="F64" s="15" t="n">
        <v>28</v>
      </c>
      <c r="G64" s="15" t="s">
        <v>2523</v>
      </c>
      <c r="H64" s="15" t="s">
        <v>2560</v>
      </c>
      <c r="I64" s="35" t="n">
        <f aca="false">MAX(Structures!$H$26,Structures!$H$18)</f>
        <v>0</v>
      </c>
      <c r="J64" s="15"/>
      <c r="K64" s="16" t="n">
        <v>0</v>
      </c>
      <c r="L64" s="15" t="s">
        <v>358</v>
      </c>
      <c r="M64" s="15" t="n">
        <v>8</v>
      </c>
      <c r="N64" s="30" t="n">
        <f aca="false">_xlfn.MAXIFS('Piece check'!$E$6:$E$1643,'Piece check'!$B$6:$B$1643,B64)</f>
        <v>1.60002627675433</v>
      </c>
      <c r="O64" s="31" t="n">
        <f aca="false">SUMIFS('Piece check'!$D$6:$D$1643,'Piece check'!$B$6:$B$1643,B64)</f>
        <v>38.1114855382193</v>
      </c>
      <c r="P64" s="32" t="n">
        <v>0.789999700710097</v>
      </c>
      <c r="Q64" s="32" t="n">
        <v>-3.99999868605475</v>
      </c>
      <c r="R64" s="30" t="n">
        <f aca="false">_xlfn.MINIFS('Piece check'!$K$6:$K$1643,'Piece check'!$B$6:$B$1643,B64)</f>
        <v>-3.99999868629258</v>
      </c>
      <c r="S64" s="18" t="n">
        <f aca="false">MAX(0,GWL-R64)</f>
        <v>2.49999868629258</v>
      </c>
      <c r="T64" s="18" t="n">
        <f aca="false">MAX(0,NG-R64)</f>
        <v>3.29999868629258</v>
      </c>
      <c r="U64" s="31" t="n">
        <f aca="false">SUMIFS('Piece check'!$R$6:$R$1643,'Piece check'!$B$6:$B$1643,B64)</f>
        <v>0</v>
      </c>
      <c r="V64" s="21" t="n">
        <f aca="false">O64-U64</f>
        <v>38.1114855382193</v>
      </c>
      <c r="W64" s="12" t="str">
        <f aca="false">IF(U64&lt;0.05,"Open cut",IF(V64&lt;0.05,"Sheet piles","Mixed: "&amp;TEXT(U64,"0")&amp;" m sheet piles"))</f>
        <v>Open cut</v>
      </c>
      <c r="X64" s="33" t="n">
        <f aca="false">SUMIFS('Piece check'!$V$6:$V$1643,'Piece check'!$B$6:$B$1643,B64)</f>
        <v>0</v>
      </c>
      <c r="Y64" s="33" t="n">
        <f aca="false">SUMIFS('Piece check'!$W$6:$W$1643,'Piece check'!$B$6:$B$1643,B64)</f>
        <v>998.259785434633</v>
      </c>
      <c r="Z64" s="33" t="n">
        <f aca="false">SUMIFS('Piece check'!$X$6:$X$1643,'Piece check'!$B$6:$B$1643,B64)</f>
        <v>45.0004601130656</v>
      </c>
      <c r="AA64" s="33" t="n">
        <f aca="false">SUMIFS('Piece check'!$Y$6:$Y$1643,'Piece check'!$B$6:$B$1643,B64)</f>
        <v>69.5989299451723</v>
      </c>
      <c r="AB64" s="20" t="n">
        <f aca="false">MAX(0,X64+Y64-Z64-AA64)</f>
        <v>883.660395376395</v>
      </c>
      <c r="AC64" s="20" t="n">
        <f aca="false">(ROUNDUP(O64/PILE_SP,0)+1)*IF(N64&gt;=PILE_THR,PILE_N_LARGE,PILE_N_SMALL)</f>
        <v>28</v>
      </c>
      <c r="AD64" s="20" t="n">
        <f aca="false">2*U64</f>
        <v>0</v>
      </c>
      <c r="AE64" s="34" t="n">
        <f aca="false">IF(U64&gt;0,ROUNDUP(T64*SHEET_RATIO,0),0)</f>
        <v>0</v>
      </c>
      <c r="AF64" s="20" t="n">
        <f aca="false">AD64*AE64</f>
        <v>0</v>
      </c>
      <c r="AG64" s="18" t="n">
        <f aca="false">MAX(0,GWL-(R64-DD_BELOW))</f>
        <v>2.99999868629258</v>
      </c>
      <c r="AH64" s="12" t="str">
        <f aca="false">IF(AG64=0,"Not required",IF(AG64&lt;=WP_LIMIT,"Single-stage wellpoints","Deep wells or two-stage wellpoints"))</f>
        <v>Single-stage wellpoints</v>
      </c>
      <c r="AI64" s="30" t="n">
        <f aca="false">MIN(_xlfn.MINIFS('Piece check'!$Z$6:$Z$1643,'Piece check'!$B$6:$B$1643,B64),_xlfn.MINIFS('Piece check'!$AA$6:$AA$1643,'Piece check'!$B$6:$B$1643,B64))</f>
        <v>0.300077864637201</v>
      </c>
      <c r="AJ64" s="30" t="n">
        <f aca="false">MIN(_xlfn.MINIFS('Piece check'!$AB$6:$AB$1643,'Piece check'!$B$6:$B$1643,B64),_xlfn.MINIFS('Piece check'!$AC$6:$AC$1643,'Piece check'!$B$6:$B$1643,B64))</f>
        <v>2.78227015706057</v>
      </c>
      <c r="AK64" s="12" t="str">
        <f aca="false">IF(AJ64&lt;FOS_FLOT,"Anchor pipe to piled slab (permanent straps)",IF(AI64&lt;FOS_FLOT,"Keep dewatering on until fill reaches FL, or strap to slab","No extra measure"))</f>
        <v>Keep dewatering on until fill reaches FL, or strap to slab</v>
      </c>
      <c r="AL64" s="35" t="n">
        <f aca="false">Activities!P645</f>
        <v>46357</v>
      </c>
      <c r="AM64" s="35" t="n">
        <f aca="false">Activities!Q654</f>
        <v>46579</v>
      </c>
      <c r="AN64" s="15" t="n">
        <v>192</v>
      </c>
      <c r="AO64" s="36" t="s">
        <v>2525</v>
      </c>
      <c r="AP64" s="36" t="s">
        <v>2561</v>
      </c>
      <c r="AQ64" s="36" t="s">
        <v>2562</v>
      </c>
      <c r="AR64" s="37" t="n">
        <f aca="false">Activities!P653-Activities!Q651</f>
        <v>-5</v>
      </c>
      <c r="AS64" s="37" t="n">
        <f aca="false">IF(Activities!K648=0,0,Activities!Q654-Activities!P648)</f>
        <v>218</v>
      </c>
    </row>
    <row r="65" customFormat="false" ht="15" hidden="false" customHeight="false" outlineLevel="0" collapsed="false">
      <c r="A65" s="15" t="s">
        <v>956</v>
      </c>
      <c r="B65" s="29" t="s">
        <v>984</v>
      </c>
      <c r="C65" s="15" t="s">
        <v>394</v>
      </c>
      <c r="D65" s="15" t="s">
        <v>2563</v>
      </c>
      <c r="E65" s="15" t="s">
        <v>2361</v>
      </c>
      <c r="F65" s="15" t="n">
        <v>28</v>
      </c>
      <c r="G65" s="15" t="s">
        <v>2362</v>
      </c>
      <c r="H65" s="15"/>
      <c r="I65" s="16" t="n">
        <v>0</v>
      </c>
      <c r="J65" s="15"/>
      <c r="K65" s="16" t="n">
        <v>0</v>
      </c>
      <c r="L65" s="15" t="s">
        <v>358</v>
      </c>
      <c r="M65" s="15" t="n">
        <v>2</v>
      </c>
      <c r="N65" s="30" t="n">
        <f aca="false">_xlfn.MAXIFS('Piece check'!$E$6:$E$1643,'Piece check'!$B$6:$B$1643,B65)</f>
        <v>2.06960490240081</v>
      </c>
      <c r="O65" s="31" t="n">
        <f aca="false">SUMIFS('Piece check'!$D$6:$D$1643,'Piece check'!$B$6:$B$1643,B65)</f>
        <v>16.2279946636856</v>
      </c>
      <c r="P65" s="32" t="n">
        <v>-5.32133521976079</v>
      </c>
      <c r="Q65" s="32" t="n">
        <v>-5.3348024512004</v>
      </c>
      <c r="R65" s="30" t="n">
        <f aca="false">_xlfn.MINIFS('Piece check'!$K$6:$K$1643,'Piece check'!$B$6:$B$1643,B65)</f>
        <v>-5.3348024512004</v>
      </c>
      <c r="S65" s="18" t="n">
        <f aca="false">MAX(0,GWL-R65)</f>
        <v>3.8348024512004</v>
      </c>
      <c r="T65" s="18" t="n">
        <f aca="false">MAX(0,NG-R65)</f>
        <v>4.6348024512004</v>
      </c>
      <c r="U65" s="31" t="n">
        <f aca="false">SUMIFS('Piece check'!$R$6:$R$1643,'Piece check'!$B$6:$B$1643,B65)</f>
        <v>16.2279946636856</v>
      </c>
      <c r="V65" s="21" t="n">
        <f aca="false">O65-U65</f>
        <v>0</v>
      </c>
      <c r="W65" s="12" t="str">
        <f aca="false">IF(U65&lt;0.05,"Open cut",IF(V65&lt;0.05,"Sheet piles","Mixed: "&amp;TEXT(U65,"0")&amp;" m sheet piles"))</f>
        <v>Sheet piles</v>
      </c>
      <c r="X65" s="33" t="n">
        <f aca="false">SUMIFS('Piece check'!$V$6:$V$1643,'Piece check'!$B$6:$B$1643,B65)</f>
        <v>303.622582547873</v>
      </c>
      <c r="Y65" s="33" t="n">
        <f aca="false">SUMIFS('Piece check'!$W$6:$W$1643,'Piece check'!$B$6:$B$1643,B65)</f>
        <v>0</v>
      </c>
      <c r="Z65" s="33" t="n">
        <f aca="false">SUMIFS('Piece check'!$X$6:$X$1643,'Piece check'!$B$6:$B$1643,B65)</f>
        <v>24.7203273919875</v>
      </c>
      <c r="AA65" s="33" t="n">
        <f aca="false">SUMIFS('Piece check'!$Y$6:$Y$1643,'Piece check'!$B$6:$B$1643,B65)</f>
        <v>53.3881969827885</v>
      </c>
      <c r="AB65" s="20" t="n">
        <f aca="false">MAX(0,X65+Y65-Z65-AA65)</f>
        <v>225.514058173097</v>
      </c>
      <c r="AC65" s="20" t="n">
        <f aca="false">(ROUNDUP(O65/PILE_SP,0)+1)*IF(N65&gt;=PILE_THR,PILE_N_LARGE,PILE_N_SMALL)</f>
        <v>14</v>
      </c>
      <c r="AD65" s="20" t="n">
        <f aca="false">2*U65</f>
        <v>32.4559893273712</v>
      </c>
      <c r="AE65" s="34" t="n">
        <f aca="false">IF(U65&gt;0,ROUNDUP(T65*SHEET_RATIO,0),0)</f>
        <v>10</v>
      </c>
      <c r="AF65" s="20" t="n">
        <f aca="false">AD65*AE65</f>
        <v>324.559893273712</v>
      </c>
      <c r="AG65" s="18" t="n">
        <f aca="false">MAX(0,GWL-(R65-DD_BELOW))</f>
        <v>4.3348024512004</v>
      </c>
      <c r="AH65" s="12" t="str">
        <f aca="false">IF(AG65=0,"Not required",IF(AG65&lt;=WP_LIMIT,"Single-stage wellpoints","Deep wells or two-stage wellpoints"))</f>
        <v>Single-stage wellpoints</v>
      </c>
      <c r="AI65" s="30" t="n">
        <f aca="false">MIN(_xlfn.MINIFS('Piece check'!$Z$6:$Z$1643,'Piece check'!$B$6:$B$1643,B65),_xlfn.MINIFS('Piece check'!$AA$6:$AA$1643,'Piece check'!$B$6:$B$1643,B65))</f>
        <v>1.55288331433251</v>
      </c>
      <c r="AJ65" s="30" t="n">
        <f aca="false">MIN(_xlfn.MINIFS('Piece check'!$AB$6:$AB$1643,'Piece check'!$B$6:$B$1643,B65),_xlfn.MINIFS('Piece check'!$AC$6:$AC$1643,'Piece check'!$B$6:$B$1643,B65))</f>
        <v>3.47188383816548</v>
      </c>
      <c r="AK65" s="12" t="str">
        <f aca="false">IF(AJ65&lt;FOS_FLOT,"Anchor pipe to piled slab (permanent straps)",IF(AI65&lt;FOS_FLOT,"Keep dewatering on until fill reaches FL, or strap to slab","No extra measure"))</f>
        <v>No extra measure</v>
      </c>
      <c r="AL65" s="35" t="n">
        <f aca="false">Activities!P656</f>
        <v>46357</v>
      </c>
      <c r="AM65" s="35" t="n">
        <f aca="false">Activities!Q665</f>
        <v>46396</v>
      </c>
      <c r="AN65" s="15" t="n">
        <v>76</v>
      </c>
      <c r="AO65" s="36" t="s">
        <v>2564</v>
      </c>
      <c r="AP65" s="36" t="s">
        <v>2416</v>
      </c>
      <c r="AQ65" s="36" t="s">
        <v>2565</v>
      </c>
      <c r="AR65" s="37" t="n">
        <f aca="false">Activities!P664-Activities!Q662</f>
        <v>12</v>
      </c>
      <c r="AS65" s="37" t="n">
        <f aca="false">IF(Activities!K659=0,0,Activities!Q665-Activities!P659)</f>
        <v>35</v>
      </c>
    </row>
    <row r="66" customFormat="false" ht="15" hidden="false" customHeight="false" outlineLevel="0" collapsed="false">
      <c r="A66" s="15" t="s">
        <v>956</v>
      </c>
      <c r="B66" s="29" t="s">
        <v>980</v>
      </c>
      <c r="C66" s="15" t="s">
        <v>394</v>
      </c>
      <c r="D66" s="15" t="s">
        <v>2566</v>
      </c>
      <c r="E66" s="15" t="s">
        <v>2361</v>
      </c>
      <c r="F66" s="15" t="n">
        <v>28</v>
      </c>
      <c r="G66" s="15" t="s">
        <v>2362</v>
      </c>
      <c r="H66" s="15"/>
      <c r="I66" s="16" t="n">
        <v>0</v>
      </c>
      <c r="J66" s="15"/>
      <c r="K66" s="16" t="n">
        <v>0</v>
      </c>
      <c r="L66" s="15" t="s">
        <v>358</v>
      </c>
      <c r="M66" s="15" t="n">
        <v>0</v>
      </c>
      <c r="N66" s="30" t="n">
        <f aca="false">_xlfn.MAXIFS('Piece check'!$E$6:$E$1643,'Piece check'!$B$6:$B$1643,B66)</f>
        <v>2.04120982148155</v>
      </c>
      <c r="O66" s="31" t="n">
        <f aca="false">SUMIFS('Piece check'!$D$6:$D$1643,'Piece check'!$B$6:$B$1643,B66)</f>
        <v>16.1000000003242</v>
      </c>
      <c r="P66" s="32" t="n">
        <v>-5.32250930633481</v>
      </c>
      <c r="Q66" s="32" t="n">
        <v>-5.32133521976079</v>
      </c>
      <c r="R66" s="30" t="n">
        <f aca="false">_xlfn.MINIFS('Piece check'!$K$6:$K$1643,'Piece check'!$B$6:$B$1643,B66)</f>
        <v>-5.32250930633481</v>
      </c>
      <c r="S66" s="18" t="n">
        <f aca="false">MAX(0,GWL-R66)</f>
        <v>3.82250930633481</v>
      </c>
      <c r="T66" s="18" t="n">
        <f aca="false">MAX(0,NG-R66)</f>
        <v>4.62250930633481</v>
      </c>
      <c r="U66" s="31" t="n">
        <f aca="false">SUMIFS('Piece check'!$R$6:$R$1643,'Piece check'!$B$6:$B$1643,B66)</f>
        <v>16.1000000003242</v>
      </c>
      <c r="V66" s="21" t="n">
        <f aca="false">O66-U66</f>
        <v>0</v>
      </c>
      <c r="W66" s="12" t="str">
        <f aca="false">IF(U66&lt;0.05,"Open cut",IF(V66&lt;0.05,"Sheet piles","Mixed: "&amp;TEXT(U66,"0")&amp;" m sheet piles"))</f>
        <v>Sheet piles</v>
      </c>
      <c r="X66" s="33" t="n">
        <f aca="false">SUMIFS('Piece check'!$V$6:$V$1643,'Piece check'!$B$6:$B$1643,B66)</f>
        <v>300.718307415586</v>
      </c>
      <c r="Y66" s="33" t="n">
        <f aca="false">SUMIFS('Piece check'!$W$6:$W$1643,'Piece check'!$B$6:$B$1643,B66)</f>
        <v>0</v>
      </c>
      <c r="Z66" s="33" t="n">
        <f aca="false">SUMIFS('Piece check'!$X$6:$X$1643,'Piece check'!$B$6:$B$1643,B66)</f>
        <v>24.4817390634195</v>
      </c>
      <c r="AA66" s="33" t="n">
        <f aca="false">SUMIFS('Piece check'!$Y$6:$Y$1643,'Piece check'!$B$6:$B$1643,B66)</f>
        <v>52.6854939412357</v>
      </c>
      <c r="AB66" s="20" t="n">
        <f aca="false">MAX(0,X66+Y66-Z66-AA66)</f>
        <v>223.551074410931</v>
      </c>
      <c r="AC66" s="20" t="n">
        <f aca="false">(ROUNDUP(O66/PILE_SP,0)+1)*IF(N66&gt;=PILE_THR,PILE_N_LARGE,PILE_N_SMALL)</f>
        <v>14</v>
      </c>
      <c r="AD66" s="20" t="n">
        <f aca="false">2*U66</f>
        <v>32.2000000006484</v>
      </c>
      <c r="AE66" s="34" t="n">
        <f aca="false">IF(U66&gt;0,ROUNDUP(T66*SHEET_RATIO,0),0)</f>
        <v>10</v>
      </c>
      <c r="AF66" s="20" t="n">
        <f aca="false">AD66*AE66</f>
        <v>322.000000006484</v>
      </c>
      <c r="AG66" s="18" t="n">
        <f aca="false">MAX(0,GWL-(R66-DD_BELOW))</f>
        <v>4.32250930633481</v>
      </c>
      <c r="AH66" s="12" t="str">
        <f aca="false">IF(AG66=0,"Not required",IF(AG66&lt;=WP_LIMIT,"Single-stage wellpoints","Deep wells or two-stage wellpoints"))</f>
        <v>Single-stage wellpoints</v>
      </c>
      <c r="AI66" s="30" t="n">
        <f aca="false">MIN(_xlfn.MINIFS('Piece check'!$Z$6:$Z$1643,'Piece check'!$B$6:$B$1643,B66),_xlfn.MINIFS('Piece check'!$AA$6:$AA$1643,'Piece check'!$B$6:$B$1643,B66))</f>
        <v>1.58225915274103</v>
      </c>
      <c r="AJ66" s="30" t="n">
        <f aca="false">MIN(_xlfn.MINIFS('Piece check'!$AB$6:$AB$1643,'Piece check'!$B$6:$B$1643,B66),_xlfn.MINIFS('Piece check'!$AC$6:$AC$1643,'Piece check'!$B$6:$B$1643,B66))</f>
        <v>3.52795471526375</v>
      </c>
      <c r="AK66" s="12" t="str">
        <f aca="false">IF(AJ66&lt;FOS_FLOT,"Anchor pipe to piled slab (permanent straps)",IF(AI66&lt;FOS_FLOT,"Keep dewatering on until fill reaches FL, or strap to slab","No extra measure"))</f>
        <v>No extra measure</v>
      </c>
      <c r="AL66" s="35" t="n">
        <f aca="false">Activities!P667</f>
        <v>46358</v>
      </c>
      <c r="AM66" s="35" t="n">
        <f aca="false">Activities!Q676</f>
        <v>46398</v>
      </c>
      <c r="AN66" s="15" t="n">
        <v>77</v>
      </c>
      <c r="AO66" s="36" t="s">
        <v>2567</v>
      </c>
      <c r="AP66" s="36" t="s">
        <v>2568</v>
      </c>
      <c r="AQ66" s="36" t="s">
        <v>2565</v>
      </c>
      <c r="AR66" s="37" t="n">
        <f aca="false">Activities!P675-Activities!Q673</f>
        <v>8</v>
      </c>
      <c r="AS66" s="37" t="n">
        <f aca="false">IF(Activities!K670=0,0,Activities!Q676-Activities!P670)</f>
        <v>33</v>
      </c>
    </row>
    <row r="67" customFormat="false" ht="15" hidden="false" customHeight="false" outlineLevel="0" collapsed="false">
      <c r="A67" s="15" t="s">
        <v>993</v>
      </c>
      <c r="B67" s="29" t="s">
        <v>997</v>
      </c>
      <c r="C67" s="15" t="s">
        <v>394</v>
      </c>
      <c r="D67" s="15" t="s">
        <v>2569</v>
      </c>
      <c r="E67" s="15" t="s">
        <v>2518</v>
      </c>
      <c r="F67" s="15" t="n">
        <v>28</v>
      </c>
      <c r="G67" s="15" t="s">
        <v>2362</v>
      </c>
      <c r="H67" s="15"/>
      <c r="I67" s="16" t="n">
        <v>0</v>
      </c>
      <c r="J67" s="15"/>
      <c r="K67" s="16" t="n">
        <v>0</v>
      </c>
      <c r="L67" s="15" t="s">
        <v>358</v>
      </c>
      <c r="M67" s="15" t="n">
        <v>4</v>
      </c>
      <c r="N67" s="30" t="n">
        <f aca="false">_xlfn.MAXIFS('Piece check'!$E$6:$E$1643,'Piece check'!$B$6:$B$1643,B67)</f>
        <v>1.22583541970415</v>
      </c>
      <c r="O67" s="31" t="n">
        <f aca="false">SUMIFS('Piece check'!$D$6:$D$1643,'Piece check'!$B$6:$B$1643,B67)</f>
        <v>12.0662957484998</v>
      </c>
      <c r="P67" s="32" t="n">
        <v>-4.90130205871271</v>
      </c>
      <c r="Q67" s="32" t="n">
        <v>-4.91421770985208</v>
      </c>
      <c r="R67" s="30" t="n">
        <f aca="false">_xlfn.MINIFS('Piece check'!$K$6:$K$1643,'Piece check'!$B$6:$B$1643,B67)</f>
        <v>-4.91421770985208</v>
      </c>
      <c r="S67" s="18" t="n">
        <f aca="false">MAX(0,GWL-R67)</f>
        <v>3.41421770985207</v>
      </c>
      <c r="T67" s="18" t="n">
        <f aca="false">MAX(0,NG-R67)</f>
        <v>4.21421770985208</v>
      </c>
      <c r="U67" s="31" t="n">
        <f aca="false">SUMIFS('Piece check'!$R$6:$R$1643,'Piece check'!$B$6:$B$1643,B67)</f>
        <v>12.0662957484998</v>
      </c>
      <c r="V67" s="21" t="n">
        <f aca="false">O67-U67</f>
        <v>0</v>
      </c>
      <c r="W67" s="12" t="str">
        <f aca="false">IF(U67&lt;0.05,"Open cut",IF(V67&lt;0.05,"Sheet piles","Mixed: "&amp;TEXT(U67,"0")&amp;" m sheet piles"))</f>
        <v>Sheet piles</v>
      </c>
      <c r="X67" s="33" t="n">
        <f aca="false">SUMIFS('Piece check'!$V$6:$V$1643,'Piece check'!$B$6:$B$1643,B67)</f>
        <v>162.803604447663</v>
      </c>
      <c r="Y67" s="33" t="n">
        <f aca="false">SUMIFS('Piece check'!$W$6:$W$1643,'Piece check'!$B$6:$B$1643,B67)</f>
        <v>0</v>
      </c>
      <c r="Z67" s="33" t="n">
        <f aca="false">SUMIFS('Piece check'!$X$6:$X$1643,'Piece check'!$B$6:$B$1643,B67)</f>
        <v>13.322952598241</v>
      </c>
      <c r="AA67" s="33" t="n">
        <f aca="false">SUMIFS('Piece check'!$Y$6:$Y$1643,'Piece check'!$B$6:$B$1643,B67)</f>
        <v>13.8383162429199</v>
      </c>
      <c r="AB67" s="20" t="n">
        <f aca="false">MAX(0,X67+Y67-Z67-AA67)</f>
        <v>135.642335606503</v>
      </c>
      <c r="AC67" s="20" t="n">
        <f aca="false">(ROUNDUP(O67/PILE_SP,0)+1)*IF(N67&gt;=PILE_THR,PILE_N_LARGE,PILE_N_SMALL)</f>
        <v>12</v>
      </c>
      <c r="AD67" s="20" t="n">
        <f aca="false">2*U67</f>
        <v>24.1325914969997</v>
      </c>
      <c r="AE67" s="34" t="n">
        <f aca="false">IF(U67&gt;0,ROUNDUP(T67*SHEET_RATIO,0),0)</f>
        <v>9</v>
      </c>
      <c r="AF67" s="20" t="n">
        <f aca="false">AD67*AE67</f>
        <v>217.193323472997</v>
      </c>
      <c r="AG67" s="18" t="n">
        <f aca="false">MAX(0,GWL-(R67-DD_BELOW))</f>
        <v>3.91421770985207</v>
      </c>
      <c r="AH67" s="12" t="str">
        <f aca="false">IF(AG67=0,"Not required",IF(AG67&lt;=WP_LIMIT,"Single-stage wellpoints","Deep wells or two-stage wellpoints"))</f>
        <v>Single-stage wellpoints</v>
      </c>
      <c r="AI67" s="30" t="n">
        <f aca="false">MIN(_xlfn.MINIFS('Piece check'!$Z$6:$Z$1643,'Piece check'!$B$6:$B$1643,B67),_xlfn.MINIFS('Piece check'!$AA$6:$AA$1643,'Piece check'!$B$6:$B$1643,B67))</f>
        <v>2.98873053794177</v>
      </c>
      <c r="AJ67" s="30" t="n">
        <f aca="false">MIN(_xlfn.MINIFS('Piece check'!$AB$6:$AB$1643,'Piece check'!$B$6:$B$1643,B67),_xlfn.MINIFS('Piece check'!$AC$6:$AC$1643,'Piece check'!$B$6:$B$1643,B67))</f>
        <v>6.22862133241154</v>
      </c>
      <c r="AK67" s="12" t="str">
        <f aca="false">IF(AJ67&lt;FOS_FLOT,"Anchor pipe to piled slab (permanent straps)",IF(AI67&lt;FOS_FLOT,"Keep dewatering on until fill reaches FL, or strap to slab","No extra measure"))</f>
        <v>No extra measure</v>
      </c>
      <c r="AL67" s="35" t="n">
        <f aca="false">Activities!P678</f>
        <v>46362</v>
      </c>
      <c r="AM67" s="35" t="n">
        <f aca="false">Activities!Q687</f>
        <v>46400</v>
      </c>
      <c r="AN67" s="15" t="n">
        <v>78</v>
      </c>
      <c r="AO67" s="36" t="s">
        <v>2570</v>
      </c>
      <c r="AP67" s="36" t="s">
        <v>2571</v>
      </c>
      <c r="AQ67" s="36" t="s">
        <v>2572</v>
      </c>
      <c r="AR67" s="37" t="n">
        <f aca="false">Activities!P686-Activities!Q684</f>
        <v>4</v>
      </c>
      <c r="AS67" s="37" t="n">
        <f aca="false">IF(Activities!K681=0,0,Activities!Q687-Activities!P681)</f>
        <v>31</v>
      </c>
    </row>
    <row r="68" customFormat="false" ht="15" hidden="false" customHeight="false" outlineLevel="0" collapsed="false">
      <c r="A68" s="15" t="s">
        <v>956</v>
      </c>
      <c r="B68" s="29" t="s">
        <v>990</v>
      </c>
      <c r="C68" s="15" t="s">
        <v>394</v>
      </c>
      <c r="D68" s="15" t="s">
        <v>2573</v>
      </c>
      <c r="E68" s="15" t="s">
        <v>2361</v>
      </c>
      <c r="F68" s="15" t="n">
        <v>28</v>
      </c>
      <c r="G68" s="15" t="s">
        <v>2367</v>
      </c>
      <c r="H68" s="15" t="s">
        <v>299</v>
      </c>
      <c r="I68" s="35" t="n">
        <f aca="false">MAX(Structures!$H$6)</f>
        <v>0</v>
      </c>
      <c r="J68" s="15"/>
      <c r="K68" s="16" t="n">
        <v>0</v>
      </c>
      <c r="L68" s="15" t="s">
        <v>358</v>
      </c>
      <c r="M68" s="15" t="n">
        <v>0</v>
      </c>
      <c r="N68" s="30" t="n">
        <f aca="false">_xlfn.MAXIFS('Piece check'!$E$6:$E$1643,'Piece check'!$B$6:$B$1643,B68)</f>
        <v>2.06960490240081</v>
      </c>
      <c r="O68" s="31" t="n">
        <f aca="false">SUMIFS('Piece check'!$D$6:$D$1643,'Piece check'!$B$6:$B$1643,B68)</f>
        <v>12.9696199998062</v>
      </c>
      <c r="P68" s="32" t="n">
        <v>-5.3348024512004</v>
      </c>
      <c r="Q68" s="32" t="n">
        <v>-5.3348024512004</v>
      </c>
      <c r="R68" s="30" t="n">
        <f aca="false">_xlfn.MINIFS('Piece check'!$K$6:$K$1643,'Piece check'!$B$6:$B$1643,B68)</f>
        <v>-5.3348024512004</v>
      </c>
      <c r="S68" s="18" t="n">
        <f aca="false">MAX(0,GWL-R68)</f>
        <v>3.8348024512004</v>
      </c>
      <c r="T68" s="18" t="n">
        <f aca="false">MAX(0,NG-R68)</f>
        <v>4.6348024512004</v>
      </c>
      <c r="U68" s="31" t="n">
        <f aca="false">SUMIFS('Piece check'!$R$6:$R$1643,'Piece check'!$B$6:$B$1643,B68)</f>
        <v>12.9696199998062</v>
      </c>
      <c r="V68" s="21" t="n">
        <f aca="false">O68-U68</f>
        <v>0</v>
      </c>
      <c r="W68" s="12" t="str">
        <f aca="false">IF(U68&lt;0.05,"Open cut",IF(V68&lt;0.05,"Sheet piles","Mixed: "&amp;TEXT(U68,"0")&amp;" m sheet piles"))</f>
        <v>Sheet piles</v>
      </c>
      <c r="X68" s="33" t="n">
        <f aca="false">SUMIFS('Piece check'!$V$6:$V$1643,'Piece check'!$B$6:$B$1643,B68)</f>
        <v>244.630570165255</v>
      </c>
      <c r="Y68" s="33" t="n">
        <f aca="false">SUMIFS('Piece check'!$W$6:$W$1643,'Piece check'!$B$6:$B$1643,B68)</f>
        <v>0</v>
      </c>
      <c r="Z68" s="33" t="n">
        <f aca="false">SUMIFS('Piece check'!$X$6:$X$1643,'Piece check'!$B$6:$B$1643,B68)</f>
        <v>19.9058045668403</v>
      </c>
      <c r="AA68" s="33" t="n">
        <f aca="false">SUMIFS('Piece check'!$Y$6:$Y$1643,'Piece check'!$B$6:$B$1643,B68)</f>
        <v>43.630684054202</v>
      </c>
      <c r="AB68" s="20" t="n">
        <f aca="false">MAX(0,X68+Y68-Z68-AA68)</f>
        <v>181.094081544213</v>
      </c>
      <c r="AC68" s="20" t="n">
        <f aca="false">(ROUNDUP(O68/PILE_SP,0)+1)*IF(N68&gt;=PILE_THR,PILE_N_LARGE,PILE_N_SMALL)</f>
        <v>12</v>
      </c>
      <c r="AD68" s="20" t="n">
        <f aca="false">2*U68</f>
        <v>25.9392399996124</v>
      </c>
      <c r="AE68" s="34" t="n">
        <f aca="false">IF(U68&gt;0,ROUNDUP(T68*SHEET_RATIO,0),0)</f>
        <v>10</v>
      </c>
      <c r="AF68" s="20" t="n">
        <f aca="false">AD68*AE68</f>
        <v>259.392399996124</v>
      </c>
      <c r="AG68" s="18" t="n">
        <f aca="false">MAX(0,GWL-(R68-DD_BELOW))</f>
        <v>4.3348024512004</v>
      </c>
      <c r="AH68" s="12" t="str">
        <f aca="false">IF(AG68=0,"Not required",IF(AG68&lt;=WP_LIMIT,"Single-stage wellpoints","Deep wells or two-stage wellpoints"))</f>
        <v>Single-stage wellpoints</v>
      </c>
      <c r="AI68" s="30" t="n">
        <f aca="false">MIN(_xlfn.MINIFS('Piece check'!$Z$6:$Z$1643,'Piece check'!$B$6:$B$1643,B68),_xlfn.MINIFS('Piece check'!$AA$6:$AA$1643,'Piece check'!$B$6:$B$1643,B68))</f>
        <v>1.55288331433251</v>
      </c>
      <c r="AJ68" s="30" t="n">
        <f aca="false">MIN(_xlfn.MINIFS('Piece check'!$AB$6:$AB$1643,'Piece check'!$B$6:$B$1643,B68),_xlfn.MINIFS('Piece check'!$AC$6:$AC$1643,'Piece check'!$B$6:$B$1643,B68))</f>
        <v>3.47188383816548</v>
      </c>
      <c r="AK68" s="12" t="str">
        <f aca="false">IF(AJ68&lt;FOS_FLOT,"Anchor pipe to piled slab (permanent straps)",IF(AI68&lt;FOS_FLOT,"Keep dewatering on until fill reaches FL, or strap to slab","No extra measure"))</f>
        <v>No extra measure</v>
      </c>
      <c r="AL68" s="35" t="n">
        <f aca="false">Activities!P689</f>
        <v>46358</v>
      </c>
      <c r="AM68" s="35" t="n">
        <f aca="false">Activities!Q698</f>
        <v>46391</v>
      </c>
      <c r="AN68" s="15" t="n">
        <v>79</v>
      </c>
      <c r="AO68" s="36" t="s">
        <v>2567</v>
      </c>
      <c r="AP68" s="36" t="s">
        <v>2574</v>
      </c>
      <c r="AQ68" s="36" t="s">
        <v>2575</v>
      </c>
      <c r="AR68" s="37" t="n">
        <f aca="false">Activities!P697-Activities!Q695</f>
        <v>-1</v>
      </c>
      <c r="AS68" s="37" t="n">
        <f aca="false">IF(Activities!K692=0,0,Activities!Q698-Activities!P692)</f>
        <v>29</v>
      </c>
    </row>
    <row r="69" customFormat="false" ht="15" hidden="false" customHeight="false" outlineLevel="0" collapsed="false">
      <c r="A69" s="15" t="s">
        <v>956</v>
      </c>
      <c r="B69" s="29" t="s">
        <v>972</v>
      </c>
      <c r="C69" s="15" t="s">
        <v>394</v>
      </c>
      <c r="D69" s="15" t="s">
        <v>2576</v>
      </c>
      <c r="E69" s="15" t="s">
        <v>2361</v>
      </c>
      <c r="F69" s="15" t="n">
        <v>28</v>
      </c>
      <c r="G69" s="15" t="s">
        <v>2362</v>
      </c>
      <c r="H69" s="15"/>
      <c r="I69" s="16" t="n">
        <v>0</v>
      </c>
      <c r="J69" s="15"/>
      <c r="K69" s="16" t="n">
        <v>0</v>
      </c>
      <c r="L69" s="15" t="s">
        <v>358</v>
      </c>
      <c r="M69" s="15" t="n">
        <v>0</v>
      </c>
      <c r="N69" s="30" t="n">
        <f aca="false">_xlfn.MAXIFS('Piece check'!$E$6:$E$1643,'Piece check'!$B$6:$B$1643,B69)</f>
        <v>2.04120982148155</v>
      </c>
      <c r="O69" s="31" t="n">
        <f aca="false">SUMIFS('Piece check'!$D$6:$D$1643,'Piece check'!$B$6:$B$1643,B69)</f>
        <v>57.3000000000079</v>
      </c>
      <c r="P69" s="32" t="n">
        <v>-5.3266944120159</v>
      </c>
      <c r="Q69" s="32" t="n">
        <v>-5.32250930633481</v>
      </c>
      <c r="R69" s="30" t="n">
        <f aca="false">_xlfn.MINIFS('Piece check'!$K$6:$K$1643,'Piece check'!$B$6:$B$1643,B69)</f>
        <v>-5.3266944120159</v>
      </c>
      <c r="S69" s="18" t="n">
        <f aca="false">MAX(0,GWL-R69)</f>
        <v>3.8266944120159</v>
      </c>
      <c r="T69" s="18" t="n">
        <f aca="false">MAX(0,NG-R69)</f>
        <v>4.6266944120159</v>
      </c>
      <c r="U69" s="31" t="n">
        <f aca="false">SUMIFS('Piece check'!$R$6:$R$1643,'Piece check'!$B$6:$B$1643,B69)</f>
        <v>57.3000000000079</v>
      </c>
      <c r="V69" s="21" t="n">
        <f aca="false">O69-U69</f>
        <v>0</v>
      </c>
      <c r="W69" s="12" t="str">
        <f aca="false">IF(U69&lt;0.05,"Open cut",IF(V69&lt;0.05,"Sheet piles","Mixed: "&amp;TEXT(U69,"0")&amp;" m sheet piles"))</f>
        <v>Sheet piles</v>
      </c>
      <c r="X69" s="33" t="n">
        <f aca="false">SUMIFS('Piece check'!$V$6:$V$1643,'Piece check'!$B$6:$B$1643,B69)</f>
        <v>1070.87892379952</v>
      </c>
      <c r="Y69" s="33" t="n">
        <f aca="false">SUMIFS('Piece check'!$W$6:$W$1643,'Piece check'!$B$6:$B$1643,B69)</f>
        <v>0</v>
      </c>
      <c r="Z69" s="33" t="n">
        <f aca="false">SUMIFS('Piece check'!$X$6:$X$1643,'Piece check'!$B$6:$B$1643,B69)</f>
        <v>87.1306613854584</v>
      </c>
      <c r="AA69" s="33" t="n">
        <f aca="false">SUMIFS('Piece check'!$Y$6:$Y$1643,'Piece check'!$B$6:$B$1643,B69)</f>
        <v>187.5080001722</v>
      </c>
      <c r="AB69" s="20" t="n">
        <f aca="false">MAX(0,X69+Y69-Z69-AA69)</f>
        <v>796.240262241863</v>
      </c>
      <c r="AC69" s="20" t="n">
        <f aca="false">(ROUNDUP(O69/PILE_SP,0)+1)*IF(N69&gt;=PILE_THR,PILE_N_LARGE,PILE_N_SMALL)</f>
        <v>42</v>
      </c>
      <c r="AD69" s="20" t="n">
        <f aca="false">2*U69</f>
        <v>114.600000000016</v>
      </c>
      <c r="AE69" s="34" t="n">
        <f aca="false">IF(U69&gt;0,ROUNDUP(T69*SHEET_RATIO,0),0)</f>
        <v>10</v>
      </c>
      <c r="AF69" s="20" t="n">
        <f aca="false">AD69*AE69</f>
        <v>1146.00000000016</v>
      </c>
      <c r="AG69" s="18" t="n">
        <f aca="false">MAX(0,GWL-(R69-DD_BELOW))</f>
        <v>4.3266944120159</v>
      </c>
      <c r="AH69" s="12" t="str">
        <f aca="false">IF(AG69=0,"Not required",IF(AG69&lt;=WP_LIMIT,"Single-stage wellpoints","Deep wells or two-stage wellpoints"))</f>
        <v>Single-stage wellpoints</v>
      </c>
      <c r="AI69" s="30" t="n">
        <f aca="false">MIN(_xlfn.MINIFS('Piece check'!$Z$6:$Z$1643,'Piece check'!$B$6:$B$1643,B69),_xlfn.MINIFS('Piece check'!$AA$6:$AA$1643,'Piece check'!$B$6:$B$1643,B69))</f>
        <v>1.58287056970684</v>
      </c>
      <c r="AJ69" s="30" t="n">
        <f aca="false">MIN(_xlfn.MINIFS('Piece check'!$AB$6:$AB$1643,'Piece check'!$B$6:$B$1643,B69),_xlfn.MINIFS('Piece check'!$AC$6:$AC$1643,'Piece check'!$B$6:$B$1643,B69))</f>
        <v>3.52856613222956</v>
      </c>
      <c r="AK69" s="12" t="str">
        <f aca="false">IF(AJ69&lt;FOS_FLOT,"Anchor pipe to piled slab (permanent straps)",IF(AI69&lt;FOS_FLOT,"Keep dewatering on until fill reaches FL, or strap to slab","No extra measure"))</f>
        <v>No extra measure</v>
      </c>
      <c r="AL69" s="35" t="n">
        <f aca="false">Activities!P700</f>
        <v>46366</v>
      </c>
      <c r="AM69" s="35" t="n">
        <f aca="false">Activities!Q709</f>
        <v>46408</v>
      </c>
      <c r="AN69" s="15" t="n">
        <v>80</v>
      </c>
      <c r="AO69" s="36" t="s">
        <v>2567</v>
      </c>
      <c r="AP69" s="36" t="s">
        <v>2416</v>
      </c>
      <c r="AQ69" s="36" t="s">
        <v>2577</v>
      </c>
      <c r="AR69" s="37" t="n">
        <f aca="false">Activities!P708-Activities!Q706</f>
        <v>-4</v>
      </c>
      <c r="AS69" s="37" t="n">
        <f aca="false">IF(Activities!K703=0,0,Activities!Q709-Activities!P703)</f>
        <v>32</v>
      </c>
    </row>
    <row r="70" customFormat="false" ht="15" hidden="false" customHeight="false" outlineLevel="0" collapsed="false">
      <c r="A70" s="15" t="s">
        <v>956</v>
      </c>
      <c r="B70" s="29" t="s">
        <v>968</v>
      </c>
      <c r="C70" s="15" t="s">
        <v>394</v>
      </c>
      <c r="D70" s="15" t="s">
        <v>2578</v>
      </c>
      <c r="E70" s="15" t="s">
        <v>2361</v>
      </c>
      <c r="F70" s="15" t="n">
        <v>28</v>
      </c>
      <c r="G70" s="15" t="s">
        <v>2362</v>
      </c>
      <c r="H70" s="15"/>
      <c r="I70" s="16" t="n">
        <v>0</v>
      </c>
      <c r="J70" s="15"/>
      <c r="K70" s="16" t="n">
        <v>0</v>
      </c>
      <c r="L70" s="15" t="s">
        <v>358</v>
      </c>
      <c r="M70" s="15" t="n">
        <v>0</v>
      </c>
      <c r="N70" s="30" t="n">
        <f aca="false">_xlfn.MAXIFS('Piece check'!$E$6:$E$1643,'Piece check'!$B$6:$B$1643,B70)</f>
        <v>2.04120982148155</v>
      </c>
      <c r="O70" s="31" t="n">
        <f aca="false">SUMIFS('Piece check'!$D$6:$D$1643,'Piece check'!$B$6:$B$1643,B70)</f>
        <v>16.0999999999895</v>
      </c>
      <c r="P70" s="32" t="n">
        <v>-5.32787033176224</v>
      </c>
      <c r="Q70" s="32" t="n">
        <v>-5.3266944120159</v>
      </c>
      <c r="R70" s="30" t="n">
        <f aca="false">_xlfn.MINIFS('Piece check'!$K$6:$K$1643,'Piece check'!$B$6:$B$1643,B70)</f>
        <v>-5.32787033176224</v>
      </c>
      <c r="S70" s="18" t="n">
        <f aca="false">MAX(0,GWL-R70)</f>
        <v>3.82787033176224</v>
      </c>
      <c r="T70" s="18" t="n">
        <f aca="false">MAX(0,NG-R70)</f>
        <v>4.62787033176224</v>
      </c>
      <c r="U70" s="31" t="n">
        <f aca="false">SUMIFS('Piece check'!$R$6:$R$1643,'Piece check'!$B$6:$B$1643,B70)</f>
        <v>16.0999999999895</v>
      </c>
      <c r="V70" s="21" t="n">
        <f aca="false">O70-U70</f>
        <v>0</v>
      </c>
      <c r="W70" s="12" t="str">
        <f aca="false">IF(U70&lt;0.05,"Open cut",IF(V70&lt;0.05,"Sheet piles","Mixed: "&amp;TEXT(U70,"0")&amp;" m sheet piles"))</f>
        <v>Sheet piles</v>
      </c>
      <c r="X70" s="33" t="n">
        <f aca="false">SUMIFS('Piece check'!$V$6:$V$1643,'Piece check'!$B$6:$B$1643,B70)</f>
        <v>301.067085385353</v>
      </c>
      <c r="Y70" s="33" t="n">
        <f aca="false">SUMIFS('Piece check'!$W$6:$W$1643,'Piece check'!$B$6:$B$1643,B70)</f>
        <v>0</v>
      </c>
      <c r="Z70" s="33" t="n">
        <f aca="false">SUMIFS('Piece check'!$X$6:$X$1643,'Piece check'!$B$6:$B$1643,B70)</f>
        <v>24.4817390629105</v>
      </c>
      <c r="AA70" s="33" t="n">
        <f aca="false">SUMIFS('Piece check'!$Y$6:$Y$1643,'Piece check'!$B$6:$B$1643,B70)</f>
        <v>52.6854939401403</v>
      </c>
      <c r="AB70" s="20" t="n">
        <f aca="false">MAX(0,X70+Y70-Z70-AA70)</f>
        <v>223.899852382302</v>
      </c>
      <c r="AC70" s="20" t="n">
        <f aca="false">(ROUNDUP(O70/PILE_SP,0)+1)*IF(N70&gt;=PILE_THR,PILE_N_LARGE,PILE_N_SMALL)</f>
        <v>14</v>
      </c>
      <c r="AD70" s="20" t="n">
        <f aca="false">2*U70</f>
        <v>32.199999999979</v>
      </c>
      <c r="AE70" s="34" t="n">
        <f aca="false">IF(U70&gt;0,ROUNDUP(T70*SHEET_RATIO,0),0)</f>
        <v>10</v>
      </c>
      <c r="AF70" s="20" t="n">
        <f aca="false">AD70*AE70</f>
        <v>321.99999999979</v>
      </c>
      <c r="AG70" s="18" t="n">
        <f aca="false">MAX(0,GWL-(R70-DD_BELOW))</f>
        <v>4.32787033176224</v>
      </c>
      <c r="AH70" s="12" t="str">
        <f aca="false">IF(AG70=0,"Not required",IF(AG70&lt;=WP_LIMIT,"Single-stage wellpoints","Deep wells or two-stage wellpoints"))</f>
        <v>Single-stage wellpoints</v>
      </c>
      <c r="AI70" s="30" t="n">
        <f aca="false">MIN(_xlfn.MINIFS('Piece check'!$Z$6:$Z$1643,'Piece check'!$B$6:$B$1643,B70),_xlfn.MINIFS('Piece check'!$AA$6:$AA$1643,'Piece check'!$B$6:$B$1643,B70))</f>
        <v>1.58505000406351</v>
      </c>
      <c r="AJ70" s="30" t="n">
        <f aca="false">MIN(_xlfn.MINIFS('Piece check'!$AB$6:$AB$1643,'Piece check'!$B$6:$B$1643,B70),_xlfn.MINIFS('Piece check'!$AC$6:$AC$1643,'Piece check'!$B$6:$B$1643,B70))</f>
        <v>3.53074556658623</v>
      </c>
      <c r="AK70" s="12" t="str">
        <f aca="false">IF(AJ70&lt;FOS_FLOT,"Anchor pipe to piled slab (permanent straps)",IF(AI70&lt;FOS_FLOT,"Keep dewatering on until fill reaches FL, or strap to slab","No extra measure"))</f>
        <v>No extra measure</v>
      </c>
      <c r="AL70" s="35" t="n">
        <f aca="false">Activities!P711</f>
        <v>46370</v>
      </c>
      <c r="AM70" s="35" t="n">
        <f aca="false">Activities!Q720</f>
        <v>46414</v>
      </c>
      <c r="AN70" s="15" t="n">
        <v>81</v>
      </c>
      <c r="AO70" s="36" t="s">
        <v>2567</v>
      </c>
      <c r="AP70" s="36" t="s">
        <v>2579</v>
      </c>
      <c r="AQ70" s="36" t="s">
        <v>2580</v>
      </c>
      <c r="AR70" s="37" t="n">
        <f aca="false">Activities!P719-Activities!Q717</f>
        <v>-2</v>
      </c>
      <c r="AS70" s="37" t="n">
        <f aca="false">IF(Activities!K714=0,0,Activities!Q720-Activities!P714)</f>
        <v>30</v>
      </c>
    </row>
    <row r="71" customFormat="false" ht="15" hidden="false" customHeight="false" outlineLevel="0" collapsed="false">
      <c r="A71" s="15" t="s">
        <v>695</v>
      </c>
      <c r="B71" s="29" t="s">
        <v>705</v>
      </c>
      <c r="C71" s="15" t="s">
        <v>394</v>
      </c>
      <c r="D71" s="15" t="s">
        <v>2581</v>
      </c>
      <c r="E71" s="15" t="s">
        <v>2361</v>
      </c>
      <c r="F71" s="15" t="n">
        <v>28</v>
      </c>
      <c r="G71" s="15" t="s">
        <v>2362</v>
      </c>
      <c r="H71" s="15"/>
      <c r="I71" s="16" t="n">
        <v>0</v>
      </c>
      <c r="J71" s="15"/>
      <c r="K71" s="16" t="n">
        <v>0</v>
      </c>
      <c r="L71" s="15" t="s">
        <v>358</v>
      </c>
      <c r="M71" s="15" t="n">
        <v>1</v>
      </c>
      <c r="N71" s="30" t="n">
        <f aca="false">_xlfn.MAXIFS('Piece check'!$E$6:$E$1643,'Piece check'!$B$6:$B$1643,B71)</f>
        <v>2.06959806440608</v>
      </c>
      <c r="O71" s="31" t="n">
        <f aca="false">SUMIFS('Piece check'!$D$6:$D$1643,'Piece check'!$B$6:$B$1643,B71)</f>
        <v>35.2658153871653</v>
      </c>
      <c r="P71" s="32" t="n">
        <v>-3.61706903220304</v>
      </c>
      <c r="Q71" s="32" t="n">
        <v>-4.58014973082605</v>
      </c>
      <c r="R71" s="30" t="n">
        <f aca="false">_xlfn.MINIFS('Piece check'!$K$6:$K$1643,'Piece check'!$B$6:$B$1643,B71)</f>
        <v>-4.58014973082605</v>
      </c>
      <c r="S71" s="18" t="n">
        <f aca="false">MAX(0,GWL-R71)</f>
        <v>3.08014973082605</v>
      </c>
      <c r="T71" s="18" t="n">
        <f aca="false">MAX(0,NG-R71)</f>
        <v>3.88014973082605</v>
      </c>
      <c r="U71" s="31" t="n">
        <f aca="false">SUMIFS('Piece check'!$R$6:$R$1643,'Piece check'!$B$6:$B$1643,B71)</f>
        <v>33.2386453872541</v>
      </c>
      <c r="V71" s="21" t="n">
        <f aca="false">O71-U71</f>
        <v>2.02716999991118</v>
      </c>
      <c r="W71" s="12" t="str">
        <f aca="false">IF(U71&lt;0.05,"Open cut",IF(V71&lt;0.05,"Sheet piles","Mixed: "&amp;TEXT(U71,"0")&amp;" m sheet piles"))</f>
        <v>Mixed: 33 m sheet piles</v>
      </c>
      <c r="X71" s="33" t="n">
        <f aca="false">SUMIFS('Piece check'!$V$6:$V$1643,'Piece check'!$B$6:$B$1643,B71)</f>
        <v>483.821898230558</v>
      </c>
      <c r="Y71" s="33" t="n">
        <f aca="false">SUMIFS('Piece check'!$W$6:$W$1643,'Piece check'!$B$6:$B$1643,B71)</f>
        <v>60.7813212712653</v>
      </c>
      <c r="Z71" s="33" t="n">
        <f aca="false">SUMIFS('Piece check'!$X$6:$X$1643,'Piece check'!$B$6:$B$1643,B71)</f>
        <v>54.1259393260724</v>
      </c>
      <c r="AA71" s="33" t="n">
        <f aca="false">SUMIFS('Piece check'!$Y$6:$Y$1643,'Piece check'!$B$6:$B$1643,B71)</f>
        <v>118.635818284485</v>
      </c>
      <c r="AB71" s="20" t="n">
        <f aca="false">MAX(0,X71+Y71-Z71-AA71)</f>
        <v>371.841461891266</v>
      </c>
      <c r="AC71" s="20" t="n">
        <f aca="false">(ROUNDUP(O71/PILE_SP,0)+1)*IF(N71&gt;=PILE_THR,PILE_N_LARGE,PILE_N_SMALL)</f>
        <v>26</v>
      </c>
      <c r="AD71" s="20" t="n">
        <f aca="false">2*U71</f>
        <v>66.4772907745083</v>
      </c>
      <c r="AE71" s="34" t="n">
        <f aca="false">IF(U71&gt;0,ROUNDUP(T71*SHEET_RATIO,0),0)</f>
        <v>8</v>
      </c>
      <c r="AF71" s="20" t="n">
        <f aca="false">AD71*AE71</f>
        <v>531.818326196066</v>
      </c>
      <c r="AG71" s="18" t="n">
        <f aca="false">MAX(0,GWL-(R71-DD_BELOW))</f>
        <v>3.58014973082605</v>
      </c>
      <c r="AH71" s="12" t="str">
        <f aca="false">IF(AG71=0,"Not required",IF(AG71&lt;=WP_LIMIT,"Single-stage wellpoints","Deep wells or two-stage wellpoints"))</f>
        <v>Single-stage wellpoints</v>
      </c>
      <c r="AI71" s="30" t="n">
        <f aca="false">MIN(_xlfn.MINIFS('Piece check'!$Z$6:$Z$1643,'Piece check'!$B$6:$B$1643,B71),_xlfn.MINIFS('Piece check'!$AA$6:$AA$1643,'Piece check'!$B$6:$B$1643,B71))</f>
        <v>0.392234807252982</v>
      </c>
      <c r="AJ71" s="30" t="n">
        <f aca="false">MIN(_xlfn.MINIFS('Piece check'!$AB$6:$AB$1643,'Piece check'!$B$6:$B$1643,B71),_xlfn.MINIFS('Piece check'!$AC$6:$AC$1643,'Piece check'!$B$6:$B$1643,B71))</f>
        <v>2.31124167150331</v>
      </c>
      <c r="AK71" s="12" t="str">
        <f aca="false">IF(AJ71&lt;FOS_FLOT,"Anchor pipe to piled slab (permanent straps)",IF(AI71&lt;FOS_FLOT,"Keep dewatering on until fill reaches FL, or strap to slab","No extra measure"))</f>
        <v>Keep dewatering on until fill reaches FL, or strap to slab</v>
      </c>
      <c r="AL71" s="35" t="n">
        <f aca="false">Activities!P722</f>
        <v>46381</v>
      </c>
      <c r="AM71" s="35" t="n">
        <f aca="false">Activities!Q731</f>
        <v>46494</v>
      </c>
      <c r="AN71" s="15" t="n">
        <v>103</v>
      </c>
      <c r="AO71" s="36" t="s">
        <v>2567</v>
      </c>
      <c r="AP71" s="36" t="s">
        <v>2582</v>
      </c>
      <c r="AQ71" s="36" t="s">
        <v>2583</v>
      </c>
      <c r="AR71" s="37" t="n">
        <f aca="false">Activities!P730-Activities!Q728</f>
        <v>19</v>
      </c>
      <c r="AS71" s="37" t="n">
        <f aca="false">IF(Activities!K725=0,0,Activities!Q731-Activities!P725)</f>
        <v>104</v>
      </c>
    </row>
    <row r="72" customFormat="false" ht="15" hidden="false" customHeight="false" outlineLevel="0" collapsed="false">
      <c r="A72" s="15" t="s">
        <v>719</v>
      </c>
      <c r="B72" s="29" t="s">
        <v>809</v>
      </c>
      <c r="C72" s="15" t="s">
        <v>394</v>
      </c>
      <c r="D72" s="15" t="s">
        <v>2584</v>
      </c>
      <c r="E72" s="15" t="s">
        <v>2518</v>
      </c>
      <c r="F72" s="15" t="n">
        <v>28</v>
      </c>
      <c r="G72" s="15" t="s">
        <v>2362</v>
      </c>
      <c r="H72" s="15"/>
      <c r="I72" s="16" t="n">
        <v>0</v>
      </c>
      <c r="J72" s="15"/>
      <c r="K72" s="16" t="n">
        <v>0</v>
      </c>
      <c r="L72" s="15" t="s">
        <v>358</v>
      </c>
      <c r="M72" s="15" t="n">
        <v>3</v>
      </c>
      <c r="N72" s="30" t="n">
        <f aca="false">_xlfn.MAXIFS('Piece check'!$E$6:$E$1643,'Piece check'!$B$6:$B$1643,B72)</f>
        <v>1.22579936488461</v>
      </c>
      <c r="O72" s="31" t="n">
        <f aca="false">SUMIFS('Piece check'!$D$6:$D$1643,'Piece check'!$B$6:$B$1643,B72)</f>
        <v>32.0690408274796</v>
      </c>
      <c r="P72" s="32" t="n">
        <v>-4.73762400604806</v>
      </c>
      <c r="Q72" s="32" t="n">
        <v>-3.6174796824423</v>
      </c>
      <c r="R72" s="30" t="n">
        <f aca="false">_xlfn.MINIFS('Piece check'!$K$6:$K$1643,'Piece check'!$B$6:$B$1643,B72)</f>
        <v>-4.73762400604806</v>
      </c>
      <c r="S72" s="18" t="n">
        <f aca="false">MAX(0,GWL-R72)</f>
        <v>3.23762400604806</v>
      </c>
      <c r="T72" s="18" t="n">
        <f aca="false">MAX(0,NG-R72)</f>
        <v>4.03762400604806</v>
      </c>
      <c r="U72" s="31" t="n">
        <f aca="false">SUMIFS('Piece check'!$R$6:$R$1643,'Piece check'!$B$6:$B$1643,B72)</f>
        <v>29.8999999998855</v>
      </c>
      <c r="V72" s="21" t="n">
        <f aca="false">O72-U72</f>
        <v>2.16904082759409</v>
      </c>
      <c r="W72" s="12" t="str">
        <f aca="false">IF(U72&lt;0.05,"Open cut",IF(V72&lt;0.05,"Sheet piles","Mixed: "&amp;TEXT(U72,"0")&amp;" m sheet piles"))</f>
        <v>Mixed: 30 m sheet piles</v>
      </c>
      <c r="X72" s="33" t="n">
        <f aca="false">SUMIFS('Piece check'!$V$6:$V$1643,'Piece check'!$B$6:$B$1643,B72)</f>
        <v>363.816610772703</v>
      </c>
      <c r="Y72" s="33" t="n">
        <f aca="false">SUMIFS('Piece check'!$W$6:$W$1643,'Piece check'!$B$6:$B$1643,B72)</f>
        <v>59.1163568910341</v>
      </c>
      <c r="Z72" s="33" t="n">
        <f aca="false">SUMIFS('Piece check'!$X$6:$X$1643,'Piece check'!$B$6:$B$1643,B72)</f>
        <v>35.357484224553</v>
      </c>
      <c r="AA72" s="33" t="n">
        <f aca="false">SUMIFS('Piece check'!$Y$6:$Y$1643,'Piece check'!$B$6:$B$1643,B72)</f>
        <v>36.5799320816486</v>
      </c>
      <c r="AB72" s="20" t="n">
        <f aca="false">MAX(0,X72+Y72-Z72-AA72)</f>
        <v>350.995551357536</v>
      </c>
      <c r="AC72" s="20" t="n">
        <f aca="false">(ROUNDUP(O72/PILE_SP,0)+1)*IF(N72&gt;=PILE_THR,PILE_N_LARGE,PILE_N_SMALL)</f>
        <v>24</v>
      </c>
      <c r="AD72" s="20" t="n">
        <f aca="false">2*U72</f>
        <v>59.799999999771</v>
      </c>
      <c r="AE72" s="34" t="n">
        <f aca="false">IF(U72&gt;0,ROUNDUP(T72*SHEET_RATIO,0),0)</f>
        <v>9</v>
      </c>
      <c r="AF72" s="20" t="n">
        <f aca="false">AD72*AE72</f>
        <v>538.199999997939</v>
      </c>
      <c r="AG72" s="18" t="n">
        <f aca="false">MAX(0,GWL-(R72-DD_BELOW))</f>
        <v>3.73762400604806</v>
      </c>
      <c r="AH72" s="12" t="str">
        <f aca="false">IF(AG72=0,"Not required",IF(AG72&lt;=WP_LIMIT,"Single-stage wellpoints","Deep wells or two-stage wellpoints"))</f>
        <v>Single-stage wellpoints</v>
      </c>
      <c r="AI72" s="30" t="n">
        <f aca="false">MIN(_xlfn.MINIFS('Piece check'!$Z$6:$Z$1643,'Piece check'!$B$6:$B$1643,B72),_xlfn.MINIFS('Piece check'!$AA$6:$AA$1643,'Piece check'!$B$6:$B$1643,B72))</f>
        <v>1.86435383385899</v>
      </c>
      <c r="AJ72" s="30" t="n">
        <f aca="false">MIN(_xlfn.MINIFS('Piece check'!$AB$6:$AB$1643,'Piece check'!$B$6:$B$1643,B72),_xlfn.MINIFS('Piece check'!$AC$6:$AC$1643,'Piece check'!$B$6:$B$1643,B72))</f>
        <v>5.10433992424853</v>
      </c>
      <c r="AK72" s="12" t="str">
        <f aca="false">IF(AJ72&lt;FOS_FLOT,"Anchor pipe to piled slab (permanent straps)",IF(AI72&lt;FOS_FLOT,"Keep dewatering on until fill reaches FL, or strap to slab","No extra measure"))</f>
        <v>No extra measure</v>
      </c>
      <c r="AL72" s="35" t="n">
        <f aca="false">Activities!P733</f>
        <v>46385</v>
      </c>
      <c r="AM72" s="35" t="n">
        <f aca="false">Activities!Q742</f>
        <v>46497</v>
      </c>
      <c r="AN72" s="15" t="n">
        <v>104</v>
      </c>
      <c r="AO72" s="36" t="s">
        <v>2585</v>
      </c>
      <c r="AP72" s="36" t="s">
        <v>2586</v>
      </c>
      <c r="AQ72" s="36" t="s">
        <v>2587</v>
      </c>
      <c r="AR72" s="37" t="n">
        <f aca="false">Activities!P741-Activities!Q739</f>
        <v>15</v>
      </c>
      <c r="AS72" s="37" t="n">
        <f aca="false">IF(Activities!K736=0,0,Activities!Q742-Activities!P736)</f>
        <v>44</v>
      </c>
    </row>
    <row r="73" customFormat="false" ht="15" hidden="false" customHeight="false" outlineLevel="0" collapsed="false">
      <c r="A73" s="15" t="s">
        <v>695</v>
      </c>
      <c r="B73" s="29" t="s">
        <v>696</v>
      </c>
      <c r="C73" s="15" t="s">
        <v>394</v>
      </c>
      <c r="D73" s="15" t="s">
        <v>2588</v>
      </c>
      <c r="E73" s="15" t="s">
        <v>2361</v>
      </c>
      <c r="F73" s="15" t="n">
        <v>28</v>
      </c>
      <c r="G73" s="15" t="s">
        <v>2362</v>
      </c>
      <c r="H73" s="15"/>
      <c r="I73" s="16" t="n">
        <v>0</v>
      </c>
      <c r="J73" s="15"/>
      <c r="K73" s="16" t="n">
        <v>0</v>
      </c>
      <c r="L73" s="15" t="s">
        <v>358</v>
      </c>
      <c r="M73" s="15" t="n">
        <v>4</v>
      </c>
      <c r="N73" s="30" t="n">
        <f aca="false">_xlfn.MAXIFS('Piece check'!$E$6:$E$1643,'Piece check'!$B$6:$B$1643,B73)</f>
        <v>2.06961372078604</v>
      </c>
      <c r="O73" s="31" t="n">
        <f aca="false">SUMIFS('Piece check'!$D$6:$D$1643,'Piece check'!$B$6:$B$1643,B73)</f>
        <v>20.2341846124902</v>
      </c>
      <c r="P73" s="32" t="n">
        <v>-3.21949732524557</v>
      </c>
      <c r="Q73" s="32" t="n">
        <v>-3.61707686039302</v>
      </c>
      <c r="R73" s="30" t="n">
        <f aca="false">_xlfn.MINIFS('Piece check'!$K$6:$K$1643,'Piece check'!$B$6:$B$1643,B73)</f>
        <v>-3.61707686039302</v>
      </c>
      <c r="S73" s="18" t="n">
        <f aca="false">MAX(0,GWL-R73)</f>
        <v>2.11707686039302</v>
      </c>
      <c r="T73" s="18" t="n">
        <f aca="false">MAX(0,NG-R73)</f>
        <v>2.91707686039302</v>
      </c>
      <c r="U73" s="31" t="n">
        <f aca="false">SUMIFS('Piece check'!$R$6:$R$1643,'Piece check'!$B$6:$B$1643,B73)</f>
        <v>0</v>
      </c>
      <c r="V73" s="21" t="n">
        <f aca="false">O73-U73</f>
        <v>20.2341846124902</v>
      </c>
      <c r="W73" s="12" t="str">
        <f aca="false">IF(U73&lt;0.05,"Open cut",IF(V73&lt;0.05,"Sheet piles","Mixed: "&amp;TEXT(U73,"0")&amp;" m sheet piles"))</f>
        <v>Open cut</v>
      </c>
      <c r="X73" s="33" t="n">
        <f aca="false">SUMIFS('Piece check'!$V$6:$V$1643,'Piece check'!$B$6:$B$1643,B73)</f>
        <v>0</v>
      </c>
      <c r="Y73" s="33" t="n">
        <f aca="false">SUMIFS('Piece check'!$W$6:$W$1643,'Piece check'!$B$6:$B$1643,B73)</f>
        <v>497.814331537</v>
      </c>
      <c r="Z73" s="33" t="n">
        <f aca="false">SUMIFS('Piece check'!$X$6:$X$1643,'Piece check'!$B$6:$B$1643,B73)</f>
        <v>31.0184403890892</v>
      </c>
      <c r="AA73" s="33" t="n">
        <f aca="false">SUMIFS('Piece check'!$Y$6:$Y$1643,'Piece check'!$B$6:$B$1643,B73)</f>
        <v>67.8300276234597</v>
      </c>
      <c r="AB73" s="20" t="n">
        <f aca="false">MAX(0,X73+Y73-Z73-AA73)</f>
        <v>398.965863524451</v>
      </c>
      <c r="AC73" s="20" t="n">
        <f aca="false">(ROUNDUP(O73/PILE_SP,0)+1)*IF(N73&gt;=PILE_THR,PILE_N_LARGE,PILE_N_SMALL)</f>
        <v>16</v>
      </c>
      <c r="AD73" s="20" t="n">
        <f aca="false">2*U73</f>
        <v>0</v>
      </c>
      <c r="AE73" s="34" t="n">
        <f aca="false">IF(U73&gt;0,ROUNDUP(T73*SHEET_RATIO,0),0)</f>
        <v>0</v>
      </c>
      <c r="AF73" s="20" t="n">
        <f aca="false">AD73*AE73</f>
        <v>0</v>
      </c>
      <c r="AG73" s="18" t="n">
        <f aca="false">MAX(0,GWL-(R73-DD_BELOW))</f>
        <v>2.61707686039302</v>
      </c>
      <c r="AH73" s="12" t="str">
        <f aca="false">IF(AG73=0,"Not required",IF(AG73&lt;=WP_LIMIT,"Single-stage wellpoints","Deep wells or two-stage wellpoints"))</f>
        <v>Single-stage wellpoints</v>
      </c>
      <c r="AI73" s="30" t="n">
        <f aca="false">MIN(_xlfn.MINIFS('Piece check'!$Z$6:$Z$1643,'Piece check'!$B$6:$B$1643,B73),_xlfn.MINIFS('Piece check'!$AA$6:$AA$1643,'Piece check'!$B$6:$B$1643,B73))</f>
        <v>0</v>
      </c>
      <c r="AJ73" s="30" t="n">
        <f aca="false">MIN(_xlfn.MINIFS('Piece check'!$AB$6:$AB$1643,'Piece check'!$B$6:$B$1643,B73),_xlfn.MINIFS('Piece check'!$AC$6:$AC$1643,'Piece check'!$B$6:$B$1643,B73))</f>
        <v>1.91255033459278</v>
      </c>
      <c r="AK73" s="12" t="str">
        <f aca="false">IF(AJ73&lt;FOS_FLOT,"Anchor pipe to piled slab (permanent straps)",IF(AI73&lt;FOS_FLOT,"Keep dewatering on until fill reaches FL, or strap to slab","No extra measure"))</f>
        <v>Keep dewatering on until fill reaches FL, or strap to slab</v>
      </c>
      <c r="AL73" s="35" t="n">
        <f aca="false">Activities!P744</f>
        <v>46392</v>
      </c>
      <c r="AM73" s="35" t="n">
        <f aca="false">Activities!Q753</f>
        <v>46500</v>
      </c>
      <c r="AN73" s="15" t="n">
        <v>105</v>
      </c>
      <c r="AO73" s="36" t="s">
        <v>2589</v>
      </c>
      <c r="AP73" s="36" t="s">
        <v>2590</v>
      </c>
      <c r="AQ73" s="36" t="s">
        <v>2591</v>
      </c>
      <c r="AR73" s="37" t="n">
        <f aca="false">Activities!P752-Activities!Q750</f>
        <v>12</v>
      </c>
      <c r="AS73" s="37" t="n">
        <f aca="false">IF(Activities!K747=0,0,Activities!Q753-Activities!P747)</f>
        <v>44</v>
      </c>
    </row>
    <row r="74" customFormat="false" ht="15" hidden="false" customHeight="false" outlineLevel="0" collapsed="false">
      <c r="A74" s="15" t="s">
        <v>719</v>
      </c>
      <c r="B74" s="29" t="s">
        <v>790</v>
      </c>
      <c r="C74" s="15" t="s">
        <v>394</v>
      </c>
      <c r="D74" s="15" t="s">
        <v>2592</v>
      </c>
      <c r="E74" s="15" t="s">
        <v>2518</v>
      </c>
      <c r="F74" s="15" t="n">
        <v>28</v>
      </c>
      <c r="G74" s="15" t="s">
        <v>2362</v>
      </c>
      <c r="H74" s="15"/>
      <c r="I74" s="16" t="n">
        <v>0</v>
      </c>
      <c r="J74" s="15"/>
      <c r="K74" s="16" t="n">
        <v>0</v>
      </c>
      <c r="L74" s="15" t="s">
        <v>358</v>
      </c>
      <c r="M74" s="15" t="n">
        <v>1</v>
      </c>
      <c r="N74" s="30" t="n">
        <f aca="false">_xlfn.MAXIFS('Piece check'!$E$6:$E$1643,'Piece check'!$B$6:$B$1643,B74)</f>
        <v>1.22586838672773</v>
      </c>
      <c r="O74" s="31" t="n">
        <f aca="false">SUMIFS('Piece check'!$D$6:$D$1643,'Piece check'!$B$6:$B$1643,B74)</f>
        <v>12.1656400528942</v>
      </c>
      <c r="P74" s="32" t="n">
        <v>-2.96903341308892</v>
      </c>
      <c r="Q74" s="32" t="n">
        <v>-2.98196419336386</v>
      </c>
      <c r="R74" s="30" t="n">
        <f aca="false">_xlfn.MINIFS('Piece check'!$K$6:$K$1643,'Piece check'!$B$6:$B$1643,B74)</f>
        <v>-2.98196419336386</v>
      </c>
      <c r="S74" s="18" t="n">
        <f aca="false">MAX(0,GWL-R74)</f>
        <v>1.48196419336386</v>
      </c>
      <c r="T74" s="18" t="n">
        <f aca="false">MAX(0,NG-R74)</f>
        <v>2.28196419336386</v>
      </c>
      <c r="U74" s="31" t="n">
        <f aca="false">SUMIFS('Piece check'!$R$6:$R$1643,'Piece check'!$B$6:$B$1643,B74)</f>
        <v>0</v>
      </c>
      <c r="V74" s="21" t="n">
        <f aca="false">O74-U74</f>
        <v>12.1656400528942</v>
      </c>
      <c r="W74" s="12" t="str">
        <f aca="false">IF(U74&lt;0.05,"Open cut",IF(V74&lt;0.05,"Sheet piles","Mixed: "&amp;TEXT(U74,"0")&amp;" m sheet piles"))</f>
        <v>Open cut</v>
      </c>
      <c r="X74" s="33" t="n">
        <f aca="false">SUMIFS('Piece check'!$V$6:$V$1643,'Piece check'!$B$6:$B$1643,B74)</f>
        <v>0</v>
      </c>
      <c r="Y74" s="33" t="n">
        <f aca="false">SUMIFS('Piece check'!$W$6:$W$1643,'Piece check'!$B$6:$B$1643,B74)</f>
        <v>211.005225558631</v>
      </c>
      <c r="Z74" s="33" t="n">
        <f aca="false">SUMIFS('Piece check'!$X$6:$X$1643,'Piece check'!$B$6:$B$1643,B74)</f>
        <v>13.4590014381386</v>
      </c>
      <c r="AA74" s="33" t="n">
        <f aca="false">SUMIFS('Piece check'!$Y$6:$Y$1643,'Piece check'!$B$6:$B$1643,B74)</f>
        <v>14.051653769952</v>
      </c>
      <c r="AB74" s="20" t="n">
        <f aca="false">MAX(0,X74+Y74-Z74-AA74)</f>
        <v>183.49457035054</v>
      </c>
      <c r="AC74" s="20" t="n">
        <f aca="false">(ROUNDUP(O74/PILE_SP,0)+1)*IF(N74&gt;=PILE_THR,PILE_N_LARGE,PILE_N_SMALL)</f>
        <v>12</v>
      </c>
      <c r="AD74" s="20" t="n">
        <f aca="false">2*U74</f>
        <v>0</v>
      </c>
      <c r="AE74" s="34" t="n">
        <f aca="false">IF(U74&gt;0,ROUNDUP(T74*SHEET_RATIO,0),0)</f>
        <v>0</v>
      </c>
      <c r="AF74" s="20" t="n">
        <f aca="false">AD74*AE74</f>
        <v>0</v>
      </c>
      <c r="AG74" s="18" t="n">
        <f aca="false">MAX(0,GWL-(R74-DD_BELOW))</f>
        <v>1.98196419336386</v>
      </c>
      <c r="AH74" s="12" t="str">
        <f aca="false">IF(AG74=0,"Not required",IF(AG74&lt;=WP_LIMIT,"Single-stage wellpoints","Deep wells or two-stage wellpoints"))</f>
        <v>Single-stage wellpoints</v>
      </c>
      <c r="AI74" s="30" t="n">
        <f aca="false">MIN(_xlfn.MINIFS('Piece check'!$Z$6:$Z$1643,'Piece check'!$B$6:$B$1643,B74),_xlfn.MINIFS('Piece check'!$AA$6:$AA$1643,'Piece check'!$B$6:$B$1643,B74))</f>
        <v>1.0597889601751</v>
      </c>
      <c r="AJ74" s="30" t="n">
        <f aca="false">MIN(_xlfn.MINIFS('Piece check'!$AB$6:$AB$1643,'Piece check'!$B$6:$B$1643,B74),_xlfn.MINIFS('Piece check'!$AC$6:$AC$1643,'Piece check'!$B$6:$B$1643,B74))</f>
        <v>4.29959262493554</v>
      </c>
      <c r="AK74" s="12" t="str">
        <f aca="false">IF(AJ74&lt;FOS_FLOT,"Anchor pipe to piled slab (permanent straps)",IF(AI74&lt;FOS_FLOT,"Keep dewatering on until fill reaches FL, or strap to slab","No extra measure"))</f>
        <v>Keep dewatering on until fill reaches FL, or strap to slab</v>
      </c>
      <c r="AL74" s="35" t="n">
        <f aca="false">Activities!P755</f>
        <v>46398</v>
      </c>
      <c r="AM74" s="35" t="n">
        <f aca="false">Activities!Q764</f>
        <v>46502</v>
      </c>
      <c r="AN74" s="15" t="n">
        <v>106</v>
      </c>
      <c r="AO74" s="36" t="s">
        <v>2593</v>
      </c>
      <c r="AP74" s="36" t="s">
        <v>2594</v>
      </c>
      <c r="AQ74" s="36" t="s">
        <v>2595</v>
      </c>
      <c r="AR74" s="37" t="n">
        <f aca="false">Activities!P763-Activities!Q761</f>
        <v>9</v>
      </c>
      <c r="AS74" s="37" t="n">
        <f aca="false">IF(Activities!K758=0,0,Activities!Q764-Activities!P758)</f>
        <v>43</v>
      </c>
    </row>
    <row r="75" customFormat="false" ht="15" hidden="false" customHeight="false" outlineLevel="0" collapsed="false">
      <c r="A75" s="15" t="s">
        <v>719</v>
      </c>
      <c r="B75" s="29" t="s">
        <v>767</v>
      </c>
      <c r="C75" s="15" t="s">
        <v>394</v>
      </c>
      <c r="D75" s="15" t="s">
        <v>2596</v>
      </c>
      <c r="E75" s="15" t="s">
        <v>2518</v>
      </c>
      <c r="F75" s="15" t="n">
        <v>28</v>
      </c>
      <c r="G75" s="15" t="s">
        <v>2362</v>
      </c>
      <c r="H75" s="15"/>
      <c r="I75" s="16" t="n">
        <v>0</v>
      </c>
      <c r="J75" s="15"/>
      <c r="K75" s="16" t="n">
        <v>0</v>
      </c>
      <c r="L75" s="15" t="s">
        <v>358</v>
      </c>
      <c r="M75" s="15" t="n">
        <v>2</v>
      </c>
      <c r="N75" s="30" t="n">
        <f aca="false">_xlfn.MAXIFS('Piece check'!$E$6:$E$1643,'Piece check'!$B$6:$B$1643,B75)</f>
        <v>1.65520301315899</v>
      </c>
      <c r="O75" s="31" t="n">
        <f aca="false">SUMIFS('Piece check'!$D$6:$D$1643,'Piece check'!$B$6:$B$1643,B75)</f>
        <v>23.4913305599958</v>
      </c>
      <c r="P75" s="32" t="n">
        <v>-2.73260656836079</v>
      </c>
      <c r="Q75" s="32" t="n">
        <v>-3.02649150657949</v>
      </c>
      <c r="R75" s="30" t="n">
        <f aca="false">_xlfn.MINIFS('Piece check'!$K$6:$K$1643,'Piece check'!$B$6:$B$1643,B75)</f>
        <v>-3.02649150657949</v>
      </c>
      <c r="S75" s="18" t="n">
        <f aca="false">MAX(0,GWL-R75)</f>
        <v>1.52649150657949</v>
      </c>
      <c r="T75" s="18" t="n">
        <f aca="false">MAX(0,NG-R75)</f>
        <v>2.32649150657949</v>
      </c>
      <c r="U75" s="31" t="n">
        <f aca="false">SUMIFS('Piece check'!$R$6:$R$1643,'Piece check'!$B$6:$B$1643,B75)</f>
        <v>0</v>
      </c>
      <c r="V75" s="21" t="n">
        <f aca="false">O75-U75</f>
        <v>23.4913305599958</v>
      </c>
      <c r="W75" s="12" t="str">
        <f aca="false">IF(U75&lt;0.05,"Open cut",IF(V75&lt;0.05,"Sheet piles","Mixed: "&amp;TEXT(U75,"0")&amp;" m sheet piles"))</f>
        <v>Open cut</v>
      </c>
      <c r="X75" s="33" t="n">
        <f aca="false">SUMIFS('Piece check'!$V$6:$V$1643,'Piece check'!$B$6:$B$1643,B75)</f>
        <v>0</v>
      </c>
      <c r="Y75" s="33" t="n">
        <f aca="false">SUMIFS('Piece check'!$W$6:$W$1643,'Piece check'!$B$6:$B$1643,B75)</f>
        <v>397.787381073624</v>
      </c>
      <c r="Z75" s="33" t="n">
        <f aca="false">SUMIFS('Piece check'!$X$6:$X$1643,'Piece check'!$B$6:$B$1643,B75)</f>
        <v>30.5939170003893</v>
      </c>
      <c r="AA75" s="33" t="n">
        <f aca="false">SUMIFS('Piece check'!$Y$6:$Y$1643,'Piece check'!$B$6:$B$1643,B75)</f>
        <v>47.5143108476953</v>
      </c>
      <c r="AB75" s="20" t="n">
        <f aca="false">MAX(0,X75+Y75-Z75-AA75)</f>
        <v>319.679153225539</v>
      </c>
      <c r="AC75" s="20" t="n">
        <f aca="false">(ROUNDUP(O75/PILE_SP,0)+1)*IF(N75&gt;=PILE_THR,PILE_N_LARGE,PILE_N_SMALL)</f>
        <v>18</v>
      </c>
      <c r="AD75" s="20" t="n">
        <f aca="false">2*U75</f>
        <v>0</v>
      </c>
      <c r="AE75" s="34" t="n">
        <f aca="false">IF(U75&gt;0,ROUNDUP(T75*SHEET_RATIO,0),0)</f>
        <v>0</v>
      </c>
      <c r="AF75" s="20" t="n">
        <f aca="false">AD75*AE75</f>
        <v>0</v>
      </c>
      <c r="AG75" s="18" t="n">
        <f aca="false">MAX(0,GWL-(R75-DD_BELOW))</f>
        <v>2.02649150657949</v>
      </c>
      <c r="AH75" s="12" t="str">
        <f aca="false">IF(AG75=0,"Not required",IF(AG75&lt;=WP_LIMIT,"Single-stage wellpoints","Deep wells or two-stage wellpoints"))</f>
        <v>Single-stage wellpoints</v>
      </c>
      <c r="AI75" s="30" t="n">
        <f aca="false">MIN(_xlfn.MINIFS('Piece check'!$Z$6:$Z$1643,'Piece check'!$B$6:$B$1643,B75),_xlfn.MINIFS('Piece check'!$AA$6:$AA$1643,'Piece check'!$B$6:$B$1643,B75))</f>
        <v>0</v>
      </c>
      <c r="AJ75" s="30" t="n">
        <f aca="false">MIN(_xlfn.MINIFS('Piece check'!$AB$6:$AB$1643,'Piece check'!$B$6:$B$1643,B75),_xlfn.MINIFS('Piece check'!$AC$6:$AC$1643,'Piece check'!$B$6:$B$1643,B75))</f>
        <v>2.38383370415677</v>
      </c>
      <c r="AK75" s="12" t="str">
        <f aca="false">IF(AJ75&lt;FOS_FLOT,"Anchor pipe to piled slab (permanent straps)",IF(AI75&lt;FOS_FLOT,"Keep dewatering on until fill reaches FL, or strap to slab","No extra measure"))</f>
        <v>Keep dewatering on until fill reaches FL, or strap to slab</v>
      </c>
      <c r="AL75" s="35" t="n">
        <f aca="false">Activities!P766</f>
        <v>46403</v>
      </c>
      <c r="AM75" s="35" t="n">
        <f aca="false">Activities!Q775</f>
        <v>46504</v>
      </c>
      <c r="AN75" s="15" t="n">
        <v>107</v>
      </c>
      <c r="AO75" s="36" t="s">
        <v>2597</v>
      </c>
      <c r="AP75" s="36" t="s">
        <v>2598</v>
      </c>
      <c r="AQ75" s="36" t="s">
        <v>2599</v>
      </c>
      <c r="AR75" s="37" t="n">
        <f aca="false">Activities!P774-Activities!Q772</f>
        <v>5</v>
      </c>
      <c r="AS75" s="37" t="n">
        <f aca="false">IF(Activities!K769=0,0,Activities!Q775-Activities!P769)</f>
        <v>43</v>
      </c>
    </row>
    <row r="76" customFormat="false" ht="15" hidden="false" customHeight="false" outlineLevel="0" collapsed="false">
      <c r="A76" s="15" t="s">
        <v>993</v>
      </c>
      <c r="B76" s="29" t="s">
        <v>994</v>
      </c>
      <c r="C76" s="15" t="s">
        <v>394</v>
      </c>
      <c r="D76" s="15" t="s">
        <v>2600</v>
      </c>
      <c r="E76" s="15" t="s">
        <v>2518</v>
      </c>
      <c r="F76" s="15" t="n">
        <v>28</v>
      </c>
      <c r="G76" s="15" t="s">
        <v>2367</v>
      </c>
      <c r="H76" s="15" t="s">
        <v>303</v>
      </c>
      <c r="I76" s="35" t="n">
        <f aca="false">MAX(Structures!$H$7)</f>
        <v>0</v>
      </c>
      <c r="J76" s="15"/>
      <c r="K76" s="16" t="n">
        <v>0</v>
      </c>
      <c r="L76" s="15" t="s">
        <v>358</v>
      </c>
      <c r="M76" s="15" t="n">
        <v>1</v>
      </c>
      <c r="N76" s="30" t="n">
        <f aca="false">_xlfn.MAXIFS('Piece check'!$E$6:$E$1643,'Piece check'!$B$6:$B$1643,B76)</f>
        <v>1.19999699289259</v>
      </c>
      <c r="O76" s="31" t="n">
        <f aca="false">SUMIFS('Piece check'!$D$6:$D$1643,'Piece check'!$B$6:$B$1643,B76)</f>
        <v>6.03304504084613</v>
      </c>
      <c r="P76" s="32" t="n">
        <v>-4.90129849644629</v>
      </c>
      <c r="Q76" s="32" t="n">
        <v>-4.88392423818781</v>
      </c>
      <c r="R76" s="30" t="n">
        <f aca="false">_xlfn.MINIFS('Piece check'!$K$6:$K$1643,'Piece check'!$B$6:$B$1643,B76)</f>
        <v>-4.90129849644629</v>
      </c>
      <c r="S76" s="18" t="n">
        <f aca="false">MAX(0,GWL-R76)</f>
        <v>3.40129849644629</v>
      </c>
      <c r="T76" s="18" t="n">
        <f aca="false">MAX(0,NG-R76)</f>
        <v>4.20129849644629</v>
      </c>
      <c r="U76" s="31" t="n">
        <f aca="false">SUMIFS('Piece check'!$R$6:$R$1643,'Piece check'!$B$6:$B$1643,B76)</f>
        <v>6.03304504084613</v>
      </c>
      <c r="V76" s="21" t="n">
        <f aca="false">O76-U76</f>
        <v>0</v>
      </c>
      <c r="W76" s="12" t="str">
        <f aca="false">IF(U76&lt;0.05,"Open cut",IF(V76&lt;0.05,"Sheet piles","Mixed: "&amp;TEXT(U76,"0")&amp;" m sheet piles"))</f>
        <v>Sheet piles</v>
      </c>
      <c r="X76" s="33" t="n">
        <f aca="false">SUMIFS('Piece check'!$V$6:$V$1643,'Piece check'!$B$6:$B$1643,B76)</f>
        <v>81.0195948263202</v>
      </c>
      <c r="Y76" s="33" t="n">
        <f aca="false">SUMIFS('Piece check'!$W$6:$W$1643,'Piece check'!$B$6:$B$1643,B76)</f>
        <v>0</v>
      </c>
      <c r="Z76" s="33" t="n">
        <f aca="false">SUMIFS('Piece check'!$X$6:$X$1643,'Piece check'!$B$6:$B$1643,B76)</f>
        <v>6.62860154423101</v>
      </c>
      <c r="AA76" s="33" t="n">
        <f aca="false">SUMIFS('Piece check'!$Y$6:$Y$1643,'Piece check'!$B$6:$B$1643,B76)</f>
        <v>6.79442640391234</v>
      </c>
      <c r="AB76" s="20" t="n">
        <f aca="false">MAX(0,X76+Y76-Z76-AA76)</f>
        <v>67.5965668781769</v>
      </c>
      <c r="AC76" s="20" t="n">
        <f aca="false">(ROUNDUP(O76/PILE_SP,0)+1)*IF(N76&gt;=PILE_THR,PILE_N_LARGE,PILE_N_SMALL)</f>
        <v>8</v>
      </c>
      <c r="AD76" s="20" t="n">
        <f aca="false">2*U76</f>
        <v>12.0660900816923</v>
      </c>
      <c r="AE76" s="34" t="n">
        <f aca="false">IF(U76&gt;0,ROUNDUP(T76*SHEET_RATIO,0),0)</f>
        <v>9</v>
      </c>
      <c r="AF76" s="20" t="n">
        <f aca="false">AD76*AE76</f>
        <v>108.59481073523</v>
      </c>
      <c r="AG76" s="18" t="n">
        <f aca="false">MAX(0,GWL-(R76-DD_BELOW))</f>
        <v>3.90129849644629</v>
      </c>
      <c r="AH76" s="12" t="str">
        <f aca="false">IF(AG76=0,"Not required",IF(AG76&lt;=WP_LIMIT,"Single-stage wellpoints","Deep wells or two-stage wellpoints"))</f>
        <v>Single-stage wellpoints</v>
      </c>
      <c r="AI76" s="30" t="n">
        <f aca="false">MIN(_xlfn.MINIFS('Piece check'!$Z$6:$Z$1643,'Piece check'!$B$6:$B$1643,B76),_xlfn.MINIFS('Piece check'!$AA$6:$AA$1643,'Piece check'!$B$6:$B$1643,B76))</f>
        <v>3.06452819304341</v>
      </c>
      <c r="AJ76" s="30" t="n">
        <f aca="false">MIN(_xlfn.MINIFS('Piece check'!$AB$6:$AB$1643,'Piece check'!$B$6:$B$1643,B76),_xlfn.MINIFS('Piece check'!$AC$6:$AC$1643,'Piece check'!$B$6:$B$1643,B76))</f>
        <v>6.3741805633056</v>
      </c>
      <c r="AK76" s="12" t="str">
        <f aca="false">IF(AJ76&lt;FOS_FLOT,"Anchor pipe to piled slab (permanent straps)",IF(AI76&lt;FOS_FLOT,"Keep dewatering on until fill reaches FL, or strap to slab","No extra measure"))</f>
        <v>No extra measure</v>
      </c>
      <c r="AL76" s="35" t="n">
        <f aca="false">Activities!P777</f>
        <v>46366</v>
      </c>
      <c r="AM76" s="35" t="n">
        <f aca="false">Activities!Q786</f>
        <v>46403</v>
      </c>
      <c r="AN76" s="15" t="n">
        <v>115</v>
      </c>
      <c r="AO76" s="36" t="s">
        <v>2519</v>
      </c>
      <c r="AP76" s="36" t="s">
        <v>2601</v>
      </c>
      <c r="AQ76" s="36" t="s">
        <v>2602</v>
      </c>
      <c r="AR76" s="37" t="n">
        <f aca="false">Activities!P785-Activities!Q783</f>
        <v>-1</v>
      </c>
      <c r="AS76" s="37" t="n">
        <f aca="false">IF(Activities!K780=0,0,Activities!Q786-Activities!P780)</f>
        <v>34</v>
      </c>
    </row>
    <row r="77" customFormat="false" ht="15" hidden="false" customHeight="false" outlineLevel="0" collapsed="false">
      <c r="A77" s="15" t="s">
        <v>993</v>
      </c>
      <c r="B77" s="29" t="s">
        <v>1006</v>
      </c>
      <c r="C77" s="15" t="s">
        <v>394</v>
      </c>
      <c r="D77" s="15" t="s">
        <v>2603</v>
      </c>
      <c r="E77" s="15" t="s">
        <v>2518</v>
      </c>
      <c r="F77" s="15" t="n">
        <v>28</v>
      </c>
      <c r="G77" s="15" t="s">
        <v>2367</v>
      </c>
      <c r="H77" s="15" t="s">
        <v>309</v>
      </c>
      <c r="I77" s="35" t="n">
        <f aca="false">MAX(Structures!$H$9)</f>
        <v>0</v>
      </c>
      <c r="J77" s="15"/>
      <c r="K77" s="16" t="n">
        <v>0</v>
      </c>
      <c r="L77" s="15" t="s">
        <v>358</v>
      </c>
      <c r="M77" s="15" t="n">
        <v>2</v>
      </c>
      <c r="N77" s="30" t="n">
        <f aca="false">_xlfn.MAXIFS('Piece check'!$E$6:$E$1643,'Piece check'!$B$6:$B$1643,B77)</f>
        <v>1.20000707533732</v>
      </c>
      <c r="O77" s="31" t="n">
        <f aca="false">SUMIFS('Piece check'!$D$6:$D$1643,'Piece check'!$B$6:$B$1643,B77)</f>
        <v>17.4504259478839</v>
      </c>
      <c r="P77" s="32" t="n">
        <v>-2.71999915172348</v>
      </c>
      <c r="Q77" s="32" t="n">
        <v>-2.72000353766866</v>
      </c>
      <c r="R77" s="30" t="n">
        <f aca="false">_xlfn.MINIFS('Piece check'!$K$6:$K$1643,'Piece check'!$B$6:$B$1643,B77)</f>
        <v>-2.72000353766866</v>
      </c>
      <c r="S77" s="18" t="n">
        <f aca="false">MAX(0,GWL-R77)</f>
        <v>1.22000353766866</v>
      </c>
      <c r="T77" s="18" t="n">
        <f aca="false">MAX(0,NG-R77)</f>
        <v>2.02000353766866</v>
      </c>
      <c r="U77" s="31" t="n">
        <f aca="false">SUMIFS('Piece check'!$R$6:$R$1643,'Piece check'!$B$6:$B$1643,B77)</f>
        <v>0</v>
      </c>
      <c r="V77" s="21" t="n">
        <f aca="false">O77-U77</f>
        <v>17.4504259478839</v>
      </c>
      <c r="W77" s="12" t="str">
        <f aca="false">IF(U77&lt;0.05,"Open cut",IF(V77&lt;0.05,"Sheet piles","Mixed: "&amp;TEXT(U77,"0")&amp;" m sheet piles"))</f>
        <v>Open cut</v>
      </c>
      <c r="X77" s="33" t="n">
        <f aca="false">SUMIFS('Piece check'!$V$6:$V$1643,'Piece check'!$B$6:$B$1643,B77)</f>
        <v>0</v>
      </c>
      <c r="Y77" s="33" t="n">
        <f aca="false">SUMIFS('Piece check'!$W$6:$W$1643,'Piece check'!$B$6:$B$1643,B77)</f>
        <v>249.624975709618</v>
      </c>
      <c r="Z77" s="33" t="n">
        <f aca="false">SUMIFS('Piece check'!$X$6:$X$1643,'Piece check'!$B$6:$B$1643,B77)</f>
        <v>19.195476545953</v>
      </c>
      <c r="AA77" s="33" t="n">
        <f aca="false">SUMIFS('Piece check'!$Y$6:$Y$1643,'Piece check'!$B$6:$B$1643,B77)</f>
        <v>19.7359969572694</v>
      </c>
      <c r="AB77" s="20" t="n">
        <f aca="false">MAX(0,X77+Y77-Z77-AA77)</f>
        <v>210.693502206396</v>
      </c>
      <c r="AC77" s="20" t="n">
        <f aca="false">(ROUNDUP(O77/PILE_SP,0)+1)*IF(N77&gt;=PILE_THR,PILE_N_LARGE,PILE_N_SMALL)</f>
        <v>14</v>
      </c>
      <c r="AD77" s="20" t="n">
        <f aca="false">2*U77</f>
        <v>0</v>
      </c>
      <c r="AE77" s="34" t="n">
        <f aca="false">IF(U77&gt;0,ROUNDUP(T77*SHEET_RATIO,0),0)</f>
        <v>0</v>
      </c>
      <c r="AF77" s="20" t="n">
        <f aca="false">AD77*AE77</f>
        <v>0</v>
      </c>
      <c r="AG77" s="18" t="n">
        <f aca="false">MAX(0,GWL-(R77-DD_BELOW))</f>
        <v>1.72000353766866</v>
      </c>
      <c r="AH77" s="12" t="str">
        <f aca="false">IF(AG77=0,"Not required",IF(AG77&lt;=WP_LIMIT,"Single-stage wellpoints","Deep wells or two-stage wellpoints"))</f>
        <v>Single-stage wellpoints</v>
      </c>
      <c r="AI77" s="30" t="n">
        <f aca="false">MIN(_xlfn.MINIFS('Piece check'!$Z$6:$Z$1643,'Piece check'!$B$6:$B$1643,B77),_xlfn.MINIFS('Piece check'!$AA$6:$AA$1643,'Piece check'!$B$6:$B$1643,B77))</f>
        <v>0.622981265692972</v>
      </c>
      <c r="AJ77" s="30" t="n">
        <f aca="false">MIN(_xlfn.MINIFS('Piece check'!$AB$6:$AB$1643,'Piece check'!$B$6:$B$1643,B77),_xlfn.MINIFS('Piece check'!$AC$6:$AC$1643,'Piece check'!$B$6:$B$1643,B77))</f>
        <v>3.93260582829654</v>
      </c>
      <c r="AK77" s="12" t="str">
        <f aca="false">IF(AJ77&lt;FOS_FLOT,"Anchor pipe to piled slab (permanent straps)",IF(AI77&lt;FOS_FLOT,"Keep dewatering on until fill reaches FL, or strap to slab","No extra measure"))</f>
        <v>Keep dewatering on until fill reaches FL, or strap to slab</v>
      </c>
      <c r="AL77" s="35" t="n">
        <f aca="false">Activities!P788</f>
        <v>46478</v>
      </c>
      <c r="AM77" s="35" t="n">
        <f aca="false">Activities!Q797</f>
        <v>46574</v>
      </c>
      <c r="AN77" s="15" t="n">
        <v>116</v>
      </c>
      <c r="AO77" s="36" t="s">
        <v>2519</v>
      </c>
      <c r="AP77" s="36" t="s">
        <v>2604</v>
      </c>
      <c r="AQ77" s="36" t="s">
        <v>2605</v>
      </c>
      <c r="AR77" s="37" t="n">
        <f aca="false">Activities!P796-Activities!Q794</f>
        <v>-2</v>
      </c>
      <c r="AS77" s="37" t="n">
        <f aca="false">IF(Activities!K791=0,0,Activities!Q797-Activities!P791)</f>
        <v>93</v>
      </c>
    </row>
    <row r="78" customFormat="false" ht="15" hidden="false" customHeight="false" outlineLevel="0" collapsed="false">
      <c r="A78" s="15" t="s">
        <v>993</v>
      </c>
      <c r="B78" s="29" t="s">
        <v>1059</v>
      </c>
      <c r="C78" s="15" t="s">
        <v>394</v>
      </c>
      <c r="D78" s="15" t="s">
        <v>2606</v>
      </c>
      <c r="E78" s="15" t="s">
        <v>2518</v>
      </c>
      <c r="F78" s="15" t="n">
        <v>28</v>
      </c>
      <c r="G78" s="15" t="s">
        <v>2367</v>
      </c>
      <c r="H78" s="15" t="s">
        <v>311</v>
      </c>
      <c r="I78" s="35" t="n">
        <f aca="false">MAX(Structures!$H$10)</f>
        <v>0</v>
      </c>
      <c r="J78" s="15"/>
      <c r="K78" s="16" t="n">
        <v>0</v>
      </c>
      <c r="L78" s="15" t="s">
        <v>358</v>
      </c>
      <c r="M78" s="15" t="n">
        <v>1</v>
      </c>
      <c r="N78" s="30" t="n">
        <f aca="false">_xlfn.MAXIFS('Piece check'!$E$6:$E$1643,'Piece check'!$B$6:$B$1643,B78)</f>
        <v>1.19999907096165</v>
      </c>
      <c r="O78" s="31" t="n">
        <f aca="false">SUMIFS('Piece check'!$D$6:$D$1643,'Piece check'!$B$6:$B$1643,B78)</f>
        <v>10.7128491896504</v>
      </c>
      <c r="P78" s="32" t="n">
        <v>-4.69999953548082</v>
      </c>
      <c r="Q78" s="32" t="n">
        <v>-4.69752285422371</v>
      </c>
      <c r="R78" s="30" t="n">
        <f aca="false">_xlfn.MINIFS('Piece check'!$K$6:$K$1643,'Piece check'!$B$6:$B$1643,B78)</f>
        <v>-4.69999953548082</v>
      </c>
      <c r="S78" s="18" t="n">
        <f aca="false">MAX(0,GWL-R78)</f>
        <v>3.19999953548082</v>
      </c>
      <c r="T78" s="18" t="n">
        <f aca="false">MAX(0,NG-R78)</f>
        <v>3.99999953548082</v>
      </c>
      <c r="U78" s="31" t="n">
        <f aca="false">SUMIFS('Piece check'!$R$6:$R$1643,'Piece check'!$B$6:$B$1643,B78)</f>
        <v>10.7128491896504</v>
      </c>
      <c r="V78" s="21" t="n">
        <f aca="false">O78-U78</f>
        <v>0</v>
      </c>
      <c r="W78" s="12" t="str">
        <f aca="false">IF(U78&lt;0.05,"Open cut",IF(V78&lt;0.05,"Sheet piles","Mixed: "&amp;TEXT(U78,"0")&amp;" m sheet piles"))</f>
        <v>Sheet piles</v>
      </c>
      <c r="X78" s="33" t="n">
        <f aca="false">SUMIFS('Piece check'!$V$6:$V$1643,'Piece check'!$B$6:$B$1643,B78)</f>
        <v>137.119486968584</v>
      </c>
      <c r="Y78" s="33" t="n">
        <f aca="false">SUMIFS('Piece check'!$W$6:$W$1643,'Piece check'!$B$6:$B$1643,B78)</f>
        <v>0</v>
      </c>
      <c r="Z78" s="33" t="n">
        <f aca="false">SUMIFS('Piece check'!$X$6:$X$1643,'Piece check'!$B$6:$B$1643,B78)</f>
        <v>11.783689038266</v>
      </c>
      <c r="AA78" s="33" t="n">
        <f aca="false">SUMIFS('Piece check'!$Y$6:$Y$1643,'Piece check'!$B$6:$B$1643,B78)</f>
        <v>12.1142724612539</v>
      </c>
      <c r="AB78" s="20" t="n">
        <f aca="false">MAX(0,X78+Y78-Z78-AA78)</f>
        <v>113.221525469064</v>
      </c>
      <c r="AC78" s="20" t="n">
        <f aca="false">(ROUNDUP(O78/PILE_SP,0)+1)*IF(N78&gt;=PILE_THR,PILE_N_LARGE,PILE_N_SMALL)</f>
        <v>10</v>
      </c>
      <c r="AD78" s="20" t="n">
        <f aca="false">2*U78</f>
        <v>21.4256983793007</v>
      </c>
      <c r="AE78" s="34" t="n">
        <f aca="false">IF(U78&gt;0,ROUNDUP(T78*SHEET_RATIO,0),0)</f>
        <v>8</v>
      </c>
      <c r="AF78" s="20" t="n">
        <f aca="false">AD78*AE78</f>
        <v>171.405587034406</v>
      </c>
      <c r="AG78" s="18" t="n">
        <f aca="false">MAX(0,GWL-(R78-DD_BELOW))</f>
        <v>3.69999953548082</v>
      </c>
      <c r="AH78" s="12" t="str">
        <f aca="false">IF(AG78=0,"Not required",IF(AG78&lt;=WP_LIMIT,"Single-stage wellpoints","Deep wells or two-stage wellpoints"))</f>
        <v>Single-stage wellpoints</v>
      </c>
      <c r="AI78" s="30" t="n">
        <f aca="false">MIN(_xlfn.MINIFS('Piece check'!$Z$6:$Z$1643,'Piece check'!$B$6:$B$1643,B78),_xlfn.MINIFS('Piece check'!$AA$6:$AA$1643,'Piece check'!$B$6:$B$1643,B78))</f>
        <v>2.88620696565494</v>
      </c>
      <c r="AJ78" s="30" t="n">
        <f aca="false">MIN(_xlfn.MINIFS('Piece check'!$AB$6:$AB$1643,'Piece check'!$B$6:$B$1643,B78),_xlfn.MINIFS('Piece check'!$AC$6:$AC$1643,'Piece check'!$B$6:$B$1643,B78))</f>
        <v>6.19585360450753</v>
      </c>
      <c r="AK78" s="12" t="str">
        <f aca="false">IF(AJ78&lt;FOS_FLOT,"Anchor pipe to piled slab (permanent straps)",IF(AI78&lt;FOS_FLOT,"Keep dewatering on until fill reaches FL, or strap to slab","No extra measure"))</f>
        <v>No extra measure</v>
      </c>
      <c r="AL78" s="35" t="n">
        <f aca="false">Activities!P799</f>
        <v>46397</v>
      </c>
      <c r="AM78" s="35" t="n">
        <f aca="false">Activities!Q808</f>
        <v>46445</v>
      </c>
      <c r="AN78" s="15" t="n">
        <v>117</v>
      </c>
      <c r="AO78" s="36" t="s">
        <v>2519</v>
      </c>
      <c r="AP78" s="36" t="s">
        <v>2607</v>
      </c>
      <c r="AQ78" s="36" t="s">
        <v>2608</v>
      </c>
      <c r="AR78" s="37" t="n">
        <f aca="false">Activities!P807-Activities!Q805</f>
        <v>-1</v>
      </c>
      <c r="AS78" s="37" t="n">
        <f aca="false">IF(Activities!K802=0,0,Activities!Q808-Activities!P802)</f>
        <v>45</v>
      </c>
    </row>
    <row r="79" customFormat="false" ht="15" hidden="false" customHeight="false" outlineLevel="0" collapsed="false">
      <c r="A79" s="15" t="s">
        <v>719</v>
      </c>
      <c r="B79" s="29" t="s">
        <v>753</v>
      </c>
      <c r="C79" s="15" t="s">
        <v>394</v>
      </c>
      <c r="D79" s="15" t="s">
        <v>2609</v>
      </c>
      <c r="E79" s="15" t="s">
        <v>2518</v>
      </c>
      <c r="F79" s="15" t="n">
        <v>28</v>
      </c>
      <c r="G79" s="15" t="s">
        <v>2362</v>
      </c>
      <c r="H79" s="15"/>
      <c r="I79" s="16" t="n">
        <v>0</v>
      </c>
      <c r="J79" s="15"/>
      <c r="K79" s="16" t="n">
        <v>0</v>
      </c>
      <c r="L79" s="15" t="s">
        <v>358</v>
      </c>
      <c r="M79" s="15" t="n">
        <v>0</v>
      </c>
      <c r="N79" s="30" t="n">
        <f aca="false">_xlfn.MAXIFS('Piece check'!$E$6:$E$1643,'Piece check'!$B$6:$B$1643,B79)</f>
        <v>1.60000136251536</v>
      </c>
      <c r="O79" s="31" t="n">
        <f aca="false">SUMIFS('Piece check'!$D$6:$D$1643,'Piece check'!$B$6:$B$1643,B79)</f>
        <v>6.12635913571446</v>
      </c>
      <c r="P79" s="32" t="n">
        <v>-2.69914068125768</v>
      </c>
      <c r="Q79" s="32" t="n">
        <v>-2.69831122976341</v>
      </c>
      <c r="R79" s="30" t="n">
        <f aca="false">_xlfn.MINIFS('Piece check'!$K$6:$K$1643,'Piece check'!$B$6:$B$1643,B79)</f>
        <v>-2.69914068125768</v>
      </c>
      <c r="S79" s="18" t="n">
        <f aca="false">MAX(0,GWL-R79)</f>
        <v>1.19914068125768</v>
      </c>
      <c r="T79" s="18" t="n">
        <f aca="false">MAX(0,NG-R79)</f>
        <v>1.99914068125768</v>
      </c>
      <c r="U79" s="31" t="n">
        <f aca="false">SUMIFS('Piece check'!$R$6:$R$1643,'Piece check'!$B$6:$B$1643,B79)</f>
        <v>0</v>
      </c>
      <c r="V79" s="21" t="n">
        <f aca="false">O79-U79</f>
        <v>6.12635913571446</v>
      </c>
      <c r="W79" s="12" t="str">
        <f aca="false">IF(U79&lt;0.05,"Open cut",IF(V79&lt;0.05,"Sheet piles","Mixed: "&amp;TEXT(U79,"0")&amp;" m sheet piles"))</f>
        <v>Open cut</v>
      </c>
      <c r="X79" s="33" t="n">
        <f aca="false">SUMIFS('Piece check'!$V$6:$V$1643,'Piece check'!$B$6:$B$1643,B79)</f>
        <v>0</v>
      </c>
      <c r="Y79" s="33" t="n">
        <f aca="false">SUMIFS('Piece check'!$W$6:$W$1643,'Piece check'!$B$6:$B$1643,B79)</f>
        <v>91.0697195642664</v>
      </c>
      <c r="Z79" s="33" t="n">
        <f aca="false">SUMIFS('Piece check'!$X$6:$X$1643,'Piece check'!$B$6:$B$1643,B79)</f>
        <v>7.96427105005799</v>
      </c>
      <c r="AA79" s="33" t="n">
        <f aca="false">SUMIFS('Piece check'!$Y$6:$Y$1643,'Piece check'!$B$6:$B$1643,B79)</f>
        <v>12.3177968855259</v>
      </c>
      <c r="AB79" s="20" t="n">
        <f aca="false">MAX(0,X79+Y79-Z79-AA79)</f>
        <v>70.7876516286825</v>
      </c>
      <c r="AC79" s="20" t="n">
        <f aca="false">(ROUNDUP(O79/PILE_SP,0)+1)*IF(N79&gt;=PILE_THR,PILE_N_LARGE,PILE_N_SMALL)</f>
        <v>8</v>
      </c>
      <c r="AD79" s="20" t="n">
        <f aca="false">2*U79</f>
        <v>0</v>
      </c>
      <c r="AE79" s="34" t="n">
        <f aca="false">IF(U79&gt;0,ROUNDUP(T79*SHEET_RATIO,0),0)</f>
        <v>0</v>
      </c>
      <c r="AF79" s="20" t="n">
        <f aca="false">AD79*AE79</f>
        <v>0</v>
      </c>
      <c r="AG79" s="18" t="n">
        <f aca="false">MAX(0,GWL-(R79-DD_BELOW))</f>
        <v>1.69914068125768</v>
      </c>
      <c r="AH79" s="12" t="str">
        <f aca="false">IF(AG79=0,"Not required",IF(AG79&lt;=WP_LIMIT,"Single-stage wellpoints","Deep wells or two-stage wellpoints"))</f>
        <v>Single-stage wellpoints</v>
      </c>
      <c r="AI79" s="30" t="n">
        <f aca="false">MIN(_xlfn.MINIFS('Piece check'!$Z$6:$Z$1643,'Piece check'!$B$6:$B$1643,B79),_xlfn.MINIFS('Piece check'!$AA$6:$AA$1643,'Piece check'!$B$6:$B$1643,B79))</f>
        <v>0</v>
      </c>
      <c r="AJ79" s="30" t="n">
        <f aca="false">MIN(_xlfn.MINIFS('Piece check'!$AB$6:$AB$1643,'Piece check'!$B$6:$B$1643,B79),_xlfn.MINIFS('Piece check'!$AC$6:$AC$1643,'Piece check'!$B$6:$B$1643,B79))</f>
        <v>2.33374953525941</v>
      </c>
      <c r="AK79" s="12" t="str">
        <f aca="false">IF(AJ79&lt;FOS_FLOT,"Anchor pipe to piled slab (permanent straps)",IF(AI79&lt;FOS_FLOT,"Keep dewatering on until fill reaches FL, or strap to slab","No extra measure"))</f>
        <v>Keep dewatering on until fill reaches FL, or strap to slab</v>
      </c>
      <c r="AL79" s="35" t="n">
        <f aca="false">Activities!P810</f>
        <v>46407</v>
      </c>
      <c r="AM79" s="35" t="n">
        <f aca="false">Activities!Q819</f>
        <v>46506</v>
      </c>
      <c r="AN79" s="15" t="n">
        <v>144</v>
      </c>
      <c r="AO79" s="36" t="s">
        <v>2567</v>
      </c>
      <c r="AP79" s="36" t="s">
        <v>2416</v>
      </c>
      <c r="AQ79" s="36" t="s">
        <v>2365</v>
      </c>
      <c r="AR79" s="37" t="n">
        <f aca="false">Activities!P818-Activities!Q816</f>
        <v>2</v>
      </c>
      <c r="AS79" s="37" t="n">
        <f aca="false">IF(Activities!K813=0,0,Activities!Q819-Activities!P813)</f>
        <v>43</v>
      </c>
    </row>
    <row r="80" customFormat="false" ht="15" hidden="false" customHeight="false" outlineLevel="0" collapsed="false">
      <c r="A80" s="15" t="s">
        <v>719</v>
      </c>
      <c r="B80" s="29" t="s">
        <v>725</v>
      </c>
      <c r="C80" s="15" t="s">
        <v>394</v>
      </c>
      <c r="D80" s="15" t="s">
        <v>2610</v>
      </c>
      <c r="E80" s="15" t="s">
        <v>2518</v>
      </c>
      <c r="F80" s="15" t="n">
        <v>28</v>
      </c>
      <c r="G80" s="15" t="s">
        <v>2362</v>
      </c>
      <c r="H80" s="15"/>
      <c r="I80" s="16" t="n">
        <v>0</v>
      </c>
      <c r="J80" s="15"/>
      <c r="K80" s="16" t="n">
        <v>0</v>
      </c>
      <c r="L80" s="15" t="s">
        <v>358</v>
      </c>
      <c r="M80" s="15" t="n">
        <v>8</v>
      </c>
      <c r="N80" s="30" t="n">
        <f aca="false">_xlfn.MAXIFS('Piece check'!$E$6:$E$1643,'Piece check'!$B$6:$B$1643,B80)</f>
        <v>1.60000136251536</v>
      </c>
      <c r="O80" s="31" t="n">
        <f aca="false">SUMIFS('Piece check'!$D$6:$D$1643,'Piece check'!$B$6:$B$1643,B80)</f>
        <v>132.376982780502</v>
      </c>
      <c r="P80" s="32" t="n">
        <v>-2.4996682829852</v>
      </c>
      <c r="Q80" s="32" t="n">
        <v>-2.69914068125768</v>
      </c>
      <c r="R80" s="30" t="n">
        <f aca="false">_xlfn.MINIFS('Piece check'!$K$6:$K$1643,'Piece check'!$B$6:$B$1643,B80)</f>
        <v>-2.69914068125768</v>
      </c>
      <c r="S80" s="18" t="n">
        <f aca="false">MAX(0,GWL-R80)</f>
        <v>1.19914068125768</v>
      </c>
      <c r="T80" s="18" t="n">
        <f aca="false">MAX(0,NG-R80)</f>
        <v>1.99914068125768</v>
      </c>
      <c r="U80" s="31" t="n">
        <f aca="false">SUMIFS('Piece check'!$R$6:$R$1643,'Piece check'!$B$6:$B$1643,B80)</f>
        <v>67.7835830197959</v>
      </c>
      <c r="V80" s="21" t="n">
        <f aca="false">O80-U80</f>
        <v>64.5933997607058</v>
      </c>
      <c r="W80" s="12" t="str">
        <f aca="false">IF(U80&lt;0.05,"Open cut",IF(V80&lt;0.05,"Sheet piles","Mixed: "&amp;TEXT(U80,"0")&amp;" m sheet piles"))</f>
        <v>Mixed: 68 m sheet piles</v>
      </c>
      <c r="X80" s="33" t="n">
        <f aca="false">SUMIFS('Piece check'!$V$6:$V$1643,'Piece check'!$B$6:$B$1643,B80)</f>
        <v>388.926293570318</v>
      </c>
      <c r="Y80" s="33" t="n">
        <f aca="false">SUMIFS('Piece check'!$W$6:$W$1643,'Piece check'!$B$6:$B$1643,B80)</f>
        <v>793.944826937802</v>
      </c>
      <c r="Z80" s="33" t="n">
        <f aca="false">SUMIFS('Piece check'!$X$6:$X$1643,'Piece check'!$B$6:$B$1643,B80)</f>
        <v>147.496754534781</v>
      </c>
      <c r="AA80" s="33" t="n">
        <f aca="false">SUMIFS('Piece check'!$Y$6:$Y$1643,'Piece check'!$B$6:$B$1643,B80)</f>
        <v>157.986381928622</v>
      </c>
      <c r="AB80" s="20" t="n">
        <f aca="false">MAX(0,X80+Y80-Z80-AA80)</f>
        <v>877.387984044717</v>
      </c>
      <c r="AC80" s="20" t="n">
        <f aca="false">(ROUNDUP(O80/PILE_SP,0)+1)*IF(N80&gt;=PILE_THR,PILE_N_LARGE,PILE_N_SMALL)</f>
        <v>92</v>
      </c>
      <c r="AD80" s="20" t="n">
        <f aca="false">2*U80</f>
        <v>135.567166039592</v>
      </c>
      <c r="AE80" s="34" t="n">
        <f aca="false">IF(U80&gt;0,ROUNDUP(T80*SHEET_RATIO,0),0)</f>
        <v>4</v>
      </c>
      <c r="AF80" s="20" t="n">
        <f aca="false">AD80*AE80</f>
        <v>542.268664158367</v>
      </c>
      <c r="AG80" s="18" t="n">
        <f aca="false">MAX(0,GWL-(R80-DD_BELOW))</f>
        <v>1.69914068125768</v>
      </c>
      <c r="AH80" s="12" t="str">
        <f aca="false">IF(AG80=0,"Not required",IF(AG80&lt;=WP_LIMIT,"Single-stage wellpoints","Deep wells or two-stage wellpoints"))</f>
        <v>Single-stage wellpoints</v>
      </c>
      <c r="AI80" s="30" t="n">
        <f aca="false">MIN(_xlfn.MINIFS('Piece check'!$Z$6:$Z$1643,'Piece check'!$B$6:$B$1643,B80),_xlfn.MINIFS('Piece check'!$AA$6:$AA$1643,'Piece check'!$B$6:$B$1643,B80))</f>
        <v>0</v>
      </c>
      <c r="AJ80" s="30" t="n">
        <f aca="false">MIN(_xlfn.MINIFS('Piece check'!$AB$6:$AB$1643,'Piece check'!$B$6:$B$1643,B80),_xlfn.MINIFS('Piece check'!$AC$6:$AC$1643,'Piece check'!$B$6:$B$1643,B80))</f>
        <v>2.332040375423</v>
      </c>
      <c r="AK80" s="12" t="str">
        <f aca="false">IF(AJ80&lt;FOS_FLOT,"Anchor pipe to piled slab (permanent straps)",IF(AI80&lt;FOS_FLOT,"Keep dewatering on until fill reaches FL, or strap to slab","No extra measure"))</f>
        <v>Keep dewatering on until fill reaches FL, or strap to slab</v>
      </c>
      <c r="AL80" s="35" t="n">
        <f aca="false">Activities!P821</f>
        <v>46412</v>
      </c>
      <c r="AM80" s="35" t="n">
        <f aca="false">Activities!Q830</f>
        <v>46524</v>
      </c>
      <c r="AN80" s="15" t="n">
        <v>145</v>
      </c>
      <c r="AO80" s="36" t="s">
        <v>2564</v>
      </c>
      <c r="AP80" s="36" t="s">
        <v>2416</v>
      </c>
      <c r="AQ80" s="36" t="s">
        <v>2365</v>
      </c>
      <c r="AR80" s="37" t="n">
        <f aca="false">Activities!P829-Activities!Q827</f>
        <v>-8</v>
      </c>
      <c r="AS80" s="37" t="n">
        <f aca="false">IF(Activities!K824=0,0,Activities!Q830-Activities!P824)</f>
        <v>62</v>
      </c>
    </row>
    <row r="81" customFormat="false" ht="15" hidden="false" customHeight="false" outlineLevel="0" collapsed="false">
      <c r="A81" s="15" t="s">
        <v>719</v>
      </c>
      <c r="B81" s="29" t="s">
        <v>720</v>
      </c>
      <c r="C81" s="15" t="s">
        <v>394</v>
      </c>
      <c r="D81" s="15" t="s">
        <v>2611</v>
      </c>
      <c r="E81" s="15" t="s">
        <v>2518</v>
      </c>
      <c r="F81" s="15" t="n">
        <v>28</v>
      </c>
      <c r="G81" s="15" t="s">
        <v>2367</v>
      </c>
      <c r="H81" s="15" t="s">
        <v>313</v>
      </c>
      <c r="I81" s="35" t="n">
        <f aca="false">MAX(Structures!$H$11)</f>
        <v>0</v>
      </c>
      <c r="J81" s="15"/>
      <c r="K81" s="16" t="n">
        <v>0</v>
      </c>
      <c r="L81" s="15" t="s">
        <v>358</v>
      </c>
      <c r="M81" s="15" t="n">
        <v>2</v>
      </c>
      <c r="N81" s="30" t="n">
        <f aca="false">_xlfn.MAXIFS('Piece check'!$E$6:$E$1643,'Piece check'!$B$6:$B$1643,B81)</f>
        <v>1.19999340268406</v>
      </c>
      <c r="O81" s="31" t="n">
        <f aca="false">SUMIFS('Piece check'!$D$6:$D$1643,'Piece check'!$B$6:$B$1643,B81)</f>
        <v>18.6966580836264</v>
      </c>
      <c r="P81" s="32" t="n">
        <v>-2.49999432213915</v>
      </c>
      <c r="Q81" s="32" t="n">
        <v>-2.49966670134203</v>
      </c>
      <c r="R81" s="30" t="n">
        <f aca="false">_xlfn.MINIFS('Piece check'!$K$6:$K$1643,'Piece check'!$B$6:$B$1643,B81)</f>
        <v>-2.49999654441788</v>
      </c>
      <c r="S81" s="18" t="n">
        <f aca="false">MAX(0,GWL-R81)</f>
        <v>0.99999654441788</v>
      </c>
      <c r="T81" s="18" t="n">
        <f aca="false">MAX(0,NG-R81)</f>
        <v>1.79999654441788</v>
      </c>
      <c r="U81" s="31" t="n">
        <f aca="false">SUMIFS('Piece check'!$R$6:$R$1643,'Piece check'!$B$6:$B$1643,B81)</f>
        <v>0</v>
      </c>
      <c r="V81" s="21" t="n">
        <f aca="false">O81-U81</f>
        <v>18.6966580836264</v>
      </c>
      <c r="W81" s="12" t="str">
        <f aca="false">IF(U81&lt;0.05,"Open cut",IF(V81&lt;0.05,"Sheet piles","Mixed: "&amp;TEXT(U81,"0")&amp;" m sheet piles"))</f>
        <v>Open cut</v>
      </c>
      <c r="X81" s="33" t="n">
        <f aca="false">SUMIFS('Piece check'!$V$6:$V$1643,'Piece check'!$B$6:$B$1643,B81)</f>
        <v>0</v>
      </c>
      <c r="Y81" s="33" t="n">
        <f aca="false">SUMIFS('Piece check'!$W$6:$W$1643,'Piece check'!$B$6:$B$1643,B81)</f>
        <v>222.85934614825</v>
      </c>
      <c r="Z81" s="33" t="n">
        <f aca="false">SUMIFS('Piece check'!$X$6:$X$1643,'Piece check'!$B$6:$B$1643,B81)</f>
        <v>20.5662223594291</v>
      </c>
      <c r="AA81" s="33" t="n">
        <f aca="false">SUMIFS('Piece check'!$Y$6:$Y$1643,'Piece check'!$B$6:$B$1643,B81)</f>
        <v>21.1450393586212</v>
      </c>
      <c r="AB81" s="20" t="n">
        <f aca="false">MAX(0,X81+Y81-Z81-AA81)</f>
        <v>181.1480844302</v>
      </c>
      <c r="AC81" s="20" t="n">
        <f aca="false">(ROUNDUP(O81/PILE_SP,0)+1)*IF(N81&gt;=PILE_THR,PILE_N_LARGE,PILE_N_SMALL)</f>
        <v>16</v>
      </c>
      <c r="AD81" s="20" t="n">
        <f aca="false">2*U81</f>
        <v>0</v>
      </c>
      <c r="AE81" s="34" t="n">
        <f aca="false">IF(U81&gt;0,ROUNDUP(T81*SHEET_RATIO,0),0)</f>
        <v>0</v>
      </c>
      <c r="AF81" s="20" t="n">
        <f aca="false">AD81*AE81</f>
        <v>0</v>
      </c>
      <c r="AG81" s="18" t="n">
        <f aca="false">MAX(0,GWL-(R81-DD_BELOW))</f>
        <v>1.49999654441788</v>
      </c>
      <c r="AH81" s="12" t="str">
        <f aca="false">IF(AG81=0,"Not required",IF(AG81&lt;=WP_LIMIT,"Single-stage wellpoints","Deep wells or two-stage wellpoints"))</f>
        <v>Single-stage wellpoints</v>
      </c>
      <c r="AI81" s="30" t="n">
        <f aca="false">MIN(_xlfn.MINIFS('Piece check'!$Z$6:$Z$1643,'Piece check'!$B$6:$B$1643,B81),_xlfn.MINIFS('Piece check'!$AA$6:$AA$1643,'Piece check'!$B$6:$B$1643,B81))</f>
        <v>0.194049974188722</v>
      </c>
      <c r="AJ81" s="30" t="n">
        <f aca="false">MIN(_xlfn.MINIFS('Piece check'!$AB$6:$AB$1643,'Piece check'!$B$6:$B$1643,B81),_xlfn.MINIFS('Piece check'!$AC$6:$AC$1643,'Piece check'!$B$6:$B$1643,B81))</f>
        <v>3.50371224645715</v>
      </c>
      <c r="AK81" s="12" t="str">
        <f aca="false">IF(AJ81&lt;FOS_FLOT,"Anchor pipe to piled slab (permanent straps)",IF(AI81&lt;FOS_FLOT,"Keep dewatering on until fill reaches FL, or strap to slab","No extra measure"))</f>
        <v>Keep dewatering on until fill reaches FL, or strap to slab</v>
      </c>
      <c r="AL81" s="35" t="n">
        <f aca="false">Activities!P832</f>
        <v>46415</v>
      </c>
      <c r="AM81" s="35" t="n">
        <f aca="false">Activities!Q841</f>
        <v>46530</v>
      </c>
      <c r="AN81" s="15" t="n">
        <v>146</v>
      </c>
      <c r="AO81" s="36" t="s">
        <v>2532</v>
      </c>
      <c r="AP81" s="36" t="s">
        <v>2533</v>
      </c>
      <c r="AQ81" s="36" t="s">
        <v>2612</v>
      </c>
      <c r="AR81" s="37" t="n">
        <f aca="false">Activities!P840-Activities!Q838</f>
        <v>-2</v>
      </c>
      <c r="AS81" s="37" t="n">
        <f aca="false">IF(Activities!K835=0,0,Activities!Q841-Activities!P835)</f>
        <v>112</v>
      </c>
    </row>
    <row r="82" customFormat="false" ht="15" hidden="false" customHeight="false" outlineLevel="0" collapsed="false">
      <c r="A82" s="15" t="s">
        <v>719</v>
      </c>
      <c r="B82" s="29" t="s">
        <v>778</v>
      </c>
      <c r="C82" s="15" t="s">
        <v>394</v>
      </c>
      <c r="D82" s="15" t="s">
        <v>2613</v>
      </c>
      <c r="E82" s="15" t="s">
        <v>2518</v>
      </c>
      <c r="F82" s="15" t="n">
        <v>28</v>
      </c>
      <c r="G82" s="15" t="s">
        <v>2362</v>
      </c>
      <c r="H82" s="15"/>
      <c r="I82" s="16" t="n">
        <v>0</v>
      </c>
      <c r="J82" s="15"/>
      <c r="K82" s="16" t="n">
        <v>0</v>
      </c>
      <c r="L82" s="15" t="s">
        <v>358</v>
      </c>
      <c r="M82" s="15" t="n">
        <v>1</v>
      </c>
      <c r="N82" s="30" t="n">
        <f aca="false">_xlfn.MAXIFS('Piece check'!$E$6:$E$1643,'Piece check'!$B$6:$B$1643,B82)</f>
        <v>1.20000100822285</v>
      </c>
      <c r="O82" s="31" t="n">
        <f aca="false">SUMIFS('Piece check'!$D$6:$D$1643,'Piece check'!$B$6:$B$1643,B82)</f>
        <v>22.5092179722976</v>
      </c>
      <c r="P82" s="32" t="n">
        <v>-2.4999979041912</v>
      </c>
      <c r="Q82" s="32" t="n">
        <v>-2.49913925233478</v>
      </c>
      <c r="R82" s="30" t="n">
        <f aca="false">_xlfn.MINIFS('Piece check'!$K$6:$K$1643,'Piece check'!$B$6:$B$1643,B82)</f>
        <v>-2.50000050411143</v>
      </c>
      <c r="S82" s="18" t="n">
        <f aca="false">MAX(0,GWL-R82)</f>
        <v>1.00000050411143</v>
      </c>
      <c r="T82" s="18" t="n">
        <f aca="false">MAX(0,NG-R82)</f>
        <v>1.80000050411143</v>
      </c>
      <c r="U82" s="31" t="n">
        <f aca="false">SUMIFS('Piece check'!$R$6:$R$1643,'Piece check'!$B$6:$B$1643,B82)</f>
        <v>0</v>
      </c>
      <c r="V82" s="21" t="n">
        <f aca="false">O82-U82</f>
        <v>22.5092179722976</v>
      </c>
      <c r="W82" s="12" t="str">
        <f aca="false">IF(U82&lt;0.05,"Open cut",IF(V82&lt;0.05,"Sheet piles","Mixed: "&amp;TEXT(U82,"0")&amp;" m sheet piles"))</f>
        <v>Open cut</v>
      </c>
      <c r="X82" s="33" t="n">
        <f aca="false">SUMIFS('Piece check'!$V$6:$V$1643,'Piece check'!$B$6:$B$1643,B82)</f>
        <v>0</v>
      </c>
      <c r="Y82" s="33" t="n">
        <f aca="false">SUMIFS('Piece check'!$W$6:$W$1643,'Piece check'!$B$6:$B$1643,B82)</f>
        <v>268.298675357567</v>
      </c>
      <c r="Z82" s="33" t="n">
        <f aca="false">SUMIFS('Piece check'!$X$6:$X$1643,'Piece check'!$B$6:$B$1643,B82)</f>
        <v>24.7601216614527</v>
      </c>
      <c r="AA82" s="33" t="n">
        <f aca="false">SUMIFS('Piece check'!$Y$6:$Y$1643,'Piece check'!$B$6:$B$1643,B82)</f>
        <v>25.4572575094525</v>
      </c>
      <c r="AB82" s="20" t="n">
        <f aca="false">MAX(0,X82+Y82-Z82-AA82)</f>
        <v>218.081296186662</v>
      </c>
      <c r="AC82" s="20" t="n">
        <f aca="false">(ROUNDUP(O82/PILE_SP,0)+1)*IF(N82&gt;=PILE_THR,PILE_N_LARGE,PILE_N_SMALL)</f>
        <v>18</v>
      </c>
      <c r="AD82" s="20" t="n">
        <f aca="false">2*U82</f>
        <v>0</v>
      </c>
      <c r="AE82" s="34" t="n">
        <f aca="false">IF(U82&gt;0,ROUNDUP(T82*SHEET_RATIO,0),0)</f>
        <v>0</v>
      </c>
      <c r="AF82" s="20" t="n">
        <f aca="false">AD82*AE82</f>
        <v>0</v>
      </c>
      <c r="AG82" s="18" t="n">
        <f aca="false">MAX(0,GWL-(R82-DD_BELOW))</f>
        <v>1.50000050411143</v>
      </c>
      <c r="AH82" s="12" t="str">
        <f aca="false">IF(AG82=0,"Not required",IF(AG82&lt;=WP_LIMIT,"Single-stage wellpoints","Deep wells or two-stage wellpoints"))</f>
        <v>Single-stage wellpoints</v>
      </c>
      <c r="AI82" s="30" t="n">
        <f aca="false">MIN(_xlfn.MINIFS('Piece check'!$Z$6:$Z$1643,'Piece check'!$B$6:$B$1643,B82),_xlfn.MINIFS('Piece check'!$AA$6:$AA$1643,'Piece check'!$B$6:$B$1643,B82))</f>
        <v>0.193012351251331</v>
      </c>
      <c r="AJ82" s="30" t="n">
        <f aca="false">MIN(_xlfn.MINIFS('Piece check'!$AB$6:$AB$1643,'Piece check'!$B$6:$B$1643,B82),_xlfn.MINIFS('Piece check'!$AC$6:$AC$1643,'Piece check'!$B$6:$B$1643,B82))</f>
        <v>3.50266055196147</v>
      </c>
      <c r="AK82" s="12" t="str">
        <f aca="false">IF(AJ82&lt;FOS_FLOT,"Anchor pipe to piled slab (permanent straps)",IF(AI82&lt;FOS_FLOT,"Keep dewatering on until fill reaches FL, or strap to slab","No extra measure"))</f>
        <v>Keep dewatering on until fill reaches FL, or strap to slab</v>
      </c>
      <c r="AL82" s="35" t="n">
        <f aca="false">Activities!P843</f>
        <v>46415</v>
      </c>
      <c r="AM82" s="35" t="n">
        <f aca="false">Activities!Q852</f>
        <v>46530</v>
      </c>
      <c r="AN82" s="15" t="n">
        <v>147</v>
      </c>
      <c r="AO82" s="36" t="s">
        <v>2564</v>
      </c>
      <c r="AP82" s="36" t="s">
        <v>2416</v>
      </c>
      <c r="AQ82" s="36" t="s">
        <v>2365</v>
      </c>
      <c r="AR82" s="37" t="n">
        <f aca="false">Activities!P851-Activities!Q849</f>
        <v>-2</v>
      </c>
      <c r="AS82" s="37" t="n">
        <f aca="false">IF(Activities!K846=0,0,Activities!Q852-Activities!P846)</f>
        <v>60</v>
      </c>
    </row>
    <row r="83" customFormat="false" ht="15" hidden="false" customHeight="false" outlineLevel="0" collapsed="false">
      <c r="A83" s="15" t="s">
        <v>719</v>
      </c>
      <c r="B83" s="29" t="s">
        <v>787</v>
      </c>
      <c r="C83" s="15" t="s">
        <v>394</v>
      </c>
      <c r="D83" s="15" t="s">
        <v>2614</v>
      </c>
      <c r="E83" s="15" t="s">
        <v>2518</v>
      </c>
      <c r="F83" s="15" t="n">
        <v>28</v>
      </c>
      <c r="G83" s="15" t="s">
        <v>2367</v>
      </c>
      <c r="H83" s="15" t="s">
        <v>319</v>
      </c>
      <c r="I83" s="35" t="n">
        <f aca="false">MAX(Structures!$H$14)</f>
        <v>0</v>
      </c>
      <c r="J83" s="15"/>
      <c r="K83" s="16" t="n">
        <v>0</v>
      </c>
      <c r="L83" s="15" t="s">
        <v>358</v>
      </c>
      <c r="M83" s="15" t="n">
        <v>2</v>
      </c>
      <c r="N83" s="30" t="n">
        <f aca="false">_xlfn.MAXIFS('Piece check'!$E$6:$E$1643,'Piece check'!$B$6:$B$1643,B83)</f>
        <v>1.19999332907163</v>
      </c>
      <c r="O83" s="31" t="n">
        <f aca="false">SUMIFS('Piece check'!$D$6:$D$1643,'Piece check'!$B$6:$B$1643,B83)</f>
        <v>2.93239897097514</v>
      </c>
      <c r="P83" s="32" t="n">
        <v>-2.96902666453581</v>
      </c>
      <c r="Q83" s="32" t="n">
        <v>-2.96902666453581</v>
      </c>
      <c r="R83" s="30" t="n">
        <f aca="false">_xlfn.MINIFS('Piece check'!$K$6:$K$1643,'Piece check'!$B$6:$B$1643,B83)</f>
        <v>-2.96902666453581</v>
      </c>
      <c r="S83" s="18" t="n">
        <f aca="false">MAX(0,GWL-R83)</f>
        <v>1.46902666453581</v>
      </c>
      <c r="T83" s="18" t="n">
        <f aca="false">MAX(0,NG-R83)</f>
        <v>2.26902666453581</v>
      </c>
      <c r="U83" s="31" t="n">
        <f aca="false">SUMIFS('Piece check'!$R$6:$R$1643,'Piece check'!$B$6:$B$1643,B83)</f>
        <v>0</v>
      </c>
      <c r="V83" s="21" t="n">
        <f aca="false">O83-U83</f>
        <v>2.93239897097514</v>
      </c>
      <c r="W83" s="12" t="str">
        <f aca="false">IF(U83&lt;0.05,"Open cut",IF(V83&lt;0.05,"Sheet piles","Mixed: "&amp;TEXT(U83,"0")&amp;" m sheet piles"))</f>
        <v>Open cut</v>
      </c>
      <c r="X83" s="33" t="n">
        <f aca="false">SUMIFS('Piece check'!$V$6:$V$1643,'Piece check'!$B$6:$B$1643,B83)</f>
        <v>0</v>
      </c>
      <c r="Y83" s="33" t="n">
        <f aca="false">SUMIFS('Piece check'!$W$6:$W$1643,'Piece check'!$B$6:$B$1643,B83)</f>
        <v>50.5482072662524</v>
      </c>
      <c r="Z83" s="33" t="n">
        <f aca="false">SUMIFS('Piece check'!$X$6:$X$1643,'Piece check'!$B$6:$B$1643,B83)</f>
        <v>3.2256290871609</v>
      </c>
      <c r="AA83" s="33" t="n">
        <f aca="false">SUMIFS('Piece check'!$Y$6:$Y$1643,'Piece check'!$B$6:$B$1643,B83)</f>
        <v>3.31642823019342</v>
      </c>
      <c r="AB83" s="20" t="n">
        <f aca="false">MAX(0,X83+Y83-Z83-AA83)</f>
        <v>44.0061499488981</v>
      </c>
      <c r="AC83" s="20" t="n">
        <f aca="false">(ROUNDUP(O83/PILE_SP,0)+1)*IF(N83&gt;=PILE_THR,PILE_N_LARGE,PILE_N_SMALL)</f>
        <v>4</v>
      </c>
      <c r="AD83" s="20" t="n">
        <f aca="false">2*U83</f>
        <v>0</v>
      </c>
      <c r="AE83" s="34" t="n">
        <f aca="false">IF(U83&gt;0,ROUNDUP(T83*SHEET_RATIO,0),0)</f>
        <v>0</v>
      </c>
      <c r="AF83" s="20" t="n">
        <f aca="false">AD83*AE83</f>
        <v>0</v>
      </c>
      <c r="AG83" s="18" t="n">
        <f aca="false">MAX(0,GWL-(R83-DD_BELOW))</f>
        <v>1.96902666453581</v>
      </c>
      <c r="AH83" s="12" t="str">
        <f aca="false">IF(AG83=0,"Not required",IF(AG83&lt;=WP_LIMIT,"Single-stage wellpoints","Deep wells or two-stage wellpoints"))</f>
        <v>Single-stage wellpoints</v>
      </c>
      <c r="AI83" s="30" t="n">
        <f aca="false">MIN(_xlfn.MINIFS('Piece check'!$Z$6:$Z$1643,'Piece check'!$B$6:$B$1643,B83),_xlfn.MINIFS('Piece check'!$AA$6:$AA$1643,'Piece check'!$B$6:$B$1643,B83))</f>
        <v>1.10782839857565</v>
      </c>
      <c r="AJ83" s="30" t="n">
        <f aca="false">MIN(_xlfn.MINIFS('Piece check'!$AB$6:$AB$1643,'Piece check'!$B$6:$B$1643,B83),_xlfn.MINIFS('Piece check'!$AC$6:$AC$1643,'Piece check'!$B$6:$B$1643,B83))</f>
        <v>4.41749087387212</v>
      </c>
      <c r="AK83" s="12" t="str">
        <f aca="false">IF(AJ83&lt;FOS_FLOT,"Anchor pipe to piled slab (permanent straps)",IF(AI83&lt;FOS_FLOT,"Keep dewatering on until fill reaches FL, or strap to slab","No extra measure"))</f>
        <v>No extra measure</v>
      </c>
      <c r="AL83" s="35" t="n">
        <f aca="false">Activities!P854</f>
        <v>46403</v>
      </c>
      <c r="AM83" s="35" t="n">
        <f aca="false">Activities!Q863</f>
        <v>46501</v>
      </c>
      <c r="AN83" s="15" t="n">
        <v>148</v>
      </c>
      <c r="AO83" s="36" t="s">
        <v>2615</v>
      </c>
      <c r="AP83" s="36" t="s">
        <v>2616</v>
      </c>
      <c r="AQ83" s="36" t="s">
        <v>2617</v>
      </c>
      <c r="AR83" s="37" t="n">
        <f aca="false">Activities!P862-Activities!Q860</f>
        <v>-2</v>
      </c>
      <c r="AS83" s="37" t="n">
        <f aca="false">IF(Activities!K857=0,0,Activities!Q863-Activities!P857)</f>
        <v>96</v>
      </c>
    </row>
    <row r="84" customFormat="false" ht="15" hidden="false" customHeight="false" outlineLevel="0" collapsed="false">
      <c r="A84" s="15" t="s">
        <v>719</v>
      </c>
      <c r="B84" s="29" t="s">
        <v>796</v>
      </c>
      <c r="C84" s="15" t="s">
        <v>394</v>
      </c>
      <c r="D84" s="15" t="s">
        <v>2618</v>
      </c>
      <c r="E84" s="15" t="s">
        <v>2518</v>
      </c>
      <c r="F84" s="15" t="n">
        <v>28</v>
      </c>
      <c r="G84" s="15" t="s">
        <v>2367</v>
      </c>
      <c r="H84" s="15" t="s">
        <v>315</v>
      </c>
      <c r="I84" s="35" t="n">
        <f aca="false">MAX(Structures!$H$12)</f>
        <v>0</v>
      </c>
      <c r="J84" s="15"/>
      <c r="K84" s="16" t="n">
        <v>0</v>
      </c>
      <c r="L84" s="15" t="s">
        <v>358</v>
      </c>
      <c r="M84" s="15" t="n">
        <v>1</v>
      </c>
      <c r="N84" s="30" t="n">
        <f aca="false">_xlfn.MAXIFS('Piece check'!$E$6:$E$1643,'Piece check'!$B$6:$B$1643,B84)</f>
        <v>1.19999814559196</v>
      </c>
      <c r="O84" s="31" t="n">
        <f aca="false">SUMIFS('Piece check'!$D$6:$D$1643,'Piece check'!$B$6:$B$1643,B84)</f>
        <v>9.29992753777969</v>
      </c>
      <c r="P84" s="32" t="n">
        <v>-2.69999658060193</v>
      </c>
      <c r="Q84" s="32" t="n">
        <v>-2.89204907279598</v>
      </c>
      <c r="R84" s="30" t="n">
        <f aca="false">_xlfn.MINIFS('Piece check'!$K$6:$K$1643,'Piece check'!$B$6:$B$1643,B84)</f>
        <v>-2.89204907279598</v>
      </c>
      <c r="S84" s="18" t="n">
        <f aca="false">MAX(0,GWL-R84)</f>
        <v>1.39204907279598</v>
      </c>
      <c r="T84" s="18" t="n">
        <f aca="false">MAX(0,NG-R84)</f>
        <v>2.19204907279598</v>
      </c>
      <c r="U84" s="31" t="n">
        <f aca="false">SUMIFS('Piece check'!$R$6:$R$1643,'Piece check'!$B$6:$B$1643,B84)</f>
        <v>0</v>
      </c>
      <c r="V84" s="21" t="n">
        <f aca="false">O84-U84</f>
        <v>9.29992753777969</v>
      </c>
      <c r="W84" s="12" t="str">
        <f aca="false">IF(U84&lt;0.05,"Open cut",IF(V84&lt;0.05,"Sheet piles","Mixed: "&amp;TEXT(U84,"0")&amp;" m sheet piles"))</f>
        <v>Open cut</v>
      </c>
      <c r="X84" s="33" t="n">
        <f aca="false">SUMIFS('Piece check'!$V$6:$V$1643,'Piece check'!$B$6:$B$1643,B84)</f>
        <v>0</v>
      </c>
      <c r="Y84" s="33" t="n">
        <f aca="false">SUMIFS('Piece check'!$W$6:$W$1643,'Piece check'!$B$6:$B$1643,B84)</f>
        <v>131.478227252725</v>
      </c>
      <c r="Z84" s="33" t="n">
        <f aca="false">SUMIFS('Piece check'!$X$6:$X$1643,'Piece check'!$B$6:$B$1643,B84)</f>
        <v>10.2298897118745</v>
      </c>
      <c r="AA84" s="33" t="n">
        <f aca="false">SUMIFS('Piece check'!$Y$6:$Y$1643,'Piece check'!$B$6:$B$1643,B84)</f>
        <v>10.5178549690136</v>
      </c>
      <c r="AB84" s="20" t="n">
        <f aca="false">MAX(0,X84+Y84-Z84-AA84)</f>
        <v>110.730482571837</v>
      </c>
      <c r="AC84" s="20" t="n">
        <f aca="false">(ROUNDUP(O84/PILE_SP,0)+1)*IF(N84&gt;=PILE_THR,PILE_N_LARGE,PILE_N_SMALL)</f>
        <v>10</v>
      </c>
      <c r="AD84" s="20" t="n">
        <f aca="false">2*U84</f>
        <v>0</v>
      </c>
      <c r="AE84" s="34" t="n">
        <f aca="false">IF(U84&gt;0,ROUNDUP(T84*SHEET_RATIO,0),0)</f>
        <v>0</v>
      </c>
      <c r="AF84" s="20" t="n">
        <f aca="false">AD84*AE84</f>
        <v>0</v>
      </c>
      <c r="AG84" s="18" t="n">
        <f aca="false">MAX(0,GWL-(R84-DD_BELOW))</f>
        <v>1.89204907279598</v>
      </c>
      <c r="AH84" s="12" t="str">
        <f aca="false">IF(AG84=0,"Not required",IF(AG84&lt;=WP_LIMIT,"Single-stage wellpoints","Deep wells or two-stage wellpoints"))</f>
        <v>Single-stage wellpoints</v>
      </c>
      <c r="AI84" s="30" t="n">
        <f aca="false">MIN(_xlfn.MINIFS('Piece check'!$Z$6:$Z$1643,'Piece check'!$B$6:$B$1643,B84),_xlfn.MINIFS('Piece check'!$AA$6:$AA$1643,'Piece check'!$B$6:$B$1643,B84))</f>
        <v>0.584057544728633</v>
      </c>
      <c r="AJ84" s="30" t="n">
        <f aca="false">MIN(_xlfn.MINIFS('Piece check'!$AB$6:$AB$1643,'Piece check'!$B$6:$B$1643,B84),_xlfn.MINIFS('Piece check'!$AC$6:$AC$1643,'Piece check'!$B$6:$B$1643,B84))</f>
        <v>3.89370673579075</v>
      </c>
      <c r="AK84" s="12" t="str">
        <f aca="false">IF(AJ84&lt;FOS_FLOT,"Anchor pipe to piled slab (permanent straps)",IF(AI84&lt;FOS_FLOT,"Keep dewatering on until fill reaches FL, or strap to slab","No extra measure"))</f>
        <v>Keep dewatering on until fill reaches FL, or strap to slab</v>
      </c>
      <c r="AL84" s="35" t="n">
        <f aca="false">Activities!P865</f>
        <v>46409</v>
      </c>
      <c r="AM84" s="35" t="n">
        <f aca="false">Activities!Q874</f>
        <v>46491</v>
      </c>
      <c r="AN84" s="15" t="n">
        <v>149</v>
      </c>
      <c r="AO84" s="36" t="s">
        <v>2532</v>
      </c>
      <c r="AP84" s="36" t="s">
        <v>2619</v>
      </c>
      <c r="AQ84" s="36" t="s">
        <v>2620</v>
      </c>
      <c r="AR84" s="37" t="n">
        <f aca="false">Activities!P873-Activities!Q871</f>
        <v>-1</v>
      </c>
      <c r="AS84" s="37" t="n">
        <f aca="false">IF(Activities!K868=0,0,Activities!Q874-Activities!P868)</f>
        <v>80</v>
      </c>
    </row>
    <row r="85" customFormat="false" ht="15" hidden="false" customHeight="false" outlineLevel="0" collapsed="false">
      <c r="A85" s="15" t="s">
        <v>719</v>
      </c>
      <c r="B85" s="29" t="s">
        <v>774</v>
      </c>
      <c r="C85" s="15" t="s">
        <v>394</v>
      </c>
      <c r="D85" s="15" t="s">
        <v>2621</v>
      </c>
      <c r="E85" s="15" t="s">
        <v>2518</v>
      </c>
      <c r="F85" s="15" t="n">
        <v>28</v>
      </c>
      <c r="G85" s="15" t="s">
        <v>2367</v>
      </c>
      <c r="H85" s="15" t="s">
        <v>317</v>
      </c>
      <c r="I85" s="35" t="n">
        <f aca="false">MAX(Structures!$H$13)</f>
        <v>0</v>
      </c>
      <c r="J85" s="15"/>
      <c r="K85" s="16" t="n">
        <v>0</v>
      </c>
      <c r="L85" s="15" t="s">
        <v>358</v>
      </c>
      <c r="M85" s="15" t="n">
        <v>2</v>
      </c>
      <c r="N85" s="30" t="n">
        <f aca="false">_xlfn.MAXIFS('Piece check'!$E$6:$E$1643,'Piece check'!$B$6:$B$1643,B85)</f>
        <v>1.20000108810357</v>
      </c>
      <c r="O85" s="31" t="n">
        <f aca="false">SUMIFS('Piece check'!$D$6:$D$1643,'Piece check'!$B$6:$B$1643,B85)</f>
        <v>5.35775391330111</v>
      </c>
      <c r="P85" s="32" t="n">
        <v>-2.50000054405179</v>
      </c>
      <c r="Q85" s="32" t="n">
        <v>-2.50000054405179</v>
      </c>
      <c r="R85" s="30" t="n">
        <f aca="false">_xlfn.MINIFS('Piece check'!$K$6:$K$1643,'Piece check'!$B$6:$B$1643,B85)</f>
        <v>-2.50000054405179</v>
      </c>
      <c r="S85" s="18" t="n">
        <f aca="false">MAX(0,GWL-R85)</f>
        <v>1.00000054405179</v>
      </c>
      <c r="T85" s="18" t="n">
        <f aca="false">MAX(0,NG-R85)</f>
        <v>1.80000054405179</v>
      </c>
      <c r="U85" s="31" t="n">
        <f aca="false">SUMIFS('Piece check'!$R$6:$R$1643,'Piece check'!$B$6:$B$1643,B85)</f>
        <v>0</v>
      </c>
      <c r="V85" s="21" t="n">
        <f aca="false">O85-U85</f>
        <v>5.35775391330111</v>
      </c>
      <c r="W85" s="12" t="str">
        <f aca="false">IF(U85&lt;0.05,"Open cut",IF(V85&lt;0.05,"Sheet piles","Mixed: "&amp;TEXT(U85,"0")&amp;" m sheet piles"))</f>
        <v>Open cut</v>
      </c>
      <c r="X85" s="33" t="n">
        <f aca="false">SUMIFS('Piece check'!$V$6:$V$1643,'Piece check'!$B$6:$B$1643,B85)</f>
        <v>0</v>
      </c>
      <c r="Y85" s="33" t="n">
        <f aca="false">SUMIFS('Piece check'!$W$6:$W$1643,'Piece check'!$B$6:$B$1643,B85)</f>
        <v>63.8644674550939</v>
      </c>
      <c r="Z85" s="33" t="n">
        <f aca="false">SUMIFS('Piece check'!$X$6:$X$1643,'Piece check'!$B$6:$B$1643,B85)</f>
        <v>5.89353221952682</v>
      </c>
      <c r="AA85" s="33" t="n">
        <f aca="false">SUMIFS('Piece check'!$Y$6:$Y$1643,'Piece check'!$B$6:$B$1643,B85)</f>
        <v>6.05948790905922</v>
      </c>
      <c r="AB85" s="20" t="n">
        <f aca="false">MAX(0,X85+Y85-Z85-AA85)</f>
        <v>51.9114473265079</v>
      </c>
      <c r="AC85" s="20" t="n">
        <f aca="false">(ROUNDUP(O85/PILE_SP,0)+1)*IF(N85&gt;=PILE_THR,PILE_N_LARGE,PILE_N_SMALL)</f>
        <v>6</v>
      </c>
      <c r="AD85" s="20" t="n">
        <f aca="false">2*U85</f>
        <v>0</v>
      </c>
      <c r="AE85" s="34" t="n">
        <f aca="false">IF(U85&gt;0,ROUNDUP(T85*SHEET_RATIO,0),0)</f>
        <v>0</v>
      </c>
      <c r="AF85" s="20" t="n">
        <f aca="false">AD85*AE85</f>
        <v>0</v>
      </c>
      <c r="AG85" s="18" t="n">
        <f aca="false">MAX(0,GWL-(R85-DD_BELOW))</f>
        <v>1.50000054405179</v>
      </c>
      <c r="AH85" s="12" t="str">
        <f aca="false">IF(AG85=0,"Not required",IF(AG85&lt;=WP_LIMIT,"Single-stage wellpoints","Deep wells or two-stage wellpoints"))</f>
        <v>Single-stage wellpoints</v>
      </c>
      <c r="AI85" s="30" t="n">
        <f aca="false">MIN(_xlfn.MINIFS('Piece check'!$Z$6:$Z$1643,'Piece check'!$B$6:$B$1643,B85),_xlfn.MINIFS('Piece check'!$AA$6:$AA$1643,'Piece check'!$B$6:$B$1643,B85))</f>
        <v>0.194683709961199</v>
      </c>
      <c r="AJ85" s="30" t="n">
        <f aca="false">MIN(_xlfn.MINIFS('Piece check'!$AB$6:$AB$1643,'Piece check'!$B$6:$B$1643,B85),_xlfn.MINIFS('Piece check'!$AC$6:$AC$1643,'Piece check'!$B$6:$B$1643,B85))</f>
        <v>3.50432478546301</v>
      </c>
      <c r="AK85" s="12" t="str">
        <f aca="false">IF(AJ85&lt;FOS_FLOT,"Anchor pipe to piled slab (permanent straps)",IF(AI85&lt;FOS_FLOT,"Keep dewatering on until fill reaches FL, or strap to slab","No extra measure"))</f>
        <v>Keep dewatering on until fill reaches FL, or strap to slab</v>
      </c>
      <c r="AL85" s="35" t="n">
        <f aca="false">Activities!P876</f>
        <v>46438</v>
      </c>
      <c r="AM85" s="35" t="n">
        <f aca="false">Activities!Q885</f>
        <v>46606</v>
      </c>
      <c r="AN85" s="15" t="n">
        <v>170</v>
      </c>
      <c r="AO85" s="36" t="s">
        <v>2519</v>
      </c>
      <c r="AP85" s="36" t="s">
        <v>2622</v>
      </c>
      <c r="AQ85" s="36" t="s">
        <v>2623</v>
      </c>
      <c r="AR85" s="37" t="n">
        <f aca="false">Activities!P884-Activities!Q882</f>
        <v>-2</v>
      </c>
      <c r="AS85" s="37" t="n">
        <f aca="false">IF(Activities!K879=0,0,Activities!Q885-Activities!P879)</f>
        <v>166</v>
      </c>
    </row>
    <row r="86" customFormat="false" ht="15" hidden="false" customHeight="false" outlineLevel="0" collapsed="false">
      <c r="A86" s="15" t="s">
        <v>719</v>
      </c>
      <c r="B86" s="29" t="s">
        <v>755</v>
      </c>
      <c r="C86" s="15" t="s">
        <v>394</v>
      </c>
      <c r="D86" s="15" t="s">
        <v>2624</v>
      </c>
      <c r="E86" s="15" t="s">
        <v>2518</v>
      </c>
      <c r="F86" s="15" t="n">
        <v>28</v>
      </c>
      <c r="G86" s="15" t="s">
        <v>2362</v>
      </c>
      <c r="H86" s="15"/>
      <c r="I86" s="16" t="n">
        <v>0</v>
      </c>
      <c r="J86" s="15"/>
      <c r="K86" s="16" t="n">
        <v>0</v>
      </c>
      <c r="L86" s="15" t="s">
        <v>358</v>
      </c>
      <c r="M86" s="15" t="n">
        <v>2</v>
      </c>
      <c r="N86" s="30" t="n">
        <f aca="false">_xlfn.MAXIFS('Piece check'!$E$6:$E$1643,'Piece check'!$B$6:$B$1643,B86)</f>
        <v>1.60000136251536</v>
      </c>
      <c r="O86" s="31" t="n">
        <f aca="false">SUMIFS('Piece check'!$D$6:$D$1643,'Piece check'!$B$6:$B$1643,B86)</f>
        <v>65.0999999999377</v>
      </c>
      <c r="P86" s="32" t="n">
        <v>-2.69831122976341</v>
      </c>
      <c r="Q86" s="32" t="n">
        <v>-2.73260656836079</v>
      </c>
      <c r="R86" s="30" t="n">
        <f aca="false">_xlfn.MINIFS('Piece check'!$K$6:$K$1643,'Piece check'!$B$6:$B$1643,B86)</f>
        <v>-2.73260656836079</v>
      </c>
      <c r="S86" s="18" t="n">
        <f aca="false">MAX(0,GWL-R86)</f>
        <v>1.23260656836079</v>
      </c>
      <c r="T86" s="18" t="n">
        <f aca="false">MAX(0,NG-R86)</f>
        <v>2.03260656836079</v>
      </c>
      <c r="U86" s="31" t="n">
        <f aca="false">SUMIFS('Piece check'!$R$6:$R$1643,'Piece check'!$B$6:$B$1643,B86)</f>
        <v>29.9999999993913</v>
      </c>
      <c r="V86" s="21" t="n">
        <f aca="false">O86-U86</f>
        <v>35.1000000005465</v>
      </c>
      <c r="W86" s="12" t="str">
        <f aca="false">IF(U86&lt;0.05,"Open cut",IF(V86&lt;0.05,"Sheet piles","Mixed: "&amp;TEXT(U86,"0")&amp;" m sheet piles"))</f>
        <v>Mixed: 30 m sheet piles</v>
      </c>
      <c r="X86" s="33" t="n">
        <f aca="false">SUMIFS('Piece check'!$V$6:$V$1643,'Piece check'!$B$6:$B$1643,B86)</f>
        <v>215.557419486756</v>
      </c>
      <c r="Y86" s="33" t="n">
        <f aca="false">SUMIFS('Piece check'!$W$6:$W$1643,'Piece check'!$B$6:$B$1643,B86)</f>
        <v>520.038623715391</v>
      </c>
      <c r="Z86" s="33" t="n">
        <f aca="false">SUMIFS('Piece check'!$X$6:$X$1643,'Piece check'!$B$6:$B$1643,B86)</f>
        <v>84.6299795793794</v>
      </c>
      <c r="AA86" s="33" t="n">
        <f aca="false">SUMIFS('Piece check'!$Y$6:$Y$1643,'Piece check'!$B$6:$B$1643,B86)</f>
        <v>130.891213674451</v>
      </c>
      <c r="AB86" s="20" t="n">
        <f aca="false">MAX(0,X86+Y86-Z86-AA86)</f>
        <v>520.074849948317</v>
      </c>
      <c r="AC86" s="20" t="n">
        <f aca="false">(ROUNDUP(O86/PILE_SP,0)+1)*IF(N86&gt;=PILE_THR,PILE_N_LARGE,PILE_N_SMALL)</f>
        <v>46</v>
      </c>
      <c r="AD86" s="20" t="n">
        <f aca="false">2*U86</f>
        <v>59.9999999987825</v>
      </c>
      <c r="AE86" s="34" t="n">
        <f aca="false">IF(U86&gt;0,ROUNDUP(T86*SHEET_RATIO,0),0)</f>
        <v>5</v>
      </c>
      <c r="AF86" s="20" t="n">
        <f aca="false">AD86*AE86</f>
        <v>299.999999993913</v>
      </c>
      <c r="AG86" s="18" t="n">
        <f aca="false">MAX(0,GWL-(R86-DD_BELOW))</f>
        <v>1.73260656836079</v>
      </c>
      <c r="AH86" s="12" t="str">
        <f aca="false">IF(AG86=0,"Not required",IF(AG86&lt;=WP_LIMIT,"Single-stage wellpoints","Deep wells or two-stage wellpoints"))</f>
        <v>Single-stage wellpoints</v>
      </c>
      <c r="AI86" s="30" t="n">
        <f aca="false">MIN(_xlfn.MINIFS('Piece check'!$Z$6:$Z$1643,'Piece check'!$B$6:$B$1643,B86),_xlfn.MINIFS('Piece check'!$AA$6:$AA$1643,'Piece check'!$B$6:$B$1643,B86))</f>
        <v>0</v>
      </c>
      <c r="AJ86" s="30" t="n">
        <f aca="false">MIN(_xlfn.MINIFS('Piece check'!$AB$6:$AB$1643,'Piece check'!$B$6:$B$1643,B86),_xlfn.MINIFS('Piece check'!$AC$6:$AC$1643,'Piece check'!$B$6:$B$1643,B86))</f>
        <v>2.32162411570483</v>
      </c>
      <c r="AK86" s="12" t="str">
        <f aca="false">IF(AJ86&lt;FOS_FLOT,"Anchor pipe to piled slab (permanent straps)",IF(AI86&lt;FOS_FLOT,"Keep dewatering on until fill reaches FL, or strap to slab","No extra measure"))</f>
        <v>Keep dewatering on until fill reaches FL, or strap to slab</v>
      </c>
      <c r="AL86" s="35" t="n">
        <f aca="false">Activities!P887</f>
        <v>46438</v>
      </c>
      <c r="AM86" s="35" t="n">
        <f aca="false">Activities!Q896</f>
        <v>46621</v>
      </c>
      <c r="AN86" s="15" t="n">
        <v>174</v>
      </c>
      <c r="AO86" s="36" t="s">
        <v>2564</v>
      </c>
      <c r="AP86" s="36" t="s">
        <v>2625</v>
      </c>
      <c r="AQ86" s="36" t="s">
        <v>2626</v>
      </c>
      <c r="AR86" s="37" t="n">
        <f aca="false">Activities!P895-Activities!Q893</f>
        <v>-5</v>
      </c>
      <c r="AS86" s="37" t="n">
        <f aca="false">IF(Activities!K890=0,0,Activities!Q896-Activities!P890)</f>
        <v>150</v>
      </c>
    </row>
    <row r="87" customFormat="false" ht="15" hidden="false" customHeight="false" outlineLevel="0" collapsed="false">
      <c r="A87" s="15" t="s">
        <v>819</v>
      </c>
      <c r="B87" s="29" t="s">
        <v>866</v>
      </c>
      <c r="C87" s="15" t="s">
        <v>397</v>
      </c>
      <c r="D87" s="15" t="s">
        <v>2627</v>
      </c>
      <c r="E87" s="15" t="s">
        <v>2361</v>
      </c>
      <c r="F87" s="15" t="n">
        <v>28</v>
      </c>
      <c r="G87" s="15" t="s">
        <v>2362</v>
      </c>
      <c r="H87" s="15"/>
      <c r="I87" s="16" t="n">
        <v>0</v>
      </c>
      <c r="J87" s="15"/>
      <c r="K87" s="16" t="n">
        <v>0</v>
      </c>
      <c r="L87" s="15" t="s">
        <v>358</v>
      </c>
      <c r="M87" s="15" t="n">
        <v>0</v>
      </c>
      <c r="N87" s="30" t="n">
        <f aca="false">_xlfn.MAXIFS('Piece check'!$E$6:$E$1643,'Piece check'!$B$6:$B$1643,B87)</f>
        <v>2.06959646559489</v>
      </c>
      <c r="O87" s="31" t="n">
        <f aca="false">SUMIFS('Piece check'!$D$6:$D$1643,'Piece check'!$B$6:$B$1643,B87)</f>
        <v>17.1079999997659</v>
      </c>
      <c r="P87" s="32" t="n">
        <v>-5.46555867064862</v>
      </c>
      <c r="Q87" s="32" t="n">
        <v>-5.22068443613918</v>
      </c>
      <c r="R87" s="30" t="n">
        <f aca="false">_xlfn.MINIFS('Piece check'!$K$6:$K$1643,'Piece check'!$B$6:$B$1643,B87)</f>
        <v>-5.46555867064862</v>
      </c>
      <c r="S87" s="18" t="n">
        <f aca="false">MAX(0,GWL-R87)</f>
        <v>3.96555867064861</v>
      </c>
      <c r="T87" s="18" t="n">
        <f aca="false">MAX(0,NG-R87)</f>
        <v>4.76555867064861</v>
      </c>
      <c r="U87" s="31" t="n">
        <f aca="false">SUMIFS('Piece check'!$R$6:$R$1643,'Piece check'!$B$6:$B$1643,B87)</f>
        <v>17.1079999997659</v>
      </c>
      <c r="V87" s="21" t="n">
        <f aca="false">O87-U87</f>
        <v>0</v>
      </c>
      <c r="W87" s="12" t="str">
        <f aca="false">IF(U87&lt;0.05,"Open cut",IF(V87&lt;0.05,"Sheet piles","Mixed: "&amp;TEXT(U87,"0")&amp;" m sheet piles"))</f>
        <v>Sheet piles</v>
      </c>
      <c r="X87" s="33" t="n">
        <f aca="false">SUMIFS('Piece check'!$V$6:$V$1643,'Piece check'!$B$6:$B$1643,B87)</f>
        <v>323.266456221611</v>
      </c>
      <c r="Y87" s="33" t="n">
        <f aca="false">SUMIFS('Piece check'!$W$6:$W$1643,'Piece check'!$B$6:$B$1643,B87)</f>
        <v>0</v>
      </c>
      <c r="Z87" s="33" t="n">
        <f aca="false">SUMIFS('Piece check'!$X$6:$X$1643,'Piece check'!$B$6:$B$1643,B87)</f>
        <v>26.2573281663394</v>
      </c>
      <c r="AA87" s="33" t="n">
        <f aca="false">SUMIFS('Piece check'!$Y$6:$Y$1643,'Piece check'!$B$6:$B$1643,B87)</f>
        <v>57.5520066967219</v>
      </c>
      <c r="AB87" s="20" t="n">
        <f aca="false">MAX(0,X87+Y87-Z87-AA87)</f>
        <v>239.45712135855</v>
      </c>
      <c r="AC87" s="20" t="n">
        <f aca="false">(ROUNDUP(O87/PILE_SP,0)+1)*IF(N87&gt;=PILE_THR,PILE_N_LARGE,PILE_N_SMALL)</f>
        <v>14</v>
      </c>
      <c r="AD87" s="20" t="n">
        <f aca="false">2*U87</f>
        <v>34.2159999995318</v>
      </c>
      <c r="AE87" s="34" t="n">
        <f aca="false">IF(U87&gt;0,ROUNDUP(T87*SHEET_RATIO,0),0)</f>
        <v>10</v>
      </c>
      <c r="AF87" s="20" t="n">
        <f aca="false">AD87*AE87</f>
        <v>342.159999995318</v>
      </c>
      <c r="AG87" s="18" t="n">
        <f aca="false">MAX(0,GWL-(R87-DD_BELOW))</f>
        <v>4.46555867064862</v>
      </c>
      <c r="AH87" s="12" t="str">
        <f aca="false">IF(AG87=0,"Not required",IF(AG87&lt;=WP_LIMIT,"Single-stage wellpoints","Deep wells or two-stage wellpoints"))</f>
        <v>Single-stage wellpoints</v>
      </c>
      <c r="AI87" s="30" t="n">
        <f aca="false">MIN(_xlfn.MINIFS('Piece check'!$Z$6:$Z$1643,'Piece check'!$B$6:$B$1643,B87),_xlfn.MINIFS('Piece check'!$AA$6:$AA$1643,'Piece check'!$B$6:$B$1643,B87))</f>
        <v>1.49428103234117</v>
      </c>
      <c r="AJ87" s="30" t="n">
        <f aca="false">MIN(_xlfn.MINIFS('Piece check'!$AB$6:$AB$1643,'Piece check'!$B$6:$B$1643,B87),_xlfn.MINIFS('Piece check'!$AC$6:$AC$1643,'Piece check'!$B$6:$B$1643,B87))</f>
        <v>3.41328937906873</v>
      </c>
      <c r="AK87" s="12" t="str">
        <f aca="false">IF(AJ87&lt;FOS_FLOT,"Anchor pipe to piled slab (permanent straps)",IF(AI87&lt;FOS_FLOT,"Keep dewatering on until fill reaches FL, or strap to slab","No extra measure"))</f>
        <v>No extra measure</v>
      </c>
      <c r="AL87" s="35" t="n">
        <f aca="false">Activities!P898</f>
        <v>46357</v>
      </c>
      <c r="AM87" s="35" t="n">
        <f aca="false">Activities!Q907</f>
        <v>46448</v>
      </c>
      <c r="AN87" s="15" t="n">
        <v>4</v>
      </c>
      <c r="AO87" s="36" t="s">
        <v>2567</v>
      </c>
      <c r="AP87" s="36" t="s">
        <v>2628</v>
      </c>
      <c r="AQ87" s="36" t="s">
        <v>2629</v>
      </c>
      <c r="AR87" s="37" t="n">
        <f aca="false">Activities!P906-Activities!Q904</f>
        <v>31</v>
      </c>
      <c r="AS87" s="37" t="n">
        <f aca="false">IF(Activities!K901=0,0,Activities!Q907-Activities!P901)</f>
        <v>87</v>
      </c>
    </row>
    <row r="88" customFormat="false" ht="15" hidden="false" customHeight="false" outlineLevel="0" collapsed="false">
      <c r="A88" s="15" t="s">
        <v>819</v>
      </c>
      <c r="B88" s="29" t="s">
        <v>870</v>
      </c>
      <c r="C88" s="15" t="s">
        <v>397</v>
      </c>
      <c r="D88" s="15" t="s">
        <v>2630</v>
      </c>
      <c r="E88" s="15" t="s">
        <v>2361</v>
      </c>
      <c r="F88" s="15" t="n">
        <v>28</v>
      </c>
      <c r="G88" s="15" t="s">
        <v>2367</v>
      </c>
      <c r="H88" s="15" t="s">
        <v>299</v>
      </c>
      <c r="I88" s="35" t="n">
        <f aca="false">MAX(Structures!$H$6)</f>
        <v>0</v>
      </c>
      <c r="J88" s="15"/>
      <c r="K88" s="16" t="n">
        <v>0</v>
      </c>
      <c r="L88" s="15" t="s">
        <v>358</v>
      </c>
      <c r="M88" s="15" t="n">
        <v>0</v>
      </c>
      <c r="N88" s="30" t="n">
        <f aca="false">_xlfn.MAXIFS('Piece check'!$E$6:$E$1643,'Piece check'!$B$6:$B$1643,B88)</f>
        <v>2.06959646559489</v>
      </c>
      <c r="O88" s="31" t="n">
        <f aca="false">SUMIFS('Piece check'!$D$6:$D$1643,'Piece check'!$B$6:$B$1643,B88)</f>
        <v>6.00039105642283</v>
      </c>
      <c r="P88" s="32" t="n">
        <v>-5.22068443613918</v>
      </c>
      <c r="Q88" s="32" t="n">
        <v>-5.13479823279744</v>
      </c>
      <c r="R88" s="30" t="n">
        <f aca="false">_xlfn.MINIFS('Piece check'!$K$6:$K$1643,'Piece check'!$B$6:$B$1643,B88)</f>
        <v>-5.22068443613918</v>
      </c>
      <c r="S88" s="18" t="n">
        <f aca="false">MAX(0,GWL-R88)</f>
        <v>3.72068443613918</v>
      </c>
      <c r="T88" s="18" t="n">
        <f aca="false">MAX(0,NG-R88)</f>
        <v>4.52068443613918</v>
      </c>
      <c r="U88" s="31" t="n">
        <f aca="false">SUMIFS('Piece check'!$R$6:$R$1643,'Piece check'!$B$6:$B$1643,B88)</f>
        <v>6.00039105642283</v>
      </c>
      <c r="V88" s="21" t="n">
        <f aca="false">O88-U88</f>
        <v>0</v>
      </c>
      <c r="W88" s="12" t="str">
        <f aca="false">IF(U88&lt;0.05,"Open cut",IF(V88&lt;0.05,"Sheet piles","Mixed: "&amp;TEXT(U88,"0")&amp;" m sheet piles"))</f>
        <v>Sheet piles</v>
      </c>
      <c r="X88" s="33" t="n">
        <f aca="false">SUMIFS('Piece check'!$V$6:$V$1643,'Piece check'!$B$6:$B$1643,B88)</f>
        <v>109.342727916464</v>
      </c>
      <c r="Y88" s="33" t="n">
        <f aca="false">SUMIFS('Piece check'!$W$6:$W$1643,'Piece check'!$B$6:$B$1643,B88)</f>
        <v>0</v>
      </c>
      <c r="Z88" s="33" t="n">
        <f aca="false">SUMIFS('Piece check'!$X$6:$X$1643,'Piece check'!$B$6:$B$1643,B88)</f>
        <v>9.20938958949134</v>
      </c>
      <c r="AA88" s="33" t="n">
        <f aca="false">SUMIFS('Piece check'!$Y$6:$Y$1643,'Piece check'!$B$6:$B$1643,B88)</f>
        <v>20.1855591692146</v>
      </c>
      <c r="AB88" s="20" t="n">
        <f aca="false">MAX(0,X88+Y88-Z88-AA88)</f>
        <v>79.9477791577579</v>
      </c>
      <c r="AC88" s="20" t="n">
        <f aca="false">(ROUNDUP(O88/PILE_SP,0)+1)*IF(N88&gt;=PILE_THR,PILE_N_LARGE,PILE_N_SMALL)</f>
        <v>8</v>
      </c>
      <c r="AD88" s="20" t="n">
        <f aca="false">2*U88</f>
        <v>12.0007821128457</v>
      </c>
      <c r="AE88" s="34" t="n">
        <f aca="false">IF(U88&gt;0,ROUNDUP(T88*SHEET_RATIO,0),0)</f>
        <v>10</v>
      </c>
      <c r="AF88" s="20" t="n">
        <f aca="false">AD88*AE88</f>
        <v>120.007821128457</v>
      </c>
      <c r="AG88" s="18" t="n">
        <f aca="false">MAX(0,GWL-(R88-DD_BELOW))</f>
        <v>4.22068443613918</v>
      </c>
      <c r="AH88" s="12" t="str">
        <f aca="false">IF(AG88=0,"Not required",IF(AG88&lt;=WP_LIMIT,"Single-stage wellpoints","Deep wells or two-stage wellpoints"))</f>
        <v>Single-stage wellpoints</v>
      </c>
      <c r="AI88" s="30" t="n">
        <f aca="false">MIN(_xlfn.MINIFS('Piece check'!$Z$6:$Z$1643,'Piece check'!$B$6:$B$1643,B88),_xlfn.MINIFS('Piece check'!$AA$6:$AA$1643,'Piece check'!$B$6:$B$1643,B88))</f>
        <v>1.45016842340465</v>
      </c>
      <c r="AJ88" s="30" t="n">
        <f aca="false">MIN(_xlfn.MINIFS('Piece check'!$AB$6:$AB$1643,'Piece check'!$B$6:$B$1643,B88),_xlfn.MINIFS('Piece check'!$AC$6:$AC$1643,'Piece check'!$B$6:$B$1643,B88))</f>
        <v>3.36917677013221</v>
      </c>
      <c r="AK88" s="12" t="str">
        <f aca="false">IF(AJ88&lt;FOS_FLOT,"Anchor pipe to piled slab (permanent straps)",IF(AI88&lt;FOS_FLOT,"Keep dewatering on until fill reaches FL, or strap to slab","No extra measure"))</f>
        <v>No extra measure</v>
      </c>
      <c r="AL88" s="35" t="n">
        <f aca="false">Activities!P909</f>
        <v>46358</v>
      </c>
      <c r="AM88" s="35" t="n">
        <f aca="false">Activities!Q918</f>
        <v>46448</v>
      </c>
      <c r="AN88" s="15" t="n">
        <v>5</v>
      </c>
      <c r="AO88" s="36" t="s">
        <v>2564</v>
      </c>
      <c r="AP88" s="36" t="s">
        <v>2631</v>
      </c>
      <c r="AQ88" s="36" t="s">
        <v>2632</v>
      </c>
      <c r="AR88" s="37" t="n">
        <f aca="false">Activities!P917-Activities!Q915</f>
        <v>26</v>
      </c>
      <c r="AS88" s="37" t="n">
        <f aca="false">IF(Activities!K912=0,0,Activities!Q918-Activities!P912)</f>
        <v>87</v>
      </c>
    </row>
    <row r="89" customFormat="false" ht="15" hidden="false" customHeight="false" outlineLevel="0" collapsed="false">
      <c r="A89" s="15" t="s">
        <v>1341</v>
      </c>
      <c r="B89" s="29" t="s">
        <v>1453</v>
      </c>
      <c r="C89" s="15" t="s">
        <v>397</v>
      </c>
      <c r="D89" s="15" t="s">
        <v>2633</v>
      </c>
      <c r="E89" s="15" t="s">
        <v>2518</v>
      </c>
      <c r="F89" s="15" t="n">
        <v>28</v>
      </c>
      <c r="G89" s="15" t="s">
        <v>2362</v>
      </c>
      <c r="H89" s="15"/>
      <c r="I89" s="16" t="n">
        <v>0</v>
      </c>
      <c r="J89" s="15"/>
      <c r="K89" s="16" t="n">
        <v>0</v>
      </c>
      <c r="L89" s="15" t="s">
        <v>358</v>
      </c>
      <c r="M89" s="15" t="n">
        <v>2</v>
      </c>
      <c r="N89" s="30" t="n">
        <f aca="false">_xlfn.MAXIFS('Piece check'!$E$6:$E$1643,'Piece check'!$B$6:$B$1643,B89)</f>
        <v>2.06960342614359</v>
      </c>
      <c r="O89" s="31" t="n">
        <f aca="false">SUMIFS('Piece check'!$D$6:$D$1643,'Piece check'!$B$6:$B$1643,B89)</f>
        <v>20.1538413099649</v>
      </c>
      <c r="P89" s="32" t="n">
        <v>-4.63479949744693</v>
      </c>
      <c r="Q89" s="32" t="n">
        <v>-4.63480171307179</v>
      </c>
      <c r="R89" s="30" t="n">
        <f aca="false">_xlfn.MINIFS('Piece check'!$K$6:$K$1643,'Piece check'!$B$6:$B$1643,B89)</f>
        <v>-4.63480171307179</v>
      </c>
      <c r="S89" s="18" t="n">
        <f aca="false">MAX(0,GWL-R89)</f>
        <v>3.13480171307179</v>
      </c>
      <c r="T89" s="18" t="n">
        <f aca="false">MAX(0,NG-R89)</f>
        <v>3.93480171307179</v>
      </c>
      <c r="U89" s="31" t="n">
        <f aca="false">SUMIFS('Piece check'!$R$6:$R$1643,'Piece check'!$B$6:$B$1643,B89)</f>
        <v>20.1538413099649</v>
      </c>
      <c r="V89" s="21" t="n">
        <f aca="false">O89-U89</f>
        <v>0</v>
      </c>
      <c r="W89" s="12" t="str">
        <f aca="false">IF(U89&lt;0.05,"Open cut",IF(V89&lt;0.05,"Sheet piles","Mixed: "&amp;TEXT(U89,"0")&amp;" m sheet piles"))</f>
        <v>Sheet piles</v>
      </c>
      <c r="X89" s="33" t="n">
        <f aca="false">SUMIFS('Piece check'!$V$6:$V$1643,'Piece check'!$B$6:$B$1643,B89)</f>
        <v>322.724906113274</v>
      </c>
      <c r="Y89" s="33" t="n">
        <f aca="false">SUMIFS('Piece check'!$W$6:$W$1643,'Piece check'!$B$6:$B$1643,B89)</f>
        <v>0</v>
      </c>
      <c r="Z89" s="33" t="n">
        <f aca="false">SUMIFS('Piece check'!$X$6:$X$1643,'Piece check'!$B$6:$B$1643,B89)</f>
        <v>30.9321318970791</v>
      </c>
      <c r="AA89" s="33" t="n">
        <f aca="false">SUMIFS('Piece check'!$Y$6:$Y$1643,'Piece check'!$B$6:$B$1643,B89)</f>
        <v>67.798677798845</v>
      </c>
      <c r="AB89" s="20" t="n">
        <f aca="false">MAX(0,X89+Y89-Z89-AA89)</f>
        <v>223.99409641735</v>
      </c>
      <c r="AC89" s="20" t="n">
        <f aca="false">(ROUNDUP(O89/PILE_SP,0)+1)*IF(N89&gt;=PILE_THR,PILE_N_LARGE,PILE_N_SMALL)</f>
        <v>16</v>
      </c>
      <c r="AD89" s="20" t="n">
        <f aca="false">2*U89</f>
        <v>40.3076826199297</v>
      </c>
      <c r="AE89" s="34" t="n">
        <f aca="false">IF(U89&gt;0,ROUNDUP(T89*SHEET_RATIO,0),0)</f>
        <v>8</v>
      </c>
      <c r="AF89" s="20" t="n">
        <f aca="false">AD89*AE89</f>
        <v>322.461460959438</v>
      </c>
      <c r="AG89" s="18" t="n">
        <f aca="false">MAX(0,GWL-(R89-DD_BELOW))</f>
        <v>3.63480171307179</v>
      </c>
      <c r="AH89" s="12" t="str">
        <f aca="false">IF(AG89=0,"Not required",IF(AG89&lt;=WP_LIMIT,"Single-stage wellpoints","Deep wells or two-stage wellpoints"))</f>
        <v>Single-stage wellpoints</v>
      </c>
      <c r="AI89" s="30" t="n">
        <f aca="false">MIN(_xlfn.MINIFS('Piece check'!$Z$6:$Z$1643,'Piece check'!$B$6:$B$1643,B89),_xlfn.MINIFS('Piece check'!$AA$6:$AA$1643,'Piece check'!$B$6:$B$1643,B89))</f>
        <v>1.19335415241118</v>
      </c>
      <c r="AJ89" s="30" t="n">
        <f aca="false">MIN(_xlfn.MINIFS('Piece check'!$AB$6:$AB$1643,'Piece check'!$B$6:$B$1643,B89),_xlfn.MINIFS('Piece check'!$AC$6:$AC$1643,'Piece check'!$B$6:$B$1643,B89))</f>
        <v>3.11235604507567</v>
      </c>
      <c r="AK89" s="12" t="str">
        <f aca="false">IF(AJ89&lt;FOS_FLOT,"Anchor pipe to piled slab (permanent straps)",IF(AI89&lt;FOS_FLOT,"Keep dewatering on until fill reaches FL, or strap to slab","No extra measure"))</f>
        <v>No extra measure</v>
      </c>
      <c r="AL89" s="35" t="n">
        <f aca="false">Activities!P920</f>
        <v>46358</v>
      </c>
      <c r="AM89" s="35" t="n">
        <f aca="false">Activities!Q929</f>
        <v>46450</v>
      </c>
      <c r="AN89" s="15" t="n">
        <v>6</v>
      </c>
      <c r="AO89" s="36" t="s">
        <v>2634</v>
      </c>
      <c r="AP89" s="36" t="s">
        <v>2635</v>
      </c>
      <c r="AQ89" s="36" t="s">
        <v>2636</v>
      </c>
      <c r="AR89" s="37" t="n">
        <f aca="false">Activities!P928-Activities!Q926</f>
        <v>27</v>
      </c>
      <c r="AS89" s="37" t="n">
        <f aca="false">IF(Activities!K923=0,0,Activities!Q929-Activities!P923)</f>
        <v>53</v>
      </c>
    </row>
    <row r="90" customFormat="false" ht="15" hidden="false" customHeight="false" outlineLevel="0" collapsed="false">
      <c r="A90" s="15" t="s">
        <v>819</v>
      </c>
      <c r="B90" s="29" t="s">
        <v>858</v>
      </c>
      <c r="C90" s="15" t="s">
        <v>397</v>
      </c>
      <c r="D90" s="15" t="s">
        <v>2637</v>
      </c>
      <c r="E90" s="15" t="s">
        <v>2361</v>
      </c>
      <c r="F90" s="15" t="n">
        <v>28</v>
      </c>
      <c r="G90" s="15" t="s">
        <v>2362</v>
      </c>
      <c r="H90" s="15"/>
      <c r="I90" s="16" t="n">
        <v>0</v>
      </c>
      <c r="J90" s="15"/>
      <c r="K90" s="16" t="n">
        <v>0</v>
      </c>
      <c r="L90" s="15" t="s">
        <v>358</v>
      </c>
      <c r="M90" s="15" t="n">
        <v>2</v>
      </c>
      <c r="N90" s="30" t="n">
        <f aca="false">_xlfn.MAXIFS('Piece check'!$E$6:$E$1643,'Piece check'!$B$6:$B$1643,B90)</f>
        <v>2.06959914376084</v>
      </c>
      <c r="O90" s="31" t="n">
        <f aca="false">SUMIFS('Piece check'!$D$6:$D$1643,'Piece check'!$B$6:$B$1643,B90)</f>
        <v>42.1000000002998</v>
      </c>
      <c r="P90" s="32" t="n">
        <v>-6.06815953430271</v>
      </c>
      <c r="Q90" s="32" t="n">
        <v>-5.46555867064862</v>
      </c>
      <c r="R90" s="30" t="n">
        <f aca="false">_xlfn.MINIFS('Piece check'!$K$6:$K$1643,'Piece check'!$B$6:$B$1643,B90)</f>
        <v>-6.06815953430271</v>
      </c>
      <c r="S90" s="18" t="n">
        <f aca="false">MAX(0,GWL-R90)</f>
        <v>4.56815953430271</v>
      </c>
      <c r="T90" s="18" t="n">
        <f aca="false">MAX(0,NG-R90)</f>
        <v>5.36815953430271</v>
      </c>
      <c r="U90" s="31" t="n">
        <f aca="false">SUMIFS('Piece check'!$R$6:$R$1643,'Piece check'!$B$6:$B$1643,B90)</f>
        <v>42.1000000002998</v>
      </c>
      <c r="V90" s="21" t="n">
        <f aca="false">O90-U90</f>
        <v>0</v>
      </c>
      <c r="W90" s="12" t="str">
        <f aca="false">IF(U90&lt;0.05,"Open cut",IF(V90&lt;0.05,"Sheet piles","Mixed: "&amp;TEXT(U90,"0")&amp;" m sheet piles"))</f>
        <v>Sheet piles</v>
      </c>
      <c r="X90" s="33" t="n">
        <f aca="false">SUMIFS('Piece check'!$V$6:$V$1643,'Piece check'!$B$6:$B$1643,B90)</f>
        <v>868.104834099015</v>
      </c>
      <c r="Y90" s="33" t="n">
        <f aca="false">SUMIFS('Piece check'!$W$6:$W$1643,'Piece check'!$B$6:$B$1643,B90)</f>
        <v>0</v>
      </c>
      <c r="Z90" s="33" t="n">
        <f aca="false">SUMIFS('Piece check'!$X$6:$X$1643,'Piece check'!$B$6:$B$1643,B90)</f>
        <v>64.6150130373224</v>
      </c>
      <c r="AA90" s="33" t="n">
        <f aca="false">SUMIFS('Piece check'!$Y$6:$Y$1643,'Piece check'!$B$6:$B$1643,B90)</f>
        <v>141.626157886585</v>
      </c>
      <c r="AB90" s="20" t="n">
        <f aca="false">MAX(0,X90+Y90-Z90-AA90)</f>
        <v>661.863663175108</v>
      </c>
      <c r="AC90" s="20" t="n">
        <f aca="false">(ROUNDUP(O90/PILE_SP,0)+1)*IF(N90&gt;=PILE_THR,PILE_N_LARGE,PILE_N_SMALL)</f>
        <v>32</v>
      </c>
      <c r="AD90" s="20" t="n">
        <f aca="false">2*U90</f>
        <v>84.2000000005996</v>
      </c>
      <c r="AE90" s="34" t="n">
        <f aca="false">IF(U90&gt;0,ROUNDUP(T90*SHEET_RATIO,0),0)</f>
        <v>11</v>
      </c>
      <c r="AF90" s="20" t="n">
        <f aca="false">AD90*AE90</f>
        <v>926.200000006595</v>
      </c>
      <c r="AG90" s="18" t="n">
        <f aca="false">MAX(0,GWL-(R90-DD_BELOW))</f>
        <v>5.06815953430271</v>
      </c>
      <c r="AH90" s="12" t="str">
        <f aca="false">IF(AG90=0,"Not required",IF(AG90&lt;=WP_LIMIT,"Single-stage wellpoints","Deep wells or two-stage wellpoints"))</f>
        <v>Deep wells or two-stage wellpoints</v>
      </c>
      <c r="AI90" s="30" t="n">
        <f aca="false">MIN(_xlfn.MINIFS('Piece check'!$Z$6:$Z$1643,'Piece check'!$B$6:$B$1643,B90),_xlfn.MINIFS('Piece check'!$AA$6:$AA$1643,'Piece check'!$B$6:$B$1643,B90))</f>
        <v>1.62005258732033</v>
      </c>
      <c r="AJ90" s="30" t="n">
        <f aca="false">MIN(_xlfn.MINIFS('Piece check'!$AB$6:$AB$1643,'Piece check'!$B$6:$B$1643,B90),_xlfn.MINIFS('Piece check'!$AC$6:$AC$1643,'Piece check'!$B$6:$B$1643,B90))</f>
        <v>3.53906093404789</v>
      </c>
      <c r="AK90" s="12" t="str">
        <f aca="false">IF(AJ90&lt;FOS_FLOT,"Anchor pipe to piled slab (permanent straps)",IF(AI90&lt;FOS_FLOT,"Keep dewatering on until fill reaches FL, or strap to slab","No extra measure"))</f>
        <v>No extra measure</v>
      </c>
      <c r="AL90" s="35" t="n">
        <f aca="false">Activities!P931</f>
        <v>46362</v>
      </c>
      <c r="AM90" s="35" t="n">
        <f aca="false">Activities!Q940</f>
        <v>46453</v>
      </c>
      <c r="AN90" s="15" t="n">
        <v>7</v>
      </c>
      <c r="AO90" s="36" t="s">
        <v>2567</v>
      </c>
      <c r="AP90" s="36" t="s">
        <v>2638</v>
      </c>
      <c r="AQ90" s="36" t="s">
        <v>2639</v>
      </c>
      <c r="AR90" s="37" t="n">
        <f aca="false">Activities!P939-Activities!Q937</f>
        <v>20</v>
      </c>
      <c r="AS90" s="37" t="n">
        <f aca="false">IF(Activities!K934=0,0,Activities!Q940-Activities!P934)</f>
        <v>54</v>
      </c>
    </row>
    <row r="91" customFormat="false" ht="15" hidden="false" customHeight="false" outlineLevel="0" collapsed="false">
      <c r="A91" s="15" t="s">
        <v>695</v>
      </c>
      <c r="B91" s="29" t="s">
        <v>712</v>
      </c>
      <c r="C91" s="15" t="s">
        <v>397</v>
      </c>
      <c r="D91" s="15" t="s">
        <v>2640</v>
      </c>
      <c r="E91" s="15" t="s">
        <v>2361</v>
      </c>
      <c r="F91" s="15" t="n">
        <v>28</v>
      </c>
      <c r="G91" s="15" t="s">
        <v>2362</v>
      </c>
      <c r="H91" s="15"/>
      <c r="I91" s="16" t="n">
        <v>0</v>
      </c>
      <c r="J91" s="15"/>
      <c r="K91" s="16" t="n">
        <v>0</v>
      </c>
      <c r="L91" s="15" t="s">
        <v>358</v>
      </c>
      <c r="M91" s="15" t="n">
        <v>0</v>
      </c>
      <c r="N91" s="30" t="n">
        <f aca="false">_xlfn.MAXIFS('Piece check'!$E$6:$E$1643,'Piece check'!$B$6:$B$1643,B91)</f>
        <v>2.06959806440608</v>
      </c>
      <c r="O91" s="31" t="n">
        <f aca="false">SUMIFS('Piece check'!$D$6:$D$1643,'Piece check'!$B$6:$B$1643,B91)</f>
        <v>25.2269999999069</v>
      </c>
      <c r="P91" s="32" t="n">
        <v>-4.58014973082605</v>
      </c>
      <c r="Q91" s="32" t="n">
        <v>-5.02822327216642</v>
      </c>
      <c r="R91" s="30" t="n">
        <f aca="false">_xlfn.MINIFS('Piece check'!$K$6:$K$1643,'Piece check'!$B$6:$B$1643,B91)</f>
        <v>-5.02822327216642</v>
      </c>
      <c r="S91" s="18" t="n">
        <f aca="false">MAX(0,GWL-R91)</f>
        <v>3.52822327216642</v>
      </c>
      <c r="T91" s="18" t="n">
        <f aca="false">MAX(0,NG-R91)</f>
        <v>4.32822327216642</v>
      </c>
      <c r="U91" s="31" t="n">
        <f aca="false">SUMIFS('Piece check'!$R$6:$R$1643,'Piece check'!$B$6:$B$1643,B91)</f>
        <v>25.2269999999069</v>
      </c>
      <c r="V91" s="21" t="n">
        <f aca="false">O91-U91</f>
        <v>0</v>
      </c>
      <c r="W91" s="12" t="str">
        <f aca="false">IF(U91&lt;0.05,"Open cut",IF(V91&lt;0.05,"Sheet piles","Mixed: "&amp;TEXT(U91,"0")&amp;" m sheet piles"))</f>
        <v>Sheet piles</v>
      </c>
      <c r="X91" s="33" t="n">
        <f aca="false">SUMIFS('Piece check'!$V$6:$V$1643,'Piece check'!$B$6:$B$1643,B91)</f>
        <v>421.35117846338</v>
      </c>
      <c r="Y91" s="33" t="n">
        <f aca="false">SUMIFS('Piece check'!$W$6:$W$1643,'Piece check'!$B$6:$B$1643,B91)</f>
        <v>0</v>
      </c>
      <c r="Z91" s="33" t="n">
        <f aca="false">SUMIFS('Piece check'!$X$6:$X$1643,'Piece check'!$B$6:$B$1643,B91)</f>
        <v>38.7183751852432</v>
      </c>
      <c r="AA91" s="33" t="n">
        <f aca="false">SUMIFS('Piece check'!$Y$6:$Y$1643,'Piece check'!$B$6:$B$1643,B91)</f>
        <v>84.8647835019538</v>
      </c>
      <c r="AB91" s="20" t="n">
        <f aca="false">MAX(0,X91+Y91-Z91-AA91)</f>
        <v>297.768019776183</v>
      </c>
      <c r="AC91" s="20" t="n">
        <f aca="false">(ROUNDUP(O91/PILE_SP,0)+1)*IF(N91&gt;=PILE_THR,PILE_N_LARGE,PILE_N_SMALL)</f>
        <v>20</v>
      </c>
      <c r="AD91" s="20" t="n">
        <f aca="false">2*U91</f>
        <v>50.4539999998138</v>
      </c>
      <c r="AE91" s="34" t="n">
        <f aca="false">IF(U91&gt;0,ROUNDUP(T91*SHEET_RATIO,0),0)</f>
        <v>9</v>
      </c>
      <c r="AF91" s="20" t="n">
        <f aca="false">AD91*AE91</f>
        <v>454.085999998324</v>
      </c>
      <c r="AG91" s="18" t="n">
        <f aca="false">MAX(0,GWL-(R91-DD_BELOW))</f>
        <v>4.02822327216642</v>
      </c>
      <c r="AH91" s="12" t="str">
        <f aca="false">IF(AG91=0,"Not required",IF(AG91&lt;=WP_LIMIT,"Single-stage wellpoints","Deep wells or two-stage wellpoints"))</f>
        <v>Single-stage wellpoints</v>
      </c>
      <c r="AI91" s="30" t="n">
        <f aca="false">MIN(_xlfn.MINIFS('Piece check'!$Z$6:$Z$1643,'Piece check'!$B$6:$B$1643,B91),_xlfn.MINIFS('Piece check'!$AA$6:$AA$1643,'Piece check'!$B$6:$B$1643,B91))</f>
        <v>1.16528983573459</v>
      </c>
      <c r="AJ91" s="30" t="n">
        <f aca="false">MIN(_xlfn.MINIFS('Piece check'!$AB$6:$AB$1643,'Piece check'!$B$6:$B$1643,B91),_xlfn.MINIFS('Piece check'!$AC$6:$AC$1643,'Piece check'!$B$6:$B$1643,B91))</f>
        <v>3.08429669998491</v>
      </c>
      <c r="AK91" s="12" t="str">
        <f aca="false">IF(AJ91&lt;FOS_FLOT,"Anchor pipe to piled slab (permanent straps)",IF(AI91&lt;FOS_FLOT,"Keep dewatering on until fill reaches FL, or strap to slab","No extra measure"))</f>
        <v>No extra measure</v>
      </c>
      <c r="AL91" s="35" t="n">
        <f aca="false">Activities!P942</f>
        <v>46367</v>
      </c>
      <c r="AM91" s="35" t="n">
        <f aca="false">Activities!Q951</f>
        <v>46456</v>
      </c>
      <c r="AN91" s="15" t="n">
        <v>8</v>
      </c>
      <c r="AO91" s="36" t="s">
        <v>2567</v>
      </c>
      <c r="AP91" s="36" t="s">
        <v>2641</v>
      </c>
      <c r="AQ91" s="36" t="s">
        <v>2642</v>
      </c>
      <c r="AR91" s="37" t="n">
        <f aca="false">Activities!P950-Activities!Q948</f>
        <v>16</v>
      </c>
      <c r="AS91" s="37" t="n">
        <f aca="false">IF(Activities!K945=0,0,Activities!Q951-Activities!P945)</f>
        <v>51</v>
      </c>
    </row>
    <row r="92" customFormat="false" ht="15" hidden="false" customHeight="false" outlineLevel="0" collapsed="false">
      <c r="A92" s="15" t="s">
        <v>695</v>
      </c>
      <c r="B92" s="29" t="s">
        <v>717</v>
      </c>
      <c r="C92" s="15" t="s">
        <v>397</v>
      </c>
      <c r="D92" s="15" t="s">
        <v>2643</v>
      </c>
      <c r="E92" s="15" t="s">
        <v>2361</v>
      </c>
      <c r="F92" s="15" t="n">
        <v>28</v>
      </c>
      <c r="G92" s="15" t="s">
        <v>2367</v>
      </c>
      <c r="H92" s="15" t="s">
        <v>299</v>
      </c>
      <c r="I92" s="35" t="n">
        <f aca="false">MAX(Structures!$H$6)</f>
        <v>0</v>
      </c>
      <c r="J92" s="15"/>
      <c r="K92" s="16" t="n">
        <v>0</v>
      </c>
      <c r="L92" s="15" t="s">
        <v>358</v>
      </c>
      <c r="M92" s="15" t="n">
        <v>0</v>
      </c>
      <c r="N92" s="30" t="n">
        <f aca="false">_xlfn.MAXIFS('Piece check'!$E$6:$E$1643,'Piece check'!$B$6:$B$1643,B92)</f>
        <v>2.06959806440608</v>
      </c>
      <c r="O92" s="31" t="n">
        <f aca="false">SUMIFS('Piece check'!$D$6:$D$1643,'Piece check'!$B$6:$B$1643,B92)</f>
        <v>6.00032461263704</v>
      </c>
      <c r="P92" s="32" t="n">
        <v>-5.02822327216642</v>
      </c>
      <c r="Q92" s="32" t="n">
        <v>-5.13479903220304</v>
      </c>
      <c r="R92" s="30" t="n">
        <f aca="false">_xlfn.MINIFS('Piece check'!$K$6:$K$1643,'Piece check'!$B$6:$B$1643,B92)</f>
        <v>-5.13479903220304</v>
      </c>
      <c r="S92" s="18" t="n">
        <f aca="false">MAX(0,GWL-R92)</f>
        <v>3.63479903220304</v>
      </c>
      <c r="T92" s="18" t="n">
        <f aca="false">MAX(0,NG-R92)</f>
        <v>4.43479903220304</v>
      </c>
      <c r="U92" s="31" t="n">
        <f aca="false">SUMIFS('Piece check'!$R$6:$R$1643,'Piece check'!$B$6:$B$1643,B92)</f>
        <v>6.00032461263704</v>
      </c>
      <c r="V92" s="21" t="n">
        <f aca="false">O92-U92</f>
        <v>0</v>
      </c>
      <c r="W92" s="12" t="str">
        <f aca="false">IF(U92&lt;0.05,"Open cut",IF(V92&lt;0.05,"Sheet piles","Mixed: "&amp;TEXT(U92,"0")&amp;" m sheet piles"))</f>
        <v>Sheet piles</v>
      </c>
      <c r="X92" s="33" t="n">
        <f aca="false">SUMIFS('Piece check'!$V$6:$V$1643,'Piece check'!$B$6:$B$1643,B92)</f>
        <v>106.991723989087</v>
      </c>
      <c r="Y92" s="33" t="n">
        <f aca="false">SUMIFS('Piece check'!$W$6:$W$1643,'Piece check'!$B$6:$B$1643,B92)</f>
        <v>0</v>
      </c>
      <c r="Z92" s="33" t="n">
        <f aca="false">SUMIFS('Piece check'!$X$6:$X$1643,'Piece check'!$B$6:$B$1643,B92)</f>
        <v>9.2092924083794</v>
      </c>
      <c r="AA92" s="33" t="n">
        <f aca="false">SUMIFS('Piece check'!$Y$6:$Y$1643,'Piece check'!$B$6:$B$1643,B92)</f>
        <v>20.1853668369115</v>
      </c>
      <c r="AB92" s="20" t="n">
        <f aca="false">MAX(0,X92+Y92-Z92-AA92)</f>
        <v>77.5970647437959</v>
      </c>
      <c r="AC92" s="20" t="n">
        <f aca="false">(ROUNDUP(O92/PILE_SP,0)+1)*IF(N92&gt;=PILE_THR,PILE_N_LARGE,PILE_N_SMALL)</f>
        <v>8</v>
      </c>
      <c r="AD92" s="20" t="n">
        <f aca="false">2*U92</f>
        <v>12.0006492252741</v>
      </c>
      <c r="AE92" s="34" t="n">
        <f aca="false">IF(U92&gt;0,ROUNDUP(T92*SHEET_RATIO,0),0)</f>
        <v>9</v>
      </c>
      <c r="AF92" s="20" t="n">
        <f aca="false">AD92*AE92</f>
        <v>108.005843027467</v>
      </c>
      <c r="AG92" s="18" t="n">
        <f aca="false">MAX(0,GWL-(R92-DD_BELOW))</f>
        <v>4.13479903220304</v>
      </c>
      <c r="AH92" s="12" t="str">
        <f aca="false">IF(AG92=0,"Not required",IF(AG92&lt;=WP_LIMIT,"Single-stage wellpoints","Deep wells or two-stage wellpoints"))</f>
        <v>Single-stage wellpoints</v>
      </c>
      <c r="AI92" s="30" t="n">
        <f aca="false">MIN(_xlfn.MINIFS('Piece check'!$Z$6:$Z$1643,'Piece check'!$B$6:$B$1643,B92),_xlfn.MINIFS('Piece check'!$AA$6:$AA$1643,'Piece check'!$B$6:$B$1643,B92))</f>
        <v>1.39542781908289</v>
      </c>
      <c r="AJ92" s="30" t="n">
        <f aca="false">MIN(_xlfn.MINIFS('Piece check'!$AB$6:$AB$1643,'Piece check'!$B$6:$B$1643,B92),_xlfn.MINIFS('Piece check'!$AC$6:$AC$1643,'Piece check'!$B$6:$B$1643,B92))</f>
        <v>3.31443468333321</v>
      </c>
      <c r="AK92" s="12" t="str">
        <f aca="false">IF(AJ92&lt;FOS_FLOT,"Anchor pipe to piled slab (permanent straps)",IF(AI92&lt;FOS_FLOT,"Keep dewatering on until fill reaches FL, or strap to slab","No extra measure"))</f>
        <v>No extra measure</v>
      </c>
      <c r="AL92" s="35" t="n">
        <f aca="false">Activities!P953</f>
        <v>46376</v>
      </c>
      <c r="AM92" s="35" t="n">
        <f aca="false">Activities!Q962</f>
        <v>46448</v>
      </c>
      <c r="AN92" s="15" t="n">
        <v>9</v>
      </c>
      <c r="AO92" s="36" t="s">
        <v>2564</v>
      </c>
      <c r="AP92" s="36" t="s">
        <v>2644</v>
      </c>
      <c r="AQ92" s="36" t="s">
        <v>2645</v>
      </c>
      <c r="AR92" s="37" t="n">
        <f aca="false">Activities!P961-Activities!Q959</f>
        <v>4</v>
      </c>
      <c r="AS92" s="37" t="n">
        <f aca="false">IF(Activities!K956=0,0,Activities!Q962-Activities!P956)</f>
        <v>69</v>
      </c>
    </row>
    <row r="93" customFormat="false" ht="15" hidden="false" customHeight="false" outlineLevel="0" collapsed="false">
      <c r="A93" s="15" t="s">
        <v>1240</v>
      </c>
      <c r="B93" s="29" t="s">
        <v>1241</v>
      </c>
      <c r="C93" s="15" t="s">
        <v>397</v>
      </c>
      <c r="D93" s="15" t="s">
        <v>2646</v>
      </c>
      <c r="E93" s="15" t="s">
        <v>2361</v>
      </c>
      <c r="F93" s="15" t="n">
        <v>28</v>
      </c>
      <c r="G93" s="15" t="s">
        <v>2362</v>
      </c>
      <c r="H93" s="15"/>
      <c r="I93" s="16" t="n">
        <v>0</v>
      </c>
      <c r="J93" s="15"/>
      <c r="K93" s="16" t="n">
        <v>0</v>
      </c>
      <c r="L93" s="15" t="s">
        <v>358</v>
      </c>
      <c r="M93" s="15" t="n">
        <v>4</v>
      </c>
      <c r="N93" s="30" t="n">
        <f aca="false">_xlfn.MAXIFS('Piece check'!$E$6:$E$1643,'Piece check'!$B$6:$B$1643,B93)</f>
        <v>2.06960150139187</v>
      </c>
      <c r="O93" s="31" t="n">
        <f aca="false">SUMIFS('Piece check'!$D$6:$D$1643,'Piece check'!$B$6:$B$1643,B93)</f>
        <v>37.4000000001583</v>
      </c>
      <c r="P93" s="32" t="n">
        <v>-4.62479824407595</v>
      </c>
      <c r="Q93" s="32" t="n">
        <v>-4.62479887584955</v>
      </c>
      <c r="R93" s="30" t="n">
        <f aca="false">_xlfn.MINIFS('Piece check'!$K$6:$K$1643,'Piece check'!$B$6:$B$1643,B93)</f>
        <v>-4.62480075069593</v>
      </c>
      <c r="S93" s="18" t="n">
        <f aca="false">MAX(0,GWL-R93)</f>
        <v>3.12480075069593</v>
      </c>
      <c r="T93" s="18" t="n">
        <f aca="false">MAX(0,NG-R93)</f>
        <v>3.92480075069593</v>
      </c>
      <c r="U93" s="31" t="n">
        <f aca="false">SUMIFS('Piece check'!$R$6:$R$1643,'Piece check'!$B$6:$B$1643,B93)</f>
        <v>37.4000000001583</v>
      </c>
      <c r="V93" s="21" t="n">
        <f aca="false">O93-U93</f>
        <v>0</v>
      </c>
      <c r="W93" s="12" t="str">
        <f aca="false">IF(U93&lt;0.05,"Open cut",IF(V93&lt;0.05,"Sheet piles","Mixed: "&amp;TEXT(U93,"0")&amp;" m sheet piles"))</f>
        <v>Sheet piles</v>
      </c>
      <c r="X93" s="33" t="n">
        <f aca="false">SUMIFS('Piece check'!$V$6:$V$1643,'Piece check'!$B$6:$B$1643,B93)</f>
        <v>597.114629996438</v>
      </c>
      <c r="Y93" s="33" t="n">
        <f aca="false">SUMIFS('Piece check'!$W$6:$W$1643,'Piece check'!$B$6:$B$1643,B93)</f>
        <v>0</v>
      </c>
      <c r="Z93" s="33" t="n">
        <f aca="false">SUMIFS('Piece check'!$X$6:$X$1643,'Piece check'!$B$6:$B$1643,B93)</f>
        <v>57.3803455610141</v>
      </c>
      <c r="AA93" s="33" t="n">
        <f aca="false">SUMIFS('Piece check'!$Y$6:$Y$1643,'Piece check'!$B$6:$B$1643,B93)</f>
        <v>125.678693946143</v>
      </c>
      <c r="AB93" s="20" t="n">
        <f aca="false">MAX(0,X93+Y93-Z93-AA93)</f>
        <v>414.055590489281</v>
      </c>
      <c r="AC93" s="20" t="n">
        <f aca="false">(ROUNDUP(O93/PILE_SP,0)+1)*IF(N93&gt;=PILE_THR,PILE_N_LARGE,PILE_N_SMALL)</f>
        <v>28</v>
      </c>
      <c r="AD93" s="20" t="n">
        <f aca="false">2*U93</f>
        <v>74.8000000003166</v>
      </c>
      <c r="AE93" s="34" t="n">
        <f aca="false">IF(U93&gt;0,ROUNDUP(T93*SHEET_RATIO,0),0)</f>
        <v>8</v>
      </c>
      <c r="AF93" s="20" t="n">
        <f aca="false">AD93*AE93</f>
        <v>598.400000002533</v>
      </c>
      <c r="AG93" s="18" t="n">
        <f aca="false">MAX(0,GWL-(R93-DD_BELOW))</f>
        <v>3.62480075069593</v>
      </c>
      <c r="AH93" s="12" t="str">
        <f aca="false">IF(AG93=0,"Not required",IF(AG93&lt;=WP_LIMIT,"Single-stage wellpoints","Deep wells or two-stage wellpoints"))</f>
        <v>Single-stage wellpoints</v>
      </c>
      <c r="AI93" s="30" t="n">
        <f aca="false">MIN(_xlfn.MINIFS('Piece check'!$Z$6:$Z$1643,'Piece check'!$B$6:$B$1643,B93),_xlfn.MINIFS('Piece check'!$AA$6:$AA$1643,'Piece check'!$B$6:$B$1643,B93))</f>
        <v>1.18821959963359</v>
      </c>
      <c r="AJ93" s="30" t="n">
        <f aca="false">MIN(_xlfn.MINIFS('Piece check'!$AB$6:$AB$1643,'Piece check'!$B$6:$B$1643,B93),_xlfn.MINIFS('Piece check'!$AC$6:$AC$1643,'Piece check'!$B$6:$B$1643,B93))</f>
        <v>3.10722327699054</v>
      </c>
      <c r="AK93" s="12" t="str">
        <f aca="false">IF(AJ93&lt;FOS_FLOT,"Anchor pipe to piled slab (permanent straps)",IF(AI93&lt;FOS_FLOT,"Keep dewatering on until fill reaches FL, or strap to slab","No extra measure"))</f>
        <v>No extra measure</v>
      </c>
      <c r="AL93" s="35" t="n">
        <f aca="false">Activities!P964</f>
        <v>46376</v>
      </c>
      <c r="AM93" s="35" t="n">
        <f aca="false">Activities!Q973</f>
        <v>46458</v>
      </c>
      <c r="AN93" s="15" t="n">
        <v>10</v>
      </c>
      <c r="AO93" s="36" t="s">
        <v>2647</v>
      </c>
      <c r="AP93" s="36" t="s">
        <v>2648</v>
      </c>
      <c r="AQ93" s="36" t="s">
        <v>2649</v>
      </c>
      <c r="AR93" s="37" t="n">
        <f aca="false">Activities!P972-Activities!Q970</f>
        <v>9</v>
      </c>
      <c r="AS93" s="37" t="n">
        <f aca="false">IF(Activities!K967=0,0,Activities!Q973-Activities!P967)</f>
        <v>50</v>
      </c>
    </row>
    <row r="94" customFormat="false" ht="15" hidden="false" customHeight="false" outlineLevel="0" collapsed="false">
      <c r="A94" s="15" t="s">
        <v>819</v>
      </c>
      <c r="B94" s="29" t="s">
        <v>851</v>
      </c>
      <c r="C94" s="15" t="s">
        <v>397</v>
      </c>
      <c r="D94" s="15" t="s">
        <v>2650</v>
      </c>
      <c r="E94" s="15" t="s">
        <v>2361</v>
      </c>
      <c r="F94" s="15" t="n">
        <v>28</v>
      </c>
      <c r="G94" s="15" t="s">
        <v>2362</v>
      </c>
      <c r="H94" s="15"/>
      <c r="I94" s="16" t="n">
        <v>0</v>
      </c>
      <c r="J94" s="15"/>
      <c r="K94" s="16" t="n">
        <v>0</v>
      </c>
      <c r="L94" s="15" t="s">
        <v>358</v>
      </c>
      <c r="M94" s="15" t="n">
        <v>2</v>
      </c>
      <c r="N94" s="30" t="n">
        <f aca="false">_xlfn.MAXIFS('Piece check'!$E$6:$E$1643,'Piece check'!$B$6:$B$1643,B94)</f>
        <v>2.06960331200568</v>
      </c>
      <c r="O94" s="31" t="n">
        <f aca="false">SUMIFS('Piece check'!$D$6:$D$1643,'Piece check'!$B$6:$B$1643,B94)</f>
        <v>24.0999999991607</v>
      </c>
      <c r="P94" s="32" t="n">
        <v>-6.17889786864859</v>
      </c>
      <c r="Q94" s="32" t="n">
        <v>-6.06815953430271</v>
      </c>
      <c r="R94" s="30" t="n">
        <f aca="false">_xlfn.MINIFS('Piece check'!$K$6:$K$1643,'Piece check'!$B$6:$B$1643,B94)</f>
        <v>-6.17889786864859</v>
      </c>
      <c r="S94" s="18" t="n">
        <f aca="false">MAX(0,GWL-R94)</f>
        <v>4.67889786864859</v>
      </c>
      <c r="T94" s="18" t="n">
        <f aca="false">MAX(0,NG-R94)</f>
        <v>5.47889786864859</v>
      </c>
      <c r="U94" s="31" t="n">
        <f aca="false">SUMIFS('Piece check'!$R$6:$R$1643,'Piece check'!$B$6:$B$1643,B94)</f>
        <v>24.0999999991607</v>
      </c>
      <c r="V94" s="21" t="n">
        <f aca="false">O94-U94</f>
        <v>0</v>
      </c>
      <c r="W94" s="12" t="str">
        <f aca="false">IF(U94&lt;0.05,"Open cut",IF(V94&lt;0.05,"Sheet piles","Mixed: "&amp;TEXT(U94,"0")&amp;" m sheet piles"))</f>
        <v>Sheet piles</v>
      </c>
      <c r="X94" s="33" t="n">
        <f aca="false">SUMIFS('Piece check'!$V$6:$V$1643,'Piece check'!$B$6:$B$1643,B94)</f>
        <v>532.812931956781</v>
      </c>
      <c r="Y94" s="33" t="n">
        <f aca="false">SUMIFS('Piece check'!$W$6:$W$1643,'Piece check'!$B$6:$B$1643,B94)</f>
        <v>0</v>
      </c>
      <c r="Z94" s="33" t="n">
        <f aca="false">SUMIFS('Piece check'!$X$6:$X$1643,'Piece check'!$B$6:$B$1643,B94)</f>
        <v>36.9887096221541</v>
      </c>
      <c r="AA94" s="33" t="n">
        <f aca="false">SUMIFS('Piece check'!$Y$6:$Y$1643,'Piece check'!$B$6:$B$1643,B94)</f>
        <v>81.0738481334199</v>
      </c>
      <c r="AB94" s="20" t="n">
        <f aca="false">MAX(0,X94+Y94-Z94-AA94)</f>
        <v>414.750374201207</v>
      </c>
      <c r="AC94" s="20" t="n">
        <f aca="false">(ROUNDUP(O94/PILE_SP,0)+1)*IF(N94&gt;=PILE_THR,PILE_N_LARGE,PILE_N_SMALL)</f>
        <v>20</v>
      </c>
      <c r="AD94" s="20" t="n">
        <f aca="false">2*U94</f>
        <v>48.1999999983214</v>
      </c>
      <c r="AE94" s="34" t="n">
        <f aca="false">IF(U94&gt;0,ROUNDUP(T94*SHEET_RATIO,0),0)</f>
        <v>11</v>
      </c>
      <c r="AF94" s="20" t="n">
        <f aca="false">AD94*AE94</f>
        <v>530.199999981535</v>
      </c>
      <c r="AG94" s="18" t="n">
        <f aca="false">MAX(0,GWL-(R94-DD_BELOW))</f>
        <v>5.17889786864859</v>
      </c>
      <c r="AH94" s="12" t="str">
        <f aca="false">IF(AG94=0,"Not required",IF(AG94&lt;=WP_LIMIT,"Single-stage wellpoints","Deep wells or two-stage wellpoints"))</f>
        <v>Deep wells or two-stage wellpoints</v>
      </c>
      <c r="AI94" s="30" t="n">
        <f aca="false">MIN(_xlfn.MINIFS('Piece check'!$Z$6:$Z$1643,'Piece check'!$B$6:$B$1643,B94),_xlfn.MINIFS('Piece check'!$AA$6:$AA$1643,'Piece check'!$B$6:$B$1643,B94))</f>
        <v>1.92955472637097</v>
      </c>
      <c r="AJ94" s="30" t="n">
        <f aca="false">MIN(_xlfn.MINIFS('Piece check'!$AB$6:$AB$1643,'Piece check'!$B$6:$B$1643,B94),_xlfn.MINIFS('Piece check'!$AC$6:$AC$1643,'Piece check'!$B$6:$B$1643,B94))</f>
        <v>3.84856058980468</v>
      </c>
      <c r="AK94" s="12" t="str">
        <f aca="false">IF(AJ94&lt;FOS_FLOT,"Anchor pipe to piled slab (permanent straps)",IF(AI94&lt;FOS_FLOT,"Keep dewatering on until fill reaches FL, or strap to slab","No extra measure"))</f>
        <v>No extra measure</v>
      </c>
      <c r="AL94" s="35" t="n">
        <f aca="false">Activities!P975</f>
        <v>46381</v>
      </c>
      <c r="AM94" s="35" t="n">
        <f aca="false">Activities!Q984</f>
        <v>46461</v>
      </c>
      <c r="AN94" s="15" t="n">
        <v>29</v>
      </c>
      <c r="AO94" s="36" t="s">
        <v>2564</v>
      </c>
      <c r="AP94" s="36" t="s">
        <v>2651</v>
      </c>
      <c r="AQ94" s="36" t="s">
        <v>2652</v>
      </c>
      <c r="AR94" s="37" t="n">
        <f aca="false">Activities!P983-Activities!Q981</f>
        <v>5</v>
      </c>
      <c r="AS94" s="37" t="n">
        <f aca="false">IF(Activities!K978=0,0,Activities!Q984-Activities!P978)</f>
        <v>49</v>
      </c>
    </row>
    <row r="95" customFormat="false" ht="15" hidden="false" customHeight="false" outlineLevel="0" collapsed="false">
      <c r="A95" s="15" t="s">
        <v>819</v>
      </c>
      <c r="B95" s="29" t="s">
        <v>827</v>
      </c>
      <c r="C95" s="15" t="s">
        <v>397</v>
      </c>
      <c r="D95" s="15" t="s">
        <v>2653</v>
      </c>
      <c r="E95" s="15" t="s">
        <v>2361</v>
      </c>
      <c r="F95" s="15" t="n">
        <v>28</v>
      </c>
      <c r="G95" s="15" t="s">
        <v>2362</v>
      </c>
      <c r="H95" s="15"/>
      <c r="I95" s="16" t="n">
        <v>0</v>
      </c>
      <c r="J95" s="15"/>
      <c r="K95" s="16" t="n">
        <v>0</v>
      </c>
      <c r="L95" s="15" t="s">
        <v>358</v>
      </c>
      <c r="M95" s="15" t="n">
        <v>0</v>
      </c>
      <c r="N95" s="30" t="n">
        <f aca="false">_xlfn.MAXIFS('Piece check'!$E$6:$E$1643,'Piece check'!$B$6:$B$1643,B95)</f>
        <v>2.06960128647119</v>
      </c>
      <c r="O95" s="31" t="n">
        <f aca="false">SUMIFS('Piece check'!$D$6:$D$1643,'Piece check'!$B$6:$B$1643,B95)</f>
        <v>16.0000000006418</v>
      </c>
      <c r="P95" s="32" t="n">
        <v>-3.0756239438065</v>
      </c>
      <c r="Q95" s="32" t="n">
        <v>-3.08096811874255</v>
      </c>
      <c r="R95" s="30" t="n">
        <f aca="false">_xlfn.MINIFS('Piece check'!$K$6:$K$1643,'Piece check'!$B$6:$B$1643,B95)</f>
        <v>-3.08096811874255</v>
      </c>
      <c r="S95" s="18" t="n">
        <f aca="false">MAX(0,GWL-R95)</f>
        <v>1.58096811874255</v>
      </c>
      <c r="T95" s="18" t="n">
        <f aca="false">MAX(0,NG-R95)</f>
        <v>2.38096811874255</v>
      </c>
      <c r="U95" s="31" t="n">
        <f aca="false">SUMIFS('Piece check'!$R$6:$R$1643,'Piece check'!$B$6:$B$1643,B95)</f>
        <v>0</v>
      </c>
      <c r="V95" s="21" t="n">
        <f aca="false">O95-U95</f>
        <v>16.0000000006418</v>
      </c>
      <c r="W95" s="12" t="str">
        <f aca="false">IF(U95&lt;0.05,"Open cut",IF(V95&lt;0.05,"Sheet piles","Mixed: "&amp;TEXT(U95,"0")&amp;" m sheet piles"))</f>
        <v>Open cut</v>
      </c>
      <c r="X95" s="33" t="n">
        <f aca="false">SUMIFS('Piece check'!$V$6:$V$1643,'Piece check'!$B$6:$B$1643,B95)</f>
        <v>0</v>
      </c>
      <c r="Y95" s="33" t="n">
        <f aca="false">SUMIFS('Piece check'!$W$6:$W$1643,'Piece check'!$B$6:$B$1643,B95)</f>
        <v>330.741002366544</v>
      </c>
      <c r="Z95" s="33" t="n">
        <f aca="false">SUMIFS('Piece check'!$X$6:$X$1643,'Piece check'!$B$6:$B$1643,B95)</f>
        <v>24.5568102927545</v>
      </c>
      <c r="AA95" s="33" t="n">
        <f aca="false">SUMIFS('Piece check'!$Y$6:$Y$1643,'Piece check'!$B$6:$B$1643,B95)</f>
        <v>53.8249004639696</v>
      </c>
      <c r="AB95" s="20" t="n">
        <f aca="false">MAX(0,X95+Y95-Z95-AA95)</f>
        <v>252.359291609819</v>
      </c>
      <c r="AC95" s="20" t="n">
        <f aca="false">(ROUNDUP(O95/PILE_SP,0)+1)*IF(N95&gt;=PILE_THR,PILE_N_LARGE,PILE_N_SMALL)</f>
        <v>14</v>
      </c>
      <c r="AD95" s="20" t="n">
        <f aca="false">2*U95</f>
        <v>0</v>
      </c>
      <c r="AE95" s="34" t="n">
        <f aca="false">IF(U95&gt;0,ROUNDUP(T95*SHEET_RATIO,0),0)</f>
        <v>0</v>
      </c>
      <c r="AF95" s="20" t="n">
        <f aca="false">AD95*AE95</f>
        <v>0</v>
      </c>
      <c r="AG95" s="18" t="n">
        <f aca="false">MAX(0,GWL-(R95-DD_BELOW))</f>
        <v>2.08096811874255</v>
      </c>
      <c r="AH95" s="12" t="str">
        <f aca="false">IF(AG95=0,"Not required",IF(AG95&lt;=WP_LIMIT,"Single-stage wellpoints","Deep wells or two-stage wellpoints"))</f>
        <v>Single-stage wellpoints</v>
      </c>
      <c r="AI95" s="30" t="n">
        <f aca="false">MIN(_xlfn.MINIFS('Piece check'!$Z$6:$Z$1643,'Piece check'!$B$6:$B$1643,B95),_xlfn.MINIFS('Piece check'!$AA$6:$AA$1643,'Piece check'!$B$6:$B$1643,B95))</f>
        <v>0</v>
      </c>
      <c r="AJ95" s="30" t="n">
        <f aca="false">MIN(_xlfn.MINIFS('Piece check'!$AB$6:$AB$1643,'Piece check'!$B$6:$B$1643,B95),_xlfn.MINIFS('Piece check'!$AC$6:$AC$1643,'Piece check'!$B$6:$B$1643,B95))</f>
        <v>1.70003724572472</v>
      </c>
      <c r="AK95" s="12" t="str">
        <f aca="false">IF(AJ95&lt;FOS_FLOT,"Anchor pipe to piled slab (permanent straps)",IF(AI95&lt;FOS_FLOT,"Keep dewatering on until fill reaches FL, or strap to slab","No extra measure"))</f>
        <v>Keep dewatering on until fill reaches FL, or strap to slab</v>
      </c>
      <c r="AL95" s="35" t="n">
        <f aca="false">Activities!P986</f>
        <v>46388</v>
      </c>
      <c r="AM95" s="35" t="n">
        <f aca="false">Activities!Q995</f>
        <v>46579</v>
      </c>
      <c r="AN95" s="15" t="n">
        <v>61</v>
      </c>
      <c r="AO95" s="36" t="s">
        <v>2567</v>
      </c>
      <c r="AP95" s="36" t="s">
        <v>2654</v>
      </c>
      <c r="AQ95" s="36" t="s">
        <v>2655</v>
      </c>
      <c r="AR95" s="37" t="n">
        <f aca="false">Activities!P994-Activities!Q992</f>
        <v>12</v>
      </c>
      <c r="AS95" s="37" t="n">
        <f aca="false">IF(Activities!K989=0,0,Activities!Q995-Activities!P989)</f>
        <v>163</v>
      </c>
    </row>
    <row r="96" customFormat="false" ht="15" hidden="false" customHeight="false" outlineLevel="0" collapsed="false">
      <c r="A96" s="15" t="s">
        <v>819</v>
      </c>
      <c r="B96" s="29" t="s">
        <v>820</v>
      </c>
      <c r="C96" s="15" t="s">
        <v>397</v>
      </c>
      <c r="D96" s="15" t="s">
        <v>2656</v>
      </c>
      <c r="E96" s="15" t="s">
        <v>2361</v>
      </c>
      <c r="F96" s="15" t="n">
        <v>28</v>
      </c>
      <c r="G96" s="15" t="s">
        <v>2362</v>
      </c>
      <c r="H96" s="15"/>
      <c r="I96" s="16" t="n">
        <v>0</v>
      </c>
      <c r="J96" s="15"/>
      <c r="K96" s="16" t="n">
        <v>0</v>
      </c>
      <c r="L96" s="15" t="s">
        <v>358</v>
      </c>
      <c r="M96" s="15" t="n">
        <v>1</v>
      </c>
      <c r="N96" s="30" t="n">
        <f aca="false">_xlfn.MAXIFS('Piece check'!$E$6:$E$1643,'Piece check'!$B$6:$B$1643,B96)</f>
        <v>2.06960128647119</v>
      </c>
      <c r="O96" s="31" t="n">
        <f aca="false">SUMIFS('Piece check'!$D$6:$D$1643,'Piece check'!$B$6:$B$1643,B96)</f>
        <v>30.099999999903</v>
      </c>
      <c r="P96" s="32" t="n">
        <v>-3.05137358965707</v>
      </c>
      <c r="Q96" s="32" t="n">
        <v>-3.0756239438065</v>
      </c>
      <c r="R96" s="30" t="n">
        <f aca="false">_xlfn.MINIFS('Piece check'!$K$6:$K$1643,'Piece check'!$B$6:$B$1643,B96)</f>
        <v>-3.0756239438065</v>
      </c>
      <c r="S96" s="18" t="n">
        <f aca="false">MAX(0,GWL-R96)</f>
        <v>1.5756239438065</v>
      </c>
      <c r="T96" s="18" t="n">
        <f aca="false">MAX(0,NG-R96)</f>
        <v>2.3756239438065</v>
      </c>
      <c r="U96" s="31" t="n">
        <f aca="false">SUMIFS('Piece check'!$R$6:$R$1643,'Piece check'!$B$6:$B$1643,B96)</f>
        <v>0</v>
      </c>
      <c r="V96" s="21" t="n">
        <f aca="false">O96-U96</f>
        <v>30.099999999903</v>
      </c>
      <c r="W96" s="12" t="str">
        <f aca="false">IF(U96&lt;0.05,"Open cut",IF(V96&lt;0.05,"Sheet piles","Mixed: "&amp;TEXT(U96,"0")&amp;" m sheet piles"))</f>
        <v>Open cut</v>
      </c>
      <c r="X96" s="33" t="n">
        <f aca="false">SUMIFS('Piece check'!$V$6:$V$1643,'Piece check'!$B$6:$B$1643,B96)</f>
        <v>0</v>
      </c>
      <c r="Y96" s="33" t="n">
        <f aca="false">SUMIFS('Piece check'!$W$6:$W$1643,'Piece check'!$B$6:$B$1643,B96)</f>
        <v>618.906854820705</v>
      </c>
      <c r="Z96" s="33" t="n">
        <f aca="false">SUMIFS('Piece check'!$X$6:$X$1643,'Piece check'!$B$6:$B$1643,B96)</f>
        <v>46.1889811290942</v>
      </c>
      <c r="AA96" s="33" t="n">
        <f aca="false">SUMIFS('Piece check'!$Y$6:$Y$1643,'Piece check'!$B$6:$B$1643,B96)</f>
        <v>101.203089699921</v>
      </c>
      <c r="AB96" s="20" t="n">
        <f aca="false">MAX(0,X96+Y96-Z96-AA96)</f>
        <v>471.51478399169</v>
      </c>
      <c r="AC96" s="20" t="n">
        <f aca="false">(ROUNDUP(O96/PILE_SP,0)+1)*IF(N96&gt;=PILE_THR,PILE_N_LARGE,PILE_N_SMALL)</f>
        <v>24</v>
      </c>
      <c r="AD96" s="20" t="n">
        <f aca="false">2*U96</f>
        <v>0</v>
      </c>
      <c r="AE96" s="34" t="n">
        <f aca="false">IF(U96&gt;0,ROUNDUP(T96*SHEET_RATIO,0),0)</f>
        <v>0</v>
      </c>
      <c r="AF96" s="20" t="n">
        <f aca="false">AD96*AE96</f>
        <v>0</v>
      </c>
      <c r="AG96" s="18" t="n">
        <f aca="false">MAX(0,GWL-(R96-DD_BELOW))</f>
        <v>2.0756239438065</v>
      </c>
      <c r="AH96" s="12" t="str">
        <f aca="false">IF(AG96=0,"Not required",IF(AG96&lt;=WP_LIMIT,"Single-stage wellpoints","Deep wells or two-stage wellpoints"))</f>
        <v>Single-stage wellpoints</v>
      </c>
      <c r="AI96" s="30" t="n">
        <f aca="false">MIN(_xlfn.MINIFS('Piece check'!$Z$6:$Z$1643,'Piece check'!$B$6:$B$1643,B96),_xlfn.MINIFS('Piece check'!$AA$6:$AA$1643,'Piece check'!$B$6:$B$1643,B96))</f>
        <v>0</v>
      </c>
      <c r="AJ96" s="30" t="n">
        <f aca="false">MIN(_xlfn.MINIFS('Piece check'!$AB$6:$AB$1643,'Piece check'!$B$6:$B$1643,B96),_xlfn.MINIFS('Piece check'!$AC$6:$AC$1643,'Piece check'!$B$6:$B$1643,B96))</f>
        <v>1.68891458572869</v>
      </c>
      <c r="AK96" s="12" t="str">
        <f aca="false">IF(AJ96&lt;FOS_FLOT,"Anchor pipe to piled slab (permanent straps)",IF(AI96&lt;FOS_FLOT,"Keep dewatering on until fill reaches FL, or strap to slab","No extra measure"))</f>
        <v>Keep dewatering on until fill reaches FL, or strap to slab</v>
      </c>
      <c r="AL96" s="35" t="n">
        <f aca="false">Activities!P997</f>
        <v>46393</v>
      </c>
      <c r="AM96" s="35" t="n">
        <f aca="false">Activities!Q1006</f>
        <v>46596</v>
      </c>
      <c r="AN96" s="15" t="n">
        <v>62</v>
      </c>
      <c r="AO96" s="36" t="s">
        <v>2657</v>
      </c>
      <c r="AP96" s="36" t="s">
        <v>2658</v>
      </c>
      <c r="AQ96" s="36" t="s">
        <v>2659</v>
      </c>
      <c r="AR96" s="37" t="n">
        <f aca="false">Activities!P1005-Activities!Q1003</f>
        <v>21</v>
      </c>
      <c r="AS96" s="37" t="n">
        <f aca="false">IF(Activities!K1000=0,0,Activities!Q1006-Activities!P1000)</f>
        <v>50</v>
      </c>
    </row>
    <row r="97" customFormat="false" ht="15" hidden="false" customHeight="false" outlineLevel="0" collapsed="false">
      <c r="A97" s="15" t="s">
        <v>873</v>
      </c>
      <c r="B97" s="29" t="s">
        <v>952</v>
      </c>
      <c r="C97" s="15" t="s">
        <v>397</v>
      </c>
      <c r="D97" s="15" t="s">
        <v>2660</v>
      </c>
      <c r="E97" s="15" t="s">
        <v>2518</v>
      </c>
      <c r="F97" s="15" t="n">
        <v>28</v>
      </c>
      <c r="G97" s="15" t="s">
        <v>2362</v>
      </c>
      <c r="H97" s="15"/>
      <c r="I97" s="16" t="n">
        <v>0</v>
      </c>
      <c r="J97" s="15"/>
      <c r="K97" s="16" t="n">
        <v>0</v>
      </c>
      <c r="L97" s="15" t="s">
        <v>358</v>
      </c>
      <c r="M97" s="15" t="n">
        <v>1</v>
      </c>
      <c r="N97" s="30" t="n">
        <f aca="false">_xlfn.MAXIFS('Piece check'!$E$6:$E$1643,'Piece check'!$B$6:$B$1643,B97)</f>
        <v>1.22580117869563</v>
      </c>
      <c r="O97" s="31" t="n">
        <f aca="false">SUMIFS('Piece check'!$D$6:$D$1643,'Piece check'!$B$6:$B$1643,B97)</f>
        <v>8.16968610462186</v>
      </c>
      <c r="P97" s="32" t="n">
        <v>-2.64335907300095</v>
      </c>
      <c r="Q97" s="32" t="n">
        <v>-2.65626058934782</v>
      </c>
      <c r="R97" s="30" t="n">
        <f aca="false">_xlfn.MINIFS('Piece check'!$K$6:$K$1643,'Piece check'!$B$6:$B$1643,B97)</f>
        <v>-2.65626058934782</v>
      </c>
      <c r="S97" s="18" t="n">
        <f aca="false">MAX(0,GWL-R97)</f>
        <v>1.15626058934782</v>
      </c>
      <c r="T97" s="18" t="n">
        <f aca="false">MAX(0,NG-R97)</f>
        <v>1.95626058934782</v>
      </c>
      <c r="U97" s="31" t="n">
        <f aca="false">SUMIFS('Piece check'!$R$6:$R$1643,'Piece check'!$B$6:$B$1643,B97)</f>
        <v>0</v>
      </c>
      <c r="V97" s="21" t="n">
        <f aca="false">O97-U97</f>
        <v>8.16968610462186</v>
      </c>
      <c r="W97" s="12" t="str">
        <f aca="false">IF(U97&lt;0.05,"Open cut",IF(V97&lt;0.05,"Sheet piles","Mixed: "&amp;TEXT(U97,"0")&amp;" m sheet piles"))</f>
        <v>Open cut</v>
      </c>
      <c r="X97" s="33" t="n">
        <f aca="false">SUMIFS('Piece check'!$V$6:$V$1643,'Piece check'!$B$6:$B$1643,B97)</f>
        <v>0</v>
      </c>
      <c r="Y97" s="33" t="n">
        <f aca="false">SUMIFS('Piece check'!$W$6:$W$1643,'Piece check'!$B$6:$B$1643,B97)</f>
        <v>110.725411524243</v>
      </c>
      <c r="Z97" s="33" t="n">
        <f aca="false">SUMIFS('Piece check'!$X$6:$X$1643,'Piece check'!$B$6:$B$1643,B97)</f>
        <v>9.04207407000786</v>
      </c>
      <c r="AA97" s="33" t="n">
        <f aca="false">SUMIFS('Piece check'!$Y$6:$Y$1643,'Piece check'!$B$6:$B$1643,B97)</f>
        <v>9.45086955452425</v>
      </c>
      <c r="AB97" s="20" t="n">
        <f aca="false">MAX(0,X97+Y97-Z97-AA97)</f>
        <v>92.2324678997107</v>
      </c>
      <c r="AC97" s="20" t="n">
        <f aca="false">(ROUNDUP(O97/PILE_SP,0)+1)*IF(N97&gt;=PILE_THR,PILE_N_LARGE,PILE_N_SMALL)</f>
        <v>8</v>
      </c>
      <c r="AD97" s="20" t="n">
        <f aca="false">2*U97</f>
        <v>0</v>
      </c>
      <c r="AE97" s="34" t="n">
        <f aca="false">IF(U97&gt;0,ROUNDUP(T97*SHEET_RATIO,0),0)</f>
        <v>0</v>
      </c>
      <c r="AF97" s="20" t="n">
        <f aca="false">AD97*AE97</f>
        <v>0</v>
      </c>
      <c r="AG97" s="18" t="n">
        <f aca="false">MAX(0,GWL-(R97-DD_BELOW))</f>
        <v>1.65626058934782</v>
      </c>
      <c r="AH97" s="12" t="str">
        <f aca="false">IF(AG97=0,"Not required",IF(AG97&lt;=WP_LIMIT,"Single-stage wellpoints","Deep wells or two-stage wellpoints"))</f>
        <v>Single-stage wellpoints</v>
      </c>
      <c r="AI97" s="30" t="n">
        <f aca="false">MIN(_xlfn.MINIFS('Piece check'!$Z$6:$Z$1643,'Piece check'!$B$6:$B$1643,B97),_xlfn.MINIFS('Piece check'!$AA$6:$AA$1643,'Piece check'!$B$6:$B$1643,B97))</f>
        <v>0.439225988262639</v>
      </c>
      <c r="AJ97" s="30" t="n">
        <f aca="false">MIN(_xlfn.MINIFS('Piece check'!$AB$6:$AB$1643,'Piece check'!$B$6:$B$1643,B97),_xlfn.MINIFS('Piece check'!$AC$6:$AC$1643,'Piece check'!$B$6:$B$1643,B97))</f>
        <v>3.67920728446321</v>
      </c>
      <c r="AK97" s="12" t="str">
        <f aca="false">IF(AJ97&lt;FOS_FLOT,"Anchor pipe to piled slab (permanent straps)",IF(AI97&lt;FOS_FLOT,"Keep dewatering on until fill reaches FL, or strap to slab","No extra measure"))</f>
        <v>Keep dewatering on until fill reaches FL, or strap to slab</v>
      </c>
      <c r="AL97" s="35" t="n">
        <f aca="false">Activities!P1008</f>
        <v>46397</v>
      </c>
      <c r="AM97" s="35" t="n">
        <f aca="false">Activities!Q1017</f>
        <v>46598</v>
      </c>
      <c r="AN97" s="15" t="n">
        <v>63</v>
      </c>
      <c r="AO97" s="36" t="s">
        <v>2661</v>
      </c>
      <c r="AP97" s="36" t="s">
        <v>2662</v>
      </c>
      <c r="AQ97" s="36" t="s">
        <v>2663</v>
      </c>
      <c r="AR97" s="37" t="n">
        <f aca="false">Activities!P1016-Activities!Q1014</f>
        <v>19</v>
      </c>
      <c r="AS97" s="37" t="n">
        <f aca="false">IF(Activities!K1011=0,0,Activities!Q1017-Activities!P1011)</f>
        <v>49</v>
      </c>
    </row>
    <row r="98" customFormat="false" ht="15" hidden="false" customHeight="false" outlineLevel="0" collapsed="false">
      <c r="A98" s="15" t="s">
        <v>873</v>
      </c>
      <c r="B98" s="29" t="s">
        <v>943</v>
      </c>
      <c r="C98" s="15" t="s">
        <v>397</v>
      </c>
      <c r="D98" s="15" t="s">
        <v>2664</v>
      </c>
      <c r="E98" s="15" t="s">
        <v>2518</v>
      </c>
      <c r="F98" s="15" t="n">
        <v>28</v>
      </c>
      <c r="G98" s="15" t="s">
        <v>2362</v>
      </c>
      <c r="H98" s="15"/>
      <c r="I98" s="16" t="n">
        <v>0</v>
      </c>
      <c r="J98" s="15"/>
      <c r="K98" s="16" t="n">
        <v>0</v>
      </c>
      <c r="L98" s="15" t="s">
        <v>358</v>
      </c>
      <c r="M98" s="15" t="n">
        <v>1</v>
      </c>
      <c r="N98" s="30" t="n">
        <f aca="false">_xlfn.MAXIFS('Piece check'!$E$6:$E$1643,'Piece check'!$B$6:$B$1643,B98)</f>
        <v>1.2258005585253</v>
      </c>
      <c r="O98" s="31" t="n">
        <f aca="false">SUMIFS('Piece check'!$D$6:$D$1643,'Piece check'!$B$6:$B$1643,B98)</f>
        <v>29.2588357753108</v>
      </c>
      <c r="P98" s="32" t="n">
        <v>-2.63458882868863</v>
      </c>
      <c r="Q98" s="32" t="n">
        <v>-2.64749027926265</v>
      </c>
      <c r="R98" s="30" t="n">
        <f aca="false">_xlfn.MINIFS('Piece check'!$K$6:$K$1643,'Piece check'!$B$6:$B$1643,B98)</f>
        <v>-2.64749027926265</v>
      </c>
      <c r="S98" s="18" t="n">
        <f aca="false">MAX(0,GWL-R98)</f>
        <v>1.14749027926265</v>
      </c>
      <c r="T98" s="18" t="n">
        <f aca="false">MAX(0,NG-R98)</f>
        <v>1.94749027926265</v>
      </c>
      <c r="U98" s="31" t="n">
        <f aca="false">SUMIFS('Piece check'!$R$6:$R$1643,'Piece check'!$B$6:$B$1643,B98)</f>
        <v>0</v>
      </c>
      <c r="V98" s="21" t="n">
        <f aca="false">O98-U98</f>
        <v>29.2588357753108</v>
      </c>
      <c r="W98" s="12" t="str">
        <f aca="false">IF(U98&lt;0.05,"Open cut",IF(V98&lt;0.05,"Sheet piles","Mixed: "&amp;TEXT(U98,"0")&amp;" m sheet piles"))</f>
        <v>Open cut</v>
      </c>
      <c r="X98" s="33" t="n">
        <f aca="false">SUMIFS('Piece check'!$V$6:$V$1643,'Piece check'!$B$6:$B$1643,B98)</f>
        <v>0</v>
      </c>
      <c r="Y98" s="33" t="n">
        <f aca="false">SUMIFS('Piece check'!$W$6:$W$1643,'Piece check'!$B$6:$B$1643,B98)</f>
        <v>392.829812752098</v>
      </c>
      <c r="Z98" s="33" t="n">
        <f aca="false">SUMIFS('Piece check'!$X$6:$X$1643,'Piece check'!$B$6:$B$1643,B98)</f>
        <v>32.3226699197532</v>
      </c>
      <c r="AA98" s="33" t="n">
        <f aca="false">SUMIFS('Piece check'!$Y$6:$Y$1643,'Piece check'!$B$6:$B$1643,B98)</f>
        <v>33.6166167160443</v>
      </c>
      <c r="AB98" s="20" t="n">
        <f aca="false">MAX(0,X98+Y98-Z98-AA98)</f>
        <v>326.890526116301</v>
      </c>
      <c r="AC98" s="20" t="n">
        <f aca="false">(ROUNDUP(O98/PILE_SP,0)+1)*IF(N98&gt;=PILE_THR,PILE_N_LARGE,PILE_N_SMALL)</f>
        <v>22</v>
      </c>
      <c r="AD98" s="20" t="n">
        <f aca="false">2*U98</f>
        <v>0</v>
      </c>
      <c r="AE98" s="34" t="n">
        <f aca="false">IF(U98&gt;0,ROUNDUP(T98*SHEET_RATIO,0),0)</f>
        <v>0</v>
      </c>
      <c r="AF98" s="20" t="n">
        <f aca="false">AD98*AE98</f>
        <v>0</v>
      </c>
      <c r="AG98" s="18" t="n">
        <f aca="false">MAX(0,GWL-(R98-DD_BELOW))</f>
        <v>1.64749027926265</v>
      </c>
      <c r="AH98" s="12" t="str">
        <f aca="false">IF(AG98=0,"Not required",IF(AG98&lt;=WP_LIMIT,"Single-stage wellpoints","Deep wells or two-stage wellpoints"))</f>
        <v>Single-stage wellpoints</v>
      </c>
      <c r="AI98" s="30" t="n">
        <f aca="false">MIN(_xlfn.MINIFS('Piece check'!$Z$6:$Z$1643,'Piece check'!$B$6:$B$1643,B98),_xlfn.MINIFS('Piece check'!$AA$6:$AA$1643,'Piece check'!$B$6:$B$1643,B98))</f>
        <v>0.422512301261281</v>
      </c>
      <c r="AJ98" s="30" t="n">
        <f aca="false">MIN(_xlfn.MINIFS('Piece check'!$AB$6:$AB$1643,'Piece check'!$B$6:$B$1643,B98),_xlfn.MINIFS('Piece check'!$AC$6:$AC$1643,'Piece check'!$B$6:$B$1643,B98))</f>
        <v>3.66249523666837</v>
      </c>
      <c r="AK98" s="12" t="str">
        <f aca="false">IF(AJ98&lt;FOS_FLOT,"Anchor pipe to piled slab (permanent straps)",IF(AI98&lt;FOS_FLOT,"Keep dewatering on until fill reaches FL, or strap to slab","No extra measure"))</f>
        <v>Keep dewatering on until fill reaches FL, or strap to slab</v>
      </c>
      <c r="AL98" s="35" t="n">
        <f aca="false">Activities!P1019</f>
        <v>46403</v>
      </c>
      <c r="AM98" s="35" t="n">
        <f aca="false">Activities!Q1028</f>
        <v>46600</v>
      </c>
      <c r="AN98" s="15" t="n">
        <v>64</v>
      </c>
      <c r="AO98" s="36" t="s">
        <v>2665</v>
      </c>
      <c r="AP98" s="36" t="s">
        <v>2666</v>
      </c>
      <c r="AQ98" s="36" t="s">
        <v>2667</v>
      </c>
      <c r="AR98" s="37" t="n">
        <f aca="false">Activities!P1027-Activities!Q1025</f>
        <v>14</v>
      </c>
      <c r="AS98" s="37" t="n">
        <f aca="false">IF(Activities!K1022=0,0,Activities!Q1028-Activities!P1022)</f>
        <v>49</v>
      </c>
    </row>
    <row r="99" customFormat="false" ht="15" hidden="false" customHeight="false" outlineLevel="0" collapsed="false">
      <c r="A99" s="15" t="s">
        <v>873</v>
      </c>
      <c r="B99" s="29" t="s">
        <v>926</v>
      </c>
      <c r="C99" s="15" t="s">
        <v>397</v>
      </c>
      <c r="D99" s="15" t="s">
        <v>2668</v>
      </c>
      <c r="E99" s="15" t="s">
        <v>2518</v>
      </c>
      <c r="F99" s="15" t="n">
        <v>28</v>
      </c>
      <c r="G99" s="15" t="s">
        <v>2362</v>
      </c>
      <c r="H99" s="15"/>
      <c r="I99" s="16" t="n">
        <v>0</v>
      </c>
      <c r="J99" s="15"/>
      <c r="K99" s="16" t="n">
        <v>0</v>
      </c>
      <c r="L99" s="15" t="s">
        <v>358</v>
      </c>
      <c r="M99" s="15" t="n">
        <v>1</v>
      </c>
      <c r="N99" s="30" t="n">
        <f aca="false">_xlfn.MAXIFS('Piece check'!$E$6:$E$1643,'Piece check'!$B$6:$B$1643,B99)</f>
        <v>1.63339624901858</v>
      </c>
      <c r="O99" s="31" t="n">
        <f aca="false">SUMIFS('Piece check'!$D$6:$D$1643,'Piece check'!$B$6:$B$1643,B99)</f>
        <v>39.043511490623</v>
      </c>
      <c r="P99" s="32" t="n">
        <v>-2.82999587403348</v>
      </c>
      <c r="Q99" s="32" t="n">
        <v>-2.84746812450929</v>
      </c>
      <c r="R99" s="30" t="n">
        <f aca="false">_xlfn.MINIFS('Piece check'!$K$6:$K$1643,'Piece check'!$B$6:$B$1643,B99)</f>
        <v>-2.84746812450929</v>
      </c>
      <c r="S99" s="18" t="n">
        <f aca="false">MAX(0,GWL-R99)</f>
        <v>1.34746812450929</v>
      </c>
      <c r="T99" s="18" t="n">
        <f aca="false">MAX(0,NG-R99)</f>
        <v>2.14746812450929</v>
      </c>
      <c r="U99" s="31" t="n">
        <f aca="false">SUMIFS('Piece check'!$R$6:$R$1643,'Piece check'!$B$6:$B$1643,B99)</f>
        <v>0</v>
      </c>
      <c r="V99" s="21" t="n">
        <f aca="false">O99-U99</f>
        <v>39.043511490623</v>
      </c>
      <c r="W99" s="12" t="str">
        <f aca="false">IF(U99&lt;0.05,"Open cut",IF(V99&lt;0.05,"Sheet piles","Mixed: "&amp;TEXT(U99,"0")&amp;" m sheet piles"))</f>
        <v>Open cut</v>
      </c>
      <c r="X99" s="33" t="n">
        <f aca="false">SUMIFS('Piece check'!$V$6:$V$1643,'Piece check'!$B$6:$B$1643,B99)</f>
        <v>0</v>
      </c>
      <c r="Y99" s="33" t="n">
        <f aca="false">SUMIFS('Piece check'!$W$6:$W$1643,'Piece check'!$B$6:$B$1643,B99)</f>
        <v>641.750110620644</v>
      </c>
      <c r="Z99" s="33" t="n">
        <f aca="false">SUMIFS('Piece check'!$X$6:$X$1643,'Piece check'!$B$6:$B$1643,B99)</f>
        <v>50.7914952924451</v>
      </c>
      <c r="AA99" s="33" t="n">
        <f aca="false">SUMIFS('Piece check'!$Y$6:$Y$1643,'Piece check'!$B$6:$B$1643,B99)</f>
        <v>78.6790571882582</v>
      </c>
      <c r="AB99" s="20" t="n">
        <f aca="false">MAX(0,X99+Y99-Z99-AA99)</f>
        <v>512.279558139941</v>
      </c>
      <c r="AC99" s="20" t="n">
        <f aca="false">(ROUNDUP(O99/PILE_SP,0)+1)*IF(N99&gt;=PILE_THR,PILE_N_LARGE,PILE_N_SMALL)</f>
        <v>30</v>
      </c>
      <c r="AD99" s="20" t="n">
        <f aca="false">2*U99</f>
        <v>0</v>
      </c>
      <c r="AE99" s="34" t="n">
        <f aca="false">IF(U99&gt;0,ROUNDUP(T99*SHEET_RATIO,0),0)</f>
        <v>0</v>
      </c>
      <c r="AF99" s="20" t="n">
        <f aca="false">AD99*AE99</f>
        <v>0</v>
      </c>
      <c r="AG99" s="18" t="n">
        <f aca="false">MAX(0,GWL-(R99-DD_BELOW))</f>
        <v>1.84746812450929</v>
      </c>
      <c r="AH99" s="12" t="str">
        <f aca="false">IF(AG99=0,"Not required",IF(AG99&lt;=WP_LIMIT,"Single-stage wellpoints","Deep wells or two-stage wellpoints"))</f>
        <v>Single-stage wellpoints</v>
      </c>
      <c r="AI99" s="30" t="n">
        <f aca="false">MIN(_xlfn.MINIFS('Piece check'!$Z$6:$Z$1643,'Piece check'!$B$6:$B$1643,B99),_xlfn.MINIFS('Piece check'!$AA$6:$AA$1643,'Piece check'!$B$6:$B$1643,B99))</f>
        <v>0.0191255699656838</v>
      </c>
      <c r="AJ99" s="30" t="n">
        <f aca="false">MIN(_xlfn.MINIFS('Piece check'!$AB$6:$AB$1643,'Piece check'!$B$6:$B$1643,B99),_xlfn.MINIFS('Piece check'!$AC$6:$AC$1643,'Piece check'!$B$6:$B$1643,B99))</f>
        <v>2.45060714966244</v>
      </c>
      <c r="AK99" s="12" t="str">
        <f aca="false">IF(AJ99&lt;FOS_FLOT,"Anchor pipe to piled slab (permanent straps)",IF(AI99&lt;FOS_FLOT,"Keep dewatering on until fill reaches FL, or strap to slab","No extra measure"))</f>
        <v>Keep dewatering on until fill reaches FL, or strap to slab</v>
      </c>
      <c r="AL99" s="35" t="n">
        <f aca="false">Activities!P1030</f>
        <v>46406</v>
      </c>
      <c r="AM99" s="35" t="n">
        <f aca="false">Activities!Q1039</f>
        <v>46603</v>
      </c>
      <c r="AN99" s="15" t="n">
        <v>65</v>
      </c>
      <c r="AO99" s="36" t="s">
        <v>2669</v>
      </c>
      <c r="AP99" s="36" t="s">
        <v>2666</v>
      </c>
      <c r="AQ99" s="36" t="s">
        <v>2667</v>
      </c>
      <c r="AR99" s="37" t="n">
        <f aca="false">Activities!P1038-Activities!Q1036</f>
        <v>7</v>
      </c>
      <c r="AS99" s="37" t="n">
        <f aca="false">IF(Activities!K1033=0,0,Activities!Q1039-Activities!P1033)</f>
        <v>50</v>
      </c>
    </row>
    <row r="100" customFormat="false" ht="15" hidden="false" customHeight="false" outlineLevel="0" collapsed="false">
      <c r="A100" s="15" t="s">
        <v>873</v>
      </c>
      <c r="B100" s="29" t="s">
        <v>919</v>
      </c>
      <c r="C100" s="15" t="s">
        <v>397</v>
      </c>
      <c r="D100" s="15" t="s">
        <v>2670</v>
      </c>
      <c r="E100" s="15" t="s">
        <v>2518</v>
      </c>
      <c r="F100" s="15" t="n">
        <v>28</v>
      </c>
      <c r="G100" s="15" t="s">
        <v>2362</v>
      </c>
      <c r="H100" s="15"/>
      <c r="I100" s="16" t="n">
        <v>0</v>
      </c>
      <c r="J100" s="15"/>
      <c r="K100" s="16" t="n">
        <v>0</v>
      </c>
      <c r="L100" s="15" t="s">
        <v>358</v>
      </c>
      <c r="M100" s="15" t="n">
        <v>2</v>
      </c>
      <c r="N100" s="30" t="n">
        <f aca="false">_xlfn.MAXIFS('Piece check'!$E$6:$E$1643,'Piece check'!$B$6:$B$1643,B100)</f>
        <v>1.6000039130148</v>
      </c>
      <c r="O100" s="31" t="n">
        <f aca="false">SUMIFS('Piece check'!$D$6:$D$1643,'Piece check'!$B$6:$B$1643,B100)</f>
        <v>15.0999999997423</v>
      </c>
      <c r="P100" s="32" t="n">
        <v>-2.82999682935853</v>
      </c>
      <c r="Q100" s="32" t="n">
        <v>-2.82999587403348</v>
      </c>
      <c r="R100" s="30" t="n">
        <f aca="false">_xlfn.MINIFS('Piece check'!$K$6:$K$1643,'Piece check'!$B$6:$B$1643,B100)</f>
        <v>-2.8300019565074</v>
      </c>
      <c r="S100" s="18" t="n">
        <f aca="false">MAX(0,GWL-R100)</f>
        <v>1.3300019565074</v>
      </c>
      <c r="T100" s="18" t="n">
        <f aca="false">MAX(0,NG-R100)</f>
        <v>2.1300019565074</v>
      </c>
      <c r="U100" s="31" t="n">
        <f aca="false">SUMIFS('Piece check'!$R$6:$R$1643,'Piece check'!$B$6:$B$1643,B100)</f>
        <v>0</v>
      </c>
      <c r="V100" s="21" t="n">
        <f aca="false">O100-U100</f>
        <v>15.0999999997423</v>
      </c>
      <c r="W100" s="12" t="str">
        <f aca="false">IF(U100&lt;0.05,"Open cut",IF(V100&lt;0.05,"Sheet piles","Mixed: "&amp;TEXT(U100,"0")&amp;" m sheet piles"))</f>
        <v>Open cut</v>
      </c>
      <c r="X100" s="33" t="n">
        <f aca="false">SUMIFS('Piece check'!$V$6:$V$1643,'Piece check'!$B$6:$B$1643,B100)</f>
        <v>0</v>
      </c>
      <c r="Y100" s="33" t="n">
        <f aca="false">SUMIFS('Piece check'!$W$6:$W$1643,'Piece check'!$B$6:$B$1643,B100)</f>
        <v>247.968521166883</v>
      </c>
      <c r="Z100" s="33" t="n">
        <f aca="false">SUMIFS('Piece check'!$X$6:$X$1643,'Piece check'!$B$6:$B$1643,B100)</f>
        <v>19.6299597780877</v>
      </c>
      <c r="AA100" s="33" t="n">
        <f aca="false">SUMIFS('Piece check'!$Y$6:$Y$1643,'Piece check'!$B$6:$B$1643,B100)</f>
        <v>30.3601492285073</v>
      </c>
      <c r="AB100" s="20" t="n">
        <f aca="false">MAX(0,X100+Y100-Z100-AA100)</f>
        <v>197.978412160288</v>
      </c>
      <c r="AC100" s="20" t="n">
        <f aca="false">(ROUNDUP(O100/PILE_SP,0)+1)*IF(N100&gt;=PILE_THR,PILE_N_LARGE,PILE_N_SMALL)</f>
        <v>14</v>
      </c>
      <c r="AD100" s="20" t="n">
        <f aca="false">2*U100</f>
        <v>0</v>
      </c>
      <c r="AE100" s="34" t="n">
        <f aca="false">IF(U100&gt;0,ROUNDUP(T100*SHEET_RATIO,0),0)</f>
        <v>0</v>
      </c>
      <c r="AF100" s="20" t="n">
        <f aca="false">AD100*AE100</f>
        <v>0</v>
      </c>
      <c r="AG100" s="18" t="n">
        <f aca="false">MAX(0,GWL-(R100-DD_BELOW))</f>
        <v>1.8300019565074</v>
      </c>
      <c r="AH100" s="12" t="str">
        <f aca="false">IF(AG100=0,"Not required",IF(AG100&lt;=WP_LIMIT,"Single-stage wellpoints","Deep wells or two-stage wellpoints"))</f>
        <v>Single-stage wellpoints</v>
      </c>
      <c r="AI100" s="30" t="n">
        <f aca="false">MIN(_xlfn.MINIFS('Piece check'!$Z$6:$Z$1643,'Piece check'!$B$6:$B$1643,B100),_xlfn.MINIFS('Piece check'!$AA$6:$AA$1643,'Piece check'!$B$6:$B$1643,B100))</f>
        <v>0.0438011488869724</v>
      </c>
      <c r="AJ100" s="30" t="n">
        <f aca="false">MIN(_xlfn.MINIFS('Piece check'!$AB$6:$AB$1643,'Piece check'!$B$6:$B$1643,B100),_xlfn.MINIFS('Piece check'!$AC$6:$AC$1643,'Piece check'!$B$6:$B$1643,B100))</f>
        <v>2.52602813566418</v>
      </c>
      <c r="AK100" s="12" t="str">
        <f aca="false">IF(AJ100&lt;FOS_FLOT,"Anchor pipe to piled slab (permanent straps)",IF(AI100&lt;FOS_FLOT,"Keep dewatering on until fill reaches FL, or strap to slab","No extra measure"))</f>
        <v>Keep dewatering on until fill reaches FL, or strap to slab</v>
      </c>
      <c r="AL100" s="35" t="n">
        <f aca="false">Activities!P1041</f>
        <v>46412</v>
      </c>
      <c r="AM100" s="35" t="n">
        <f aca="false">Activities!Q1050</f>
        <v>46605</v>
      </c>
      <c r="AN100" s="15" t="n">
        <v>193</v>
      </c>
      <c r="AO100" s="36" t="s">
        <v>2564</v>
      </c>
      <c r="AP100" s="36" t="s">
        <v>2434</v>
      </c>
      <c r="AQ100" s="36" t="s">
        <v>2671</v>
      </c>
      <c r="AR100" s="37" t="n">
        <f aca="false">Activities!P1049-Activities!Q1047</f>
        <v>4</v>
      </c>
      <c r="AS100" s="37" t="n">
        <f aca="false">IF(Activities!K1044=0,0,Activities!Q1050-Activities!P1044)</f>
        <v>49</v>
      </c>
    </row>
    <row r="101" customFormat="false" ht="15" hidden="false" customHeight="false" outlineLevel="0" collapsed="false">
      <c r="A101" s="15" t="s">
        <v>873</v>
      </c>
      <c r="B101" s="29" t="s">
        <v>906</v>
      </c>
      <c r="C101" s="15" t="s">
        <v>397</v>
      </c>
      <c r="D101" s="15" t="s">
        <v>2672</v>
      </c>
      <c r="E101" s="15" t="s">
        <v>2518</v>
      </c>
      <c r="F101" s="15" t="n">
        <v>28</v>
      </c>
      <c r="G101" s="15" t="s">
        <v>2362</v>
      </c>
      <c r="H101" s="15"/>
      <c r="I101" s="16" t="n">
        <v>0</v>
      </c>
      <c r="J101" s="15"/>
      <c r="K101" s="16" t="n">
        <v>0</v>
      </c>
      <c r="L101" s="15" t="s">
        <v>358</v>
      </c>
      <c r="M101" s="15" t="n">
        <v>2</v>
      </c>
      <c r="N101" s="30" t="n">
        <f aca="false">_xlfn.MAXIFS('Piece check'!$E$6:$E$1643,'Piece check'!$B$6:$B$1643,B101)</f>
        <v>1.6000004174487</v>
      </c>
      <c r="O101" s="31" t="n">
        <f aca="false">SUMIFS('Piece check'!$D$6:$D$1643,'Piece check'!$B$6:$B$1643,B101)</f>
        <v>76.6740023055451</v>
      </c>
      <c r="P101" s="32" t="n">
        <v>-2.88918020872435</v>
      </c>
      <c r="Q101" s="32" t="n">
        <v>-2.82999682935853</v>
      </c>
      <c r="R101" s="30" t="n">
        <f aca="false">_xlfn.MINIFS('Piece check'!$K$6:$K$1643,'Piece check'!$B$6:$B$1643,B101)</f>
        <v>-2.88918020872435</v>
      </c>
      <c r="S101" s="18" t="n">
        <f aca="false">MAX(0,GWL-R101)</f>
        <v>1.38918020872435</v>
      </c>
      <c r="T101" s="18" t="n">
        <f aca="false">MAX(0,NG-R101)</f>
        <v>2.18918020872435</v>
      </c>
      <c r="U101" s="31" t="n">
        <f aca="false">SUMIFS('Piece check'!$R$6:$R$1643,'Piece check'!$B$6:$B$1643,B101)</f>
        <v>36.1076317855439</v>
      </c>
      <c r="V101" s="21" t="n">
        <f aca="false">O101-U101</f>
        <v>40.5663705200013</v>
      </c>
      <c r="W101" s="12" t="str">
        <f aca="false">IF(U101&lt;0.05,"Open cut",IF(V101&lt;0.05,"Sheet piles","Mixed: "&amp;TEXT(U101,"0")&amp;" m sheet piles"))</f>
        <v>Mixed: 36 m sheet piles</v>
      </c>
      <c r="X101" s="33" t="n">
        <f aca="false">SUMIFS('Piece check'!$V$6:$V$1643,'Piece check'!$B$6:$B$1643,B101)</f>
        <v>279.336626230119</v>
      </c>
      <c r="Y101" s="33" t="n">
        <f aca="false">SUMIFS('Piece check'!$W$6:$W$1643,'Piece check'!$B$6:$B$1643,B101)</f>
        <v>678.195728601244</v>
      </c>
      <c r="Z101" s="33" t="n">
        <f aca="false">SUMIFS('Piece check'!$X$6:$X$1643,'Piece check'!$B$6:$B$1643,B101)</f>
        <v>99.6761460250404</v>
      </c>
      <c r="AA101" s="33" t="n">
        <f aca="false">SUMIFS('Piece check'!$Y$6:$Y$1643,'Piece check'!$B$6:$B$1643,B101)</f>
        <v>154.16194234065</v>
      </c>
      <c r="AB101" s="20" t="n">
        <f aca="false">MAX(0,X101+Y101-Z101-AA101)</f>
        <v>703.694266465672</v>
      </c>
      <c r="AC101" s="20" t="n">
        <f aca="false">(ROUNDUP(O101/PILE_SP,0)+1)*IF(N101&gt;=PILE_THR,PILE_N_LARGE,PILE_N_SMALL)</f>
        <v>54</v>
      </c>
      <c r="AD101" s="20" t="n">
        <f aca="false">2*U101</f>
        <v>72.2152635710877</v>
      </c>
      <c r="AE101" s="34" t="n">
        <f aca="false">IF(U101&gt;0,ROUNDUP(T101*SHEET_RATIO,0),0)</f>
        <v>5</v>
      </c>
      <c r="AF101" s="20" t="n">
        <f aca="false">AD101*AE101</f>
        <v>361.076317855439</v>
      </c>
      <c r="AG101" s="18" t="n">
        <f aca="false">MAX(0,GWL-(R101-DD_BELOW))</f>
        <v>1.88918020872435</v>
      </c>
      <c r="AH101" s="12" t="str">
        <f aca="false">IF(AG101=0,"Not required",IF(AG101&lt;=WP_LIMIT,"Single-stage wellpoints","Deep wells or two-stage wellpoints"))</f>
        <v>Single-stage wellpoints</v>
      </c>
      <c r="AI101" s="30" t="n">
        <f aca="false">MIN(_xlfn.MINIFS('Piece check'!$Z$6:$Z$1643,'Piece check'!$B$6:$B$1643,B101),_xlfn.MINIFS('Piece check'!$AA$6:$AA$1643,'Piece check'!$B$6:$B$1643,B101))</f>
        <v>0.0438037965827755</v>
      </c>
      <c r="AJ101" s="30" t="n">
        <f aca="false">MIN(_xlfn.MINIFS('Piece check'!$AB$6:$AB$1643,'Piece check'!$B$6:$B$1643,B101),_xlfn.MINIFS('Piece check'!$AC$6:$AC$1643,'Piece check'!$B$6:$B$1643,B101))</f>
        <v>2.52603620635138</v>
      </c>
      <c r="AK101" s="12" t="str">
        <f aca="false">IF(AJ101&lt;FOS_FLOT,"Anchor pipe to piled slab (permanent straps)",IF(AI101&lt;FOS_FLOT,"Keep dewatering on until fill reaches FL, or strap to slab","No extra measure"))</f>
        <v>Keep dewatering on until fill reaches FL, or strap to slab</v>
      </c>
      <c r="AL101" s="35" t="n">
        <f aca="false">Activities!P1052</f>
        <v>46419</v>
      </c>
      <c r="AM101" s="35" t="n">
        <f aca="false">Activities!Q1061</f>
        <v>46615</v>
      </c>
      <c r="AN101" s="15" t="n">
        <v>194</v>
      </c>
      <c r="AO101" s="36" t="s">
        <v>2564</v>
      </c>
      <c r="AP101" s="36" t="s">
        <v>2673</v>
      </c>
      <c r="AQ101" s="36" t="s">
        <v>2674</v>
      </c>
      <c r="AR101" s="37" t="n">
        <f aca="false">Activities!P1060-Activities!Q1058</f>
        <v>-6</v>
      </c>
      <c r="AS101" s="37" t="n">
        <f aca="false">IF(Activities!K1055=0,0,Activities!Q1061-Activities!P1055)</f>
        <v>58</v>
      </c>
    </row>
    <row r="102" customFormat="false" ht="15" hidden="false" customHeight="false" outlineLevel="0" collapsed="false">
      <c r="A102" s="15" t="s">
        <v>873</v>
      </c>
      <c r="B102" s="29" t="s">
        <v>891</v>
      </c>
      <c r="C102" s="15" t="s">
        <v>397</v>
      </c>
      <c r="D102" s="15" t="s">
        <v>2675</v>
      </c>
      <c r="E102" s="15" t="s">
        <v>2518</v>
      </c>
      <c r="F102" s="15" t="n">
        <v>28</v>
      </c>
      <c r="G102" s="15" t="s">
        <v>2362</v>
      </c>
      <c r="H102" s="15"/>
      <c r="I102" s="16" t="n">
        <v>0</v>
      </c>
      <c r="J102" s="15"/>
      <c r="K102" s="16" t="n">
        <v>0</v>
      </c>
      <c r="L102" s="15" t="s">
        <v>358</v>
      </c>
      <c r="M102" s="15" t="n">
        <v>4</v>
      </c>
      <c r="N102" s="30" t="n">
        <f aca="false">_xlfn.MAXIFS('Piece check'!$E$6:$E$1643,'Piece check'!$B$6:$B$1643,B102)</f>
        <v>1.6000004174487</v>
      </c>
      <c r="O102" s="31" t="n">
        <f aca="false">SUMIFS('Piece check'!$D$6:$D$1643,'Piece check'!$B$6:$B$1643,B102)</f>
        <v>64.5259976942913</v>
      </c>
      <c r="P102" s="32" t="n">
        <v>-2.62999882877022</v>
      </c>
      <c r="Q102" s="32" t="n">
        <v>-2.88918020872435</v>
      </c>
      <c r="R102" s="30" t="n">
        <f aca="false">_xlfn.MINIFS('Piece check'!$K$6:$K$1643,'Piece check'!$B$6:$B$1643,B102)</f>
        <v>-2.88918020872435</v>
      </c>
      <c r="S102" s="18" t="n">
        <f aca="false">MAX(0,GWL-R102)</f>
        <v>1.38918020872435</v>
      </c>
      <c r="T102" s="18" t="n">
        <f aca="false">MAX(0,NG-R102)</f>
        <v>2.18918020872435</v>
      </c>
      <c r="U102" s="31" t="n">
        <f aca="false">SUMIFS('Piece check'!$R$6:$R$1643,'Piece check'!$B$6:$B$1643,B102)</f>
        <v>40.0000000004688</v>
      </c>
      <c r="V102" s="21" t="n">
        <f aca="false">O102-U102</f>
        <v>24.5259976938225</v>
      </c>
      <c r="W102" s="12" t="str">
        <f aca="false">IF(U102&lt;0.05,"Open cut",IF(V102&lt;0.05,"Sheet piles","Mixed: "&amp;TEXT(U102,"0")&amp;" m sheet piles"))</f>
        <v>Mixed: 40 m sheet piles</v>
      </c>
      <c r="X102" s="33" t="n">
        <f aca="false">SUMIFS('Piece check'!$V$6:$V$1643,'Piece check'!$B$6:$B$1643,B102)</f>
        <v>250.806709515872</v>
      </c>
      <c r="Y102" s="33" t="n">
        <f aca="false">SUMIFS('Piece check'!$W$6:$W$1643,'Piece check'!$B$6:$B$1643,B102)</f>
        <v>356.588651137808</v>
      </c>
      <c r="Z102" s="33" t="n">
        <f aca="false">SUMIFS('Piece check'!$X$6:$X$1643,'Piece check'!$B$6:$B$1643,B102)</f>
        <v>72.4836016512829</v>
      </c>
      <c r="AA102" s="33" t="n">
        <f aca="false">SUMIFS('Piece check'!$Y$6:$Y$1643,'Piece check'!$B$6:$B$1643,B102)</f>
        <v>79.5902906871674</v>
      </c>
      <c r="AB102" s="20" t="n">
        <f aca="false">MAX(0,X102+Y102-Z102-AA102)</f>
        <v>455.32146831523</v>
      </c>
      <c r="AC102" s="20" t="n">
        <f aca="false">(ROUNDUP(O102/PILE_SP,0)+1)*IF(N102&gt;=PILE_THR,PILE_N_LARGE,PILE_N_SMALL)</f>
        <v>46</v>
      </c>
      <c r="AD102" s="20" t="n">
        <f aca="false">2*U102</f>
        <v>80.0000000009377</v>
      </c>
      <c r="AE102" s="34" t="n">
        <f aca="false">IF(U102&gt;0,ROUNDUP(T102*SHEET_RATIO,0),0)</f>
        <v>5</v>
      </c>
      <c r="AF102" s="20" t="n">
        <f aca="false">AD102*AE102</f>
        <v>400.000000004688</v>
      </c>
      <c r="AG102" s="18" t="n">
        <f aca="false">MAX(0,GWL-(R102-DD_BELOW))</f>
        <v>1.88918020872435</v>
      </c>
      <c r="AH102" s="12" t="str">
        <f aca="false">IF(AG102=0,"Not required",IF(AG102&lt;=WP_LIMIT,"Single-stage wellpoints","Deep wells or two-stage wellpoints"))</f>
        <v>Single-stage wellpoints</v>
      </c>
      <c r="AI102" s="30" t="n">
        <f aca="false">MIN(_xlfn.MINIFS('Piece check'!$Z$6:$Z$1643,'Piece check'!$B$6:$B$1643,B102),_xlfn.MINIFS('Piece check'!$AA$6:$AA$1643,'Piece check'!$B$6:$B$1643,B102))</f>
        <v>0.119365871409555</v>
      </c>
      <c r="AJ102" s="30" t="n">
        <f aca="false">MIN(_xlfn.MINIFS('Piece check'!$AB$6:$AB$1643,'Piece check'!$B$6:$B$1643,B102),_xlfn.MINIFS('Piece check'!$AC$6:$AC$1643,'Piece check'!$B$6:$B$1643,B102))</f>
        <v>2.60159828117816</v>
      </c>
      <c r="AK102" s="12" t="str">
        <f aca="false">IF(AJ102&lt;FOS_FLOT,"Anchor pipe to piled slab (permanent straps)",IF(AI102&lt;FOS_FLOT,"Keep dewatering on until fill reaches FL, or strap to slab","No extra measure"))</f>
        <v>Keep dewatering on until fill reaches FL, or strap to slab</v>
      </c>
      <c r="AL102" s="35" t="n">
        <f aca="false">Activities!P1063</f>
        <v>46423</v>
      </c>
      <c r="AM102" s="35" t="n">
        <f aca="false">Activities!Q1072</f>
        <v>46626</v>
      </c>
      <c r="AN102" s="15" t="n">
        <v>195</v>
      </c>
      <c r="AO102" s="36" t="s">
        <v>2564</v>
      </c>
      <c r="AP102" s="36" t="s">
        <v>2673</v>
      </c>
      <c r="AQ102" s="36" t="s">
        <v>2676</v>
      </c>
      <c r="AR102" s="37" t="n">
        <f aca="false">Activities!P1071-Activities!Q1069</f>
        <v>-5</v>
      </c>
      <c r="AS102" s="37" t="n">
        <f aca="false">IF(Activities!K1066=0,0,Activities!Q1072-Activities!P1066)</f>
        <v>65</v>
      </c>
    </row>
    <row r="103" customFormat="false" ht="15" hidden="false" customHeight="false" outlineLevel="0" collapsed="false">
      <c r="A103" s="15" t="s">
        <v>873</v>
      </c>
      <c r="B103" s="29" t="s">
        <v>879</v>
      </c>
      <c r="C103" s="15" t="s">
        <v>397</v>
      </c>
      <c r="D103" s="15" t="s">
        <v>2677</v>
      </c>
      <c r="E103" s="15" t="s">
        <v>2518</v>
      </c>
      <c r="F103" s="15" t="n">
        <v>28</v>
      </c>
      <c r="G103" s="15" t="s">
        <v>2362</v>
      </c>
      <c r="H103" s="15"/>
      <c r="I103" s="16" t="n">
        <v>0</v>
      </c>
      <c r="J103" s="15"/>
      <c r="K103" s="16" t="n">
        <v>0</v>
      </c>
      <c r="L103" s="15" t="s">
        <v>358</v>
      </c>
      <c r="M103" s="15" t="n">
        <v>2</v>
      </c>
      <c r="N103" s="30" t="n">
        <f aca="false">_xlfn.MAXIFS('Piece check'!$E$6:$E$1643,'Piece check'!$B$6:$B$1643,B103)</f>
        <v>1.1999992502238</v>
      </c>
      <c r="O103" s="31" t="n">
        <f aca="false">SUMIFS('Piece check'!$D$6:$D$1643,'Piece check'!$B$6:$B$1643,B103)</f>
        <v>69.9458040947557</v>
      </c>
      <c r="P103" s="32" t="n">
        <v>-2.6957696251119</v>
      </c>
      <c r="Q103" s="32" t="n">
        <v>-2.62999882877022</v>
      </c>
      <c r="R103" s="30" t="n">
        <f aca="false">_xlfn.MINIFS('Piece check'!$K$6:$K$1643,'Piece check'!$B$6:$B$1643,B103)</f>
        <v>-2.6957696251119</v>
      </c>
      <c r="S103" s="18" t="n">
        <f aca="false">MAX(0,GWL-R103)</f>
        <v>1.1957696251119</v>
      </c>
      <c r="T103" s="18" t="n">
        <f aca="false">MAX(0,NG-R103)</f>
        <v>1.9957696251119</v>
      </c>
      <c r="U103" s="31" t="n">
        <f aca="false">SUMIFS('Piece check'!$R$6:$R$1643,'Piece check'!$B$6:$B$1643,B103)</f>
        <v>0</v>
      </c>
      <c r="V103" s="21" t="n">
        <f aca="false">O103-U103</f>
        <v>69.9458040947557</v>
      </c>
      <c r="W103" s="12" t="str">
        <f aca="false">IF(U103&lt;0.05,"Open cut",IF(V103&lt;0.05,"Sheet piles","Mixed: "&amp;TEXT(U103,"0")&amp;" m sheet piles"))</f>
        <v>Open cut</v>
      </c>
      <c r="X103" s="33" t="n">
        <f aca="false">SUMIFS('Piece check'!$V$6:$V$1643,'Piece check'!$B$6:$B$1643,B103)</f>
        <v>0</v>
      </c>
      <c r="Y103" s="33" t="n">
        <f aca="false">SUMIFS('Piece check'!$W$6:$W$1643,'Piece check'!$B$6:$B$1643,B103)</f>
        <v>952.931866307583</v>
      </c>
      <c r="Z103" s="33" t="n">
        <f aca="false">SUMIFS('Piece check'!$X$6:$X$1643,'Piece check'!$B$6:$B$1643,B103)</f>
        <v>76.9403523167699</v>
      </c>
      <c r="AA103" s="33" t="n">
        <f aca="false">SUMIFS('Piece check'!$Y$6:$Y$1643,'Piece check'!$B$6:$B$1643,B103)</f>
        <v>79.1067194018547</v>
      </c>
      <c r="AB103" s="20" t="n">
        <f aca="false">MAX(0,X103+Y103-Z103-AA103)</f>
        <v>796.884794588959</v>
      </c>
      <c r="AC103" s="20" t="n">
        <f aca="false">(ROUNDUP(O103/PILE_SP,0)+1)*IF(N103&gt;=PILE_THR,PILE_N_LARGE,PILE_N_SMALL)</f>
        <v>50</v>
      </c>
      <c r="AD103" s="20" t="n">
        <f aca="false">2*U103</f>
        <v>0</v>
      </c>
      <c r="AE103" s="34" t="n">
        <f aca="false">IF(U103&gt;0,ROUNDUP(T103*SHEET_RATIO,0),0)</f>
        <v>0</v>
      </c>
      <c r="AF103" s="20" t="n">
        <f aca="false">AD103*AE103</f>
        <v>0</v>
      </c>
      <c r="AG103" s="18" t="n">
        <f aca="false">MAX(0,GWL-(R103-DD_BELOW))</f>
        <v>1.6957696251119</v>
      </c>
      <c r="AH103" s="12" t="str">
        <f aca="false">IF(AG103=0,"Not required",IF(AG103&lt;=WP_LIMIT,"Single-stage wellpoints","Deep wells or two-stage wellpoints"))</f>
        <v>Single-stage wellpoints</v>
      </c>
      <c r="AI103" s="30" t="n">
        <f aca="false">MIN(_xlfn.MINIFS('Piece check'!$Z$6:$Z$1643,'Piece check'!$B$6:$B$1643,B103),_xlfn.MINIFS('Piece check'!$AA$6:$AA$1643,'Piece check'!$B$6:$B$1643,B103))</f>
        <v>0.447776384687189</v>
      </c>
      <c r="AJ103" s="30" t="n">
        <f aca="false">MIN(_xlfn.MINIFS('Piece check'!$AB$6:$AB$1643,'Piece check'!$B$6:$B$1643,B103),_xlfn.MINIFS('Piece check'!$AC$6:$AC$1643,'Piece check'!$B$6:$B$1643,B103))</f>
        <v>3.75742252912749</v>
      </c>
      <c r="AK103" s="12" t="str">
        <f aca="false">IF(AJ103&lt;FOS_FLOT,"Anchor pipe to piled slab (permanent straps)",IF(AI103&lt;FOS_FLOT,"Keep dewatering on until fill reaches FL, or strap to slab","No extra measure"))</f>
        <v>Keep dewatering on until fill reaches FL, or strap to slab</v>
      </c>
      <c r="AL103" s="35" t="n">
        <f aca="false">Activities!P1074</f>
        <v>46436</v>
      </c>
      <c r="AM103" s="35" t="n">
        <f aca="false">Activities!Q1083</f>
        <v>46637</v>
      </c>
      <c r="AN103" s="15" t="n">
        <v>196</v>
      </c>
      <c r="AO103" s="36" t="s">
        <v>2564</v>
      </c>
      <c r="AP103" s="36" t="s">
        <v>2416</v>
      </c>
      <c r="AQ103" s="36" t="s">
        <v>2365</v>
      </c>
      <c r="AR103" s="37" t="n">
        <f aca="false">Activities!P1082-Activities!Q1080</f>
        <v>-5</v>
      </c>
      <c r="AS103" s="37" t="n">
        <f aca="false">IF(Activities!K1077=0,0,Activities!Q1083-Activities!P1077)</f>
        <v>73</v>
      </c>
    </row>
    <row r="104" customFormat="false" ht="15" hidden="false" customHeight="false" outlineLevel="0" collapsed="false">
      <c r="A104" s="15" t="s">
        <v>873</v>
      </c>
      <c r="B104" s="29" t="s">
        <v>874</v>
      </c>
      <c r="C104" s="15" t="s">
        <v>397</v>
      </c>
      <c r="D104" s="15" t="s">
        <v>2678</v>
      </c>
      <c r="E104" s="15" t="s">
        <v>2518</v>
      </c>
      <c r="F104" s="15" t="n">
        <v>28</v>
      </c>
      <c r="G104" s="15" t="s">
        <v>2367</v>
      </c>
      <c r="H104" s="15" t="s">
        <v>325</v>
      </c>
      <c r="I104" s="35" t="n">
        <f aca="false">MAX(Structures!$H$17)</f>
        <v>0</v>
      </c>
      <c r="J104" s="15"/>
      <c r="K104" s="16" t="n">
        <v>0</v>
      </c>
      <c r="L104" s="15" t="s">
        <v>358</v>
      </c>
      <c r="M104" s="15" t="n">
        <v>2</v>
      </c>
      <c r="N104" s="30" t="n">
        <f aca="false">_xlfn.MAXIFS('Piece check'!$E$6:$E$1643,'Piece check'!$B$6:$B$1643,B104)</f>
        <v>1.1999992502238</v>
      </c>
      <c r="O104" s="31" t="n">
        <f aca="false">SUMIFS('Piece check'!$D$6:$D$1643,'Piece check'!$B$6:$B$1643,B104)</f>
        <v>15.254195905686</v>
      </c>
      <c r="P104" s="32" t="n">
        <v>-2.69999803948261</v>
      </c>
      <c r="Q104" s="32" t="n">
        <v>-2.6957696251119</v>
      </c>
      <c r="R104" s="30" t="n">
        <f aca="false">_xlfn.MINIFS('Piece check'!$K$6:$K$1643,'Piece check'!$B$6:$B$1643,B104)</f>
        <v>-2.69999803948261</v>
      </c>
      <c r="S104" s="18" t="n">
        <f aca="false">MAX(0,GWL-R104)</f>
        <v>1.19999803948261</v>
      </c>
      <c r="T104" s="18" t="n">
        <f aca="false">MAX(0,NG-R104)</f>
        <v>1.99999803948261</v>
      </c>
      <c r="U104" s="31" t="n">
        <f aca="false">SUMIFS('Piece check'!$R$6:$R$1643,'Piece check'!$B$6:$B$1643,B104)</f>
        <v>0</v>
      </c>
      <c r="V104" s="21" t="n">
        <f aca="false">O104-U104</f>
        <v>15.254195905686</v>
      </c>
      <c r="W104" s="12" t="str">
        <f aca="false">IF(U104&lt;0.05,"Open cut",IF(V104&lt;0.05,"Sheet piles","Mixed: "&amp;TEXT(U104,"0")&amp;" m sheet piles"))</f>
        <v>Open cut</v>
      </c>
      <c r="X104" s="33" t="n">
        <f aca="false">SUMIFS('Piece check'!$V$6:$V$1643,'Piece check'!$B$6:$B$1643,B104)</f>
        <v>0</v>
      </c>
      <c r="Y104" s="33" t="n">
        <f aca="false">SUMIFS('Piece check'!$W$6:$W$1643,'Piece check'!$B$6:$B$1643,B104)</f>
        <v>214.684895358001</v>
      </c>
      <c r="Z104" s="33" t="n">
        <f aca="false">SUMIFS('Piece check'!$X$6:$X$1643,'Piece check'!$B$6:$B$1643,B104)</f>
        <v>16.7795887265135</v>
      </c>
      <c r="AA104" s="33" t="n">
        <f aca="false">SUMIFS('Piece check'!$Y$6:$Y$1643,'Piece check'!$B$6:$B$1643,B104)</f>
        <v>17.2519882063552</v>
      </c>
      <c r="AB104" s="20" t="n">
        <f aca="false">MAX(0,X104+Y104-Z104-AA104)</f>
        <v>180.653318425133</v>
      </c>
      <c r="AC104" s="20" t="n">
        <f aca="false">(ROUNDUP(O104/PILE_SP,0)+1)*IF(N104&gt;=PILE_THR,PILE_N_LARGE,PILE_N_SMALL)</f>
        <v>14</v>
      </c>
      <c r="AD104" s="20" t="n">
        <f aca="false">2*U104</f>
        <v>0</v>
      </c>
      <c r="AE104" s="34" t="n">
        <f aca="false">IF(U104&gt;0,ROUNDUP(T104*SHEET_RATIO,0),0)</f>
        <v>0</v>
      </c>
      <c r="AF104" s="20" t="n">
        <f aca="false">AD104*AE104</f>
        <v>0</v>
      </c>
      <c r="AG104" s="18" t="n">
        <f aca="false">MAX(0,GWL-(R104-DD_BELOW))</f>
        <v>1.69999803948261</v>
      </c>
      <c r="AH104" s="12" t="str">
        <f aca="false">IF(AG104=0,"Not required",IF(AG104&lt;=WP_LIMIT,"Single-stage wellpoints","Deep wells or two-stage wellpoints"))</f>
        <v>Single-stage wellpoints</v>
      </c>
      <c r="AI104" s="30" t="n">
        <f aca="false">MIN(_xlfn.MINIFS('Piece check'!$Z$6:$Z$1643,'Piece check'!$B$6:$B$1643,B104),_xlfn.MINIFS('Piece check'!$AA$6:$AA$1643,'Piece check'!$B$6:$B$1643,B104))</f>
        <v>0.575820753463565</v>
      </c>
      <c r="AJ104" s="30" t="n">
        <f aca="false">MIN(_xlfn.MINIFS('Piece check'!$AB$6:$AB$1643,'Piece check'!$B$6:$B$1643,B104),_xlfn.MINIFS('Piece check'!$AC$6:$AC$1643,'Piece check'!$B$6:$B$1643,B104))</f>
        <v>3.88546689790386</v>
      </c>
      <c r="AK104" s="12" t="str">
        <f aca="false">IF(AJ104&lt;FOS_FLOT,"Anchor pipe to piled slab (permanent straps)",IF(AI104&lt;FOS_FLOT,"Keep dewatering on until fill reaches FL, or strap to slab","No extra measure"))</f>
        <v>Keep dewatering on until fill reaches FL, or strap to slab</v>
      </c>
      <c r="AL104" s="35" t="n">
        <f aca="false">Activities!P1085</f>
        <v>46448</v>
      </c>
      <c r="AM104" s="35" t="n">
        <f aca="false">Activities!Q1094</f>
        <v>46643</v>
      </c>
      <c r="AN104" s="15" t="n">
        <v>197</v>
      </c>
      <c r="AO104" s="36" t="s">
        <v>2532</v>
      </c>
      <c r="AP104" s="36" t="s">
        <v>2520</v>
      </c>
      <c r="AQ104" s="36" t="s">
        <v>2679</v>
      </c>
      <c r="AR104" s="37" t="n">
        <f aca="false">Activities!P1093-Activities!Q1091</f>
        <v>-2</v>
      </c>
      <c r="AS104" s="37" t="n">
        <f aca="false">IF(Activities!K1088=0,0,Activities!Q1094-Activities!P1088)</f>
        <v>192</v>
      </c>
    </row>
    <row r="105" customFormat="false" ht="15" hidden="false" customHeight="false" outlineLevel="0" collapsed="false">
      <c r="A105" s="15" t="s">
        <v>873</v>
      </c>
      <c r="B105" s="29" t="s">
        <v>939</v>
      </c>
      <c r="C105" s="15" t="s">
        <v>397</v>
      </c>
      <c r="D105" s="15" t="s">
        <v>2680</v>
      </c>
      <c r="E105" s="15" t="s">
        <v>2518</v>
      </c>
      <c r="F105" s="15" t="n">
        <v>28</v>
      </c>
      <c r="G105" s="15" t="s">
        <v>2362</v>
      </c>
      <c r="H105" s="15"/>
      <c r="I105" s="16" t="n">
        <v>0</v>
      </c>
      <c r="J105" s="15"/>
      <c r="K105" s="16" t="n">
        <v>0</v>
      </c>
      <c r="L105" s="15" t="s">
        <v>358</v>
      </c>
      <c r="M105" s="15" t="n">
        <v>0</v>
      </c>
      <c r="N105" s="30" t="n">
        <f aca="false">_xlfn.MAXIFS('Piece check'!$E$6:$E$1643,'Piece check'!$B$6:$B$1643,B105)</f>
        <v>1.19999440619039</v>
      </c>
      <c r="O105" s="31" t="n">
        <f aca="false">SUMIFS('Piece check'!$D$6:$D$1643,'Piece check'!$B$6:$B$1643,B105)</f>
        <v>5.27439258061504</v>
      </c>
      <c r="P105" s="32" t="n">
        <v>-2.6999972030952</v>
      </c>
      <c r="Q105" s="32" t="n">
        <v>-2.6891772030952</v>
      </c>
      <c r="R105" s="30" t="n">
        <f aca="false">_xlfn.MINIFS('Piece check'!$K$6:$K$1643,'Piece check'!$B$6:$B$1643,B105)</f>
        <v>-2.6999972030952</v>
      </c>
      <c r="S105" s="18" t="n">
        <f aca="false">MAX(0,GWL-R105)</f>
        <v>1.1999972030952</v>
      </c>
      <c r="T105" s="18" t="n">
        <f aca="false">MAX(0,NG-R105)</f>
        <v>1.9999972030952</v>
      </c>
      <c r="U105" s="31" t="n">
        <f aca="false">SUMIFS('Piece check'!$R$6:$R$1643,'Piece check'!$B$6:$B$1643,B105)</f>
        <v>0</v>
      </c>
      <c r="V105" s="21" t="n">
        <f aca="false">O105-U105</f>
        <v>5.27439258061504</v>
      </c>
      <c r="W105" s="12" t="str">
        <f aca="false">IF(U105&lt;0.05,"Open cut",IF(V105&lt;0.05,"Sheet piles","Mixed: "&amp;TEXT(U105,"0")&amp;" m sheet piles"))</f>
        <v>Open cut</v>
      </c>
      <c r="X105" s="33" t="n">
        <f aca="false">SUMIFS('Piece check'!$V$6:$V$1643,'Piece check'!$B$6:$B$1643,B105)</f>
        <v>0</v>
      </c>
      <c r="Y105" s="33" t="n">
        <f aca="false">SUMIFS('Piece check'!$W$6:$W$1643,'Piece check'!$B$6:$B$1643,B105)</f>
        <v>73.9439465317243</v>
      </c>
      <c r="Z105" s="33" t="n">
        <f aca="false">SUMIFS('Piece check'!$X$6:$X$1643,'Piece check'!$B$6:$B$1643,B105)</f>
        <v>5.8018170867026</v>
      </c>
      <c r="AA105" s="33" t="n">
        <f aca="false">SUMIFS('Piece check'!$Y$6:$Y$1643,'Piece check'!$B$6:$B$1643,B105)</f>
        <v>5.96514186052521</v>
      </c>
      <c r="AB105" s="20" t="n">
        <f aca="false">MAX(0,X105+Y105-Z105-AA105)</f>
        <v>62.1769875844965</v>
      </c>
      <c r="AC105" s="20" t="n">
        <f aca="false">(ROUNDUP(O105/PILE_SP,0)+1)*IF(N105&gt;=PILE_THR,PILE_N_LARGE,PILE_N_SMALL)</f>
        <v>6</v>
      </c>
      <c r="AD105" s="20" t="n">
        <f aca="false">2*U105</f>
        <v>0</v>
      </c>
      <c r="AE105" s="34" t="n">
        <f aca="false">IF(U105&gt;0,ROUNDUP(T105*SHEET_RATIO,0),0)</f>
        <v>0</v>
      </c>
      <c r="AF105" s="20" t="n">
        <f aca="false">AD105*AE105</f>
        <v>0</v>
      </c>
      <c r="AG105" s="18" t="n">
        <f aca="false">MAX(0,GWL-(R105-DD_BELOW))</f>
        <v>1.6999972030952</v>
      </c>
      <c r="AH105" s="12" t="str">
        <f aca="false">IF(AG105=0,"Not required",IF(AG105&lt;=WP_LIMIT,"Single-stage wellpoints","Deep wells or two-stage wellpoints"))</f>
        <v>Single-stage wellpoints</v>
      </c>
      <c r="AI105" s="30" t="n">
        <f aca="false">MIN(_xlfn.MINIFS('Piece check'!$Z$6:$Z$1643,'Piece check'!$B$6:$B$1643,B105),_xlfn.MINIFS('Piece check'!$AA$6:$AA$1643,'Piece check'!$B$6:$B$1643,B105))</f>
        <v>0.562997995484361</v>
      </c>
      <c r="AJ105" s="30" t="n">
        <f aca="false">MIN(_xlfn.MINIFS('Piece check'!$AB$6:$AB$1643,'Piece check'!$B$6:$B$1643,B105),_xlfn.MINIFS('Piece check'!$AC$6:$AC$1643,'Piece check'!$B$6:$B$1643,B105))</f>
        <v>3.87265750001734</v>
      </c>
      <c r="AK105" s="12" t="str">
        <f aca="false">IF(AJ105&lt;FOS_FLOT,"Anchor pipe to piled slab (permanent straps)",IF(AI105&lt;FOS_FLOT,"Keep dewatering on until fill reaches FL, or strap to slab","No extra measure"))</f>
        <v>Keep dewatering on until fill reaches FL, or strap to slab</v>
      </c>
      <c r="AL105" s="35" t="n">
        <f aca="false">Activities!P1096</f>
        <v>46448</v>
      </c>
      <c r="AM105" s="35" t="n">
        <f aca="false">Activities!Q1105</f>
        <v>46642</v>
      </c>
      <c r="AN105" s="15" t="n">
        <v>198</v>
      </c>
      <c r="AO105" s="36" t="s">
        <v>2564</v>
      </c>
      <c r="AP105" s="36" t="s">
        <v>2416</v>
      </c>
      <c r="AQ105" s="36" t="s">
        <v>2674</v>
      </c>
      <c r="AR105" s="37" t="n">
        <f aca="false">Activities!P1104-Activities!Q1102</f>
        <v>-1</v>
      </c>
      <c r="AS105" s="37" t="n">
        <f aca="false">IF(Activities!K1099=0,0,Activities!Q1105-Activities!P1099)</f>
        <v>73</v>
      </c>
    </row>
    <row r="106" customFormat="false" ht="15" hidden="false" customHeight="false" outlineLevel="0" collapsed="false">
      <c r="A106" s="15" t="s">
        <v>873</v>
      </c>
      <c r="B106" s="29" t="s">
        <v>934</v>
      </c>
      <c r="C106" s="15" t="s">
        <v>397</v>
      </c>
      <c r="D106" s="15" t="s">
        <v>2681</v>
      </c>
      <c r="E106" s="15" t="s">
        <v>2518</v>
      </c>
      <c r="F106" s="15" t="n">
        <v>28</v>
      </c>
      <c r="G106" s="15" t="s">
        <v>2367</v>
      </c>
      <c r="H106" s="15" t="s">
        <v>321</v>
      </c>
      <c r="I106" s="35" t="n">
        <f aca="false">MAX(Structures!$H$15)</f>
        <v>0</v>
      </c>
      <c r="J106" s="15"/>
      <c r="K106" s="16" t="n">
        <v>0</v>
      </c>
      <c r="L106" s="15" t="s">
        <v>358</v>
      </c>
      <c r="M106" s="15" t="n">
        <v>2</v>
      </c>
      <c r="N106" s="30" t="n">
        <f aca="false">_xlfn.MAXIFS('Piece check'!$E$6:$E$1643,'Piece check'!$B$6:$B$1643,B106)</f>
        <v>1.19999765754189</v>
      </c>
      <c r="O106" s="31" t="n">
        <f aca="false">SUMIFS('Piece check'!$D$6:$D$1643,'Piece check'!$B$6:$B$1643,B106)</f>
        <v>11.1247691312714</v>
      </c>
      <c r="P106" s="32" t="n">
        <v>-2.69999882877095</v>
      </c>
      <c r="Q106" s="32" t="n">
        <v>-2.69999882877095</v>
      </c>
      <c r="R106" s="30" t="n">
        <f aca="false">_xlfn.MINIFS('Piece check'!$K$6:$K$1643,'Piece check'!$B$6:$B$1643,B106)</f>
        <v>-2.69999882877095</v>
      </c>
      <c r="S106" s="18" t="n">
        <f aca="false">MAX(0,GWL-R106)</f>
        <v>1.19999882877095</v>
      </c>
      <c r="T106" s="18" t="n">
        <f aca="false">MAX(0,NG-R106)</f>
        <v>1.99999882877095</v>
      </c>
      <c r="U106" s="31" t="n">
        <f aca="false">SUMIFS('Piece check'!$R$6:$R$1643,'Piece check'!$B$6:$B$1643,B106)</f>
        <v>0</v>
      </c>
      <c r="V106" s="21" t="n">
        <f aca="false">O106-U106</f>
        <v>11.1247691312714</v>
      </c>
      <c r="W106" s="12" t="str">
        <f aca="false">IF(U106&lt;0.05,"Open cut",IF(V106&lt;0.05,"Sheet piles","Mixed: "&amp;TEXT(U106,"0")&amp;" m sheet piles"))</f>
        <v>Open cut</v>
      </c>
      <c r="X106" s="33" t="n">
        <f aca="false">SUMIFS('Piece check'!$V$6:$V$1643,'Piece check'!$B$6:$B$1643,B106)</f>
        <v>0</v>
      </c>
      <c r="Y106" s="33" t="n">
        <f aca="false">SUMIFS('Piece check'!$W$6:$W$1643,'Piece check'!$B$6:$B$1643,B106)</f>
        <v>156.636551317639</v>
      </c>
      <c r="Z106" s="33" t="n">
        <f aca="false">SUMIFS('Piece check'!$X$6:$X$1643,'Piece check'!$B$6:$B$1643,B106)</f>
        <v>12.2372330147457</v>
      </c>
      <c r="AA106" s="33" t="n">
        <f aca="false">SUMIFS('Piece check'!$Y$6:$Y$1643,'Piece check'!$B$6:$B$1643,B106)</f>
        <v>12.5817683506605</v>
      </c>
      <c r="AB106" s="20" t="n">
        <f aca="false">MAX(0,X106+Y106-Z106-AA106)</f>
        <v>131.817549952233</v>
      </c>
      <c r="AC106" s="20" t="n">
        <f aca="false">(ROUNDUP(O106/PILE_SP,0)+1)*IF(N106&gt;=PILE_THR,PILE_N_LARGE,PILE_N_SMALL)</f>
        <v>10</v>
      </c>
      <c r="AD106" s="20" t="n">
        <f aca="false">2*U106</f>
        <v>0</v>
      </c>
      <c r="AE106" s="34" t="n">
        <f aca="false">IF(U106&gt;0,ROUNDUP(T106*SHEET_RATIO,0),0)</f>
        <v>0</v>
      </c>
      <c r="AF106" s="20" t="n">
        <f aca="false">AD106*AE106</f>
        <v>0</v>
      </c>
      <c r="AG106" s="18" t="n">
        <f aca="false">MAX(0,GWL-(R106-DD_BELOW))</f>
        <v>1.69999882877095</v>
      </c>
      <c r="AH106" s="12" t="str">
        <f aca="false">IF(AG106=0,"Not required",IF(AG106&lt;=WP_LIMIT,"Single-stage wellpoints","Deep wells or two-stage wellpoints"))</f>
        <v>Single-stage wellpoints</v>
      </c>
      <c r="AI106" s="30" t="n">
        <f aca="false">MIN(_xlfn.MINIFS('Piece check'!$Z$6:$Z$1643,'Piece check'!$B$6:$B$1643,B106),_xlfn.MINIFS('Piece check'!$AA$6:$AA$1643,'Piece check'!$B$6:$B$1643,B106))</f>
        <v>0.584058257351126</v>
      </c>
      <c r="AJ106" s="30" t="n">
        <f aca="false">MIN(_xlfn.MINIFS('Piece check'!$AB$6:$AB$1643,'Piece check'!$B$6:$B$1643,B106),_xlfn.MINIFS('Piece check'!$AC$6:$AC$1643,'Piece check'!$B$6:$B$1643,B106))</f>
        <v>3.89370879447795</v>
      </c>
      <c r="AK106" s="12" t="str">
        <f aca="false">IF(AJ106&lt;FOS_FLOT,"Anchor pipe to piled slab (permanent straps)",IF(AI106&lt;FOS_FLOT,"Keep dewatering on until fill reaches FL, or strap to slab","No extra measure"))</f>
        <v>Keep dewatering on until fill reaches FL, or strap to slab</v>
      </c>
      <c r="AL106" s="35" t="n">
        <f aca="false">Activities!P1107</f>
        <v>46460</v>
      </c>
      <c r="AM106" s="35" t="n">
        <f aca="false">Activities!Q1116</f>
        <v>46648</v>
      </c>
      <c r="AN106" s="15" t="n">
        <v>199</v>
      </c>
      <c r="AO106" s="36" t="s">
        <v>2682</v>
      </c>
      <c r="AP106" s="36" t="s">
        <v>2683</v>
      </c>
      <c r="AQ106" s="36" t="s">
        <v>2684</v>
      </c>
      <c r="AR106" s="37" t="n">
        <f aca="false">Activities!P1115-Activities!Q1113</f>
        <v>-2</v>
      </c>
      <c r="AS106" s="37" t="n">
        <f aca="false">IF(Activities!K1110=0,0,Activities!Q1116-Activities!P1110)</f>
        <v>186</v>
      </c>
    </row>
    <row r="107" customFormat="false" ht="15" hidden="false" customHeight="false" outlineLevel="0" collapsed="false">
      <c r="A107" s="15" t="s">
        <v>873</v>
      </c>
      <c r="B107" s="29" t="s">
        <v>941</v>
      </c>
      <c r="C107" s="15" t="s">
        <v>397</v>
      </c>
      <c r="D107" s="15" t="s">
        <v>2685</v>
      </c>
      <c r="E107" s="15" t="s">
        <v>2518</v>
      </c>
      <c r="F107" s="15" t="n">
        <v>28</v>
      </c>
      <c r="G107" s="15" t="s">
        <v>2367</v>
      </c>
      <c r="H107" s="15" t="s">
        <v>323</v>
      </c>
      <c r="I107" s="35" t="n">
        <f aca="false">MAX(Structures!$H$16)</f>
        <v>0</v>
      </c>
      <c r="J107" s="15"/>
      <c r="K107" s="16" t="n">
        <v>0</v>
      </c>
      <c r="L107" s="15" t="s">
        <v>358</v>
      </c>
      <c r="M107" s="15" t="n">
        <v>0</v>
      </c>
      <c r="N107" s="30" t="n">
        <f aca="false">_xlfn.MAXIFS('Piece check'!$E$6:$E$1643,'Piece check'!$B$6:$B$1643,B107)</f>
        <v>1.19999765737725</v>
      </c>
      <c r="O107" s="31" t="n">
        <f aca="false">SUMIFS('Piece check'!$D$6:$D$1643,'Piece check'!$B$6:$B$1643,B107)</f>
        <v>6.00000000015761</v>
      </c>
      <c r="P107" s="32" t="n">
        <v>-2.63458882868863</v>
      </c>
      <c r="Q107" s="32" t="n">
        <v>-2.63458882868863</v>
      </c>
      <c r="R107" s="30" t="n">
        <f aca="false">_xlfn.MINIFS('Piece check'!$K$6:$K$1643,'Piece check'!$B$6:$B$1643,B107)</f>
        <v>-2.63458882868863</v>
      </c>
      <c r="S107" s="18" t="n">
        <f aca="false">MAX(0,GWL-R107)</f>
        <v>1.13458882868863</v>
      </c>
      <c r="T107" s="18" t="n">
        <f aca="false">MAX(0,NG-R107)</f>
        <v>1.93458882868863</v>
      </c>
      <c r="U107" s="31" t="n">
        <f aca="false">SUMIFS('Piece check'!$R$6:$R$1643,'Piece check'!$B$6:$B$1643,B107)</f>
        <v>0</v>
      </c>
      <c r="V107" s="21" t="n">
        <f aca="false">O107-U107</f>
        <v>6.00000000015761</v>
      </c>
      <c r="W107" s="12" t="str">
        <f aca="false">IF(U107&lt;0.05,"Open cut",IF(V107&lt;0.05,"Sheet piles","Mixed: "&amp;TEXT(U107,"0")&amp;" m sheet piles"))</f>
        <v>Open cut</v>
      </c>
      <c r="X107" s="33" t="n">
        <f aca="false">SUMIFS('Piece check'!$V$6:$V$1643,'Piece check'!$B$6:$B$1643,B107)</f>
        <v>0</v>
      </c>
      <c r="Y107" s="33" t="n">
        <f aca="false">SUMIFS('Piece check'!$W$6:$W$1643,'Piece check'!$B$6:$B$1643,B107)</f>
        <v>80.1356855538977</v>
      </c>
      <c r="Z107" s="33" t="n">
        <f aca="false">SUMIFS('Piece check'!$X$6:$X$1643,'Piece check'!$B$6:$B$1643,B107)</f>
        <v>6.59999297230512</v>
      </c>
      <c r="AA107" s="33" t="n">
        <f aca="false">SUMIFS('Piece check'!$Y$6:$Y$1643,'Piece check'!$B$6:$B$1643,B107)</f>
        <v>6.78581363751895</v>
      </c>
      <c r="AB107" s="20" t="n">
        <f aca="false">MAX(0,X107+Y107-Z107-AA107)</f>
        <v>66.7498789440737</v>
      </c>
      <c r="AC107" s="20" t="n">
        <f aca="false">(ROUNDUP(O107/PILE_SP,0)+1)*IF(N107&gt;=PILE_THR,PILE_N_LARGE,PILE_N_SMALL)</f>
        <v>8</v>
      </c>
      <c r="AD107" s="20" t="n">
        <f aca="false">2*U107</f>
        <v>0</v>
      </c>
      <c r="AE107" s="34" t="n">
        <f aca="false">IF(U107&gt;0,ROUNDUP(T107*SHEET_RATIO,0),0)</f>
        <v>0</v>
      </c>
      <c r="AF107" s="20" t="n">
        <f aca="false">AD107*AE107</f>
        <v>0</v>
      </c>
      <c r="AG107" s="18" t="n">
        <f aca="false">MAX(0,GWL-(R107-DD_BELOW))</f>
        <v>1.63458882868863</v>
      </c>
      <c r="AH107" s="12" t="str">
        <f aca="false">IF(AG107=0,"Not required",IF(AG107&lt;=WP_LIMIT,"Single-stage wellpoints","Deep wells or two-stage wellpoints"))</f>
        <v>Single-stage wellpoints</v>
      </c>
      <c r="AI107" s="30" t="n">
        <f aca="false">MIN(_xlfn.MINIFS('Piece check'!$Z$6:$Z$1643,'Piece check'!$B$6:$B$1643,B107),_xlfn.MINIFS('Piece check'!$AA$6:$AA$1643,'Piece check'!$B$6:$B$1643,B107))</f>
        <v>0.456714586024958</v>
      </c>
      <c r="AJ107" s="30" t="n">
        <f aca="false">MIN(_xlfn.MINIFS('Piece check'!$AB$6:$AB$1643,'Piece check'!$B$6:$B$1643,B107),_xlfn.MINIFS('Piece check'!$AC$6:$AC$1643,'Piece check'!$B$6:$B$1643,B107))</f>
        <v>3.76636512360587</v>
      </c>
      <c r="AK107" s="12" t="str">
        <f aca="false">IF(AJ107&lt;FOS_FLOT,"Anchor pipe to piled slab (permanent straps)",IF(AI107&lt;FOS_FLOT,"Keep dewatering on until fill reaches FL, or strap to slab","No extra measure"))</f>
        <v>Keep dewatering on until fill reaches FL, or strap to slab</v>
      </c>
      <c r="AL107" s="35" t="n">
        <f aca="false">Activities!P1118</f>
        <v>46406</v>
      </c>
      <c r="AM107" s="35" t="n">
        <f aca="false">Activities!Q1127</f>
        <v>46593</v>
      </c>
      <c r="AN107" s="15" t="n">
        <v>200</v>
      </c>
      <c r="AO107" s="36" t="s">
        <v>2519</v>
      </c>
      <c r="AP107" s="36" t="s">
        <v>2686</v>
      </c>
      <c r="AQ107" s="36" t="s">
        <v>2687</v>
      </c>
      <c r="AR107" s="37" t="n">
        <f aca="false">Activities!P1126-Activities!Q1124</f>
        <v>-1</v>
      </c>
      <c r="AS107" s="37" t="n">
        <f aca="false">IF(Activities!K1121=0,0,Activities!Q1127-Activities!P1121)</f>
        <v>185</v>
      </c>
    </row>
    <row r="108" customFormat="false" ht="15" hidden="false" customHeight="false" outlineLevel="0" collapsed="false">
      <c r="A108" s="15" t="s">
        <v>873</v>
      </c>
      <c r="B108" s="29" t="s">
        <v>950</v>
      </c>
      <c r="C108" s="15" t="s">
        <v>397</v>
      </c>
      <c r="D108" s="15" t="s">
        <v>2688</v>
      </c>
      <c r="E108" s="15" t="s">
        <v>2518</v>
      </c>
      <c r="F108" s="15" t="n">
        <v>28</v>
      </c>
      <c r="G108" s="15" t="s">
        <v>2367</v>
      </c>
      <c r="H108" s="15" t="s">
        <v>327</v>
      </c>
      <c r="I108" s="35" t="n">
        <f aca="false">MAX(Structures!$H$18)</f>
        <v>0</v>
      </c>
      <c r="J108" s="15"/>
      <c r="K108" s="16" t="n">
        <v>0</v>
      </c>
      <c r="L108" s="15" t="s">
        <v>358</v>
      </c>
      <c r="M108" s="15" t="n">
        <v>0</v>
      </c>
      <c r="N108" s="30" t="n">
        <f aca="false">_xlfn.MAXIFS('Piece check'!$E$6:$E$1643,'Piece check'!$B$6:$B$1643,B108)</f>
        <v>1.1999981460019</v>
      </c>
      <c r="O108" s="31" t="n">
        <f aca="false">SUMIFS('Piece check'!$D$6:$D$1643,'Piece check'!$B$6:$B$1643,B108)</f>
        <v>5.9999999998824</v>
      </c>
      <c r="P108" s="32" t="n">
        <v>-2.64335907300095</v>
      </c>
      <c r="Q108" s="32" t="n">
        <v>-2.64335907300095</v>
      </c>
      <c r="R108" s="30" t="n">
        <f aca="false">_xlfn.MINIFS('Piece check'!$K$6:$K$1643,'Piece check'!$B$6:$B$1643,B108)</f>
        <v>-2.64335907300095</v>
      </c>
      <c r="S108" s="18" t="n">
        <f aca="false">MAX(0,GWL-R108)</f>
        <v>1.14335907300095</v>
      </c>
      <c r="T108" s="18" t="n">
        <f aca="false">MAX(0,NG-R108)</f>
        <v>1.94335907300095</v>
      </c>
      <c r="U108" s="31" t="n">
        <f aca="false">SUMIFS('Piece check'!$R$6:$R$1643,'Piece check'!$B$6:$B$1643,B108)</f>
        <v>0</v>
      </c>
      <c r="V108" s="21" t="n">
        <f aca="false">O108-U108</f>
        <v>5.9999999998824</v>
      </c>
      <c r="W108" s="12" t="str">
        <f aca="false">IF(U108&lt;0.05,"Open cut",IF(V108&lt;0.05,"Sheet piles","Mixed: "&amp;TEXT(U108,"0")&amp;" m sheet piles"))</f>
        <v>Open cut</v>
      </c>
      <c r="X108" s="33" t="n">
        <f aca="false">SUMIFS('Piece check'!$V$6:$V$1643,'Piece check'!$B$6:$B$1643,B108)</f>
        <v>0</v>
      </c>
      <c r="Y108" s="33" t="n">
        <f aca="false">SUMIFS('Piece check'!$W$6:$W$1643,'Piece check'!$B$6:$B$1643,B108)</f>
        <v>80.7122064215134</v>
      </c>
      <c r="Z108" s="33" t="n">
        <f aca="false">SUMIFS('Piece check'!$X$6:$X$1643,'Piece check'!$B$6:$B$1643,B108)</f>
        <v>6.59999443787634</v>
      </c>
      <c r="AA108" s="33" t="n">
        <f aca="false">SUMIFS('Piece check'!$Y$6:$Y$1643,'Piece check'!$B$6:$B$1643,B108)</f>
        <v>6.78581916341262</v>
      </c>
      <c r="AB108" s="20" t="n">
        <f aca="false">MAX(0,X108+Y108-Z108-AA108)</f>
        <v>67.3263928202245</v>
      </c>
      <c r="AC108" s="20" t="n">
        <f aca="false">(ROUNDUP(O108/PILE_SP,0)+1)*IF(N108&gt;=PILE_THR,PILE_N_LARGE,PILE_N_SMALL)</f>
        <v>6</v>
      </c>
      <c r="AD108" s="20" t="n">
        <f aca="false">2*U108</f>
        <v>0</v>
      </c>
      <c r="AE108" s="34" t="n">
        <f aca="false">IF(U108&gt;0,ROUNDUP(T108*SHEET_RATIO,0),0)</f>
        <v>0</v>
      </c>
      <c r="AF108" s="20" t="n">
        <f aca="false">AD108*AE108</f>
        <v>0</v>
      </c>
      <c r="AG108" s="18" t="n">
        <f aca="false">MAX(0,GWL-(R108-DD_BELOW))</f>
        <v>1.64335907300095</v>
      </c>
      <c r="AH108" s="12" t="str">
        <f aca="false">IF(AG108=0,"Not required",IF(AG108&lt;=WP_LIMIT,"Single-stage wellpoints","Deep wells or two-stage wellpoints"))</f>
        <v>Single-stage wellpoints</v>
      </c>
      <c r="AI108" s="30" t="n">
        <f aca="false">MIN(_xlfn.MINIFS('Piece check'!$Z$6:$Z$1643,'Piece check'!$B$6:$B$1643,B108),_xlfn.MINIFS('Piece check'!$AA$6:$AA$1643,'Piece check'!$B$6:$B$1643,B108))</f>
        <v>0.4737878205314</v>
      </c>
      <c r="AJ108" s="30" t="n">
        <f aca="false">MIN(_xlfn.MINIFS('Piece check'!$AB$6:$AB$1643,'Piece check'!$B$6:$B$1643,B108),_xlfn.MINIFS('Piece check'!$AC$6:$AC$1643,'Piece check'!$B$6:$B$1643,B108))</f>
        <v>3.78343701046287</v>
      </c>
      <c r="AK108" s="12" t="str">
        <f aca="false">IF(AJ108&lt;FOS_FLOT,"Anchor pipe to piled slab (permanent straps)",IF(AI108&lt;FOS_FLOT,"Keep dewatering on until fill reaches FL, or strap to slab","No extra measure"))</f>
        <v>Keep dewatering on until fill reaches FL, or strap to slab</v>
      </c>
      <c r="AL108" s="35" t="n">
        <f aca="false">Activities!P1129</f>
        <v>46403</v>
      </c>
      <c r="AM108" s="35" t="n">
        <f aca="false">Activities!Q1138</f>
        <v>46586</v>
      </c>
      <c r="AN108" s="15" t="n">
        <v>201</v>
      </c>
      <c r="AO108" s="36" t="s">
        <v>2519</v>
      </c>
      <c r="AP108" s="36" t="s">
        <v>2689</v>
      </c>
      <c r="AQ108" s="36" t="s">
        <v>2690</v>
      </c>
      <c r="AR108" s="37" t="n">
        <f aca="false">Activities!P1137-Activities!Q1135</f>
        <v>-1</v>
      </c>
      <c r="AS108" s="37" t="n">
        <f aca="false">IF(Activities!K1132=0,0,Activities!Q1138-Activities!P1132)</f>
        <v>181</v>
      </c>
    </row>
    <row r="109" customFormat="false" ht="15" hidden="false" customHeight="false" outlineLevel="0" collapsed="false">
      <c r="A109" s="15" t="s">
        <v>1240</v>
      </c>
      <c r="B109" s="29" t="s">
        <v>1251</v>
      </c>
      <c r="C109" s="15" t="s">
        <v>400</v>
      </c>
      <c r="D109" s="15" t="s">
        <v>2691</v>
      </c>
      <c r="E109" s="15" t="s">
        <v>2361</v>
      </c>
      <c r="F109" s="15" t="n">
        <v>28</v>
      </c>
      <c r="G109" s="15" t="s">
        <v>2362</v>
      </c>
      <c r="H109" s="15"/>
      <c r="I109" s="16" t="n">
        <v>0</v>
      </c>
      <c r="J109" s="15"/>
      <c r="K109" s="16" t="n">
        <v>0</v>
      </c>
      <c r="L109" s="15" t="s">
        <v>358</v>
      </c>
      <c r="M109" s="15" t="n">
        <v>4</v>
      </c>
      <c r="N109" s="30" t="n">
        <f aca="false">_xlfn.MAXIFS('Piece check'!$E$6:$E$1643,'Piece check'!$B$6:$B$1643,B109)</f>
        <v>2.06960150139061</v>
      </c>
      <c r="O109" s="31" t="n">
        <f aca="false">SUMIFS('Piece check'!$D$6:$D$1643,'Piece check'!$B$6:$B$1643,B109)</f>
        <v>26.2460390795656</v>
      </c>
      <c r="P109" s="32" t="n">
        <v>-4.62479887584955</v>
      </c>
      <c r="Q109" s="32" t="n">
        <v>-4.30000374069306</v>
      </c>
      <c r="R109" s="30" t="n">
        <f aca="false">_xlfn.MINIFS('Piece check'!$K$6:$K$1643,'Piece check'!$B$6:$B$1643,B109)</f>
        <v>-4.62480075069531</v>
      </c>
      <c r="S109" s="18" t="n">
        <f aca="false">MAX(0,GWL-R109)</f>
        <v>3.1248007506953</v>
      </c>
      <c r="T109" s="18" t="n">
        <f aca="false">MAX(0,NG-R109)</f>
        <v>3.9248007506953</v>
      </c>
      <c r="U109" s="31" t="n">
        <f aca="false">SUMIFS('Piece check'!$R$6:$R$1643,'Piece check'!$B$6:$B$1643,B109)</f>
        <v>26.2460390795656</v>
      </c>
      <c r="V109" s="21" t="n">
        <f aca="false">O109-U109</f>
        <v>0</v>
      </c>
      <c r="W109" s="12" t="str">
        <f aca="false">IF(U109&lt;0.05,"Open cut",IF(V109&lt;0.05,"Sheet piles","Mixed: "&amp;TEXT(U109,"0")&amp;" m sheet piles"))</f>
        <v>Sheet piles</v>
      </c>
      <c r="X109" s="33" t="n">
        <f aca="false">SUMIFS('Piece check'!$V$6:$V$1643,'Piece check'!$B$6:$B$1643,B109)</f>
        <v>384.347960841194</v>
      </c>
      <c r="Y109" s="33" t="n">
        <f aca="false">SUMIFS('Piece check'!$W$6:$W$1643,'Piece check'!$B$6:$B$1643,B109)</f>
        <v>0</v>
      </c>
      <c r="Z109" s="33" t="n">
        <f aca="false">SUMIFS('Piece check'!$X$6:$X$1643,'Piece check'!$B$6:$B$1643,B109)</f>
        <v>37.1888453592539</v>
      </c>
      <c r="AA109" s="33" t="n">
        <f aca="false">SUMIFS('Piece check'!$Y$6:$Y$1643,'Piece check'!$B$6:$B$1643,B109)</f>
        <v>71.3357204048616</v>
      </c>
      <c r="AB109" s="20" t="n">
        <f aca="false">MAX(0,X109+Y109-Z109-AA109)</f>
        <v>275.823395077079</v>
      </c>
      <c r="AC109" s="20" t="n">
        <f aca="false">(ROUNDUP(O109/PILE_SP,0)+1)*IF(N109&gt;=PILE_THR,PILE_N_LARGE,PILE_N_SMALL)</f>
        <v>20</v>
      </c>
      <c r="AD109" s="20" t="n">
        <f aca="false">2*U109</f>
        <v>52.4920781591311</v>
      </c>
      <c r="AE109" s="34" t="n">
        <f aca="false">IF(U109&gt;0,ROUNDUP(T109*SHEET_RATIO,0),0)</f>
        <v>8</v>
      </c>
      <c r="AF109" s="20" t="n">
        <f aca="false">AD109*AE109</f>
        <v>419.936625273049</v>
      </c>
      <c r="AG109" s="18" t="n">
        <f aca="false">MAX(0,GWL-(R109-DD_BELOW))</f>
        <v>3.6248007506953</v>
      </c>
      <c r="AH109" s="12" t="str">
        <f aca="false">IF(AG109=0,"Not required",IF(AG109&lt;=WP_LIMIT,"Single-stage wellpoints","Deep wells or two-stage wellpoints"))</f>
        <v>Single-stage wellpoints</v>
      </c>
      <c r="AI109" s="30" t="n">
        <f aca="false">MIN(_xlfn.MINIFS('Piece check'!$Z$6:$Z$1643,'Piece check'!$B$6:$B$1643,B109),_xlfn.MINIFS('Piece check'!$AA$6:$AA$1643,'Piece check'!$B$6:$B$1643,B109))</f>
        <v>1.18821959963464</v>
      </c>
      <c r="AJ109" s="30" t="n">
        <f aca="false">MIN(_xlfn.MINIFS('Piece check'!$AB$6:$AB$1643,'Piece check'!$B$6:$B$1643,B109),_xlfn.MINIFS('Piece check'!$AC$6:$AC$1643,'Piece check'!$B$6:$B$1643,B109))</f>
        <v>3.10722327699275</v>
      </c>
      <c r="AK109" s="12" t="str">
        <f aca="false">IF(AJ109&lt;FOS_FLOT,"Anchor pipe to piled slab (permanent straps)",IF(AI109&lt;FOS_FLOT,"Keep dewatering on until fill reaches FL, or strap to slab","No extra measure"))</f>
        <v>No extra measure</v>
      </c>
      <c r="AL109" s="35" t="n">
        <f aca="false">Activities!P1140</f>
        <v>46357</v>
      </c>
      <c r="AM109" s="35" t="n">
        <f aca="false">Activities!Q1149</f>
        <v>46396</v>
      </c>
      <c r="AN109" s="15" t="n">
        <v>1</v>
      </c>
      <c r="AO109" s="36" t="s">
        <v>2692</v>
      </c>
      <c r="AP109" s="36" t="s">
        <v>2693</v>
      </c>
      <c r="AQ109" s="36" t="s">
        <v>2694</v>
      </c>
      <c r="AR109" s="37" t="n">
        <f aca="false">Activities!P1148-Activities!Q1146</f>
        <v>9</v>
      </c>
      <c r="AS109" s="37" t="n">
        <f aca="false">IF(Activities!K1143=0,0,Activities!Q1149-Activities!P1143)</f>
        <v>34</v>
      </c>
    </row>
    <row r="110" customFormat="false" ht="15" hidden="false" customHeight="false" outlineLevel="0" collapsed="false">
      <c r="A110" s="15" t="s">
        <v>1293</v>
      </c>
      <c r="B110" s="29" t="s">
        <v>1321</v>
      </c>
      <c r="C110" s="15" t="s">
        <v>400</v>
      </c>
      <c r="D110" s="15" t="s">
        <v>2695</v>
      </c>
      <c r="E110" s="15" t="s">
        <v>2518</v>
      </c>
      <c r="F110" s="15" t="n">
        <v>28</v>
      </c>
      <c r="G110" s="15" t="s">
        <v>2362</v>
      </c>
      <c r="H110" s="15"/>
      <c r="I110" s="16" t="n">
        <v>0</v>
      </c>
      <c r="J110" s="15"/>
      <c r="K110" s="16" t="n">
        <v>0</v>
      </c>
      <c r="L110" s="15" t="s">
        <v>358</v>
      </c>
      <c r="M110" s="15" t="n">
        <v>1</v>
      </c>
      <c r="N110" s="30" t="n">
        <f aca="false">_xlfn.MAXIFS('Piece check'!$E$6:$E$1643,'Piece check'!$B$6:$B$1643,B110)</f>
        <v>1.42000748138612</v>
      </c>
      <c r="O110" s="31" t="n">
        <f aca="false">SUMIFS('Piece check'!$D$6:$D$1643,'Piece check'!$B$6:$B$1643,B110)</f>
        <v>40.1906314725438</v>
      </c>
      <c r="P110" s="32" t="n">
        <v>-4.29000191045371</v>
      </c>
      <c r="Q110" s="32" t="n">
        <v>-4.30000374069306</v>
      </c>
      <c r="R110" s="30" t="n">
        <f aca="false">_xlfn.MINIFS('Piece check'!$K$6:$K$1643,'Piece check'!$B$6:$B$1643,B110)</f>
        <v>-4.30000374069306</v>
      </c>
      <c r="S110" s="18" t="n">
        <f aca="false">MAX(0,GWL-R110)</f>
        <v>2.80000374069306</v>
      </c>
      <c r="T110" s="18" t="n">
        <f aca="false">MAX(0,NG-R110)</f>
        <v>3.60000374069306</v>
      </c>
      <c r="U110" s="31" t="n">
        <f aca="false">SUMIFS('Piece check'!$R$6:$R$1643,'Piece check'!$B$6:$B$1643,B110)</f>
        <v>40.1906314725438</v>
      </c>
      <c r="V110" s="21" t="n">
        <f aca="false">O110-U110</f>
        <v>0</v>
      </c>
      <c r="W110" s="12" t="str">
        <f aca="false">IF(U110&lt;0.05,"Open cut",IF(V110&lt;0.05,"Sheet piles","Mixed: "&amp;TEXT(U110,"0")&amp;" m sheet piles"))</f>
        <v>Sheet piles</v>
      </c>
      <c r="X110" s="33" t="n">
        <f aca="false">SUMIFS('Piece check'!$V$6:$V$1643,'Piece check'!$B$6:$B$1643,B110)</f>
        <v>490.58939462551</v>
      </c>
      <c r="Y110" s="33" t="n">
        <f aca="false">SUMIFS('Piece check'!$W$6:$W$1643,'Piece check'!$B$6:$B$1643,B110)</f>
        <v>0</v>
      </c>
      <c r="Z110" s="33" t="n">
        <f aca="false">SUMIFS('Piece check'!$X$6:$X$1643,'Piece check'!$B$6:$B$1643,B110)</f>
        <v>48.2308849730733</v>
      </c>
      <c r="AA110" s="33" t="n">
        <f aca="false">SUMIFS('Piece check'!$Y$6:$Y$1643,'Piece check'!$B$6:$B$1643,B110)</f>
        <v>61.8780907564196</v>
      </c>
      <c r="AB110" s="20" t="n">
        <f aca="false">MAX(0,X110+Y110-Z110-AA110)</f>
        <v>380.480418896017</v>
      </c>
      <c r="AC110" s="20" t="n">
        <f aca="false">(ROUNDUP(O110/PILE_SP,0)+1)*IF(N110&gt;=PILE_THR,PILE_N_LARGE,PILE_N_SMALL)</f>
        <v>30</v>
      </c>
      <c r="AD110" s="20" t="n">
        <f aca="false">2*U110</f>
        <v>80.3812629450876</v>
      </c>
      <c r="AE110" s="34" t="n">
        <f aca="false">IF(U110&gt;0,ROUNDUP(T110*SHEET_RATIO,0),0)</f>
        <v>8</v>
      </c>
      <c r="AF110" s="20" t="n">
        <f aca="false">AD110*AE110</f>
        <v>643.050103560701</v>
      </c>
      <c r="AG110" s="18" t="n">
        <f aca="false">MAX(0,GWL-(R110-DD_BELOW))</f>
        <v>3.30000374069306</v>
      </c>
      <c r="AH110" s="12" t="str">
        <f aca="false">IF(AG110=0,"Not required",IF(AG110&lt;=WP_LIMIT,"Single-stage wellpoints","Deep wells or two-stage wellpoints"))</f>
        <v>Single-stage wellpoints</v>
      </c>
      <c r="AI110" s="30" t="n">
        <f aca="false">MIN(_xlfn.MINIFS('Piece check'!$Z$6:$Z$1643,'Piece check'!$B$6:$B$1643,B110),_xlfn.MINIFS('Piece check'!$AA$6:$AA$1643,'Piece check'!$B$6:$B$1643,B110))</f>
        <v>1.97491475642517</v>
      </c>
      <c r="AJ110" s="30" t="n">
        <f aca="false">MIN(_xlfn.MINIFS('Piece check'!$AB$6:$AB$1643,'Piece check'!$B$6:$B$1643,B110),_xlfn.MINIFS('Piece check'!$AC$6:$AC$1643,'Piece check'!$B$6:$B$1643,B110))</f>
        <v>4.77178233909288</v>
      </c>
      <c r="AK110" s="12" t="str">
        <f aca="false">IF(AJ110&lt;FOS_FLOT,"Anchor pipe to piled slab (permanent straps)",IF(AI110&lt;FOS_FLOT,"Keep dewatering on until fill reaches FL, or strap to slab","No extra measure"))</f>
        <v>No extra measure</v>
      </c>
      <c r="AL110" s="35" t="n">
        <f aca="false">Activities!P1151</f>
        <v>46358</v>
      </c>
      <c r="AM110" s="35" t="n">
        <f aca="false">Activities!Q1160</f>
        <v>46398</v>
      </c>
      <c r="AN110" s="15" t="n">
        <v>2</v>
      </c>
      <c r="AO110" s="36" t="s">
        <v>2696</v>
      </c>
      <c r="AP110" s="36" t="s">
        <v>2697</v>
      </c>
      <c r="AQ110" s="36" t="s">
        <v>2698</v>
      </c>
      <c r="AR110" s="37" t="n">
        <f aca="false">Activities!P1159-Activities!Q1157</f>
        <v>2</v>
      </c>
      <c r="AS110" s="37" t="n">
        <f aca="false">IF(Activities!K1154=0,0,Activities!Q1160-Activities!P1154)</f>
        <v>30</v>
      </c>
    </row>
    <row r="111" customFormat="false" ht="15" hidden="false" customHeight="false" outlineLevel="0" collapsed="false">
      <c r="A111" s="15" t="s">
        <v>1240</v>
      </c>
      <c r="B111" s="29" t="s">
        <v>1286</v>
      </c>
      <c r="C111" s="15" t="s">
        <v>400</v>
      </c>
      <c r="D111" s="15" t="s">
        <v>2699</v>
      </c>
      <c r="E111" s="15" t="s">
        <v>2361</v>
      </c>
      <c r="F111" s="15" t="n">
        <v>28</v>
      </c>
      <c r="G111" s="15" t="s">
        <v>2362</v>
      </c>
      <c r="H111" s="15"/>
      <c r="I111" s="16" t="n">
        <v>0</v>
      </c>
      <c r="J111" s="15"/>
      <c r="K111" s="16" t="n">
        <v>0</v>
      </c>
      <c r="L111" s="15" t="s">
        <v>358</v>
      </c>
      <c r="M111" s="15" t="n">
        <v>1</v>
      </c>
      <c r="N111" s="30" t="n">
        <f aca="false">_xlfn.MAXIFS('Piece check'!$E$6:$E$1643,'Piece check'!$B$6:$B$1643,B111)</f>
        <v>2.06960150150859</v>
      </c>
      <c r="O111" s="31" t="n">
        <f aca="false">SUMIFS('Piece check'!$D$6:$D$1643,'Piece check'!$B$6:$B$1643,B111)</f>
        <v>43.2041964427442</v>
      </c>
      <c r="P111" s="32" t="n">
        <v>-7.5940077912969</v>
      </c>
      <c r="Q111" s="32" t="n">
        <v>-7.06707629291829</v>
      </c>
      <c r="R111" s="30" t="n">
        <f aca="false">_xlfn.MINIFS('Piece check'!$K$6:$K$1643,'Piece check'!$B$6:$B$1643,B111)</f>
        <v>-7.6048007507543</v>
      </c>
      <c r="S111" s="18" t="n">
        <f aca="false">MAX(0,GWL-R111)</f>
        <v>6.1048007507543</v>
      </c>
      <c r="T111" s="18" t="n">
        <f aca="false">MAX(0,NG-R111)</f>
        <v>6.9048007507543</v>
      </c>
      <c r="U111" s="31" t="n">
        <f aca="false">SUMIFS('Piece check'!$R$6:$R$1643,'Piece check'!$B$6:$B$1643,B111)</f>
        <v>43.2041964427442</v>
      </c>
      <c r="V111" s="21" t="n">
        <f aca="false">O111-U111</f>
        <v>0</v>
      </c>
      <c r="W111" s="12" t="str">
        <f aca="false">IF(U111&lt;0.05,"Open cut",IF(V111&lt;0.05,"Sheet piles","Mixed: "&amp;TEXT(U111,"0")&amp;" m sheet piles"))</f>
        <v>Sheet piles</v>
      </c>
      <c r="X111" s="33" t="n">
        <f aca="false">SUMIFS('Piece check'!$V$6:$V$1643,'Piece check'!$B$6:$B$1643,B111)</f>
        <v>1210.82376692864</v>
      </c>
      <c r="Y111" s="33" t="n">
        <f aca="false">SUMIFS('Piece check'!$W$6:$W$1643,'Piece check'!$B$6:$B$1643,B111)</f>
        <v>0</v>
      </c>
      <c r="Z111" s="33" t="n">
        <f aca="false">SUMIFS('Piece check'!$X$6:$X$1643,'Piece check'!$B$6:$B$1643,B111)</f>
        <v>66.1752418211612</v>
      </c>
      <c r="AA111" s="33" t="n">
        <f aca="false">SUMIFS('Piece check'!$Y$6:$Y$1643,'Piece check'!$B$6:$B$1643,B111)</f>
        <v>144.693653285021</v>
      </c>
      <c r="AB111" s="20" t="n">
        <f aca="false">MAX(0,X111+Y111-Z111-AA111)</f>
        <v>999.954871822454</v>
      </c>
      <c r="AC111" s="20" t="n">
        <f aca="false">(ROUNDUP(O111/PILE_SP,0)+1)*IF(N111&gt;=PILE_THR,PILE_N_LARGE,PILE_N_SMALL)</f>
        <v>32</v>
      </c>
      <c r="AD111" s="20" t="n">
        <f aca="false">2*U111</f>
        <v>86.4083928854885</v>
      </c>
      <c r="AE111" s="34" t="n">
        <f aca="false">IF(U111&gt;0,ROUNDUP(T111*SHEET_RATIO,0),0)</f>
        <v>14</v>
      </c>
      <c r="AF111" s="20" t="n">
        <f aca="false">AD111*AE111</f>
        <v>1209.71750039684</v>
      </c>
      <c r="AG111" s="18" t="n">
        <f aca="false">MAX(0,GWL-(R111-DD_BELOW))</f>
        <v>6.6048007507543</v>
      </c>
      <c r="AH111" s="12" t="str">
        <f aca="false">IF(AG111=0,"Not required",IF(AG111&lt;=WP_LIMIT,"Single-stage wellpoints","Deep wells or two-stage wellpoints"))</f>
        <v>Deep wells or two-stage wellpoints</v>
      </c>
      <c r="AI111" s="30" t="n">
        <f aca="false">MIN(_xlfn.MINIFS('Piece check'!$Z$6:$Z$1643,'Piece check'!$B$6:$B$1643,B111),_xlfn.MINIFS('Piece check'!$AA$6:$AA$1643,'Piece check'!$B$6:$B$1643,B111))</f>
        <v>2.71325092267653</v>
      </c>
      <c r="AJ111" s="30" t="n">
        <f aca="false">MIN(_xlfn.MINIFS('Piece check'!$AB$6:$AB$1643,'Piece check'!$B$6:$B$1643,B111),_xlfn.MINIFS('Piece check'!$AC$6:$AC$1643,'Piece check'!$B$6:$B$1643,B111))</f>
        <v>4.63225459992524</v>
      </c>
      <c r="AK111" s="12" t="str">
        <f aca="false">IF(AJ111&lt;FOS_FLOT,"Anchor pipe to piled slab (permanent straps)",IF(AI111&lt;FOS_FLOT,"Keep dewatering on until fill reaches FL, or strap to slab","No extra measure"))</f>
        <v>No extra measure</v>
      </c>
      <c r="AL111" s="35" t="n">
        <f aca="false">Activities!P1162</f>
        <v>46363</v>
      </c>
      <c r="AM111" s="35" t="n">
        <f aca="false">Activities!Q1171</f>
        <v>46406</v>
      </c>
      <c r="AN111" s="15" t="n">
        <v>3</v>
      </c>
      <c r="AO111" s="36" t="s">
        <v>2692</v>
      </c>
      <c r="AP111" s="36" t="s">
        <v>2700</v>
      </c>
      <c r="AQ111" s="36" t="s">
        <v>2701</v>
      </c>
      <c r="AR111" s="37" t="n">
        <f aca="false">Activities!P1170-Activities!Q1168</f>
        <v>-4</v>
      </c>
      <c r="AS111" s="37" t="n">
        <f aca="false">IF(Activities!K1165=0,0,Activities!Q1171-Activities!P1165)</f>
        <v>31</v>
      </c>
    </row>
    <row r="112" customFormat="false" ht="15" hidden="false" customHeight="false" outlineLevel="0" collapsed="false">
      <c r="A112" s="15" t="s">
        <v>1240</v>
      </c>
      <c r="B112" s="29" t="s">
        <v>1275</v>
      </c>
      <c r="C112" s="15" t="s">
        <v>400</v>
      </c>
      <c r="D112" s="15" t="s">
        <v>2702</v>
      </c>
      <c r="E112" s="15" t="s">
        <v>2361</v>
      </c>
      <c r="F112" s="15" t="n">
        <v>28</v>
      </c>
      <c r="G112" s="15" t="s">
        <v>2362</v>
      </c>
      <c r="H112" s="15"/>
      <c r="I112" s="16" t="n">
        <v>0</v>
      </c>
      <c r="J112" s="15"/>
      <c r="K112" s="16" t="n">
        <v>0</v>
      </c>
      <c r="L112" s="15" t="s">
        <v>358</v>
      </c>
      <c r="M112" s="15" t="n">
        <v>4</v>
      </c>
      <c r="N112" s="30" t="n">
        <f aca="false">_xlfn.MAXIFS('Piece check'!$E$6:$E$1643,'Piece check'!$B$6:$B$1643,B112)</f>
        <v>2.06960150150859</v>
      </c>
      <c r="O112" s="31" t="n">
        <f aca="false">SUMIFS('Piece check'!$D$6:$D$1643,'Piece check'!$B$6:$B$1643,B112)</f>
        <v>41.3000000007397</v>
      </c>
      <c r="P112" s="32" t="n">
        <v>-7.5836279146688</v>
      </c>
      <c r="Q112" s="32" t="n">
        <v>-7.5940077912969</v>
      </c>
      <c r="R112" s="30" t="n">
        <f aca="false">_xlfn.MINIFS('Piece check'!$K$6:$K$1643,'Piece check'!$B$6:$B$1643,B112)</f>
        <v>-7.5940077912969</v>
      </c>
      <c r="S112" s="18" t="n">
        <f aca="false">MAX(0,GWL-R112)</f>
        <v>6.0940077912969</v>
      </c>
      <c r="T112" s="18" t="n">
        <f aca="false">MAX(0,NG-R112)</f>
        <v>6.8940077912969</v>
      </c>
      <c r="U112" s="31" t="n">
        <f aca="false">SUMIFS('Piece check'!$R$6:$R$1643,'Piece check'!$B$6:$B$1643,B112)</f>
        <v>41.3000000007397</v>
      </c>
      <c r="V112" s="21" t="n">
        <f aca="false">O112-U112</f>
        <v>0</v>
      </c>
      <c r="W112" s="12" t="str">
        <f aca="false">IF(U112&lt;0.05,"Open cut",IF(V112&lt;0.05,"Sheet piles","Mixed: "&amp;TEXT(U112,"0")&amp;" m sheet piles"))</f>
        <v>Sheet piles</v>
      </c>
      <c r="X112" s="33" t="n">
        <f aca="false">SUMIFS('Piece check'!$V$6:$V$1643,'Piece check'!$B$6:$B$1643,B112)</f>
        <v>1102.99871942733</v>
      </c>
      <c r="Y112" s="33" t="n">
        <f aca="false">SUMIFS('Piece check'!$W$6:$W$1643,'Piece check'!$B$6:$B$1643,B112)</f>
        <v>0</v>
      </c>
      <c r="Z112" s="33" t="n">
        <f aca="false">SUMIFS('Piece check'!$X$6:$X$1643,'Piece check'!$B$6:$B$1643,B112)</f>
        <v>60.1168917417501</v>
      </c>
      <c r="AA112" s="33" t="n">
        <f aca="false">SUMIFS('Piece check'!$Y$6:$Y$1643,'Piece check'!$B$6:$B$1643,B112)</f>
        <v>123.196742399178</v>
      </c>
      <c r="AB112" s="20" t="n">
        <f aca="false">MAX(0,X112+Y112-Z112-AA112)</f>
        <v>919.685085286401</v>
      </c>
      <c r="AC112" s="20" t="n">
        <f aca="false">(ROUNDUP(O112/PILE_SP,0)+1)*IF(N112&gt;=PILE_THR,PILE_N_LARGE,PILE_N_SMALL)</f>
        <v>30</v>
      </c>
      <c r="AD112" s="20" t="n">
        <f aca="false">2*U112</f>
        <v>82.6000000014794</v>
      </c>
      <c r="AE112" s="34" t="n">
        <f aca="false">IF(U112&gt;0,ROUNDUP(T112*SHEET_RATIO,0),0)</f>
        <v>14</v>
      </c>
      <c r="AF112" s="20" t="n">
        <f aca="false">AD112*AE112</f>
        <v>1156.40000002071</v>
      </c>
      <c r="AG112" s="18" t="n">
        <f aca="false">MAX(0,GWL-(R112-DD_BELOW))</f>
        <v>6.5940077912969</v>
      </c>
      <c r="AH112" s="12" t="str">
        <f aca="false">IF(AG112=0,"Not required",IF(AG112&lt;=WP_LIMIT,"Single-stage wellpoints","Deep wells or two-stage wellpoints"))</f>
        <v>Deep wells or two-stage wellpoints</v>
      </c>
      <c r="AI112" s="30" t="n">
        <f aca="false">MIN(_xlfn.MINIFS('Piece check'!$Z$6:$Z$1643,'Piece check'!$B$6:$B$1643,B112),_xlfn.MINIFS('Piece check'!$AA$6:$AA$1643,'Piece check'!$B$6:$B$1643,B112))</f>
        <v>2.70792239099186</v>
      </c>
      <c r="AJ112" s="30" t="n">
        <f aca="false">MIN(_xlfn.MINIFS('Piece check'!$AB$6:$AB$1643,'Piece check'!$B$6:$B$1643,B112),_xlfn.MINIFS('Piece check'!$AC$6:$AC$1643,'Piece check'!$B$6:$B$1643,B112))</f>
        <v>4.62692746049053</v>
      </c>
      <c r="AK112" s="12" t="str">
        <f aca="false">IF(AJ112&lt;FOS_FLOT,"Anchor pipe to piled slab (permanent straps)",IF(AI112&lt;FOS_FLOT,"Keep dewatering on until fill reaches FL, or strap to slab","No extra measure"))</f>
        <v>No extra measure</v>
      </c>
      <c r="AL112" s="35" t="n">
        <f aca="false">Activities!P1173</f>
        <v>46370</v>
      </c>
      <c r="AM112" s="35" t="n">
        <f aca="false">Activities!Q1182</f>
        <v>46415</v>
      </c>
      <c r="AN112" s="15" t="n">
        <v>11</v>
      </c>
      <c r="AO112" s="36" t="s">
        <v>2703</v>
      </c>
      <c r="AP112" s="36" t="s">
        <v>2416</v>
      </c>
      <c r="AQ112" s="36" t="s">
        <v>2704</v>
      </c>
      <c r="AR112" s="37" t="n">
        <f aca="false">Activities!P1181-Activities!Q1179</f>
        <v>-4</v>
      </c>
      <c r="AS112" s="37" t="n">
        <f aca="false">IF(Activities!K1176=0,0,Activities!Q1182-Activities!P1176)</f>
        <v>31</v>
      </c>
    </row>
    <row r="113" customFormat="false" ht="15" hidden="false" customHeight="false" outlineLevel="0" collapsed="false">
      <c r="A113" s="15" t="s">
        <v>1240</v>
      </c>
      <c r="B113" s="29" t="s">
        <v>1271</v>
      </c>
      <c r="C113" s="15" t="s">
        <v>400</v>
      </c>
      <c r="D113" s="15" t="s">
        <v>2705</v>
      </c>
      <c r="E113" s="15" t="s">
        <v>2361</v>
      </c>
      <c r="F113" s="15" t="n">
        <v>28</v>
      </c>
      <c r="G113" s="15" t="s">
        <v>2362</v>
      </c>
      <c r="H113" s="15"/>
      <c r="I113" s="16" t="n">
        <v>0</v>
      </c>
      <c r="J113" s="15"/>
      <c r="K113" s="16" t="n">
        <v>0</v>
      </c>
      <c r="L113" s="15" t="s">
        <v>358</v>
      </c>
      <c r="M113" s="15" t="n">
        <v>0</v>
      </c>
      <c r="N113" s="30" t="n">
        <f aca="false">_xlfn.MAXIFS('Piece check'!$E$6:$E$1643,'Piece check'!$B$6:$B$1643,B113)</f>
        <v>2.0696</v>
      </c>
      <c r="O113" s="31" t="n">
        <f aca="false">SUMIFS('Piece check'!$D$6:$D$1643,'Piece check'!$B$6:$B$1643,B113)</f>
        <v>18.0999999987461</v>
      </c>
      <c r="P113" s="32" t="n">
        <v>-7.57908011533836</v>
      </c>
      <c r="Q113" s="32" t="n">
        <v>-7.5836279146688</v>
      </c>
      <c r="R113" s="30" t="n">
        <f aca="false">_xlfn.MINIFS('Piece check'!$K$6:$K$1643,'Piece check'!$B$6:$B$1643,B113)</f>
        <v>-7.5836279146688</v>
      </c>
      <c r="S113" s="18" t="n">
        <f aca="false">MAX(0,GWL-R113)</f>
        <v>6.0836279146688</v>
      </c>
      <c r="T113" s="18" t="n">
        <f aca="false">MAX(0,NG-R113)</f>
        <v>6.8836279146688</v>
      </c>
      <c r="U113" s="31" t="n">
        <f aca="false">SUMIFS('Piece check'!$R$6:$R$1643,'Piece check'!$B$6:$B$1643,B113)</f>
        <v>18.0999999987461</v>
      </c>
      <c r="V113" s="21" t="n">
        <f aca="false">O113-U113</f>
        <v>0</v>
      </c>
      <c r="W113" s="12" t="str">
        <f aca="false">IF(U113&lt;0.05,"Open cut",IF(V113&lt;0.05,"Sheet piles","Mixed: "&amp;TEXT(U113,"0")&amp;" m sheet piles"))</f>
        <v>Sheet piles</v>
      </c>
      <c r="X113" s="33" t="n">
        <f aca="false">SUMIFS('Piece check'!$V$6:$V$1643,'Piece check'!$B$6:$B$1643,B113)</f>
        <v>506.87888518508</v>
      </c>
      <c r="Y113" s="33" t="n">
        <f aca="false">SUMIFS('Piece check'!$W$6:$W$1643,'Piece check'!$B$6:$B$1643,B113)</f>
        <v>0</v>
      </c>
      <c r="Z113" s="33" t="n">
        <f aca="false">SUMIFS('Piece check'!$X$6:$X$1643,'Piece check'!$B$6:$B$1643,B113)</f>
        <v>27.7798799980754</v>
      </c>
      <c r="AA113" s="33" t="n">
        <f aca="false">SUMIFS('Piece check'!$Y$6:$Y$1643,'Piece check'!$B$6:$B$1643,B113)</f>
        <v>60.8893429450896</v>
      </c>
      <c r="AB113" s="20" t="n">
        <f aca="false">MAX(0,X113+Y113-Z113-AA113)</f>
        <v>418.209662241915</v>
      </c>
      <c r="AC113" s="20" t="n">
        <f aca="false">(ROUNDUP(O113/PILE_SP,0)+1)*IF(N113&gt;=PILE_THR,PILE_N_LARGE,PILE_N_SMALL)</f>
        <v>16</v>
      </c>
      <c r="AD113" s="20" t="n">
        <f aca="false">2*U113</f>
        <v>36.1999999974921</v>
      </c>
      <c r="AE113" s="34" t="n">
        <f aca="false">IF(U113&gt;0,ROUNDUP(T113*SHEET_RATIO,0),0)</f>
        <v>14</v>
      </c>
      <c r="AF113" s="20" t="n">
        <f aca="false">AD113*AE113</f>
        <v>506.799999964889</v>
      </c>
      <c r="AG113" s="18" t="n">
        <f aca="false">MAX(0,GWL-(R113-DD_BELOW))</f>
        <v>6.5836279146688</v>
      </c>
      <c r="AH113" s="12" t="str">
        <f aca="false">IF(AG113=0,"Not required",IF(AG113&lt;=WP_LIMIT,"Single-stage wellpoints","Deep wells or two-stage wellpoints"))</f>
        <v>Deep wells or two-stage wellpoints</v>
      </c>
      <c r="AI113" s="30" t="n">
        <f aca="false">MIN(_xlfn.MINIFS('Piece check'!$Z$6:$Z$1643,'Piece check'!$B$6:$B$1643,B113),_xlfn.MINIFS('Piece check'!$AA$6:$AA$1643,'Piece check'!$B$6:$B$1643,B113))</f>
        <v>2.70558656820572</v>
      </c>
      <c r="AJ113" s="30" t="n">
        <f aca="false">MIN(_xlfn.MINIFS('Piece check'!$AB$6:$AB$1643,'Piece check'!$B$6:$B$1643,B113),_xlfn.MINIFS('Piece check'!$AC$6:$AC$1643,'Piece check'!$B$6:$B$1643,B113))</f>
        <v>4.62459163770439</v>
      </c>
      <c r="AK113" s="12" t="str">
        <f aca="false">IF(AJ113&lt;FOS_FLOT,"Anchor pipe to piled slab (permanent straps)",IF(AI113&lt;FOS_FLOT,"Keep dewatering on until fill reaches FL, or strap to slab","No extra measure"))</f>
        <v>No extra measure</v>
      </c>
      <c r="AL113" s="35" t="n">
        <f aca="false">Activities!P1184</f>
        <v>46379</v>
      </c>
      <c r="AM113" s="35" t="n">
        <f aca="false">Activities!Q1193</f>
        <v>46421</v>
      </c>
      <c r="AN113" s="15" t="n">
        <v>12</v>
      </c>
      <c r="AO113" s="36" t="s">
        <v>2703</v>
      </c>
      <c r="AP113" s="36" t="s">
        <v>2706</v>
      </c>
      <c r="AQ113" s="36" t="s">
        <v>2707</v>
      </c>
      <c r="AR113" s="37" t="n">
        <f aca="false">Activities!P1192-Activities!Q1190</f>
        <v>-2</v>
      </c>
      <c r="AS113" s="37" t="n">
        <f aca="false">IF(Activities!K1187=0,0,Activities!Q1193-Activities!P1187)</f>
        <v>31</v>
      </c>
    </row>
    <row r="114" customFormat="false" ht="15" hidden="false" customHeight="false" outlineLevel="0" collapsed="false">
      <c r="A114" s="15" t="s">
        <v>1240</v>
      </c>
      <c r="B114" s="29" t="s">
        <v>1262</v>
      </c>
      <c r="C114" s="15" t="s">
        <v>400</v>
      </c>
      <c r="D114" s="15" t="s">
        <v>2708</v>
      </c>
      <c r="E114" s="15" t="s">
        <v>2361</v>
      </c>
      <c r="F114" s="15" t="n">
        <v>28</v>
      </c>
      <c r="G114" s="15" t="s">
        <v>2362</v>
      </c>
      <c r="H114" s="15"/>
      <c r="I114" s="16" t="n">
        <v>0</v>
      </c>
      <c r="J114" s="15"/>
      <c r="K114" s="16" t="n">
        <v>0</v>
      </c>
      <c r="L114" s="15" t="s">
        <v>358</v>
      </c>
      <c r="M114" s="15" t="n">
        <v>0</v>
      </c>
      <c r="N114" s="30" t="n">
        <f aca="false">_xlfn.MAXIFS('Piece check'!$E$6:$E$1643,'Piece check'!$B$6:$B$1643,B114)</f>
        <v>2.0696</v>
      </c>
      <c r="O114" s="31" t="n">
        <f aca="false">SUMIFS('Piece check'!$D$6:$D$1643,'Piece check'!$B$6:$B$1643,B114)</f>
        <v>23.1000000005952</v>
      </c>
      <c r="P114" s="32" t="n">
        <v>-7.5748</v>
      </c>
      <c r="Q114" s="32" t="n">
        <v>-7.57908011533836</v>
      </c>
      <c r="R114" s="30" t="n">
        <f aca="false">_xlfn.MINIFS('Piece check'!$K$6:$K$1643,'Piece check'!$B$6:$B$1643,B114)</f>
        <v>-7.57908011533836</v>
      </c>
      <c r="S114" s="18" t="n">
        <f aca="false">MAX(0,GWL-R114)</f>
        <v>6.07908011533836</v>
      </c>
      <c r="T114" s="18" t="n">
        <f aca="false">MAX(0,NG-R114)</f>
        <v>6.87908011533836</v>
      </c>
      <c r="U114" s="31" t="n">
        <f aca="false">SUMIFS('Piece check'!$R$6:$R$1643,'Piece check'!$B$6:$B$1643,B114)</f>
        <v>23.1000000005952</v>
      </c>
      <c r="V114" s="21" t="n">
        <f aca="false">O114-U114</f>
        <v>0</v>
      </c>
      <c r="W114" s="12" t="str">
        <f aca="false">IF(U114&lt;0.05,"Open cut",IF(V114&lt;0.05,"Sheet piles","Mixed: "&amp;TEXT(U114,"0")&amp;" m sheet piles"))</f>
        <v>Sheet piles</v>
      </c>
      <c r="X114" s="33" t="n">
        <f aca="false">SUMIFS('Piece check'!$V$6:$V$1643,'Piece check'!$B$6:$B$1643,B114)</f>
        <v>646.432839143945</v>
      </c>
      <c r="Y114" s="33" t="n">
        <f aca="false">SUMIFS('Piece check'!$W$6:$W$1643,'Piece check'!$B$6:$B$1643,B114)</f>
        <v>0</v>
      </c>
      <c r="Z114" s="33" t="n">
        <f aca="false">SUMIFS('Piece check'!$X$6:$X$1643,'Piece check'!$B$6:$B$1643,B114)</f>
        <v>35.4538800009135</v>
      </c>
      <c r="AA114" s="33" t="n">
        <f aca="false">SUMIFS('Piece check'!$Y$6:$Y$1643,'Piece check'!$B$6:$B$1643,B114)</f>
        <v>77.7096034345444</v>
      </c>
      <c r="AB114" s="20" t="n">
        <f aca="false">MAX(0,X114+Y114-Z114-AA114)</f>
        <v>533.269355708487</v>
      </c>
      <c r="AC114" s="20" t="n">
        <f aca="false">(ROUNDUP(O114/PILE_SP,0)+1)*IF(N114&gt;=PILE_THR,PILE_N_LARGE,PILE_N_SMALL)</f>
        <v>18</v>
      </c>
      <c r="AD114" s="20" t="n">
        <f aca="false">2*U114</f>
        <v>46.2000000011904</v>
      </c>
      <c r="AE114" s="34" t="n">
        <f aca="false">IF(U114&gt;0,ROUNDUP(T114*SHEET_RATIO,0),0)</f>
        <v>14</v>
      </c>
      <c r="AF114" s="20" t="n">
        <f aca="false">AD114*AE114</f>
        <v>646.800000016666</v>
      </c>
      <c r="AG114" s="18" t="n">
        <f aca="false">MAX(0,GWL-(R114-DD_BELOW))</f>
        <v>6.57908011533836</v>
      </c>
      <c r="AH114" s="12" t="str">
        <f aca="false">IF(AG114=0,"Not required",IF(AG114&lt;=WP_LIMIT,"Single-stage wellpoints","Deep wells or two-stage wellpoints"))</f>
        <v>Deep wells or two-stage wellpoints</v>
      </c>
      <c r="AI114" s="30" t="n">
        <f aca="false">MIN(_xlfn.MINIFS('Piece check'!$Z$6:$Z$1643,'Piece check'!$B$6:$B$1643,B114),_xlfn.MINIFS('Piece check'!$AA$6:$AA$1643,'Piece check'!$B$6:$B$1643,B114))</f>
        <v>2.70338823221765</v>
      </c>
      <c r="AJ114" s="30" t="n">
        <f aca="false">MIN(_xlfn.MINIFS('Piece check'!$AB$6:$AB$1643,'Piece check'!$B$6:$B$1643,B114),_xlfn.MINIFS('Piece check'!$AC$6:$AC$1643,'Piece check'!$B$6:$B$1643,B114))</f>
        <v>4.62239330171632</v>
      </c>
      <c r="AK114" s="12" t="str">
        <f aca="false">IF(AJ114&lt;FOS_FLOT,"Anchor pipe to piled slab (permanent straps)",IF(AI114&lt;FOS_FLOT,"Keep dewatering on until fill reaches FL, or strap to slab","No extra measure"))</f>
        <v>No extra measure</v>
      </c>
      <c r="AL114" s="35" t="n">
        <f aca="false">Activities!P1195</f>
        <v>46386</v>
      </c>
      <c r="AM114" s="35" t="n">
        <f aca="false">Activities!Q1204</f>
        <v>46427</v>
      </c>
      <c r="AN114" s="15" t="n">
        <v>13</v>
      </c>
      <c r="AO114" s="36" t="s">
        <v>2647</v>
      </c>
      <c r="AP114" s="36" t="s">
        <v>2416</v>
      </c>
      <c r="AQ114" s="36" t="s">
        <v>2709</v>
      </c>
      <c r="AR114" s="37" t="n">
        <f aca="false">Activities!P1203-Activities!Q1201</f>
        <v>-2</v>
      </c>
      <c r="AS114" s="37" t="n">
        <f aca="false">IF(Activities!K1198=0,0,Activities!Q1204-Activities!P1198)</f>
        <v>33</v>
      </c>
    </row>
    <row r="115" customFormat="false" ht="15" hidden="false" customHeight="false" outlineLevel="0" collapsed="false">
      <c r="A115" s="15" t="s">
        <v>2066</v>
      </c>
      <c r="B115" s="29" t="s">
        <v>2123</v>
      </c>
      <c r="C115" s="15" t="s">
        <v>400</v>
      </c>
      <c r="D115" s="15" t="s">
        <v>2710</v>
      </c>
      <c r="E115" s="15" t="s">
        <v>2518</v>
      </c>
      <c r="F115" s="15" t="n">
        <v>28</v>
      </c>
      <c r="G115" s="15" t="s">
        <v>2362</v>
      </c>
      <c r="H115" s="15"/>
      <c r="I115" s="16" t="n">
        <v>0</v>
      </c>
      <c r="J115" s="15"/>
      <c r="K115" s="16" t="n">
        <v>0</v>
      </c>
      <c r="L115" s="15" t="s">
        <v>358</v>
      </c>
      <c r="M115" s="15" t="n">
        <v>2</v>
      </c>
      <c r="N115" s="30" t="n">
        <f aca="false">_xlfn.MAXIFS('Piece check'!$E$6:$E$1643,'Piece check'!$B$6:$B$1643,B115)</f>
        <v>0.630004343058801</v>
      </c>
      <c r="O115" s="31" t="n">
        <f aca="false">SUMIFS('Piece check'!$D$6:$D$1643,'Piece check'!$B$6:$B$1643,B115)</f>
        <v>90.0789999992223</v>
      </c>
      <c r="P115" s="32" t="n">
        <v>-1.96499713196113</v>
      </c>
      <c r="Q115" s="32" t="n">
        <v>-1.9650021715294</v>
      </c>
      <c r="R115" s="30" t="n">
        <f aca="false">_xlfn.MINIFS('Piece check'!$K$6:$K$1643,'Piece check'!$B$6:$B$1643,B115)</f>
        <v>-1.9650021715294</v>
      </c>
      <c r="S115" s="18" t="n">
        <f aca="false">MAX(0,GWL-R115)</f>
        <v>0.4650021715294</v>
      </c>
      <c r="T115" s="18" t="n">
        <f aca="false">MAX(0,NG-R115)</f>
        <v>1.2650021715294</v>
      </c>
      <c r="U115" s="31" t="n">
        <f aca="false">SUMIFS('Piece check'!$R$6:$R$1643,'Piece check'!$B$6:$B$1643,B115)</f>
        <v>0</v>
      </c>
      <c r="V115" s="21" t="n">
        <f aca="false">O115-U115</f>
        <v>90.0789999992223</v>
      </c>
      <c r="W115" s="12" t="str">
        <f aca="false">IF(U115&lt;0.05,"Open cut",IF(V115&lt;0.05,"Sheet piles","Mixed: "&amp;TEXT(U115,"0")&amp;" m sheet piles"))</f>
        <v>Open cut</v>
      </c>
      <c r="X115" s="33" t="n">
        <f aca="false">SUMIFS('Piece check'!$V$6:$V$1643,'Piece check'!$B$6:$B$1643,B115)</f>
        <v>0</v>
      </c>
      <c r="Y115" s="33" t="n">
        <f aca="false">SUMIFS('Piece check'!$W$6:$W$1643,'Piece check'!$B$6:$B$1643,B115)</f>
        <v>559.156884225967</v>
      </c>
      <c r="Z115" s="33" t="n">
        <f aca="false">SUMIFS('Piece check'!$X$6:$X$1643,'Piece check'!$B$6:$B$1643,B115)</f>
        <v>73.4144338866976</v>
      </c>
      <c r="AA115" s="33" t="n">
        <f aca="false">SUMIFS('Piece check'!$Y$6:$Y$1643,'Piece check'!$B$6:$B$1643,B115)</f>
        <v>28.0799307921827</v>
      </c>
      <c r="AB115" s="20" t="n">
        <f aca="false">MAX(0,X115+Y115-Z115-AA115)</f>
        <v>457.662519547086</v>
      </c>
      <c r="AC115" s="20" t="n">
        <f aca="false">(ROUNDUP(O115/PILE_SP,0)+1)*IF(N115&gt;=PILE_THR,PILE_N_LARGE,PILE_N_SMALL)</f>
        <v>32</v>
      </c>
      <c r="AD115" s="20" t="n">
        <f aca="false">2*U115</f>
        <v>0</v>
      </c>
      <c r="AE115" s="34" t="n">
        <f aca="false">IF(U115&gt;0,ROUNDUP(T115*SHEET_RATIO,0),0)</f>
        <v>0</v>
      </c>
      <c r="AF115" s="20" t="n">
        <f aca="false">AD115*AE115</f>
        <v>0</v>
      </c>
      <c r="AG115" s="18" t="n">
        <f aca="false">MAX(0,GWL-(R115-DD_BELOW))</f>
        <v>0.9650021715294</v>
      </c>
      <c r="AH115" s="12" t="str">
        <f aca="false">IF(AG115=0,"Not required",IF(AG115&lt;=WP_LIMIT,"Single-stage wellpoints","Deep wells or two-stage wellpoints"))</f>
        <v>Single-stage wellpoints</v>
      </c>
      <c r="AI115" s="30" t="n">
        <f aca="false">MIN(_xlfn.MINIFS('Piece check'!$Z$6:$Z$1643,'Piece check'!$B$6:$B$1643,B115),_xlfn.MINIFS('Piece check'!$AA$6:$AA$1643,'Piece check'!$B$6:$B$1643,B115))</f>
        <v>99</v>
      </c>
      <c r="AJ115" s="30" t="n">
        <f aca="false">MIN(_xlfn.MINIFS('Piece check'!$AB$6:$AB$1643,'Piece check'!$B$6:$B$1643,B115),_xlfn.MINIFS('Piece check'!$AC$6:$AC$1643,'Piece check'!$B$6:$B$1643,B115))</f>
        <v>99</v>
      </c>
      <c r="AK115" s="12" t="str">
        <f aca="false">IF(AJ115&lt;FOS_FLOT,"Anchor pipe to piled slab (permanent straps)",IF(AI115&lt;FOS_FLOT,"Keep dewatering on until fill reaches FL, or strap to slab","No extra measure"))</f>
        <v>No extra measure</v>
      </c>
      <c r="AL115" s="35" t="n">
        <f aca="false">Activities!P1206</f>
        <v>46391</v>
      </c>
      <c r="AM115" s="35" t="n">
        <f aca="false">Activities!Q1215</f>
        <v>46440</v>
      </c>
      <c r="AN115" s="15" t="n">
        <v>108</v>
      </c>
      <c r="AO115" s="36" t="s">
        <v>2363</v>
      </c>
      <c r="AP115" s="36" t="s">
        <v>2416</v>
      </c>
      <c r="AQ115" s="36" t="s">
        <v>2365</v>
      </c>
      <c r="AR115" s="37" t="n">
        <f aca="false">Activities!P1214-Activities!Q1212</f>
        <v>-7</v>
      </c>
      <c r="AS115" s="37" t="n">
        <f aca="false">IF(Activities!K1209=0,0,Activities!Q1215-Activities!P1209)</f>
        <v>41</v>
      </c>
    </row>
    <row r="116" customFormat="false" ht="15" hidden="false" customHeight="false" outlineLevel="0" collapsed="false">
      <c r="A116" s="15" t="s">
        <v>2066</v>
      </c>
      <c r="B116" s="29" t="s">
        <v>2137</v>
      </c>
      <c r="C116" s="15" t="s">
        <v>400</v>
      </c>
      <c r="D116" s="15" t="s">
        <v>2711</v>
      </c>
      <c r="E116" s="15" t="s">
        <v>2518</v>
      </c>
      <c r="F116" s="15" t="n">
        <v>28</v>
      </c>
      <c r="G116" s="15" t="s">
        <v>2367</v>
      </c>
      <c r="H116" s="15" t="s">
        <v>354</v>
      </c>
      <c r="I116" s="35" t="n">
        <f aca="false">MAX(Structures!$H$28)</f>
        <v>0</v>
      </c>
      <c r="J116" s="15"/>
      <c r="K116" s="16" t="n">
        <v>0</v>
      </c>
      <c r="L116" s="15" t="s">
        <v>358</v>
      </c>
      <c r="M116" s="15" t="n">
        <v>0</v>
      </c>
      <c r="N116" s="30" t="n">
        <f aca="false">_xlfn.MAXIFS('Piece check'!$E$6:$E$1643,'Piece check'!$B$6:$B$1643,B116)</f>
        <v>0.630004343058801</v>
      </c>
      <c r="O116" s="31" t="n">
        <f aca="false">SUMIFS('Piece check'!$D$6:$D$1643,'Piece check'!$B$6:$B$1643,B116)</f>
        <v>5.99994235871932</v>
      </c>
      <c r="P116" s="32" t="n">
        <v>-1.9650021715294</v>
      </c>
      <c r="Q116" s="32" t="n">
        <v>-1.9650021715294</v>
      </c>
      <c r="R116" s="30" t="n">
        <f aca="false">_xlfn.MINIFS('Piece check'!$K$6:$K$1643,'Piece check'!$B$6:$B$1643,B116)</f>
        <v>-1.9650021715294</v>
      </c>
      <c r="S116" s="18" t="n">
        <f aca="false">MAX(0,GWL-R116)</f>
        <v>0.4650021715294</v>
      </c>
      <c r="T116" s="18" t="n">
        <f aca="false">MAX(0,NG-R116)</f>
        <v>1.2650021715294</v>
      </c>
      <c r="U116" s="31" t="n">
        <f aca="false">SUMIFS('Piece check'!$R$6:$R$1643,'Piece check'!$B$6:$B$1643,B116)</f>
        <v>0</v>
      </c>
      <c r="V116" s="21" t="n">
        <f aca="false">O116-U116</f>
        <v>5.99994235871932</v>
      </c>
      <c r="W116" s="12" t="str">
        <f aca="false">IF(U116&lt;0.05,"Open cut",IF(V116&lt;0.05,"Sheet piles","Mixed: "&amp;TEXT(U116,"0")&amp;" m sheet piles"))</f>
        <v>Open cut</v>
      </c>
      <c r="X116" s="33" t="n">
        <f aca="false">SUMIFS('Piece check'!$V$6:$V$1643,'Piece check'!$B$6:$B$1643,B116)</f>
        <v>0</v>
      </c>
      <c r="Y116" s="33" t="n">
        <f aca="false">SUMIFS('Piece check'!$W$6:$W$1643,'Piece check'!$B$6:$B$1643,B116)</f>
        <v>37.2441753545311</v>
      </c>
      <c r="Z116" s="33" t="n">
        <f aca="false">SUMIFS('Piece check'!$X$6:$X$1643,'Piece check'!$B$6:$B$1643,B116)</f>
        <v>4.88996605140748</v>
      </c>
      <c r="AA116" s="33" t="n">
        <f aca="false">SUMIFS('Piece check'!$Y$6:$Y$1643,'Piece check'!$B$6:$B$1643,B116)</f>
        <v>1.87035500534451</v>
      </c>
      <c r="AB116" s="20" t="n">
        <f aca="false">MAX(0,X116+Y116-Z116-AA116)</f>
        <v>30.4838542977791</v>
      </c>
      <c r="AC116" s="20" t="n">
        <f aca="false">(ROUNDUP(O116/PILE_SP,0)+1)*IF(N116&gt;=PILE_THR,PILE_N_LARGE,PILE_N_SMALL)</f>
        <v>3</v>
      </c>
      <c r="AD116" s="20" t="n">
        <f aca="false">2*U116</f>
        <v>0</v>
      </c>
      <c r="AE116" s="34" t="n">
        <f aca="false">IF(U116&gt;0,ROUNDUP(T116*SHEET_RATIO,0),0)</f>
        <v>0</v>
      </c>
      <c r="AF116" s="20" t="n">
        <f aca="false">AD116*AE116</f>
        <v>0</v>
      </c>
      <c r="AG116" s="18" t="n">
        <f aca="false">MAX(0,GWL-(R116-DD_BELOW))</f>
        <v>0.9650021715294</v>
      </c>
      <c r="AH116" s="12" t="str">
        <f aca="false">IF(AG116=0,"Not required",IF(AG116&lt;=WP_LIMIT,"Single-stage wellpoints","Deep wells or two-stage wellpoints"))</f>
        <v>Single-stage wellpoints</v>
      </c>
      <c r="AI116" s="30" t="n">
        <f aca="false">MIN(_xlfn.MINIFS('Piece check'!$Z$6:$Z$1643,'Piece check'!$B$6:$B$1643,B116),_xlfn.MINIFS('Piece check'!$AA$6:$AA$1643,'Piece check'!$B$6:$B$1643,B116))</f>
        <v>99</v>
      </c>
      <c r="AJ116" s="30" t="n">
        <f aca="false">MIN(_xlfn.MINIFS('Piece check'!$AB$6:$AB$1643,'Piece check'!$B$6:$B$1643,B116),_xlfn.MINIFS('Piece check'!$AC$6:$AC$1643,'Piece check'!$B$6:$B$1643,B116))</f>
        <v>99</v>
      </c>
      <c r="AK116" s="12" t="str">
        <f aca="false">IF(AJ116&lt;FOS_FLOT,"Anchor pipe to piled slab (permanent straps)",IF(AI116&lt;FOS_FLOT,"Keep dewatering on until fill reaches FL, or strap to slab","No extra measure"))</f>
        <v>No extra measure</v>
      </c>
      <c r="AL116" s="35" t="n">
        <f aca="false">Activities!P1217</f>
        <v>46396</v>
      </c>
      <c r="AM116" s="35" t="n">
        <f aca="false">Activities!Q1226</f>
        <v>46445</v>
      </c>
      <c r="AN116" s="15" t="n">
        <v>109</v>
      </c>
      <c r="AO116" s="36" t="s">
        <v>2374</v>
      </c>
      <c r="AP116" s="36" t="s">
        <v>2712</v>
      </c>
      <c r="AQ116" s="36" t="s">
        <v>2713</v>
      </c>
      <c r="AR116" s="37" t="n">
        <f aca="false">Activities!P1225-Activities!Q1223</f>
        <v>-1</v>
      </c>
      <c r="AS116" s="37" t="n">
        <f aca="false">IF(Activities!K1220=0,0,Activities!Q1226-Activities!P1220)</f>
        <v>47</v>
      </c>
    </row>
    <row r="117" customFormat="false" ht="15" hidden="false" customHeight="false" outlineLevel="0" collapsed="false">
      <c r="A117" s="15" t="s">
        <v>2066</v>
      </c>
      <c r="B117" s="29" t="s">
        <v>2117</v>
      </c>
      <c r="C117" s="15" t="s">
        <v>400</v>
      </c>
      <c r="D117" s="15" t="s">
        <v>2714</v>
      </c>
      <c r="E117" s="15" t="s">
        <v>2518</v>
      </c>
      <c r="F117" s="15" t="n">
        <v>28</v>
      </c>
      <c r="G117" s="15" t="s">
        <v>2362</v>
      </c>
      <c r="H117" s="15"/>
      <c r="I117" s="16" t="n">
        <v>0</v>
      </c>
      <c r="J117" s="15"/>
      <c r="K117" s="16" t="n">
        <v>0</v>
      </c>
      <c r="L117" s="15" t="s">
        <v>358</v>
      </c>
      <c r="M117" s="15" t="n">
        <v>0</v>
      </c>
      <c r="N117" s="30" t="n">
        <f aca="false">_xlfn.MAXIFS('Piece check'!$E$6:$E$1643,'Piece check'!$B$6:$B$1643,B117)</f>
        <v>0.629994263922249</v>
      </c>
      <c r="O117" s="31" t="n">
        <f aca="false">SUMIFS('Piece check'!$D$6:$D$1643,'Piece check'!$B$6:$B$1643,B117)</f>
        <v>46.0000000004943</v>
      </c>
      <c r="P117" s="32" t="n">
        <v>-1.96499713196113</v>
      </c>
      <c r="Q117" s="32" t="n">
        <v>-1.96499713196113</v>
      </c>
      <c r="R117" s="30" t="n">
        <f aca="false">_xlfn.MINIFS('Piece check'!$K$6:$K$1643,'Piece check'!$B$6:$B$1643,B117)</f>
        <v>-1.96499713196113</v>
      </c>
      <c r="S117" s="18" t="n">
        <f aca="false">MAX(0,GWL-R117)</f>
        <v>0.464997131961125</v>
      </c>
      <c r="T117" s="18" t="n">
        <f aca="false">MAX(0,NG-R117)</f>
        <v>1.26499713196113</v>
      </c>
      <c r="U117" s="31" t="n">
        <f aca="false">SUMIFS('Piece check'!$R$6:$R$1643,'Piece check'!$B$6:$B$1643,B117)</f>
        <v>0</v>
      </c>
      <c r="V117" s="21" t="n">
        <f aca="false">O117-U117</f>
        <v>46.0000000004943</v>
      </c>
      <c r="W117" s="12" t="str">
        <f aca="false">IF(U117&lt;0.05,"Open cut",IF(V117&lt;0.05,"Sheet piles","Mixed: "&amp;TEXT(U117,"0")&amp;" m sheet piles"))</f>
        <v>Open cut</v>
      </c>
      <c r="X117" s="33" t="n">
        <f aca="false">SUMIFS('Piece check'!$V$6:$V$1643,'Piece check'!$B$6:$B$1643,B117)</f>
        <v>0</v>
      </c>
      <c r="Y117" s="33" t="n">
        <f aca="false">SUMIFS('Piece check'!$W$6:$W$1643,'Piece check'!$B$6:$B$1643,B117)</f>
        <v>285.539051682146</v>
      </c>
      <c r="Z117" s="33" t="n">
        <f aca="false">SUMIFS('Piece check'!$X$6:$X$1643,'Piece check'!$B$6:$B$1643,B117)</f>
        <v>37.4898680706146</v>
      </c>
      <c r="AA117" s="33" t="n">
        <f aca="false">SUMIFS('Piece check'!$Y$6:$Y$1643,'Piece check'!$B$6:$B$1643,B117)</f>
        <v>14.3390673138736</v>
      </c>
      <c r="AB117" s="20" t="n">
        <f aca="false">MAX(0,X117+Y117-Z117-AA117)</f>
        <v>233.710116297658</v>
      </c>
      <c r="AC117" s="20" t="n">
        <f aca="false">(ROUNDUP(O117/PILE_SP,0)+1)*IF(N117&gt;=PILE_THR,PILE_N_LARGE,PILE_N_SMALL)</f>
        <v>17</v>
      </c>
      <c r="AD117" s="20" t="n">
        <f aca="false">2*U117</f>
        <v>0</v>
      </c>
      <c r="AE117" s="34" t="n">
        <f aca="false">IF(U117&gt;0,ROUNDUP(T117*SHEET_RATIO,0),0)</f>
        <v>0</v>
      </c>
      <c r="AF117" s="20" t="n">
        <f aca="false">AD117*AE117</f>
        <v>0</v>
      </c>
      <c r="AG117" s="18" t="n">
        <f aca="false">MAX(0,GWL-(R117-DD_BELOW))</f>
        <v>0.964997131961125</v>
      </c>
      <c r="AH117" s="12" t="str">
        <f aca="false">IF(AG117=0,"Not required",IF(AG117&lt;=WP_LIMIT,"Single-stage wellpoints","Deep wells or two-stage wellpoints"))</f>
        <v>Single-stage wellpoints</v>
      </c>
      <c r="AI117" s="30" t="n">
        <f aca="false">MIN(_xlfn.MINIFS('Piece check'!$Z$6:$Z$1643,'Piece check'!$B$6:$B$1643,B117),_xlfn.MINIFS('Piece check'!$AA$6:$AA$1643,'Piece check'!$B$6:$B$1643,B117))</f>
        <v>99</v>
      </c>
      <c r="AJ117" s="30" t="n">
        <f aca="false">MIN(_xlfn.MINIFS('Piece check'!$AB$6:$AB$1643,'Piece check'!$B$6:$B$1643,B117),_xlfn.MINIFS('Piece check'!$AC$6:$AC$1643,'Piece check'!$B$6:$B$1643,B117))</f>
        <v>99</v>
      </c>
      <c r="AK117" s="12" t="str">
        <f aca="false">IF(AJ117&lt;FOS_FLOT,"Anchor pipe to piled slab (permanent straps)",IF(AI117&lt;FOS_FLOT,"Keep dewatering on until fill reaches FL, or strap to slab","No extra measure"))</f>
        <v>No extra measure</v>
      </c>
      <c r="AL117" s="35" t="n">
        <f aca="false">Activities!P1228</f>
        <v>46396</v>
      </c>
      <c r="AM117" s="35" t="n">
        <f aca="false">Activities!Q1237</f>
        <v>46474</v>
      </c>
      <c r="AN117" s="15" t="n">
        <v>110</v>
      </c>
      <c r="AO117" s="36" t="s">
        <v>2374</v>
      </c>
      <c r="AP117" s="36" t="s">
        <v>2697</v>
      </c>
      <c r="AQ117" s="36" t="s">
        <v>2715</v>
      </c>
      <c r="AR117" s="37" t="n">
        <f aca="false">Activities!P1236-Activities!Q1234</f>
        <v>-5</v>
      </c>
      <c r="AS117" s="37" t="n">
        <f aca="false">IF(Activities!K1231=0,0,Activities!Q1237-Activities!P1231)</f>
        <v>67</v>
      </c>
    </row>
    <row r="118" customFormat="false" ht="15" hidden="false" customHeight="false" outlineLevel="0" collapsed="false">
      <c r="A118" s="15" t="s">
        <v>2066</v>
      </c>
      <c r="B118" s="29" t="s">
        <v>2113</v>
      </c>
      <c r="C118" s="15" t="s">
        <v>400</v>
      </c>
      <c r="D118" s="15" t="s">
        <v>2716</v>
      </c>
      <c r="E118" s="15" t="s">
        <v>2518</v>
      </c>
      <c r="F118" s="15" t="n">
        <v>28</v>
      </c>
      <c r="G118" s="15" t="s">
        <v>2362</v>
      </c>
      <c r="H118" s="15"/>
      <c r="I118" s="16" t="n">
        <v>0</v>
      </c>
      <c r="J118" s="15"/>
      <c r="K118" s="16" t="n">
        <v>0</v>
      </c>
      <c r="L118" s="15" t="s">
        <v>358</v>
      </c>
      <c r="M118" s="15" t="n">
        <v>0</v>
      </c>
      <c r="N118" s="30" t="n">
        <f aca="false">_xlfn.MAXIFS('Piece check'!$E$6:$E$1643,'Piece check'!$B$6:$B$1643,B118)</f>
        <v>0.629994263922249</v>
      </c>
      <c r="O118" s="31" t="n">
        <f aca="false">SUMIFS('Piece check'!$D$6:$D$1643,'Piece check'!$B$6:$B$1643,B118)</f>
        <v>16.0000000003377</v>
      </c>
      <c r="P118" s="32" t="n">
        <v>-1.96499713196113</v>
      </c>
      <c r="Q118" s="32" t="n">
        <v>-1.96499713196113</v>
      </c>
      <c r="R118" s="30" t="n">
        <f aca="false">_xlfn.MINIFS('Piece check'!$K$6:$K$1643,'Piece check'!$B$6:$B$1643,B118)</f>
        <v>-1.96499713196113</v>
      </c>
      <c r="S118" s="18" t="n">
        <f aca="false">MAX(0,GWL-R118)</f>
        <v>0.464997131961125</v>
      </c>
      <c r="T118" s="18" t="n">
        <f aca="false">MAX(0,NG-R118)</f>
        <v>1.26499713196113</v>
      </c>
      <c r="U118" s="31" t="n">
        <f aca="false">SUMIFS('Piece check'!$R$6:$R$1643,'Piece check'!$B$6:$B$1643,B118)</f>
        <v>0</v>
      </c>
      <c r="V118" s="21" t="n">
        <f aca="false">O118-U118</f>
        <v>16.0000000003377</v>
      </c>
      <c r="W118" s="12" t="str">
        <f aca="false">IF(U118&lt;0.05,"Open cut",IF(V118&lt;0.05,"Sheet piles","Mixed: "&amp;TEXT(U118,"0")&amp;" m sheet piles"))</f>
        <v>Open cut</v>
      </c>
      <c r="X118" s="33" t="n">
        <f aca="false">SUMIFS('Piece check'!$V$6:$V$1643,'Piece check'!$B$6:$B$1643,B118)</f>
        <v>0</v>
      </c>
      <c r="Y118" s="33" t="n">
        <f aca="false">SUMIFS('Piece check'!$W$6:$W$1643,'Piece check'!$B$6:$B$1643,B118)</f>
        <v>99.3179310209058</v>
      </c>
      <c r="Z118" s="33" t="n">
        <f aca="false">SUMIFS('Piece check'!$X$6:$X$1643,'Piece check'!$B$6:$B$1643,B118)</f>
        <v>13.0399541116532</v>
      </c>
      <c r="AA118" s="33" t="n">
        <f aca="false">SUMIFS('Piece check'!$Y$6:$Y$1643,'Piece check'!$B$6:$B$1643,B118)</f>
        <v>4.98750167444249</v>
      </c>
      <c r="AB118" s="20" t="n">
        <f aca="false">MAX(0,X118+Y118-Z118-AA118)</f>
        <v>81.2904752348101</v>
      </c>
      <c r="AC118" s="20" t="n">
        <f aca="false">(ROUNDUP(O118/PILE_SP,0)+1)*IF(N118&gt;=PILE_THR,PILE_N_LARGE,PILE_N_SMALL)</f>
        <v>7</v>
      </c>
      <c r="AD118" s="20" t="n">
        <f aca="false">2*U118</f>
        <v>0</v>
      </c>
      <c r="AE118" s="34" t="n">
        <f aca="false">IF(U118&gt;0,ROUNDUP(T118*SHEET_RATIO,0),0)</f>
        <v>0</v>
      </c>
      <c r="AF118" s="20" t="n">
        <f aca="false">AD118*AE118</f>
        <v>0</v>
      </c>
      <c r="AG118" s="18" t="n">
        <f aca="false">MAX(0,GWL-(R118-DD_BELOW))</f>
        <v>0.964997131961125</v>
      </c>
      <c r="AH118" s="12" t="str">
        <f aca="false">IF(AG118=0,"Not required",IF(AG118&lt;=WP_LIMIT,"Single-stage wellpoints","Deep wells or two-stage wellpoints"))</f>
        <v>Single-stage wellpoints</v>
      </c>
      <c r="AI118" s="30" t="n">
        <f aca="false">MIN(_xlfn.MINIFS('Piece check'!$Z$6:$Z$1643,'Piece check'!$B$6:$B$1643,B118),_xlfn.MINIFS('Piece check'!$AA$6:$AA$1643,'Piece check'!$B$6:$B$1643,B118))</f>
        <v>99</v>
      </c>
      <c r="AJ118" s="30" t="n">
        <f aca="false">MIN(_xlfn.MINIFS('Piece check'!$AB$6:$AB$1643,'Piece check'!$B$6:$B$1643,B118),_xlfn.MINIFS('Piece check'!$AC$6:$AC$1643,'Piece check'!$B$6:$B$1643,B118))</f>
        <v>99</v>
      </c>
      <c r="AK118" s="12" t="str">
        <f aca="false">IF(AJ118&lt;FOS_FLOT,"Anchor pipe to piled slab (permanent straps)",IF(AI118&lt;FOS_FLOT,"Keep dewatering on until fill reaches FL, or strap to slab","No extra measure"))</f>
        <v>No extra measure</v>
      </c>
      <c r="AL118" s="35" t="n">
        <f aca="false">Activities!P1239</f>
        <v>46405</v>
      </c>
      <c r="AM118" s="35" t="n">
        <f aca="false">Activities!Q1248</f>
        <v>46480</v>
      </c>
      <c r="AN118" s="15" t="n">
        <v>111</v>
      </c>
      <c r="AO118" s="36" t="s">
        <v>2374</v>
      </c>
      <c r="AP118" s="36" t="s">
        <v>2717</v>
      </c>
      <c r="AQ118" s="36" t="s">
        <v>2718</v>
      </c>
      <c r="AR118" s="37" t="n">
        <f aca="false">Activities!P1247-Activities!Q1245</f>
        <v>-2</v>
      </c>
      <c r="AS118" s="37" t="n">
        <f aca="false">IF(Activities!K1242=0,0,Activities!Q1248-Activities!P1242)</f>
        <v>32</v>
      </c>
    </row>
    <row r="119" customFormat="false" ht="15" hidden="false" customHeight="false" outlineLevel="0" collapsed="false">
      <c r="A119" s="15" t="s">
        <v>2066</v>
      </c>
      <c r="B119" s="29" t="s">
        <v>2095</v>
      </c>
      <c r="C119" s="15" t="s">
        <v>400</v>
      </c>
      <c r="D119" s="15" t="s">
        <v>2719</v>
      </c>
      <c r="E119" s="15" t="s">
        <v>2518</v>
      </c>
      <c r="F119" s="15" t="n">
        <v>28</v>
      </c>
      <c r="G119" s="15" t="s">
        <v>2362</v>
      </c>
      <c r="H119" s="15"/>
      <c r="I119" s="16" t="n">
        <v>0</v>
      </c>
      <c r="J119" s="15"/>
      <c r="K119" s="16" t="n">
        <v>0</v>
      </c>
      <c r="L119" s="15" t="s">
        <v>358</v>
      </c>
      <c r="M119" s="15" t="n">
        <v>8</v>
      </c>
      <c r="N119" s="30" t="n">
        <f aca="false">_xlfn.MAXIFS('Piece check'!$E$6:$E$1643,'Piece check'!$B$6:$B$1643,B119)</f>
        <v>0.630004343357031</v>
      </c>
      <c r="O119" s="31" t="n">
        <f aca="false">SUMIFS('Piece check'!$D$6:$D$1643,'Piece check'!$B$6:$B$1643,B119)</f>
        <v>45.3874709630171</v>
      </c>
      <c r="P119" s="32" t="n">
        <v>-2.96071217167852</v>
      </c>
      <c r="Q119" s="32" t="n">
        <v>-1.96499713196113</v>
      </c>
      <c r="R119" s="30" t="n">
        <f aca="false">_xlfn.MINIFS('Piece check'!$K$6:$K$1643,'Piece check'!$B$6:$B$1643,B119)</f>
        <v>-2.96071217167852</v>
      </c>
      <c r="S119" s="18" t="n">
        <f aca="false">MAX(0,GWL-R119)</f>
        <v>1.46071217167852</v>
      </c>
      <c r="T119" s="18" t="n">
        <f aca="false">MAX(0,NG-R119)</f>
        <v>2.26071217167852</v>
      </c>
      <c r="U119" s="31" t="n">
        <f aca="false">SUMIFS('Piece check'!$R$6:$R$1643,'Piece check'!$B$6:$B$1643,B119)</f>
        <v>13.9890516110595</v>
      </c>
      <c r="V119" s="21" t="n">
        <f aca="false">O119-U119</f>
        <v>31.3984193519576</v>
      </c>
      <c r="W119" s="12" t="str">
        <f aca="false">IF(U119&lt;0.05,"Open cut",IF(V119&lt;0.05,"Sheet piles","Mixed: "&amp;TEXT(U119,"0")&amp;" m sheet piles"))</f>
        <v>Mixed: 14 m sheet piles</v>
      </c>
      <c r="X119" s="33" t="n">
        <f aca="false">SUMIFS('Piece check'!$V$6:$V$1643,'Piece check'!$B$6:$B$1643,B119)</f>
        <v>46.5406682325423</v>
      </c>
      <c r="Y119" s="33" t="n">
        <f aca="false">SUMIFS('Piece check'!$W$6:$W$1643,'Piece check'!$B$6:$B$1643,B119)</f>
        <v>200.860725539054</v>
      </c>
      <c r="Z119" s="33" t="n">
        <f aca="false">SUMIFS('Piece check'!$X$6:$X$1643,'Piece check'!$B$6:$B$1643,B119)</f>
        <v>36.9906904707779</v>
      </c>
      <c r="AA119" s="33" t="n">
        <f aca="false">SUMIFS('Piece check'!$Y$6:$Y$1643,'Piece check'!$B$6:$B$1643,B119)</f>
        <v>14.1481934204372</v>
      </c>
      <c r="AB119" s="20" t="n">
        <f aca="false">MAX(0,X119+Y119-Z119-AA119)</f>
        <v>196.262509880381</v>
      </c>
      <c r="AC119" s="20" t="n">
        <f aca="false">(ROUNDUP(O119/PILE_SP,0)+1)*IF(N119&gt;=PILE_THR,PILE_N_LARGE,PILE_N_SMALL)</f>
        <v>17</v>
      </c>
      <c r="AD119" s="20" t="n">
        <f aca="false">2*U119</f>
        <v>27.978103222119</v>
      </c>
      <c r="AE119" s="34" t="n">
        <f aca="false">IF(U119&gt;0,ROUNDUP(T119*SHEET_RATIO,0),0)</f>
        <v>5</v>
      </c>
      <c r="AF119" s="20" t="n">
        <f aca="false">AD119*AE119</f>
        <v>139.890516110595</v>
      </c>
      <c r="AG119" s="18" t="n">
        <f aca="false">MAX(0,GWL-(R119-DD_BELOW))</f>
        <v>1.96071217167852</v>
      </c>
      <c r="AH119" s="12" t="str">
        <f aca="false">IF(AG119=0,"Not required",IF(AG119&lt;=WP_LIMIT,"Single-stage wellpoints","Deep wells or two-stage wellpoints"))</f>
        <v>Single-stage wellpoints</v>
      </c>
      <c r="AI119" s="30" t="n">
        <f aca="false">MIN(_xlfn.MINIFS('Piece check'!$Z$6:$Z$1643,'Piece check'!$B$6:$B$1643,B119),_xlfn.MINIFS('Piece check'!$AA$6:$AA$1643,'Piece check'!$B$6:$B$1643,B119))</f>
        <v>1.46712758273177</v>
      </c>
      <c r="AJ119" s="30" t="n">
        <f aca="false">MIN(_xlfn.MINIFS('Piece check'!$AB$6:$AB$1643,'Piece check'!$B$6:$B$1643,B119),_xlfn.MINIFS('Piece check'!$AC$6:$AC$1643,'Piece check'!$B$6:$B$1643,B119))</f>
        <v>7.7711680765982</v>
      </c>
      <c r="AK119" s="12" t="str">
        <f aca="false">IF(AJ119&lt;FOS_FLOT,"Anchor pipe to piled slab (permanent straps)",IF(AI119&lt;FOS_FLOT,"Keep dewatering on until fill reaches FL, or strap to slab","No extra measure"))</f>
        <v>No extra measure</v>
      </c>
      <c r="AL119" s="35" t="n">
        <f aca="false">Activities!P1250</f>
        <v>46410</v>
      </c>
      <c r="AM119" s="35" t="n">
        <f aca="false">Activities!Q1259</f>
        <v>46489</v>
      </c>
      <c r="AN119" s="15" t="n">
        <v>112</v>
      </c>
      <c r="AO119" s="36" t="s">
        <v>2363</v>
      </c>
      <c r="AP119" s="36" t="s">
        <v>2697</v>
      </c>
      <c r="AQ119" s="36" t="s">
        <v>2720</v>
      </c>
      <c r="AR119" s="37" t="n">
        <f aca="false">Activities!P1258-Activities!Q1256</f>
        <v>-3</v>
      </c>
      <c r="AS119" s="37" t="n">
        <f aca="false">IF(Activities!K1253=0,0,Activities!Q1259-Activities!P1253)</f>
        <v>40</v>
      </c>
    </row>
    <row r="120" customFormat="false" ht="15" hidden="false" customHeight="false" outlineLevel="0" collapsed="false">
      <c r="A120" s="15" t="s">
        <v>2066</v>
      </c>
      <c r="B120" s="29" t="s">
        <v>2085</v>
      </c>
      <c r="C120" s="15" t="s">
        <v>400</v>
      </c>
      <c r="D120" s="15" t="s">
        <v>2721</v>
      </c>
      <c r="E120" s="15" t="s">
        <v>2518</v>
      </c>
      <c r="F120" s="15" t="n">
        <v>28</v>
      </c>
      <c r="G120" s="15" t="s">
        <v>2362</v>
      </c>
      <c r="H120" s="15"/>
      <c r="I120" s="16" t="n">
        <v>0</v>
      </c>
      <c r="J120" s="15"/>
      <c r="K120" s="16" t="n">
        <v>0</v>
      </c>
      <c r="L120" s="15" t="s">
        <v>358</v>
      </c>
      <c r="M120" s="15" t="n">
        <v>5</v>
      </c>
      <c r="N120" s="30" t="n">
        <f aca="false">_xlfn.MAXIFS('Piece check'!$E$6:$E$1643,'Piece check'!$B$6:$B$1643,B120)</f>
        <v>0.630004343670048</v>
      </c>
      <c r="O120" s="31" t="n">
        <f aca="false">SUMIFS('Piece check'!$D$6:$D$1643,'Piece check'!$B$6:$B$1643,B120)</f>
        <v>32.6261990361808</v>
      </c>
      <c r="P120" s="32" t="n">
        <v>-5.07499929603601</v>
      </c>
      <c r="Q120" s="32" t="n">
        <v>-2.96071217167082</v>
      </c>
      <c r="R120" s="30" t="n">
        <f aca="false">_xlfn.MINIFS('Piece check'!$K$6:$K$1643,'Piece check'!$B$6:$B$1643,B120)</f>
        <v>-5.07500217183502</v>
      </c>
      <c r="S120" s="18" t="n">
        <f aca="false">MAX(0,GWL-R120)</f>
        <v>3.57500217183502</v>
      </c>
      <c r="T120" s="18" t="n">
        <f aca="false">MAX(0,NG-R120)</f>
        <v>4.37500217183502</v>
      </c>
      <c r="U120" s="31" t="n">
        <f aca="false">SUMIFS('Piece check'!$R$6:$R$1643,'Piece check'!$B$6:$B$1643,B120)</f>
        <v>32.5554890359706</v>
      </c>
      <c r="V120" s="21" t="n">
        <f aca="false">O120-U120</f>
        <v>0.0707100002101981</v>
      </c>
      <c r="W120" s="12" t="str">
        <f aca="false">IF(U120&lt;0.05,"Open cut",IF(V120&lt;0.05,"Sheet piles","Mixed: "&amp;TEXT(U120,"0")&amp;" m sheet piles"))</f>
        <v>Mixed: 33 m sheet piles</v>
      </c>
      <c r="X120" s="33" t="n">
        <f aca="false">SUMIFS('Piece check'!$V$6:$V$1643,'Piece check'!$B$6:$B$1643,B120)</f>
        <v>365.695182064761</v>
      </c>
      <c r="Y120" s="33" t="n">
        <f aca="false">SUMIFS('Piece check'!$W$6:$W$1643,'Piece check'!$B$6:$B$1643,B120)</f>
        <v>1.12056413224955</v>
      </c>
      <c r="Z120" s="33" t="n">
        <f aca="false">SUMIFS('Piece check'!$X$6:$X$1643,'Piece check'!$B$6:$B$1643,B120)</f>
        <v>26.5852372713409</v>
      </c>
      <c r="AA120" s="33" t="n">
        <f aca="false">SUMIFS('Piece check'!$Y$6:$Y$1643,'Piece check'!$B$6:$B$1643,B120)</f>
        <v>10.1603600870686</v>
      </c>
      <c r="AB120" s="20" t="n">
        <f aca="false">MAX(0,X120+Y120-Z120-AA120)</f>
        <v>330.070148838601</v>
      </c>
      <c r="AC120" s="20" t="n">
        <f aca="false">(ROUNDUP(O120/PILE_SP,0)+1)*IF(N120&gt;=PILE_THR,PILE_N_LARGE,PILE_N_SMALL)</f>
        <v>12</v>
      </c>
      <c r="AD120" s="20" t="n">
        <f aca="false">2*U120</f>
        <v>65.1109780719413</v>
      </c>
      <c r="AE120" s="34" t="n">
        <f aca="false">IF(U120&gt;0,ROUNDUP(T120*SHEET_RATIO,0),0)</f>
        <v>9</v>
      </c>
      <c r="AF120" s="20" t="n">
        <f aca="false">AD120*AE120</f>
        <v>585.998802647472</v>
      </c>
      <c r="AG120" s="18" t="n">
        <f aca="false">MAX(0,GWL-(R120-DD_BELOW))</f>
        <v>4.07500217183502</v>
      </c>
      <c r="AH120" s="12" t="str">
        <f aca="false">IF(AG120=0,"Not required",IF(AG120&lt;=WP_LIMIT,"Single-stage wellpoints","Deep wells or two-stage wellpoints"))</f>
        <v>Single-stage wellpoints</v>
      </c>
      <c r="AI120" s="30" t="n">
        <f aca="false">MIN(_xlfn.MINIFS('Piece check'!$Z$6:$Z$1643,'Piece check'!$B$6:$B$1643,B120),_xlfn.MINIFS('Piece check'!$AA$6:$AA$1643,'Piece check'!$B$6:$B$1643,B120))</f>
        <v>3.52459668622841</v>
      </c>
      <c r="AJ120" s="30" t="n">
        <f aca="false">MIN(_xlfn.MINIFS('Piece check'!$AB$6:$AB$1643,'Piece check'!$B$6:$B$1643,B120),_xlfn.MINIFS('Piece check'!$AC$6:$AC$1643,'Piece check'!$B$6:$B$1643,B120))</f>
        <v>9.82863718024888</v>
      </c>
      <c r="AK120" s="12" t="str">
        <f aca="false">IF(AJ120&lt;FOS_FLOT,"Anchor pipe to piled slab (permanent straps)",IF(AI120&lt;FOS_FLOT,"Keep dewatering on until fill reaches FL, or strap to slab","No extra measure"))</f>
        <v>No extra measure</v>
      </c>
      <c r="AL120" s="35" t="n">
        <f aca="false">Activities!P1261</f>
        <v>46413</v>
      </c>
      <c r="AM120" s="35" t="n">
        <f aca="false">Activities!Q1270</f>
        <v>46496</v>
      </c>
      <c r="AN120" s="15" t="n">
        <v>113</v>
      </c>
      <c r="AO120" s="36" t="s">
        <v>2722</v>
      </c>
      <c r="AP120" s="36" t="s">
        <v>2723</v>
      </c>
      <c r="AQ120" s="36" t="s">
        <v>2724</v>
      </c>
      <c r="AR120" s="37" t="n">
        <f aca="false">Activities!P1269-Activities!Q1267</f>
        <v>-2</v>
      </c>
      <c r="AS120" s="37" t="n">
        <f aca="false">IF(Activities!K1264=0,0,Activities!Q1270-Activities!P1264)</f>
        <v>44</v>
      </c>
    </row>
    <row r="121" customFormat="false" ht="15" hidden="false" customHeight="false" outlineLevel="0" collapsed="false">
      <c r="A121" s="15" t="s">
        <v>2066</v>
      </c>
      <c r="B121" s="29" t="s">
        <v>2081</v>
      </c>
      <c r="C121" s="15" t="s">
        <v>400</v>
      </c>
      <c r="D121" s="15" t="s">
        <v>2725</v>
      </c>
      <c r="E121" s="15" t="s">
        <v>2518</v>
      </c>
      <c r="F121" s="15" t="n">
        <v>28</v>
      </c>
      <c r="G121" s="15" t="s">
        <v>2362</v>
      </c>
      <c r="H121" s="15"/>
      <c r="I121" s="16" t="n">
        <v>0</v>
      </c>
      <c r="J121" s="15"/>
      <c r="K121" s="16" t="n">
        <v>0</v>
      </c>
      <c r="L121" s="15" t="s">
        <v>358</v>
      </c>
      <c r="M121" s="15" t="n">
        <v>0</v>
      </c>
      <c r="N121" s="30" t="n">
        <f aca="false">_xlfn.MAXIFS('Piece check'!$E$6:$E$1643,'Piece check'!$B$6:$B$1643,B121)</f>
        <v>0.629998592072013</v>
      </c>
      <c r="O121" s="31" t="n">
        <f aca="false">SUMIFS('Piece check'!$D$6:$D$1643,'Piece check'!$B$6:$B$1643,B121)</f>
        <v>23.0000000003473</v>
      </c>
      <c r="P121" s="32" t="n">
        <v>-5.07499929603601</v>
      </c>
      <c r="Q121" s="32" t="n">
        <v>-5.07499929603601</v>
      </c>
      <c r="R121" s="30" t="n">
        <f aca="false">_xlfn.MINIFS('Piece check'!$K$6:$K$1643,'Piece check'!$B$6:$B$1643,B121)</f>
        <v>-5.07499929603601</v>
      </c>
      <c r="S121" s="18" t="n">
        <f aca="false">MAX(0,GWL-R121)</f>
        <v>3.57499929603601</v>
      </c>
      <c r="T121" s="18" t="n">
        <f aca="false">MAX(0,NG-R121)</f>
        <v>4.37499929603601</v>
      </c>
      <c r="U121" s="31" t="n">
        <f aca="false">SUMIFS('Piece check'!$R$6:$R$1643,'Piece check'!$B$6:$B$1643,B121)</f>
        <v>23.0000000003473</v>
      </c>
      <c r="V121" s="21" t="n">
        <f aca="false">O121-U121</f>
        <v>0</v>
      </c>
      <c r="W121" s="12" t="str">
        <f aca="false">IF(U121&lt;0.05,"Open cut",IF(V121&lt;0.05,"Sheet piles","Mixed: "&amp;TEXT(U121,"0")&amp;" m sheet piles"))</f>
        <v>Sheet piles</v>
      </c>
      <c r="X121" s="33" t="n">
        <f aca="false">SUMIFS('Piece check'!$V$6:$V$1643,'Piece check'!$B$6:$B$1643,B121)</f>
        <v>264.643565748483</v>
      </c>
      <c r="Y121" s="33" t="n">
        <f aca="false">SUMIFS('Piece check'!$W$6:$W$1643,'Piece check'!$B$6:$B$1643,B121)</f>
        <v>0</v>
      </c>
      <c r="Z121" s="33" t="n">
        <f aca="false">SUMIFS('Piece check'!$X$6:$X$1643,'Piece check'!$B$6:$B$1643,B121)</f>
        <v>18.7449838091112</v>
      </c>
      <c r="AA121" s="33" t="n">
        <f aca="false">SUMIFS('Piece check'!$Y$6:$Y$1643,'Piece check'!$B$6:$B$1643,B121)</f>
        <v>7.16963216872844</v>
      </c>
      <c r="AB121" s="20" t="n">
        <f aca="false">MAX(0,X121+Y121-Z121-AA121)</f>
        <v>238.728949770644</v>
      </c>
      <c r="AC121" s="20" t="n">
        <f aca="false">(ROUNDUP(O121/PILE_SP,0)+1)*IF(N121&gt;=PILE_THR,PILE_N_LARGE,PILE_N_SMALL)</f>
        <v>9</v>
      </c>
      <c r="AD121" s="20" t="n">
        <f aca="false">2*U121</f>
        <v>46.0000000006946</v>
      </c>
      <c r="AE121" s="34" t="n">
        <f aca="false">IF(U121&gt;0,ROUNDUP(T121*SHEET_RATIO,0),0)</f>
        <v>9</v>
      </c>
      <c r="AF121" s="20" t="n">
        <f aca="false">AD121*AE121</f>
        <v>414.000000006251</v>
      </c>
      <c r="AG121" s="18" t="n">
        <f aca="false">MAX(0,GWL-(R121-DD_BELOW))</f>
        <v>4.07499929603601</v>
      </c>
      <c r="AH121" s="12" t="str">
        <f aca="false">IF(AG121=0,"Not required",IF(AG121&lt;=WP_LIMIT,"Single-stage wellpoints","Deep wells or two-stage wellpoints"))</f>
        <v>Single-stage wellpoints</v>
      </c>
      <c r="AI121" s="30" t="n">
        <f aca="false">MIN(_xlfn.MINIFS('Piece check'!$Z$6:$Z$1643,'Piece check'!$B$6:$B$1643,B121),_xlfn.MINIFS('Piece check'!$AA$6:$AA$1643,'Piece check'!$B$6:$B$1643,B121))</f>
        <v>7.09201877965284</v>
      </c>
      <c r="AJ121" s="30" t="n">
        <f aca="false">MIN(_xlfn.MINIFS('Piece check'!$AB$6:$AB$1643,'Piece check'!$B$6:$B$1643,B121),_xlfn.MINIFS('Piece check'!$AC$6:$AC$1643,'Piece check'!$B$6:$B$1643,B121))</f>
        <v>13.3961168233838</v>
      </c>
      <c r="AK121" s="12" t="str">
        <f aca="false">IF(AJ121&lt;FOS_FLOT,"Anchor pipe to piled slab (permanent straps)",IF(AI121&lt;FOS_FLOT,"Keep dewatering on until fill reaches FL, or strap to slab","No extra measure"))</f>
        <v>No extra measure</v>
      </c>
      <c r="AL121" s="35" t="n">
        <f aca="false">Activities!P1272</f>
        <v>46418</v>
      </c>
      <c r="AM121" s="35" t="n">
        <f aca="false">Activities!Q1281</f>
        <v>46502</v>
      </c>
      <c r="AN121" s="15" t="n">
        <v>114</v>
      </c>
      <c r="AO121" s="36" t="s">
        <v>2374</v>
      </c>
      <c r="AP121" s="36" t="s">
        <v>2726</v>
      </c>
      <c r="AQ121" s="36" t="s">
        <v>2727</v>
      </c>
      <c r="AR121" s="37" t="n">
        <f aca="false">Activities!P1280-Activities!Q1278</f>
        <v>-2</v>
      </c>
      <c r="AS121" s="37" t="n">
        <f aca="false">IF(Activities!K1275=0,0,Activities!Q1281-Activities!P1275)</f>
        <v>47</v>
      </c>
    </row>
    <row r="122" customFormat="false" ht="15" hidden="false" customHeight="false" outlineLevel="0" collapsed="false">
      <c r="A122" s="15" t="s">
        <v>1341</v>
      </c>
      <c r="B122" s="29" t="s">
        <v>1399</v>
      </c>
      <c r="C122" s="15" t="s">
        <v>400</v>
      </c>
      <c r="D122" s="15" t="s">
        <v>2728</v>
      </c>
      <c r="E122" s="15" t="s">
        <v>2518</v>
      </c>
      <c r="F122" s="15" t="n">
        <v>28</v>
      </c>
      <c r="G122" s="15" t="s">
        <v>2362</v>
      </c>
      <c r="H122" s="15"/>
      <c r="I122" s="16" t="n">
        <v>0</v>
      </c>
      <c r="J122" s="15"/>
      <c r="K122" s="16" t="n">
        <v>0</v>
      </c>
      <c r="L122" s="15" t="s">
        <v>358</v>
      </c>
      <c r="M122" s="15" t="n">
        <v>9</v>
      </c>
      <c r="N122" s="30" t="n">
        <f aca="false">_xlfn.MAXIFS('Piece check'!$E$6:$E$1643,'Piece check'!$B$6:$B$1643,B122)</f>
        <v>1.3999987402706</v>
      </c>
      <c r="O122" s="31" t="n">
        <f aca="false">SUMIFS('Piece check'!$D$6:$D$1643,'Piece check'!$B$6:$B$1643,B122)</f>
        <v>79.9312282294018</v>
      </c>
      <c r="P122" s="32" t="n">
        <v>-4.2999993701353</v>
      </c>
      <c r="Q122" s="32" t="n">
        <v>-4.1000015519852</v>
      </c>
      <c r="R122" s="30" t="n">
        <f aca="false">_xlfn.MINIFS('Piece check'!$K$6:$K$1643,'Piece check'!$B$6:$B$1643,B122)</f>
        <v>-4.2999993701353</v>
      </c>
      <c r="S122" s="18" t="n">
        <f aca="false">MAX(0,GWL-R122)</f>
        <v>2.7999993701353</v>
      </c>
      <c r="T122" s="18" t="n">
        <f aca="false">MAX(0,NG-R122)</f>
        <v>3.5999993701353</v>
      </c>
      <c r="U122" s="31" t="n">
        <f aca="false">SUMIFS('Piece check'!$R$6:$R$1643,'Piece check'!$B$6:$B$1643,B122)</f>
        <v>79.9312282294018</v>
      </c>
      <c r="V122" s="21" t="n">
        <f aca="false">O122-U122</f>
        <v>0</v>
      </c>
      <c r="W122" s="12" t="str">
        <f aca="false">IF(U122&lt;0.05,"Open cut",IF(V122&lt;0.05,"Sheet piles","Mixed: "&amp;TEXT(U122,"0")&amp;" m sheet piles"))</f>
        <v>Sheet piles</v>
      </c>
      <c r="X122" s="33" t="n">
        <f aca="false">SUMIFS('Piece check'!$V$6:$V$1643,'Piece check'!$B$6:$B$1643,B122)</f>
        <v>843.448964634791</v>
      </c>
      <c r="Y122" s="33" t="n">
        <f aca="false">SUMIFS('Piece check'!$W$6:$W$1643,'Piece check'!$B$6:$B$1643,B122)</f>
        <v>0</v>
      </c>
      <c r="Z122" s="33" t="n">
        <f aca="false">SUMIFS('Piece check'!$X$6:$X$1643,'Piece check'!$B$6:$B$1643,B122)</f>
        <v>82.690914597613</v>
      </c>
      <c r="AA122" s="33" t="n">
        <f aca="false">SUMIFS('Piece check'!$Y$6:$Y$1643,'Piece check'!$B$6:$B$1643,B122)</f>
        <v>73.1841817672063</v>
      </c>
      <c r="AB122" s="20" t="n">
        <f aca="false">MAX(0,X122+Y122-Z122-AA122)</f>
        <v>687.573868269972</v>
      </c>
      <c r="AC122" s="20" t="n">
        <f aca="false">(ROUNDUP(O122/PILE_SP,0)+1)*IF(N122&gt;=PILE_THR,PILE_N_LARGE,PILE_N_SMALL)</f>
        <v>56</v>
      </c>
      <c r="AD122" s="20" t="n">
        <f aca="false">2*U122</f>
        <v>159.862456458804</v>
      </c>
      <c r="AE122" s="34" t="n">
        <f aca="false">IF(U122&gt;0,ROUNDUP(T122*SHEET_RATIO,0),0)</f>
        <v>8</v>
      </c>
      <c r="AF122" s="20" t="n">
        <f aca="false">AD122*AE122</f>
        <v>1278.89965167043</v>
      </c>
      <c r="AG122" s="18" t="n">
        <f aca="false">MAX(0,GWL-(R122-DD_BELOW))</f>
        <v>3.2999993701353</v>
      </c>
      <c r="AH122" s="12" t="str">
        <f aca="false">IF(AG122=0,"Not required",IF(AG122&lt;=WP_LIMIT,"Single-stage wellpoints","Deep wells or two-stage wellpoints"))</f>
        <v>Single-stage wellpoints</v>
      </c>
      <c r="AI122" s="30" t="n">
        <f aca="false">MIN(_xlfn.MINIFS('Piece check'!$Z$6:$Z$1643,'Piece check'!$B$6:$B$1643,B122),_xlfn.MINIFS('Piece check'!$AA$6:$AA$1643,'Piece check'!$B$6:$B$1643,B122))</f>
        <v>2.0183289383247</v>
      </c>
      <c r="AJ122" s="30" t="n">
        <f aca="false">MIN(_xlfn.MINIFS('Piece check'!$AB$6:$AB$1643,'Piece check'!$B$6:$B$1643,B122),_xlfn.MINIFS('Piece check'!$AC$6:$AC$1643,'Piece check'!$B$6:$B$1643,B122))</f>
        <v>4.85516927081444</v>
      </c>
      <c r="AK122" s="12" t="str">
        <f aca="false">IF(AJ122&lt;FOS_FLOT,"Anchor pipe to piled slab (permanent straps)",IF(AI122&lt;FOS_FLOT,"Keep dewatering on until fill reaches FL, or strap to slab","No extra measure"))</f>
        <v>No extra measure</v>
      </c>
      <c r="AL122" s="35" t="n">
        <f aca="false">Activities!P1283</f>
        <v>46422</v>
      </c>
      <c r="AM122" s="35" t="n">
        <f aca="false">Activities!Q1292</f>
        <v>46514</v>
      </c>
      <c r="AN122" s="15" t="n">
        <v>150</v>
      </c>
      <c r="AO122" s="36" t="s">
        <v>2564</v>
      </c>
      <c r="AP122" s="36" t="s">
        <v>2729</v>
      </c>
      <c r="AQ122" s="36" t="s">
        <v>2730</v>
      </c>
      <c r="AR122" s="37" t="n">
        <f aca="false">Activities!P1291-Activities!Q1289</f>
        <v>-5</v>
      </c>
      <c r="AS122" s="37" t="n">
        <f aca="false">IF(Activities!K1286=0,0,Activities!Q1292-Activities!P1286)</f>
        <v>57</v>
      </c>
    </row>
    <row r="123" customFormat="false" ht="15" hidden="false" customHeight="false" outlineLevel="0" collapsed="false">
      <c r="A123" s="15" t="s">
        <v>1341</v>
      </c>
      <c r="B123" s="29" t="s">
        <v>1363</v>
      </c>
      <c r="C123" s="15" t="s">
        <v>400</v>
      </c>
      <c r="D123" s="15" t="s">
        <v>2731</v>
      </c>
      <c r="E123" s="15" t="s">
        <v>2518</v>
      </c>
      <c r="F123" s="15" t="n">
        <v>28</v>
      </c>
      <c r="G123" s="15" t="s">
        <v>2362</v>
      </c>
      <c r="H123" s="15"/>
      <c r="I123" s="16" t="n">
        <v>0</v>
      </c>
      <c r="J123" s="15"/>
      <c r="K123" s="16" t="n">
        <v>0</v>
      </c>
      <c r="L123" s="15" t="s">
        <v>358</v>
      </c>
      <c r="M123" s="15" t="n">
        <v>4</v>
      </c>
      <c r="N123" s="30" t="n">
        <f aca="false">_xlfn.MAXIFS('Piece check'!$E$6:$E$1643,'Piece check'!$B$6:$B$1643,B123)</f>
        <v>2.06959608601728</v>
      </c>
      <c r="O123" s="31" t="n">
        <f aca="false">SUMIFS('Piece check'!$D$6:$D$1643,'Piece check'!$B$6:$B$1643,B123)</f>
        <v>40.2557040593895</v>
      </c>
      <c r="P123" s="32" t="n">
        <v>-4.63479804300864</v>
      </c>
      <c r="Q123" s="32" t="n">
        <v>-4.30000083307994</v>
      </c>
      <c r="R123" s="30" t="n">
        <f aca="false">_xlfn.MINIFS('Piece check'!$K$6:$K$1643,'Piece check'!$B$6:$B$1643,B123)</f>
        <v>-4.63479804300864</v>
      </c>
      <c r="S123" s="18" t="n">
        <f aca="false">MAX(0,GWL-R123)</f>
        <v>3.13479804300864</v>
      </c>
      <c r="T123" s="18" t="n">
        <f aca="false">MAX(0,NG-R123)</f>
        <v>3.93479804300864</v>
      </c>
      <c r="U123" s="31" t="n">
        <f aca="false">SUMIFS('Piece check'!$R$6:$R$1643,'Piece check'!$B$6:$B$1643,B123)</f>
        <v>40.2557040593895</v>
      </c>
      <c r="V123" s="21" t="n">
        <f aca="false">O123-U123</f>
        <v>0</v>
      </c>
      <c r="W123" s="12" t="str">
        <f aca="false">IF(U123&lt;0.05,"Open cut",IF(V123&lt;0.05,"Sheet piles","Mixed: "&amp;TEXT(U123,"0")&amp;" m sheet piles"))</f>
        <v>Sheet piles</v>
      </c>
      <c r="X123" s="33" t="n">
        <f aca="false">SUMIFS('Piece check'!$V$6:$V$1643,'Piece check'!$B$6:$B$1643,B123)</f>
        <v>531.155222302649</v>
      </c>
      <c r="Y123" s="33" t="n">
        <f aca="false">SUMIFS('Piece check'!$W$6:$W$1643,'Piece check'!$B$6:$B$1643,B123)</f>
        <v>0</v>
      </c>
      <c r="Z123" s="33" t="n">
        <f aca="false">SUMIFS('Piece check'!$X$6:$X$1643,'Piece check'!$B$6:$B$1643,B123)</f>
        <v>51.71958513709</v>
      </c>
      <c r="AA123" s="33" t="n">
        <f aca="false">SUMIFS('Piece check'!$Y$6:$Y$1643,'Piece check'!$B$6:$B$1643,B123)</f>
        <v>80.513711237533</v>
      </c>
      <c r="AB123" s="20" t="n">
        <f aca="false">MAX(0,X123+Y123-Z123-AA123)</f>
        <v>398.921925928026</v>
      </c>
      <c r="AC123" s="20" t="n">
        <f aca="false">(ROUNDUP(O123/PILE_SP,0)+1)*IF(N123&gt;=PILE_THR,PILE_N_LARGE,PILE_N_SMALL)</f>
        <v>30</v>
      </c>
      <c r="AD123" s="20" t="n">
        <f aca="false">2*U123</f>
        <v>80.5114081187791</v>
      </c>
      <c r="AE123" s="34" t="n">
        <f aca="false">IF(U123&gt;0,ROUNDUP(T123*SHEET_RATIO,0),0)</f>
        <v>8</v>
      </c>
      <c r="AF123" s="20" t="n">
        <f aca="false">AD123*AE123</f>
        <v>644.091264950233</v>
      </c>
      <c r="AG123" s="18" t="n">
        <f aca="false">MAX(0,GWL-(R123-DD_BELOW))</f>
        <v>3.63479804300864</v>
      </c>
      <c r="AH123" s="12" t="str">
        <f aca="false">IF(AG123=0,"Not required",IF(AG123&lt;=WP_LIMIT,"Single-stage wellpoints","Deep wells or two-stage wellpoints"))</f>
        <v>Single-stage wellpoints</v>
      </c>
      <c r="AI123" s="30" t="n">
        <f aca="false">MIN(_xlfn.MINIFS('Piece check'!$Z$6:$Z$1643,'Piece check'!$B$6:$B$1643,B123),_xlfn.MINIFS('Piece check'!$AA$6:$AA$1643,'Piece check'!$B$6:$B$1643,B123))</f>
        <v>1.1933602698238</v>
      </c>
      <c r="AJ123" s="30" t="n">
        <f aca="false">MIN(_xlfn.MINIFS('Piece check'!$AB$6:$AB$1643,'Piece check'!$B$6:$B$1643,B123),_xlfn.MINIFS('Piece check'!$AC$6:$AC$1643,'Piece check'!$B$6:$B$1643,B123))</f>
        <v>3.11236896851019</v>
      </c>
      <c r="AK123" s="12" t="str">
        <f aca="false">IF(AJ123&lt;FOS_FLOT,"Anchor pipe to piled slab (permanent straps)",IF(AI123&lt;FOS_FLOT,"Keep dewatering on until fill reaches FL, or strap to slab","No extra measure"))</f>
        <v>No extra measure</v>
      </c>
      <c r="AL123" s="35" t="n">
        <f aca="false">Activities!P1294</f>
        <v>46425</v>
      </c>
      <c r="AM123" s="35" t="n">
        <f aca="false">Activities!Q1303</f>
        <v>46523</v>
      </c>
      <c r="AN123" s="15" t="n">
        <v>153</v>
      </c>
      <c r="AO123" s="36" t="s">
        <v>2732</v>
      </c>
      <c r="AP123" s="36" t="s">
        <v>2416</v>
      </c>
      <c r="AQ123" s="36" t="s">
        <v>2365</v>
      </c>
      <c r="AR123" s="37" t="n">
        <f aca="false">Activities!P1302-Activities!Q1300</f>
        <v>-4</v>
      </c>
      <c r="AS123" s="37" t="n">
        <f aca="false">IF(Activities!K1297=0,0,Activities!Q1303-Activities!P1297)</f>
        <v>61</v>
      </c>
    </row>
    <row r="124" customFormat="false" ht="15" hidden="false" customHeight="false" outlineLevel="0" collapsed="false">
      <c r="A124" s="15" t="s">
        <v>1341</v>
      </c>
      <c r="B124" s="29" t="s">
        <v>1353</v>
      </c>
      <c r="C124" s="15" t="s">
        <v>400</v>
      </c>
      <c r="D124" s="15" t="s">
        <v>2733</v>
      </c>
      <c r="E124" s="15" t="s">
        <v>2518</v>
      </c>
      <c r="F124" s="15" t="n">
        <v>28</v>
      </c>
      <c r="G124" s="15" t="s">
        <v>2362</v>
      </c>
      <c r="H124" s="15"/>
      <c r="I124" s="16" t="n">
        <v>0</v>
      </c>
      <c r="J124" s="15"/>
      <c r="K124" s="16" t="n">
        <v>0</v>
      </c>
      <c r="L124" s="15" t="s">
        <v>358</v>
      </c>
      <c r="M124" s="15" t="n">
        <v>0</v>
      </c>
      <c r="N124" s="30" t="n">
        <f aca="false">_xlfn.MAXIFS('Piece check'!$E$6:$E$1643,'Piece check'!$B$6:$B$1643,B124)</f>
        <v>2.06959899489387</v>
      </c>
      <c r="O124" s="31" t="n">
        <f aca="false">SUMIFS('Piece check'!$D$6:$D$1643,'Piece check'!$B$6:$B$1643,B124)</f>
        <v>70.2152146555513</v>
      </c>
      <c r="P124" s="32" t="n">
        <v>-4.63479949744693</v>
      </c>
      <c r="Q124" s="32" t="n">
        <v>-4.63479804300864</v>
      </c>
      <c r="R124" s="30" t="n">
        <f aca="false">_xlfn.MINIFS('Piece check'!$K$6:$K$1643,'Piece check'!$B$6:$B$1643,B124)</f>
        <v>-4.63479949744693</v>
      </c>
      <c r="S124" s="18" t="n">
        <f aca="false">MAX(0,GWL-R124)</f>
        <v>3.13479949744693</v>
      </c>
      <c r="T124" s="18" t="n">
        <f aca="false">MAX(0,NG-R124)</f>
        <v>3.93479949744693</v>
      </c>
      <c r="U124" s="31" t="n">
        <f aca="false">SUMIFS('Piece check'!$R$6:$R$1643,'Piece check'!$B$6:$B$1643,B124)</f>
        <v>70.2152146555513</v>
      </c>
      <c r="V124" s="21" t="n">
        <f aca="false">O124-U124</f>
        <v>0</v>
      </c>
      <c r="W124" s="12" t="str">
        <f aca="false">IF(U124&lt;0.05,"Open cut",IF(V124&lt;0.05,"Sheet piles","Mixed: "&amp;TEXT(U124,"0")&amp;" m sheet piles"))</f>
        <v>Sheet piles</v>
      </c>
      <c r="X124" s="33" t="n">
        <f aca="false">SUMIFS('Piece check'!$V$6:$V$1643,'Piece check'!$B$6:$B$1643,B124)</f>
        <v>1124.35899174557</v>
      </c>
      <c r="Y124" s="33" t="n">
        <f aca="false">SUMIFS('Piece check'!$W$6:$W$1643,'Piece check'!$B$6:$B$1643,B124)</f>
        <v>0</v>
      </c>
      <c r="Z124" s="33" t="n">
        <f aca="false">SUMIFS('Piece check'!$X$6:$X$1643,'Piece check'!$B$6:$B$1643,B124)</f>
        <v>107.766177483324</v>
      </c>
      <c r="AA124" s="33" t="n">
        <f aca="false">SUMIFS('Piece check'!$Y$6:$Y$1643,'Piece check'!$B$6:$B$1643,B124)</f>
        <v>236.206769027704</v>
      </c>
      <c r="AB124" s="20" t="n">
        <f aca="false">MAX(0,X124+Y124-Z124-AA124)</f>
        <v>780.386045234546</v>
      </c>
      <c r="AC124" s="20" t="n">
        <f aca="false">(ROUNDUP(O124/PILE_SP,0)+1)*IF(N124&gt;=PILE_THR,PILE_N_LARGE,PILE_N_SMALL)</f>
        <v>50</v>
      </c>
      <c r="AD124" s="20" t="n">
        <f aca="false">2*U124</f>
        <v>140.430429311103</v>
      </c>
      <c r="AE124" s="34" t="n">
        <f aca="false">IF(U124&gt;0,ROUNDUP(T124*SHEET_RATIO,0),0)</f>
        <v>8</v>
      </c>
      <c r="AF124" s="20" t="n">
        <f aca="false">AD124*AE124</f>
        <v>1123.44343448882</v>
      </c>
      <c r="AG124" s="18" t="n">
        <f aca="false">MAX(0,GWL-(R124-DD_BELOW))</f>
        <v>3.63479949744693</v>
      </c>
      <c r="AH124" s="12" t="str">
        <f aca="false">IF(AG124=0,"Not required",IF(AG124&lt;=WP_LIMIT,"Single-stage wellpoints","Deep wells or two-stage wellpoints"))</f>
        <v>Single-stage wellpoints</v>
      </c>
      <c r="AI124" s="30" t="n">
        <f aca="false">MIN(_xlfn.MINIFS('Piece check'!$Z$6:$Z$1643,'Piece check'!$B$6:$B$1643,B124),_xlfn.MINIFS('Piece check'!$AA$6:$AA$1643,'Piece check'!$B$6:$B$1643,B124))</f>
        <v>1.19335784550088</v>
      </c>
      <c r="AJ124" s="30" t="n">
        <f aca="false">MIN(_xlfn.MINIFS('Piece check'!$AB$6:$AB$1643,'Piece check'!$B$6:$B$1643,B124),_xlfn.MINIFS('Piece check'!$AC$6:$AC$1643,'Piece check'!$B$6:$B$1643,B124))</f>
        <v>3.11236384696935</v>
      </c>
      <c r="AK124" s="12" t="str">
        <f aca="false">IF(AJ124&lt;FOS_FLOT,"Anchor pipe to piled slab (permanent straps)",IF(AI124&lt;FOS_FLOT,"Keep dewatering on until fill reaches FL, or strap to slab","No extra measure"))</f>
        <v>No extra measure</v>
      </c>
      <c r="AL124" s="35" t="n">
        <f aca="false">Activities!P1305</f>
        <v>46439</v>
      </c>
      <c r="AM124" s="35" t="n">
        <f aca="false">Activities!Q1314</f>
        <v>46534</v>
      </c>
      <c r="AN124" s="15" t="n">
        <v>154</v>
      </c>
      <c r="AO124" s="36" t="s">
        <v>2734</v>
      </c>
      <c r="AP124" s="36" t="s">
        <v>2416</v>
      </c>
      <c r="AQ124" s="36" t="s">
        <v>2365</v>
      </c>
      <c r="AR124" s="37" t="n">
        <f aca="false">Activities!P1313-Activities!Q1311</f>
        <v>-5</v>
      </c>
      <c r="AS124" s="37" t="n">
        <f aca="false">IF(Activities!K1308=0,0,Activities!Q1314-Activities!P1308)</f>
        <v>68</v>
      </c>
    </row>
    <row r="125" customFormat="false" ht="15" hidden="false" customHeight="false" outlineLevel="0" collapsed="false">
      <c r="A125" s="15" t="s">
        <v>1341</v>
      </c>
      <c r="B125" s="29" t="s">
        <v>1344</v>
      </c>
      <c r="C125" s="15" t="s">
        <v>400</v>
      </c>
      <c r="D125" s="15" t="s">
        <v>2735</v>
      </c>
      <c r="E125" s="15" t="s">
        <v>2518</v>
      </c>
      <c r="F125" s="15" t="n">
        <v>28</v>
      </c>
      <c r="G125" s="15" t="s">
        <v>2362</v>
      </c>
      <c r="H125" s="15"/>
      <c r="I125" s="16" t="n">
        <v>0</v>
      </c>
      <c r="J125" s="15"/>
      <c r="K125" s="16" t="n">
        <v>0</v>
      </c>
      <c r="L125" s="15" t="s">
        <v>358</v>
      </c>
      <c r="M125" s="15" t="n">
        <v>1</v>
      </c>
      <c r="N125" s="30" t="n">
        <f aca="false">_xlfn.MAXIFS('Piece check'!$E$6:$E$1643,'Piece check'!$B$6:$B$1643,B125)</f>
        <v>1.02215310151201</v>
      </c>
      <c r="O125" s="31" t="n">
        <f aca="false">SUMIFS('Piece check'!$D$6:$D$1643,'Piece check'!$B$6:$B$1643,B125)</f>
        <v>49.6290812856449</v>
      </c>
      <c r="P125" s="32" t="n">
        <v>-4.09999685983262</v>
      </c>
      <c r="Q125" s="32" t="n">
        <v>-4.11107655075601</v>
      </c>
      <c r="R125" s="30" t="n">
        <f aca="false">_xlfn.MINIFS('Piece check'!$K$6:$K$1643,'Piece check'!$B$6:$B$1643,B125)</f>
        <v>-4.11107655075601</v>
      </c>
      <c r="S125" s="18" t="n">
        <f aca="false">MAX(0,GWL-R125)</f>
        <v>2.61107655075601</v>
      </c>
      <c r="T125" s="18" t="n">
        <f aca="false">MAX(0,NG-R125)</f>
        <v>3.41107655075601</v>
      </c>
      <c r="U125" s="31" t="n">
        <f aca="false">SUMIFS('Piece check'!$R$6:$R$1643,'Piece check'!$B$6:$B$1643,B125)</f>
        <v>49.6290812856449</v>
      </c>
      <c r="V125" s="21" t="n">
        <f aca="false">O125-U125</f>
        <v>0</v>
      </c>
      <c r="W125" s="12" t="str">
        <f aca="false">IF(U125&lt;0.05,"Open cut",IF(V125&lt;0.05,"Sheet piles","Mixed: "&amp;TEXT(U125,"0")&amp;" m sheet piles"))</f>
        <v>Sheet piles</v>
      </c>
      <c r="X125" s="33" t="n">
        <f aca="false">SUMIFS('Piece check'!$V$6:$V$1643,'Piece check'!$B$6:$B$1643,B125)</f>
        <v>506.934465932216</v>
      </c>
      <c r="Y125" s="33" t="n">
        <f aca="false">SUMIFS('Piece check'!$W$6:$W$1643,'Piece check'!$B$6:$B$1643,B125)</f>
        <v>0</v>
      </c>
      <c r="Z125" s="33" t="n">
        <f aca="false">SUMIFS('Piece check'!$X$6:$X$1643,'Piece check'!$B$6:$B$1643,B125)</f>
        <v>49.7021644292068</v>
      </c>
      <c r="AA125" s="33" t="n">
        <f aca="false">SUMIFS('Piece check'!$Y$6:$Y$1643,'Piece check'!$B$6:$B$1643,B125)</f>
        <v>39.2107346098329</v>
      </c>
      <c r="AB125" s="20" t="n">
        <f aca="false">MAX(0,X125+Y125-Z125-AA125)</f>
        <v>418.021566893176</v>
      </c>
      <c r="AC125" s="20" t="n">
        <f aca="false">(ROUNDUP(O125/PILE_SP,0)+1)*IF(N125&gt;=PILE_THR,PILE_N_LARGE,PILE_N_SMALL)</f>
        <v>36</v>
      </c>
      <c r="AD125" s="20" t="n">
        <f aca="false">2*U125</f>
        <v>99.2581625712898</v>
      </c>
      <c r="AE125" s="34" t="n">
        <f aca="false">IF(U125&gt;0,ROUNDUP(T125*SHEET_RATIO,0),0)</f>
        <v>7</v>
      </c>
      <c r="AF125" s="20" t="n">
        <f aca="false">AD125*AE125</f>
        <v>694.807137999028</v>
      </c>
      <c r="AG125" s="18" t="n">
        <f aca="false">MAX(0,GWL-(R125-DD_BELOW))</f>
        <v>3.11107655075601</v>
      </c>
      <c r="AH125" s="12" t="str">
        <f aca="false">IF(AG125=0,"Not required",IF(AG125&lt;=WP_LIMIT,"Single-stage wellpoints","Deep wells or two-stage wellpoints"))</f>
        <v>Single-stage wellpoints</v>
      </c>
      <c r="AI125" s="30" t="n">
        <f aca="false">MIN(_xlfn.MINIFS('Piece check'!$Z$6:$Z$1643,'Piece check'!$B$6:$B$1643,B125),_xlfn.MINIFS('Piece check'!$AA$6:$AA$1643,'Piece check'!$B$6:$B$1643,B125))</f>
        <v>2.96088629778794</v>
      </c>
      <c r="AJ125" s="30" t="n">
        <f aca="false">MIN(_xlfn.MINIFS('Piece check'!$AB$6:$AB$1643,'Piece check'!$B$6:$B$1643,B125),_xlfn.MINIFS('Piece check'!$AC$6:$AC$1643,'Piece check'!$B$6:$B$1643,B125))</f>
        <v>6.8463833783716</v>
      </c>
      <c r="AK125" s="12" t="str">
        <f aca="false">IF(AJ125&lt;FOS_FLOT,"Anchor pipe to piled slab (permanent straps)",IF(AI125&lt;FOS_FLOT,"Keep dewatering on until fill reaches FL, or strap to slab","No extra measure"))</f>
        <v>No extra measure</v>
      </c>
      <c r="AL125" s="35" t="n">
        <f aca="false">Activities!P1316</f>
        <v>46446</v>
      </c>
      <c r="AM125" s="35" t="n">
        <f aca="false">Activities!Q1325</f>
        <v>46544</v>
      </c>
      <c r="AN125" s="15" t="n">
        <v>155</v>
      </c>
      <c r="AO125" s="36" t="s">
        <v>2736</v>
      </c>
      <c r="AP125" s="36" t="s">
        <v>2416</v>
      </c>
      <c r="AQ125" s="36" t="s">
        <v>2737</v>
      </c>
      <c r="AR125" s="37" t="n">
        <f aca="false">Activities!P1324-Activities!Q1322</f>
        <v>-6</v>
      </c>
      <c r="AS125" s="37" t="n">
        <f aca="false">IF(Activities!K1319=0,0,Activities!Q1325-Activities!P1319)</f>
        <v>72</v>
      </c>
    </row>
    <row r="126" customFormat="false" ht="15" hidden="false" customHeight="false" outlineLevel="0" collapsed="false">
      <c r="A126" s="15" t="s">
        <v>1341</v>
      </c>
      <c r="B126" s="29" t="s">
        <v>1342</v>
      </c>
      <c r="C126" s="15" t="s">
        <v>400</v>
      </c>
      <c r="D126" s="15" t="s">
        <v>2738</v>
      </c>
      <c r="E126" s="15" t="s">
        <v>2518</v>
      </c>
      <c r="F126" s="15" t="n">
        <v>28</v>
      </c>
      <c r="G126" s="15" t="s">
        <v>2367</v>
      </c>
      <c r="H126" s="15" t="s">
        <v>303</v>
      </c>
      <c r="I126" s="35" t="n">
        <f aca="false">MAX(Structures!$H$7)</f>
        <v>0</v>
      </c>
      <c r="J126" s="15"/>
      <c r="K126" s="16" t="n">
        <v>0</v>
      </c>
      <c r="L126" s="15" t="s">
        <v>358</v>
      </c>
      <c r="M126" s="15" t="n">
        <v>0</v>
      </c>
      <c r="N126" s="30" t="n">
        <f aca="false">_xlfn.MAXIFS('Piece check'!$E$6:$E$1643,'Piece check'!$B$6:$B$1643,B126)</f>
        <v>0.99999371966523</v>
      </c>
      <c r="O126" s="31" t="n">
        <f aca="false">SUMIFS('Piece check'!$D$6:$D$1643,'Piece check'!$B$6:$B$1643,B126)</f>
        <v>5.99999999957897</v>
      </c>
      <c r="P126" s="32" t="n">
        <v>-4.09999685983262</v>
      </c>
      <c r="Q126" s="32" t="n">
        <v>-4.09999685983262</v>
      </c>
      <c r="R126" s="30" t="n">
        <f aca="false">_xlfn.MINIFS('Piece check'!$K$6:$K$1643,'Piece check'!$B$6:$B$1643,B126)</f>
        <v>-4.09999685983262</v>
      </c>
      <c r="S126" s="18" t="n">
        <f aca="false">MAX(0,GWL-R126)</f>
        <v>2.59999685983262</v>
      </c>
      <c r="T126" s="18" t="n">
        <f aca="false">MAX(0,NG-R126)</f>
        <v>3.39999685983261</v>
      </c>
      <c r="U126" s="31" t="n">
        <f aca="false">SUMIFS('Piece check'!$R$6:$R$1643,'Piece check'!$B$6:$B$1643,B126)</f>
        <v>5.99999999957897</v>
      </c>
      <c r="V126" s="21" t="n">
        <f aca="false">O126-U126</f>
        <v>0</v>
      </c>
      <c r="W126" s="12" t="str">
        <f aca="false">IF(U126&lt;0.05,"Open cut",IF(V126&lt;0.05,"Sheet piles","Mixed: "&amp;TEXT(U126,"0")&amp;" m sheet piles"))</f>
        <v>Sheet piles</v>
      </c>
      <c r="X126" s="33" t="n">
        <f aca="false">SUMIFS('Piece check'!$V$6:$V$1643,'Piece check'!$B$6:$B$1643,B126)</f>
        <v>61.1998153539816</v>
      </c>
      <c r="Y126" s="33" t="n">
        <f aca="false">SUMIFS('Piece check'!$W$6:$W$1643,'Piece check'!$B$6:$B$1643,B126)</f>
        <v>0</v>
      </c>
      <c r="Z126" s="33" t="n">
        <f aca="false">SUMIFS('Piece check'!$X$6:$X$1643,'Piece check'!$B$6:$B$1643,B126)</f>
        <v>5.99998115857466</v>
      </c>
      <c r="AA126" s="33" t="n">
        <f aca="false">SUMIFS('Piece check'!$Y$6:$Y$1643,'Piece check'!$B$6:$B$1643,B126)</f>
        <v>4.71232978947916</v>
      </c>
      <c r="AB126" s="20" t="n">
        <f aca="false">MAX(0,X126+Y126-Z126-AA126)</f>
        <v>50.4875044059278</v>
      </c>
      <c r="AC126" s="20" t="n">
        <f aca="false">(ROUNDUP(O126/PILE_SP,0)+1)*IF(N126&gt;=PILE_THR,PILE_N_LARGE,PILE_N_SMALL)</f>
        <v>3</v>
      </c>
      <c r="AD126" s="20" t="n">
        <f aca="false">2*U126</f>
        <v>11.9999999991579</v>
      </c>
      <c r="AE126" s="34" t="n">
        <f aca="false">IF(U126&gt;0,ROUNDUP(T126*SHEET_RATIO,0),0)</f>
        <v>7</v>
      </c>
      <c r="AF126" s="20" t="n">
        <f aca="false">AD126*AE126</f>
        <v>83.9999999941056</v>
      </c>
      <c r="AG126" s="18" t="n">
        <f aca="false">MAX(0,GWL-(R126-DD_BELOW))</f>
        <v>3.09999685983262</v>
      </c>
      <c r="AH126" s="12" t="str">
        <f aca="false">IF(AG126=0,"Not required",IF(AG126&lt;=WP_LIMIT,"Single-stage wellpoints","Deep wells or two-stage wellpoints"))</f>
        <v>Single-stage wellpoints</v>
      </c>
      <c r="AI126" s="30" t="n">
        <f aca="false">MIN(_xlfn.MINIFS('Piece check'!$Z$6:$Z$1643,'Piece check'!$B$6:$B$1643,B126),_xlfn.MINIFS('Piece check'!$AA$6:$AA$1643,'Piece check'!$B$6:$B$1643,B126))</f>
        <v>3.03827568157627</v>
      </c>
      <c r="AJ126" s="30" t="n">
        <f aca="false">MIN(_xlfn.MINIFS('Piece check'!$AB$6:$AB$1643,'Piece check'!$B$6:$B$1643,B126),_xlfn.MINIFS('Piece check'!$AC$6:$AC$1643,'Piece check'!$B$6:$B$1643,B126))</f>
        <v>7.00987351637469</v>
      </c>
      <c r="AK126" s="12" t="str">
        <f aca="false">IF(AJ126&lt;FOS_FLOT,"Anchor pipe to piled slab (permanent straps)",IF(AI126&lt;FOS_FLOT,"Keep dewatering on until fill reaches FL, or strap to slab","No extra measure"))</f>
        <v>No extra measure</v>
      </c>
      <c r="AL126" s="35" t="n">
        <f aca="false">Activities!P1327</f>
        <v>46458</v>
      </c>
      <c r="AM126" s="35" t="n">
        <f aca="false">Activities!Q1336</f>
        <v>46549</v>
      </c>
      <c r="AN126" s="15" t="n">
        <v>156</v>
      </c>
      <c r="AO126" s="36" t="s">
        <v>2519</v>
      </c>
      <c r="AP126" s="36" t="s">
        <v>2601</v>
      </c>
      <c r="AQ126" s="36" t="s">
        <v>2739</v>
      </c>
      <c r="AR126" s="37" t="n">
        <f aca="false">Activities!P1335-Activities!Q1333</f>
        <v>-1</v>
      </c>
      <c r="AS126" s="37" t="n">
        <f aca="false">IF(Activities!K1330=0,0,Activities!Q1336-Activities!P1330)</f>
        <v>88</v>
      </c>
    </row>
    <row r="127" customFormat="false" ht="15" hidden="false" customHeight="false" outlineLevel="0" collapsed="false">
      <c r="A127" s="15" t="s">
        <v>1747</v>
      </c>
      <c r="B127" s="29" t="s">
        <v>1748</v>
      </c>
      <c r="C127" s="15" t="s">
        <v>400</v>
      </c>
      <c r="D127" s="15" t="s">
        <v>2740</v>
      </c>
      <c r="E127" s="15" t="s">
        <v>2518</v>
      </c>
      <c r="F127" s="15" t="n">
        <v>28</v>
      </c>
      <c r="G127" s="15" t="s">
        <v>2523</v>
      </c>
      <c r="H127" s="15" t="s">
        <v>2741</v>
      </c>
      <c r="I127" s="35" t="n">
        <f aca="false">MAX(Structures!$H$24,Structures!$H$7)</f>
        <v>0</v>
      </c>
      <c r="J127" s="15"/>
      <c r="K127" s="16" t="n">
        <v>0</v>
      </c>
      <c r="L127" s="15" t="s">
        <v>358</v>
      </c>
      <c r="M127" s="15" t="n">
        <v>8</v>
      </c>
      <c r="N127" s="30" t="n">
        <f aca="false">_xlfn.MAXIFS('Piece check'!$E$6:$E$1643,'Piece check'!$B$6:$B$1643,B127)</f>
        <v>1.6000046543016</v>
      </c>
      <c r="O127" s="31" t="n">
        <f aca="false">SUMIFS('Piece check'!$D$6:$D$1643,'Piece check'!$B$6:$B$1643,B127)</f>
        <v>37.7775329074911</v>
      </c>
      <c r="P127" s="32" t="n">
        <v>0.789999174364019</v>
      </c>
      <c r="Q127" s="32" t="n">
        <v>-4.00000163240708</v>
      </c>
      <c r="R127" s="30" t="n">
        <f aca="false">_xlfn.MINIFS('Piece check'!$K$6:$K$1643,'Piece check'!$B$6:$B$1643,B127)</f>
        <v>-4.00000163240708</v>
      </c>
      <c r="S127" s="18" t="n">
        <f aca="false">MAX(0,GWL-R127)</f>
        <v>2.50000163240708</v>
      </c>
      <c r="T127" s="18" t="n">
        <f aca="false">MAX(0,NG-R127)</f>
        <v>3.30000163240708</v>
      </c>
      <c r="U127" s="31" t="n">
        <f aca="false">SUMIFS('Piece check'!$R$6:$R$1643,'Piece check'!$B$6:$B$1643,B127)</f>
        <v>27.7775329077076</v>
      </c>
      <c r="V127" s="21" t="n">
        <f aca="false">O127-U127</f>
        <v>9.9999999997835</v>
      </c>
      <c r="W127" s="12" t="str">
        <f aca="false">IF(U127&lt;0.05,"Open cut",IF(V127&lt;0.05,"Sheet piles","Mixed: "&amp;TEXT(U127,"0")&amp;" m sheet piles"))</f>
        <v>Mixed: 28 m sheet piles</v>
      </c>
      <c r="X127" s="33" t="n">
        <f aca="false">SUMIFS('Piece check'!$V$6:$V$1643,'Piece check'!$B$6:$B$1643,B127)</f>
        <v>329.976384069235</v>
      </c>
      <c r="Y127" s="33" t="n">
        <f aca="false">SUMIFS('Piece check'!$W$6:$W$1643,'Piece check'!$B$6:$B$1643,B127)</f>
        <v>64.9253608857777</v>
      </c>
      <c r="Z127" s="33" t="n">
        <f aca="false">SUMIFS('Piece check'!$X$6:$X$1643,'Piece check'!$B$6:$B$1643,B127)</f>
        <v>45.0291629548492</v>
      </c>
      <c r="AA127" s="33" t="n">
        <f aca="false">SUMIFS('Piece check'!$Y$6:$Y$1643,'Piece check'!$B$6:$B$1643,B127)</f>
        <v>69.6436617783421</v>
      </c>
      <c r="AB127" s="20" t="n">
        <f aca="false">MAX(0,X127+Y127-Z127-AA127)</f>
        <v>280.228920221821</v>
      </c>
      <c r="AC127" s="20" t="n">
        <f aca="false">(ROUNDUP(O127/PILE_SP,0)+1)*IF(N127&gt;=PILE_THR,PILE_N_LARGE,PILE_N_SMALL)</f>
        <v>28</v>
      </c>
      <c r="AD127" s="20" t="n">
        <f aca="false">2*U127</f>
        <v>55.5550658154153</v>
      </c>
      <c r="AE127" s="34" t="n">
        <f aca="false">IF(U127&gt;0,ROUNDUP(T127*SHEET_RATIO,0),0)</f>
        <v>7</v>
      </c>
      <c r="AF127" s="20" t="n">
        <f aca="false">AD127*AE127</f>
        <v>388.885460707907</v>
      </c>
      <c r="AG127" s="18" t="n">
        <f aca="false">MAX(0,GWL-(R127-DD_BELOW))</f>
        <v>3.00000163240708</v>
      </c>
      <c r="AH127" s="12" t="str">
        <f aca="false">IF(AG127=0,"Not required",IF(AG127&lt;=WP_LIMIT,"Single-stage wellpoints","Deep wells or two-stage wellpoints"))</f>
        <v>Single-stage wellpoints</v>
      </c>
      <c r="AI127" s="30" t="n">
        <f aca="false">MIN(_xlfn.MINIFS('Piece check'!$Z$6:$Z$1643,'Piece check'!$B$6:$B$1643,B127),_xlfn.MINIFS('Piece check'!$AA$6:$AA$1643,'Piece check'!$B$6:$B$1643,B127))</f>
        <v>0.352531076183588</v>
      </c>
      <c r="AJ127" s="30" t="n">
        <f aca="false">MIN(_xlfn.MINIFS('Piece check'!$AB$6:$AB$1643,'Piece check'!$B$6:$B$1643,B127),_xlfn.MINIFS('Piece check'!$AC$6:$AC$1643,'Piece check'!$B$6:$B$1643,B127))</f>
        <v>2.83475691293782</v>
      </c>
      <c r="AK127" s="12" t="str">
        <f aca="false">IF(AJ127&lt;FOS_FLOT,"Anchor pipe to piled slab (permanent straps)",IF(AI127&lt;FOS_FLOT,"Keep dewatering on until fill reaches FL, or strap to slab","No extra measure"))</f>
        <v>Keep dewatering on until fill reaches FL, or strap to slab</v>
      </c>
      <c r="AL127" s="35" t="n">
        <f aca="false">Activities!P1338</f>
        <v>46357</v>
      </c>
      <c r="AM127" s="35" t="n">
        <f aca="false">Activities!Q1347</f>
        <v>46548</v>
      </c>
      <c r="AN127" s="15" t="n">
        <v>157</v>
      </c>
      <c r="AO127" s="36" t="s">
        <v>2556</v>
      </c>
      <c r="AP127" s="36" t="s">
        <v>2742</v>
      </c>
      <c r="AQ127" s="36" t="s">
        <v>2743</v>
      </c>
      <c r="AR127" s="37" t="n">
        <f aca="false">Activities!P1346-Activities!Q1344</f>
        <v>45</v>
      </c>
      <c r="AS127" s="37" t="n">
        <f aca="false">IF(Activities!K1341=0,0,Activities!Q1347-Activities!P1341)</f>
        <v>185</v>
      </c>
    </row>
    <row r="128" customFormat="false" ht="15" hidden="false" customHeight="false" outlineLevel="0" collapsed="false">
      <c r="A128" s="15" t="s">
        <v>1341</v>
      </c>
      <c r="B128" s="29" t="s">
        <v>1432</v>
      </c>
      <c r="C128" s="15" t="s">
        <v>400</v>
      </c>
      <c r="D128" s="15" t="s">
        <v>2744</v>
      </c>
      <c r="E128" s="15" t="s">
        <v>2518</v>
      </c>
      <c r="F128" s="15" t="n">
        <v>28</v>
      </c>
      <c r="G128" s="15" t="s">
        <v>2362</v>
      </c>
      <c r="H128" s="15"/>
      <c r="I128" s="16" t="n">
        <v>0</v>
      </c>
      <c r="J128" s="15"/>
      <c r="K128" s="16" t="n">
        <v>0</v>
      </c>
      <c r="L128" s="15" t="s">
        <v>358</v>
      </c>
      <c r="M128" s="15" t="n">
        <v>1</v>
      </c>
      <c r="N128" s="30" t="n">
        <f aca="false">_xlfn.MAXIFS('Piece check'!$E$6:$E$1643,'Piece check'!$B$6:$B$1643,B128)</f>
        <v>1.02192397567297</v>
      </c>
      <c r="O128" s="31" t="n">
        <f aca="false">SUMIFS('Piece check'!$D$6:$D$1643,'Piece check'!$B$6:$B$1643,B128)</f>
        <v>49.4447603698385</v>
      </c>
      <c r="P128" s="32" t="n">
        <v>-4.09999914300534</v>
      </c>
      <c r="Q128" s="32" t="n">
        <v>-4.11096198783648</v>
      </c>
      <c r="R128" s="30" t="n">
        <f aca="false">_xlfn.MINIFS('Piece check'!$K$6:$K$1643,'Piece check'!$B$6:$B$1643,B128)</f>
        <v>-4.11096198783648</v>
      </c>
      <c r="S128" s="18" t="n">
        <f aca="false">MAX(0,GWL-R128)</f>
        <v>2.61096198783648</v>
      </c>
      <c r="T128" s="18" t="n">
        <f aca="false">MAX(0,NG-R128)</f>
        <v>3.41096198783648</v>
      </c>
      <c r="U128" s="31" t="n">
        <f aca="false">SUMIFS('Piece check'!$R$6:$R$1643,'Piece check'!$B$6:$B$1643,B128)</f>
        <v>49.4447603698385</v>
      </c>
      <c r="V128" s="21" t="n">
        <f aca="false">O128-U128</f>
        <v>0</v>
      </c>
      <c r="W128" s="12" t="str">
        <f aca="false">IF(U128&lt;0.05,"Open cut",IF(V128&lt;0.05,"Sheet piles","Mixed: "&amp;TEXT(U128,"0")&amp;" m sheet piles"))</f>
        <v>Sheet piles</v>
      </c>
      <c r="X128" s="33" t="n">
        <f aca="false">SUMIFS('Piece check'!$V$6:$V$1643,'Piece check'!$B$6:$B$1643,B128)</f>
        <v>505.028522638188</v>
      </c>
      <c r="Y128" s="33" t="n">
        <f aca="false">SUMIFS('Piece check'!$W$6:$W$1643,'Piece check'!$B$6:$B$1643,B128)</f>
        <v>0</v>
      </c>
      <c r="Z128" s="33" t="n">
        <f aca="false">SUMIFS('Piece check'!$X$6:$X$1643,'Piece check'!$B$6:$B$1643,B128)</f>
        <v>49.5152115667866</v>
      </c>
      <c r="AA128" s="33" t="n">
        <f aca="false">SUMIFS('Piece check'!$Y$6:$Y$1643,'Piece check'!$B$6:$B$1643,B128)</f>
        <v>39.0575800404181</v>
      </c>
      <c r="AB128" s="20" t="n">
        <f aca="false">MAX(0,X128+Y128-Z128-AA128)</f>
        <v>416.455731030983</v>
      </c>
      <c r="AC128" s="20" t="n">
        <f aca="false">(ROUNDUP(O128/PILE_SP,0)+1)*IF(N128&gt;=PILE_THR,PILE_N_LARGE,PILE_N_SMALL)</f>
        <v>36</v>
      </c>
      <c r="AD128" s="20" t="n">
        <f aca="false">2*U128</f>
        <v>98.889520739677</v>
      </c>
      <c r="AE128" s="34" t="n">
        <f aca="false">IF(U128&gt;0,ROUNDUP(T128*SHEET_RATIO,0),0)</f>
        <v>7</v>
      </c>
      <c r="AF128" s="20" t="n">
        <f aca="false">AD128*AE128</f>
        <v>692.226645177739</v>
      </c>
      <c r="AG128" s="18" t="n">
        <f aca="false">MAX(0,GWL-(R128-DD_BELOW))</f>
        <v>3.11096198783648</v>
      </c>
      <c r="AH128" s="12" t="str">
        <f aca="false">IF(AG128=0,"Not required",IF(AG128&lt;=WP_LIMIT,"Single-stage wellpoints","Deep wells or two-stage wellpoints"))</f>
        <v>Single-stage wellpoints</v>
      </c>
      <c r="AI128" s="30" t="n">
        <f aca="false">MIN(_xlfn.MINIFS('Piece check'!$Z$6:$Z$1643,'Piece check'!$B$6:$B$1643,B128),_xlfn.MINIFS('Piece check'!$AA$6:$AA$1643,'Piece check'!$B$6:$B$1643,B128))</f>
        <v>2.96166932435941</v>
      </c>
      <c r="AJ128" s="30" t="n">
        <f aca="false">MIN(_xlfn.MINIFS('Piece check'!$AB$6:$AB$1643,'Piece check'!$B$6:$B$1643,B128),_xlfn.MINIFS('Piece check'!$AC$6:$AC$1643,'Piece check'!$B$6:$B$1643,B128))</f>
        <v>6.84803757324902</v>
      </c>
      <c r="AK128" s="12" t="str">
        <f aca="false">IF(AJ128&lt;FOS_FLOT,"Anchor pipe to piled slab (permanent straps)",IF(AI128&lt;FOS_FLOT,"Keep dewatering on until fill reaches FL, or strap to slab","No extra measure"))</f>
        <v>No extra measure</v>
      </c>
      <c r="AL128" s="35" t="n">
        <f aca="false">Activities!P1349</f>
        <v>46458</v>
      </c>
      <c r="AM128" s="35" t="n">
        <f aca="false">Activities!Q1358</f>
        <v>46554</v>
      </c>
      <c r="AN128" s="15" t="n">
        <v>158</v>
      </c>
      <c r="AO128" s="36" t="s">
        <v>2745</v>
      </c>
      <c r="AP128" s="36" t="s">
        <v>2416</v>
      </c>
      <c r="AQ128" s="36" t="s">
        <v>2746</v>
      </c>
      <c r="AR128" s="37" t="n">
        <f aca="false">Activities!P1357-Activities!Q1355</f>
        <v>-6</v>
      </c>
      <c r="AS128" s="37" t="n">
        <f aca="false">IF(Activities!K1352=0,0,Activities!Q1358-Activities!P1352)</f>
        <v>78</v>
      </c>
    </row>
    <row r="129" customFormat="false" ht="15" hidden="false" customHeight="false" outlineLevel="0" collapsed="false">
      <c r="A129" s="15" t="s">
        <v>1341</v>
      </c>
      <c r="B129" s="29" t="s">
        <v>1430</v>
      </c>
      <c r="C129" s="15" t="s">
        <v>400</v>
      </c>
      <c r="D129" s="15" t="s">
        <v>2747</v>
      </c>
      <c r="E129" s="15" t="s">
        <v>2518</v>
      </c>
      <c r="F129" s="15" t="n">
        <v>28</v>
      </c>
      <c r="G129" s="15" t="s">
        <v>2367</v>
      </c>
      <c r="H129" s="15" t="s">
        <v>309</v>
      </c>
      <c r="I129" s="35" t="n">
        <f aca="false">MAX(Structures!$H$9)</f>
        <v>0</v>
      </c>
      <c r="J129" s="15"/>
      <c r="K129" s="16" t="n">
        <v>0</v>
      </c>
      <c r="L129" s="15" t="s">
        <v>358</v>
      </c>
      <c r="M129" s="15" t="n">
        <v>0</v>
      </c>
      <c r="N129" s="30" t="n">
        <f aca="false">_xlfn.MAXIFS('Piece check'!$E$6:$E$1643,'Piece check'!$B$6:$B$1643,B129)</f>
        <v>0.999998286010683</v>
      </c>
      <c r="O129" s="31" t="n">
        <f aca="false">SUMIFS('Piece check'!$D$6:$D$1643,'Piece check'!$B$6:$B$1643,B129)</f>
        <v>5.99999999986834</v>
      </c>
      <c r="P129" s="32" t="n">
        <v>-4.09999914300534</v>
      </c>
      <c r="Q129" s="32" t="n">
        <v>-4.09999914300534</v>
      </c>
      <c r="R129" s="30" t="n">
        <f aca="false">_xlfn.MINIFS('Piece check'!$K$6:$K$1643,'Piece check'!$B$6:$B$1643,B129)</f>
        <v>-4.09999914300534</v>
      </c>
      <c r="S129" s="18" t="n">
        <f aca="false">MAX(0,GWL-R129)</f>
        <v>2.59999914300534</v>
      </c>
      <c r="T129" s="18" t="n">
        <f aca="false">MAX(0,NG-R129)</f>
        <v>3.39999914300534</v>
      </c>
      <c r="U129" s="31" t="n">
        <f aca="false">SUMIFS('Piece check'!$R$6:$R$1643,'Piece check'!$B$6:$B$1643,B129)</f>
        <v>5.99999999986834</v>
      </c>
      <c r="V129" s="21" t="n">
        <f aca="false">O129-U129</f>
        <v>0</v>
      </c>
      <c r="W129" s="12" t="str">
        <f aca="false">IF(U129&lt;0.05,"Open cut",IF(V129&lt;0.05,"Sheet piles","Mixed: "&amp;TEXT(U129,"0")&amp;" m sheet piles"))</f>
        <v>Sheet piles</v>
      </c>
      <c r="X129" s="33" t="n">
        <f aca="false">SUMIFS('Piece check'!$V$6:$V$1643,'Piece check'!$B$6:$B$1643,B129)</f>
        <v>61.1999496073799</v>
      </c>
      <c r="Y129" s="33" t="n">
        <f aca="false">SUMIFS('Piece check'!$W$6:$W$1643,'Piece check'!$B$6:$B$1643,B129)</f>
        <v>0</v>
      </c>
      <c r="Z129" s="33" t="n">
        <f aca="false">SUMIFS('Piece check'!$X$6:$X$1643,'Piece check'!$B$6:$B$1643,B129)</f>
        <v>5.99999485790039</v>
      </c>
      <c r="AA129" s="33" t="n">
        <f aca="false">SUMIFS('Piece check'!$Y$6:$Y$1643,'Piece check'!$B$6:$B$1643,B129)</f>
        <v>4.71237282632639</v>
      </c>
      <c r="AB129" s="20" t="n">
        <f aca="false">MAX(0,X129+Y129-Z129-AA129)</f>
        <v>50.4875819231532</v>
      </c>
      <c r="AC129" s="20" t="n">
        <f aca="false">(ROUNDUP(O129/PILE_SP,0)+1)*IF(N129&gt;=PILE_THR,PILE_N_LARGE,PILE_N_SMALL)</f>
        <v>3</v>
      </c>
      <c r="AD129" s="20" t="n">
        <f aca="false">2*U129</f>
        <v>11.9999999997367</v>
      </c>
      <c r="AE129" s="34" t="n">
        <f aca="false">IF(U129&gt;0,ROUNDUP(T129*SHEET_RATIO,0),0)</f>
        <v>7</v>
      </c>
      <c r="AF129" s="20" t="n">
        <f aca="false">AD129*AE129</f>
        <v>83.9999999981567</v>
      </c>
      <c r="AG129" s="18" t="n">
        <f aca="false">MAX(0,GWL-(R129-DD_BELOW))</f>
        <v>3.09999914300534</v>
      </c>
      <c r="AH129" s="12" t="str">
        <f aca="false">IF(AG129=0,"Not required",IF(AG129&lt;=WP_LIMIT,"Single-stage wellpoints","Deep wells or two-stage wellpoints"))</f>
        <v>Single-stage wellpoints</v>
      </c>
      <c r="AI129" s="30" t="n">
        <f aca="false">MIN(_xlfn.MINIFS('Piece check'!$Z$6:$Z$1643,'Piece check'!$B$6:$B$1643,B129),_xlfn.MINIFS('Piece check'!$AA$6:$AA$1643,'Piece check'!$B$6:$B$1643,B129))</f>
        <v>3.03825938076549</v>
      </c>
      <c r="AJ129" s="30" t="n">
        <f aca="false">MIN(_xlfn.MINIFS('Piece check'!$AB$6:$AB$1643,'Piece check'!$B$6:$B$1643,B129),_xlfn.MINIFS('Piece check'!$AC$6:$AC$1643,'Piece check'!$B$6:$B$1643,B129))</f>
        <v>7.00983907984512</v>
      </c>
      <c r="AK129" s="12" t="str">
        <f aca="false">IF(AJ129&lt;FOS_FLOT,"Anchor pipe to piled slab (permanent straps)",IF(AI129&lt;FOS_FLOT,"Keep dewatering on until fill reaches FL, or strap to slab","No extra measure"))</f>
        <v>No extra measure</v>
      </c>
      <c r="AL129" s="35" t="n">
        <f aca="false">Activities!P1360</f>
        <v>46468</v>
      </c>
      <c r="AM129" s="35" t="n">
        <f aca="false">Activities!Q1369</f>
        <v>46559</v>
      </c>
      <c r="AN129" s="15" t="n">
        <v>159</v>
      </c>
      <c r="AO129" s="36" t="s">
        <v>2519</v>
      </c>
      <c r="AP129" s="36" t="s">
        <v>2748</v>
      </c>
      <c r="AQ129" s="36" t="s">
        <v>2749</v>
      </c>
      <c r="AR129" s="37" t="n">
        <f aca="false">Activities!P1368-Activities!Q1366</f>
        <v>-1</v>
      </c>
      <c r="AS129" s="37" t="n">
        <f aca="false">IF(Activities!K1363=0,0,Activities!Q1369-Activities!P1363)</f>
        <v>88</v>
      </c>
    </row>
    <row r="130" customFormat="false" ht="15" hidden="false" customHeight="false" outlineLevel="0" collapsed="false">
      <c r="A130" s="15" t="s">
        <v>1779</v>
      </c>
      <c r="B130" s="29" t="s">
        <v>1780</v>
      </c>
      <c r="C130" s="15" t="s">
        <v>400</v>
      </c>
      <c r="D130" s="15" t="s">
        <v>2750</v>
      </c>
      <c r="E130" s="15" t="s">
        <v>2518</v>
      </c>
      <c r="F130" s="15" t="n">
        <v>28</v>
      </c>
      <c r="G130" s="15" t="s">
        <v>2523</v>
      </c>
      <c r="H130" s="15" t="s">
        <v>2751</v>
      </c>
      <c r="I130" s="35" t="n">
        <f aca="false">MAX(Structures!$H$24,Structures!$H$9)</f>
        <v>0</v>
      </c>
      <c r="J130" s="15"/>
      <c r="K130" s="16" t="n">
        <v>0</v>
      </c>
      <c r="L130" s="15" t="s">
        <v>358</v>
      </c>
      <c r="M130" s="15" t="n">
        <v>5</v>
      </c>
      <c r="N130" s="30" t="n">
        <f aca="false">_xlfn.MAXIFS('Piece check'!$E$6:$E$1643,'Piece check'!$B$6:$B$1643,B130)</f>
        <v>1.60000691559748</v>
      </c>
      <c r="O130" s="31" t="n">
        <f aca="false">SUMIFS('Piece check'!$D$6:$D$1643,'Piece check'!$B$6:$B$1643,B130)</f>
        <v>38.3838097576448</v>
      </c>
      <c r="P130" s="32" t="n">
        <v>0.800000124357306</v>
      </c>
      <c r="Q130" s="32" t="n">
        <v>-3.99999845699108</v>
      </c>
      <c r="R130" s="30" t="n">
        <f aca="false">_xlfn.MINIFS('Piece check'!$K$6:$K$1643,'Piece check'!$B$6:$B$1643,B130)</f>
        <v>-3.99999845699345</v>
      </c>
      <c r="S130" s="18" t="n">
        <f aca="false">MAX(0,GWL-R130)</f>
        <v>2.49999845699345</v>
      </c>
      <c r="T130" s="18" t="n">
        <f aca="false">MAX(0,NG-R130)</f>
        <v>3.29999845699345</v>
      </c>
      <c r="U130" s="31" t="n">
        <f aca="false">SUMIFS('Piece check'!$R$6:$R$1643,'Piece check'!$B$6:$B$1643,B130)</f>
        <v>0</v>
      </c>
      <c r="V130" s="21" t="n">
        <f aca="false">O130-U130</f>
        <v>38.3838097576448</v>
      </c>
      <c r="W130" s="12" t="str">
        <f aca="false">IF(U130&lt;0.05,"Open cut",IF(V130&lt;0.05,"Sheet piles","Mixed: "&amp;TEXT(U130,"0")&amp;" m sheet piles"))</f>
        <v>Open cut</v>
      </c>
      <c r="X130" s="33" t="n">
        <f aca="false">SUMIFS('Piece check'!$V$6:$V$1643,'Piece check'!$B$6:$B$1643,B130)</f>
        <v>0</v>
      </c>
      <c r="Y130" s="33" t="n">
        <f aca="false">SUMIFS('Piece check'!$W$6:$W$1643,'Piece check'!$B$6:$B$1643,B130)</f>
        <v>1012.6890167661</v>
      </c>
      <c r="Z130" s="33" t="n">
        <f aca="false">SUMIFS('Piece check'!$X$6:$X$1643,'Piece check'!$B$6:$B$1643,B130)</f>
        <v>46.0071394447081</v>
      </c>
      <c r="AA130" s="33" t="n">
        <f aca="false">SUMIFS('Piece check'!$Y$6:$Y$1643,'Piece check'!$B$6:$B$1643,B130)</f>
        <v>71.1559516204896</v>
      </c>
      <c r="AB130" s="20" t="n">
        <f aca="false">MAX(0,X130+Y130-Z130-AA130)</f>
        <v>895.525925700906</v>
      </c>
      <c r="AC130" s="20" t="n">
        <f aca="false">(ROUNDUP(O130/PILE_SP,0)+1)*IF(N130&gt;=PILE_THR,PILE_N_LARGE,PILE_N_SMALL)</f>
        <v>28</v>
      </c>
      <c r="AD130" s="20" t="n">
        <f aca="false">2*U130</f>
        <v>0</v>
      </c>
      <c r="AE130" s="34" t="n">
        <f aca="false">IF(U130&gt;0,ROUNDUP(T130*SHEET_RATIO,0),0)</f>
        <v>0</v>
      </c>
      <c r="AF130" s="20" t="n">
        <f aca="false">AD130*AE130</f>
        <v>0</v>
      </c>
      <c r="AG130" s="18" t="n">
        <f aca="false">MAX(0,GWL-(R130-DD_BELOW))</f>
        <v>2.99999845699345</v>
      </c>
      <c r="AH130" s="12" t="str">
        <f aca="false">IF(AG130=0,"Not required",IF(AG130&lt;=WP_LIMIT,"Single-stage wellpoints","Deep wells or two-stage wellpoints"))</f>
        <v>Single-stage wellpoints</v>
      </c>
      <c r="AI130" s="30" t="n">
        <f aca="false">MIN(_xlfn.MINIFS('Piece check'!$Z$6:$Z$1643,'Piece check'!$B$6:$B$1643,B130),_xlfn.MINIFS('Piece check'!$AA$6:$AA$1643,'Piece check'!$B$6:$B$1643,B130))</f>
        <v>0.368969999656332</v>
      </c>
      <c r="AJ130" s="30" t="n">
        <f aca="false">MIN(_xlfn.MINIFS('Piece check'!$AB$6:$AB$1643,'Piece check'!$B$6:$B$1643,B130),_xlfn.MINIFS('Piece check'!$AC$6:$AC$1643,'Piece check'!$B$6:$B$1643,B130))</f>
        <v>2.85119232827131</v>
      </c>
      <c r="AK130" s="12" t="str">
        <f aca="false">IF(AJ130&lt;FOS_FLOT,"Anchor pipe to piled slab (permanent straps)",IF(AI130&lt;FOS_FLOT,"Keep dewatering on until fill reaches FL, or strap to slab","No extra measure"))</f>
        <v>Keep dewatering on until fill reaches FL, or strap to slab</v>
      </c>
      <c r="AL130" s="35" t="n">
        <f aca="false">Activities!P1371</f>
        <v>46357</v>
      </c>
      <c r="AM130" s="35" t="n">
        <f aca="false">Activities!Q1380</f>
        <v>46559</v>
      </c>
      <c r="AN130" s="15" t="n">
        <v>160</v>
      </c>
      <c r="AO130" s="36" t="s">
        <v>2525</v>
      </c>
      <c r="AP130" s="36" t="s">
        <v>2752</v>
      </c>
      <c r="AQ130" s="36" t="s">
        <v>2753</v>
      </c>
      <c r="AR130" s="37" t="n">
        <f aca="false">Activities!P1379-Activities!Q1377</f>
        <v>52</v>
      </c>
      <c r="AS130" s="37" t="n">
        <f aca="false">IF(Activities!K1374=0,0,Activities!Q1380-Activities!P1374)</f>
        <v>198</v>
      </c>
    </row>
    <row r="131" customFormat="false" ht="15" hidden="false" customHeight="false" outlineLevel="0" collapsed="false">
      <c r="A131" s="15" t="s">
        <v>1341</v>
      </c>
      <c r="B131" s="29" t="s">
        <v>1444</v>
      </c>
      <c r="C131" s="15" t="s">
        <v>400</v>
      </c>
      <c r="D131" s="15" t="s">
        <v>2754</v>
      </c>
      <c r="E131" s="15" t="s">
        <v>2518</v>
      </c>
      <c r="F131" s="15" t="n">
        <v>28</v>
      </c>
      <c r="G131" s="15" t="s">
        <v>2362</v>
      </c>
      <c r="H131" s="15"/>
      <c r="I131" s="16" t="n">
        <v>0</v>
      </c>
      <c r="J131" s="15"/>
      <c r="K131" s="16" t="n">
        <v>0</v>
      </c>
      <c r="L131" s="15" t="s">
        <v>358</v>
      </c>
      <c r="M131" s="15" t="n">
        <v>0</v>
      </c>
      <c r="N131" s="30" t="n">
        <f aca="false">_xlfn.MAXIFS('Piece check'!$E$6:$E$1643,'Piece check'!$B$6:$B$1643,B131)</f>
        <v>1.00000053348756</v>
      </c>
      <c r="O131" s="31" t="n">
        <f aca="false">SUMIFS('Piece check'!$D$6:$D$1643,'Piece check'!$B$6:$B$1643,B131)</f>
        <v>32.7629308394545</v>
      </c>
      <c r="P131" s="32" t="n">
        <v>-4.1</v>
      </c>
      <c r="Q131" s="32" t="n">
        <v>-4.10000026674378</v>
      </c>
      <c r="R131" s="30" t="n">
        <f aca="false">_xlfn.MINIFS('Piece check'!$K$6:$K$1643,'Piece check'!$B$6:$B$1643,B131)</f>
        <v>-4.10000026674378</v>
      </c>
      <c r="S131" s="18" t="n">
        <f aca="false">MAX(0,GWL-R131)</f>
        <v>2.60000026674378</v>
      </c>
      <c r="T131" s="18" t="n">
        <f aca="false">MAX(0,NG-R131)</f>
        <v>3.40000026674378</v>
      </c>
      <c r="U131" s="31" t="n">
        <f aca="false">SUMIFS('Piece check'!$R$6:$R$1643,'Piece check'!$B$6:$B$1643,B131)</f>
        <v>32.7629308394545</v>
      </c>
      <c r="V131" s="21" t="n">
        <f aca="false">O131-U131</f>
        <v>0</v>
      </c>
      <c r="W131" s="12" t="str">
        <f aca="false">IF(U131&lt;0.05,"Open cut",IF(V131&lt;0.05,"Sheet piles","Mixed: "&amp;TEXT(U131,"0")&amp;" m sheet piles"))</f>
        <v>Sheet piles</v>
      </c>
      <c r="X131" s="33" t="n">
        <f aca="false">SUMIFS('Piece check'!$V$6:$V$1643,'Piece check'!$B$6:$B$1643,B131)</f>
        <v>334.181900919339</v>
      </c>
      <c r="Y131" s="33" t="n">
        <f aca="false">SUMIFS('Piece check'!$W$6:$W$1643,'Piece check'!$B$6:$B$1643,B131)</f>
        <v>0</v>
      </c>
      <c r="Z131" s="33" t="n">
        <f aca="false">SUMIFS('Piece check'!$X$6:$X$1643,'Piece check'!$B$6:$B$1643,B131)</f>
        <v>32.762931488118</v>
      </c>
      <c r="AA131" s="33" t="n">
        <f aca="false">SUMIFS('Piece check'!$Y$6:$Y$1643,'Piece check'!$B$6:$B$1643,B131)</f>
        <v>25.7319477466624</v>
      </c>
      <c r="AB131" s="20" t="n">
        <f aca="false">MAX(0,X131+Y131-Z131-AA131)</f>
        <v>275.687021684559</v>
      </c>
      <c r="AC131" s="20" t="n">
        <f aca="false">(ROUNDUP(O131/PILE_SP,0)+1)*IF(N131&gt;=PILE_THR,PILE_N_LARGE,PILE_N_SMALL)</f>
        <v>24</v>
      </c>
      <c r="AD131" s="20" t="n">
        <f aca="false">2*U131</f>
        <v>65.525861678909</v>
      </c>
      <c r="AE131" s="34" t="n">
        <f aca="false">IF(U131&gt;0,ROUNDUP(T131*SHEET_RATIO,0),0)</f>
        <v>7</v>
      </c>
      <c r="AF131" s="20" t="n">
        <f aca="false">AD131*AE131</f>
        <v>458.681031752363</v>
      </c>
      <c r="AG131" s="18" t="n">
        <f aca="false">MAX(0,GWL-(R131-DD_BELOW))</f>
        <v>3.10000026674378</v>
      </c>
      <c r="AH131" s="12" t="str">
        <f aca="false">IF(AG131=0,"Not required",IF(AG131&lt;=WP_LIMIT,"Single-stage wellpoints","Deep wells or two-stage wellpoints"))</f>
        <v>Single-stage wellpoints</v>
      </c>
      <c r="AI131" s="30" t="n">
        <f aca="false">MIN(_xlfn.MINIFS('Piece check'!$Z$6:$Z$1643,'Piece check'!$B$6:$B$1643,B131),_xlfn.MINIFS('Piece check'!$AA$6:$AA$1643,'Piece check'!$B$6:$B$1643,B131))</f>
        <v>3.03825135784081</v>
      </c>
      <c r="AJ131" s="30" t="n">
        <f aca="false">MIN(_xlfn.MINIFS('Piece check'!$AB$6:$AB$1643,'Piece check'!$B$6:$B$1643,B131),_xlfn.MINIFS('Piece check'!$AC$6:$AC$1643,'Piece check'!$B$6:$B$1643,B131))</f>
        <v>7.00982213089167</v>
      </c>
      <c r="AK131" s="12" t="str">
        <f aca="false">IF(AJ131&lt;FOS_FLOT,"Anchor pipe to piled slab (permanent straps)",IF(AI131&lt;FOS_FLOT,"Keep dewatering on until fill reaches FL, or strap to slab","No extra measure"))</f>
        <v>No extra measure</v>
      </c>
      <c r="AL131" s="35" t="n">
        <f aca="false">Activities!P1382</f>
        <v>46468</v>
      </c>
      <c r="AM131" s="35" t="n">
        <f aca="false">Activities!Q1391</f>
        <v>46561</v>
      </c>
      <c r="AN131" s="15" t="n">
        <v>161</v>
      </c>
      <c r="AO131" s="36" t="s">
        <v>2519</v>
      </c>
      <c r="AP131" s="36" t="s">
        <v>2416</v>
      </c>
      <c r="AQ131" s="36" t="s">
        <v>2755</v>
      </c>
      <c r="AR131" s="37" t="n">
        <f aca="false">Activities!P1390-Activities!Q1388</f>
        <v>-3</v>
      </c>
      <c r="AS131" s="37" t="n">
        <f aca="false">IF(Activities!K1385=0,0,Activities!Q1391-Activities!P1385)</f>
        <v>79</v>
      </c>
    </row>
    <row r="132" customFormat="false" ht="15" hidden="false" customHeight="false" outlineLevel="0" collapsed="false">
      <c r="A132" s="15" t="s">
        <v>1341</v>
      </c>
      <c r="B132" s="29" t="s">
        <v>1442</v>
      </c>
      <c r="C132" s="15" t="s">
        <v>400</v>
      </c>
      <c r="D132" s="15" t="s">
        <v>2756</v>
      </c>
      <c r="E132" s="15" t="s">
        <v>2518</v>
      </c>
      <c r="F132" s="15" t="n">
        <v>28</v>
      </c>
      <c r="G132" s="15" t="s">
        <v>2367</v>
      </c>
      <c r="H132" s="15" t="s">
        <v>311</v>
      </c>
      <c r="I132" s="35" t="n">
        <f aca="false">MAX(Structures!$H$10)</f>
        <v>0</v>
      </c>
      <c r="J132" s="15"/>
      <c r="K132" s="16" t="n">
        <v>0</v>
      </c>
      <c r="L132" s="15" t="s">
        <v>358</v>
      </c>
      <c r="M132" s="15" t="n">
        <v>0</v>
      </c>
      <c r="N132" s="30" t="n">
        <f aca="false">_xlfn.MAXIFS('Piece check'!$E$6:$E$1643,'Piece check'!$B$6:$B$1643,B132)</f>
        <v>1</v>
      </c>
      <c r="O132" s="31" t="n">
        <f aca="false">SUMIFS('Piece check'!$D$6:$D$1643,'Piece check'!$B$6:$B$1643,B132)</f>
        <v>5.99999999980784</v>
      </c>
      <c r="P132" s="32" t="n">
        <v>-4.1</v>
      </c>
      <c r="Q132" s="32" t="n">
        <v>-4.1</v>
      </c>
      <c r="R132" s="30" t="n">
        <f aca="false">_xlfn.MINIFS('Piece check'!$K$6:$K$1643,'Piece check'!$B$6:$B$1643,B132)</f>
        <v>-4.1</v>
      </c>
      <c r="S132" s="18" t="n">
        <f aca="false">MAX(0,GWL-R132)</f>
        <v>2.6</v>
      </c>
      <c r="T132" s="18" t="n">
        <f aca="false">MAX(0,NG-R132)</f>
        <v>3.4</v>
      </c>
      <c r="U132" s="31" t="n">
        <f aca="false">SUMIFS('Piece check'!$R$6:$R$1643,'Piece check'!$B$6:$B$1643,B132)</f>
        <v>5.99999999980784</v>
      </c>
      <c r="V132" s="21" t="n">
        <f aca="false">O132-U132</f>
        <v>0</v>
      </c>
      <c r="W132" s="12" t="str">
        <f aca="false">IF(U132&lt;0.05,"Open cut",IF(V132&lt;0.05,"Sheet piles","Mixed: "&amp;TEXT(U132,"0")&amp;" m sheet piles"))</f>
        <v>Sheet piles</v>
      </c>
      <c r="X132" s="33" t="n">
        <f aca="false">SUMIFS('Piece check'!$V$6:$V$1643,'Piece check'!$B$6:$B$1643,B132)</f>
        <v>61.1999999980399</v>
      </c>
      <c r="Y132" s="33" t="n">
        <f aca="false">SUMIFS('Piece check'!$W$6:$W$1643,'Piece check'!$B$6:$B$1643,B132)</f>
        <v>0</v>
      </c>
      <c r="Z132" s="33" t="n">
        <f aca="false">SUMIFS('Piece check'!$X$6:$X$1643,'Piece check'!$B$6:$B$1643,B132)</f>
        <v>5.99999999980784</v>
      </c>
      <c r="AA132" s="33" t="n">
        <f aca="false">SUMIFS('Piece check'!$Y$6:$Y$1643,'Piece check'!$B$6:$B$1643,B132)</f>
        <v>4.71238898023376</v>
      </c>
      <c r="AB132" s="20" t="n">
        <f aca="false">MAX(0,X132+Y132-Z132-AA132)</f>
        <v>50.4876110179983</v>
      </c>
      <c r="AC132" s="20" t="n">
        <f aca="false">(ROUNDUP(O132/PILE_SP,0)+1)*IF(N132&gt;=PILE_THR,PILE_N_LARGE,PILE_N_SMALL)</f>
        <v>6</v>
      </c>
      <c r="AD132" s="20" t="n">
        <f aca="false">2*U132</f>
        <v>11.9999999996157</v>
      </c>
      <c r="AE132" s="34" t="n">
        <f aca="false">IF(U132&gt;0,ROUNDUP(T132*SHEET_RATIO,0),0)</f>
        <v>7</v>
      </c>
      <c r="AF132" s="20" t="n">
        <f aca="false">AD132*AE132</f>
        <v>83.9999999973097</v>
      </c>
      <c r="AG132" s="18" t="n">
        <f aca="false">MAX(0,GWL-(R132-DD_BELOW))</f>
        <v>3.1</v>
      </c>
      <c r="AH132" s="12" t="str">
        <f aca="false">IF(AG132=0,"Not required",IF(AG132&lt;=WP_LIMIT,"Single-stage wellpoints","Deep wells or two-stage wellpoints"))</f>
        <v>Single-stage wellpoints</v>
      </c>
      <c r="AI132" s="30" t="n">
        <f aca="false">MIN(_xlfn.MINIFS('Piece check'!$Z$6:$Z$1643,'Piece check'!$B$6:$B$1643,B132),_xlfn.MINIFS('Piece check'!$AA$6:$AA$1643,'Piece check'!$B$6:$B$1643,B132))</f>
        <v>3.03825326225336</v>
      </c>
      <c r="AJ132" s="30" t="n">
        <f aca="false">MIN(_xlfn.MINIFS('Piece check'!$AB$6:$AB$1643,'Piece check'!$B$6:$B$1643,B132),_xlfn.MINIFS('Piece check'!$AC$6:$AC$1643,'Piece check'!$B$6:$B$1643,B132))</f>
        <v>7.00982615408781</v>
      </c>
      <c r="AK132" s="12" t="str">
        <f aca="false">IF(AJ132&lt;FOS_FLOT,"Anchor pipe to piled slab (permanent straps)",IF(AI132&lt;FOS_FLOT,"Keep dewatering on until fill reaches FL, or strap to slab","No extra measure"))</f>
        <v>No extra measure</v>
      </c>
      <c r="AL132" s="35" t="n">
        <f aca="false">Activities!P1393</f>
        <v>46478</v>
      </c>
      <c r="AM132" s="35" t="n">
        <f aca="false">Activities!Q1402</f>
        <v>46566</v>
      </c>
      <c r="AN132" s="15" t="n">
        <v>162</v>
      </c>
      <c r="AO132" s="36" t="s">
        <v>2519</v>
      </c>
      <c r="AP132" s="36" t="s">
        <v>2607</v>
      </c>
      <c r="AQ132" s="36" t="s">
        <v>2757</v>
      </c>
      <c r="AR132" s="37" t="n">
        <f aca="false">Activities!P1401-Activities!Q1399</f>
        <v>-1</v>
      </c>
      <c r="AS132" s="37" t="n">
        <f aca="false">IF(Activities!K1396=0,0,Activities!Q1402-Activities!P1396)</f>
        <v>85</v>
      </c>
    </row>
    <row r="133" customFormat="false" ht="15" hidden="false" customHeight="false" outlineLevel="0" collapsed="false">
      <c r="A133" s="15" t="s">
        <v>1792</v>
      </c>
      <c r="B133" s="29" t="s">
        <v>1793</v>
      </c>
      <c r="C133" s="15" t="s">
        <v>400</v>
      </c>
      <c r="D133" s="15" t="s">
        <v>2758</v>
      </c>
      <c r="E133" s="15" t="s">
        <v>2518</v>
      </c>
      <c r="F133" s="15" t="n">
        <v>28</v>
      </c>
      <c r="G133" s="15" t="s">
        <v>2523</v>
      </c>
      <c r="H133" s="15" t="s">
        <v>2759</v>
      </c>
      <c r="I133" s="35" t="n">
        <f aca="false">MAX(Structures!$H$24,Structures!$H$10)</f>
        <v>0</v>
      </c>
      <c r="J133" s="15"/>
      <c r="K133" s="16" t="n">
        <v>0</v>
      </c>
      <c r="L133" s="15" t="s">
        <v>358</v>
      </c>
      <c r="M133" s="15" t="n">
        <v>7</v>
      </c>
      <c r="N133" s="30" t="n">
        <f aca="false">_xlfn.MAXIFS('Piece check'!$E$6:$E$1643,'Piece check'!$B$6:$B$1643,B133)</f>
        <v>1.60000470368631</v>
      </c>
      <c r="O133" s="31" t="n">
        <f aca="false">SUMIFS('Piece check'!$D$6:$D$1643,'Piece check'!$B$6:$B$1643,B133)</f>
        <v>36.3001316189151</v>
      </c>
      <c r="P133" s="32" t="n">
        <v>0.790001035430755</v>
      </c>
      <c r="Q133" s="32" t="n">
        <v>-4.00000235184316</v>
      </c>
      <c r="R133" s="30" t="n">
        <f aca="false">_xlfn.MINIFS('Piece check'!$K$6:$K$1643,'Piece check'!$B$6:$B$1643,B133)</f>
        <v>-4.00000235184316</v>
      </c>
      <c r="S133" s="18" t="n">
        <f aca="false">MAX(0,GWL-R133)</f>
        <v>2.50000235184316</v>
      </c>
      <c r="T133" s="18" t="n">
        <f aca="false">MAX(0,NG-R133)</f>
        <v>3.30000235184316</v>
      </c>
      <c r="U133" s="31" t="n">
        <f aca="false">SUMIFS('Piece check'!$R$6:$R$1643,'Piece check'!$B$6:$B$1643,B133)</f>
        <v>26.3001316187465</v>
      </c>
      <c r="V133" s="21" t="n">
        <f aca="false">O133-U133</f>
        <v>10.0000000001687</v>
      </c>
      <c r="W133" s="12" t="str">
        <f aca="false">IF(U133&lt;0.05,"Open cut",IF(V133&lt;0.05,"Sheet piles","Mixed: "&amp;TEXT(U133,"0")&amp;" m sheet piles"))</f>
        <v>Mixed: 26 m sheet piles</v>
      </c>
      <c r="X133" s="33" t="n">
        <f aca="false">SUMIFS('Piece check'!$V$6:$V$1643,'Piece check'!$B$6:$B$1643,B133)</f>
        <v>312.43487601443</v>
      </c>
      <c r="Y133" s="33" t="n">
        <f aca="false">SUMIFS('Piece check'!$W$6:$W$1643,'Piece check'!$B$6:$B$1643,B133)</f>
        <v>64.4098971180514</v>
      </c>
      <c r="Z133" s="33" t="n">
        <f aca="false">SUMIFS('Piece check'!$X$6:$X$1643,'Piece check'!$B$6:$B$1643,B133)</f>
        <v>42.8052072870021</v>
      </c>
      <c r="AA133" s="33" t="n">
        <f aca="false">SUMIFS('Piece check'!$Y$6:$Y$1643,'Piece check'!$B$6:$B$1643,B133)</f>
        <v>66.2039393570074</v>
      </c>
      <c r="AB133" s="20" t="n">
        <f aca="false">MAX(0,X133+Y133-Z133-AA133)</f>
        <v>267.835626488471</v>
      </c>
      <c r="AC133" s="20" t="n">
        <f aca="false">(ROUNDUP(O133/PILE_SP,0)+1)*IF(N133&gt;=PILE_THR,PILE_N_LARGE,PILE_N_SMALL)</f>
        <v>28</v>
      </c>
      <c r="AD133" s="20" t="n">
        <f aca="false">2*U133</f>
        <v>52.6002632374929</v>
      </c>
      <c r="AE133" s="34" t="n">
        <f aca="false">IF(U133&gt;0,ROUNDUP(T133*SHEET_RATIO,0),0)</f>
        <v>7</v>
      </c>
      <c r="AF133" s="20" t="n">
        <f aca="false">AD133*AE133</f>
        <v>368.20184266245</v>
      </c>
      <c r="AG133" s="18" t="n">
        <f aca="false">MAX(0,GWL-(R133-DD_BELOW))</f>
        <v>3.00000235184316</v>
      </c>
      <c r="AH133" s="12" t="str">
        <f aca="false">IF(AG133=0,"Not required",IF(AG133&lt;=WP_LIMIT,"Single-stage wellpoints","Deep wells or two-stage wellpoints"))</f>
        <v>Single-stage wellpoints</v>
      </c>
      <c r="AI133" s="30" t="n">
        <f aca="false">MIN(_xlfn.MINIFS('Piece check'!$Z$6:$Z$1643,'Piece check'!$B$6:$B$1643,B133),_xlfn.MINIFS('Piece check'!$AA$6:$AA$1643,'Piece check'!$B$6:$B$1643,B133))</f>
        <v>0.305696943288416</v>
      </c>
      <c r="AJ133" s="30" t="n">
        <f aca="false">MIN(_xlfn.MINIFS('Piece check'!$AB$6:$AB$1643,'Piece check'!$B$6:$B$1643,B133),_xlfn.MINIFS('Piece check'!$AC$6:$AC$1643,'Piece check'!$B$6:$B$1643,B133))</f>
        <v>2.7879344497356</v>
      </c>
      <c r="AK133" s="12" t="str">
        <f aca="false">IF(AJ133&lt;FOS_FLOT,"Anchor pipe to piled slab (permanent straps)",IF(AI133&lt;FOS_FLOT,"Keep dewatering on until fill reaches FL, or strap to slab","No extra measure"))</f>
        <v>Keep dewatering on until fill reaches FL, or strap to slab</v>
      </c>
      <c r="AL133" s="35" t="n">
        <f aca="false">Activities!P1404</f>
        <v>46357</v>
      </c>
      <c r="AM133" s="35" t="n">
        <f aca="false">Activities!Q1413</f>
        <v>46565</v>
      </c>
      <c r="AN133" s="15" t="n">
        <v>163</v>
      </c>
      <c r="AO133" s="36" t="s">
        <v>2525</v>
      </c>
      <c r="AP133" s="36" t="s">
        <v>2760</v>
      </c>
      <c r="AQ133" s="36" t="s">
        <v>2761</v>
      </c>
      <c r="AR133" s="37" t="n">
        <f aca="false">Activities!P1412-Activities!Q1410</f>
        <v>34</v>
      </c>
      <c r="AS133" s="37" t="n">
        <f aca="false">IF(Activities!K1407=0,0,Activities!Q1413-Activities!P1407)</f>
        <v>202</v>
      </c>
    </row>
    <row r="134" customFormat="false" ht="15" hidden="false" customHeight="false" outlineLevel="0" collapsed="false">
      <c r="A134" s="15" t="s">
        <v>1341</v>
      </c>
      <c r="B134" s="29" t="s">
        <v>1450</v>
      </c>
      <c r="C134" s="15" t="s">
        <v>400</v>
      </c>
      <c r="D134" s="15" t="s">
        <v>2762</v>
      </c>
      <c r="E134" s="15" t="s">
        <v>2518</v>
      </c>
      <c r="F134" s="15" t="n">
        <v>28</v>
      </c>
      <c r="G134" s="15" t="s">
        <v>2362</v>
      </c>
      <c r="H134" s="15"/>
      <c r="I134" s="16" t="n">
        <v>0</v>
      </c>
      <c r="J134" s="15"/>
      <c r="K134" s="16" t="n">
        <v>0</v>
      </c>
      <c r="L134" s="15" t="s">
        <v>358</v>
      </c>
      <c r="M134" s="15" t="n">
        <v>0</v>
      </c>
      <c r="N134" s="30" t="n">
        <f aca="false">_xlfn.MAXIFS('Piece check'!$E$6:$E$1643,'Piece check'!$B$6:$B$1643,B134)</f>
        <v>2.06959899489387</v>
      </c>
      <c r="O134" s="31" t="n">
        <f aca="false">SUMIFS('Piece check'!$D$6:$D$1643,'Piece check'!$B$6:$B$1643,B134)</f>
        <v>18.0999999996207</v>
      </c>
      <c r="P134" s="32" t="n">
        <v>-4.63479949744693</v>
      </c>
      <c r="Q134" s="32" t="n">
        <v>-4.63479949744693</v>
      </c>
      <c r="R134" s="30" t="n">
        <f aca="false">_xlfn.MINIFS('Piece check'!$K$6:$K$1643,'Piece check'!$B$6:$B$1643,B134)</f>
        <v>-4.63479949744693</v>
      </c>
      <c r="S134" s="18" t="n">
        <f aca="false">MAX(0,GWL-R134)</f>
        <v>3.13479949744693</v>
      </c>
      <c r="T134" s="18" t="n">
        <f aca="false">MAX(0,NG-R134)</f>
        <v>3.93479949744693</v>
      </c>
      <c r="U134" s="31" t="n">
        <f aca="false">SUMIFS('Piece check'!$R$6:$R$1643,'Piece check'!$B$6:$B$1643,B134)</f>
        <v>18.0999999996207</v>
      </c>
      <c r="V134" s="21" t="n">
        <f aca="false">O134-U134</f>
        <v>0</v>
      </c>
      <c r="W134" s="12" t="str">
        <f aca="false">IF(U134&lt;0.05,"Open cut",IF(V134&lt;0.05,"Sheet piles","Mixed: "&amp;TEXT(U134,"0")&amp;" m sheet piles"))</f>
        <v>Sheet piles</v>
      </c>
      <c r="X134" s="33" t="n">
        <f aca="false">SUMIFS('Piece check'!$V$6:$V$1643,'Piece check'!$B$6:$B$1643,B134)</f>
        <v>289.836315040459</v>
      </c>
      <c r="Y134" s="33" t="n">
        <f aca="false">SUMIFS('Piece check'!$W$6:$W$1643,'Piece check'!$B$6:$B$1643,B134)</f>
        <v>0</v>
      </c>
      <c r="Z134" s="33" t="n">
        <f aca="false">SUMIFS('Piece check'!$X$6:$X$1643,'Piece check'!$B$6:$B$1643,B134)</f>
        <v>27.7798709032074</v>
      </c>
      <c r="AA134" s="33" t="n">
        <f aca="false">SUMIFS('Piece check'!$Y$6:$Y$1643,'Piece check'!$B$6:$B$1643,B134)</f>
        <v>60.8892838059396</v>
      </c>
      <c r="AB134" s="20" t="n">
        <f aca="false">MAX(0,X134+Y134-Z134-AA134)</f>
        <v>201.167160331312</v>
      </c>
      <c r="AC134" s="20" t="n">
        <f aca="false">(ROUNDUP(O134/PILE_SP,0)+1)*IF(N134&gt;=PILE_THR,PILE_N_LARGE,PILE_N_SMALL)</f>
        <v>16</v>
      </c>
      <c r="AD134" s="20" t="n">
        <f aca="false">2*U134</f>
        <v>36.1999999992415</v>
      </c>
      <c r="AE134" s="34" t="n">
        <f aca="false">IF(U134&gt;0,ROUNDUP(T134*SHEET_RATIO,0),0)</f>
        <v>8</v>
      </c>
      <c r="AF134" s="20" t="n">
        <f aca="false">AD134*AE134</f>
        <v>289.599999993932</v>
      </c>
      <c r="AG134" s="18" t="n">
        <f aca="false">MAX(0,GWL-(R134-DD_BELOW))</f>
        <v>3.63479949744693</v>
      </c>
      <c r="AH134" s="12" t="str">
        <f aca="false">IF(AG134=0,"Not required",IF(AG134&lt;=WP_LIMIT,"Single-stage wellpoints","Deep wells or two-stage wellpoints"))</f>
        <v>Single-stage wellpoints</v>
      </c>
      <c r="AI134" s="30" t="n">
        <f aca="false">MIN(_xlfn.MINIFS('Piece check'!$Z$6:$Z$1643,'Piece check'!$B$6:$B$1643,B134),_xlfn.MINIFS('Piece check'!$AA$6:$AA$1643,'Piece check'!$B$6:$B$1643,B134))</f>
        <v>1.19335784550088</v>
      </c>
      <c r="AJ134" s="30" t="n">
        <f aca="false">MIN(_xlfn.MINIFS('Piece check'!$AB$6:$AB$1643,'Piece check'!$B$6:$B$1643,B134),_xlfn.MINIFS('Piece check'!$AC$6:$AC$1643,'Piece check'!$B$6:$B$1643,B134))</f>
        <v>3.11236384696935</v>
      </c>
      <c r="AK134" s="12" t="str">
        <f aca="false">IF(AJ134&lt;FOS_FLOT,"Anchor pipe to piled slab (permanent straps)",IF(AI134&lt;FOS_FLOT,"Keep dewatering on until fill reaches FL, or strap to slab","No extra measure"))</f>
        <v>No extra measure</v>
      </c>
      <c r="AL134" s="35" t="n">
        <f aca="false">Activities!P1415</f>
        <v>46478</v>
      </c>
      <c r="AM134" s="35" t="n">
        <f aca="false">Activities!Q1424</f>
        <v>46567</v>
      </c>
      <c r="AN134" s="15" t="n">
        <v>164</v>
      </c>
      <c r="AO134" s="36" t="s">
        <v>2763</v>
      </c>
      <c r="AP134" s="36" t="s">
        <v>2416</v>
      </c>
      <c r="AQ134" s="36" t="s">
        <v>2365</v>
      </c>
      <c r="AR134" s="37" t="n">
        <f aca="false">Activities!P1423-Activities!Q1421</f>
        <v>-2</v>
      </c>
      <c r="AS134" s="37" t="n">
        <f aca="false">IF(Activities!K1418=0,0,Activities!Q1424-Activities!P1418)</f>
        <v>80</v>
      </c>
    </row>
    <row r="135" customFormat="false" ht="15" hidden="false" customHeight="false" outlineLevel="0" collapsed="false">
      <c r="A135" s="15" t="s">
        <v>1293</v>
      </c>
      <c r="B135" s="29" t="s">
        <v>1314</v>
      </c>
      <c r="C135" s="15" t="s">
        <v>400</v>
      </c>
      <c r="D135" s="15" t="s">
        <v>2764</v>
      </c>
      <c r="E135" s="15" t="s">
        <v>2518</v>
      </c>
      <c r="F135" s="15" t="n">
        <v>28</v>
      </c>
      <c r="G135" s="15" t="s">
        <v>2362</v>
      </c>
      <c r="H135" s="15"/>
      <c r="I135" s="16" t="n">
        <v>0</v>
      </c>
      <c r="J135" s="15"/>
      <c r="K135" s="16" t="n">
        <v>0</v>
      </c>
      <c r="L135" s="15" t="s">
        <v>358</v>
      </c>
      <c r="M135" s="15" t="n">
        <v>1</v>
      </c>
      <c r="N135" s="30" t="n">
        <f aca="false">_xlfn.MAXIFS('Piece check'!$E$6:$E$1643,'Piece check'!$B$6:$B$1643,B135)</f>
        <v>1.40000382090742</v>
      </c>
      <c r="O135" s="31" t="n">
        <f aca="false">SUMIFS('Piece check'!$D$6:$D$1643,'Piece check'!$B$6:$B$1643,B135)</f>
        <v>39.6720293486164</v>
      </c>
      <c r="P135" s="32" t="n">
        <v>-4.29000191045371</v>
      </c>
      <c r="Q135" s="32" t="n">
        <v>-4.29000191045371</v>
      </c>
      <c r="R135" s="30" t="n">
        <f aca="false">_xlfn.MINIFS('Piece check'!$K$6:$K$1643,'Piece check'!$B$6:$B$1643,B135)</f>
        <v>-4.29000191045371</v>
      </c>
      <c r="S135" s="18" t="n">
        <f aca="false">MAX(0,GWL-R135)</f>
        <v>2.79000191045371</v>
      </c>
      <c r="T135" s="18" t="n">
        <f aca="false">MAX(0,NG-R135)</f>
        <v>3.59000191045371</v>
      </c>
      <c r="U135" s="31" t="n">
        <f aca="false">SUMIFS('Piece check'!$R$6:$R$1643,'Piece check'!$B$6:$B$1643,B135)</f>
        <v>39.6720293486164</v>
      </c>
      <c r="V135" s="21" t="n">
        <f aca="false">O135-U135</f>
        <v>0</v>
      </c>
      <c r="W135" s="12" t="str">
        <f aca="false">IF(U135&lt;0.05,"Open cut",IF(V135&lt;0.05,"Sheet piles","Mixed: "&amp;TEXT(U135,"0")&amp;" m sheet piles"))</f>
        <v>Sheet piles</v>
      </c>
      <c r="X135" s="33" t="n">
        <f aca="false">SUMIFS('Piece check'!$V$6:$V$1643,'Piece check'!$B$6:$B$1643,B135)</f>
        <v>484.237592104372</v>
      </c>
      <c r="Y135" s="33" t="n">
        <f aca="false">SUMIFS('Piece check'!$W$6:$W$1643,'Piece check'!$B$6:$B$1643,B135)</f>
        <v>0</v>
      </c>
      <c r="Z135" s="33" t="n">
        <f aca="false">SUMIFS('Piece check'!$X$6:$X$1643,'Piece check'!$B$6:$B$1643,B135)</f>
        <v>47.6065110099153</v>
      </c>
      <c r="AA135" s="33" t="n">
        <f aca="false">SUMIFS('Piece check'!$Y$6:$Y$1643,'Piece check'!$B$6:$B$1643,B135)</f>
        <v>61.070677766975</v>
      </c>
      <c r="AB135" s="20" t="n">
        <f aca="false">MAX(0,X135+Y135-Z135-AA135)</f>
        <v>375.560403327481</v>
      </c>
      <c r="AC135" s="20" t="n">
        <f aca="false">(ROUNDUP(O135/PILE_SP,0)+1)*IF(N135&gt;=PILE_THR,PILE_N_LARGE,PILE_N_SMALL)</f>
        <v>30</v>
      </c>
      <c r="AD135" s="20" t="n">
        <f aca="false">2*U135</f>
        <v>79.3440586972327</v>
      </c>
      <c r="AE135" s="34" t="n">
        <f aca="false">IF(U135&gt;0,ROUNDUP(T135*SHEET_RATIO,0),0)</f>
        <v>8</v>
      </c>
      <c r="AF135" s="20" t="n">
        <f aca="false">AD135*AE135</f>
        <v>634.752469577862</v>
      </c>
      <c r="AG135" s="18" t="n">
        <f aca="false">MAX(0,GWL-(R135-DD_BELOW))</f>
        <v>3.29000191045371</v>
      </c>
      <c r="AH135" s="12" t="str">
        <f aca="false">IF(AG135=0,"Not required",IF(AG135&lt;=WP_LIMIT,"Single-stage wellpoints","Deep wells or two-stage wellpoints"))</f>
        <v>Single-stage wellpoints</v>
      </c>
      <c r="AI135" s="30" t="n">
        <f aca="false">MIN(_xlfn.MINIFS('Piece check'!$Z$6:$Z$1643,'Piece check'!$B$6:$B$1643,B135),_xlfn.MINIFS('Piece check'!$AA$6:$AA$1643,'Piece check'!$B$6:$B$1643,B135))</f>
        <v>2.01072699283098</v>
      </c>
      <c r="AJ135" s="30" t="n">
        <f aca="false">MIN(_xlfn.MINIFS('Piece check'!$AB$6:$AB$1643,'Piece check'!$B$6:$B$1643,B135),_xlfn.MINIFS('Piece check'!$AC$6:$AC$1643,'Piece check'!$B$6:$B$1643,B135))</f>
        <v>4.84755703038063</v>
      </c>
      <c r="AK135" s="12" t="str">
        <f aca="false">IF(AJ135&lt;FOS_FLOT,"Anchor pipe to piled slab (permanent straps)",IF(AI135&lt;FOS_FLOT,"Keep dewatering on until fill reaches FL, or strap to slab","No extra measure"))</f>
        <v>No extra measure</v>
      </c>
      <c r="AL135" s="35" t="n">
        <f aca="false">Activities!P1426</f>
        <v>46484</v>
      </c>
      <c r="AM135" s="35" t="n">
        <f aca="false">Activities!Q1435</f>
        <v>46576</v>
      </c>
      <c r="AN135" s="15" t="n">
        <v>165</v>
      </c>
      <c r="AO135" s="36" t="s">
        <v>2567</v>
      </c>
      <c r="AP135" s="36" t="s">
        <v>2765</v>
      </c>
      <c r="AQ135" s="36" t="s">
        <v>2766</v>
      </c>
      <c r="AR135" s="37" t="n">
        <f aca="false">Activities!P1434-Activities!Q1432</f>
        <v>-5</v>
      </c>
      <c r="AS135" s="37" t="n">
        <f aca="false">IF(Activities!K1429=0,0,Activities!Q1435-Activities!P1429)</f>
        <v>82</v>
      </c>
    </row>
    <row r="136" customFormat="false" ht="15" hidden="false" customHeight="false" outlineLevel="0" collapsed="false">
      <c r="A136" s="15" t="s">
        <v>1293</v>
      </c>
      <c r="B136" s="29" t="s">
        <v>1305</v>
      </c>
      <c r="C136" s="15" t="s">
        <v>400</v>
      </c>
      <c r="D136" s="15" t="s">
        <v>2767</v>
      </c>
      <c r="E136" s="15" t="s">
        <v>2518</v>
      </c>
      <c r="F136" s="15" t="n">
        <v>28</v>
      </c>
      <c r="G136" s="15" t="s">
        <v>2362</v>
      </c>
      <c r="H136" s="15"/>
      <c r="I136" s="16" t="n">
        <v>0</v>
      </c>
      <c r="J136" s="15"/>
      <c r="K136" s="16" t="n">
        <v>0</v>
      </c>
      <c r="L136" s="15" t="s">
        <v>358</v>
      </c>
      <c r="M136" s="15" t="n">
        <v>3</v>
      </c>
      <c r="N136" s="30" t="n">
        <f aca="false">_xlfn.MAXIFS('Piece check'!$E$6:$E$1643,'Piece check'!$B$6:$B$1643,B136)</f>
        <v>1.40003423567376</v>
      </c>
      <c r="O136" s="31" t="n">
        <f aca="false">SUMIFS('Piece check'!$D$6:$D$1643,'Piece check'!$B$6:$B$1643,B136)</f>
        <v>29.7279706511522</v>
      </c>
      <c r="P136" s="32" t="n">
        <v>-4.29001711783688</v>
      </c>
      <c r="Q136" s="32" t="n">
        <v>-4.29000191045371</v>
      </c>
      <c r="R136" s="30" t="n">
        <f aca="false">_xlfn.MINIFS('Piece check'!$K$6:$K$1643,'Piece check'!$B$6:$B$1643,B136)</f>
        <v>-4.29001711783688</v>
      </c>
      <c r="S136" s="18" t="n">
        <f aca="false">MAX(0,GWL-R136)</f>
        <v>2.79001711783688</v>
      </c>
      <c r="T136" s="18" t="n">
        <f aca="false">MAX(0,NG-R136)</f>
        <v>3.59001711783688</v>
      </c>
      <c r="U136" s="31" t="n">
        <f aca="false">SUMIFS('Piece check'!$R$6:$R$1643,'Piece check'!$B$6:$B$1643,B136)</f>
        <v>29.7279706511522</v>
      </c>
      <c r="V136" s="21" t="n">
        <f aca="false">O136-U136</f>
        <v>0</v>
      </c>
      <c r="W136" s="12" t="str">
        <f aca="false">IF(U136&lt;0.05,"Open cut",IF(V136&lt;0.05,"Sheet piles","Mixed: "&amp;TEXT(U136,"0")&amp;" m sheet piles"))</f>
        <v>Sheet piles</v>
      </c>
      <c r="X136" s="33" t="n">
        <f aca="false">SUMIFS('Piece check'!$V$6:$V$1643,'Piece check'!$B$6:$B$1643,B136)</f>
        <v>362.814450897028</v>
      </c>
      <c r="Y136" s="33" t="n">
        <f aca="false">SUMIFS('Piece check'!$W$6:$W$1643,'Piece check'!$B$6:$B$1643,B136)</f>
        <v>0</v>
      </c>
      <c r="Z136" s="33" t="n">
        <f aca="false">SUMIFS('Piece check'!$X$6:$X$1643,'Piece check'!$B$6:$B$1643,B136)</f>
        <v>35.669295994187</v>
      </c>
      <c r="AA136" s="33" t="n">
        <f aca="false">SUMIFS('Piece check'!$Y$6:$Y$1643,'Piece check'!$B$6:$B$1643,B136)</f>
        <v>45.7438879462908</v>
      </c>
      <c r="AB136" s="20" t="n">
        <f aca="false">MAX(0,X136+Y136-Z136-AA136)</f>
        <v>281.40126695655</v>
      </c>
      <c r="AC136" s="20" t="n">
        <f aca="false">(ROUNDUP(O136/PILE_SP,0)+1)*IF(N136&gt;=PILE_THR,PILE_N_LARGE,PILE_N_SMALL)</f>
        <v>22</v>
      </c>
      <c r="AD136" s="20" t="n">
        <f aca="false">2*U136</f>
        <v>59.4559413023043</v>
      </c>
      <c r="AE136" s="34" t="n">
        <f aca="false">IF(U136&gt;0,ROUNDUP(T136*SHEET_RATIO,0),0)</f>
        <v>8</v>
      </c>
      <c r="AF136" s="20" t="n">
        <f aca="false">AD136*AE136</f>
        <v>475.647530418434</v>
      </c>
      <c r="AG136" s="18" t="n">
        <f aca="false">MAX(0,GWL-(R136-DD_BELOW))</f>
        <v>3.29001711783688</v>
      </c>
      <c r="AH136" s="12" t="str">
        <f aca="false">IF(AG136=0,"Not required",IF(AG136&lt;=WP_LIMIT,"Single-stage wellpoints","Deep wells or two-stage wellpoints"))</f>
        <v>Single-stage wellpoints</v>
      </c>
      <c r="AI136" s="30" t="n">
        <f aca="false">MIN(_xlfn.MINIFS('Piece check'!$Z$6:$Z$1643,'Piece check'!$B$6:$B$1643,B136),_xlfn.MINIFS('Piece check'!$AA$6:$AA$1643,'Piece check'!$B$6:$B$1643,B136))</f>
        <v>2.01067176494379</v>
      </c>
      <c r="AJ136" s="30" t="n">
        <f aca="false">MIN(_xlfn.MINIFS('Piece check'!$AB$6:$AB$1643,'Piece check'!$B$6:$B$1643,B136),_xlfn.MINIFS('Piece check'!$AC$6:$AC$1643,'Piece check'!$B$6:$B$1643,B136))</f>
        <v>4.8474401743414</v>
      </c>
      <c r="AK136" s="12" t="str">
        <f aca="false">IF(AJ136&lt;FOS_FLOT,"Anchor pipe to piled slab (permanent straps)",IF(AI136&lt;FOS_FLOT,"Keep dewatering on until fill reaches FL, or strap to slab","No extra measure"))</f>
        <v>No extra measure</v>
      </c>
      <c r="AL136" s="35" t="n">
        <f aca="false">Activities!P1437</f>
        <v>46489</v>
      </c>
      <c r="AM136" s="35" t="n">
        <f aca="false">Activities!Q1446</f>
        <v>46583</v>
      </c>
      <c r="AN136" s="15" t="n">
        <v>166</v>
      </c>
      <c r="AO136" s="36" t="s">
        <v>2564</v>
      </c>
      <c r="AP136" s="36" t="s">
        <v>2765</v>
      </c>
      <c r="AQ136" s="36" t="s">
        <v>2766</v>
      </c>
      <c r="AR136" s="37" t="n">
        <f aca="false">Activities!P1445-Activities!Q1443</f>
        <v>-2</v>
      </c>
      <c r="AS136" s="37" t="n">
        <f aca="false">IF(Activities!K1440=0,0,Activities!Q1446-Activities!P1440)</f>
        <v>83</v>
      </c>
    </row>
    <row r="137" customFormat="false" ht="15" hidden="false" customHeight="false" outlineLevel="0" collapsed="false">
      <c r="A137" s="15" t="s">
        <v>1293</v>
      </c>
      <c r="B137" s="29" t="s">
        <v>1296</v>
      </c>
      <c r="C137" s="15" t="s">
        <v>400</v>
      </c>
      <c r="D137" s="15" t="s">
        <v>2768</v>
      </c>
      <c r="E137" s="15" t="s">
        <v>2518</v>
      </c>
      <c r="F137" s="15" t="n">
        <v>28</v>
      </c>
      <c r="G137" s="15" t="s">
        <v>2362</v>
      </c>
      <c r="H137" s="15"/>
      <c r="I137" s="16" t="n">
        <v>0</v>
      </c>
      <c r="J137" s="15"/>
      <c r="K137" s="16" t="n">
        <v>0</v>
      </c>
      <c r="L137" s="15" t="s">
        <v>358</v>
      </c>
      <c r="M137" s="15" t="n">
        <v>1</v>
      </c>
      <c r="N137" s="30" t="n">
        <f aca="false">_xlfn.MAXIFS('Piece check'!$E$6:$E$1643,'Piece check'!$B$6:$B$1643,B137)</f>
        <v>1.40003423567376</v>
      </c>
      <c r="O137" s="31" t="n">
        <f aca="false">SUMIFS('Piece check'!$D$6:$D$1643,'Piece check'!$B$6:$B$1643,B137)</f>
        <v>48.3000000000504</v>
      </c>
      <c r="P137" s="32" t="n">
        <v>-4.08999305236906</v>
      </c>
      <c r="Q137" s="32" t="n">
        <v>-4.29001711783688</v>
      </c>
      <c r="R137" s="30" t="n">
        <f aca="false">_xlfn.MINIFS('Piece check'!$K$6:$K$1643,'Piece check'!$B$6:$B$1643,B137)</f>
        <v>-4.29001711783688</v>
      </c>
      <c r="S137" s="18" t="n">
        <f aca="false">MAX(0,GWL-R137)</f>
        <v>2.79001711783688</v>
      </c>
      <c r="T137" s="18" t="n">
        <f aca="false">MAX(0,NG-R137)</f>
        <v>3.59001711783688</v>
      </c>
      <c r="U137" s="31" t="n">
        <f aca="false">SUMIFS('Piece check'!$R$6:$R$1643,'Piece check'!$B$6:$B$1643,B137)</f>
        <v>48.3000000000504</v>
      </c>
      <c r="V137" s="21" t="n">
        <f aca="false">O137-U137</f>
        <v>0</v>
      </c>
      <c r="W137" s="12" t="str">
        <f aca="false">IF(U137&lt;0.05,"Open cut",IF(V137&lt;0.05,"Sheet piles","Mixed: "&amp;TEXT(U137,"0")&amp;" m sheet piles"))</f>
        <v>Sheet piles</v>
      </c>
      <c r="X137" s="33" t="n">
        <f aca="false">SUMIFS('Piece check'!$V$6:$V$1643,'Piece check'!$B$6:$B$1643,B137)</f>
        <v>528.490730127318</v>
      </c>
      <c r="Y137" s="33" t="n">
        <f aca="false">SUMIFS('Piece check'!$W$6:$W$1643,'Piece check'!$B$6:$B$1643,B137)</f>
        <v>0</v>
      </c>
      <c r="Z137" s="33" t="n">
        <f aca="false">SUMIFS('Piece check'!$X$6:$X$1643,'Piece check'!$B$6:$B$1643,B137)</f>
        <v>51.9620355587006</v>
      </c>
      <c r="AA137" s="33" t="n">
        <f aca="false">SUMIFS('Piece check'!$Y$6:$Y$1643,'Piece check'!$B$6:$B$1643,B137)</f>
        <v>51.7406070471734</v>
      </c>
      <c r="AB137" s="20" t="n">
        <f aca="false">MAX(0,X137+Y137-Z137-AA137)</f>
        <v>424.788087521444</v>
      </c>
      <c r="AC137" s="20" t="n">
        <f aca="false">(ROUNDUP(O137/PILE_SP,0)+1)*IF(N137&gt;=PILE_THR,PILE_N_LARGE,PILE_N_SMALL)</f>
        <v>36</v>
      </c>
      <c r="AD137" s="20" t="n">
        <f aca="false">2*U137</f>
        <v>96.6000000001009</v>
      </c>
      <c r="AE137" s="34" t="n">
        <f aca="false">IF(U137&gt;0,ROUNDUP(T137*SHEET_RATIO,0),0)</f>
        <v>8</v>
      </c>
      <c r="AF137" s="20" t="n">
        <f aca="false">AD137*AE137</f>
        <v>772.800000000807</v>
      </c>
      <c r="AG137" s="18" t="n">
        <f aca="false">MAX(0,GWL-(R137-DD_BELOW))</f>
        <v>3.29001711783688</v>
      </c>
      <c r="AH137" s="12" t="str">
        <f aca="false">IF(AG137=0,"Not required",IF(AG137&lt;=WP_LIMIT,"Single-stage wellpoints","Deep wells or two-stage wellpoints"))</f>
        <v>Single-stage wellpoints</v>
      </c>
      <c r="AI137" s="30" t="n">
        <f aca="false">MIN(_xlfn.MINIFS('Piece check'!$Z$6:$Z$1643,'Piece check'!$B$6:$B$1643,B137),_xlfn.MINIFS('Piece check'!$AA$6:$AA$1643,'Piece check'!$B$6:$B$1643,B137))</f>
        <v>2.01067176494379</v>
      </c>
      <c r="AJ137" s="30" t="n">
        <f aca="false">MIN(_xlfn.MINIFS('Piece check'!$AB$6:$AB$1643,'Piece check'!$B$6:$B$1643,B137),_xlfn.MINIFS('Piece check'!$AC$6:$AC$1643,'Piece check'!$B$6:$B$1643,B137))</f>
        <v>4.8474401743414</v>
      </c>
      <c r="AK137" s="12" t="str">
        <f aca="false">IF(AJ137&lt;FOS_FLOT,"Anchor pipe to piled slab (permanent straps)",IF(AI137&lt;FOS_FLOT,"Keep dewatering on until fill reaches FL, or strap to slab","No extra measure"))</f>
        <v>No extra measure</v>
      </c>
      <c r="AL137" s="35" t="n">
        <f aca="false">Activities!P1448</f>
        <v>46496</v>
      </c>
      <c r="AM137" s="35" t="n">
        <f aca="false">Activities!Q1457</f>
        <v>46593</v>
      </c>
      <c r="AN137" s="15" t="n">
        <v>167</v>
      </c>
      <c r="AO137" s="36" t="s">
        <v>2519</v>
      </c>
      <c r="AP137" s="36" t="s">
        <v>2416</v>
      </c>
      <c r="AQ137" s="36" t="s">
        <v>2769</v>
      </c>
      <c r="AR137" s="37" t="n">
        <f aca="false">Activities!P1456-Activities!Q1454</f>
        <v>-5</v>
      </c>
      <c r="AS137" s="37" t="n">
        <f aca="false">IF(Activities!K1451=0,0,Activities!Q1457-Activities!P1451)</f>
        <v>86</v>
      </c>
    </row>
    <row r="138" customFormat="false" ht="15" hidden="false" customHeight="false" outlineLevel="0" collapsed="false">
      <c r="A138" s="15" t="s">
        <v>1293</v>
      </c>
      <c r="B138" s="29" t="s">
        <v>1294</v>
      </c>
      <c r="C138" s="15" t="s">
        <v>400</v>
      </c>
      <c r="D138" s="15" t="s">
        <v>2770</v>
      </c>
      <c r="E138" s="15" t="s">
        <v>2518</v>
      </c>
      <c r="F138" s="15" t="n">
        <v>28</v>
      </c>
      <c r="G138" s="15" t="s">
        <v>2367</v>
      </c>
      <c r="H138" s="15" t="s">
        <v>317</v>
      </c>
      <c r="I138" s="35" t="n">
        <f aca="false">MAX(Structures!$H$13)</f>
        <v>0</v>
      </c>
      <c r="J138" s="15"/>
      <c r="K138" s="16" t="n">
        <v>0</v>
      </c>
      <c r="L138" s="15" t="s">
        <v>358</v>
      </c>
      <c r="M138" s="15" t="n">
        <v>0</v>
      </c>
      <c r="N138" s="30" t="n">
        <f aca="false">_xlfn.MAXIFS('Piece check'!$E$6:$E$1643,'Piece check'!$B$6:$B$1643,B138)</f>
        <v>0.999986104738115</v>
      </c>
      <c r="O138" s="31" t="n">
        <f aca="false">SUMIFS('Piece check'!$D$6:$D$1643,'Piece check'!$B$6:$B$1643,B138)</f>
        <v>5.99999999994433</v>
      </c>
      <c r="P138" s="32" t="n">
        <v>-4.08999305236906</v>
      </c>
      <c r="Q138" s="32" t="n">
        <v>-4.08999305236906</v>
      </c>
      <c r="R138" s="30" t="n">
        <f aca="false">_xlfn.MINIFS('Piece check'!$K$6:$K$1643,'Piece check'!$B$6:$B$1643,B138)</f>
        <v>-4.08999305236906</v>
      </c>
      <c r="S138" s="18" t="n">
        <f aca="false">MAX(0,GWL-R138)</f>
        <v>2.58999305236906</v>
      </c>
      <c r="T138" s="18" t="n">
        <f aca="false">MAX(0,NG-R138)</f>
        <v>3.38999305236906</v>
      </c>
      <c r="U138" s="31" t="n">
        <f aca="false">SUMIFS('Piece check'!$R$6:$R$1643,'Piece check'!$B$6:$B$1643,B138)</f>
        <v>5.99999999994433</v>
      </c>
      <c r="V138" s="21" t="n">
        <f aca="false">O138-U138</f>
        <v>0</v>
      </c>
      <c r="W138" s="12" t="str">
        <f aca="false">IF(U138&lt;0.05,"Open cut",IF(V138&lt;0.05,"Sheet piles","Mixed: "&amp;TEXT(U138,"0")&amp;" m sheet piles"))</f>
        <v>Sheet piles</v>
      </c>
      <c r="X138" s="33" t="n">
        <f aca="false">SUMIFS('Piece check'!$V$6:$V$1643,'Piece check'!$B$6:$B$1643,B138)</f>
        <v>61.0195923130294</v>
      </c>
      <c r="Y138" s="33" t="n">
        <f aca="false">SUMIFS('Piece check'!$W$6:$W$1643,'Piece check'!$B$6:$B$1643,B138)</f>
        <v>0</v>
      </c>
      <c r="Z138" s="33" t="n">
        <f aca="false">SUMIFS('Piece check'!$X$6:$X$1643,'Piece check'!$B$6:$B$1643,B138)</f>
        <v>5.99995831415868</v>
      </c>
      <c r="AA138" s="33" t="n">
        <f aca="false">SUMIFS('Piece check'!$Y$6:$Y$1643,'Piece check'!$B$6:$B$1643,B138)</f>
        <v>4.71225802149286</v>
      </c>
      <c r="AB138" s="20" t="n">
        <f aca="false">MAX(0,X138+Y138-Z138-AA138)</f>
        <v>50.3073759773779</v>
      </c>
      <c r="AC138" s="20" t="n">
        <f aca="false">(ROUNDUP(O138/PILE_SP,0)+1)*IF(N138&gt;=PILE_THR,PILE_N_LARGE,PILE_N_SMALL)</f>
        <v>3</v>
      </c>
      <c r="AD138" s="20" t="n">
        <f aca="false">2*U138</f>
        <v>11.9999999998887</v>
      </c>
      <c r="AE138" s="34" t="n">
        <f aca="false">IF(U138&gt;0,ROUNDUP(T138*SHEET_RATIO,0),0)</f>
        <v>7</v>
      </c>
      <c r="AF138" s="20" t="n">
        <f aca="false">AD138*AE138</f>
        <v>83.9999999992207</v>
      </c>
      <c r="AG138" s="18" t="n">
        <f aca="false">MAX(0,GWL-(R138-DD_BELOW))</f>
        <v>3.08999305236906</v>
      </c>
      <c r="AH138" s="12" t="str">
        <f aca="false">IF(AG138=0,"Not required",IF(AG138&lt;=WP_LIMIT,"Single-stage wellpoints","Deep wells or two-stage wellpoints"))</f>
        <v>Single-stage wellpoints</v>
      </c>
      <c r="AI138" s="30" t="n">
        <f aca="false">MIN(_xlfn.MINIFS('Piece check'!$Z$6:$Z$1643,'Piece check'!$B$6:$B$1643,B138),_xlfn.MINIFS('Piece check'!$AA$6:$AA$1643,'Piece check'!$B$6:$B$1643,B138))</f>
        <v>3.02767291971882</v>
      </c>
      <c r="AJ138" s="30" t="n">
        <f aca="false">MIN(_xlfn.MINIFS('Piece check'!$AB$6:$AB$1643,'Piece check'!$B$6:$B$1643,B138),_xlfn.MINIFS('Piece check'!$AC$6:$AC$1643,'Piece check'!$B$6:$B$1643,B138))</f>
        <v>6.99930099836554</v>
      </c>
      <c r="AK138" s="12" t="str">
        <f aca="false">IF(AJ138&lt;FOS_FLOT,"Anchor pipe to piled slab (permanent straps)",IF(AI138&lt;FOS_FLOT,"Keep dewatering on until fill reaches FL, or strap to slab","No extra measure"))</f>
        <v>No extra measure</v>
      </c>
      <c r="AL138" s="35" t="n">
        <f aca="false">Activities!P1459</f>
        <v>46502</v>
      </c>
      <c r="AM138" s="35" t="n">
        <f aca="false">Activities!Q1468</f>
        <v>46598</v>
      </c>
      <c r="AN138" s="15" t="n">
        <v>168</v>
      </c>
      <c r="AO138" s="36" t="s">
        <v>2519</v>
      </c>
      <c r="AP138" s="36" t="s">
        <v>2622</v>
      </c>
      <c r="AQ138" s="36" t="s">
        <v>2771</v>
      </c>
      <c r="AR138" s="37" t="n">
        <f aca="false">Activities!P1467-Activities!Q1465</f>
        <v>-1</v>
      </c>
      <c r="AS138" s="37" t="n">
        <f aca="false">IF(Activities!K1462=0,0,Activities!Q1468-Activities!P1462)</f>
        <v>93</v>
      </c>
    </row>
    <row r="139" customFormat="false" ht="15" hidden="false" customHeight="false" outlineLevel="0" collapsed="false">
      <c r="A139" s="15" t="s">
        <v>1715</v>
      </c>
      <c r="B139" s="29" t="s">
        <v>1716</v>
      </c>
      <c r="C139" s="15" t="s">
        <v>400</v>
      </c>
      <c r="D139" s="15" t="s">
        <v>2772</v>
      </c>
      <c r="E139" s="15" t="s">
        <v>2518</v>
      </c>
      <c r="F139" s="15" t="n">
        <v>28</v>
      </c>
      <c r="G139" s="15" t="s">
        <v>2523</v>
      </c>
      <c r="H139" s="15" t="s">
        <v>2773</v>
      </c>
      <c r="I139" s="35" t="n">
        <f aca="false">MAX(Structures!$H$25,Structures!$H$13)</f>
        <v>0</v>
      </c>
      <c r="J139" s="15"/>
      <c r="K139" s="16" t="n">
        <v>0</v>
      </c>
      <c r="L139" s="15" t="s">
        <v>358</v>
      </c>
      <c r="M139" s="15" t="n">
        <v>8</v>
      </c>
      <c r="N139" s="30" t="n">
        <f aca="false">_xlfn.MAXIFS('Piece check'!$E$6:$E$1643,'Piece check'!$B$6:$B$1643,B139)</f>
        <v>1.60000671304295</v>
      </c>
      <c r="O139" s="31" t="n">
        <f aca="false">SUMIFS('Piece check'!$D$6:$D$1643,'Piece check'!$B$6:$B$1643,B139)</f>
        <v>38.29882416476</v>
      </c>
      <c r="P139" s="32" t="n">
        <v>0.810000124354877</v>
      </c>
      <c r="Q139" s="32" t="n">
        <v>-3.97999938569678</v>
      </c>
      <c r="R139" s="30" t="n">
        <f aca="false">_xlfn.MINIFS('Piece check'!$K$6:$K$1643,'Piece check'!$B$6:$B$1643,B139)</f>
        <v>-3.97999938569678</v>
      </c>
      <c r="S139" s="18" t="n">
        <f aca="false">MAX(0,GWL-R139)</f>
        <v>2.47999938569678</v>
      </c>
      <c r="T139" s="18" t="n">
        <f aca="false">MAX(0,NG-R139)</f>
        <v>3.27999938569678</v>
      </c>
      <c r="U139" s="31" t="n">
        <f aca="false">SUMIFS('Piece check'!$R$6:$R$1643,'Piece check'!$B$6:$B$1643,B139)</f>
        <v>0</v>
      </c>
      <c r="V139" s="21" t="n">
        <f aca="false">O139-U139</f>
        <v>38.29882416476</v>
      </c>
      <c r="W139" s="12" t="str">
        <f aca="false">IF(U139&lt;0.05,"Open cut",IF(V139&lt;0.05,"Sheet piles","Mixed: "&amp;TEXT(U139,"0")&amp;" m sheet piles"))</f>
        <v>Open cut</v>
      </c>
      <c r="X139" s="33" t="n">
        <f aca="false">SUMIFS('Piece check'!$V$6:$V$1643,'Piece check'!$B$6:$B$1643,B139)</f>
        <v>0</v>
      </c>
      <c r="Y139" s="33" t="n">
        <f aca="false">SUMIFS('Piece check'!$W$6:$W$1643,'Piece check'!$B$6:$B$1643,B139)</f>
        <v>988.52071724747</v>
      </c>
      <c r="Z139" s="33" t="n">
        <f aca="false">SUMIFS('Piece check'!$X$6:$X$1643,'Piece check'!$B$6:$B$1643,B139)</f>
        <v>45.0884261384289</v>
      </c>
      <c r="AA139" s="33" t="n">
        <f aca="false">SUMIFS('Piece check'!$Y$6:$Y$1643,'Piece check'!$B$6:$B$1643,B139)</f>
        <v>69.7350576814015</v>
      </c>
      <c r="AB139" s="20" t="n">
        <f aca="false">MAX(0,X139+Y139-Z139-AA139)</f>
        <v>873.69723342764</v>
      </c>
      <c r="AC139" s="20" t="n">
        <f aca="false">(ROUNDUP(O139/PILE_SP,0)+1)*IF(N139&gt;=PILE_THR,PILE_N_LARGE,PILE_N_SMALL)</f>
        <v>28</v>
      </c>
      <c r="AD139" s="20" t="n">
        <f aca="false">2*U139</f>
        <v>0</v>
      </c>
      <c r="AE139" s="34" t="n">
        <f aca="false">IF(U139&gt;0,ROUNDUP(T139*SHEET_RATIO,0),0)</f>
        <v>0</v>
      </c>
      <c r="AF139" s="20" t="n">
        <f aca="false">AD139*AE139</f>
        <v>0</v>
      </c>
      <c r="AG139" s="18" t="n">
        <f aca="false">MAX(0,GWL-(R139-DD_BELOW))</f>
        <v>2.97999938569678</v>
      </c>
      <c r="AH139" s="12" t="str">
        <f aca="false">IF(AG139=0,"Not required",IF(AG139&lt;=WP_LIMIT,"Single-stage wellpoints","Deep wells or two-stage wellpoints"))</f>
        <v>Single-stage wellpoints</v>
      </c>
      <c r="AI139" s="30" t="n">
        <f aca="false">MIN(_xlfn.MINIFS('Piece check'!$Z$6:$Z$1643,'Piece check'!$B$6:$B$1643,B139),_xlfn.MINIFS('Piece check'!$AA$6:$AA$1643,'Piece check'!$B$6:$B$1643,B139))</f>
        <v>0.280867347645053</v>
      </c>
      <c r="AJ139" s="30" t="n">
        <f aca="false">MIN(_xlfn.MINIFS('Piece check'!$AB$6:$AB$1643,'Piece check'!$B$6:$B$1643,B139),_xlfn.MINIFS('Piece check'!$AC$6:$AC$1643,'Piece check'!$B$6:$B$1643,B139))</f>
        <v>2.76309248460524</v>
      </c>
      <c r="AK139" s="12" t="str">
        <f aca="false">IF(AJ139&lt;FOS_FLOT,"Anchor pipe to piled slab (permanent straps)",IF(AI139&lt;FOS_FLOT,"Keep dewatering on until fill reaches FL, or strap to slab","No extra measure"))</f>
        <v>Keep dewatering on until fill reaches FL, or strap to slab</v>
      </c>
      <c r="AL139" s="35" t="n">
        <f aca="false">Activities!P1470</f>
        <v>46357</v>
      </c>
      <c r="AM139" s="35" t="n">
        <f aca="false">Activities!Q1479</f>
        <v>46598</v>
      </c>
      <c r="AN139" s="15" t="n">
        <v>169</v>
      </c>
      <c r="AO139" s="36" t="s">
        <v>2525</v>
      </c>
      <c r="AP139" s="36" t="s">
        <v>2774</v>
      </c>
      <c r="AQ139" s="36" t="s">
        <v>2775</v>
      </c>
      <c r="AR139" s="37" t="n">
        <f aca="false">Activities!P1478-Activities!Q1476</f>
        <v>45</v>
      </c>
      <c r="AS139" s="37" t="n">
        <f aca="false">IF(Activities!K1473=0,0,Activities!Q1479-Activities!P1473)</f>
        <v>237</v>
      </c>
    </row>
    <row r="140" customFormat="false" ht="15" hidden="false" customHeight="false" outlineLevel="0" collapsed="false">
      <c r="A140" s="15" t="s">
        <v>1293</v>
      </c>
      <c r="B140" s="29" t="s">
        <v>1330</v>
      </c>
      <c r="C140" s="15" t="s">
        <v>400</v>
      </c>
      <c r="D140" s="15" t="s">
        <v>2776</v>
      </c>
      <c r="E140" s="15" t="s">
        <v>2518</v>
      </c>
      <c r="F140" s="15" t="n">
        <v>28</v>
      </c>
      <c r="G140" s="15" t="s">
        <v>2362</v>
      </c>
      <c r="H140" s="15"/>
      <c r="I140" s="16" t="n">
        <v>0</v>
      </c>
      <c r="J140" s="15"/>
      <c r="K140" s="16" t="n">
        <v>0</v>
      </c>
      <c r="L140" s="15" t="s">
        <v>358</v>
      </c>
      <c r="M140" s="15" t="n">
        <v>3</v>
      </c>
      <c r="N140" s="30" t="n">
        <f aca="false">_xlfn.MAXIFS('Piece check'!$E$6:$E$1643,'Piece check'!$B$6:$B$1643,B140)</f>
        <v>1.20000170371348</v>
      </c>
      <c r="O140" s="31" t="n">
        <f aca="false">SUMIFS('Piece check'!$D$6:$D$1643,'Piece check'!$B$6:$B$1643,B140)</f>
        <v>36.14029042333</v>
      </c>
      <c r="P140" s="32" t="n">
        <v>-4.0899957816246</v>
      </c>
      <c r="Q140" s="32" t="n">
        <v>-4.19000085185674</v>
      </c>
      <c r="R140" s="30" t="n">
        <f aca="false">_xlfn.MINIFS('Piece check'!$K$6:$K$1643,'Piece check'!$B$6:$B$1643,B140)</f>
        <v>-4.19000085185674</v>
      </c>
      <c r="S140" s="18" t="n">
        <f aca="false">MAX(0,GWL-R140)</f>
        <v>2.69000085185674</v>
      </c>
      <c r="T140" s="18" t="n">
        <f aca="false">MAX(0,NG-R140)</f>
        <v>3.49000085185674</v>
      </c>
      <c r="U140" s="31" t="n">
        <f aca="false">SUMIFS('Piece check'!$R$6:$R$1643,'Piece check'!$B$6:$B$1643,B140)</f>
        <v>36.14029042333</v>
      </c>
      <c r="V140" s="21" t="n">
        <f aca="false">O140-U140</f>
        <v>0</v>
      </c>
      <c r="W140" s="12" t="str">
        <f aca="false">IF(U140&lt;0.05,"Open cut",IF(V140&lt;0.05,"Sheet piles","Mixed: "&amp;TEXT(U140,"0")&amp;" m sheet piles"))</f>
        <v>Sheet piles</v>
      </c>
      <c r="X140" s="33" t="n">
        <f aca="false">SUMIFS('Piece check'!$V$6:$V$1643,'Piece check'!$B$6:$B$1643,B140)</f>
        <v>370.216993400476</v>
      </c>
      <c r="Y140" s="33" t="n">
        <f aca="false">SUMIFS('Piece check'!$W$6:$W$1643,'Piece check'!$B$6:$B$1643,B140)</f>
        <v>0</v>
      </c>
      <c r="Z140" s="33" t="n">
        <f aca="false">SUMIFS('Piece check'!$X$6:$X$1643,'Piece check'!$B$6:$B$1643,B140)</f>
        <v>36.4078492404389</v>
      </c>
      <c r="AA140" s="33" t="n">
        <f aca="false">SUMIFS('Piece check'!$Y$6:$Y$1643,'Piece check'!$B$6:$B$1643,B140)</f>
        <v>29.309139017747</v>
      </c>
      <c r="AB140" s="20" t="n">
        <f aca="false">MAX(0,X140+Y140-Z140-AA140)</f>
        <v>304.50000514229</v>
      </c>
      <c r="AC140" s="20" t="n">
        <f aca="false">(ROUNDUP(O140/PILE_SP,0)+1)*IF(N140&gt;=PILE_THR,PILE_N_LARGE,PILE_N_SMALL)</f>
        <v>28</v>
      </c>
      <c r="AD140" s="20" t="n">
        <f aca="false">2*U140</f>
        <v>72.2805808466599</v>
      </c>
      <c r="AE140" s="34" t="n">
        <f aca="false">IF(U140&gt;0,ROUNDUP(T140*SHEET_RATIO,0),0)</f>
        <v>7</v>
      </c>
      <c r="AF140" s="20" t="n">
        <f aca="false">AD140*AE140</f>
        <v>505.96406592662</v>
      </c>
      <c r="AG140" s="18" t="n">
        <f aca="false">MAX(0,GWL-(R140-DD_BELOW))</f>
        <v>3.19000085185674</v>
      </c>
      <c r="AH140" s="12" t="str">
        <f aca="false">IF(AG140=0,"Not required",IF(AG140&lt;=WP_LIMIT,"Single-stage wellpoints","Deep wells or two-stage wellpoints"))</f>
        <v>Single-stage wellpoints</v>
      </c>
      <c r="AI140" s="30" t="n">
        <f aca="false">MIN(_xlfn.MINIFS('Piece check'!$Z$6:$Z$1643,'Piece check'!$B$6:$B$1643,B140),_xlfn.MINIFS('Piece check'!$AA$6:$AA$1643,'Piece check'!$B$6:$B$1643,B140))</f>
        <v>2.43443369232919</v>
      </c>
      <c r="AJ140" s="30" t="n">
        <f aca="false">MIN(_xlfn.MINIFS('Piece check'!$AB$6:$AB$1643,'Piece check'!$B$6:$B$1643,B140),_xlfn.MINIFS('Piece check'!$AC$6:$AC$1643,'Piece check'!$B$6:$B$1643,B140))</f>
        <v>5.74407306996021</v>
      </c>
      <c r="AK140" s="12" t="str">
        <f aca="false">IF(AJ140&lt;FOS_FLOT,"Anchor pipe to piled slab (permanent straps)",IF(AI140&lt;FOS_FLOT,"Keep dewatering on until fill reaches FL, or strap to slab","No extra measure"))</f>
        <v>No extra measure</v>
      </c>
      <c r="AL140" s="35" t="n">
        <f aca="false">Activities!P1481</f>
        <v>46502</v>
      </c>
      <c r="AM140" s="35" t="n">
        <f aca="false">Activities!Q1490</f>
        <v>46602</v>
      </c>
      <c r="AN140" s="15" t="n">
        <v>171</v>
      </c>
      <c r="AO140" s="36" t="s">
        <v>2777</v>
      </c>
      <c r="AP140" s="36" t="s">
        <v>2765</v>
      </c>
      <c r="AQ140" s="36" t="s">
        <v>2778</v>
      </c>
      <c r="AR140" s="37" t="n">
        <f aca="false">Activities!P1489-Activities!Q1487</f>
        <v>-4</v>
      </c>
      <c r="AS140" s="37" t="n">
        <f aca="false">IF(Activities!K1484=0,0,Activities!Q1490-Activities!P1484)</f>
        <v>85</v>
      </c>
    </row>
    <row r="141" customFormat="false" ht="15" hidden="false" customHeight="false" outlineLevel="0" collapsed="false">
      <c r="A141" s="15" t="s">
        <v>1293</v>
      </c>
      <c r="B141" s="29" t="s">
        <v>1328</v>
      </c>
      <c r="C141" s="15" t="s">
        <v>400</v>
      </c>
      <c r="D141" s="15" t="s">
        <v>2779</v>
      </c>
      <c r="E141" s="15" t="s">
        <v>2518</v>
      </c>
      <c r="F141" s="15" t="n">
        <v>28</v>
      </c>
      <c r="G141" s="15" t="s">
        <v>2367</v>
      </c>
      <c r="H141" s="15" t="s">
        <v>319</v>
      </c>
      <c r="I141" s="35" t="n">
        <f aca="false">MAX(Structures!$H$14)</f>
        <v>0</v>
      </c>
      <c r="J141" s="15"/>
      <c r="K141" s="16" t="n">
        <v>0</v>
      </c>
      <c r="L141" s="15" t="s">
        <v>358</v>
      </c>
      <c r="M141" s="15" t="n">
        <v>0</v>
      </c>
      <c r="N141" s="30" t="n">
        <f aca="false">_xlfn.MAXIFS('Piece check'!$E$6:$E$1643,'Piece check'!$B$6:$B$1643,B141)</f>
        <v>0.999991563249202</v>
      </c>
      <c r="O141" s="31" t="n">
        <f aca="false">SUMIFS('Piece check'!$D$6:$D$1643,'Piece check'!$B$6:$B$1643,B141)</f>
        <v>5.99999999951064</v>
      </c>
      <c r="P141" s="32" t="n">
        <v>-4.0899957816246</v>
      </c>
      <c r="Q141" s="32" t="n">
        <v>-4.0899957816246</v>
      </c>
      <c r="R141" s="30" t="n">
        <f aca="false">_xlfn.MINIFS('Piece check'!$K$6:$K$1643,'Piece check'!$B$6:$B$1643,B141)</f>
        <v>-4.0899957816246</v>
      </c>
      <c r="S141" s="18" t="n">
        <f aca="false">MAX(0,GWL-R141)</f>
        <v>2.5899957816246</v>
      </c>
      <c r="T141" s="18" t="n">
        <f aca="false">MAX(0,NG-R141)</f>
        <v>3.3899957816246</v>
      </c>
      <c r="U141" s="31" t="n">
        <f aca="false">SUMIFS('Piece check'!$R$6:$R$1643,'Piece check'!$B$6:$B$1643,B141)</f>
        <v>5.99999999951064</v>
      </c>
      <c r="V141" s="21" t="n">
        <f aca="false">O141-U141</f>
        <v>0</v>
      </c>
      <c r="W141" s="12" t="str">
        <f aca="false">IF(U141&lt;0.05,"Open cut",IF(V141&lt;0.05,"Sheet piles","Mixed: "&amp;TEXT(U141,"0")&amp;" m sheet piles"))</f>
        <v>Sheet piles</v>
      </c>
      <c r="X141" s="33" t="n">
        <f aca="false">SUMIFS('Piece check'!$V$6:$V$1643,'Piece check'!$B$6:$B$1643,B141)</f>
        <v>61.0197524609683</v>
      </c>
      <c r="Y141" s="33" t="n">
        <f aca="false">SUMIFS('Piece check'!$W$6:$W$1643,'Piece check'!$B$6:$B$1643,B141)</f>
        <v>0</v>
      </c>
      <c r="Z141" s="33" t="n">
        <f aca="false">SUMIFS('Piece check'!$X$6:$X$1643,'Piece check'!$B$6:$B$1643,B141)</f>
        <v>5.99997468925825</v>
      </c>
      <c r="AA141" s="33" t="n">
        <f aca="false">SUMIFS('Piece check'!$Y$6:$Y$1643,'Piece check'!$B$6:$B$1643,B141)</f>
        <v>4.71230946583279</v>
      </c>
      <c r="AB141" s="20" t="n">
        <f aca="false">MAX(0,X141+Y141-Z141-AA141)</f>
        <v>50.3074683058773</v>
      </c>
      <c r="AC141" s="20" t="n">
        <f aca="false">(ROUNDUP(O141/PILE_SP,0)+1)*IF(N141&gt;=PILE_THR,PILE_N_LARGE,PILE_N_SMALL)</f>
        <v>3</v>
      </c>
      <c r="AD141" s="20" t="n">
        <f aca="false">2*U141</f>
        <v>11.9999999990213</v>
      </c>
      <c r="AE141" s="34" t="n">
        <f aca="false">IF(U141&gt;0,ROUNDUP(T141*SHEET_RATIO,0),0)</f>
        <v>7</v>
      </c>
      <c r="AF141" s="20" t="n">
        <f aca="false">AD141*AE141</f>
        <v>83.999999993149</v>
      </c>
      <c r="AG141" s="18" t="n">
        <f aca="false">MAX(0,GWL-(R141-DD_BELOW))</f>
        <v>3.0899957816246</v>
      </c>
      <c r="AH141" s="12" t="str">
        <f aca="false">IF(AG141=0,"Not required",IF(AG141&lt;=WP_LIMIT,"Single-stage wellpoints","Deep wells or two-stage wellpoints"))</f>
        <v>Single-stage wellpoints</v>
      </c>
      <c r="AI141" s="30" t="n">
        <f aca="false">MIN(_xlfn.MINIFS('Piece check'!$Z$6:$Z$1643,'Piece check'!$B$6:$B$1643,B141),_xlfn.MINIFS('Piece check'!$AA$6:$AA$1643,'Piece check'!$B$6:$B$1643,B141))</f>
        <v>3.0276534918252</v>
      </c>
      <c r="AJ141" s="30" t="n">
        <f aca="false">MIN(_xlfn.MINIFS('Piece check'!$AB$6:$AB$1643,'Piece check'!$B$6:$B$1643,B141),_xlfn.MINIFS('Piece check'!$AC$6:$AC$1643,'Piece check'!$B$6:$B$1643,B141))</f>
        <v>6.99925989111311</v>
      </c>
      <c r="AK141" s="12" t="str">
        <f aca="false">IF(AJ141&lt;FOS_FLOT,"Anchor pipe to piled slab (permanent straps)",IF(AI141&lt;FOS_FLOT,"Keep dewatering on until fill reaches FL, or strap to slab","No extra measure"))</f>
        <v>No extra measure</v>
      </c>
      <c r="AL141" s="35" t="n">
        <f aca="false">Activities!P1492</f>
        <v>46512</v>
      </c>
      <c r="AM141" s="35" t="n">
        <f aca="false">Activities!Q1501</f>
        <v>46607</v>
      </c>
      <c r="AN141" s="15" t="n">
        <v>172</v>
      </c>
      <c r="AO141" s="36" t="s">
        <v>2519</v>
      </c>
      <c r="AP141" s="36" t="s">
        <v>2780</v>
      </c>
      <c r="AQ141" s="36" t="s">
        <v>2781</v>
      </c>
      <c r="AR141" s="37" t="n">
        <f aca="false">Activities!P1500-Activities!Q1498</f>
        <v>-1</v>
      </c>
      <c r="AS141" s="37" t="n">
        <f aca="false">IF(Activities!K1495=0,0,Activities!Q1501-Activities!P1495)</f>
        <v>92</v>
      </c>
    </row>
    <row r="142" customFormat="false" ht="15" hidden="false" customHeight="false" outlineLevel="0" collapsed="false">
      <c r="A142" s="15" t="s">
        <v>1731</v>
      </c>
      <c r="B142" s="29" t="s">
        <v>1732</v>
      </c>
      <c r="C142" s="15" t="s">
        <v>400</v>
      </c>
      <c r="D142" s="15" t="s">
        <v>2782</v>
      </c>
      <c r="E142" s="15" t="s">
        <v>2518</v>
      </c>
      <c r="F142" s="15" t="n">
        <v>28</v>
      </c>
      <c r="G142" s="15" t="s">
        <v>2523</v>
      </c>
      <c r="H142" s="15" t="s">
        <v>2783</v>
      </c>
      <c r="I142" s="35" t="n">
        <f aca="false">MAX(Structures!$H$25,Structures!$H$14)</f>
        <v>0</v>
      </c>
      <c r="J142" s="15"/>
      <c r="K142" s="16" t="n">
        <v>0</v>
      </c>
      <c r="L142" s="15" t="s">
        <v>358</v>
      </c>
      <c r="M142" s="15" t="n">
        <v>8</v>
      </c>
      <c r="N142" s="30" t="n">
        <f aca="false">_xlfn.MAXIFS('Piece check'!$E$6:$E$1643,'Piece check'!$B$6:$B$1643,B142)</f>
        <v>1.60000419098066</v>
      </c>
      <c r="O142" s="31" t="n">
        <f aca="false">SUMIFS('Piece check'!$D$6:$D$1643,'Piece check'!$B$6:$B$1643,B142)</f>
        <v>38.1765969386905</v>
      </c>
      <c r="P142" s="32" t="n">
        <v>0.810001035433176</v>
      </c>
      <c r="Q142" s="32" t="n">
        <v>-3.97999896457397</v>
      </c>
      <c r="R142" s="30" t="n">
        <f aca="false">_xlfn.MINIFS('Piece check'!$K$6:$K$1643,'Piece check'!$B$6:$B$1643,B142)</f>
        <v>-3.97999896479205</v>
      </c>
      <c r="S142" s="18" t="n">
        <f aca="false">MAX(0,GWL-R142)</f>
        <v>2.47999896479205</v>
      </c>
      <c r="T142" s="18" t="n">
        <f aca="false">MAX(0,NG-R142)</f>
        <v>3.27999896479205</v>
      </c>
      <c r="U142" s="31" t="n">
        <f aca="false">SUMIFS('Piece check'!$R$6:$R$1643,'Piece check'!$B$6:$B$1643,B142)</f>
        <v>0</v>
      </c>
      <c r="V142" s="21" t="n">
        <f aca="false">O142-U142</f>
        <v>38.1765969386905</v>
      </c>
      <c r="W142" s="12" t="str">
        <f aca="false">IF(U142&lt;0.05,"Open cut",IF(V142&lt;0.05,"Sheet piles","Mixed: "&amp;TEXT(U142,"0")&amp;" m sheet piles"))</f>
        <v>Open cut</v>
      </c>
      <c r="X142" s="33" t="n">
        <f aca="false">SUMIFS('Piece check'!$V$6:$V$1643,'Piece check'!$B$6:$B$1643,B142)</f>
        <v>0</v>
      </c>
      <c r="Y142" s="33" t="n">
        <f aca="false">SUMIFS('Piece check'!$W$6:$W$1643,'Piece check'!$B$6:$B$1643,B142)</f>
        <v>988.3715913052</v>
      </c>
      <c r="Z142" s="33" t="n">
        <f aca="false">SUMIFS('Piece check'!$X$6:$X$1643,'Piece check'!$B$6:$B$1643,B142)</f>
        <v>45.0547191687858</v>
      </c>
      <c r="AA142" s="33" t="n">
        <f aca="false">SUMIFS('Piece check'!$Y$6:$Y$1643,'Piece check'!$B$6:$B$1643,B142)</f>
        <v>69.6829124508677</v>
      </c>
      <c r="AB142" s="20" t="n">
        <f aca="false">MAX(0,X142+Y142-Z142-AA142)</f>
        <v>873.633959685546</v>
      </c>
      <c r="AC142" s="20" t="n">
        <f aca="false">(ROUNDUP(O142/PILE_SP,0)+1)*IF(N142&gt;=PILE_THR,PILE_N_LARGE,PILE_N_SMALL)</f>
        <v>28</v>
      </c>
      <c r="AD142" s="20" t="n">
        <f aca="false">2*U142</f>
        <v>0</v>
      </c>
      <c r="AE142" s="34" t="n">
        <f aca="false">IF(U142&gt;0,ROUNDUP(T142*SHEET_RATIO,0),0)</f>
        <v>0</v>
      </c>
      <c r="AF142" s="20" t="n">
        <f aca="false">AD142*AE142</f>
        <v>0</v>
      </c>
      <c r="AG142" s="18" t="n">
        <f aca="false">MAX(0,GWL-(R142-DD_BELOW))</f>
        <v>2.97999896479205</v>
      </c>
      <c r="AH142" s="12" t="str">
        <f aca="false">IF(AG142=0,"Not required",IF(AG142&lt;=WP_LIMIT,"Single-stage wellpoints","Deep wells or two-stage wellpoints"))</f>
        <v>Single-stage wellpoints</v>
      </c>
      <c r="AI142" s="30" t="n">
        <f aca="false">MIN(_xlfn.MINIFS('Piece check'!$Z$6:$Z$1643,'Piece check'!$B$6:$B$1643,B142),_xlfn.MINIFS('Piece check'!$AA$6:$AA$1643,'Piece check'!$B$6:$B$1643,B142))</f>
        <v>0.276575383923218</v>
      </c>
      <c r="AJ142" s="30" t="n">
        <f aca="false">MIN(_xlfn.MINIFS('Piece check'!$AB$6:$AB$1643,'Piece check'!$B$6:$B$1643,B142),_xlfn.MINIFS('Piece check'!$AC$6:$AC$1643,'Piece check'!$B$6:$B$1643,B142))</f>
        <v>2.75880193946757</v>
      </c>
      <c r="AK142" s="12" t="str">
        <f aca="false">IF(AJ142&lt;FOS_FLOT,"Anchor pipe to piled slab (permanent straps)",IF(AI142&lt;FOS_FLOT,"Keep dewatering on until fill reaches FL, or strap to slab","No extra measure"))</f>
        <v>Keep dewatering on until fill reaches FL, or strap to slab</v>
      </c>
      <c r="AL142" s="35" t="n">
        <f aca="false">Activities!P1503</f>
        <v>46357</v>
      </c>
      <c r="AM142" s="35" t="n">
        <f aca="false">Activities!Q1512</f>
        <v>46607</v>
      </c>
      <c r="AN142" s="15" t="n">
        <v>173</v>
      </c>
      <c r="AO142" s="36" t="s">
        <v>2556</v>
      </c>
      <c r="AP142" s="36" t="s">
        <v>2784</v>
      </c>
      <c r="AQ142" s="36" t="s">
        <v>2785</v>
      </c>
      <c r="AR142" s="37" t="n">
        <f aca="false">Activities!P1511-Activities!Q1509</f>
        <v>58</v>
      </c>
      <c r="AS142" s="37" t="n">
        <f aca="false">IF(Activities!K1506=0,0,Activities!Q1512-Activities!P1506)</f>
        <v>246</v>
      </c>
    </row>
    <row r="143" customFormat="false" ht="15" hidden="false" customHeight="false" outlineLevel="0" collapsed="false">
      <c r="A143" s="15" t="s">
        <v>819</v>
      </c>
      <c r="B143" s="29" t="s">
        <v>845</v>
      </c>
      <c r="C143" s="15" t="s">
        <v>403</v>
      </c>
      <c r="D143" s="15" t="s">
        <v>2786</v>
      </c>
      <c r="E143" s="15" t="s">
        <v>2361</v>
      </c>
      <c r="F143" s="15" t="n">
        <v>28</v>
      </c>
      <c r="G143" s="15" t="s">
        <v>2362</v>
      </c>
      <c r="H143" s="15"/>
      <c r="I143" s="16" t="n">
        <v>0</v>
      </c>
      <c r="J143" s="15"/>
      <c r="K143" s="16" t="n">
        <v>0</v>
      </c>
      <c r="L143" s="15" t="s">
        <v>358</v>
      </c>
      <c r="M143" s="15" t="n">
        <v>0</v>
      </c>
      <c r="N143" s="30" t="n">
        <f aca="false">_xlfn.MAXIFS('Piece check'!$E$6:$E$1643,'Piece check'!$B$6:$B$1643,B143)</f>
        <v>2.06960331200568</v>
      </c>
      <c r="O143" s="31" t="n">
        <f aca="false">SUMIFS('Piece check'!$D$6:$D$1643,'Piece check'!$B$6:$B$1643,B143)</f>
        <v>42.100000000171</v>
      </c>
      <c r="P143" s="32" t="n">
        <v>-6.33809306594672</v>
      </c>
      <c r="Q143" s="32" t="n">
        <v>-6.17889786864859</v>
      </c>
      <c r="R143" s="30" t="n">
        <f aca="false">_xlfn.MINIFS('Piece check'!$K$6:$K$1643,'Piece check'!$B$6:$B$1643,B143)</f>
        <v>-6.33809306594672</v>
      </c>
      <c r="S143" s="18" t="n">
        <f aca="false">MAX(0,GWL-R143)</f>
        <v>4.83809306594672</v>
      </c>
      <c r="T143" s="18" t="n">
        <f aca="false">MAX(0,NG-R143)</f>
        <v>5.63809306594672</v>
      </c>
      <c r="U143" s="31" t="n">
        <f aca="false">SUMIFS('Piece check'!$R$6:$R$1643,'Piece check'!$B$6:$B$1643,B143)</f>
        <v>42.100000000171</v>
      </c>
      <c r="V143" s="21" t="n">
        <f aca="false">O143-U143</f>
        <v>0</v>
      </c>
      <c r="W143" s="12" t="str">
        <f aca="false">IF(U143&lt;0.05,"Open cut",IF(V143&lt;0.05,"Sheet piles","Mixed: "&amp;TEXT(U143,"0")&amp;" m sheet piles"))</f>
        <v>Sheet piles</v>
      </c>
      <c r="X143" s="33" t="n">
        <f aca="false">SUMIFS('Piece check'!$V$6:$V$1643,'Piece check'!$B$6:$B$1643,B143)</f>
        <v>952.338692826171</v>
      </c>
      <c r="Y143" s="33" t="n">
        <f aca="false">SUMIFS('Piece check'!$W$6:$W$1643,'Piece check'!$B$6:$B$1643,B143)</f>
        <v>0</v>
      </c>
      <c r="Z143" s="33" t="n">
        <f aca="false">SUMIFS('Piece check'!$X$6:$X$1643,'Piece check'!$B$6:$B$1643,B143)</f>
        <v>64.615149717982</v>
      </c>
      <c r="AA143" s="33" t="n">
        <f aca="false">SUMIFS('Piece check'!$Y$6:$Y$1643,'Piece check'!$B$6:$B$1643,B143)</f>
        <v>141.627046563239</v>
      </c>
      <c r="AB143" s="20" t="n">
        <f aca="false">MAX(0,X143+Y143-Z143-AA143)</f>
        <v>746.09649654495</v>
      </c>
      <c r="AC143" s="20" t="n">
        <f aca="false">(ROUNDUP(O143/PILE_SP,0)+1)*IF(N143&gt;=PILE_THR,PILE_N_LARGE,PILE_N_SMALL)</f>
        <v>32</v>
      </c>
      <c r="AD143" s="20" t="n">
        <f aca="false">2*U143</f>
        <v>84.200000000342</v>
      </c>
      <c r="AE143" s="34" t="n">
        <f aca="false">IF(U143&gt;0,ROUNDUP(T143*SHEET_RATIO,0),0)</f>
        <v>12</v>
      </c>
      <c r="AF143" s="20" t="n">
        <f aca="false">AD143*AE143</f>
        <v>1010.4000000041</v>
      </c>
      <c r="AG143" s="18" t="n">
        <f aca="false">MAX(0,GWL-(R143-DD_BELOW))</f>
        <v>5.33809306594672</v>
      </c>
      <c r="AH143" s="12" t="str">
        <f aca="false">IF(AG143=0,"Not required",IF(AG143&lt;=WP_LIMIT,"Single-stage wellpoints","Deep wells or two-stage wellpoints"))</f>
        <v>Deep wells or two-stage wellpoints</v>
      </c>
      <c r="AI143" s="30" t="n">
        <f aca="false">MIN(_xlfn.MINIFS('Piece check'!$Z$6:$Z$1643,'Piece check'!$B$6:$B$1643,B143),_xlfn.MINIFS('Piece check'!$AA$6:$AA$1643,'Piece check'!$B$6:$B$1643,B143))</f>
        <v>1.98642559557221</v>
      </c>
      <c r="AJ143" s="30" t="n">
        <f aca="false">MIN(_xlfn.MINIFS('Piece check'!$AB$6:$AB$1643,'Piece check'!$B$6:$B$1643,B143),_xlfn.MINIFS('Piece check'!$AC$6:$AC$1643,'Piece check'!$B$6:$B$1643,B143))</f>
        <v>3.90542759406899</v>
      </c>
      <c r="AK143" s="12" t="str">
        <f aca="false">IF(AJ143&lt;FOS_FLOT,"Anchor pipe to piled slab (permanent straps)",IF(AI143&lt;FOS_FLOT,"Keep dewatering on until fill reaches FL, or strap to slab","No extra measure"))</f>
        <v>No extra measure</v>
      </c>
      <c r="AL143" s="35" t="n">
        <f aca="false">Activities!P1514</f>
        <v>46357</v>
      </c>
      <c r="AM143" s="35" t="n">
        <f aca="false">Activities!Q1523</f>
        <v>46403</v>
      </c>
      <c r="AN143" s="15" t="n">
        <v>30</v>
      </c>
      <c r="AO143" s="36" t="s">
        <v>2567</v>
      </c>
      <c r="AP143" s="36" t="s">
        <v>2787</v>
      </c>
      <c r="AQ143" s="36" t="s">
        <v>2788</v>
      </c>
      <c r="AR143" s="37" t="n">
        <f aca="false">Activities!P1522-Activities!Q1520</f>
        <v>11</v>
      </c>
      <c r="AS143" s="37" t="n">
        <f aca="false">IF(Activities!K1517=0,0,Activities!Q1523-Activities!P1517)</f>
        <v>40</v>
      </c>
    </row>
    <row r="144" customFormat="false" ht="15" hidden="false" customHeight="false" outlineLevel="0" collapsed="false">
      <c r="A144" s="15" t="s">
        <v>1594</v>
      </c>
      <c r="B144" s="29" t="s">
        <v>1627</v>
      </c>
      <c r="C144" s="15" t="s">
        <v>403</v>
      </c>
      <c r="D144" s="15" t="s">
        <v>2789</v>
      </c>
      <c r="E144" s="15" t="s">
        <v>2518</v>
      </c>
      <c r="F144" s="15" t="n">
        <v>28</v>
      </c>
      <c r="G144" s="15" t="s">
        <v>2362</v>
      </c>
      <c r="H144" s="15"/>
      <c r="I144" s="16" t="n">
        <v>0</v>
      </c>
      <c r="J144" s="15"/>
      <c r="K144" s="16" t="n">
        <v>0</v>
      </c>
      <c r="L144" s="15" t="s">
        <v>358</v>
      </c>
      <c r="M144" s="15" t="n">
        <v>4</v>
      </c>
      <c r="N144" s="30" t="n">
        <f aca="false">_xlfn.MAXIFS('Piece check'!$E$6:$E$1643,'Piece check'!$B$6:$B$1643,B144)</f>
        <v>0.999999697752163</v>
      </c>
      <c r="O144" s="31" t="n">
        <f aca="false">SUMIFS('Piece check'!$D$6:$D$1643,'Piece check'!$B$6:$B$1643,B144)</f>
        <v>64.0999999996194</v>
      </c>
      <c r="P144" s="32" t="n">
        <v>-4.10695136204246</v>
      </c>
      <c r="Q144" s="32" t="n">
        <v>-5.39837331329786</v>
      </c>
      <c r="R144" s="30" t="n">
        <f aca="false">_xlfn.MINIFS('Piece check'!$K$6:$K$1643,'Piece check'!$B$6:$B$1643,B144)</f>
        <v>-5.39837331329786</v>
      </c>
      <c r="S144" s="18" t="n">
        <f aca="false">MAX(0,GWL-R144)</f>
        <v>3.89837331329786</v>
      </c>
      <c r="T144" s="18" t="n">
        <f aca="false">MAX(0,NG-R144)</f>
        <v>4.69837331329786</v>
      </c>
      <c r="U144" s="31" t="n">
        <f aca="false">SUMIFS('Piece check'!$R$6:$R$1643,'Piece check'!$B$6:$B$1643,B144)</f>
        <v>64.0999999996194</v>
      </c>
      <c r="V144" s="21" t="n">
        <f aca="false">O144-U144</f>
        <v>0</v>
      </c>
      <c r="W144" s="12" t="str">
        <f aca="false">IF(U144&lt;0.05,"Open cut",IF(V144&lt;0.05,"Sheet piles","Mixed: "&amp;TEXT(U144,"0")&amp;" m sheet piles"))</f>
        <v>Sheet piles</v>
      </c>
      <c r="X144" s="33" t="n">
        <f aca="false">SUMIFS('Piece check'!$V$6:$V$1643,'Piece check'!$B$6:$B$1643,B144)</f>
        <v>790.479302293375</v>
      </c>
      <c r="Y144" s="33" t="n">
        <f aca="false">SUMIFS('Piece check'!$W$6:$W$1643,'Piece check'!$B$6:$B$1643,B144)</f>
        <v>0</v>
      </c>
      <c r="Z144" s="33" t="n">
        <f aca="false">SUMIFS('Piece check'!$X$6:$X$1643,'Piece check'!$B$6:$B$1643,B144)</f>
        <v>64.0957034222908</v>
      </c>
      <c r="AA144" s="33" t="n">
        <f aca="false">SUMIFS('Piece check'!$Y$6:$Y$1643,'Piece check'!$B$6:$B$1643,B144)</f>
        <v>50.3305494138179</v>
      </c>
      <c r="AB144" s="20" t="n">
        <f aca="false">MAX(0,X144+Y144-Z144-AA144)</f>
        <v>676.053049457267</v>
      </c>
      <c r="AC144" s="20" t="n">
        <f aca="false">(ROUNDUP(O144/PILE_SP,0)+1)*IF(N144&gt;=PILE_THR,PILE_N_LARGE,PILE_N_SMALL)</f>
        <v>23</v>
      </c>
      <c r="AD144" s="20" t="n">
        <f aca="false">2*U144</f>
        <v>128.199999999239</v>
      </c>
      <c r="AE144" s="34" t="n">
        <f aca="false">IF(U144&gt;0,ROUNDUP(T144*SHEET_RATIO,0),0)</f>
        <v>10</v>
      </c>
      <c r="AF144" s="20" t="n">
        <f aca="false">AD144*AE144</f>
        <v>1281.99999999239</v>
      </c>
      <c r="AG144" s="18" t="n">
        <f aca="false">MAX(0,GWL-(R144-DD_BELOW))</f>
        <v>4.39837331329786</v>
      </c>
      <c r="AH144" s="12" t="str">
        <f aca="false">IF(AG144=0,"Not required",IF(AG144&lt;=WP_LIMIT,"Single-stage wellpoints","Deep wells or two-stage wellpoints"))</f>
        <v>Single-stage wellpoints</v>
      </c>
      <c r="AI144" s="30" t="n">
        <f aca="false">MIN(_xlfn.MINIFS('Piece check'!$Z$6:$Z$1643,'Piece check'!$B$6:$B$1643,B144),_xlfn.MINIFS('Piece check'!$AA$6:$AA$1643,'Piece check'!$B$6:$B$1643,B144))</f>
        <v>3.0487034358265</v>
      </c>
      <c r="AJ144" s="30" t="n">
        <f aca="false">MIN(_xlfn.MINIFS('Piece check'!$AB$6:$AB$1643,'Piece check'!$B$6:$B$1643,B144),_xlfn.MINIFS('Piece check'!$AC$6:$AC$1643,'Piece check'!$B$6:$B$1643,B144))</f>
        <v>7.02027752806063</v>
      </c>
      <c r="AK144" s="12" t="str">
        <f aca="false">IF(AJ144&lt;FOS_FLOT,"Anchor pipe to piled slab (permanent straps)",IF(AI144&lt;FOS_FLOT,"Keep dewatering on until fill reaches FL, or strap to slab","No extra measure"))</f>
        <v>No extra measure</v>
      </c>
      <c r="AL144" s="35" t="n">
        <f aca="false">Activities!P1525</f>
        <v>46358</v>
      </c>
      <c r="AM144" s="35" t="n">
        <f aca="false">Activities!Q1534</f>
        <v>46407</v>
      </c>
      <c r="AN144" s="15" t="n">
        <v>31</v>
      </c>
      <c r="AO144" s="36" t="s">
        <v>2564</v>
      </c>
      <c r="AP144" s="36" t="s">
        <v>2416</v>
      </c>
      <c r="AQ144" s="36" t="s">
        <v>2790</v>
      </c>
      <c r="AR144" s="37" t="n">
        <f aca="false">Activities!P1533-Activities!Q1531</f>
        <v>4</v>
      </c>
      <c r="AS144" s="37" t="n">
        <f aca="false">IF(Activities!K1528=0,0,Activities!Q1534-Activities!P1528)</f>
        <v>35</v>
      </c>
    </row>
    <row r="145" customFormat="false" ht="15" hidden="false" customHeight="false" outlineLevel="0" collapsed="false">
      <c r="A145" s="15" t="s">
        <v>1460</v>
      </c>
      <c r="B145" s="29" t="s">
        <v>1480</v>
      </c>
      <c r="C145" s="15" t="s">
        <v>403</v>
      </c>
      <c r="D145" s="15" t="s">
        <v>2791</v>
      </c>
      <c r="E145" s="15" t="s">
        <v>2361</v>
      </c>
      <c r="F145" s="15" t="n">
        <v>28</v>
      </c>
      <c r="G145" s="15" t="s">
        <v>2362</v>
      </c>
      <c r="H145" s="15"/>
      <c r="I145" s="16" t="n">
        <v>0</v>
      </c>
      <c r="J145" s="15"/>
      <c r="K145" s="16" t="n">
        <v>0</v>
      </c>
      <c r="L145" s="15" t="s">
        <v>358</v>
      </c>
      <c r="M145" s="15" t="n">
        <v>2</v>
      </c>
      <c r="N145" s="30" t="n">
        <f aca="false">_xlfn.MAXIFS('Piece check'!$E$6:$E$1643,'Piece check'!$B$6:$B$1643,B145)</f>
        <v>2.04120774750846</v>
      </c>
      <c r="O145" s="31" t="n">
        <f aca="false">SUMIFS('Piece check'!$D$6:$D$1643,'Piece check'!$B$6:$B$1643,B145)</f>
        <v>32.2696090840908</v>
      </c>
      <c r="P145" s="32" t="n">
        <v>-5.9205359500954</v>
      </c>
      <c r="Q145" s="32" t="n">
        <v>-5.60999737032576</v>
      </c>
      <c r="R145" s="30" t="n">
        <f aca="false">_xlfn.MINIFS('Piece check'!$K$6:$K$1643,'Piece check'!$B$6:$B$1643,B145)</f>
        <v>-5.92060387375423</v>
      </c>
      <c r="S145" s="18" t="n">
        <f aca="false">MAX(0,GWL-R145)</f>
        <v>4.42060387375423</v>
      </c>
      <c r="T145" s="18" t="n">
        <f aca="false">MAX(0,NG-R145)</f>
        <v>5.22060387375423</v>
      </c>
      <c r="U145" s="31" t="n">
        <f aca="false">SUMIFS('Piece check'!$R$6:$R$1643,'Piece check'!$B$6:$B$1643,B145)</f>
        <v>32.2696090840908</v>
      </c>
      <c r="V145" s="21" t="n">
        <f aca="false">O145-U145</f>
        <v>0</v>
      </c>
      <c r="W145" s="12" t="str">
        <f aca="false">IF(U145&lt;0.05,"Open cut",IF(V145&lt;0.05,"Sheet piles","Mixed: "&amp;TEXT(U145,"0")&amp;" m sheet piles"))</f>
        <v>Sheet piles</v>
      </c>
      <c r="X145" s="33" t="n">
        <f aca="false">SUMIFS('Piece check'!$V$6:$V$1643,'Piece check'!$B$6:$B$1643,B145)</f>
        <v>673.10688214501</v>
      </c>
      <c r="Y145" s="33" t="n">
        <f aca="false">SUMIFS('Piece check'!$W$6:$W$1643,'Piece check'!$B$6:$B$1643,B145)</f>
        <v>0</v>
      </c>
      <c r="Z145" s="33" t="n">
        <f aca="false">SUMIFS('Piece check'!$X$6:$X$1643,'Piece check'!$B$6:$B$1643,B145)</f>
        <v>48.5136846704863</v>
      </c>
      <c r="AA145" s="33" t="n">
        <f aca="false">SUMIFS('Piece check'!$Y$6:$Y$1643,'Piece check'!$B$6:$B$1643,B145)</f>
        <v>102.575847212546</v>
      </c>
      <c r="AB145" s="20" t="n">
        <f aca="false">MAX(0,X145+Y145-Z145-AA145)</f>
        <v>522.017350261978</v>
      </c>
      <c r="AC145" s="20" t="n">
        <f aca="false">(ROUNDUP(O145/PILE_SP,0)+1)*IF(N145&gt;=PILE_THR,PILE_N_LARGE,PILE_N_SMALL)</f>
        <v>24</v>
      </c>
      <c r="AD145" s="20" t="n">
        <f aca="false">2*U145</f>
        <v>64.5392181681817</v>
      </c>
      <c r="AE145" s="34" t="n">
        <f aca="false">IF(U145&gt;0,ROUNDUP(T145*SHEET_RATIO,0),0)</f>
        <v>11</v>
      </c>
      <c r="AF145" s="20" t="n">
        <f aca="false">AD145*AE145</f>
        <v>709.931399849998</v>
      </c>
      <c r="AG145" s="18" t="n">
        <f aca="false">MAX(0,GWL-(R145-DD_BELOW))</f>
        <v>4.92060387375423</v>
      </c>
      <c r="AH145" s="12" t="str">
        <f aca="false">IF(AG145=0,"Not required",IF(AG145&lt;=WP_LIMIT,"Single-stage wellpoints","Deep wells or two-stage wellpoints"))</f>
        <v>Deep wells or two-stage wellpoints</v>
      </c>
      <c r="AI145" s="30" t="n">
        <f aca="false">MIN(_xlfn.MINIFS('Piece check'!$Z$6:$Z$1643,'Piece check'!$B$6:$B$1643,B145),_xlfn.MINIFS('Piece check'!$AA$6:$AA$1643,'Piece check'!$B$6:$B$1643,B145))</f>
        <v>1.89433711880761</v>
      </c>
      <c r="AJ145" s="30" t="n">
        <f aca="false">MIN(_xlfn.MINIFS('Piece check'!$AB$6:$AB$1643,'Piece check'!$B$6:$B$1643,B145),_xlfn.MINIFS('Piece check'!$AC$6:$AC$1643,'Piece check'!$B$6:$B$1643,B145))</f>
        <v>3.84003465825808</v>
      </c>
      <c r="AK145" s="12" t="str">
        <f aca="false">IF(AJ145&lt;FOS_FLOT,"Anchor pipe to piled slab (permanent straps)",IF(AI145&lt;FOS_FLOT,"Keep dewatering on until fill reaches FL, or strap to slab","No extra measure"))</f>
        <v>No extra measure</v>
      </c>
      <c r="AL145" s="35" t="n">
        <f aca="false">Activities!P1536</f>
        <v>46367</v>
      </c>
      <c r="AM145" s="35" t="n">
        <f aca="false">Activities!Q1545</f>
        <v>46410</v>
      </c>
      <c r="AN145" s="15" t="n">
        <v>32</v>
      </c>
      <c r="AO145" s="36" t="s">
        <v>2792</v>
      </c>
      <c r="AP145" s="36" t="s">
        <v>2793</v>
      </c>
      <c r="AQ145" s="36" t="s">
        <v>2794</v>
      </c>
      <c r="AR145" s="37" t="n">
        <f aca="false">Activities!P1544-Activities!Q1542</f>
        <v>0</v>
      </c>
      <c r="AS145" s="37" t="n">
        <f aca="false">IF(Activities!K1539=0,0,Activities!Q1545-Activities!P1539)</f>
        <v>32</v>
      </c>
    </row>
    <row r="146" customFormat="false" ht="15" hidden="false" customHeight="false" outlineLevel="0" collapsed="false">
      <c r="A146" s="15" t="s">
        <v>1460</v>
      </c>
      <c r="B146" s="29" t="s">
        <v>1488</v>
      </c>
      <c r="C146" s="15" t="s">
        <v>403</v>
      </c>
      <c r="D146" s="15" t="s">
        <v>2795</v>
      </c>
      <c r="E146" s="15" t="s">
        <v>2361</v>
      </c>
      <c r="F146" s="15" t="n">
        <v>28</v>
      </c>
      <c r="G146" s="15" t="s">
        <v>2362</v>
      </c>
      <c r="H146" s="15"/>
      <c r="I146" s="16" t="n">
        <v>0</v>
      </c>
      <c r="J146" s="15"/>
      <c r="K146" s="16" t="n">
        <v>0</v>
      </c>
      <c r="L146" s="15" t="s">
        <v>358</v>
      </c>
      <c r="M146" s="15" t="n">
        <v>0</v>
      </c>
      <c r="N146" s="30" t="n">
        <f aca="false">_xlfn.MAXIFS('Piece check'!$E$6:$E$1643,'Piece check'!$B$6:$B$1643,B146)</f>
        <v>2.04120445606693</v>
      </c>
      <c r="O146" s="31" t="n">
        <f aca="false">SUMIFS('Piece check'!$D$6:$D$1643,'Piece check'!$B$6:$B$1643,B146)</f>
        <v>37.1999999997898</v>
      </c>
      <c r="P146" s="32" t="n">
        <v>-5.92060222803347</v>
      </c>
      <c r="Q146" s="32" t="n">
        <v>-5.92060222803347</v>
      </c>
      <c r="R146" s="30" t="n">
        <f aca="false">_xlfn.MINIFS('Piece check'!$K$6:$K$1643,'Piece check'!$B$6:$B$1643,B146)</f>
        <v>-5.92060222803347</v>
      </c>
      <c r="S146" s="18" t="n">
        <f aca="false">MAX(0,GWL-R146)</f>
        <v>4.42060222803347</v>
      </c>
      <c r="T146" s="18" t="n">
        <f aca="false">MAX(0,NG-R146)</f>
        <v>5.22060222803347</v>
      </c>
      <c r="U146" s="31" t="n">
        <f aca="false">SUMIFS('Piece check'!$R$6:$R$1643,'Piece check'!$B$6:$B$1643,B146)</f>
        <v>37.1999999997898</v>
      </c>
      <c r="V146" s="21" t="n">
        <f aca="false">O146-U146</f>
        <v>0</v>
      </c>
      <c r="W146" s="12" t="str">
        <f aca="false">IF(U146&lt;0.05,"Open cut",IF(V146&lt;0.05,"Sheet piles","Mixed: "&amp;TEXT(U146,"0")&amp;" m sheet piles"))</f>
        <v>Sheet piles</v>
      </c>
      <c r="X146" s="33" t="n">
        <f aca="false">SUMIFS('Piece check'!$V$6:$V$1643,'Piece check'!$B$6:$B$1643,B146)</f>
        <v>784.827780722447</v>
      </c>
      <c r="Y146" s="33" t="n">
        <f aca="false">SUMIFS('Piece check'!$W$6:$W$1643,'Piece check'!$B$6:$B$1643,B146)</f>
        <v>0</v>
      </c>
      <c r="Z146" s="33" t="n">
        <f aca="false">SUMIFS('Piece check'!$X$6:$X$1643,'Piece check'!$B$6:$B$1643,B146)</f>
        <v>56.5664028825252</v>
      </c>
      <c r="AA146" s="33" t="n">
        <f aca="false">SUMIFS('Piece check'!$Y$6:$Y$1643,'Piece check'!$B$6:$B$1643,B146)</f>
        <v>121.732302558945</v>
      </c>
      <c r="AB146" s="20" t="n">
        <f aca="false">MAX(0,X146+Y146-Z146-AA146)</f>
        <v>606.529075280976</v>
      </c>
      <c r="AC146" s="20" t="n">
        <f aca="false">(ROUNDUP(O146/PILE_SP,0)+1)*IF(N146&gt;=PILE_THR,PILE_N_LARGE,PILE_N_SMALL)</f>
        <v>28</v>
      </c>
      <c r="AD146" s="20" t="n">
        <f aca="false">2*U146</f>
        <v>74.3999999995795</v>
      </c>
      <c r="AE146" s="34" t="n">
        <f aca="false">IF(U146&gt;0,ROUNDUP(T146*SHEET_RATIO,0),0)</f>
        <v>11</v>
      </c>
      <c r="AF146" s="20" t="n">
        <f aca="false">AD146*AE146</f>
        <v>818.399999995375</v>
      </c>
      <c r="AG146" s="18" t="n">
        <f aca="false">MAX(0,GWL-(R146-DD_BELOW))</f>
        <v>4.92060222803347</v>
      </c>
      <c r="AH146" s="12" t="str">
        <f aca="false">IF(AG146=0,"Not required",IF(AG146&lt;=WP_LIMIT,"Single-stage wellpoints","Deep wells or two-stage wellpoints"))</f>
        <v>Deep wells or two-stage wellpoints</v>
      </c>
      <c r="AI146" s="30" t="n">
        <f aca="false">MIN(_xlfn.MINIFS('Piece check'!$Z$6:$Z$1643,'Piece check'!$B$6:$B$1643,B146),_xlfn.MINIFS('Piece check'!$AA$6:$AA$1643,'Piece check'!$B$6:$B$1643,B146))</f>
        <v>1.8943410304529</v>
      </c>
      <c r="AJ146" s="30" t="n">
        <f aca="false">MIN(_xlfn.MINIFS('Piece check'!$AB$6:$AB$1643,'Piece check'!$B$6:$B$1643,B146),_xlfn.MINIFS('Piece check'!$AC$6:$AC$1643,'Piece check'!$B$6:$B$1643,B146))</f>
        <v>3.84004170734003</v>
      </c>
      <c r="AK146" s="12" t="str">
        <f aca="false">IF(AJ146&lt;FOS_FLOT,"Anchor pipe to piled slab (permanent straps)",IF(AI146&lt;FOS_FLOT,"Keep dewatering on until fill reaches FL, or strap to slab","No extra measure"))</f>
        <v>No extra measure</v>
      </c>
      <c r="AL146" s="35" t="n">
        <f aca="false">Activities!P1547</f>
        <v>46373</v>
      </c>
      <c r="AM146" s="35" t="n">
        <f aca="false">Activities!Q1556</f>
        <v>46419</v>
      </c>
      <c r="AN146" s="15" t="n">
        <v>33</v>
      </c>
      <c r="AO146" s="36" t="s">
        <v>2657</v>
      </c>
      <c r="AP146" s="36" t="s">
        <v>2796</v>
      </c>
      <c r="AQ146" s="36" t="s">
        <v>2797</v>
      </c>
      <c r="AR146" s="37" t="n">
        <f aca="false">Activities!P1555-Activities!Q1553</f>
        <v>-5</v>
      </c>
      <c r="AS146" s="37" t="n">
        <f aca="false">IF(Activities!K1550=0,0,Activities!Q1556-Activities!P1550)</f>
        <v>35</v>
      </c>
    </row>
    <row r="147" customFormat="false" ht="15" hidden="false" customHeight="false" outlineLevel="0" collapsed="false">
      <c r="A147" s="15" t="s">
        <v>819</v>
      </c>
      <c r="B147" s="29" t="s">
        <v>831</v>
      </c>
      <c r="C147" s="15" t="s">
        <v>403</v>
      </c>
      <c r="D147" s="15" t="s">
        <v>2798</v>
      </c>
      <c r="E147" s="15" t="s">
        <v>2361</v>
      </c>
      <c r="F147" s="15" t="n">
        <v>28</v>
      </c>
      <c r="G147" s="15" t="s">
        <v>2362</v>
      </c>
      <c r="H147" s="15"/>
      <c r="I147" s="16" t="n">
        <v>0</v>
      </c>
      <c r="J147" s="15"/>
      <c r="K147" s="16" t="n">
        <v>0</v>
      </c>
      <c r="L147" s="15" t="s">
        <v>358</v>
      </c>
      <c r="M147" s="15" t="n">
        <v>4</v>
      </c>
      <c r="N147" s="30" t="n">
        <f aca="false">_xlfn.MAXIFS('Piece check'!$E$6:$E$1643,'Piece check'!$B$6:$B$1643,B147)</f>
        <v>2.06966326311388</v>
      </c>
      <c r="O147" s="31" t="n">
        <f aca="false">SUMIFS('Piece check'!$D$6:$D$1643,'Piece check'!$B$6:$B$1643,B147)</f>
        <v>55.2000000000853</v>
      </c>
      <c r="P147" s="32" t="n">
        <v>-3.08096811874255</v>
      </c>
      <c r="Q147" s="32" t="n">
        <v>-6.33809306594672</v>
      </c>
      <c r="R147" s="30" t="n">
        <f aca="false">_xlfn.MINIFS('Piece check'!$K$6:$K$1643,'Piece check'!$B$6:$B$1643,B147)</f>
        <v>-6.46480165600284</v>
      </c>
      <c r="S147" s="18" t="n">
        <f aca="false">MAX(0,GWL-R147)</f>
        <v>4.96480165600284</v>
      </c>
      <c r="T147" s="18" t="n">
        <f aca="false">MAX(0,NG-R147)</f>
        <v>5.76480165600284</v>
      </c>
      <c r="U147" s="31" t="n">
        <f aca="false">SUMIFS('Piece check'!$R$6:$R$1643,'Piece check'!$B$6:$B$1643,B147)</f>
        <v>41.300000000109</v>
      </c>
      <c r="V147" s="21" t="n">
        <f aca="false">O147-U147</f>
        <v>13.8999999999763</v>
      </c>
      <c r="W147" s="12" t="str">
        <f aca="false">IF(U147&lt;0.05,"Open cut",IF(V147&lt;0.05,"Sheet piles","Mixed: "&amp;TEXT(U147,"0")&amp;" m sheet piles"))</f>
        <v>Mixed: 41 m sheet piles</v>
      </c>
      <c r="X147" s="33" t="n">
        <f aca="false">SUMIFS('Piece check'!$V$6:$V$1643,'Piece check'!$B$6:$B$1643,B147)</f>
        <v>919.397609771577</v>
      </c>
      <c r="Y147" s="33" t="n">
        <f aca="false">SUMIFS('Piece check'!$W$6:$W$1643,'Piece check'!$B$6:$B$1643,B147)</f>
        <v>302.467602281984</v>
      </c>
      <c r="Z147" s="33" t="n">
        <f aca="false">SUMIFS('Piece check'!$X$6:$X$1643,'Piece check'!$B$6:$B$1643,B147)</f>
        <v>84.7212910549889</v>
      </c>
      <c r="AA147" s="33" t="n">
        <f aca="false">SUMIFS('Piece check'!$Y$6:$Y$1643,'Piece check'!$B$6:$B$1643,B147)</f>
        <v>185.69782822772</v>
      </c>
      <c r="AB147" s="20" t="n">
        <f aca="false">MAX(0,X147+Y147-Z147-AA147)</f>
        <v>951.446092770853</v>
      </c>
      <c r="AC147" s="20" t="n">
        <f aca="false">(ROUNDUP(O147/PILE_SP,0)+1)*IF(N147&gt;=PILE_THR,PILE_N_LARGE,PILE_N_SMALL)</f>
        <v>40</v>
      </c>
      <c r="AD147" s="20" t="n">
        <f aca="false">2*U147</f>
        <v>82.600000000218</v>
      </c>
      <c r="AE147" s="34" t="n">
        <f aca="false">IF(U147&gt;0,ROUNDUP(T147*SHEET_RATIO,0),0)</f>
        <v>12</v>
      </c>
      <c r="AF147" s="20" t="n">
        <f aca="false">AD147*AE147</f>
        <v>991.200000002616</v>
      </c>
      <c r="AG147" s="18" t="n">
        <f aca="false">MAX(0,GWL-(R147-DD_BELOW))</f>
        <v>5.46480165600284</v>
      </c>
      <c r="AH147" s="12" t="str">
        <f aca="false">IF(AG147=0,"Not required",IF(AG147&lt;=WP_LIMIT,"Single-stage wellpoints","Deep wells or two-stage wellpoints"))</f>
        <v>Deep wells or two-stage wellpoints</v>
      </c>
      <c r="AI147" s="30" t="n">
        <f aca="false">MIN(_xlfn.MINIFS('Piece check'!$Z$6:$Z$1643,'Piece check'!$B$6:$B$1643,B147),_xlfn.MINIFS('Piece check'!$AA$6:$AA$1643,'Piece check'!$B$6:$B$1643,B147))</f>
        <v>0</v>
      </c>
      <c r="AJ147" s="30" t="n">
        <f aca="false">MIN(_xlfn.MINIFS('Piece check'!$AB$6:$AB$1643,'Piece check'!$B$6:$B$1643,B147),_xlfn.MINIFS('Piece check'!$AC$6:$AC$1643,'Piece check'!$B$6:$B$1643,B147))</f>
        <v>1.70606988832456</v>
      </c>
      <c r="AK147" s="12" t="str">
        <f aca="false">IF(AJ147&lt;FOS_FLOT,"Anchor pipe to piled slab (permanent straps)",IF(AI147&lt;FOS_FLOT,"Keep dewatering on until fill reaches FL, or strap to slab","No extra measure"))</f>
        <v>Keep dewatering on until fill reaches FL, or strap to slab</v>
      </c>
      <c r="AL147" s="35" t="n">
        <f aca="false">Activities!P1558</f>
        <v>46379</v>
      </c>
      <c r="AM147" s="35" t="n">
        <f aca="false">Activities!Q1567</f>
        <v>46459</v>
      </c>
      <c r="AN147" s="15" t="n">
        <v>34</v>
      </c>
      <c r="AO147" s="36" t="s">
        <v>2564</v>
      </c>
      <c r="AP147" s="36" t="s">
        <v>2799</v>
      </c>
      <c r="AQ147" s="36" t="s">
        <v>2800</v>
      </c>
      <c r="AR147" s="37" t="n">
        <f aca="false">Activities!P1566-Activities!Q1564</f>
        <v>22</v>
      </c>
      <c r="AS147" s="37" t="n">
        <f aca="false">IF(Activities!K1561=0,0,Activities!Q1567-Activities!P1561)</f>
        <v>68</v>
      </c>
    </row>
    <row r="148" customFormat="false" ht="15" hidden="false" customHeight="false" outlineLevel="0" collapsed="false">
      <c r="A148" s="15" t="s">
        <v>1594</v>
      </c>
      <c r="B148" s="29" t="s">
        <v>1673</v>
      </c>
      <c r="C148" s="15" t="s">
        <v>403</v>
      </c>
      <c r="D148" s="15" t="s">
        <v>2801</v>
      </c>
      <c r="E148" s="15" t="s">
        <v>2518</v>
      </c>
      <c r="F148" s="15" t="n">
        <v>28</v>
      </c>
      <c r="G148" s="15" t="s">
        <v>2362</v>
      </c>
      <c r="H148" s="15"/>
      <c r="I148" s="16" t="n">
        <v>0</v>
      </c>
      <c r="J148" s="15"/>
      <c r="K148" s="16" t="n">
        <v>0</v>
      </c>
      <c r="L148" s="15" t="s">
        <v>358</v>
      </c>
      <c r="M148" s="15" t="n">
        <v>1</v>
      </c>
      <c r="N148" s="30" t="n">
        <f aca="false">_xlfn.MAXIFS('Piece check'!$E$6:$E$1643,'Piece check'!$B$6:$B$1643,B148)</f>
        <v>1.40000152046147</v>
      </c>
      <c r="O148" s="31" t="n">
        <f aca="false">SUMIFS('Piece check'!$D$6:$D$1643,'Piece check'!$B$6:$B$1643,B148)</f>
        <v>14.5304815790273</v>
      </c>
      <c r="P148" s="32" t="n">
        <v>-5.59999759006555</v>
      </c>
      <c r="Q148" s="32" t="n">
        <v>-5.60000076023074</v>
      </c>
      <c r="R148" s="30" t="n">
        <f aca="false">_xlfn.MINIFS('Piece check'!$K$6:$K$1643,'Piece check'!$B$6:$B$1643,B148)</f>
        <v>-5.60000076023074</v>
      </c>
      <c r="S148" s="18" t="n">
        <f aca="false">MAX(0,GWL-R148)</f>
        <v>4.10000076023074</v>
      </c>
      <c r="T148" s="18" t="n">
        <f aca="false">MAX(0,NG-R148)</f>
        <v>4.90000076023074</v>
      </c>
      <c r="U148" s="31" t="n">
        <f aca="false">SUMIFS('Piece check'!$R$6:$R$1643,'Piece check'!$B$6:$B$1643,B148)</f>
        <v>14.5304815790273</v>
      </c>
      <c r="V148" s="21" t="n">
        <f aca="false">O148-U148</f>
        <v>0</v>
      </c>
      <c r="W148" s="12" t="str">
        <f aca="false">IF(U148&lt;0.05,"Open cut",IF(V148&lt;0.05,"Sheet piles","Mixed: "&amp;TEXT(U148,"0")&amp;" m sheet piles"))</f>
        <v>Sheet piles</v>
      </c>
      <c r="X148" s="33" t="n">
        <f aca="false">SUMIFS('Piece check'!$V$6:$V$1643,'Piece check'!$B$6:$B$1643,B148)</f>
        <v>242.077673225954</v>
      </c>
      <c r="Y148" s="33" t="n">
        <f aca="false">SUMIFS('Piece check'!$W$6:$W$1643,'Piece check'!$B$6:$B$1643,B148)</f>
        <v>0</v>
      </c>
      <c r="Z148" s="33" t="n">
        <f aca="false">SUMIFS('Piece check'!$X$6:$X$1643,'Piece check'!$B$6:$B$1643,B148)</f>
        <v>17.4365665402193</v>
      </c>
      <c r="AA148" s="33" t="n">
        <f aca="false">SUMIFS('Piece check'!$Y$6:$Y$1643,'Piece check'!$B$6:$B$1643,B148)</f>
        <v>22.3678886092845</v>
      </c>
      <c r="AB148" s="20" t="n">
        <f aca="false">MAX(0,X148+Y148-Z148-AA148)</f>
        <v>202.27321807645</v>
      </c>
      <c r="AC148" s="20" t="n">
        <f aca="false">(ROUNDUP(O148/PILE_SP,0)+1)*IF(N148&gt;=PILE_THR,PILE_N_LARGE,PILE_N_SMALL)</f>
        <v>12</v>
      </c>
      <c r="AD148" s="20" t="n">
        <f aca="false">2*U148</f>
        <v>29.0609631580545</v>
      </c>
      <c r="AE148" s="34" t="n">
        <f aca="false">IF(U148&gt;0,ROUNDUP(T148*SHEET_RATIO,0),0)</f>
        <v>10</v>
      </c>
      <c r="AF148" s="20" t="n">
        <f aca="false">AD148*AE148</f>
        <v>290.609631580545</v>
      </c>
      <c r="AG148" s="18" t="n">
        <f aca="false">MAX(0,GWL-(R148-DD_BELOW))</f>
        <v>4.60000076023074</v>
      </c>
      <c r="AH148" s="12" t="str">
        <f aca="false">IF(AG148=0,"Not required",IF(AG148&lt;=WP_LIMIT,"Single-stage wellpoints","Deep wells or two-stage wellpoints"))</f>
        <v>Deep wells or two-stage wellpoints</v>
      </c>
      <c r="AI148" s="30" t="n">
        <f aca="false">MIN(_xlfn.MINIFS('Piece check'!$Z$6:$Z$1643,'Piece check'!$B$6:$B$1643,B148),_xlfn.MINIFS('Piece check'!$AA$6:$AA$1643,'Piece check'!$B$6:$B$1643,B148))</f>
        <v>3.00537547737775</v>
      </c>
      <c r="AJ148" s="30" t="n">
        <f aca="false">MIN(_xlfn.MINIFS('Piece check'!$AB$6:$AB$1643,'Piece check'!$B$6:$B$1643,B148),_xlfn.MINIFS('Piece check'!$AC$6:$AC$1643,'Piece check'!$B$6:$B$1643,B148))</f>
        <v>5.84221017633246</v>
      </c>
      <c r="AK148" s="12" t="str">
        <f aca="false">IF(AJ148&lt;FOS_FLOT,"Anchor pipe to piled slab (permanent straps)",IF(AI148&lt;FOS_FLOT,"Keep dewatering on until fill reaches FL, or strap to slab","No extra measure"))</f>
        <v>No extra measure</v>
      </c>
      <c r="AL148" s="35" t="n">
        <f aca="false">Activities!P1569</f>
        <v>46386</v>
      </c>
      <c r="AM148" s="35" t="n">
        <f aca="false">Activities!Q1578</f>
        <v>46461</v>
      </c>
      <c r="AN148" s="15" t="n">
        <v>35</v>
      </c>
      <c r="AO148" s="36" t="s">
        <v>2703</v>
      </c>
      <c r="AP148" s="36" t="s">
        <v>2802</v>
      </c>
      <c r="AQ148" s="36" t="s">
        <v>2803</v>
      </c>
      <c r="AR148" s="37" t="n">
        <f aca="false">Activities!P1577-Activities!Q1575</f>
        <v>20</v>
      </c>
      <c r="AS148" s="37" t="n">
        <f aca="false">IF(Activities!K1572=0,0,Activities!Q1578-Activities!P1572)</f>
        <v>48</v>
      </c>
    </row>
    <row r="149" customFormat="false" ht="15" hidden="false" customHeight="false" outlineLevel="0" collapsed="false">
      <c r="A149" s="15" t="s">
        <v>1594</v>
      </c>
      <c r="B149" s="29" t="s">
        <v>1650</v>
      </c>
      <c r="C149" s="15" t="s">
        <v>403</v>
      </c>
      <c r="D149" s="15" t="s">
        <v>2804</v>
      </c>
      <c r="E149" s="15" t="s">
        <v>2518</v>
      </c>
      <c r="F149" s="15" t="n">
        <v>28</v>
      </c>
      <c r="G149" s="15" t="s">
        <v>2362</v>
      </c>
      <c r="H149" s="15"/>
      <c r="I149" s="16" t="n">
        <v>0</v>
      </c>
      <c r="J149" s="15"/>
      <c r="K149" s="16" t="n">
        <v>0</v>
      </c>
      <c r="L149" s="15" t="s">
        <v>358</v>
      </c>
      <c r="M149" s="15" t="n">
        <v>3</v>
      </c>
      <c r="N149" s="30" t="n">
        <f aca="false">_xlfn.MAXIFS('Piece check'!$E$6:$E$1643,'Piece check'!$B$6:$B$1643,B149)</f>
        <v>1.39999518013111</v>
      </c>
      <c r="O149" s="31" t="n">
        <f aca="false">SUMIFS('Piece check'!$D$6:$D$1643,'Piece check'!$B$6:$B$1643,B149)</f>
        <v>25.6650885602103</v>
      </c>
      <c r="P149" s="32" t="n">
        <v>-5.39999998178972</v>
      </c>
      <c r="Q149" s="32" t="n">
        <v>-5.3999976600325</v>
      </c>
      <c r="R149" s="30" t="n">
        <f aca="false">_xlfn.MINIFS('Piece check'!$K$6:$K$1643,'Piece check'!$B$6:$B$1643,B149)</f>
        <v>-5.59999759006555</v>
      </c>
      <c r="S149" s="18" t="n">
        <f aca="false">MAX(0,GWL-R149)</f>
        <v>4.09999759006555</v>
      </c>
      <c r="T149" s="18" t="n">
        <f aca="false">MAX(0,NG-R149)</f>
        <v>4.89999759006555</v>
      </c>
      <c r="U149" s="31" t="n">
        <f aca="false">SUMIFS('Piece check'!$R$6:$R$1643,'Piece check'!$B$6:$B$1643,B149)</f>
        <v>25.6650885602103</v>
      </c>
      <c r="V149" s="21" t="n">
        <f aca="false">O149-U149</f>
        <v>0</v>
      </c>
      <c r="W149" s="12" t="str">
        <f aca="false">IF(U149&lt;0.05,"Open cut",IF(V149&lt;0.05,"Sheet piles","Mixed: "&amp;TEXT(U149,"0")&amp;" m sheet piles"))</f>
        <v>Sheet piles</v>
      </c>
      <c r="X149" s="33" t="n">
        <f aca="false">SUMIFS('Piece check'!$V$6:$V$1643,'Piece check'!$B$6:$B$1643,B149)</f>
        <v>367.64212805367</v>
      </c>
      <c r="Y149" s="33" t="n">
        <f aca="false">SUMIFS('Piece check'!$W$6:$W$1643,'Piece check'!$B$6:$B$1643,B149)</f>
        <v>0</v>
      </c>
      <c r="Z149" s="33" t="n">
        <f aca="false">SUMIFS('Piece check'!$X$6:$X$1643,'Piece check'!$B$6:$B$1643,B149)</f>
        <v>26.1154307260399</v>
      </c>
      <c r="AA149" s="33" t="n">
        <f aca="false">SUMIFS('Piece check'!$Y$6:$Y$1643,'Piece check'!$B$6:$B$1643,B149)</f>
        <v>21.8550628084297</v>
      </c>
      <c r="AB149" s="20" t="n">
        <f aca="false">MAX(0,X149+Y149-Z149-AA149)</f>
        <v>319.6716345192</v>
      </c>
      <c r="AC149" s="20" t="n">
        <f aca="false">(ROUNDUP(O149/PILE_SP,0)+1)*IF(N149&gt;=PILE_THR,PILE_N_LARGE,PILE_N_SMALL)</f>
        <v>20</v>
      </c>
      <c r="AD149" s="20" t="n">
        <f aca="false">2*U149</f>
        <v>51.3301771204207</v>
      </c>
      <c r="AE149" s="34" t="n">
        <f aca="false">IF(U149&gt;0,ROUNDUP(T149*SHEET_RATIO,0),0)</f>
        <v>10</v>
      </c>
      <c r="AF149" s="20" t="n">
        <f aca="false">AD149*AE149</f>
        <v>513.301771204207</v>
      </c>
      <c r="AG149" s="18" t="n">
        <f aca="false">MAX(0,GWL-(R149-DD_BELOW))</f>
        <v>4.59999759006555</v>
      </c>
      <c r="AH149" s="12" t="str">
        <f aca="false">IF(AG149=0,"Not required",IF(AG149&lt;=WP_LIMIT,"Single-stage wellpoints","Deep wells or two-stage wellpoints"))</f>
        <v>Deep wells or two-stage wellpoints</v>
      </c>
      <c r="AI149" s="30" t="n">
        <f aca="false">MIN(_xlfn.MINIFS('Piece check'!$Z$6:$Z$1643,'Piece check'!$B$6:$B$1643,B149),_xlfn.MINIFS('Piece check'!$AA$6:$AA$1643,'Piece check'!$B$6:$B$1643,B149))</f>
        <v>3.00539149521501</v>
      </c>
      <c r="AJ149" s="30" t="n">
        <f aca="false">MIN(_xlfn.MINIFS('Piece check'!$AB$6:$AB$1643,'Piece check'!$B$6:$B$1643,B149),_xlfn.MINIFS('Piece check'!$AC$6:$AC$1643,'Piece check'!$B$6:$B$1643,B149))</f>
        <v>5.84223904169194</v>
      </c>
      <c r="AK149" s="12" t="str">
        <f aca="false">IF(AJ149&lt;FOS_FLOT,"Anchor pipe to piled slab (permanent straps)",IF(AI149&lt;FOS_FLOT,"Keep dewatering on until fill reaches FL, or strap to slab","No extra measure"))</f>
        <v>No extra measure</v>
      </c>
      <c r="AL149" s="35" t="n">
        <f aca="false">Activities!P1580</f>
        <v>46396</v>
      </c>
      <c r="AM149" s="35" t="n">
        <f aca="false">Activities!Q1589</f>
        <v>46464</v>
      </c>
      <c r="AN149" s="15" t="n">
        <v>36</v>
      </c>
      <c r="AO149" s="36" t="s">
        <v>2805</v>
      </c>
      <c r="AP149" s="36" t="s">
        <v>2806</v>
      </c>
      <c r="AQ149" s="36" t="s">
        <v>2807</v>
      </c>
      <c r="AR149" s="37" t="n">
        <f aca="false">Activities!P1588-Activities!Q1586</f>
        <v>15</v>
      </c>
      <c r="AS149" s="37" t="n">
        <f aca="false">IF(Activities!K1583=0,0,Activities!Q1589-Activities!P1583)</f>
        <v>49</v>
      </c>
    </row>
    <row r="150" customFormat="false" ht="15" hidden="false" customHeight="false" outlineLevel="0" collapsed="false">
      <c r="A150" s="15" t="s">
        <v>1594</v>
      </c>
      <c r="B150" s="29" t="s">
        <v>1642</v>
      </c>
      <c r="C150" s="15" t="s">
        <v>403</v>
      </c>
      <c r="D150" s="15" t="s">
        <v>2808</v>
      </c>
      <c r="E150" s="15" t="s">
        <v>2518</v>
      </c>
      <c r="F150" s="15" t="n">
        <v>28</v>
      </c>
      <c r="G150" s="15" t="s">
        <v>2362</v>
      </c>
      <c r="H150" s="15"/>
      <c r="I150" s="16" t="n">
        <v>0</v>
      </c>
      <c r="J150" s="15"/>
      <c r="K150" s="16" t="n">
        <v>0</v>
      </c>
      <c r="L150" s="15" t="s">
        <v>358</v>
      </c>
      <c r="M150" s="15" t="n">
        <v>2</v>
      </c>
      <c r="N150" s="30" t="n">
        <f aca="false">_xlfn.MAXIFS('Piece check'!$E$6:$E$1643,'Piece check'!$B$6:$B$1643,B150)</f>
        <v>0.999999963579439</v>
      </c>
      <c r="O150" s="31" t="n">
        <f aca="false">SUMIFS('Piece check'!$D$6:$D$1643,'Piece check'!$B$6:$B$1643,B150)</f>
        <v>36.9999999998321</v>
      </c>
      <c r="P150" s="32" t="n">
        <v>-5.39837331329786</v>
      </c>
      <c r="Q150" s="32" t="n">
        <v>-5.39999998178972</v>
      </c>
      <c r="R150" s="30" t="n">
        <f aca="false">_xlfn.MINIFS('Piece check'!$K$6:$K$1643,'Piece check'!$B$6:$B$1643,B150)</f>
        <v>-5.39999998178972</v>
      </c>
      <c r="S150" s="18" t="n">
        <f aca="false">MAX(0,GWL-R150)</f>
        <v>3.89999998178972</v>
      </c>
      <c r="T150" s="18" t="n">
        <f aca="false">MAX(0,NG-R150)</f>
        <v>4.69999998178972</v>
      </c>
      <c r="U150" s="31" t="n">
        <f aca="false">SUMIFS('Piece check'!$R$6:$R$1643,'Piece check'!$B$6:$B$1643,B150)</f>
        <v>36.9999999998321</v>
      </c>
      <c r="V150" s="21" t="n">
        <f aca="false">O150-U150</f>
        <v>0</v>
      </c>
      <c r="W150" s="12" t="str">
        <f aca="false">IF(U150&lt;0.05,"Open cut",IF(V150&lt;0.05,"Sheet piles","Mixed: "&amp;TEXT(U150,"0")&amp;" m sheet piles"))</f>
        <v>Sheet piles</v>
      </c>
      <c r="X150" s="33" t="n">
        <f aca="false">SUMIFS('Piece check'!$V$6:$V$1643,'Piece check'!$B$6:$B$1643,B150)</f>
        <v>521.695847622303</v>
      </c>
      <c r="Y150" s="33" t="n">
        <f aca="false">SUMIFS('Piece check'!$W$6:$W$1643,'Piece check'!$B$6:$B$1643,B150)</f>
        <v>0</v>
      </c>
      <c r="Z150" s="33" t="n">
        <f aca="false">SUMIFS('Piece check'!$X$6:$X$1643,'Piece check'!$B$6:$B$1643,B150)</f>
        <v>36.9999958253894</v>
      </c>
      <c r="AA150" s="33" t="n">
        <f aca="false">SUMIFS('Piece check'!$Y$6:$Y$1643,'Piece check'!$B$6:$B$1643,B150)</f>
        <v>29.0597189312049</v>
      </c>
      <c r="AB150" s="20" t="n">
        <f aca="false">MAX(0,X150+Y150-Z150-AA150)</f>
        <v>455.636132865709</v>
      </c>
      <c r="AC150" s="20" t="n">
        <f aca="false">(ROUNDUP(O150/PILE_SP,0)+1)*IF(N150&gt;=PILE_THR,PILE_N_LARGE,PILE_N_SMALL)</f>
        <v>14</v>
      </c>
      <c r="AD150" s="20" t="n">
        <f aca="false">2*U150</f>
        <v>73.9999999996643</v>
      </c>
      <c r="AE150" s="34" t="n">
        <f aca="false">IF(U150&gt;0,ROUNDUP(T150*SHEET_RATIO,0),0)</f>
        <v>10</v>
      </c>
      <c r="AF150" s="20" t="n">
        <f aca="false">AD150*AE150</f>
        <v>739.999999996643</v>
      </c>
      <c r="AG150" s="18" t="n">
        <f aca="false">MAX(0,GWL-(R150-DD_BELOW))</f>
        <v>4.39999998178972</v>
      </c>
      <c r="AH150" s="12" t="str">
        <f aca="false">IF(AG150=0,"Not required",IF(AG150&lt;=WP_LIMIT,"Single-stage wellpoints","Deep wells or two-stage wellpoints"))</f>
        <v>Single-stage wellpoints</v>
      </c>
      <c r="AI150" s="30" t="n">
        <f aca="false">MIN(_xlfn.MINIFS('Piece check'!$Z$6:$Z$1643,'Piece check'!$B$6:$B$1643,B150),_xlfn.MINIFS('Piece check'!$AA$6:$AA$1643,'Piece check'!$B$6:$B$1643,B150))</f>
        <v>4.41842736611313</v>
      </c>
      <c r="AJ150" s="30" t="n">
        <f aca="false">MIN(_xlfn.MINIFS('Piece check'!$AB$6:$AB$1643,'Piece check'!$B$6:$B$1643,B150),_xlfn.MINIFS('Piece check'!$AC$6:$AC$1643,'Piece check'!$B$6:$B$1643,B150))</f>
        <v>8.39002162844062</v>
      </c>
      <c r="AK150" s="12" t="str">
        <f aca="false">IF(AJ150&lt;FOS_FLOT,"Anchor pipe to piled slab (permanent straps)",IF(AI150&lt;FOS_FLOT,"Keep dewatering on until fill reaches FL, or strap to slab","No extra measure"))</f>
        <v>No extra measure</v>
      </c>
      <c r="AL150" s="35" t="n">
        <f aca="false">Activities!P1591</f>
        <v>46400</v>
      </c>
      <c r="AM150" s="35" t="n">
        <f aca="false">Activities!Q1600</f>
        <v>46479</v>
      </c>
      <c r="AN150" s="15" t="n">
        <v>37</v>
      </c>
      <c r="AO150" s="36" t="s">
        <v>2564</v>
      </c>
      <c r="AP150" s="36" t="s">
        <v>2809</v>
      </c>
      <c r="AQ150" s="36" t="s">
        <v>2810</v>
      </c>
      <c r="AR150" s="37" t="n">
        <f aca="false">Activities!P1599-Activities!Q1597</f>
        <v>21</v>
      </c>
      <c r="AS150" s="37" t="n">
        <f aca="false">IF(Activities!K1594=0,0,Activities!Q1600-Activities!P1594)</f>
        <v>61</v>
      </c>
    </row>
    <row r="151" customFormat="false" ht="15" hidden="false" customHeight="false" outlineLevel="0" collapsed="false">
      <c r="A151" s="15" t="s">
        <v>719</v>
      </c>
      <c r="B151" s="29" t="s">
        <v>799</v>
      </c>
      <c r="C151" s="15" t="s">
        <v>403</v>
      </c>
      <c r="D151" s="15" t="s">
        <v>2811</v>
      </c>
      <c r="E151" s="15" t="s">
        <v>2518</v>
      </c>
      <c r="F151" s="15" t="n">
        <v>28</v>
      </c>
      <c r="G151" s="15" t="s">
        <v>2362</v>
      </c>
      <c r="H151" s="15"/>
      <c r="I151" s="16" t="n">
        <v>0</v>
      </c>
      <c r="J151" s="15"/>
      <c r="K151" s="16" t="n">
        <v>0</v>
      </c>
      <c r="L151" s="15" t="s">
        <v>358</v>
      </c>
      <c r="M151" s="15" t="n">
        <v>2</v>
      </c>
      <c r="N151" s="30" t="n">
        <f aca="false">_xlfn.MAXIFS('Piece check'!$E$6:$E$1643,'Piece check'!$B$6:$B$1643,B151)</f>
        <v>1.20000332226483</v>
      </c>
      <c r="O151" s="31" t="n">
        <f aca="false">SUMIFS('Piece check'!$D$6:$D$1643,'Piece check'!$B$6:$B$1643,B151)</f>
        <v>40.8000724623066</v>
      </c>
      <c r="P151" s="32" t="n">
        <v>-2.89204658060097</v>
      </c>
      <c r="Q151" s="32" t="n">
        <v>-4.73762400604806</v>
      </c>
      <c r="R151" s="30" t="n">
        <f aca="false">_xlfn.MINIFS('Piece check'!$K$6:$K$1643,'Piece check'!$B$6:$B$1643,B151)</f>
        <v>-4.82000166113242</v>
      </c>
      <c r="S151" s="18" t="n">
        <f aca="false">MAX(0,GWL-R151)</f>
        <v>3.32000166113242</v>
      </c>
      <c r="T151" s="18" t="n">
        <f aca="false">MAX(0,NG-R151)</f>
        <v>4.12000166113242</v>
      </c>
      <c r="U151" s="31" t="n">
        <f aca="false">SUMIFS('Piece check'!$R$6:$R$1643,'Piece check'!$B$6:$B$1643,B151)</f>
        <v>39.5039824623606</v>
      </c>
      <c r="V151" s="21" t="n">
        <f aca="false">O151-U151</f>
        <v>1.29608999994604</v>
      </c>
      <c r="W151" s="12" t="str">
        <f aca="false">IF(U151&lt;0.05,"Open cut",IF(V151&lt;0.05,"Sheet piles","Mixed: "&amp;TEXT(U151,"0")&amp;" m sheet piles"))</f>
        <v>Mixed: 40 m sheet piles</v>
      </c>
      <c r="X151" s="33" t="n">
        <f aca="false">SUMIFS('Piece check'!$V$6:$V$1643,'Piece check'!$B$6:$B$1643,B151)</f>
        <v>507.868562494697</v>
      </c>
      <c r="Y151" s="33" t="n">
        <f aca="false">SUMIFS('Piece check'!$W$6:$W$1643,'Piece check'!$B$6:$B$1643,B151)</f>
        <v>25.2835059046815</v>
      </c>
      <c r="Z151" s="33" t="n">
        <f aca="false">SUMIFS('Piece check'!$X$6:$X$1643,'Piece check'!$B$6:$B$1643,B151)</f>
        <v>44.880132555306</v>
      </c>
      <c r="AA151" s="33" t="n">
        <f aca="false">SUMIFS('Piece check'!$Y$6:$Y$1643,'Piece check'!$B$6:$B$1643,B151)</f>
        <v>46.1439940769254</v>
      </c>
      <c r="AB151" s="20" t="n">
        <f aca="false">MAX(0,X151+Y151-Z151-AA151)</f>
        <v>442.127941767147</v>
      </c>
      <c r="AC151" s="20" t="n">
        <f aca="false">(ROUNDUP(O151/PILE_SP,0)+1)*IF(N151&gt;=PILE_THR,PILE_N_LARGE,PILE_N_SMALL)</f>
        <v>30</v>
      </c>
      <c r="AD151" s="20" t="n">
        <f aca="false">2*U151</f>
        <v>79.0079649247212</v>
      </c>
      <c r="AE151" s="34" t="n">
        <f aca="false">IF(U151&gt;0,ROUNDUP(T151*SHEET_RATIO,0),0)</f>
        <v>9</v>
      </c>
      <c r="AF151" s="20" t="n">
        <f aca="false">AD151*AE151</f>
        <v>711.071684322491</v>
      </c>
      <c r="AG151" s="18" t="n">
        <f aca="false">MAX(0,GWL-(R151-DD_BELOW))</f>
        <v>3.82000166113242</v>
      </c>
      <c r="AH151" s="12" t="str">
        <f aca="false">IF(AG151=0,"Not required",IF(AG151&lt;=WP_LIMIT,"Single-stage wellpoints","Deep wells or two-stage wellpoints"))</f>
        <v>Single-stage wellpoints</v>
      </c>
      <c r="AI151" s="30" t="n">
        <f aca="false">MIN(_xlfn.MINIFS('Piece check'!$Z$6:$Z$1643,'Piece check'!$B$6:$B$1643,B151),_xlfn.MINIFS('Piece check'!$AA$6:$AA$1643,'Piece check'!$B$6:$B$1643,B151))</f>
        <v>0.95795939167355</v>
      </c>
      <c r="AJ151" s="30" t="n">
        <f aca="false">MIN(_xlfn.MINIFS('Piece check'!$AB$6:$AB$1643,'Piece check'!$B$6:$B$1643,B151),_xlfn.MINIFS('Piece check'!$AC$6:$AC$1643,'Piece check'!$B$6:$B$1643,B151))</f>
        <v>4.26762232996599</v>
      </c>
      <c r="AK151" s="12" t="str">
        <f aca="false">IF(AJ151&lt;FOS_FLOT,"Anchor pipe to piled slab (permanent straps)",IF(AI151&lt;FOS_FLOT,"Keep dewatering on until fill reaches FL, or strap to slab","No extra measure"))</f>
        <v>Keep dewatering on until fill reaches FL, or strap to slab</v>
      </c>
      <c r="AL151" s="35" t="n">
        <f aca="false">Activities!P1602</f>
        <v>46405</v>
      </c>
      <c r="AM151" s="35" t="n">
        <f aca="false">Activities!Q1611</f>
        <v>46482</v>
      </c>
      <c r="AN151" s="15" t="n">
        <v>38</v>
      </c>
      <c r="AO151" s="36" t="s">
        <v>2564</v>
      </c>
      <c r="AP151" s="36" t="s">
        <v>2812</v>
      </c>
      <c r="AQ151" s="36" t="s">
        <v>2813</v>
      </c>
      <c r="AR151" s="37" t="n">
        <f aca="false">Activities!P1610-Activities!Q1608</f>
        <v>3</v>
      </c>
      <c r="AS151" s="37" t="n">
        <f aca="false">IF(Activities!K1605=0,0,Activities!Q1611-Activities!P1605)</f>
        <v>61</v>
      </c>
    </row>
    <row r="152" customFormat="false" ht="15" hidden="false" customHeight="false" outlineLevel="0" collapsed="false">
      <c r="A152" s="15" t="s">
        <v>1594</v>
      </c>
      <c r="B152" s="29" t="s">
        <v>1680</v>
      </c>
      <c r="C152" s="15" t="s">
        <v>403</v>
      </c>
      <c r="D152" s="15" t="s">
        <v>2814</v>
      </c>
      <c r="E152" s="15" t="s">
        <v>2518</v>
      </c>
      <c r="F152" s="15" t="n">
        <v>28</v>
      </c>
      <c r="G152" s="15" t="s">
        <v>2523</v>
      </c>
      <c r="H152" s="15" t="s">
        <v>2815</v>
      </c>
      <c r="I152" s="35" t="n">
        <f aca="false">MAX(Structures!$H$23,Structures!$H$23)</f>
        <v>0</v>
      </c>
      <c r="J152" s="15"/>
      <c r="K152" s="16" t="n">
        <v>0</v>
      </c>
      <c r="L152" s="15" t="s">
        <v>358</v>
      </c>
      <c r="M152" s="15" t="n">
        <v>0</v>
      </c>
      <c r="N152" s="30" t="n">
        <f aca="false">_xlfn.MAXIFS('Piece check'!$E$6:$E$1643,'Piece check'!$B$6:$B$1643,B152)</f>
        <v>2.06960331171637</v>
      </c>
      <c r="O152" s="31" t="n">
        <f aca="false">SUMIFS('Piece check'!$D$6:$D$1643,'Piece check'!$B$6:$B$1643,B152)</f>
        <v>4.92278999993513</v>
      </c>
      <c r="P152" s="32" t="n">
        <v>-5.93480165585819</v>
      </c>
      <c r="Q152" s="32" t="n">
        <v>-5.93480165585819</v>
      </c>
      <c r="R152" s="30" t="n">
        <f aca="false">_xlfn.MINIFS('Piece check'!$K$6:$K$1643,'Piece check'!$B$6:$B$1643,B152)</f>
        <v>-5.93480165585819</v>
      </c>
      <c r="S152" s="18" t="n">
        <f aca="false">MAX(0,GWL-R152)</f>
        <v>4.43480165585819</v>
      </c>
      <c r="T152" s="18" t="n">
        <f aca="false">MAX(0,NG-R152)</f>
        <v>5.23480165585819</v>
      </c>
      <c r="U152" s="31" t="n">
        <f aca="false">SUMIFS('Piece check'!$R$6:$R$1643,'Piece check'!$B$6:$B$1643,B152)</f>
        <v>4.92278999993513</v>
      </c>
      <c r="V152" s="21" t="n">
        <f aca="false">O152-U152</f>
        <v>0</v>
      </c>
      <c r="W152" s="12" t="str">
        <f aca="false">IF(U152&lt;0.05,"Open cut",IF(V152&lt;0.05,"Sheet piles","Mixed: "&amp;TEXT(U152,"0")&amp;" m sheet piles"))</f>
        <v>Sheet piles</v>
      </c>
      <c r="X152" s="33" t="n">
        <f aca="false">SUMIFS('Piece check'!$V$6:$V$1643,'Piece check'!$B$6:$B$1643,B152)</f>
        <v>104.872982430096</v>
      </c>
      <c r="Y152" s="33" t="n">
        <f aca="false">SUMIFS('Piece check'!$W$6:$W$1643,'Piece check'!$B$6:$B$1643,B152)</f>
        <v>0</v>
      </c>
      <c r="Z152" s="33" t="n">
        <f aca="false">SUMIFS('Piece check'!$X$6:$X$1643,'Piece check'!$B$6:$B$1643,B152)</f>
        <v>7.55550624334256</v>
      </c>
      <c r="AA152" s="33" t="n">
        <f aca="false">SUMIFS('Piece check'!$Y$6:$Y$1643,'Piece check'!$B$6:$B$1643,B152)</f>
        <v>16.56057502005</v>
      </c>
      <c r="AB152" s="20" t="n">
        <f aca="false">MAX(0,X152+Y152-Z152-AA152)</f>
        <v>80.756901166703</v>
      </c>
      <c r="AC152" s="20" t="n">
        <f aca="false">(ROUNDUP(O152/PILE_SP,0)+1)*IF(N152&gt;=PILE_THR,PILE_N_LARGE,PILE_N_SMALL)</f>
        <v>6</v>
      </c>
      <c r="AD152" s="20" t="n">
        <f aca="false">2*U152</f>
        <v>9.84557999987027</v>
      </c>
      <c r="AE152" s="34" t="n">
        <f aca="false">IF(U152&gt;0,ROUNDUP(T152*SHEET_RATIO,0),0)</f>
        <v>11</v>
      </c>
      <c r="AF152" s="20" t="n">
        <f aca="false">AD152*AE152</f>
        <v>108.301379998573</v>
      </c>
      <c r="AG152" s="18" t="n">
        <f aca="false">MAX(0,GWL-(R152-DD_BELOW))</f>
        <v>4.93480165585819</v>
      </c>
      <c r="AH152" s="12" t="str">
        <f aca="false">IF(AG152=0,"Not required",IF(AG152&lt;=WP_LIMIT,"Single-stage wellpoints","Deep wells or two-stage wellpoints"))</f>
        <v>Deep wells or two-stage wellpoints</v>
      </c>
      <c r="AI152" s="30" t="n">
        <f aca="false">MIN(_xlfn.MINIFS('Piece check'!$Z$6:$Z$1643,'Piece check'!$B$6:$B$1643,B152),_xlfn.MINIFS('Piece check'!$AA$6:$AA$1643,'Piece check'!$B$6:$B$1643,B152))</f>
        <v>1.86105406087656</v>
      </c>
      <c r="AJ152" s="30" t="n">
        <f aca="false">MIN(_xlfn.MINIFS('Piece check'!$AB$6:$AB$1643,'Piece check'!$B$6:$B$1643,B152),_xlfn.MINIFS('Piece check'!$AC$6:$AC$1643,'Piece check'!$B$6:$B$1643,B152))</f>
        <v>3.7800560596416</v>
      </c>
      <c r="AK152" s="12" t="str">
        <f aca="false">IF(AJ152&lt;FOS_FLOT,"Anchor pipe to piled slab (permanent straps)",IF(AI152&lt;FOS_FLOT,"Keep dewatering on until fill reaches FL, or strap to slab","No extra measure"))</f>
        <v>No extra measure</v>
      </c>
      <c r="AL152" s="35" t="n">
        <f aca="false">Activities!P1613</f>
        <v>46357</v>
      </c>
      <c r="AM152" s="35" t="n">
        <f aca="false">Activities!Q1622</f>
        <v>46504</v>
      </c>
      <c r="AN152" s="15" t="n">
        <v>42</v>
      </c>
      <c r="AO152" s="36" t="s">
        <v>2564</v>
      </c>
      <c r="AP152" s="36" t="s">
        <v>2816</v>
      </c>
      <c r="AQ152" s="36" t="s">
        <v>2817</v>
      </c>
      <c r="AR152" s="37" t="n">
        <f aca="false">Activities!P1621-Activities!Q1619</f>
        <v>122</v>
      </c>
      <c r="AS152" s="37" t="n">
        <f aca="false">IF(Activities!K1616=0,0,Activities!Q1622-Activities!P1616)</f>
        <v>144</v>
      </c>
    </row>
    <row r="153" customFormat="false" ht="15" hidden="false" customHeight="false" outlineLevel="0" collapsed="false">
      <c r="A153" s="15" t="s">
        <v>1460</v>
      </c>
      <c r="B153" s="29" t="s">
        <v>1493</v>
      </c>
      <c r="C153" s="15" t="s">
        <v>403</v>
      </c>
      <c r="D153" s="15" t="s">
        <v>2818</v>
      </c>
      <c r="E153" s="15" t="s">
        <v>2361</v>
      </c>
      <c r="F153" s="15" t="n">
        <v>28</v>
      </c>
      <c r="G153" s="15" t="s">
        <v>2362</v>
      </c>
      <c r="H153" s="15"/>
      <c r="I153" s="16" t="n">
        <v>0</v>
      </c>
      <c r="J153" s="15"/>
      <c r="K153" s="16" t="n">
        <v>0</v>
      </c>
      <c r="L153" s="15" t="s">
        <v>358</v>
      </c>
      <c r="M153" s="15" t="n">
        <v>2</v>
      </c>
      <c r="N153" s="30" t="n">
        <f aca="false">_xlfn.MAXIFS('Piece check'!$E$6:$E$1643,'Piece check'!$B$6:$B$1643,B153)</f>
        <v>2.06960331171637</v>
      </c>
      <c r="O153" s="31" t="n">
        <f aca="false">SUMIFS('Piece check'!$D$6:$D$1643,'Piece check'!$B$6:$B$1643,B153)</f>
        <v>44.343103822958</v>
      </c>
      <c r="P153" s="32" t="n">
        <v>-5.92060222803347</v>
      </c>
      <c r="Q153" s="32" t="n">
        <v>-5.93480165585819</v>
      </c>
      <c r="R153" s="30" t="n">
        <f aca="false">_xlfn.MINIFS('Piece check'!$K$6:$K$1643,'Piece check'!$B$6:$B$1643,B153)</f>
        <v>-5.93480165585819</v>
      </c>
      <c r="S153" s="18" t="n">
        <f aca="false">MAX(0,GWL-R153)</f>
        <v>4.43480165585819</v>
      </c>
      <c r="T153" s="18" t="n">
        <f aca="false">MAX(0,NG-R153)</f>
        <v>5.23480165585819</v>
      </c>
      <c r="U153" s="31" t="n">
        <f aca="false">SUMIFS('Piece check'!$R$6:$R$1643,'Piece check'!$B$6:$B$1643,B153)</f>
        <v>44.343103822958</v>
      </c>
      <c r="V153" s="21" t="n">
        <f aca="false">O153-U153</f>
        <v>0</v>
      </c>
      <c r="W153" s="12" t="str">
        <f aca="false">IF(U153&lt;0.05,"Open cut",IF(V153&lt;0.05,"Sheet piles","Mixed: "&amp;TEXT(U153,"0")&amp;" m sheet piles"))</f>
        <v>Sheet piles</v>
      </c>
      <c r="X153" s="33" t="n">
        <f aca="false">SUMIFS('Piece check'!$V$6:$V$1643,'Piece check'!$B$6:$B$1643,B153)</f>
        <v>935.942588063026</v>
      </c>
      <c r="Y153" s="33" t="n">
        <f aca="false">SUMIFS('Piece check'!$W$6:$W$1643,'Piece check'!$B$6:$B$1643,B153)</f>
        <v>0</v>
      </c>
      <c r="Z153" s="33" t="n">
        <f aca="false">SUMIFS('Piece check'!$X$6:$X$1643,'Piece check'!$B$6:$B$1643,B153)</f>
        <v>67.4566857051045</v>
      </c>
      <c r="AA153" s="33" t="n">
        <f aca="false">SUMIFS('Piece check'!$Y$6:$Y$1643,'Piece check'!$B$6:$B$1643,B153)</f>
        <v>145.291001805498</v>
      </c>
      <c r="AB153" s="20" t="n">
        <f aca="false">MAX(0,X153+Y153-Z153-AA153)</f>
        <v>723.194900552424</v>
      </c>
      <c r="AC153" s="20" t="n">
        <f aca="false">(ROUNDUP(O153/PILE_SP,0)+1)*IF(N153&gt;=PILE_THR,PILE_N_LARGE,PILE_N_SMALL)</f>
        <v>32</v>
      </c>
      <c r="AD153" s="20" t="n">
        <f aca="false">2*U153</f>
        <v>88.686207645916</v>
      </c>
      <c r="AE153" s="34" t="n">
        <f aca="false">IF(U153&gt;0,ROUNDUP(T153*SHEET_RATIO,0),0)</f>
        <v>11</v>
      </c>
      <c r="AF153" s="20" t="n">
        <f aca="false">AD153*AE153</f>
        <v>975.548284105076</v>
      </c>
      <c r="AG153" s="18" t="n">
        <f aca="false">MAX(0,GWL-(R153-DD_BELOW))</f>
        <v>4.93480165585819</v>
      </c>
      <c r="AH153" s="12" t="str">
        <f aca="false">IF(AG153=0,"Not required",IF(AG153&lt;=WP_LIMIT,"Single-stage wellpoints","Deep wells or two-stage wellpoints"))</f>
        <v>Deep wells or two-stage wellpoints</v>
      </c>
      <c r="AI153" s="30" t="n">
        <f aca="false">MIN(_xlfn.MINIFS('Piece check'!$Z$6:$Z$1643,'Piece check'!$B$6:$B$1643,B153),_xlfn.MINIFS('Piece check'!$AA$6:$AA$1643,'Piece check'!$B$6:$B$1643,B153))</f>
        <v>1.86105406087656</v>
      </c>
      <c r="AJ153" s="30" t="n">
        <f aca="false">MIN(_xlfn.MINIFS('Piece check'!$AB$6:$AB$1643,'Piece check'!$B$6:$B$1643,B153),_xlfn.MINIFS('Piece check'!$AC$6:$AC$1643,'Piece check'!$B$6:$B$1643,B153))</f>
        <v>3.7800560596416</v>
      </c>
      <c r="AK153" s="12" t="str">
        <f aca="false">IF(AJ153&lt;FOS_FLOT,"Anchor pipe to piled slab (permanent straps)",IF(AI153&lt;FOS_FLOT,"Keep dewatering on until fill reaches FL, or strap to slab","No extra measure"))</f>
        <v>No extra measure</v>
      </c>
      <c r="AL153" s="35" t="n">
        <f aca="false">Activities!P1624</f>
        <v>46409</v>
      </c>
      <c r="AM153" s="35" t="n">
        <f aca="false">Activities!Q1633</f>
        <v>46506</v>
      </c>
      <c r="AN153" s="15" t="n">
        <v>43</v>
      </c>
      <c r="AO153" s="36" t="s">
        <v>2564</v>
      </c>
      <c r="AP153" s="36" t="s">
        <v>2819</v>
      </c>
      <c r="AQ153" s="36" t="s">
        <v>2820</v>
      </c>
      <c r="AR153" s="37" t="n">
        <f aca="false">Activities!P1632-Activities!Q1630</f>
        <v>17</v>
      </c>
      <c r="AS153" s="37" t="n">
        <f aca="false">IF(Activities!K1627=0,0,Activities!Q1633-Activities!P1627)</f>
        <v>52</v>
      </c>
    </row>
    <row r="154" customFormat="false" ht="15" hidden="false" customHeight="false" outlineLevel="0" collapsed="false">
      <c r="A154" s="15" t="s">
        <v>2066</v>
      </c>
      <c r="B154" s="29" t="s">
        <v>2074</v>
      </c>
      <c r="C154" s="15" t="s">
        <v>403</v>
      </c>
      <c r="D154" s="15" t="s">
        <v>2821</v>
      </c>
      <c r="E154" s="15" t="s">
        <v>2518</v>
      </c>
      <c r="F154" s="15" t="n">
        <v>28</v>
      </c>
      <c r="G154" s="15" t="s">
        <v>2362</v>
      </c>
      <c r="H154" s="15"/>
      <c r="I154" s="16" t="n">
        <v>0</v>
      </c>
      <c r="J154" s="15"/>
      <c r="K154" s="16" t="n">
        <v>0</v>
      </c>
      <c r="L154" s="15" t="s">
        <v>358</v>
      </c>
      <c r="M154" s="15" t="n">
        <v>2</v>
      </c>
      <c r="N154" s="30" t="n">
        <f aca="false">_xlfn.MAXIFS('Piece check'!$E$6:$E$1643,'Piece check'!$B$6:$B$1643,B154)</f>
        <v>0.629998592072013</v>
      </c>
      <c r="O154" s="31" t="n">
        <f aca="false">SUMIFS('Piece check'!$D$6:$D$1643,'Piece check'!$B$6:$B$1643,B154)</f>
        <v>20.0000000000084</v>
      </c>
      <c r="P154" s="32" t="n">
        <v>-5.07499785251312</v>
      </c>
      <c r="Q154" s="32" t="n">
        <v>-5.07499929603601</v>
      </c>
      <c r="R154" s="30" t="n">
        <f aca="false">_xlfn.MINIFS('Piece check'!$K$6:$K$1643,'Piece check'!$B$6:$B$1643,B154)</f>
        <v>-5.07499929603601</v>
      </c>
      <c r="S154" s="18" t="n">
        <f aca="false">MAX(0,GWL-R154)</f>
        <v>3.57499929603601</v>
      </c>
      <c r="T154" s="18" t="n">
        <f aca="false">MAX(0,NG-R154)</f>
        <v>4.37499929603601</v>
      </c>
      <c r="U154" s="31" t="n">
        <f aca="false">SUMIFS('Piece check'!$R$6:$R$1643,'Piece check'!$B$6:$B$1643,B154)</f>
        <v>20.0000000000084</v>
      </c>
      <c r="V154" s="21" t="n">
        <f aca="false">O154-U154</f>
        <v>0</v>
      </c>
      <c r="W154" s="12" t="str">
        <f aca="false">IF(U154&lt;0.05,"Open cut",IF(V154&lt;0.05,"Sheet piles","Mixed: "&amp;TEXT(U154,"0")&amp;" m sheet piles"))</f>
        <v>Sheet piles</v>
      </c>
      <c r="X154" s="33" t="n">
        <f aca="false">SUMIFS('Piece check'!$V$6:$V$1643,'Piece check'!$B$6:$B$1643,B154)</f>
        <v>230.124765607269</v>
      </c>
      <c r="Y154" s="33" t="n">
        <f aca="false">SUMIFS('Piece check'!$W$6:$W$1643,'Piece check'!$B$6:$B$1643,B154)</f>
        <v>0</v>
      </c>
      <c r="Z154" s="33" t="n">
        <f aca="false">SUMIFS('Piece check'!$X$6:$X$1643,'Piece check'!$B$6:$B$1643,B154)</f>
        <v>16.2999794030909</v>
      </c>
      <c r="AA154" s="33" t="n">
        <f aca="false">SUMIFS('Piece check'!$Y$6:$Y$1643,'Piece check'!$B$6:$B$1643,B154)</f>
        <v>6.23444985568486</v>
      </c>
      <c r="AB154" s="20" t="n">
        <f aca="false">MAX(0,X154+Y154-Z154-AA154)</f>
        <v>207.590336348493</v>
      </c>
      <c r="AC154" s="20" t="n">
        <f aca="false">(ROUNDUP(O154/PILE_SP,0)+1)*IF(N154&gt;=PILE_THR,PILE_N_LARGE,PILE_N_SMALL)</f>
        <v>8</v>
      </c>
      <c r="AD154" s="20" t="n">
        <f aca="false">2*U154</f>
        <v>40.0000000000167</v>
      </c>
      <c r="AE154" s="34" t="n">
        <f aca="false">IF(U154&gt;0,ROUNDUP(T154*SHEET_RATIO,0),0)</f>
        <v>9</v>
      </c>
      <c r="AF154" s="20" t="n">
        <f aca="false">AD154*AE154</f>
        <v>360.00000000015</v>
      </c>
      <c r="AG154" s="18" t="n">
        <f aca="false">MAX(0,GWL-(R154-DD_BELOW))</f>
        <v>4.07499929603601</v>
      </c>
      <c r="AH154" s="12" t="str">
        <f aca="false">IF(AG154=0,"Not required",IF(AG154&lt;=WP_LIMIT,"Single-stage wellpoints","Deep wells or two-stage wellpoints"))</f>
        <v>Single-stage wellpoints</v>
      </c>
      <c r="AI154" s="30" t="n">
        <f aca="false">MIN(_xlfn.MINIFS('Piece check'!$Z$6:$Z$1643,'Piece check'!$B$6:$B$1643,B154),_xlfn.MINIFS('Piece check'!$AA$6:$AA$1643,'Piece check'!$B$6:$B$1643,B154))</f>
        <v>7.09201877965284</v>
      </c>
      <c r="AJ154" s="30" t="n">
        <f aca="false">MIN(_xlfn.MINIFS('Piece check'!$AB$6:$AB$1643,'Piece check'!$B$6:$B$1643,B154),_xlfn.MINIFS('Piece check'!$AC$6:$AC$1643,'Piece check'!$B$6:$B$1643,B154))</f>
        <v>13.3961168233838</v>
      </c>
      <c r="AK154" s="12" t="str">
        <f aca="false">IF(AJ154&lt;FOS_FLOT,"Anchor pipe to piled slab (permanent straps)",IF(AI154&lt;FOS_FLOT,"Keep dewatering on until fill reaches FL, or strap to slab","No extra measure"))</f>
        <v>No extra measure</v>
      </c>
      <c r="AL154" s="35" t="n">
        <f aca="false">Activities!P1635</f>
        <v>46416</v>
      </c>
      <c r="AM154" s="35" t="n">
        <f aca="false">Activities!Q1644</f>
        <v>46508</v>
      </c>
      <c r="AN154" s="15" t="n">
        <v>44</v>
      </c>
      <c r="AO154" s="36" t="s">
        <v>2363</v>
      </c>
      <c r="AP154" s="36" t="s">
        <v>2723</v>
      </c>
      <c r="AQ154" s="36" t="s">
        <v>2822</v>
      </c>
      <c r="AR154" s="37" t="n">
        <f aca="false">Activities!P1643-Activities!Q1641</f>
        <v>15</v>
      </c>
      <c r="AS154" s="37" t="n">
        <f aca="false">IF(Activities!K1638=0,0,Activities!Q1644-Activities!P1638)</f>
        <v>48</v>
      </c>
    </row>
    <row r="155" customFormat="false" ht="15" hidden="false" customHeight="false" outlineLevel="0" collapsed="false">
      <c r="A155" s="15" t="s">
        <v>2066</v>
      </c>
      <c r="B155" s="29" t="s">
        <v>2072</v>
      </c>
      <c r="C155" s="15" t="s">
        <v>403</v>
      </c>
      <c r="D155" s="15" t="s">
        <v>2823</v>
      </c>
      <c r="E155" s="15" t="s">
        <v>2518</v>
      </c>
      <c r="F155" s="15" t="n">
        <v>28</v>
      </c>
      <c r="G155" s="15" t="s">
        <v>2362</v>
      </c>
      <c r="H155" s="15"/>
      <c r="I155" s="16" t="n">
        <v>0</v>
      </c>
      <c r="J155" s="15"/>
      <c r="K155" s="16" t="n">
        <v>0</v>
      </c>
      <c r="L155" s="15" t="s">
        <v>358</v>
      </c>
      <c r="M155" s="15" t="n">
        <v>0</v>
      </c>
      <c r="N155" s="30" t="n">
        <f aca="false">_xlfn.MAXIFS('Piece check'!$E$6:$E$1643,'Piece check'!$B$6:$B$1643,B155)</f>
        <v>0.629995705026239</v>
      </c>
      <c r="O155" s="31" t="n">
        <f aca="false">SUMIFS('Piece check'!$D$6:$D$1643,'Piece check'!$B$6:$B$1643,B155)</f>
        <v>3.61328925608225</v>
      </c>
      <c r="P155" s="32" t="n">
        <v>-5.07499785251312</v>
      </c>
      <c r="Q155" s="32" t="n">
        <v>-5.07499785251312</v>
      </c>
      <c r="R155" s="30" t="n">
        <f aca="false">_xlfn.MINIFS('Piece check'!$K$6:$K$1643,'Piece check'!$B$6:$B$1643,B155)</f>
        <v>-5.07499785251312</v>
      </c>
      <c r="S155" s="18" t="n">
        <f aca="false">MAX(0,GWL-R155)</f>
        <v>3.57499785251312</v>
      </c>
      <c r="T155" s="18" t="n">
        <f aca="false">MAX(0,NG-R155)</f>
        <v>4.37499785251312</v>
      </c>
      <c r="U155" s="31" t="n">
        <f aca="false">SUMIFS('Piece check'!$R$6:$R$1643,'Piece check'!$B$6:$B$1643,B155)</f>
        <v>3.61328925608225</v>
      </c>
      <c r="V155" s="21" t="n">
        <f aca="false">O155-U155</f>
        <v>0</v>
      </c>
      <c r="W155" s="12" t="str">
        <f aca="false">IF(U155&lt;0.05,"Open cut",IF(V155&lt;0.05,"Sheet piles","Mixed: "&amp;TEXT(U155,"0")&amp;" m sheet piles"))</f>
        <v>Sheet piles</v>
      </c>
      <c r="X155" s="33" t="n">
        <f aca="false">SUMIFS('Piece check'!$V$6:$V$1643,'Piece check'!$B$6:$B$1643,B155)</f>
        <v>41.5753211998191</v>
      </c>
      <c r="Y155" s="33" t="n">
        <f aca="false">SUMIFS('Piece check'!$W$6:$W$1643,'Piece check'!$B$6:$B$1643,B155)</f>
        <v>0</v>
      </c>
      <c r="Z155" s="33" t="n">
        <f aca="false">SUMIFS('Piece check'!$X$6:$X$1643,'Piece check'!$B$6:$B$1643,B155)</f>
        <v>2.94482298421576</v>
      </c>
      <c r="AA155" s="33" t="n">
        <f aca="false">SUMIFS('Piece check'!$Y$6:$Y$1643,'Piece check'!$B$6:$B$1643,B155)</f>
        <v>1.12633554135015</v>
      </c>
      <c r="AB155" s="20" t="n">
        <f aca="false">MAX(0,X155+Y155-Z155-AA155)</f>
        <v>37.5041626742532</v>
      </c>
      <c r="AC155" s="20" t="n">
        <f aca="false">(ROUNDUP(O155/PILE_SP,0)+1)*IF(N155&gt;=PILE_THR,PILE_N_LARGE,PILE_N_SMALL)</f>
        <v>3</v>
      </c>
      <c r="AD155" s="20" t="n">
        <f aca="false">2*U155</f>
        <v>7.22657851216451</v>
      </c>
      <c r="AE155" s="34" t="n">
        <f aca="false">IF(U155&gt;0,ROUNDUP(T155*SHEET_RATIO,0),0)</f>
        <v>9</v>
      </c>
      <c r="AF155" s="20" t="n">
        <f aca="false">AD155*AE155</f>
        <v>65.0392066094806</v>
      </c>
      <c r="AG155" s="18" t="n">
        <f aca="false">MAX(0,GWL-(R155-DD_BELOW))</f>
        <v>4.07499785251312</v>
      </c>
      <c r="AH155" s="12" t="str">
        <f aca="false">IF(AG155=0,"Not required",IF(AG155&lt;=WP_LIMIT,"Single-stage wellpoints","Deep wells or two-stage wellpoints"))</f>
        <v>Single-stage wellpoints</v>
      </c>
      <c r="AI155" s="30" t="n">
        <f aca="false">MIN(_xlfn.MINIFS('Piece check'!$Z$6:$Z$1643,'Piece check'!$B$6:$B$1643,B155),_xlfn.MINIFS('Piece check'!$AA$6:$AA$1643,'Piece check'!$B$6:$B$1643,B155))</f>
        <v>7.09205371547597</v>
      </c>
      <c r="AJ155" s="30" t="n">
        <f aca="false">MIN(_xlfn.MINIFS('Piece check'!$AB$6:$AB$1643,'Piece check'!$B$6:$B$1643,B155),_xlfn.MINIFS('Piece check'!$AC$6:$AC$1643,'Piece check'!$B$6:$B$1643,B155))</f>
        <v>13.3961806486414</v>
      </c>
      <c r="AK155" s="12" t="str">
        <f aca="false">IF(AJ155&lt;FOS_FLOT,"Anchor pipe to piled slab (permanent straps)",IF(AI155&lt;FOS_FLOT,"Keep dewatering on until fill reaches FL, or strap to slab","No extra measure"))</f>
        <v>No extra measure</v>
      </c>
      <c r="AL155" s="35" t="n">
        <f aca="false">Activities!P1646</f>
        <v>46425</v>
      </c>
      <c r="AM155" s="35" t="n">
        <f aca="false">Activities!Q1655</f>
        <v>46510</v>
      </c>
      <c r="AN155" s="15" t="n">
        <v>45</v>
      </c>
      <c r="AO155" s="36" t="s">
        <v>2374</v>
      </c>
      <c r="AP155" s="36" t="s">
        <v>2824</v>
      </c>
      <c r="AQ155" s="36" t="s">
        <v>2825</v>
      </c>
      <c r="AR155" s="37" t="n">
        <f aca="false">Activities!P1654-Activities!Q1652</f>
        <v>12</v>
      </c>
      <c r="AS155" s="37" t="n">
        <f aca="false">IF(Activities!K1649=0,0,Activities!Q1655-Activities!P1649)</f>
        <v>48</v>
      </c>
    </row>
    <row r="156" customFormat="false" ht="15" hidden="false" customHeight="false" outlineLevel="0" collapsed="false">
      <c r="A156" s="15" t="s">
        <v>2066</v>
      </c>
      <c r="B156" s="29" t="s">
        <v>2067</v>
      </c>
      <c r="C156" s="15" t="s">
        <v>403</v>
      </c>
      <c r="D156" s="15" t="s">
        <v>2826</v>
      </c>
      <c r="E156" s="15" t="s">
        <v>2518</v>
      </c>
      <c r="F156" s="15" t="n">
        <v>28</v>
      </c>
      <c r="G156" s="15" t="s">
        <v>2367</v>
      </c>
      <c r="H156" s="15" t="s">
        <v>340</v>
      </c>
      <c r="I156" s="35" t="n">
        <f aca="false">MAX(Structures!$H$23)</f>
        <v>0</v>
      </c>
      <c r="J156" s="15"/>
      <c r="K156" s="16" t="n">
        <v>0</v>
      </c>
      <c r="L156" s="15" t="s">
        <v>358</v>
      </c>
      <c r="M156" s="15" t="n">
        <v>2</v>
      </c>
      <c r="N156" s="30" t="n">
        <f aca="false">_xlfn.MAXIFS('Piece check'!$E$6:$E$1643,'Piece check'!$B$6:$B$1643,B156)</f>
        <v>0.63000314410778</v>
      </c>
      <c r="O156" s="31" t="n">
        <f aca="false">SUMIFS('Piece check'!$D$6:$D$1643,'Piece check'!$B$6:$B$1643,B156)</f>
        <v>11.3867107444436</v>
      </c>
      <c r="P156" s="32" t="n">
        <v>-5.07499785263334</v>
      </c>
      <c r="Q156" s="32" t="n">
        <v>-5.07500157205389</v>
      </c>
      <c r="R156" s="30" t="n">
        <f aca="false">_xlfn.MINIFS('Piece check'!$K$6:$K$1643,'Piece check'!$B$6:$B$1643,B156)</f>
        <v>-5.07500157205389</v>
      </c>
      <c r="S156" s="18" t="n">
        <f aca="false">MAX(0,GWL-R156)</f>
        <v>3.57500157205389</v>
      </c>
      <c r="T156" s="18" t="n">
        <f aca="false">MAX(0,NG-R156)</f>
        <v>4.37500157205389</v>
      </c>
      <c r="U156" s="31" t="n">
        <f aca="false">SUMIFS('Piece check'!$R$6:$R$1643,'Piece check'!$B$6:$B$1643,B156)</f>
        <v>11.3867107444436</v>
      </c>
      <c r="V156" s="21" t="n">
        <f aca="false">O156-U156</f>
        <v>0</v>
      </c>
      <c r="W156" s="12" t="str">
        <f aca="false">IF(U156&lt;0.05,"Open cut",IF(V156&lt;0.05,"Sheet piles","Mixed: "&amp;TEXT(U156,"0")&amp;" m sheet piles"))</f>
        <v>Sheet piles</v>
      </c>
      <c r="X156" s="33" t="n">
        <f aca="false">SUMIFS('Piece check'!$V$6:$V$1643,'Piece check'!$B$6:$B$1643,B156)</f>
        <v>131.01811757903</v>
      </c>
      <c r="Y156" s="33" t="n">
        <f aca="false">SUMIFS('Piece check'!$W$6:$W$1643,'Piece check'!$B$6:$B$1643,B156)</f>
        <v>0</v>
      </c>
      <c r="Z156" s="33" t="n">
        <f aca="false">SUMIFS('Piece check'!$X$6:$X$1643,'Piece check'!$B$6:$B$1643,B156)</f>
        <v>9.28014966758946</v>
      </c>
      <c r="AA156" s="33" t="n">
        <f aca="false">SUMIFS('Piece check'!$Y$6:$Y$1643,'Piece check'!$B$6:$B$1643,B156)</f>
        <v>3.54947829632099</v>
      </c>
      <c r="AB156" s="20" t="n">
        <f aca="false">MAX(0,X156+Y156-Z156-AA156)</f>
        <v>118.18848961512</v>
      </c>
      <c r="AC156" s="20" t="n">
        <f aca="false">(ROUNDUP(O156/PILE_SP,0)+1)*IF(N156&gt;=PILE_THR,PILE_N_LARGE,PILE_N_SMALL)</f>
        <v>5</v>
      </c>
      <c r="AD156" s="20" t="n">
        <f aca="false">2*U156</f>
        <v>22.7734214888871</v>
      </c>
      <c r="AE156" s="34" t="n">
        <f aca="false">IF(U156&gt;0,ROUNDUP(T156*SHEET_RATIO,0),0)</f>
        <v>9</v>
      </c>
      <c r="AF156" s="20" t="n">
        <f aca="false">AD156*AE156</f>
        <v>204.960793399984</v>
      </c>
      <c r="AG156" s="18" t="n">
        <f aca="false">MAX(0,GWL-(R156-DD_BELOW))</f>
        <v>4.07500157205389</v>
      </c>
      <c r="AH156" s="12" t="str">
        <f aca="false">IF(AG156=0,"Not required",IF(AG156&lt;=WP_LIMIT,"Single-stage wellpoints","Deep wells or two-stage wellpoints"))</f>
        <v>Single-stage wellpoints</v>
      </c>
      <c r="AI156" s="30" t="n">
        <f aca="false">MIN(_xlfn.MINIFS('Piece check'!$Z$6:$Z$1643,'Piece check'!$B$6:$B$1643,B156),_xlfn.MINIFS('Piece check'!$AA$6:$AA$1643,'Piece check'!$B$6:$B$1643,B156))</f>
        <v>7.09196369661951</v>
      </c>
      <c r="AJ156" s="30" t="n">
        <f aca="false">MIN(_xlfn.MINIFS('Piece check'!$AB$6:$AB$1643,'Piece check'!$B$6:$B$1643,B156),_xlfn.MINIFS('Piece check'!$AC$6:$AC$1643,'Piece check'!$B$6:$B$1643,B156))</f>
        <v>13.3960161906099</v>
      </c>
      <c r="AK156" s="12" t="str">
        <f aca="false">IF(AJ156&lt;FOS_FLOT,"Anchor pipe to piled slab (permanent straps)",IF(AI156&lt;FOS_FLOT,"Keep dewatering on until fill reaches FL, or strap to slab","No extra measure"))</f>
        <v>No extra measure</v>
      </c>
      <c r="AL156" s="35" t="n">
        <f aca="false">Activities!P1657</f>
        <v>46428</v>
      </c>
      <c r="AM156" s="35" t="n">
        <f aca="false">Activities!Q1666</f>
        <v>46506</v>
      </c>
      <c r="AN156" s="15" t="n">
        <v>46</v>
      </c>
      <c r="AO156" s="36" t="s">
        <v>2374</v>
      </c>
      <c r="AP156" s="36" t="s">
        <v>2827</v>
      </c>
      <c r="AQ156" s="36" t="s">
        <v>2828</v>
      </c>
      <c r="AR156" s="37" t="n">
        <f aca="false">Activities!P1665-Activities!Q1663</f>
        <v>-2</v>
      </c>
      <c r="AS156" s="37" t="n">
        <f aca="false">IF(Activities!K1660=0,0,Activities!Q1666-Activities!P1660)</f>
        <v>75</v>
      </c>
    </row>
    <row r="157" customFormat="false" ht="15" hidden="false" customHeight="false" outlineLevel="0" collapsed="false">
      <c r="A157" s="15" t="s">
        <v>1594</v>
      </c>
      <c r="B157" s="29" t="s">
        <v>1665</v>
      </c>
      <c r="C157" s="15" t="s">
        <v>403</v>
      </c>
      <c r="D157" s="15" t="s">
        <v>2829</v>
      </c>
      <c r="E157" s="15" t="s">
        <v>2518</v>
      </c>
      <c r="F157" s="15" t="n">
        <v>28</v>
      </c>
      <c r="G157" s="15" t="s">
        <v>2362</v>
      </c>
      <c r="H157" s="15"/>
      <c r="I157" s="16" t="n">
        <v>0</v>
      </c>
      <c r="J157" s="15"/>
      <c r="K157" s="16" t="n">
        <v>0</v>
      </c>
      <c r="L157" s="15" t="s">
        <v>358</v>
      </c>
      <c r="M157" s="15" t="n">
        <v>0</v>
      </c>
      <c r="N157" s="30" t="n">
        <f aca="false">_xlfn.MAXIFS('Piece check'!$E$6:$E$1643,'Piece check'!$B$6:$B$1643,B157)</f>
        <v>0.999999807337149</v>
      </c>
      <c r="O157" s="31" t="n">
        <f aca="false">SUMIFS('Piece check'!$D$6:$D$1643,'Piece check'!$B$6:$B$1643,B157)</f>
        <v>30.0380000000693</v>
      </c>
      <c r="P157" s="32" t="n">
        <v>-5.39999990366858</v>
      </c>
      <c r="Q157" s="32" t="n">
        <v>-5.39999990366858</v>
      </c>
      <c r="R157" s="30" t="n">
        <f aca="false">_xlfn.MINIFS('Piece check'!$K$6:$K$1643,'Piece check'!$B$6:$B$1643,B157)</f>
        <v>-5.39999990366858</v>
      </c>
      <c r="S157" s="18" t="n">
        <f aca="false">MAX(0,GWL-R157)</f>
        <v>3.89999990366858</v>
      </c>
      <c r="T157" s="18" t="n">
        <f aca="false">MAX(0,NG-R157)</f>
        <v>4.69999990366858</v>
      </c>
      <c r="U157" s="31" t="n">
        <f aca="false">SUMIFS('Piece check'!$R$6:$R$1643,'Piece check'!$B$6:$B$1643,B157)</f>
        <v>30.0380000000693</v>
      </c>
      <c r="V157" s="21" t="n">
        <f aca="false">O157-U157</f>
        <v>0</v>
      </c>
      <c r="W157" s="12" t="str">
        <f aca="false">IF(U157&lt;0.05,"Open cut",IF(V157&lt;0.05,"Sheet piles","Mixed: "&amp;TEXT(U157,"0")&amp;" m sheet piles"))</f>
        <v>Sheet piles</v>
      </c>
      <c r="X157" s="33" t="n">
        <f aca="false">SUMIFS('Piece check'!$V$6:$V$1643,'Piece check'!$B$6:$B$1643,B157)</f>
        <v>423.535764120296</v>
      </c>
      <c r="Y157" s="33" t="n">
        <f aca="false">SUMIFS('Piece check'!$W$6:$W$1643,'Piece check'!$B$6:$B$1643,B157)</f>
        <v>0</v>
      </c>
      <c r="Z157" s="33" t="n">
        <f aca="false">SUMIFS('Piece check'!$X$6:$X$1643,'Piece check'!$B$6:$B$1643,B157)</f>
        <v>30.0379971064659</v>
      </c>
      <c r="AA157" s="33" t="n">
        <f aca="false">SUMIFS('Piece check'!$Y$6:$Y$1643,'Piece check'!$B$6:$B$1643,B157)</f>
        <v>23.5917809416648</v>
      </c>
      <c r="AB157" s="20" t="n">
        <f aca="false">MAX(0,X157+Y157-Z157-AA157)</f>
        <v>369.905986072165</v>
      </c>
      <c r="AC157" s="20" t="n">
        <f aca="false">(ROUNDUP(O157/PILE_SP,0)+1)*IF(N157&gt;=PILE_THR,PILE_N_LARGE,PILE_N_SMALL)</f>
        <v>12</v>
      </c>
      <c r="AD157" s="20" t="n">
        <f aca="false">2*U157</f>
        <v>60.0760000001386</v>
      </c>
      <c r="AE157" s="34" t="n">
        <f aca="false">IF(U157&gt;0,ROUNDUP(T157*SHEET_RATIO,0),0)</f>
        <v>10</v>
      </c>
      <c r="AF157" s="20" t="n">
        <f aca="false">AD157*AE157</f>
        <v>600.760000001386</v>
      </c>
      <c r="AG157" s="18" t="n">
        <f aca="false">MAX(0,GWL-(R157-DD_BELOW))</f>
        <v>4.39999990366858</v>
      </c>
      <c r="AH157" s="12" t="str">
        <f aca="false">IF(AG157=0,"Not required",IF(AG157&lt;=WP_LIMIT,"Single-stage wellpoints","Deep wells or two-stage wellpoints"))</f>
        <v>Single-stage wellpoints</v>
      </c>
      <c r="AI157" s="30" t="n">
        <f aca="false">MIN(_xlfn.MINIFS('Piece check'!$Z$6:$Z$1643,'Piece check'!$B$6:$B$1643,B157),_xlfn.MINIFS('Piece check'!$AA$6:$AA$1643,'Piece check'!$B$6:$B$1643,B157))</f>
        <v>4.42012796066975</v>
      </c>
      <c r="AJ157" s="30" t="n">
        <f aca="false">MIN(_xlfn.MINIFS('Piece check'!$AB$6:$AB$1643,'Piece check'!$B$6:$B$1643,B157),_xlfn.MINIFS('Piece check'!$AC$6:$AC$1643,'Piece check'!$B$6:$B$1643,B157))</f>
        <v>8.3917016176789</v>
      </c>
      <c r="AK157" s="12" t="str">
        <f aca="false">IF(AJ157&lt;FOS_FLOT,"Anchor pipe to piled slab (permanent straps)",IF(AI157&lt;FOS_FLOT,"Keep dewatering on until fill reaches FL, or strap to slab","No extra measure"))</f>
        <v>No extra measure</v>
      </c>
      <c r="AL157" s="35" t="n">
        <f aca="false">Activities!P1668</f>
        <v>46428</v>
      </c>
      <c r="AM157" s="35" t="n">
        <f aca="false">Activities!Q1677</f>
        <v>46513</v>
      </c>
      <c r="AN157" s="15" t="n">
        <v>47</v>
      </c>
      <c r="AO157" s="36" t="s">
        <v>2519</v>
      </c>
      <c r="AP157" s="36" t="s">
        <v>2416</v>
      </c>
      <c r="AQ157" s="36" t="s">
        <v>2830</v>
      </c>
      <c r="AR157" s="37" t="n">
        <f aca="false">Activities!P1676-Activities!Q1674</f>
        <v>7</v>
      </c>
      <c r="AS157" s="37" t="n">
        <f aca="false">IF(Activities!K1671=0,0,Activities!Q1677-Activities!P1671)</f>
        <v>49</v>
      </c>
    </row>
    <row r="158" customFormat="false" ht="15" hidden="false" customHeight="false" outlineLevel="0" collapsed="false">
      <c r="A158" s="15" t="s">
        <v>1594</v>
      </c>
      <c r="B158" s="29" t="s">
        <v>1670</v>
      </c>
      <c r="C158" s="15" t="s">
        <v>403</v>
      </c>
      <c r="D158" s="15" t="s">
        <v>2831</v>
      </c>
      <c r="E158" s="15" t="s">
        <v>2518</v>
      </c>
      <c r="F158" s="15" t="n">
        <v>28</v>
      </c>
      <c r="G158" s="15" t="s">
        <v>2367</v>
      </c>
      <c r="H158" s="15" t="s">
        <v>315</v>
      </c>
      <c r="I158" s="35" t="n">
        <f aca="false">MAX(Structures!$H$12)</f>
        <v>0</v>
      </c>
      <c r="J158" s="15"/>
      <c r="K158" s="16" t="n">
        <v>0</v>
      </c>
      <c r="L158" s="15" t="s">
        <v>358</v>
      </c>
      <c r="M158" s="15" t="n">
        <v>0</v>
      </c>
      <c r="N158" s="30" t="n">
        <f aca="false">_xlfn.MAXIFS('Piece check'!$E$6:$E$1643,'Piece check'!$B$6:$B$1643,B158)</f>
        <v>0.999999807337149</v>
      </c>
      <c r="O158" s="31" t="n">
        <f aca="false">SUMIFS('Piece check'!$D$6:$D$1643,'Piece check'!$B$6:$B$1643,B158)</f>
        <v>6.00005280690313</v>
      </c>
      <c r="P158" s="32" t="n">
        <v>-5.39999990366858</v>
      </c>
      <c r="Q158" s="32" t="n">
        <v>-5.39999990366858</v>
      </c>
      <c r="R158" s="30" t="n">
        <f aca="false">_xlfn.MINIFS('Piece check'!$K$6:$K$1643,'Piece check'!$B$6:$B$1643,B158)</f>
        <v>-5.39999990366858</v>
      </c>
      <c r="S158" s="18" t="n">
        <f aca="false">MAX(0,GWL-R158)</f>
        <v>3.89999990366858</v>
      </c>
      <c r="T158" s="18" t="n">
        <f aca="false">MAX(0,NG-R158)</f>
        <v>4.69999990366858</v>
      </c>
      <c r="U158" s="31" t="n">
        <f aca="false">SUMIFS('Piece check'!$R$6:$R$1643,'Piece check'!$B$6:$B$1643,B158)</f>
        <v>6.00005280690313</v>
      </c>
      <c r="V158" s="21" t="n">
        <f aca="false">O158-U158</f>
        <v>0</v>
      </c>
      <c r="W158" s="12" t="str">
        <f aca="false">IF(U158&lt;0.05,"Open cut",IF(V158&lt;0.05,"Sheet piles","Mixed: "&amp;TEXT(U158,"0")&amp;" m sheet piles"))</f>
        <v>Sheet piles</v>
      </c>
      <c r="X158" s="33" t="n">
        <f aca="false">SUMIFS('Piece check'!$V$6:$V$1643,'Piece check'!$B$6:$B$1643,B158)</f>
        <v>84.6007374102131</v>
      </c>
      <c r="Y158" s="33" t="n">
        <f aca="false">SUMIFS('Piece check'!$W$6:$W$1643,'Piece check'!$B$6:$B$1643,B158)</f>
        <v>0</v>
      </c>
      <c r="Z158" s="33" t="n">
        <f aca="false">SUMIFS('Piece check'!$X$6:$X$1643,'Piece check'!$B$6:$B$1643,B158)</f>
        <v>6.00005222890949</v>
      </c>
      <c r="AA158" s="33" t="n">
        <f aca="false">SUMIFS('Piece check'!$Y$6:$Y$1643,'Piece check'!$B$6:$B$1643,B158)</f>
        <v>4.71242863900902</v>
      </c>
      <c r="AB158" s="20" t="n">
        <f aca="false">MAX(0,X158+Y158-Z158-AA158)</f>
        <v>73.8882565422946</v>
      </c>
      <c r="AC158" s="20" t="n">
        <f aca="false">(ROUNDUP(O158/PILE_SP,0)+1)*IF(N158&gt;=PILE_THR,PILE_N_LARGE,PILE_N_SMALL)</f>
        <v>4</v>
      </c>
      <c r="AD158" s="20" t="n">
        <f aca="false">2*U158</f>
        <v>12.0001056138063</v>
      </c>
      <c r="AE158" s="34" t="n">
        <f aca="false">IF(U158&gt;0,ROUNDUP(T158*SHEET_RATIO,0),0)</f>
        <v>10</v>
      </c>
      <c r="AF158" s="20" t="n">
        <f aca="false">AD158*AE158</f>
        <v>120.001056138063</v>
      </c>
      <c r="AG158" s="18" t="n">
        <f aca="false">MAX(0,GWL-(R158-DD_BELOW))</f>
        <v>4.39999990366858</v>
      </c>
      <c r="AH158" s="12" t="str">
        <f aca="false">IF(AG158=0,"Not required",IF(AG158&lt;=WP_LIMIT,"Single-stage wellpoints","Deep wells or two-stage wellpoints"))</f>
        <v>Single-stage wellpoints</v>
      </c>
      <c r="AI158" s="30" t="n">
        <f aca="false">MIN(_xlfn.MINIFS('Piece check'!$Z$6:$Z$1643,'Piece check'!$B$6:$B$1643,B158),_xlfn.MINIFS('Piece check'!$AA$6:$AA$1643,'Piece check'!$B$6:$B$1643,B158))</f>
        <v>4.42012796066975</v>
      </c>
      <c r="AJ158" s="30" t="n">
        <f aca="false">MIN(_xlfn.MINIFS('Piece check'!$AB$6:$AB$1643,'Piece check'!$B$6:$B$1643,B158),_xlfn.MINIFS('Piece check'!$AC$6:$AC$1643,'Piece check'!$B$6:$B$1643,B158))</f>
        <v>8.3917016176789</v>
      </c>
      <c r="AK158" s="12" t="str">
        <f aca="false">IF(AJ158&lt;FOS_FLOT,"Anchor pipe to piled slab (permanent straps)",IF(AI158&lt;FOS_FLOT,"Keep dewatering on until fill reaches FL, or strap to slab","No extra measure"))</f>
        <v>No extra measure</v>
      </c>
      <c r="AL158" s="35" t="n">
        <f aca="false">Activities!P1679</f>
        <v>46430</v>
      </c>
      <c r="AM158" s="35" t="n">
        <f aca="false">Activities!Q1688</f>
        <v>46512</v>
      </c>
      <c r="AN158" s="15" t="n">
        <v>48</v>
      </c>
      <c r="AO158" s="36" t="s">
        <v>2519</v>
      </c>
      <c r="AP158" s="36" t="s">
        <v>2832</v>
      </c>
      <c r="AQ158" s="36" t="s">
        <v>2833</v>
      </c>
      <c r="AR158" s="37" t="n">
        <f aca="false">Activities!P1687-Activities!Q1685</f>
        <v>-1</v>
      </c>
      <c r="AS158" s="37" t="n">
        <f aca="false">IF(Activities!K1682=0,0,Activities!Q1688-Activities!P1682)</f>
        <v>79</v>
      </c>
    </row>
    <row r="159" customFormat="false" ht="15" hidden="false" customHeight="false" outlineLevel="0" collapsed="false">
      <c r="A159" s="15" t="s">
        <v>1594</v>
      </c>
      <c r="B159" s="29" t="s">
        <v>1659</v>
      </c>
      <c r="C159" s="15" t="s">
        <v>403</v>
      </c>
      <c r="D159" s="15" t="s">
        <v>2834</v>
      </c>
      <c r="E159" s="15" t="s">
        <v>2518</v>
      </c>
      <c r="F159" s="15" t="n">
        <v>28</v>
      </c>
      <c r="G159" s="15" t="s">
        <v>2362</v>
      </c>
      <c r="H159" s="15"/>
      <c r="I159" s="16" t="n">
        <v>0</v>
      </c>
      <c r="J159" s="15"/>
      <c r="K159" s="16" t="n">
        <v>0</v>
      </c>
      <c r="L159" s="15" t="s">
        <v>358</v>
      </c>
      <c r="M159" s="15" t="n">
        <v>3</v>
      </c>
      <c r="N159" s="30" t="n">
        <f aca="false">_xlfn.MAXIFS('Piece check'!$E$6:$E$1643,'Piece check'!$B$6:$B$1643,B159)</f>
        <v>0.999999807337149</v>
      </c>
      <c r="O159" s="31" t="n">
        <f aca="false">SUMIFS('Piece check'!$D$6:$D$1643,'Piece check'!$B$6:$B$1643,B159)</f>
        <v>16.1414908080495</v>
      </c>
      <c r="P159" s="32" t="n">
        <v>-5.39999766012497</v>
      </c>
      <c r="Q159" s="32" t="n">
        <v>-5.39999990366858</v>
      </c>
      <c r="R159" s="30" t="n">
        <f aca="false">_xlfn.MINIFS('Piece check'!$K$6:$K$1643,'Piece check'!$B$6:$B$1643,B159)</f>
        <v>-5.39999990366858</v>
      </c>
      <c r="S159" s="18" t="n">
        <f aca="false">MAX(0,GWL-R159)</f>
        <v>3.89999990366858</v>
      </c>
      <c r="T159" s="18" t="n">
        <f aca="false">MAX(0,NG-R159)</f>
        <v>4.69999990366858</v>
      </c>
      <c r="U159" s="31" t="n">
        <f aca="false">SUMIFS('Piece check'!$R$6:$R$1643,'Piece check'!$B$6:$B$1643,B159)</f>
        <v>16.1414908080495</v>
      </c>
      <c r="V159" s="21" t="n">
        <f aca="false">O159-U159</f>
        <v>0</v>
      </c>
      <c r="W159" s="12" t="str">
        <f aca="false">IF(U159&lt;0.05,"Open cut",IF(V159&lt;0.05,"Sheet piles","Mixed: "&amp;TEXT(U159,"0")&amp;" m sheet piles"))</f>
        <v>Sheet piles</v>
      </c>
      <c r="X159" s="33" t="n">
        <f aca="false">SUMIFS('Piece check'!$V$6:$V$1643,'Piece check'!$B$6:$B$1643,B159)</f>
        <v>227.519110344138</v>
      </c>
      <c r="Y159" s="33" t="n">
        <f aca="false">SUMIFS('Piece check'!$W$6:$W$1643,'Piece check'!$B$6:$B$1643,B159)</f>
        <v>0</v>
      </c>
      <c r="Z159" s="33" t="n">
        <f aca="false">SUMIFS('Piece check'!$X$6:$X$1643,'Piece check'!$B$6:$B$1643,B159)</f>
        <v>16.1353595551247</v>
      </c>
      <c r="AA159" s="33" t="n">
        <f aca="false">SUMIFS('Piece check'!$Y$6:$Y$1643,'Piece check'!$B$6:$B$1643,B159)</f>
        <v>12.6584198839954</v>
      </c>
      <c r="AB159" s="20" t="n">
        <f aca="false">MAX(0,X159+Y159-Z159-AA159)</f>
        <v>198.725330905017</v>
      </c>
      <c r="AC159" s="20" t="n">
        <f aca="false">(ROUNDUP(O159/PILE_SP,0)+1)*IF(N159&gt;=PILE_THR,PILE_N_LARGE,PILE_N_SMALL)</f>
        <v>7</v>
      </c>
      <c r="AD159" s="20" t="n">
        <f aca="false">2*U159</f>
        <v>32.2829816160989</v>
      </c>
      <c r="AE159" s="34" t="n">
        <f aca="false">IF(U159&gt;0,ROUNDUP(T159*SHEET_RATIO,0),0)</f>
        <v>10</v>
      </c>
      <c r="AF159" s="20" t="n">
        <f aca="false">AD159*AE159</f>
        <v>322.829816160989</v>
      </c>
      <c r="AG159" s="18" t="n">
        <f aca="false">MAX(0,GWL-(R159-DD_BELOW))</f>
        <v>4.39999990366858</v>
      </c>
      <c r="AH159" s="12" t="str">
        <f aca="false">IF(AG159=0,"Not required",IF(AG159&lt;=WP_LIMIT,"Single-stage wellpoints","Deep wells or two-stage wellpoints"))</f>
        <v>Single-stage wellpoints</v>
      </c>
      <c r="AI159" s="30" t="n">
        <f aca="false">MIN(_xlfn.MINIFS('Piece check'!$Z$6:$Z$1643,'Piece check'!$B$6:$B$1643,B159),_xlfn.MINIFS('Piece check'!$AA$6:$AA$1643,'Piece check'!$B$6:$B$1643,B159))</f>
        <v>4.42012796066975</v>
      </c>
      <c r="AJ159" s="30" t="n">
        <f aca="false">MIN(_xlfn.MINIFS('Piece check'!$AB$6:$AB$1643,'Piece check'!$B$6:$B$1643,B159),_xlfn.MINIFS('Piece check'!$AC$6:$AC$1643,'Piece check'!$B$6:$B$1643,B159))</f>
        <v>8.3917016176789</v>
      </c>
      <c r="AK159" s="12" t="str">
        <f aca="false">IF(AJ159&lt;FOS_FLOT,"Anchor pipe to piled slab (permanent straps)",IF(AI159&lt;FOS_FLOT,"Keep dewatering on until fill reaches FL, or strap to slab","No extra measure"))</f>
        <v>No extra measure</v>
      </c>
      <c r="AL159" s="35" t="n">
        <f aca="false">Activities!P1690</f>
        <v>46430</v>
      </c>
      <c r="AM159" s="35" t="n">
        <f aca="false">Activities!Q1699</f>
        <v>46515</v>
      </c>
      <c r="AN159" s="15" t="n">
        <v>49</v>
      </c>
      <c r="AO159" s="36" t="s">
        <v>2835</v>
      </c>
      <c r="AP159" s="36" t="s">
        <v>2836</v>
      </c>
      <c r="AQ159" s="36" t="s">
        <v>2837</v>
      </c>
      <c r="AR159" s="37" t="n">
        <f aca="false">Activities!P1698-Activities!Q1696</f>
        <v>4</v>
      </c>
      <c r="AS159" s="37" t="n">
        <f aca="false">IF(Activities!K1693=0,0,Activities!Q1699-Activities!P1693)</f>
        <v>48</v>
      </c>
    </row>
    <row r="160" customFormat="false" ht="15" hidden="false" customHeight="false" outlineLevel="0" collapsed="false">
      <c r="A160" s="15" t="s">
        <v>1594</v>
      </c>
      <c r="B160" s="29" t="s">
        <v>1616</v>
      </c>
      <c r="C160" s="15" t="s">
        <v>403</v>
      </c>
      <c r="D160" s="15" t="s">
        <v>2838</v>
      </c>
      <c r="E160" s="15" t="s">
        <v>2518</v>
      </c>
      <c r="F160" s="15" t="n">
        <v>28</v>
      </c>
      <c r="G160" s="15" t="s">
        <v>2362</v>
      </c>
      <c r="H160" s="15"/>
      <c r="I160" s="16" t="n">
        <v>0</v>
      </c>
      <c r="J160" s="15"/>
      <c r="K160" s="16" t="n">
        <v>0</v>
      </c>
      <c r="L160" s="15" t="s">
        <v>358</v>
      </c>
      <c r="M160" s="15" t="n">
        <v>5</v>
      </c>
      <c r="N160" s="30" t="n">
        <f aca="false">_xlfn.MAXIFS('Piece check'!$E$6:$E$1643,'Piece check'!$B$6:$B$1643,B160)</f>
        <v>1.0017712329487</v>
      </c>
      <c r="O160" s="31" t="n">
        <f aca="false">SUMIFS('Piece check'!$D$6:$D$1643,'Piece check'!$B$6:$B$1643,B160)</f>
        <v>24.0000000004158</v>
      </c>
      <c r="P160" s="32" t="n">
        <v>-4.10088561647435</v>
      </c>
      <c r="Q160" s="32" t="n">
        <v>-4.10695136204246</v>
      </c>
      <c r="R160" s="30" t="n">
        <f aca="false">_xlfn.MINIFS('Piece check'!$K$6:$K$1643,'Piece check'!$B$6:$B$1643,B160)</f>
        <v>-4.10695136204246</v>
      </c>
      <c r="S160" s="18" t="n">
        <f aca="false">MAX(0,GWL-R160)</f>
        <v>2.60695136204246</v>
      </c>
      <c r="T160" s="18" t="n">
        <f aca="false">MAX(0,NG-R160)</f>
        <v>3.40695136204246</v>
      </c>
      <c r="U160" s="31" t="n">
        <f aca="false">SUMIFS('Piece check'!$R$6:$R$1643,'Piece check'!$B$6:$B$1643,B160)</f>
        <v>24.0000000004158</v>
      </c>
      <c r="V160" s="21" t="n">
        <f aca="false">O160-U160</f>
        <v>0</v>
      </c>
      <c r="W160" s="12" t="str">
        <f aca="false">IF(U160&lt;0.05,"Open cut",IF(V160&lt;0.05,"Sheet piles","Mixed: "&amp;TEXT(U160,"0")&amp;" m sheet piles"))</f>
        <v>Sheet piles</v>
      </c>
      <c r="X160" s="33" t="n">
        <f aca="false">SUMIFS('Piece check'!$V$6:$V$1643,'Piece check'!$B$6:$B$1643,B160)</f>
        <v>244.693939744577</v>
      </c>
      <c r="Y160" s="33" t="n">
        <f aca="false">SUMIFS('Piece check'!$W$6:$W$1643,'Piece check'!$B$6:$B$1643,B160)</f>
        <v>0</v>
      </c>
      <c r="Z160" s="33" t="n">
        <f aca="false">SUMIFS('Piece check'!$X$6:$X$1643,'Piece check'!$B$6:$B$1643,B160)</f>
        <v>23.9621188389201</v>
      </c>
      <c r="AA160" s="33" t="n">
        <f aca="false">SUMIFS('Piece check'!$Y$6:$Y$1643,'Piece check'!$B$6:$B$1643,B160)</f>
        <v>18.7307774368126</v>
      </c>
      <c r="AB160" s="20" t="n">
        <f aca="false">MAX(0,X160+Y160-Z160-AA160)</f>
        <v>202.001043468845</v>
      </c>
      <c r="AC160" s="20" t="n">
        <f aca="false">(ROUNDUP(O160/PILE_SP,0)+1)*IF(N160&gt;=PILE_THR,PILE_N_LARGE,PILE_N_SMALL)</f>
        <v>20</v>
      </c>
      <c r="AD160" s="20" t="n">
        <f aca="false">2*U160</f>
        <v>48.0000000008316</v>
      </c>
      <c r="AE160" s="34" t="n">
        <f aca="false">IF(U160&gt;0,ROUNDUP(T160*SHEET_RATIO,0),0)</f>
        <v>7</v>
      </c>
      <c r="AF160" s="20" t="n">
        <f aca="false">AD160*AE160</f>
        <v>336.000000005821</v>
      </c>
      <c r="AG160" s="18" t="n">
        <f aca="false">MAX(0,GWL-(R160-DD_BELOW))</f>
        <v>3.10695136204246</v>
      </c>
      <c r="AH160" s="12" t="str">
        <f aca="false">IF(AG160=0,"Not required",IF(AG160&lt;=WP_LIMIT,"Single-stage wellpoints","Deep wells or two-stage wellpoints"))</f>
        <v>Single-stage wellpoints</v>
      </c>
      <c r="AI160" s="30" t="n">
        <f aca="false">MIN(_xlfn.MINIFS('Piece check'!$Z$6:$Z$1643,'Piece check'!$B$6:$B$1643,B160),_xlfn.MINIFS('Piece check'!$AA$6:$AA$1643,'Piece check'!$B$6:$B$1643,B160))</f>
        <v>3.03194159497601</v>
      </c>
      <c r="AJ160" s="30" t="n">
        <f aca="false">MIN(_xlfn.MINIFS('Piece check'!$AB$6:$AB$1643,'Piece check'!$B$6:$B$1643,B160),_xlfn.MINIFS('Piece check'!$AC$6:$AC$1643,'Piece check'!$B$6:$B$1643,B160))</f>
        <v>6.99649234389718</v>
      </c>
      <c r="AK160" s="12" t="str">
        <f aca="false">IF(AJ160&lt;FOS_FLOT,"Anchor pipe to piled slab (permanent straps)",IF(AI160&lt;FOS_FLOT,"Keep dewatering on until fill reaches FL, or strap to slab","No extra measure"))</f>
        <v>No extra measure</v>
      </c>
      <c r="AL160" s="35" t="n">
        <f aca="false">Activities!P1701</f>
        <v>46434</v>
      </c>
      <c r="AM160" s="35" t="n">
        <f aca="false">Activities!Q1710</f>
        <v>46520</v>
      </c>
      <c r="AN160" s="15" t="n">
        <v>50</v>
      </c>
      <c r="AO160" s="36" t="s">
        <v>2839</v>
      </c>
      <c r="AP160" s="36" t="s">
        <v>2840</v>
      </c>
      <c r="AQ160" s="36" t="s">
        <v>2841</v>
      </c>
      <c r="AR160" s="37" t="n">
        <f aca="false">Activities!P1709-Activities!Q1707</f>
        <v>-1</v>
      </c>
      <c r="AS160" s="37" t="n">
        <f aca="false">IF(Activities!K1704=0,0,Activities!Q1710-Activities!P1704)</f>
        <v>51</v>
      </c>
    </row>
    <row r="161" customFormat="false" ht="15" hidden="false" customHeight="false" outlineLevel="0" collapsed="false">
      <c r="A161" s="15" t="s">
        <v>1594</v>
      </c>
      <c r="B161" s="29" t="s">
        <v>1612</v>
      </c>
      <c r="C161" s="15" t="s">
        <v>403</v>
      </c>
      <c r="D161" s="15" t="s">
        <v>2842</v>
      </c>
      <c r="E161" s="15" t="s">
        <v>2518</v>
      </c>
      <c r="F161" s="15" t="n">
        <v>28</v>
      </c>
      <c r="G161" s="15" t="s">
        <v>2362</v>
      </c>
      <c r="H161" s="15"/>
      <c r="I161" s="16" t="n">
        <v>0</v>
      </c>
      <c r="J161" s="15"/>
      <c r="K161" s="16" t="n">
        <v>0</v>
      </c>
      <c r="L161" s="15" t="s">
        <v>358</v>
      </c>
      <c r="M161" s="15" t="n">
        <v>0</v>
      </c>
      <c r="N161" s="30" t="n">
        <f aca="false">_xlfn.MAXIFS('Piece check'!$E$6:$E$1643,'Piece check'!$B$6:$B$1643,B161)</f>
        <v>1.0017712329487</v>
      </c>
      <c r="O161" s="31" t="n">
        <f aca="false">SUMIFS('Piece check'!$D$6:$D$1643,'Piece check'!$B$6:$B$1643,B161)</f>
        <v>14.9999999998283</v>
      </c>
      <c r="P161" s="32" t="n">
        <v>-4.10088561647435</v>
      </c>
      <c r="Q161" s="32" t="n">
        <v>-4.10088561647435</v>
      </c>
      <c r="R161" s="30" t="n">
        <f aca="false">_xlfn.MINIFS('Piece check'!$K$6:$K$1643,'Piece check'!$B$6:$B$1643,B161)</f>
        <v>-4.10088561647435</v>
      </c>
      <c r="S161" s="18" t="n">
        <f aca="false">MAX(0,GWL-R161)</f>
        <v>2.60088561647435</v>
      </c>
      <c r="T161" s="18" t="n">
        <f aca="false">MAX(0,NG-R161)</f>
        <v>3.40088561647435</v>
      </c>
      <c r="U161" s="31" t="n">
        <f aca="false">SUMIFS('Piece check'!$R$6:$R$1643,'Piece check'!$B$6:$B$1643,B161)</f>
        <v>14.9999999998283</v>
      </c>
      <c r="V161" s="21" t="n">
        <f aca="false">O161-U161</f>
        <v>0</v>
      </c>
      <c r="W161" s="12" t="str">
        <f aca="false">IF(U161&lt;0.05,"Open cut",IF(V161&lt;0.05,"Sheet piles","Mixed: "&amp;TEXT(U161,"0")&amp;" m sheet piles"))</f>
        <v>Sheet piles</v>
      </c>
      <c r="X161" s="33" t="n">
        <f aca="false">SUMIFS('Piece check'!$V$6:$V$1643,'Piece check'!$B$6:$B$1643,B161)</f>
        <v>153.130209149472</v>
      </c>
      <c r="Y161" s="33" t="n">
        <f aca="false">SUMIFS('Piece check'!$W$6:$W$1643,'Piece check'!$B$6:$B$1643,B161)</f>
        <v>0</v>
      </c>
      <c r="Z161" s="33" t="n">
        <f aca="false">SUMIFS('Piece check'!$X$6:$X$1643,'Piece check'!$B$6:$B$1643,B161)</f>
        <v>15.0132842469433</v>
      </c>
      <c r="AA161" s="33" t="n">
        <f aca="false">SUMIFS('Piece check'!$Y$6:$Y$1643,'Piece check'!$B$6:$B$1643,B161)</f>
        <v>11.8227431040183</v>
      </c>
      <c r="AB161" s="20" t="n">
        <f aca="false">MAX(0,X161+Y161-Z161-AA161)</f>
        <v>126.294181798511</v>
      </c>
      <c r="AC161" s="20" t="n">
        <f aca="false">(ROUNDUP(O161/PILE_SP,0)+1)*IF(N161&gt;=PILE_THR,PILE_N_LARGE,PILE_N_SMALL)</f>
        <v>12</v>
      </c>
      <c r="AD161" s="20" t="n">
        <f aca="false">2*U161</f>
        <v>29.9999999996565</v>
      </c>
      <c r="AE161" s="34" t="n">
        <f aca="false">IF(U161&gt;0,ROUNDUP(T161*SHEET_RATIO,0),0)</f>
        <v>7</v>
      </c>
      <c r="AF161" s="20" t="n">
        <f aca="false">AD161*AE161</f>
        <v>209.999999997596</v>
      </c>
      <c r="AG161" s="18" t="n">
        <f aca="false">MAX(0,GWL-(R161-DD_BELOW))</f>
        <v>3.10088561647435</v>
      </c>
      <c r="AH161" s="12" t="str">
        <f aca="false">IF(AG161=0,"Not required",IF(AG161&lt;=WP_LIMIT,"Single-stage wellpoints","Deep wells or two-stage wellpoints"))</f>
        <v>Single-stage wellpoints</v>
      </c>
      <c r="AI161" s="30" t="n">
        <f aca="false">MIN(_xlfn.MINIFS('Piece check'!$Z$6:$Z$1643,'Piece check'!$B$6:$B$1643,B161),_xlfn.MINIFS('Piece check'!$AA$6:$AA$1643,'Piece check'!$B$6:$B$1643,B161))</f>
        <v>3.03194159497601</v>
      </c>
      <c r="AJ161" s="30" t="n">
        <f aca="false">MIN(_xlfn.MINIFS('Piece check'!$AB$6:$AB$1643,'Piece check'!$B$6:$B$1643,B161),_xlfn.MINIFS('Piece check'!$AC$6:$AC$1643,'Piece check'!$B$6:$B$1643,B161))</f>
        <v>6.99649234389718</v>
      </c>
      <c r="AK161" s="12" t="str">
        <f aca="false">IF(AJ161&lt;FOS_FLOT,"Anchor pipe to piled slab (permanent straps)",IF(AI161&lt;FOS_FLOT,"Keep dewatering on until fill reaches FL, or strap to slab","No extra measure"))</f>
        <v>No extra measure</v>
      </c>
      <c r="AL161" s="35" t="n">
        <f aca="false">Activities!P1712</f>
        <v>46437</v>
      </c>
      <c r="AM161" s="35" t="n">
        <f aca="false">Activities!Q1721</f>
        <v>46526</v>
      </c>
      <c r="AN161" s="15" t="n">
        <v>51</v>
      </c>
      <c r="AO161" s="36" t="s">
        <v>2567</v>
      </c>
      <c r="AP161" s="36" t="s">
        <v>2843</v>
      </c>
      <c r="AQ161" s="36" t="s">
        <v>2844</v>
      </c>
      <c r="AR161" s="37" t="n">
        <f aca="false">Activities!P1720-Activities!Q1718</f>
        <v>-2</v>
      </c>
      <c r="AS161" s="37" t="n">
        <f aca="false">IF(Activities!K1715=0,0,Activities!Q1721-Activities!P1715)</f>
        <v>55</v>
      </c>
    </row>
    <row r="162" customFormat="false" ht="15" hidden="false" customHeight="false" outlineLevel="0" collapsed="false">
      <c r="A162" s="15" t="s">
        <v>1594</v>
      </c>
      <c r="B162" s="29" t="s">
        <v>1602</v>
      </c>
      <c r="C162" s="15" t="s">
        <v>403</v>
      </c>
      <c r="D162" s="15" t="s">
        <v>2845</v>
      </c>
      <c r="E162" s="15" t="s">
        <v>2518</v>
      </c>
      <c r="F162" s="15" t="n">
        <v>28</v>
      </c>
      <c r="G162" s="15" t="s">
        <v>2362</v>
      </c>
      <c r="H162" s="15"/>
      <c r="I162" s="16" t="n">
        <v>0</v>
      </c>
      <c r="J162" s="15"/>
      <c r="K162" s="16" t="n">
        <v>0</v>
      </c>
      <c r="L162" s="15" t="s">
        <v>358</v>
      </c>
      <c r="M162" s="15" t="n">
        <v>4</v>
      </c>
      <c r="N162" s="30" t="n">
        <f aca="false">_xlfn.MAXIFS('Piece check'!$E$6:$E$1643,'Piece check'!$B$6:$B$1643,B162)</f>
        <v>1.0017712329487</v>
      </c>
      <c r="O162" s="31" t="n">
        <f aca="false">SUMIFS('Piece check'!$D$6:$D$1643,'Piece check'!$B$6:$B$1643,B162)</f>
        <v>26.2568241265459</v>
      </c>
      <c r="P162" s="32" t="n">
        <v>-4.10000135698961</v>
      </c>
      <c r="Q162" s="32" t="n">
        <v>-4.10088561647435</v>
      </c>
      <c r="R162" s="30" t="n">
        <f aca="false">_xlfn.MINIFS('Piece check'!$K$6:$K$1643,'Piece check'!$B$6:$B$1643,B162)</f>
        <v>-4.10088561647435</v>
      </c>
      <c r="S162" s="18" t="n">
        <f aca="false">MAX(0,GWL-R162)</f>
        <v>2.60088561647435</v>
      </c>
      <c r="T162" s="18" t="n">
        <f aca="false">MAX(0,NG-R162)</f>
        <v>3.40088561647435</v>
      </c>
      <c r="U162" s="31" t="n">
        <f aca="false">SUMIFS('Piece check'!$R$6:$R$1643,'Piece check'!$B$6:$B$1643,B162)</f>
        <v>26.2568241265459</v>
      </c>
      <c r="V162" s="21" t="n">
        <f aca="false">O162-U162</f>
        <v>0</v>
      </c>
      <c r="W162" s="12" t="str">
        <f aca="false">IF(U162&lt;0.05,"Open cut",IF(V162&lt;0.05,"Sheet piles","Mixed: "&amp;TEXT(U162,"0")&amp;" m sheet piles"))</f>
        <v>Sheet piles</v>
      </c>
      <c r="X162" s="33" t="n">
        <f aca="false">SUMIFS('Piece check'!$V$6:$V$1643,'Piece check'!$B$6:$B$1643,B162)</f>
        <v>267.885196232877</v>
      </c>
      <c r="Y162" s="33" t="n">
        <f aca="false">SUMIFS('Piece check'!$W$6:$W$1643,'Piece check'!$B$6:$B$1643,B162)</f>
        <v>0</v>
      </c>
      <c r="Z162" s="33" t="n">
        <f aca="false">SUMIFS('Piece check'!$X$6:$X$1643,'Piece check'!$B$6:$B$1643,B162)</f>
        <v>26.2635157855944</v>
      </c>
      <c r="AA162" s="33" t="n">
        <f aca="false">SUMIFS('Piece check'!$Y$6:$Y$1643,'Piece check'!$B$6:$B$1643,B162)</f>
        <v>20.643102579001</v>
      </c>
      <c r="AB162" s="20" t="n">
        <f aca="false">MAX(0,X162+Y162-Z162-AA162)</f>
        <v>220.978577868282</v>
      </c>
      <c r="AC162" s="20" t="n">
        <f aca="false">(ROUNDUP(O162/PILE_SP,0)+1)*IF(N162&gt;=PILE_THR,PILE_N_LARGE,PILE_N_SMALL)</f>
        <v>20</v>
      </c>
      <c r="AD162" s="20" t="n">
        <f aca="false">2*U162</f>
        <v>52.5136482530919</v>
      </c>
      <c r="AE162" s="34" t="n">
        <f aca="false">IF(U162&gt;0,ROUNDUP(T162*SHEET_RATIO,0),0)</f>
        <v>7</v>
      </c>
      <c r="AF162" s="20" t="n">
        <f aca="false">AD162*AE162</f>
        <v>367.595537771643</v>
      </c>
      <c r="AG162" s="18" t="n">
        <f aca="false">MAX(0,GWL-(R162-DD_BELOW))</f>
        <v>3.10088561647435</v>
      </c>
      <c r="AH162" s="12" t="str">
        <f aca="false">IF(AG162=0,"Not required",IF(AG162&lt;=WP_LIMIT,"Single-stage wellpoints","Deep wells or two-stage wellpoints"))</f>
        <v>Single-stage wellpoints</v>
      </c>
      <c r="AI162" s="30" t="n">
        <f aca="false">MIN(_xlfn.MINIFS('Piece check'!$Z$6:$Z$1643,'Piece check'!$B$6:$B$1643,B162),_xlfn.MINIFS('Piece check'!$AA$6:$AA$1643,'Piece check'!$B$6:$B$1643,B162))</f>
        <v>3.03194159497601</v>
      </c>
      <c r="AJ162" s="30" t="n">
        <f aca="false">MIN(_xlfn.MINIFS('Piece check'!$AB$6:$AB$1643,'Piece check'!$B$6:$B$1643,B162),_xlfn.MINIFS('Piece check'!$AC$6:$AC$1643,'Piece check'!$B$6:$B$1643,B162))</f>
        <v>6.99649234389718</v>
      </c>
      <c r="AK162" s="12" t="str">
        <f aca="false">IF(AJ162&lt;FOS_FLOT,"Anchor pipe to piled slab (permanent straps)",IF(AI162&lt;FOS_FLOT,"Keep dewatering on until fill reaches FL, or strap to slab","No extra measure"))</f>
        <v>No extra measure</v>
      </c>
      <c r="AL162" s="35" t="n">
        <f aca="false">Activities!P1723</f>
        <v>46442</v>
      </c>
      <c r="AM162" s="35" t="n">
        <f aca="false">Activities!Q1732</f>
        <v>46533</v>
      </c>
      <c r="AN162" s="15" t="n">
        <v>52</v>
      </c>
      <c r="AO162" s="36" t="s">
        <v>2564</v>
      </c>
      <c r="AP162" s="36" t="s">
        <v>2416</v>
      </c>
      <c r="AQ162" s="36" t="s">
        <v>2844</v>
      </c>
      <c r="AR162" s="37" t="n">
        <f aca="false">Activities!P1731-Activities!Q1729</f>
        <v>-2</v>
      </c>
      <c r="AS162" s="37" t="n">
        <f aca="false">IF(Activities!K1726=0,0,Activities!Q1732-Activities!P1726)</f>
        <v>60</v>
      </c>
    </row>
    <row r="163" customFormat="false" ht="15" hidden="false" customHeight="false" outlineLevel="0" collapsed="false">
      <c r="A163" s="15" t="s">
        <v>1502</v>
      </c>
      <c r="B163" s="29" t="s">
        <v>1542</v>
      </c>
      <c r="C163" s="15" t="s">
        <v>403</v>
      </c>
      <c r="D163" s="15" t="s">
        <v>2846</v>
      </c>
      <c r="E163" s="15" t="s">
        <v>2518</v>
      </c>
      <c r="F163" s="15" t="n">
        <v>28</v>
      </c>
      <c r="G163" s="15" t="s">
        <v>2362</v>
      </c>
      <c r="H163" s="15"/>
      <c r="I163" s="16" t="n">
        <v>0</v>
      </c>
      <c r="J163" s="15"/>
      <c r="K163" s="16" t="n">
        <v>0</v>
      </c>
      <c r="L163" s="15" t="s">
        <v>358</v>
      </c>
      <c r="M163" s="15" t="n">
        <v>3</v>
      </c>
      <c r="N163" s="30" t="n">
        <f aca="false">_xlfn.MAXIFS('Piece check'!$E$6:$E$1643,'Piece check'!$B$6:$B$1643,B163)</f>
        <v>1.39999144861691</v>
      </c>
      <c r="O163" s="31" t="n">
        <f aca="false">SUMIFS('Piece check'!$D$6:$D$1643,'Piece check'!$B$6:$B$1643,B163)</f>
        <v>10.5360090957091</v>
      </c>
      <c r="P163" s="32" t="n">
        <v>-5.56112767764389</v>
      </c>
      <c r="Q163" s="32" t="n">
        <v>-5.59999572430846</v>
      </c>
      <c r="R163" s="30" t="n">
        <f aca="false">_xlfn.MINIFS('Piece check'!$K$6:$K$1643,'Piece check'!$B$6:$B$1643,B163)</f>
        <v>-5.59999572430846</v>
      </c>
      <c r="S163" s="18" t="n">
        <f aca="false">MAX(0,GWL-R163)</f>
        <v>4.09999572430846</v>
      </c>
      <c r="T163" s="18" t="n">
        <f aca="false">MAX(0,NG-R163)</f>
        <v>4.89999572430846</v>
      </c>
      <c r="U163" s="31" t="n">
        <f aca="false">SUMIFS('Piece check'!$R$6:$R$1643,'Piece check'!$B$6:$B$1643,B163)</f>
        <v>10.5360090957091</v>
      </c>
      <c r="V163" s="21" t="n">
        <f aca="false">O163-U163</f>
        <v>0</v>
      </c>
      <c r="W163" s="12" t="str">
        <f aca="false">IF(U163&lt;0.05,"Open cut",IF(V163&lt;0.05,"Sheet piles","Mixed: "&amp;TEXT(U163,"0")&amp;" m sheet piles"))</f>
        <v>Sheet piles</v>
      </c>
      <c r="X163" s="33" t="n">
        <f aca="false">SUMIFS('Piece check'!$V$6:$V$1643,'Piece check'!$B$6:$B$1643,B163)</f>
        <v>174.834646183167</v>
      </c>
      <c r="Y163" s="33" t="n">
        <f aca="false">SUMIFS('Piece check'!$W$6:$W$1643,'Piece check'!$B$6:$B$1643,B163)</f>
        <v>0</v>
      </c>
      <c r="Z163" s="33" t="n">
        <f aca="false">SUMIFS('Piece check'!$X$6:$X$1643,'Piece check'!$B$6:$B$1643,B163)</f>
        <v>12.6431587593424</v>
      </c>
      <c r="AA163" s="33" t="n">
        <f aca="false">SUMIFS('Piece check'!$Y$6:$Y$1643,'Piece check'!$B$6:$B$1643,B163)</f>
        <v>16.2186965077906</v>
      </c>
      <c r="AB163" s="20" t="n">
        <f aca="false">MAX(0,X163+Y163-Z163-AA163)</f>
        <v>145.972790916034</v>
      </c>
      <c r="AC163" s="20" t="n">
        <f aca="false">(ROUNDUP(O163/PILE_SP,0)+1)*IF(N163&gt;=PILE_THR,PILE_N_LARGE,PILE_N_SMALL)</f>
        <v>10</v>
      </c>
      <c r="AD163" s="20" t="n">
        <f aca="false">2*U163</f>
        <v>21.0720181914182</v>
      </c>
      <c r="AE163" s="34" t="n">
        <f aca="false">IF(U163&gt;0,ROUNDUP(T163*SHEET_RATIO,0),0)</f>
        <v>10</v>
      </c>
      <c r="AF163" s="20" t="n">
        <f aca="false">AD163*AE163</f>
        <v>210.720181914182</v>
      </c>
      <c r="AG163" s="18" t="n">
        <f aca="false">MAX(0,GWL-(R163-DD_BELOW))</f>
        <v>4.59999572430846</v>
      </c>
      <c r="AH163" s="12" t="str">
        <f aca="false">IF(AG163=0,"Not required",IF(AG163&lt;=WP_LIMIT,"Single-stage wellpoints","Deep wells or two-stage wellpoints"))</f>
        <v>Deep wells or two-stage wellpoints</v>
      </c>
      <c r="AI163" s="30" t="n">
        <f aca="false">MIN(_xlfn.MINIFS('Piece check'!$Z$6:$Z$1643,'Piece check'!$B$6:$B$1643,B163),_xlfn.MINIFS('Piece check'!$AA$6:$AA$1643,'Piece check'!$B$6:$B$1643,B163))</f>
        <v>2.97589365099213</v>
      </c>
      <c r="AJ163" s="30" t="n">
        <f aca="false">MIN(_xlfn.MINIFS('Piece check'!$AB$6:$AB$1643,'Piece check'!$B$6:$B$1643,B163),_xlfn.MINIFS('Piece check'!$AC$6:$AC$1643,'Piece check'!$B$6:$B$1643,B163))</f>
        <v>5.81275177955363</v>
      </c>
      <c r="AK163" s="12" t="str">
        <f aca="false">IF(AJ163&lt;FOS_FLOT,"Anchor pipe to piled slab (permanent straps)",IF(AI163&lt;FOS_FLOT,"Keep dewatering on until fill reaches FL, or strap to slab","No extra measure"))</f>
        <v>No extra measure</v>
      </c>
      <c r="AL163" s="35" t="n">
        <f aca="false">Activities!P1734</f>
        <v>46446</v>
      </c>
      <c r="AM163" s="35" t="n">
        <f aca="false">Activities!Q1743</f>
        <v>46538</v>
      </c>
      <c r="AN163" s="15" t="n">
        <v>53</v>
      </c>
      <c r="AO163" s="36" t="s">
        <v>2564</v>
      </c>
      <c r="AP163" s="36" t="s">
        <v>2416</v>
      </c>
      <c r="AQ163" s="36" t="s">
        <v>2847</v>
      </c>
      <c r="AR163" s="37" t="n">
        <f aca="false">Activities!P1742-Activities!Q1740</f>
        <v>-1</v>
      </c>
      <c r="AS163" s="37" t="n">
        <f aca="false">IF(Activities!K1737=0,0,Activities!Q1743-Activities!P1737)</f>
        <v>62</v>
      </c>
    </row>
    <row r="164" customFormat="false" ht="15" hidden="false" customHeight="false" outlineLevel="0" collapsed="false">
      <c r="A164" s="15" t="s">
        <v>1460</v>
      </c>
      <c r="B164" s="29" t="s">
        <v>1469</v>
      </c>
      <c r="C164" s="15" t="s">
        <v>403</v>
      </c>
      <c r="D164" s="15" t="s">
        <v>2848</v>
      </c>
      <c r="E164" s="15" t="s">
        <v>2361</v>
      </c>
      <c r="F164" s="15" t="n">
        <v>28</v>
      </c>
      <c r="G164" s="15" t="s">
        <v>2362</v>
      </c>
      <c r="H164" s="15"/>
      <c r="I164" s="16" t="n">
        <v>0</v>
      </c>
      <c r="J164" s="15"/>
      <c r="K164" s="16" t="n">
        <v>0</v>
      </c>
      <c r="L164" s="15" t="s">
        <v>358</v>
      </c>
      <c r="M164" s="15" t="n">
        <v>2</v>
      </c>
      <c r="N164" s="30" t="n">
        <f aca="false">_xlfn.MAXIFS('Piece check'!$E$6:$E$1643,'Piece check'!$B$6:$B$1643,B164)</f>
        <v>2.06960071665032</v>
      </c>
      <c r="O164" s="31" t="n">
        <f aca="false">SUMIFS('Piece check'!$D$6:$D$1643,'Piece check'!$B$6:$B$1643,B164)</f>
        <v>32.6818640194615</v>
      </c>
      <c r="P164" s="32" t="n">
        <v>-5.93479971094093</v>
      </c>
      <c r="Q164" s="32" t="n">
        <v>-5.9205359500954</v>
      </c>
      <c r="R164" s="30" t="n">
        <f aca="false">_xlfn.MINIFS('Piece check'!$K$6:$K$1643,'Piece check'!$B$6:$B$1643,B164)</f>
        <v>-5.93480035832516</v>
      </c>
      <c r="S164" s="18" t="n">
        <f aca="false">MAX(0,GWL-R164)</f>
        <v>4.43480035832516</v>
      </c>
      <c r="T164" s="18" t="n">
        <f aca="false">MAX(0,NG-R164)</f>
        <v>5.23480035832516</v>
      </c>
      <c r="U164" s="31" t="n">
        <f aca="false">SUMIFS('Piece check'!$R$6:$R$1643,'Piece check'!$B$6:$B$1643,B164)</f>
        <v>32.6818640194615</v>
      </c>
      <c r="V164" s="21" t="n">
        <f aca="false">O164-U164</f>
        <v>0</v>
      </c>
      <c r="W164" s="12" t="str">
        <f aca="false">IF(U164&lt;0.05,"Open cut",IF(V164&lt;0.05,"Sheet piles","Mixed: "&amp;TEXT(U164,"0")&amp;" m sheet piles"))</f>
        <v>Sheet piles</v>
      </c>
      <c r="X164" s="33" t="n">
        <f aca="false">SUMIFS('Piece check'!$V$6:$V$1643,'Piece check'!$B$6:$B$1643,B164)</f>
        <v>694.535987269134</v>
      </c>
      <c r="Y164" s="33" t="n">
        <f aca="false">SUMIFS('Piece check'!$W$6:$W$1643,'Piece check'!$B$6:$B$1643,B164)</f>
        <v>0</v>
      </c>
      <c r="Z164" s="33" t="n">
        <f aca="false">SUMIFS('Piece check'!$X$6:$X$1643,'Piece check'!$B$6:$B$1643,B164)</f>
        <v>50.0427506805898</v>
      </c>
      <c r="AA164" s="33" t="n">
        <f aca="false">SUMIFS('Piece check'!$Y$6:$Y$1643,'Piece check'!$B$6:$B$1643,B164)</f>
        <v>109.185134276019</v>
      </c>
      <c r="AB164" s="20" t="n">
        <f aca="false">MAX(0,X164+Y164-Z164-AA164)</f>
        <v>535.308102312525</v>
      </c>
      <c r="AC164" s="20" t="n">
        <f aca="false">(ROUNDUP(O164/PILE_SP,0)+1)*IF(N164&gt;=PILE_THR,PILE_N_LARGE,PILE_N_SMALL)</f>
        <v>24</v>
      </c>
      <c r="AD164" s="20" t="n">
        <f aca="false">2*U164</f>
        <v>65.363728038923</v>
      </c>
      <c r="AE164" s="34" t="n">
        <f aca="false">IF(U164&gt;0,ROUNDUP(T164*SHEET_RATIO,0),0)</f>
        <v>11</v>
      </c>
      <c r="AF164" s="20" t="n">
        <f aca="false">AD164*AE164</f>
        <v>719.001008428153</v>
      </c>
      <c r="AG164" s="18" t="n">
        <f aca="false">MAX(0,GWL-(R164-DD_BELOW))</f>
        <v>4.93480035832516</v>
      </c>
      <c r="AH164" s="12" t="str">
        <f aca="false">IF(AG164=0,"Not required",IF(AG164&lt;=WP_LIMIT,"Single-stage wellpoints","Deep wells or two-stage wellpoints"))</f>
        <v>Deep wells or two-stage wellpoints</v>
      </c>
      <c r="AI164" s="30" t="n">
        <f aca="false">MIN(_xlfn.MINIFS('Piece check'!$Z$6:$Z$1643,'Piece check'!$B$6:$B$1643,B164),_xlfn.MINIFS('Piece check'!$AA$6:$AA$1643,'Piece check'!$B$6:$B$1643,B164))</f>
        <v>1.86105706088017</v>
      </c>
      <c r="AJ164" s="30" t="n">
        <f aca="false">MIN(_xlfn.MINIFS('Piece check'!$AB$6:$AB$1643,'Piece check'!$B$6:$B$1643,B164),_xlfn.MINIFS('Piece check'!$AC$6:$AC$1643,'Piece check'!$B$6:$B$1643,B164))</f>
        <v>3.78006146587599</v>
      </c>
      <c r="AK164" s="12" t="str">
        <f aca="false">IF(AJ164&lt;FOS_FLOT,"Anchor pipe to piled slab (permanent straps)",IF(AI164&lt;FOS_FLOT,"Keep dewatering on until fill reaches FL, or strap to slab","No extra measure"))</f>
        <v>No extra measure</v>
      </c>
      <c r="AL164" s="35" t="n">
        <f aca="false">Activities!P1745</f>
        <v>46451</v>
      </c>
      <c r="AM164" s="35" t="n">
        <f aca="false">Activities!Q1754</f>
        <v>46556</v>
      </c>
      <c r="AN164" s="15" t="n">
        <v>54</v>
      </c>
      <c r="AO164" s="36" t="s">
        <v>2567</v>
      </c>
      <c r="AP164" s="36" t="s">
        <v>2849</v>
      </c>
      <c r="AQ164" s="36" t="s">
        <v>2850</v>
      </c>
      <c r="AR164" s="37" t="n">
        <f aca="false">Activities!P1753-Activities!Q1751</f>
        <v>12</v>
      </c>
      <c r="AS164" s="37" t="n">
        <f aca="false">IF(Activities!K1748=0,0,Activities!Q1754-Activities!P1748)</f>
        <v>78</v>
      </c>
    </row>
    <row r="165" customFormat="false" ht="15" hidden="false" customHeight="false" outlineLevel="0" collapsed="false">
      <c r="A165" s="15" t="s">
        <v>1502</v>
      </c>
      <c r="B165" s="29" t="s">
        <v>1505</v>
      </c>
      <c r="C165" s="15" t="s">
        <v>403</v>
      </c>
      <c r="D165" s="15" t="s">
        <v>2851</v>
      </c>
      <c r="E165" s="15" t="s">
        <v>2518</v>
      </c>
      <c r="F165" s="15" t="n">
        <v>28</v>
      </c>
      <c r="G165" s="15" t="s">
        <v>2362</v>
      </c>
      <c r="H165" s="15"/>
      <c r="I165" s="16" t="n">
        <v>0</v>
      </c>
      <c r="J165" s="15"/>
      <c r="K165" s="16" t="n">
        <v>0</v>
      </c>
      <c r="L165" s="15" t="s">
        <v>358</v>
      </c>
      <c r="M165" s="15" t="n">
        <v>3</v>
      </c>
      <c r="N165" s="30" t="n">
        <f aca="false">_xlfn.MAXIFS('Piece check'!$E$6:$E$1643,'Piece check'!$B$6:$B$1643,B165)</f>
        <v>1.02195044240812</v>
      </c>
      <c r="O165" s="31" t="n">
        <f aca="false">SUMIFS('Piece check'!$D$6:$D$1643,'Piece check'!$B$6:$B$1643,B165)</f>
        <v>32.2438785395946</v>
      </c>
      <c r="P165" s="32" t="n">
        <v>-5.39999809862265</v>
      </c>
      <c r="Q165" s="32" t="n">
        <v>-5.41097522120406</v>
      </c>
      <c r="R165" s="30" t="n">
        <f aca="false">_xlfn.MINIFS('Piece check'!$K$6:$K$1643,'Piece check'!$B$6:$B$1643,B165)</f>
        <v>-5.41097522120406</v>
      </c>
      <c r="S165" s="18" t="n">
        <f aca="false">MAX(0,GWL-R165)</f>
        <v>3.91097522120406</v>
      </c>
      <c r="T165" s="18" t="n">
        <f aca="false">MAX(0,NG-R165)</f>
        <v>4.71097522120406</v>
      </c>
      <c r="U165" s="31" t="n">
        <f aca="false">SUMIFS('Piece check'!$R$6:$R$1643,'Piece check'!$B$6:$B$1643,B165)</f>
        <v>32.2438785395946</v>
      </c>
      <c r="V165" s="21" t="n">
        <f aca="false">O165-U165</f>
        <v>0</v>
      </c>
      <c r="W165" s="12" t="str">
        <f aca="false">IF(U165&lt;0.05,"Open cut",IF(V165&lt;0.05,"Sheet piles","Mixed: "&amp;TEXT(U165,"0")&amp;" m sheet piles"))</f>
        <v>Sheet piles</v>
      </c>
      <c r="X165" s="33" t="n">
        <f aca="false">SUMIFS('Piece check'!$V$6:$V$1643,'Piece check'!$B$6:$B$1643,B165)</f>
        <v>454.82319154567</v>
      </c>
      <c r="Y165" s="33" t="n">
        <f aca="false">SUMIFS('Piece check'!$W$6:$W$1643,'Piece check'!$B$6:$B$1643,B165)</f>
        <v>0</v>
      </c>
      <c r="Z165" s="33" t="n">
        <f aca="false">SUMIFS('Piece check'!$X$6:$X$1643,'Piece check'!$B$6:$B$1643,B165)</f>
        <v>32.2587112423877</v>
      </c>
      <c r="AA165" s="33" t="n">
        <f aca="false">SUMIFS('Piece check'!$Y$6:$Y$1643,'Piece check'!$B$6:$B$1643,B165)</f>
        <v>25.3717901944285</v>
      </c>
      <c r="AB165" s="20" t="n">
        <f aca="false">MAX(0,X165+Y165-Z165-AA165)</f>
        <v>397.192690108854</v>
      </c>
      <c r="AC165" s="20" t="n">
        <f aca="false">(ROUNDUP(O165/PILE_SP,0)+1)*IF(N165&gt;=PILE_THR,PILE_N_LARGE,PILE_N_SMALL)</f>
        <v>24</v>
      </c>
      <c r="AD165" s="20" t="n">
        <f aca="false">2*U165</f>
        <v>64.4877570791892</v>
      </c>
      <c r="AE165" s="34" t="n">
        <f aca="false">IF(U165&gt;0,ROUNDUP(T165*SHEET_RATIO,0),0)</f>
        <v>10</v>
      </c>
      <c r="AF165" s="20" t="n">
        <f aca="false">AD165*AE165</f>
        <v>644.877570791892</v>
      </c>
      <c r="AG165" s="18" t="n">
        <f aca="false">MAX(0,GWL-(R165-DD_BELOW))</f>
        <v>4.41097522120406</v>
      </c>
      <c r="AH165" s="12" t="str">
        <f aca="false">IF(AG165=0,"Not required",IF(AG165&lt;=WP_LIMIT,"Single-stage wellpoints","Deep wells or two-stage wellpoints"))</f>
        <v>Single-stage wellpoints</v>
      </c>
      <c r="AI165" s="30" t="n">
        <f aca="false">MIN(_xlfn.MINIFS('Piece check'!$Z$6:$Z$1643,'Piece check'!$B$6:$B$1643,B165),_xlfn.MINIFS('Piece check'!$AA$6:$AA$1643,'Piece check'!$B$6:$B$1643,B165))</f>
        <v>4.31377137800447</v>
      </c>
      <c r="AJ165" s="30" t="n">
        <f aca="false">MIN(_xlfn.MINIFS('Piece check'!$AB$6:$AB$1643,'Piece check'!$B$6:$B$1643,B165),_xlfn.MINIFS('Piece check'!$AC$6:$AC$1643,'Piece check'!$B$6:$B$1643,B165))</f>
        <v>8.20003897673056</v>
      </c>
      <c r="AK165" s="12" t="str">
        <f aca="false">IF(AJ165&lt;FOS_FLOT,"Anchor pipe to piled slab (permanent straps)",IF(AI165&lt;FOS_FLOT,"Keep dewatering on until fill reaches FL, or strap to slab","No extra measure"))</f>
        <v>No extra measure</v>
      </c>
      <c r="AL165" s="35" t="n">
        <f aca="false">Activities!P1756</f>
        <v>46454</v>
      </c>
      <c r="AM165" s="35" t="n">
        <f aca="false">Activities!Q1765</f>
        <v>46559</v>
      </c>
      <c r="AN165" s="15" t="n">
        <v>55</v>
      </c>
      <c r="AO165" s="36" t="s">
        <v>2852</v>
      </c>
      <c r="AP165" s="36" t="s">
        <v>2853</v>
      </c>
      <c r="AQ165" s="36" t="s">
        <v>2854</v>
      </c>
      <c r="AR165" s="37" t="n">
        <f aca="false">Activities!P1764-Activities!Q1762</f>
        <v>8</v>
      </c>
      <c r="AS165" s="37" t="n">
        <f aca="false">IF(Activities!K1759=0,0,Activities!Q1765-Activities!P1759)</f>
        <v>77</v>
      </c>
    </row>
    <row r="166" customFormat="false" ht="15" hidden="false" customHeight="false" outlineLevel="0" collapsed="false">
      <c r="A166" s="15" t="s">
        <v>1460</v>
      </c>
      <c r="B166" s="29" t="s">
        <v>1461</v>
      </c>
      <c r="C166" s="15" t="s">
        <v>403</v>
      </c>
      <c r="D166" s="15" t="s">
        <v>2855</v>
      </c>
      <c r="E166" s="15" t="s">
        <v>2361</v>
      </c>
      <c r="F166" s="15" t="n">
        <v>28</v>
      </c>
      <c r="G166" s="15" t="s">
        <v>2367</v>
      </c>
      <c r="H166" s="15" t="s">
        <v>323</v>
      </c>
      <c r="I166" s="35" t="n">
        <f aca="false">MAX(Structures!$H$16)</f>
        <v>0</v>
      </c>
      <c r="J166" s="15"/>
      <c r="K166" s="16" t="n">
        <v>0</v>
      </c>
      <c r="L166" s="15" t="s">
        <v>358</v>
      </c>
      <c r="M166" s="15" t="n">
        <v>3</v>
      </c>
      <c r="N166" s="30" t="n">
        <f aca="false">_xlfn.MAXIFS('Piece check'!$E$6:$E$1643,'Piece check'!$B$6:$B$1643,B166)</f>
        <v>2.04500015711925</v>
      </c>
      <c r="O166" s="31" t="n">
        <f aca="false">SUMIFS('Piece check'!$D$6:$D$1643,'Piece check'!$B$6:$B$1643,B166)</f>
        <v>19.7181359808448</v>
      </c>
      <c r="P166" s="32" t="n">
        <v>-5.61480003580955</v>
      </c>
      <c r="Q166" s="32" t="n">
        <v>-5.92250007855962</v>
      </c>
      <c r="R166" s="30" t="n">
        <f aca="false">_xlfn.MINIFS('Piece check'!$K$6:$K$1643,'Piece check'!$B$6:$B$1643,B166)</f>
        <v>-5.92250007855962</v>
      </c>
      <c r="S166" s="18" t="n">
        <f aca="false">MAX(0,GWL-R166)</f>
        <v>4.42250007855962</v>
      </c>
      <c r="T166" s="18" t="n">
        <f aca="false">MAX(0,NG-R166)</f>
        <v>5.22250007855962</v>
      </c>
      <c r="U166" s="31" t="n">
        <f aca="false">SUMIFS('Piece check'!$R$6:$R$1643,'Piece check'!$B$6:$B$1643,B166)</f>
        <v>19.7181359808448</v>
      </c>
      <c r="V166" s="21" t="n">
        <f aca="false">O166-U166</f>
        <v>0</v>
      </c>
      <c r="W166" s="12" t="str">
        <f aca="false">IF(U166&lt;0.05,"Open cut",IF(V166&lt;0.05,"Sheet piles","Mixed: "&amp;TEXT(U166,"0")&amp;" m sheet piles"))</f>
        <v>Sheet piles</v>
      </c>
      <c r="X166" s="33" t="n">
        <f aca="false">SUMIFS('Piece check'!$V$6:$V$1643,'Piece check'!$B$6:$B$1643,B166)</f>
        <v>404.267562775721</v>
      </c>
      <c r="Y166" s="33" t="n">
        <f aca="false">SUMIFS('Piece check'!$W$6:$W$1643,'Piece check'!$B$6:$B$1643,B166)</f>
        <v>0</v>
      </c>
      <c r="Z166" s="33" t="n">
        <f aca="false">SUMIFS('Piece check'!$X$6:$X$1643,'Piece check'!$B$6:$B$1643,B166)</f>
        <v>29.1368106974099</v>
      </c>
      <c r="AA166" s="33" t="n">
        <f aca="false">SUMIFS('Piece check'!$Y$6:$Y$1643,'Piece check'!$B$6:$B$1643,B166)</f>
        <v>59.9206905592766</v>
      </c>
      <c r="AB166" s="20" t="n">
        <f aca="false">MAX(0,X166+Y166-Z166-AA166)</f>
        <v>315.210061519035</v>
      </c>
      <c r="AC166" s="20" t="n">
        <f aca="false">(ROUNDUP(O166/PILE_SP,0)+1)*IF(N166&gt;=PILE_THR,PILE_N_LARGE,PILE_N_SMALL)</f>
        <v>16</v>
      </c>
      <c r="AD166" s="20" t="n">
        <f aca="false">2*U166</f>
        <v>39.4362719616896</v>
      </c>
      <c r="AE166" s="34" t="n">
        <f aca="false">IF(U166&gt;0,ROUNDUP(T166*SHEET_RATIO,0),0)</f>
        <v>11</v>
      </c>
      <c r="AF166" s="20" t="n">
        <f aca="false">AD166*AE166</f>
        <v>433.798991578586</v>
      </c>
      <c r="AG166" s="18" t="n">
        <f aca="false">MAX(0,GWL-(R166-DD_BELOW))</f>
        <v>4.92250007855962</v>
      </c>
      <c r="AH166" s="12" t="str">
        <f aca="false">IF(AG166=0,"Not required",IF(AG166&lt;=WP_LIMIT,"Single-stage wellpoints","Deep wells or two-stage wellpoints"))</f>
        <v>Deep wells or two-stage wellpoints</v>
      </c>
      <c r="AI166" s="30" t="n">
        <f aca="false">MIN(_xlfn.MINIFS('Piece check'!$Z$6:$Z$1643,'Piece check'!$B$6:$B$1643,B166),_xlfn.MINIFS('Piece check'!$AA$6:$AA$1643,'Piece check'!$B$6:$B$1643,B166))</f>
        <v>1.88983847381991</v>
      </c>
      <c r="AJ166" s="30" t="n">
        <f aca="false">MIN(_xlfn.MINIFS('Piece check'!$AB$6:$AB$1643,'Piece check'!$B$6:$B$1643,B166),_xlfn.MINIFS('Piece check'!$AC$6:$AC$1643,'Piece check'!$B$6:$B$1643,B166))</f>
        <v>3.83192775826727</v>
      </c>
      <c r="AK166" s="12" t="str">
        <f aca="false">IF(AJ166&lt;FOS_FLOT,"Anchor pipe to piled slab (permanent straps)",IF(AI166&lt;FOS_FLOT,"Keep dewatering on until fill reaches FL, or strap to slab","No extra measure"))</f>
        <v>No extra measure</v>
      </c>
      <c r="AL166" s="35" t="n">
        <f aca="false">Activities!P1767</f>
        <v>46454</v>
      </c>
      <c r="AM166" s="35" t="n">
        <f aca="false">Activities!Q1776</f>
        <v>46565</v>
      </c>
      <c r="AN166" s="15" t="n">
        <v>56</v>
      </c>
      <c r="AO166" s="36" t="s">
        <v>2567</v>
      </c>
      <c r="AP166" s="36" t="s">
        <v>2856</v>
      </c>
      <c r="AQ166" s="36" t="s">
        <v>2857</v>
      </c>
      <c r="AR166" s="37" t="n">
        <f aca="false">Activities!P1775-Activities!Q1773</f>
        <v>15</v>
      </c>
      <c r="AS166" s="37" t="n">
        <f aca="false">IF(Activities!K1770=0,0,Activities!Q1776-Activities!P1770)</f>
        <v>107</v>
      </c>
    </row>
    <row r="167" customFormat="false" ht="15" hidden="false" customHeight="false" outlineLevel="0" collapsed="false">
      <c r="A167" s="15" t="s">
        <v>1502</v>
      </c>
      <c r="B167" s="29" t="s">
        <v>1589</v>
      </c>
      <c r="C167" s="15" t="s">
        <v>403</v>
      </c>
      <c r="D167" s="15" t="s">
        <v>2858</v>
      </c>
      <c r="E167" s="15" t="s">
        <v>2518</v>
      </c>
      <c r="F167" s="15" t="n">
        <v>28</v>
      </c>
      <c r="G167" s="15" t="s">
        <v>2362</v>
      </c>
      <c r="H167" s="15"/>
      <c r="I167" s="16" t="n">
        <v>0</v>
      </c>
      <c r="J167" s="15"/>
      <c r="K167" s="16" t="n">
        <v>0</v>
      </c>
      <c r="L167" s="15" t="s">
        <v>358</v>
      </c>
      <c r="M167" s="15" t="n">
        <v>1</v>
      </c>
      <c r="N167" s="30" t="n">
        <f aca="false">_xlfn.MAXIFS('Piece check'!$E$6:$E$1643,'Piece check'!$B$6:$B$1643,B167)</f>
        <v>1.02206454763033</v>
      </c>
      <c r="O167" s="31" t="n">
        <f aca="false">SUMIFS('Piece check'!$D$6:$D$1643,'Piece check'!$B$6:$B$1643,B167)</f>
        <v>9.27437517407019</v>
      </c>
      <c r="P167" s="32" t="n">
        <v>-5.39999748210263</v>
      </c>
      <c r="Q167" s="32" t="n">
        <v>-5.41103227381517</v>
      </c>
      <c r="R167" s="30" t="n">
        <f aca="false">_xlfn.MINIFS('Piece check'!$K$6:$K$1643,'Piece check'!$B$6:$B$1643,B167)</f>
        <v>-5.41103227381517</v>
      </c>
      <c r="S167" s="18" t="n">
        <f aca="false">MAX(0,GWL-R167)</f>
        <v>3.91103227381517</v>
      </c>
      <c r="T167" s="18" t="n">
        <f aca="false">MAX(0,NG-R167)</f>
        <v>4.71103227381517</v>
      </c>
      <c r="U167" s="31" t="n">
        <f aca="false">SUMIFS('Piece check'!$R$6:$R$1643,'Piece check'!$B$6:$B$1643,B167)</f>
        <v>9.27437517407019</v>
      </c>
      <c r="V167" s="21" t="n">
        <f aca="false">O167-U167</f>
        <v>0</v>
      </c>
      <c r="W167" s="12" t="str">
        <f aca="false">IF(U167&lt;0.05,"Open cut",IF(V167&lt;0.05,"Sheet piles","Mixed: "&amp;TEXT(U167,"0")&amp;" m sheet piles"))</f>
        <v>Sheet piles</v>
      </c>
      <c r="X167" s="33" t="n">
        <f aca="false">SUMIFS('Piece check'!$V$6:$V$1643,'Piece check'!$B$6:$B$1643,B167)</f>
        <v>131.051485044281</v>
      </c>
      <c r="Y167" s="33" t="n">
        <f aca="false">SUMIFS('Piece check'!$W$6:$W$1643,'Piece check'!$B$6:$B$1643,B167)</f>
        <v>0</v>
      </c>
      <c r="Z167" s="33" t="n">
        <f aca="false">SUMIFS('Piece check'!$X$6:$X$1643,'Piece check'!$B$6:$B$1643,B167)</f>
        <v>9.29714068846595</v>
      </c>
      <c r="AA167" s="33" t="n">
        <f aca="false">SUMIFS('Piece check'!$Y$6:$Y$1643,'Piece check'!$B$6:$B$1643,B167)</f>
        <v>7.35638685834983</v>
      </c>
      <c r="AB167" s="20" t="n">
        <f aca="false">MAX(0,X167+Y167-Z167-AA167)</f>
        <v>114.397957497465</v>
      </c>
      <c r="AC167" s="20" t="n">
        <f aca="false">(ROUNDUP(O167/PILE_SP,0)+1)*IF(N167&gt;=PILE_THR,PILE_N_LARGE,PILE_N_SMALL)</f>
        <v>10</v>
      </c>
      <c r="AD167" s="20" t="n">
        <f aca="false">2*U167</f>
        <v>18.5487503481404</v>
      </c>
      <c r="AE167" s="34" t="n">
        <f aca="false">IF(U167&gt;0,ROUNDUP(T167*SHEET_RATIO,0),0)</f>
        <v>10</v>
      </c>
      <c r="AF167" s="20" t="n">
        <f aca="false">AD167*AE167</f>
        <v>185.487503481404</v>
      </c>
      <c r="AG167" s="18" t="n">
        <f aca="false">MAX(0,GWL-(R167-DD_BELOW))</f>
        <v>4.41103227381517</v>
      </c>
      <c r="AH167" s="12" t="str">
        <f aca="false">IF(AG167=0,"Not required",IF(AG167&lt;=WP_LIMIT,"Single-stage wellpoints","Deep wells or two-stage wellpoints"))</f>
        <v>Single-stage wellpoints</v>
      </c>
      <c r="AI167" s="30" t="n">
        <f aca="false">MIN(_xlfn.MINIFS('Piece check'!$Z$6:$Z$1643,'Piece check'!$B$6:$B$1643,B167),_xlfn.MINIFS('Piece check'!$AA$6:$AA$1643,'Piece check'!$B$6:$B$1643,B167))</f>
        <v>4.31323044385675</v>
      </c>
      <c r="AJ167" s="30" t="n">
        <f aca="false">MIN(_xlfn.MINIFS('Piece check'!$AB$6:$AB$1643,'Piece check'!$B$6:$B$1643,B167),_xlfn.MINIFS('Piece check'!$AC$6:$AC$1643,'Piece check'!$B$6:$B$1643,B167))</f>
        <v>8.19906417230629</v>
      </c>
      <c r="AK167" s="12" t="str">
        <f aca="false">IF(AJ167&lt;FOS_FLOT,"Anchor pipe to piled slab (permanent straps)",IF(AI167&lt;FOS_FLOT,"Keep dewatering on until fill reaches FL, or strap to slab","No extra measure"))</f>
        <v>No extra measure</v>
      </c>
      <c r="AL167" s="35" t="n">
        <f aca="false">Activities!P1778</f>
        <v>46460</v>
      </c>
      <c r="AM167" s="35" t="n">
        <f aca="false">Activities!Q1787</f>
        <v>46561</v>
      </c>
      <c r="AN167" s="15" t="n">
        <v>57</v>
      </c>
      <c r="AO167" s="36" t="s">
        <v>2859</v>
      </c>
      <c r="AP167" s="36" t="s">
        <v>2853</v>
      </c>
      <c r="AQ167" s="36" t="s">
        <v>2860</v>
      </c>
      <c r="AR167" s="37" t="n">
        <f aca="false">Activities!P1786-Activities!Q1784</f>
        <v>6</v>
      </c>
      <c r="AS167" s="37" t="n">
        <f aca="false">IF(Activities!K1781=0,0,Activities!Q1787-Activities!P1781)</f>
        <v>76</v>
      </c>
    </row>
    <row r="168" customFormat="false" ht="15" hidden="false" customHeight="false" outlineLevel="0" collapsed="false">
      <c r="A168" s="15" t="s">
        <v>1502</v>
      </c>
      <c r="B168" s="29" t="s">
        <v>1548</v>
      </c>
      <c r="C168" s="15" t="s">
        <v>403</v>
      </c>
      <c r="D168" s="15" t="s">
        <v>2861</v>
      </c>
      <c r="E168" s="15" t="s">
        <v>2518</v>
      </c>
      <c r="F168" s="15" t="n">
        <v>28</v>
      </c>
      <c r="G168" s="15" t="s">
        <v>2367</v>
      </c>
      <c r="H168" s="15" t="s">
        <v>323</v>
      </c>
      <c r="I168" s="35" t="n">
        <f aca="false">MAX(Structures!$H$16)</f>
        <v>0</v>
      </c>
      <c r="J168" s="15"/>
      <c r="K168" s="16" t="n">
        <v>0</v>
      </c>
      <c r="L168" s="15" t="s">
        <v>358</v>
      </c>
      <c r="M168" s="15" t="n">
        <v>0</v>
      </c>
      <c r="N168" s="30" t="n">
        <f aca="false">_xlfn.MAXIFS('Piece check'!$E$6:$E$1643,'Piece check'!$B$6:$B$1643,B168)</f>
        <v>1.4</v>
      </c>
      <c r="O168" s="31" t="n">
        <f aca="false">SUMIFS('Piece check'!$D$6:$D$1643,'Piece check'!$B$6:$B$1643,B168)</f>
        <v>11.570495569924</v>
      </c>
      <c r="P168" s="32" t="n">
        <v>-5.6</v>
      </c>
      <c r="Q168" s="32" t="n">
        <v>-5.6</v>
      </c>
      <c r="R168" s="30" t="n">
        <f aca="false">_xlfn.MINIFS('Piece check'!$K$6:$K$1643,'Piece check'!$B$6:$B$1643,B168)</f>
        <v>-5.6</v>
      </c>
      <c r="S168" s="18" t="n">
        <f aca="false">MAX(0,GWL-R168)</f>
        <v>4.1</v>
      </c>
      <c r="T168" s="18" t="n">
        <f aca="false">MAX(0,NG-R168)</f>
        <v>4.9</v>
      </c>
      <c r="U168" s="31" t="n">
        <f aca="false">SUMIFS('Piece check'!$R$6:$R$1643,'Piece check'!$B$6:$B$1643,B168)</f>
        <v>11.570495569924</v>
      </c>
      <c r="V168" s="21" t="n">
        <f aca="false">O168-U168</f>
        <v>0</v>
      </c>
      <c r="W168" s="12" t="str">
        <f aca="false">IF(U168&lt;0.05,"Open cut",IF(V168&lt;0.05,"Sheet piles","Mixed: "&amp;TEXT(U168,"0")&amp;" m sheet piles"))</f>
        <v>Sheet piles</v>
      </c>
      <c r="X168" s="33" t="n">
        <f aca="false">SUMIFS('Piece check'!$V$6:$V$1643,'Piece check'!$B$6:$B$1643,B168)</f>
        <v>192.764456194935</v>
      </c>
      <c r="Y168" s="33" t="n">
        <f aca="false">SUMIFS('Piece check'!$W$6:$W$1643,'Piece check'!$B$6:$B$1643,B168)</f>
        <v>0</v>
      </c>
      <c r="Z168" s="33" t="n">
        <f aca="false">SUMIFS('Piece check'!$X$6:$X$1643,'Piece check'!$B$6:$B$1643,B168)</f>
        <v>13.8845946839088</v>
      </c>
      <c r="AA168" s="33" t="n">
        <f aca="false">SUMIFS('Piece check'!$Y$6:$Y$1643,'Piece check'!$B$6:$B$1643,B168)</f>
        <v>17.8113941016246</v>
      </c>
      <c r="AB168" s="20" t="n">
        <f aca="false">MAX(0,X168+Y168-Z168-AA168)</f>
        <v>161.068467409401</v>
      </c>
      <c r="AC168" s="20" t="n">
        <f aca="false">(ROUNDUP(O168/PILE_SP,0)+1)*IF(N168&gt;=PILE_THR,PILE_N_LARGE,PILE_N_SMALL)</f>
        <v>10</v>
      </c>
      <c r="AD168" s="20" t="n">
        <f aca="false">2*U168</f>
        <v>23.1409911398481</v>
      </c>
      <c r="AE168" s="34" t="n">
        <f aca="false">IF(U168&gt;0,ROUNDUP(T168*SHEET_RATIO,0),0)</f>
        <v>10</v>
      </c>
      <c r="AF168" s="20" t="n">
        <f aca="false">AD168*AE168</f>
        <v>231.409911398481</v>
      </c>
      <c r="AG168" s="18" t="n">
        <f aca="false">MAX(0,GWL-(R168-DD_BELOW))</f>
        <v>4.6</v>
      </c>
      <c r="AH168" s="12" t="str">
        <f aca="false">IF(AG168=0,"Not required",IF(AG168&lt;=WP_LIMIT,"Single-stage wellpoints","Deep wells or two-stage wellpoints"))</f>
        <v>Deep wells or two-stage wellpoints</v>
      </c>
      <c r="AI168" s="30" t="n">
        <f aca="false">MIN(_xlfn.MINIFS('Piece check'!$Z$6:$Z$1643,'Piece check'!$B$6:$B$1643,B168),_xlfn.MINIFS('Piece check'!$AA$6:$AA$1643,'Piece check'!$B$6:$B$1643,B168))</f>
        <v>3.00537931856884</v>
      </c>
      <c r="AJ168" s="30" t="n">
        <f aca="false">MIN(_xlfn.MINIFS('Piece check'!$AB$6:$AB$1643,'Piece check'!$B$6:$B$1643,B168),_xlfn.MINIFS('Piece check'!$AC$6:$AC$1643,'Piece check'!$B$6:$B$1643,B168))</f>
        <v>5.8422170984506</v>
      </c>
      <c r="AK168" s="12" t="str">
        <f aca="false">IF(AJ168&lt;FOS_FLOT,"Anchor pipe to piled slab (permanent straps)",IF(AI168&lt;FOS_FLOT,"Keep dewatering on until fill reaches FL, or strap to slab","No extra measure"))</f>
        <v>No extra measure</v>
      </c>
      <c r="AL168" s="35" t="n">
        <f aca="false">Activities!P1789</f>
        <v>46451</v>
      </c>
      <c r="AM168" s="35" t="n">
        <f aca="false">Activities!Q1798</f>
        <v>46550</v>
      </c>
      <c r="AN168" s="15" t="n">
        <v>58</v>
      </c>
      <c r="AO168" s="36" t="s">
        <v>2564</v>
      </c>
      <c r="AP168" s="36" t="s">
        <v>2862</v>
      </c>
      <c r="AQ168" s="36" t="s">
        <v>2863</v>
      </c>
      <c r="AR168" s="37" t="n">
        <f aca="false">Activities!P1797-Activities!Q1795</f>
        <v>9</v>
      </c>
      <c r="AS168" s="37" t="n">
        <f aca="false">IF(Activities!K1792=0,0,Activities!Q1798-Activities!P1792)</f>
        <v>96</v>
      </c>
    </row>
    <row r="169" customFormat="false" ht="15" hidden="false" customHeight="false" outlineLevel="0" collapsed="false">
      <c r="A169" s="15" t="s">
        <v>1502</v>
      </c>
      <c r="B169" s="29" t="s">
        <v>1561</v>
      </c>
      <c r="C169" s="15" t="s">
        <v>403</v>
      </c>
      <c r="D169" s="15" t="s">
        <v>2864</v>
      </c>
      <c r="E169" s="15" t="s">
        <v>2518</v>
      </c>
      <c r="F169" s="15" t="n">
        <v>28</v>
      </c>
      <c r="G169" s="15" t="s">
        <v>2362</v>
      </c>
      <c r="H169" s="15"/>
      <c r="I169" s="16" t="n">
        <v>0</v>
      </c>
      <c r="J169" s="15"/>
      <c r="K169" s="16" t="n">
        <v>0</v>
      </c>
      <c r="L169" s="15" t="s">
        <v>358</v>
      </c>
      <c r="M169" s="15" t="n">
        <v>0</v>
      </c>
      <c r="N169" s="30" t="n">
        <f aca="false">_xlfn.MAXIFS('Piece check'!$E$6:$E$1643,'Piece check'!$B$6:$B$1643,B169)</f>
        <v>1.39999144861691</v>
      </c>
      <c r="O169" s="31" t="n">
        <f aca="false">SUMIFS('Piece check'!$D$6:$D$1643,'Piece check'!$B$6:$B$1643,B169)</f>
        <v>5.26368000025213</v>
      </c>
      <c r="P169" s="32" t="n">
        <v>-5.59999572430846</v>
      </c>
      <c r="Q169" s="32" t="n">
        <v>-5.59999572430846</v>
      </c>
      <c r="R169" s="30" t="n">
        <f aca="false">_xlfn.MINIFS('Piece check'!$K$6:$K$1643,'Piece check'!$B$6:$B$1643,B169)</f>
        <v>-5.59999572430846</v>
      </c>
      <c r="S169" s="18" t="n">
        <f aca="false">MAX(0,GWL-R169)</f>
        <v>4.09999572430846</v>
      </c>
      <c r="T169" s="18" t="n">
        <f aca="false">MAX(0,NG-R169)</f>
        <v>4.89999572430846</v>
      </c>
      <c r="U169" s="31" t="n">
        <f aca="false">SUMIFS('Piece check'!$R$6:$R$1643,'Piece check'!$B$6:$B$1643,B169)</f>
        <v>5.26368000025213</v>
      </c>
      <c r="V169" s="21" t="n">
        <f aca="false">O169-U169</f>
        <v>0</v>
      </c>
      <c r="W169" s="12" t="str">
        <f aca="false">IF(U169&lt;0.05,"Open cut",IF(V169&lt;0.05,"Sheet piles","Mixed: "&amp;TEXT(U169,"0")&amp;" m sheet piles"))</f>
        <v>Sheet piles</v>
      </c>
      <c r="X169" s="33" t="n">
        <f aca="false">SUMIFS('Piece check'!$V$6:$V$1643,'Piece check'!$B$6:$B$1643,B169)</f>
        <v>87.6926117268816</v>
      </c>
      <c r="Y169" s="33" t="n">
        <f aca="false">SUMIFS('Piece check'!$W$6:$W$1643,'Piece check'!$B$6:$B$1643,B169)</f>
        <v>0</v>
      </c>
      <c r="Z169" s="33" t="n">
        <f aca="false">SUMIFS('Piece check'!$X$6:$X$1643,'Piece check'!$B$6:$B$1643,B169)</f>
        <v>6.31639349443048</v>
      </c>
      <c r="AA169" s="33" t="n">
        <f aca="false">SUMIFS('Piece check'!$Y$6:$Y$1643,'Piece check'!$B$6:$B$1643,B169)</f>
        <v>8.10270683993039</v>
      </c>
      <c r="AB169" s="20" t="n">
        <f aca="false">MAX(0,X169+Y169-Z169-AA169)</f>
        <v>73.2735113925207</v>
      </c>
      <c r="AC169" s="20" t="n">
        <f aca="false">(ROUNDUP(O169/PILE_SP,0)+1)*IF(N169&gt;=PILE_THR,PILE_N_LARGE,PILE_N_SMALL)</f>
        <v>6</v>
      </c>
      <c r="AD169" s="20" t="n">
        <f aca="false">2*U169</f>
        <v>10.5273600005043</v>
      </c>
      <c r="AE169" s="34" t="n">
        <f aca="false">IF(U169&gt;0,ROUNDUP(T169*SHEET_RATIO,0),0)</f>
        <v>10</v>
      </c>
      <c r="AF169" s="20" t="n">
        <f aca="false">AD169*AE169</f>
        <v>105.273600005043</v>
      </c>
      <c r="AG169" s="18" t="n">
        <f aca="false">MAX(0,GWL-(R169-DD_BELOW))</f>
        <v>4.59999572430846</v>
      </c>
      <c r="AH169" s="12" t="str">
        <f aca="false">IF(AG169=0,"Not required",IF(AG169&lt;=WP_LIMIT,"Single-stage wellpoints","Deep wells or two-stage wellpoints"))</f>
        <v>Deep wells or two-stage wellpoints</v>
      </c>
      <c r="AI169" s="30" t="n">
        <f aca="false">MIN(_xlfn.MINIFS('Piece check'!$Z$6:$Z$1643,'Piece check'!$B$6:$B$1643,B169),_xlfn.MINIFS('Piece check'!$AA$6:$AA$1643,'Piece check'!$B$6:$B$1643,B169))</f>
        <v>3.00540092236055</v>
      </c>
      <c r="AJ169" s="30" t="n">
        <f aca="false">MIN(_xlfn.MINIFS('Piece check'!$AB$6:$AB$1643,'Piece check'!$B$6:$B$1643,B169),_xlfn.MINIFS('Piece check'!$AC$6:$AC$1643,'Piece check'!$B$6:$B$1643,B169))</f>
        <v>5.84225603012431</v>
      </c>
      <c r="AK169" s="12" t="str">
        <f aca="false">IF(AJ169&lt;FOS_FLOT,"Anchor pipe to piled slab (permanent straps)",IF(AI169&lt;FOS_FLOT,"Keep dewatering on until fill reaches FL, or strap to slab","No extra measure"))</f>
        <v>No extra measure</v>
      </c>
      <c r="AL169" s="35" t="n">
        <f aca="false">Activities!P1800</f>
        <v>46466</v>
      </c>
      <c r="AM169" s="35" t="n">
        <f aca="false">Activities!Q1809</f>
        <v>46563</v>
      </c>
      <c r="AN169" s="15" t="n">
        <v>59</v>
      </c>
      <c r="AO169" s="36" t="s">
        <v>2564</v>
      </c>
      <c r="AP169" s="36" t="s">
        <v>2865</v>
      </c>
      <c r="AQ169" s="36" t="s">
        <v>2866</v>
      </c>
      <c r="AR169" s="37" t="n">
        <f aca="false">Activities!P1808-Activities!Q1806</f>
        <v>3</v>
      </c>
      <c r="AS169" s="37" t="n">
        <f aca="false">IF(Activities!K1803=0,0,Activities!Q1809-Activities!P1803)</f>
        <v>76</v>
      </c>
    </row>
    <row r="170" customFormat="false" ht="15" hidden="false" customHeight="false" outlineLevel="0" collapsed="false">
      <c r="A170" s="15" t="s">
        <v>1502</v>
      </c>
      <c r="B170" s="29" t="s">
        <v>1559</v>
      </c>
      <c r="C170" s="15" t="s">
        <v>403</v>
      </c>
      <c r="D170" s="15" t="s">
        <v>2867</v>
      </c>
      <c r="E170" s="15" t="s">
        <v>2518</v>
      </c>
      <c r="F170" s="15" t="n">
        <v>28</v>
      </c>
      <c r="G170" s="15" t="s">
        <v>2367</v>
      </c>
      <c r="H170" s="15" t="s">
        <v>323</v>
      </c>
      <c r="I170" s="35" t="n">
        <f aca="false">MAX(Structures!$H$16)</f>
        <v>0</v>
      </c>
      <c r="J170" s="15"/>
      <c r="K170" s="16" t="n">
        <v>0</v>
      </c>
      <c r="L170" s="15" t="s">
        <v>358</v>
      </c>
      <c r="M170" s="15" t="n">
        <v>0</v>
      </c>
      <c r="N170" s="30" t="n">
        <f aca="false">_xlfn.MAXIFS('Piece check'!$E$6:$E$1643,'Piece check'!$B$6:$B$1643,B170)</f>
        <v>1.39999144861691</v>
      </c>
      <c r="O170" s="31" t="n">
        <f aca="false">SUMIFS('Piece check'!$D$6:$D$1643,'Piece check'!$B$6:$B$1643,B170)</f>
        <v>6.00000000002508</v>
      </c>
      <c r="P170" s="32" t="n">
        <v>-5.59999572430846</v>
      </c>
      <c r="Q170" s="32" t="n">
        <v>-5.59999572430846</v>
      </c>
      <c r="R170" s="30" t="n">
        <f aca="false">_xlfn.MINIFS('Piece check'!$K$6:$K$1643,'Piece check'!$B$6:$B$1643,B170)</f>
        <v>-5.59999572430846</v>
      </c>
      <c r="S170" s="18" t="n">
        <f aca="false">MAX(0,GWL-R170)</f>
        <v>4.09999572430846</v>
      </c>
      <c r="T170" s="18" t="n">
        <f aca="false">MAX(0,NG-R170)</f>
        <v>4.89999572430846</v>
      </c>
      <c r="U170" s="31" t="n">
        <f aca="false">SUMIFS('Piece check'!$R$6:$R$1643,'Piece check'!$B$6:$B$1643,B170)</f>
        <v>6.00000000002508</v>
      </c>
      <c r="V170" s="21" t="n">
        <f aca="false">O170-U170</f>
        <v>0</v>
      </c>
      <c r="W170" s="12" t="str">
        <f aca="false">IF(U170&lt;0.05,"Open cut",IF(V170&lt;0.05,"Sheet piles","Mixed: "&amp;TEXT(U170,"0")&amp;" m sheet piles"))</f>
        <v>Sheet piles</v>
      </c>
      <c r="X170" s="33" t="n">
        <f aca="false">SUMIFS('Piece check'!$V$6:$V$1643,'Piece check'!$B$6:$B$1643,B170)</f>
        <v>99.9596613658668</v>
      </c>
      <c r="Y170" s="33" t="n">
        <f aca="false">SUMIFS('Piece check'!$W$6:$W$1643,'Piece check'!$B$6:$B$1643,B170)</f>
        <v>0</v>
      </c>
      <c r="Z170" s="33" t="n">
        <f aca="false">SUMIFS('Piece check'!$X$6:$X$1643,'Piece check'!$B$6:$B$1643,B170)</f>
        <v>7.19997434588082</v>
      </c>
      <c r="AA170" s="33" t="n">
        <f aca="false">SUMIFS('Piece check'!$Y$6:$Y$1643,'Piece check'!$B$6:$B$1643,B170)</f>
        <v>9.23616956909554</v>
      </c>
      <c r="AB170" s="20" t="n">
        <f aca="false">MAX(0,X170+Y170-Z170-AA170)</f>
        <v>83.5235174508904</v>
      </c>
      <c r="AC170" s="20" t="n">
        <f aca="false">(ROUNDUP(O170/PILE_SP,0)+1)*IF(N170&gt;=PILE_THR,PILE_N_LARGE,PILE_N_SMALL)</f>
        <v>6</v>
      </c>
      <c r="AD170" s="20" t="n">
        <f aca="false">2*U170</f>
        <v>12.0000000000502</v>
      </c>
      <c r="AE170" s="34" t="n">
        <f aca="false">IF(U170&gt;0,ROUNDUP(T170*SHEET_RATIO,0),0)</f>
        <v>10</v>
      </c>
      <c r="AF170" s="20" t="n">
        <f aca="false">AD170*AE170</f>
        <v>120.000000000502</v>
      </c>
      <c r="AG170" s="18" t="n">
        <f aca="false">MAX(0,GWL-(R170-DD_BELOW))</f>
        <v>4.59999572430846</v>
      </c>
      <c r="AH170" s="12" t="str">
        <f aca="false">IF(AG170=0,"Not required",IF(AG170&lt;=WP_LIMIT,"Single-stage wellpoints","Deep wells or two-stage wellpoints"))</f>
        <v>Deep wells or two-stage wellpoints</v>
      </c>
      <c r="AI170" s="30" t="n">
        <f aca="false">MIN(_xlfn.MINIFS('Piece check'!$Z$6:$Z$1643,'Piece check'!$B$6:$B$1643,B170),_xlfn.MINIFS('Piece check'!$AA$6:$AA$1643,'Piece check'!$B$6:$B$1643,B170))</f>
        <v>3.00540092236055</v>
      </c>
      <c r="AJ170" s="30" t="n">
        <f aca="false">MIN(_xlfn.MINIFS('Piece check'!$AB$6:$AB$1643,'Piece check'!$B$6:$B$1643,B170),_xlfn.MINIFS('Piece check'!$AC$6:$AC$1643,'Piece check'!$B$6:$B$1643,B170))</f>
        <v>5.84225603012431</v>
      </c>
      <c r="AK170" s="12" t="str">
        <f aca="false">IF(AJ170&lt;FOS_FLOT,"Anchor pipe to piled slab (permanent straps)",IF(AI170&lt;FOS_FLOT,"Keep dewatering on until fill reaches FL, or strap to slab","No extra measure"))</f>
        <v>No extra measure</v>
      </c>
      <c r="AL170" s="35" t="n">
        <f aca="false">Activities!P1811</f>
        <v>46469</v>
      </c>
      <c r="AM170" s="35" t="n">
        <f aca="false">Activities!Q1820</f>
        <v>46567</v>
      </c>
      <c r="AN170" s="15" t="n">
        <v>60</v>
      </c>
      <c r="AO170" s="36" t="s">
        <v>2567</v>
      </c>
      <c r="AP170" s="36" t="s">
        <v>2868</v>
      </c>
      <c r="AQ170" s="36" t="s">
        <v>2869</v>
      </c>
      <c r="AR170" s="37" t="n">
        <f aca="false">Activities!P1819-Activities!Q1817</f>
        <v>-1</v>
      </c>
      <c r="AS170" s="37" t="n">
        <f aca="false">IF(Activities!K1814=0,0,Activities!Q1820-Activities!P1814)</f>
        <v>95</v>
      </c>
    </row>
    <row r="171" customFormat="false" ht="15" hidden="false" customHeight="false" outlineLevel="0" collapsed="false">
      <c r="A171" s="15" t="s">
        <v>1502</v>
      </c>
      <c r="B171" s="29" t="s">
        <v>1503</v>
      </c>
      <c r="C171" s="15" t="s">
        <v>403</v>
      </c>
      <c r="D171" s="15" t="s">
        <v>2870</v>
      </c>
      <c r="E171" s="15" t="s">
        <v>2518</v>
      </c>
      <c r="F171" s="15" t="n">
        <v>28</v>
      </c>
      <c r="G171" s="15" t="s">
        <v>2367</v>
      </c>
      <c r="H171" s="15" t="s">
        <v>327</v>
      </c>
      <c r="I171" s="35" t="n">
        <f aca="false">MAX(Structures!$H$18)</f>
        <v>0</v>
      </c>
      <c r="J171" s="15"/>
      <c r="K171" s="16" t="n">
        <v>0</v>
      </c>
      <c r="L171" s="15" t="s">
        <v>358</v>
      </c>
      <c r="M171" s="15" t="n">
        <v>0</v>
      </c>
      <c r="N171" s="30" t="n">
        <f aca="false">_xlfn.MAXIFS('Piece check'!$E$6:$E$1643,'Piece check'!$B$6:$B$1643,B171)</f>
        <v>0.999996197245304</v>
      </c>
      <c r="O171" s="31" t="n">
        <f aca="false">SUMIFS('Piece check'!$D$6:$D$1643,'Piece check'!$B$6:$B$1643,B171)</f>
        <v>6.00000000003895</v>
      </c>
      <c r="P171" s="32" t="n">
        <v>-5.39999809862265</v>
      </c>
      <c r="Q171" s="32" t="n">
        <v>-5.39999809862265</v>
      </c>
      <c r="R171" s="30" t="n">
        <f aca="false">_xlfn.MINIFS('Piece check'!$K$6:$K$1643,'Piece check'!$B$6:$B$1643,B171)</f>
        <v>-5.39999809862265</v>
      </c>
      <c r="S171" s="18" t="n">
        <f aca="false">MAX(0,GWL-R171)</f>
        <v>3.89999809862265</v>
      </c>
      <c r="T171" s="18" t="n">
        <f aca="false">MAX(0,NG-R171)</f>
        <v>4.69999809862265</v>
      </c>
      <c r="U171" s="31" t="n">
        <f aca="false">SUMIFS('Piece check'!$R$6:$R$1643,'Piece check'!$B$6:$B$1643,B171)</f>
        <v>6.00000000003895</v>
      </c>
      <c r="V171" s="21" t="n">
        <f aca="false">O171-U171</f>
        <v>0</v>
      </c>
      <c r="W171" s="12" t="str">
        <f aca="false">IF(U171&lt;0.05,"Open cut",IF(V171&lt;0.05,"Sheet piles","Mixed: "&amp;TEXT(U171,"0")&amp;" m sheet piles"))</f>
        <v>Sheet piles</v>
      </c>
      <c r="X171" s="33" t="n">
        <f aca="false">SUMIFS('Piece check'!$V$6:$V$1643,'Piece check'!$B$6:$B$1643,B171)</f>
        <v>84.5998585381178</v>
      </c>
      <c r="Y171" s="33" t="n">
        <f aca="false">SUMIFS('Piece check'!$W$6:$W$1643,'Piece check'!$B$6:$B$1643,B171)</f>
        <v>0</v>
      </c>
      <c r="Z171" s="33" t="n">
        <f aca="false">SUMIFS('Piece check'!$X$6:$X$1643,'Piece check'!$B$6:$B$1643,B171)</f>
        <v>5.99998859177486</v>
      </c>
      <c r="AA171" s="33" t="n">
        <f aca="false">SUMIFS('Piece check'!$Y$6:$Y$1643,'Piece check'!$B$6:$B$1643,B171)</f>
        <v>4.71235314036477</v>
      </c>
      <c r="AB171" s="20" t="n">
        <f aca="false">MAX(0,X171+Y171-Z171-AA171)</f>
        <v>73.8875168059782</v>
      </c>
      <c r="AC171" s="20" t="n">
        <f aca="false">(ROUNDUP(O171/PILE_SP,0)+1)*IF(N171&gt;=PILE_THR,PILE_N_LARGE,PILE_N_SMALL)</f>
        <v>4</v>
      </c>
      <c r="AD171" s="20" t="n">
        <f aca="false">2*U171</f>
        <v>12.0000000000779</v>
      </c>
      <c r="AE171" s="34" t="n">
        <f aca="false">IF(U171&gt;0,ROUNDUP(T171*SHEET_RATIO,0),0)</f>
        <v>10</v>
      </c>
      <c r="AF171" s="20" t="n">
        <f aca="false">AD171*AE171</f>
        <v>120.000000000779</v>
      </c>
      <c r="AG171" s="18" t="n">
        <f aca="false">MAX(0,GWL-(R171-DD_BELOW))</f>
        <v>4.39999809862265</v>
      </c>
      <c r="AH171" s="12" t="str">
        <f aca="false">IF(AG171=0,"Not required",IF(AG171&lt;=WP_LIMIT,"Single-stage wellpoints","Deep wells or two-stage wellpoints"))</f>
        <v>Single-stage wellpoints</v>
      </c>
      <c r="AI171" s="30" t="n">
        <f aca="false">MIN(_xlfn.MINIFS('Piece check'!$Z$6:$Z$1643,'Piece check'!$B$6:$B$1643,B171),_xlfn.MINIFS('Piece check'!$AA$6:$AA$1643,'Piece check'!$B$6:$B$1643,B171))</f>
        <v>4.42014583653299</v>
      </c>
      <c r="AJ171" s="30" t="n">
        <f aca="false">MIN(_xlfn.MINIFS('Piece check'!$AB$6:$AB$1643,'Piece check'!$B$6:$B$1643,B171),_xlfn.MINIFS('Piece check'!$AC$6:$AC$1643,'Piece check'!$B$6:$B$1643,B171))</f>
        <v>8.39173383134234</v>
      </c>
      <c r="AK171" s="12" t="str">
        <f aca="false">IF(AJ171&lt;FOS_FLOT,"Anchor pipe to piled slab (permanent straps)",IF(AI171&lt;FOS_FLOT,"Keep dewatering on until fill reaches FL, or strap to slab","No extra measure"))</f>
        <v>No extra measure</v>
      </c>
      <c r="AL171" s="35" t="n">
        <f aca="false">Activities!P1822</f>
        <v>46460</v>
      </c>
      <c r="AM171" s="35" t="n">
        <f aca="false">Activities!Q1831</f>
        <v>46557</v>
      </c>
      <c r="AN171" s="15" t="n">
        <v>66</v>
      </c>
      <c r="AO171" s="36" t="s">
        <v>2519</v>
      </c>
      <c r="AP171" s="36" t="s">
        <v>2871</v>
      </c>
      <c r="AQ171" s="36" t="s">
        <v>2872</v>
      </c>
      <c r="AR171" s="37" t="n">
        <f aca="false">Activities!P1830-Activities!Q1828</f>
        <v>-1</v>
      </c>
      <c r="AS171" s="37" t="n">
        <f aca="false">IF(Activities!K1825=0,0,Activities!Q1831-Activities!P1825)</f>
        <v>94</v>
      </c>
    </row>
    <row r="172" customFormat="false" ht="15" hidden="false" customHeight="false" outlineLevel="0" collapsed="false">
      <c r="A172" s="15" t="s">
        <v>1502</v>
      </c>
      <c r="B172" s="29" t="s">
        <v>1539</v>
      </c>
      <c r="C172" s="15" t="s">
        <v>403</v>
      </c>
      <c r="D172" s="15" t="s">
        <v>2873</v>
      </c>
      <c r="E172" s="15" t="s">
        <v>2518</v>
      </c>
      <c r="F172" s="15" t="n">
        <v>28</v>
      </c>
      <c r="G172" s="15" t="s">
        <v>2362</v>
      </c>
      <c r="H172" s="15"/>
      <c r="I172" s="16" t="n">
        <v>0</v>
      </c>
      <c r="J172" s="15"/>
      <c r="K172" s="16" t="n">
        <v>0</v>
      </c>
      <c r="L172" s="15" t="s">
        <v>358</v>
      </c>
      <c r="M172" s="15" t="n">
        <v>0</v>
      </c>
      <c r="N172" s="30" t="n">
        <f aca="false">_xlfn.MAXIFS('Piece check'!$E$6:$E$1643,'Piece check'!$B$6:$B$1643,B172)</f>
        <v>1.39998995785113</v>
      </c>
      <c r="O172" s="31" t="n">
        <f aca="false">SUMIFS('Piece check'!$D$6:$D$1643,'Piece check'!$B$6:$B$1643,B172)</f>
        <v>16.0999999999617</v>
      </c>
      <c r="P172" s="32" t="n">
        <v>-5.50159729608297</v>
      </c>
      <c r="Q172" s="32" t="n">
        <v>-5.56112767764389</v>
      </c>
      <c r="R172" s="30" t="n">
        <f aca="false">_xlfn.MINIFS('Piece check'!$K$6:$K$1643,'Piece check'!$B$6:$B$1643,B172)</f>
        <v>-5.56112767764389</v>
      </c>
      <c r="S172" s="18" t="n">
        <f aca="false">MAX(0,GWL-R172)</f>
        <v>4.06112767764389</v>
      </c>
      <c r="T172" s="18" t="n">
        <f aca="false">MAX(0,NG-R172)</f>
        <v>4.86112767764389</v>
      </c>
      <c r="U172" s="31" t="n">
        <f aca="false">SUMIFS('Piece check'!$R$6:$R$1643,'Piece check'!$B$6:$B$1643,B172)</f>
        <v>16.0999999999617</v>
      </c>
      <c r="V172" s="21" t="n">
        <f aca="false">O172-U172</f>
        <v>0</v>
      </c>
      <c r="W172" s="12" t="str">
        <f aca="false">IF(U172&lt;0.05,"Open cut",IF(V172&lt;0.05,"Sheet piles","Mixed: "&amp;TEXT(U172,"0")&amp;" m sheet piles"))</f>
        <v>Sheet piles</v>
      </c>
      <c r="X172" s="33" t="n">
        <f aca="false">SUMIFS('Piece check'!$V$6:$V$1643,'Piece check'!$B$6:$B$1643,B172)</f>
        <v>264.46800140235</v>
      </c>
      <c r="Y172" s="33" t="n">
        <f aca="false">SUMIFS('Piece check'!$W$6:$W$1643,'Piece check'!$B$6:$B$1643,B172)</f>
        <v>0</v>
      </c>
      <c r="Z172" s="33" t="n">
        <f aca="false">SUMIFS('Piece check'!$X$6:$X$1643,'Piece check'!$B$6:$B$1643,B172)</f>
        <v>19.3199191606556</v>
      </c>
      <c r="AA172" s="33" t="n">
        <f aca="false">SUMIFS('Piece check'!$Y$6:$Y$1643,'Piece check'!$B$6:$B$1643,B172)</f>
        <v>24.7836688955816</v>
      </c>
      <c r="AB172" s="20" t="n">
        <f aca="false">MAX(0,X172+Y172-Z172-AA172)</f>
        <v>220.364413346113</v>
      </c>
      <c r="AC172" s="20" t="n">
        <f aca="false">(ROUNDUP(O172/PILE_SP,0)+1)*IF(N172&gt;=PILE_THR,PILE_N_LARGE,PILE_N_SMALL)</f>
        <v>14</v>
      </c>
      <c r="AD172" s="20" t="n">
        <f aca="false">2*U172</f>
        <v>32.1999999999234</v>
      </c>
      <c r="AE172" s="34" t="n">
        <f aca="false">IF(U172&gt;0,ROUNDUP(T172*SHEET_RATIO,0),0)</f>
        <v>10</v>
      </c>
      <c r="AF172" s="20" t="n">
        <f aca="false">AD172*AE172</f>
        <v>321.999999999234</v>
      </c>
      <c r="AG172" s="18" t="n">
        <f aca="false">MAX(0,GWL-(R172-DD_BELOW))</f>
        <v>4.56112767764389</v>
      </c>
      <c r="AH172" s="12" t="str">
        <f aca="false">IF(AG172=0,"Not required",IF(AG172&lt;=WP_LIMIT,"Single-stage wellpoints","Deep wells or two-stage wellpoints"))</f>
        <v>Deep wells or two-stage wellpoints</v>
      </c>
      <c r="AI172" s="30" t="n">
        <f aca="false">MIN(_xlfn.MINIFS('Piece check'!$Z$6:$Z$1643,'Piece check'!$B$6:$B$1643,B172),_xlfn.MINIFS('Piece check'!$AA$6:$AA$1643,'Piece check'!$B$6:$B$1643,B172))</f>
        <v>2.93069361728243</v>
      </c>
      <c r="AJ172" s="30" t="n">
        <f aca="false">MIN(_xlfn.MINIFS('Piece check'!$AB$6:$AB$1643,'Piece check'!$B$6:$B$1643,B172),_xlfn.MINIFS('Piece check'!$AC$6:$AC$1643,'Piece check'!$B$6:$B$1643,B172))</f>
        <v>5.76755174584394</v>
      </c>
      <c r="AK172" s="12" t="str">
        <f aca="false">IF(AJ172&lt;FOS_FLOT,"Anchor pipe to piled slab (permanent straps)",IF(AI172&lt;FOS_FLOT,"Keep dewatering on until fill reaches FL, or strap to slab","No extra measure"))</f>
        <v>No extra measure</v>
      </c>
      <c r="AL172" s="35" t="n">
        <f aca="false">Activities!P1833</f>
        <v>46469</v>
      </c>
      <c r="AM172" s="35" t="n">
        <f aca="false">Activities!Q1842</f>
        <v>46568</v>
      </c>
      <c r="AN172" s="15" t="n">
        <v>67</v>
      </c>
      <c r="AO172" s="36" t="s">
        <v>2567</v>
      </c>
      <c r="AP172" s="36" t="s">
        <v>2874</v>
      </c>
      <c r="AQ172" s="36" t="s">
        <v>2847</v>
      </c>
      <c r="AR172" s="37" t="n">
        <f aca="false">Activities!P1841-Activities!Q1839</f>
        <v>-1</v>
      </c>
      <c r="AS172" s="37" t="n">
        <f aca="false">IF(Activities!K1836=0,0,Activities!Q1842-Activities!P1836)</f>
        <v>79</v>
      </c>
    </row>
    <row r="173" customFormat="false" ht="15" hidden="false" customHeight="false" outlineLevel="0" collapsed="false">
      <c r="A173" s="15" t="s">
        <v>1502</v>
      </c>
      <c r="B173" s="29" t="s">
        <v>1535</v>
      </c>
      <c r="C173" s="15" t="s">
        <v>403</v>
      </c>
      <c r="D173" s="15" t="s">
        <v>2875</v>
      </c>
      <c r="E173" s="15" t="s">
        <v>2518</v>
      </c>
      <c r="F173" s="15" t="n">
        <v>28</v>
      </c>
      <c r="G173" s="15" t="s">
        <v>2362</v>
      </c>
      <c r="H173" s="15"/>
      <c r="I173" s="16" t="n">
        <v>0</v>
      </c>
      <c r="J173" s="15"/>
      <c r="K173" s="16" t="n">
        <v>0</v>
      </c>
      <c r="L173" s="15" t="s">
        <v>358</v>
      </c>
      <c r="M173" s="15" t="n">
        <v>1</v>
      </c>
      <c r="N173" s="30" t="n">
        <f aca="false">_xlfn.MAXIFS('Piece check'!$E$6:$E$1643,'Piece check'!$B$6:$B$1643,B173)</f>
        <v>1.4000025143069</v>
      </c>
      <c r="O173" s="31" t="n">
        <f aca="false">SUMIFS('Piece check'!$D$6:$D$1643,'Piece check'!$B$6:$B$1643,B173)</f>
        <v>5.18840520727568</v>
      </c>
      <c r="P173" s="32" t="n">
        <v>-5.48242125715345</v>
      </c>
      <c r="Q173" s="32" t="n">
        <v>-5.50159729608297</v>
      </c>
      <c r="R173" s="30" t="n">
        <f aca="false">_xlfn.MINIFS('Piece check'!$K$6:$K$1643,'Piece check'!$B$6:$B$1643,B173)</f>
        <v>-5.50159729608297</v>
      </c>
      <c r="S173" s="18" t="n">
        <f aca="false">MAX(0,GWL-R173)</f>
        <v>4.00159729608297</v>
      </c>
      <c r="T173" s="18" t="n">
        <f aca="false">MAX(0,NG-R173)</f>
        <v>4.80159729608297</v>
      </c>
      <c r="U173" s="31" t="n">
        <f aca="false">SUMIFS('Piece check'!$R$6:$R$1643,'Piece check'!$B$6:$B$1643,B173)</f>
        <v>5.18840520727568</v>
      </c>
      <c r="V173" s="21" t="n">
        <f aca="false">O173-U173</f>
        <v>0</v>
      </c>
      <c r="W173" s="12" t="str">
        <f aca="false">IF(U173&lt;0.05,"Open cut",IF(V173&lt;0.05,"Sheet piles","Mixed: "&amp;TEXT(U173,"0")&amp;" m sheet piles"))</f>
        <v>Sheet piles</v>
      </c>
      <c r="X173" s="33" t="n">
        <f aca="false">SUMIFS('Piece check'!$V$6:$V$1643,'Piece check'!$B$6:$B$1643,B173)</f>
        <v>84.5336113963685</v>
      </c>
      <c r="Y173" s="33" t="n">
        <f aca="false">SUMIFS('Piece check'!$W$6:$W$1643,'Piece check'!$B$6:$B$1643,B173)</f>
        <v>0</v>
      </c>
      <c r="Z173" s="33" t="n">
        <f aca="false">SUMIFS('Piece check'!$X$6:$X$1643,'Piece check'!$B$6:$B$1643,B173)</f>
        <v>6.22607021566727</v>
      </c>
      <c r="AA173" s="33" t="n">
        <f aca="false">SUMIFS('Piece check'!$Y$6:$Y$1643,'Piece check'!$B$6:$B$1643,B173)</f>
        <v>7.98685876786154</v>
      </c>
      <c r="AB173" s="20" t="n">
        <f aca="false">MAX(0,X173+Y173-Z173-AA173)</f>
        <v>70.3206824128397</v>
      </c>
      <c r="AC173" s="20" t="n">
        <f aca="false">(ROUNDUP(O173/PILE_SP,0)+1)*IF(N173&gt;=PILE_THR,PILE_N_LARGE,PILE_N_SMALL)</f>
        <v>6</v>
      </c>
      <c r="AD173" s="20" t="n">
        <f aca="false">2*U173</f>
        <v>10.3768104145514</v>
      </c>
      <c r="AE173" s="34" t="n">
        <f aca="false">IF(U173&gt;0,ROUNDUP(T173*SHEET_RATIO,0),0)</f>
        <v>10</v>
      </c>
      <c r="AF173" s="20" t="n">
        <f aca="false">AD173*AE173</f>
        <v>103.768104145514</v>
      </c>
      <c r="AG173" s="18" t="n">
        <f aca="false">MAX(0,GWL-(R173-DD_BELOW))</f>
        <v>4.50159729608297</v>
      </c>
      <c r="AH173" s="12" t="str">
        <f aca="false">IF(AG173=0,"Not required",IF(AG173&lt;=WP_LIMIT,"Single-stage wellpoints","Deep wells or two-stage wellpoints"))</f>
        <v>Deep wells or two-stage wellpoints</v>
      </c>
      <c r="AI173" s="30" t="n">
        <f aca="false">MIN(_xlfn.MINIFS('Piece check'!$Z$6:$Z$1643,'Piece check'!$B$6:$B$1643,B173),_xlfn.MINIFS('Piece check'!$AA$6:$AA$1643,'Piece check'!$B$6:$B$1643,B173))</f>
        <v>2.91609800887015</v>
      </c>
      <c r="AJ173" s="30" t="n">
        <f aca="false">MIN(_xlfn.MINIFS('Piece check'!$AB$6:$AB$1643,'Piece check'!$B$6:$B$1643,B173),_xlfn.MINIFS('Piece check'!$AC$6:$AC$1643,'Piece check'!$B$6:$B$1643,B173))</f>
        <v>5.75293069398904</v>
      </c>
      <c r="AK173" s="12" t="str">
        <f aca="false">IF(AJ173&lt;FOS_FLOT,"Anchor pipe to piled slab (permanent straps)",IF(AI173&lt;FOS_FLOT,"Keep dewatering on until fill reaches FL, or strap to slab","No extra measure"))</f>
        <v>No extra measure</v>
      </c>
      <c r="AL173" s="35" t="n">
        <f aca="false">Activities!P1844</f>
        <v>46472</v>
      </c>
      <c r="AM173" s="35" t="n">
        <f aca="false">Activities!Q1853</f>
        <v>46573</v>
      </c>
      <c r="AN173" s="15" t="n">
        <v>68</v>
      </c>
      <c r="AO173" s="36" t="s">
        <v>2567</v>
      </c>
      <c r="AP173" s="36" t="s">
        <v>2416</v>
      </c>
      <c r="AQ173" s="36" t="s">
        <v>2365</v>
      </c>
      <c r="AR173" s="37" t="n">
        <f aca="false">Activities!P1852-Activities!Q1850</f>
        <v>-1</v>
      </c>
      <c r="AS173" s="37" t="n">
        <f aca="false">IF(Activities!K1847=0,0,Activities!Q1853-Activities!P1847)</f>
        <v>81</v>
      </c>
    </row>
    <row r="174" customFormat="false" ht="15" hidden="false" customHeight="false" outlineLevel="0" collapsed="false">
      <c r="A174" s="15" t="s">
        <v>1502</v>
      </c>
      <c r="B174" s="29" t="s">
        <v>1553</v>
      </c>
      <c r="C174" s="15" t="s">
        <v>403</v>
      </c>
      <c r="D174" s="15" t="s">
        <v>2876</v>
      </c>
      <c r="E174" s="15" t="s">
        <v>2518</v>
      </c>
      <c r="F174" s="15" t="n">
        <v>28</v>
      </c>
      <c r="G174" s="15" t="s">
        <v>2362</v>
      </c>
      <c r="H174" s="15"/>
      <c r="I174" s="16" t="n">
        <v>0</v>
      </c>
      <c r="J174" s="15"/>
      <c r="K174" s="16" t="n">
        <v>0</v>
      </c>
      <c r="L174" s="15" t="s">
        <v>358</v>
      </c>
      <c r="M174" s="15" t="n">
        <v>2</v>
      </c>
      <c r="N174" s="30" t="n">
        <f aca="false">_xlfn.MAXIFS('Piece check'!$E$6:$E$1643,'Piece check'!$B$6:$B$1643,B174)</f>
        <v>1.40012061986027</v>
      </c>
      <c r="O174" s="31" t="n">
        <f aca="false">SUMIFS('Piece check'!$D$6:$D$1643,'Piece check'!$B$6:$B$1643,B174)</f>
        <v>15.8256832941216</v>
      </c>
      <c r="P174" s="32" t="n">
        <v>-5.40000161384492</v>
      </c>
      <c r="Q174" s="32" t="n">
        <v>-5.48248030993014</v>
      </c>
      <c r="R174" s="30" t="n">
        <f aca="false">_xlfn.MINIFS('Piece check'!$K$6:$K$1643,'Piece check'!$B$6:$B$1643,B174)</f>
        <v>-5.60006030993014</v>
      </c>
      <c r="S174" s="18" t="n">
        <f aca="false">MAX(0,GWL-R174)</f>
        <v>4.10006030993014</v>
      </c>
      <c r="T174" s="18" t="n">
        <f aca="false">MAX(0,NG-R174)</f>
        <v>4.90006030993014</v>
      </c>
      <c r="U174" s="31" t="n">
        <f aca="false">SUMIFS('Piece check'!$R$6:$R$1643,'Piece check'!$B$6:$B$1643,B174)</f>
        <v>15.8256832941216</v>
      </c>
      <c r="V174" s="21" t="n">
        <f aca="false">O174-U174</f>
        <v>0</v>
      </c>
      <c r="W174" s="12" t="str">
        <f aca="false">IF(U174&lt;0.05,"Open cut",IF(V174&lt;0.05,"Sheet piles","Mixed: "&amp;TEXT(U174,"0")&amp;" m sheet piles"))</f>
        <v>Sheet piles</v>
      </c>
      <c r="X174" s="33" t="n">
        <f aca="false">SUMIFS('Piece check'!$V$6:$V$1643,'Piece check'!$B$6:$B$1643,B174)</f>
        <v>236.88237954388</v>
      </c>
      <c r="Y174" s="33" t="n">
        <f aca="false">SUMIFS('Piece check'!$W$6:$W$1643,'Piece check'!$B$6:$B$1643,B174)</f>
        <v>0</v>
      </c>
      <c r="Z174" s="33" t="n">
        <f aca="false">SUMIFS('Piece check'!$X$6:$X$1643,'Piece check'!$B$6:$B$1643,B174)</f>
        <v>16.9186590616416</v>
      </c>
      <c r="AA174" s="33" t="n">
        <f aca="false">SUMIFS('Piece check'!$Y$6:$Y$1643,'Piece check'!$B$6:$B$1643,B174)</f>
        <v>16.55008073836</v>
      </c>
      <c r="AB174" s="20" t="n">
        <f aca="false">MAX(0,X174+Y174-Z174-AA174)</f>
        <v>203.413639743879</v>
      </c>
      <c r="AC174" s="20" t="n">
        <f aca="false">(ROUNDUP(O174/PILE_SP,0)+1)*IF(N174&gt;=PILE_THR,PILE_N_LARGE,PILE_N_SMALL)</f>
        <v>14</v>
      </c>
      <c r="AD174" s="20" t="n">
        <f aca="false">2*U174</f>
        <v>31.6513665882432</v>
      </c>
      <c r="AE174" s="34" t="n">
        <f aca="false">IF(U174&gt;0,ROUNDUP(T174*SHEET_RATIO,0),0)</f>
        <v>10</v>
      </c>
      <c r="AF174" s="20" t="n">
        <f aca="false">AD174*AE174</f>
        <v>316.513665882432</v>
      </c>
      <c r="AG174" s="18" t="n">
        <f aca="false">MAX(0,GWL-(R174-DD_BELOW))</f>
        <v>4.60006030993014</v>
      </c>
      <c r="AH174" s="12" t="str">
        <f aca="false">IF(AG174=0,"Not required",IF(AG174&lt;=WP_LIMIT,"Single-stage wellpoints","Deep wells or two-stage wellpoints"))</f>
        <v>Deep wells or two-stage wellpoints</v>
      </c>
      <c r="AI174" s="30" t="n">
        <f aca="false">MIN(_xlfn.MINIFS('Piece check'!$Z$6:$Z$1643,'Piece check'!$B$6:$B$1643,B174),_xlfn.MINIFS('Piece check'!$AA$6:$AA$1643,'Piece check'!$B$6:$B$1643,B174))</f>
        <v>2.91580719158471</v>
      </c>
      <c r="AJ174" s="30" t="n">
        <f aca="false">MIN(_xlfn.MINIFS('Piece check'!$AB$6:$AB$1643,'Piece check'!$B$6:$B$1643,B174),_xlfn.MINIFS('Piece check'!$AC$6:$AC$1643,'Piece check'!$B$6:$B$1643,B174))</f>
        <v>5.75240057896787</v>
      </c>
      <c r="AK174" s="12" t="str">
        <f aca="false">IF(AJ174&lt;FOS_FLOT,"Anchor pipe to piled slab (permanent straps)",IF(AI174&lt;FOS_FLOT,"Keep dewatering on until fill reaches FL, or strap to slab","No extra measure"))</f>
        <v>No extra measure</v>
      </c>
      <c r="AL174" s="35" t="n">
        <f aca="false">Activities!P1855</f>
        <v>46476</v>
      </c>
      <c r="AM174" s="35" t="n">
        <f aca="false">Activities!Q1864</f>
        <v>46579</v>
      </c>
      <c r="AN174" s="15" t="n">
        <v>69</v>
      </c>
      <c r="AO174" s="36" t="s">
        <v>2564</v>
      </c>
      <c r="AP174" s="36" t="s">
        <v>2416</v>
      </c>
      <c r="AQ174" s="36" t="s">
        <v>2877</v>
      </c>
      <c r="AR174" s="37" t="n">
        <f aca="false">Activities!P1863-Activities!Q1861</f>
        <v>-2</v>
      </c>
      <c r="AS174" s="37" t="n">
        <f aca="false">IF(Activities!K1858=0,0,Activities!Q1864-Activities!P1858)</f>
        <v>85</v>
      </c>
    </row>
    <row r="175" customFormat="false" ht="15" hidden="false" customHeight="false" outlineLevel="0" collapsed="false">
      <c r="A175" s="15" t="s">
        <v>1502</v>
      </c>
      <c r="B175" s="29" t="s">
        <v>1551</v>
      </c>
      <c r="C175" s="15" t="s">
        <v>403</v>
      </c>
      <c r="D175" s="15" t="s">
        <v>2878</v>
      </c>
      <c r="E175" s="15" t="s">
        <v>2518</v>
      </c>
      <c r="F175" s="15" t="n">
        <v>28</v>
      </c>
      <c r="G175" s="15" t="s">
        <v>2367</v>
      </c>
      <c r="H175" s="15" t="s">
        <v>348</v>
      </c>
      <c r="I175" s="35" t="n">
        <f aca="false">MAX(Structures!$H$26)</f>
        <v>0</v>
      </c>
      <c r="J175" s="15"/>
      <c r="K175" s="16" t="n">
        <v>0</v>
      </c>
      <c r="L175" s="15" t="s">
        <v>358</v>
      </c>
      <c r="M175" s="15" t="n">
        <v>1</v>
      </c>
      <c r="N175" s="30" t="n">
        <f aca="false">_xlfn.MAXIFS('Piece check'!$E$6:$E$1643,'Piece check'!$B$6:$B$1643,B175)</f>
        <v>0.980782715697899</v>
      </c>
      <c r="O175" s="31" t="n">
        <f aca="false">SUMIFS('Piece check'!$D$6:$D$1643,'Piece check'!$B$6:$B$1643,B175)</f>
        <v>0.636396937728476</v>
      </c>
      <c r="P175" s="32" t="n">
        <v>-5.39039135784895</v>
      </c>
      <c r="Q175" s="32" t="n">
        <v>-5.39039135784895</v>
      </c>
      <c r="R175" s="30" t="n">
        <f aca="false">_xlfn.MINIFS('Piece check'!$K$6:$K$1643,'Piece check'!$B$6:$B$1643,B175)</f>
        <v>-5.39039135784895</v>
      </c>
      <c r="S175" s="18" t="n">
        <f aca="false">MAX(0,GWL-R175)</f>
        <v>3.89039135784895</v>
      </c>
      <c r="T175" s="18" t="n">
        <f aca="false">MAX(0,NG-R175)</f>
        <v>4.69039135784895</v>
      </c>
      <c r="U175" s="31" t="n">
        <f aca="false">SUMIFS('Piece check'!$R$6:$R$1643,'Piece check'!$B$6:$B$1643,B175)</f>
        <v>0.636396937728476</v>
      </c>
      <c r="V175" s="21" t="n">
        <f aca="false">O175-U175</f>
        <v>0</v>
      </c>
      <c r="W175" s="12" t="str">
        <f aca="false">IF(U175&lt;0.05,"Open cut",IF(V175&lt;0.05,"Sheet piles","Mixed: "&amp;TEXT(U175,"0")&amp;" m sheet piles"))</f>
        <v>Sheet piles</v>
      </c>
      <c r="X175" s="33" t="n">
        <f aca="false">SUMIFS('Piece check'!$V$6:$V$1643,'Piece check'!$B$6:$B$1643,B175)</f>
        <v>8.89748944447978</v>
      </c>
      <c r="Y175" s="33" t="n">
        <f aca="false">SUMIFS('Piece check'!$W$6:$W$1643,'Piece check'!$B$6:$B$1643,B175)</f>
        <v>0</v>
      </c>
      <c r="Z175" s="33" t="n">
        <f aca="false">SUMIFS('Piece check'!$X$6:$X$1643,'Piece check'!$B$6:$B$1643,B175)</f>
        <v>0.630282027287819</v>
      </c>
      <c r="AA175" s="33" t="n">
        <f aca="false">SUMIFS('Piece check'!$Y$6:$Y$1643,'Piece check'!$B$6:$B$1643,B175)</f>
        <v>0.480799015740608</v>
      </c>
      <c r="AB175" s="20" t="n">
        <f aca="false">MAX(0,X175+Y175-Z175-AA175)</f>
        <v>7.78640840145135</v>
      </c>
      <c r="AC175" s="20" t="n">
        <f aca="false">(ROUNDUP(O175/PILE_SP,0)+1)*IF(N175&gt;=PILE_THR,PILE_N_LARGE,PILE_N_SMALL)</f>
        <v>2</v>
      </c>
      <c r="AD175" s="20" t="n">
        <f aca="false">2*U175</f>
        <v>1.27279387545695</v>
      </c>
      <c r="AE175" s="34" t="n">
        <f aca="false">IF(U175&gt;0,ROUNDUP(T175*SHEET_RATIO,0),0)</f>
        <v>10</v>
      </c>
      <c r="AF175" s="20" t="n">
        <f aca="false">AD175*AE175</f>
        <v>12.7279387545695</v>
      </c>
      <c r="AG175" s="18" t="n">
        <f aca="false">MAX(0,GWL-(R175-DD_BELOW))</f>
        <v>4.39039135784895</v>
      </c>
      <c r="AH175" s="12" t="str">
        <f aca="false">IF(AG175=0,"Not required",IF(AG175&lt;=WP_LIMIT,"Single-stage wellpoints","Deep wells or two-stage wellpoints"))</f>
        <v>Single-stage wellpoints</v>
      </c>
      <c r="AI175" s="30" t="n">
        <f aca="false">MIN(_xlfn.MINIFS('Piece check'!$Z$6:$Z$1643,'Piece check'!$B$6:$B$1643,B175),_xlfn.MINIFS('Piece check'!$AA$6:$AA$1643,'Piece check'!$B$6:$B$1643,B175))</f>
        <v>4.51714811885639</v>
      </c>
      <c r="AJ175" s="30" t="n">
        <f aca="false">MIN(_xlfn.MINIFS('Piece check'!$AB$6:$AB$1643,'Piece check'!$B$6:$B$1643,B175),_xlfn.MINIFS('Piece check'!$AC$6:$AC$1643,'Piece check'!$B$6:$B$1643,B175))</f>
        <v>8.5665393125097</v>
      </c>
      <c r="AK175" s="12" t="str">
        <f aca="false">IF(AJ175&lt;FOS_FLOT,"Anchor pipe to piled slab (permanent straps)",IF(AI175&lt;FOS_FLOT,"Keep dewatering on until fill reaches FL, or strap to slab","No extra measure"))</f>
        <v>No extra measure</v>
      </c>
      <c r="AL175" s="35" t="n">
        <f aca="false">Activities!P1866</f>
        <v>46479</v>
      </c>
      <c r="AM175" s="35" t="n">
        <f aca="false">Activities!Q1875</f>
        <v>46584</v>
      </c>
      <c r="AN175" s="15" t="n">
        <v>70</v>
      </c>
      <c r="AO175" s="36" t="s">
        <v>2567</v>
      </c>
      <c r="AP175" s="36" t="s">
        <v>2515</v>
      </c>
      <c r="AQ175" s="36" t="s">
        <v>2879</v>
      </c>
      <c r="AR175" s="37" t="n">
        <f aca="false">Activities!P1874-Activities!Q1872</f>
        <v>-1</v>
      </c>
      <c r="AS175" s="37" t="n">
        <f aca="false">IF(Activities!K1869=0,0,Activities!Q1875-Activities!P1869)</f>
        <v>102</v>
      </c>
    </row>
    <row r="176" customFormat="false" ht="15" hidden="false" customHeight="false" outlineLevel="0" collapsed="false">
      <c r="A176" s="15" t="s">
        <v>1502</v>
      </c>
      <c r="B176" s="29" t="s">
        <v>1570</v>
      </c>
      <c r="C176" s="15" t="s">
        <v>403</v>
      </c>
      <c r="D176" s="15" t="s">
        <v>2880</v>
      </c>
      <c r="E176" s="15" t="s">
        <v>2518</v>
      </c>
      <c r="F176" s="15" t="n">
        <v>28</v>
      </c>
      <c r="G176" s="15" t="s">
        <v>2362</v>
      </c>
      <c r="H176" s="15"/>
      <c r="I176" s="16" t="n">
        <v>0</v>
      </c>
      <c r="J176" s="15"/>
      <c r="K176" s="16" t="n">
        <v>0</v>
      </c>
      <c r="L176" s="15" t="s">
        <v>358</v>
      </c>
      <c r="M176" s="15" t="n">
        <v>5</v>
      </c>
      <c r="N176" s="30" t="n">
        <f aca="false">_xlfn.MAXIFS('Piece check'!$E$6:$E$1643,'Piece check'!$B$6:$B$1643,B176)</f>
        <v>0.999996352933141</v>
      </c>
      <c r="O176" s="31" t="n">
        <f aca="false">SUMIFS('Piece check'!$D$6:$D$1643,'Piece check'!$B$6:$B$1643,B176)</f>
        <v>31.4976860234119</v>
      </c>
      <c r="P176" s="32" t="n">
        <v>-4.09999562689627</v>
      </c>
      <c r="Q176" s="32" t="n">
        <v>-4.09039266305184</v>
      </c>
      <c r="R176" s="30" t="n">
        <f aca="false">_xlfn.MINIFS('Piece check'!$K$6:$K$1643,'Piece check'!$B$6:$B$1643,B176)</f>
        <v>-4.09999817646657</v>
      </c>
      <c r="S176" s="18" t="n">
        <f aca="false">MAX(0,GWL-R176)</f>
        <v>2.59999817646657</v>
      </c>
      <c r="T176" s="18" t="n">
        <f aca="false">MAX(0,NG-R176)</f>
        <v>3.39999817646657</v>
      </c>
      <c r="U176" s="31" t="n">
        <f aca="false">SUMIFS('Piece check'!$R$6:$R$1643,'Piece check'!$B$6:$B$1643,B176)</f>
        <v>31.4976860234119</v>
      </c>
      <c r="V176" s="21" t="n">
        <f aca="false">O176-U176</f>
        <v>0</v>
      </c>
      <c r="W176" s="12" t="str">
        <f aca="false">IF(U176&lt;0.05,"Open cut",IF(V176&lt;0.05,"Sheet piles","Mixed: "&amp;TEXT(U176,"0")&amp;" m sheet piles"))</f>
        <v>Sheet piles</v>
      </c>
      <c r="X176" s="33" t="n">
        <f aca="false">SUMIFS('Piece check'!$V$6:$V$1643,'Piece check'!$B$6:$B$1643,B176)</f>
        <v>321.215925122966</v>
      </c>
      <c r="Y176" s="33" t="n">
        <f aca="false">SUMIFS('Piece check'!$W$6:$W$1643,'Piece check'!$B$6:$B$1643,B176)</f>
        <v>0</v>
      </c>
      <c r="Z176" s="33" t="n">
        <f aca="false">SUMIFS('Piece check'!$X$6:$X$1643,'Piece check'!$B$6:$B$1643,B176)</f>
        <v>31.4915033910993</v>
      </c>
      <c r="AA176" s="33" t="n">
        <f aca="false">SUMIFS('Piece check'!$Y$6:$Y$1643,'Piece check'!$B$6:$B$1643,B176)</f>
        <v>24.7189859802573</v>
      </c>
      <c r="AB176" s="20" t="n">
        <f aca="false">MAX(0,X176+Y176-Z176-AA176)</f>
        <v>265.005435751609</v>
      </c>
      <c r="AC176" s="20" t="n">
        <f aca="false">(ROUNDUP(O176/PILE_SP,0)+1)*IF(N176&gt;=PILE_THR,PILE_N_LARGE,PILE_N_SMALL)</f>
        <v>12</v>
      </c>
      <c r="AD176" s="20" t="n">
        <f aca="false">2*U176</f>
        <v>62.9953720468238</v>
      </c>
      <c r="AE176" s="34" t="n">
        <f aca="false">IF(U176&gt;0,ROUNDUP(T176*SHEET_RATIO,0),0)</f>
        <v>7</v>
      </c>
      <c r="AF176" s="20" t="n">
        <f aca="false">AD176*AE176</f>
        <v>440.967604327767</v>
      </c>
      <c r="AG176" s="18" t="n">
        <f aca="false">MAX(0,GWL-(R176-DD_BELOW))</f>
        <v>3.09999817646657</v>
      </c>
      <c r="AH176" s="12" t="str">
        <f aca="false">IF(AG176=0,"Not required",IF(AG176&lt;=WP_LIMIT,"Single-stage wellpoints","Deep wells or two-stage wellpoints"))</f>
        <v>Single-stage wellpoints</v>
      </c>
      <c r="AI176" s="30" t="n">
        <f aca="false">MIN(_xlfn.MINIFS('Piece check'!$Z$6:$Z$1643,'Piece check'!$B$6:$B$1643,B176),_xlfn.MINIFS('Piece check'!$AA$6:$AA$1643,'Piece check'!$B$6:$B$1643,B176))</f>
        <v>3.03826628139283</v>
      </c>
      <c r="AJ176" s="30" t="n">
        <f aca="false">MIN(_xlfn.MINIFS('Piece check'!$AB$6:$AB$1643,'Piece check'!$B$6:$B$1643,B176),_xlfn.MINIFS('Piece check'!$AC$6:$AC$1643,'Piece check'!$B$6:$B$1643,B176))</f>
        <v>7.00985365787198</v>
      </c>
      <c r="AK176" s="12" t="str">
        <f aca="false">IF(AJ176&lt;FOS_FLOT,"Anchor pipe to piled slab (permanent straps)",IF(AI176&lt;FOS_FLOT,"Keep dewatering on until fill reaches FL, or strap to slab","No extra measure"))</f>
        <v>No extra measure</v>
      </c>
      <c r="AL176" s="35" t="n">
        <f aca="false">Activities!P1877</f>
        <v>46479</v>
      </c>
      <c r="AM176" s="35" t="n">
        <f aca="false">Activities!Q1886</f>
        <v>46586</v>
      </c>
      <c r="AN176" s="15" t="n">
        <v>71</v>
      </c>
      <c r="AO176" s="36" t="s">
        <v>2564</v>
      </c>
      <c r="AP176" s="36" t="s">
        <v>2416</v>
      </c>
      <c r="AQ176" s="36" t="s">
        <v>2877</v>
      </c>
      <c r="AR176" s="37" t="n">
        <f aca="false">Activities!P1885-Activities!Q1883</f>
        <v>-2</v>
      </c>
      <c r="AS176" s="37" t="n">
        <f aca="false">IF(Activities!K1880=0,0,Activities!Q1886-Activities!P1880)</f>
        <v>90</v>
      </c>
    </row>
    <row r="177" customFormat="false" ht="15" hidden="false" customHeight="false" outlineLevel="0" collapsed="false">
      <c r="A177" s="15" t="s">
        <v>1502</v>
      </c>
      <c r="B177" s="29" t="s">
        <v>1518</v>
      </c>
      <c r="C177" s="15" t="s">
        <v>403</v>
      </c>
      <c r="D177" s="15" t="s">
        <v>2881</v>
      </c>
      <c r="E177" s="15" t="s">
        <v>2518</v>
      </c>
      <c r="F177" s="15" t="n">
        <v>28</v>
      </c>
      <c r="G177" s="15" t="s">
        <v>2362</v>
      </c>
      <c r="H177" s="15"/>
      <c r="I177" s="16" t="n">
        <v>0</v>
      </c>
      <c r="J177" s="15"/>
      <c r="K177" s="16" t="n">
        <v>0</v>
      </c>
      <c r="L177" s="15" t="s">
        <v>358</v>
      </c>
      <c r="M177" s="15" t="n">
        <v>8</v>
      </c>
      <c r="N177" s="30" t="n">
        <f aca="false">_xlfn.MAXIFS('Piece check'!$E$6:$E$1643,'Piece check'!$B$6:$B$1643,B177)</f>
        <v>1.4000025143069</v>
      </c>
      <c r="O177" s="31" t="n">
        <f aca="false">SUMIFS('Piece check'!$D$6:$D$1643,'Piece check'!$B$6:$B$1643,B177)</f>
        <v>42.2115947917713</v>
      </c>
      <c r="P177" s="32" t="n">
        <v>-4.14999892423358</v>
      </c>
      <c r="Q177" s="32" t="n">
        <v>-5.48242125715345</v>
      </c>
      <c r="R177" s="30" t="n">
        <f aca="false">_xlfn.MINIFS('Piece check'!$K$6:$K$1643,'Piece check'!$B$6:$B$1643,B177)</f>
        <v>-5.48242125715345</v>
      </c>
      <c r="S177" s="18" t="n">
        <f aca="false">MAX(0,GWL-R177)</f>
        <v>3.98242125715345</v>
      </c>
      <c r="T177" s="18" t="n">
        <f aca="false">MAX(0,NG-R177)</f>
        <v>4.78242125715345</v>
      </c>
      <c r="U177" s="31" t="n">
        <f aca="false">SUMIFS('Piece check'!$R$6:$R$1643,'Piece check'!$B$6:$B$1643,B177)</f>
        <v>42.2115947917713</v>
      </c>
      <c r="V177" s="21" t="n">
        <f aca="false">O177-U177</f>
        <v>0</v>
      </c>
      <c r="W177" s="12" t="str">
        <f aca="false">IF(U177&lt;0.05,"Open cut",IF(V177&lt;0.05,"Sheet piles","Mixed: "&amp;TEXT(U177,"0")&amp;" m sheet piles"))</f>
        <v>Sheet piles</v>
      </c>
      <c r="X177" s="33" t="n">
        <f aca="false">SUMIFS('Piece check'!$V$6:$V$1643,'Piece check'!$B$6:$B$1643,B177)</f>
        <v>463.581084833135</v>
      </c>
      <c r="Y177" s="33" t="n">
        <f aca="false">SUMIFS('Piece check'!$W$6:$W$1643,'Piece check'!$B$6:$B$1643,B177)</f>
        <v>0</v>
      </c>
      <c r="Z177" s="33" t="n">
        <f aca="false">SUMIFS('Piece check'!$X$6:$X$1643,'Piece check'!$B$6:$B$1643,B177)</f>
        <v>42.7819678523218</v>
      </c>
      <c r="AA177" s="33" t="n">
        <f aca="false">SUMIFS('Piece check'!$Y$6:$Y$1643,'Piece check'!$B$6:$B$1643,B177)</f>
        <v>35.3032118762407</v>
      </c>
      <c r="AB177" s="20" t="n">
        <f aca="false">MAX(0,X177+Y177-Z177-AA177)</f>
        <v>385.495905104573</v>
      </c>
      <c r="AC177" s="20" t="n">
        <f aca="false">(ROUNDUP(O177/PILE_SP,0)+1)*IF(N177&gt;=PILE_THR,PILE_N_LARGE,PILE_N_SMALL)</f>
        <v>32</v>
      </c>
      <c r="AD177" s="20" t="n">
        <f aca="false">2*U177</f>
        <v>84.4231895835427</v>
      </c>
      <c r="AE177" s="34" t="n">
        <f aca="false">IF(U177&gt;0,ROUNDUP(T177*SHEET_RATIO,0),0)</f>
        <v>10</v>
      </c>
      <c r="AF177" s="20" t="n">
        <f aca="false">AD177*AE177</f>
        <v>844.231895835427</v>
      </c>
      <c r="AG177" s="18" t="n">
        <f aca="false">MAX(0,GWL-(R177-DD_BELOW))</f>
        <v>4.48242125715345</v>
      </c>
      <c r="AH177" s="12" t="str">
        <f aca="false">IF(AG177=0,"Not required",IF(AG177&lt;=WP_LIMIT,"Single-stage wellpoints","Deep wells or two-stage wellpoints"))</f>
        <v>Single-stage wellpoints</v>
      </c>
      <c r="AI177" s="30" t="n">
        <f aca="false">MIN(_xlfn.MINIFS('Piece check'!$Z$6:$Z$1643,'Piece check'!$B$6:$B$1643,B177),_xlfn.MINIFS('Piece check'!$AA$6:$AA$1643,'Piece check'!$B$6:$B$1643,B177))</f>
        <v>2.7044667028013</v>
      </c>
      <c r="AJ177" s="30" t="n">
        <f aca="false">MIN(_xlfn.MINIFS('Piece check'!$AB$6:$AB$1643,'Piece check'!$B$6:$B$1643,B177),_xlfn.MINIFS('Piece check'!$AC$6:$AC$1643,'Piece check'!$B$6:$B$1643,B177))</f>
        <v>5.54129938792019</v>
      </c>
      <c r="AK177" s="12" t="str">
        <f aca="false">IF(AJ177&lt;FOS_FLOT,"Anchor pipe to piled slab (permanent straps)",IF(AI177&lt;FOS_FLOT,"Keep dewatering on until fill reaches FL, or strap to slab","No extra measure"))</f>
        <v>No extra measure</v>
      </c>
      <c r="AL177" s="35" t="n">
        <f aca="false">Activities!P1888</f>
        <v>46483</v>
      </c>
      <c r="AM177" s="35" t="n">
        <f aca="false">Activities!Q1897</f>
        <v>46605</v>
      </c>
      <c r="AN177" s="15" t="n">
        <v>72</v>
      </c>
      <c r="AO177" s="36" t="s">
        <v>2532</v>
      </c>
      <c r="AP177" s="36" t="s">
        <v>2416</v>
      </c>
      <c r="AQ177" s="36" t="s">
        <v>2882</v>
      </c>
      <c r="AR177" s="37" t="n">
        <f aca="false">Activities!P1896-Activities!Q1894</f>
        <v>11</v>
      </c>
      <c r="AS177" s="37" t="n">
        <f aca="false">IF(Activities!K1891=0,0,Activities!Q1897-Activities!P1891)</f>
        <v>107</v>
      </c>
    </row>
    <row r="178" customFormat="false" ht="15" hidden="false" customHeight="false" outlineLevel="0" collapsed="false">
      <c r="A178" s="15" t="s">
        <v>1502</v>
      </c>
      <c r="B178" s="29" t="s">
        <v>1516</v>
      </c>
      <c r="C178" s="15" t="s">
        <v>403</v>
      </c>
      <c r="D178" s="15" t="s">
        <v>2883</v>
      </c>
      <c r="E178" s="15" t="s">
        <v>2518</v>
      </c>
      <c r="F178" s="15" t="n">
        <v>28</v>
      </c>
      <c r="G178" s="15" t="s">
        <v>2367</v>
      </c>
      <c r="H178" s="15" t="s">
        <v>321</v>
      </c>
      <c r="I178" s="35" t="n">
        <f aca="false">MAX(Structures!$H$15)</f>
        <v>0</v>
      </c>
      <c r="J178" s="15"/>
      <c r="K178" s="16" t="n">
        <v>0</v>
      </c>
      <c r="L178" s="15" t="s">
        <v>358</v>
      </c>
      <c r="M178" s="15" t="n">
        <v>0</v>
      </c>
      <c r="N178" s="30" t="n">
        <f aca="false">_xlfn.MAXIFS('Piece check'!$E$6:$E$1643,'Piece check'!$B$6:$B$1643,B178)</f>
        <v>0.999997848467153</v>
      </c>
      <c r="O178" s="31" t="n">
        <f aca="false">SUMIFS('Piece check'!$D$6:$D$1643,'Piece check'!$B$6:$B$1643,B178)</f>
        <v>6.00000000037933</v>
      </c>
      <c r="P178" s="32" t="n">
        <v>-4.14999892423358</v>
      </c>
      <c r="Q178" s="32" t="n">
        <v>-4.14999892423358</v>
      </c>
      <c r="R178" s="30" t="n">
        <f aca="false">_xlfn.MINIFS('Piece check'!$K$6:$K$1643,'Piece check'!$B$6:$B$1643,B178)</f>
        <v>-4.14999892423358</v>
      </c>
      <c r="S178" s="18" t="n">
        <f aca="false">MAX(0,GWL-R178)</f>
        <v>2.64999892423358</v>
      </c>
      <c r="T178" s="18" t="n">
        <f aca="false">MAX(0,NG-R178)</f>
        <v>3.44999892423358</v>
      </c>
      <c r="U178" s="31" t="n">
        <f aca="false">SUMIFS('Piece check'!$R$6:$R$1643,'Piece check'!$B$6:$B$1643,B178)</f>
        <v>6.00000000037933</v>
      </c>
      <c r="V178" s="21" t="n">
        <f aca="false">O178-U178</f>
        <v>0</v>
      </c>
      <c r="W178" s="12" t="str">
        <f aca="false">IF(U178&lt;0.05,"Open cut",IF(V178&lt;0.05,"Sheet piles","Mixed: "&amp;TEXT(U178,"0")&amp;" m sheet piles"))</f>
        <v>Sheet piles</v>
      </c>
      <c r="X178" s="33" t="n">
        <f aca="false">SUMIFS('Piece check'!$V$6:$V$1643,'Piece check'!$B$6:$B$1643,B178)</f>
        <v>62.0999361034144</v>
      </c>
      <c r="Y178" s="33" t="n">
        <f aca="false">SUMIFS('Piece check'!$W$6:$W$1643,'Piece check'!$B$6:$B$1643,B178)</f>
        <v>0</v>
      </c>
      <c r="Z178" s="33" t="n">
        <f aca="false">SUMIFS('Piece check'!$X$6:$X$1643,'Piece check'!$B$6:$B$1643,B178)</f>
        <v>5.99999354578079</v>
      </c>
      <c r="AA178" s="33" t="n">
        <f aca="false">SUMIFS('Piece check'!$Y$6:$Y$1643,'Piece check'!$B$6:$B$1643,B178)</f>
        <v>4.71236870298507</v>
      </c>
      <c r="AB178" s="20" t="n">
        <f aca="false">MAX(0,X178+Y178-Z178-AA178)</f>
        <v>51.3875738546485</v>
      </c>
      <c r="AC178" s="20" t="n">
        <f aca="false">(ROUNDUP(O178/PILE_SP,0)+1)*IF(N178&gt;=PILE_THR,PILE_N_LARGE,PILE_N_SMALL)</f>
        <v>4</v>
      </c>
      <c r="AD178" s="20" t="n">
        <f aca="false">2*U178</f>
        <v>12.0000000007587</v>
      </c>
      <c r="AE178" s="34" t="n">
        <f aca="false">IF(U178&gt;0,ROUNDUP(T178*SHEET_RATIO,0),0)</f>
        <v>7</v>
      </c>
      <c r="AF178" s="20" t="n">
        <f aca="false">AD178*AE178</f>
        <v>84.0000000053106</v>
      </c>
      <c r="AG178" s="18" t="n">
        <f aca="false">MAX(0,GWL-(R178-DD_BELOW))</f>
        <v>3.14999892423358</v>
      </c>
      <c r="AH178" s="12" t="str">
        <f aca="false">IF(AG178=0,"Not required",IF(AG178&lt;=WP_LIMIT,"Single-stage wellpoints","Deep wells or two-stage wellpoints"))</f>
        <v>Single-stage wellpoints</v>
      </c>
      <c r="AI178" s="30" t="n">
        <f aca="false">MIN(_xlfn.MINIFS('Piece check'!$Z$6:$Z$1643,'Piece check'!$B$6:$B$1643,B178),_xlfn.MINIFS('Piece check'!$AA$6:$AA$1643,'Piece check'!$B$6:$B$1643,B178))</f>
        <v>3.09141004721173</v>
      </c>
      <c r="AJ178" s="30" t="n">
        <f aca="false">MIN(_xlfn.MINIFS('Piece check'!$AB$6:$AB$1643,'Piece check'!$B$6:$B$1643,B178),_xlfn.MINIFS('Piece check'!$AC$6:$AC$1643,'Piece check'!$B$6:$B$1643,B178))</f>
        <v>7.0629914840341</v>
      </c>
      <c r="AK178" s="12" t="str">
        <f aca="false">IF(AJ178&lt;FOS_FLOT,"Anchor pipe to piled slab (permanent straps)",IF(AI178&lt;FOS_FLOT,"Keep dewatering on until fill reaches FL, or strap to slab","No extra measure"))</f>
        <v>No extra measure</v>
      </c>
      <c r="AL178" s="35" t="n">
        <f aca="false">Activities!P1899</f>
        <v>46487</v>
      </c>
      <c r="AM178" s="35" t="n">
        <f aca="false">Activities!Q1908</f>
        <v>46604</v>
      </c>
      <c r="AN178" s="15" t="n">
        <v>73</v>
      </c>
      <c r="AO178" s="36" t="s">
        <v>2519</v>
      </c>
      <c r="AP178" s="36" t="s">
        <v>2683</v>
      </c>
      <c r="AQ178" s="36" t="s">
        <v>2884</v>
      </c>
      <c r="AR178" s="37" t="n">
        <f aca="false">Activities!P1907-Activities!Q1905</f>
        <v>6</v>
      </c>
      <c r="AS178" s="37" t="n">
        <f aca="false">IF(Activities!K1902=0,0,Activities!Q1908-Activities!P1902)</f>
        <v>114</v>
      </c>
    </row>
    <row r="179" customFormat="false" ht="15" hidden="false" customHeight="false" outlineLevel="0" collapsed="false">
      <c r="A179" s="15" t="s">
        <v>1807</v>
      </c>
      <c r="B179" s="29" t="s">
        <v>1808</v>
      </c>
      <c r="C179" s="15" t="s">
        <v>403</v>
      </c>
      <c r="D179" s="15" t="s">
        <v>2885</v>
      </c>
      <c r="E179" s="15" t="s">
        <v>2518</v>
      </c>
      <c r="F179" s="15" t="n">
        <v>28</v>
      </c>
      <c r="G179" s="15" t="s">
        <v>2523</v>
      </c>
      <c r="H179" s="15" t="s">
        <v>2886</v>
      </c>
      <c r="I179" s="35" t="n">
        <f aca="false">MAX(Structures!$H$26,Structures!$H$15)</f>
        <v>0</v>
      </c>
      <c r="J179" s="15"/>
      <c r="K179" s="16" t="n">
        <v>0</v>
      </c>
      <c r="L179" s="15" t="s">
        <v>358</v>
      </c>
      <c r="M179" s="15" t="n">
        <v>8</v>
      </c>
      <c r="N179" s="30" t="n">
        <f aca="false">_xlfn.MAXIFS('Piece check'!$E$6:$E$1643,'Piece check'!$B$6:$B$1643,B179)</f>
        <v>1.60000736468829</v>
      </c>
      <c r="O179" s="31" t="n">
        <f aca="false">SUMIFS('Piece check'!$D$6:$D$1643,'Piece check'!$B$6:$B$1643,B179)</f>
        <v>37.5871894306267</v>
      </c>
      <c r="P179" s="32" t="n">
        <v>0.789997917753301</v>
      </c>
      <c r="Q179" s="32" t="n">
        <v>-3.99999856455376</v>
      </c>
      <c r="R179" s="30" t="n">
        <f aca="false">_xlfn.MINIFS('Piece check'!$K$6:$K$1643,'Piece check'!$B$6:$B$1643,B179)</f>
        <v>-4.00000338277295</v>
      </c>
      <c r="S179" s="18" t="n">
        <f aca="false">MAX(0,GWL-R179)</f>
        <v>2.50000338277295</v>
      </c>
      <c r="T179" s="18" t="n">
        <f aca="false">MAX(0,NG-R179)</f>
        <v>3.30000338277295</v>
      </c>
      <c r="U179" s="31" t="n">
        <f aca="false">SUMIFS('Piece check'!$R$6:$R$1643,'Piece check'!$B$6:$B$1643,B179)</f>
        <v>0.839973845676122</v>
      </c>
      <c r="V179" s="21" t="n">
        <f aca="false">O179-U179</f>
        <v>36.7472155849506</v>
      </c>
      <c r="W179" s="12" t="str">
        <f aca="false">IF(U179&lt;0.05,"Open cut",IF(V179&lt;0.05,"Sheet piles","Mixed: "&amp;TEXT(U179,"0")&amp;" m sheet piles"))</f>
        <v>Mixed: 1 m sheet piles</v>
      </c>
      <c r="X179" s="33" t="n">
        <f aca="false">SUMIFS('Piece check'!$V$6:$V$1643,'Piece check'!$B$6:$B$1643,B179)</f>
        <v>9.26069392293735</v>
      </c>
      <c r="Y179" s="33" t="n">
        <f aca="false">SUMIFS('Piece check'!$W$6:$W$1643,'Piece check'!$B$6:$B$1643,B179)</f>
        <v>965.647600482716</v>
      </c>
      <c r="Z179" s="33" t="n">
        <f aca="false">SUMIFS('Piece check'!$X$6:$X$1643,'Piece check'!$B$6:$B$1643,B179)</f>
        <v>44.6944680854336</v>
      </c>
      <c r="AA179" s="33" t="n">
        <f aca="false">SUMIFS('Piece check'!$Y$6:$Y$1643,'Piece check'!$B$6:$B$1643,B179)</f>
        <v>69.125512729262</v>
      </c>
      <c r="AB179" s="20" t="n">
        <f aca="false">MAX(0,X179+Y179-Z179-AA179)</f>
        <v>861.088313590957</v>
      </c>
      <c r="AC179" s="20" t="n">
        <f aca="false">(ROUNDUP(O179/PILE_SP,0)+1)*IF(N179&gt;=PILE_THR,PILE_N_LARGE,PILE_N_SMALL)</f>
        <v>28</v>
      </c>
      <c r="AD179" s="20" t="n">
        <f aca="false">2*U179</f>
        <v>1.67994769135224</v>
      </c>
      <c r="AE179" s="34" t="n">
        <f aca="false">IF(U179&gt;0,ROUNDUP(T179*SHEET_RATIO,0),0)</f>
        <v>7</v>
      </c>
      <c r="AF179" s="20" t="n">
        <f aca="false">AD179*AE179</f>
        <v>11.7596338394657</v>
      </c>
      <c r="AG179" s="18" t="n">
        <f aca="false">MAX(0,GWL-(R179-DD_BELOW))</f>
        <v>3.00000338277295</v>
      </c>
      <c r="AH179" s="12" t="str">
        <f aca="false">IF(AG179=0,"Not required",IF(AG179&lt;=WP_LIMIT,"Single-stage wellpoints","Deep wells or two-stage wellpoints"))</f>
        <v>Single-stage wellpoints</v>
      </c>
      <c r="AI179" s="30" t="n">
        <f aca="false">MIN(_xlfn.MINIFS('Piece check'!$Z$6:$Z$1643,'Piece check'!$B$6:$B$1643,B179),_xlfn.MINIFS('Piece check'!$AA$6:$AA$1643,'Piece check'!$B$6:$B$1643,B179))</f>
        <v>0.300104711933906</v>
      </c>
      <c r="AJ179" s="30" t="n">
        <f aca="false">MIN(_xlfn.MINIFS('Piece check'!$AB$6:$AB$1643,'Piece check'!$B$6:$B$1643,B179),_xlfn.MINIFS('Piece check'!$AC$6:$AC$1643,'Piece check'!$B$6:$B$1643,B179))</f>
        <v>2.78234239375828</v>
      </c>
      <c r="AK179" s="12" t="str">
        <f aca="false">IF(AJ179&lt;FOS_FLOT,"Anchor pipe to piled slab (permanent straps)",IF(AI179&lt;FOS_FLOT,"Keep dewatering on until fill reaches FL, or strap to slab","No extra measure"))</f>
        <v>Keep dewatering on until fill reaches FL, or strap to slab</v>
      </c>
      <c r="AL179" s="35" t="n">
        <f aca="false">Activities!P1910</f>
        <v>46357</v>
      </c>
      <c r="AM179" s="35" t="n">
        <f aca="false">Activities!Q1919</f>
        <v>46606</v>
      </c>
      <c r="AN179" s="15" t="n">
        <v>74</v>
      </c>
      <c r="AO179" s="36" t="s">
        <v>2525</v>
      </c>
      <c r="AP179" s="36" t="s">
        <v>2887</v>
      </c>
      <c r="AQ179" s="36" t="s">
        <v>2888</v>
      </c>
      <c r="AR179" s="37" t="n">
        <f aca="false">Activities!P1918-Activities!Q1916</f>
        <v>-5</v>
      </c>
      <c r="AS179" s="37" t="n">
        <f aca="false">IF(Activities!K1913=0,0,Activities!Q1919-Activities!P1913)</f>
        <v>244</v>
      </c>
    </row>
    <row r="180" customFormat="false" ht="15" hidden="false" customHeight="false" outlineLevel="0" collapsed="false">
      <c r="A180" s="15" t="s">
        <v>1502</v>
      </c>
      <c r="B180" s="29" t="s">
        <v>1583</v>
      </c>
      <c r="C180" s="15" t="s">
        <v>403</v>
      </c>
      <c r="D180" s="15" t="s">
        <v>2889</v>
      </c>
      <c r="E180" s="15" t="s">
        <v>2518</v>
      </c>
      <c r="F180" s="15" t="n">
        <v>28</v>
      </c>
      <c r="G180" s="15" t="s">
        <v>2367</v>
      </c>
      <c r="H180" s="15" t="s">
        <v>323</v>
      </c>
      <c r="I180" s="35" t="n">
        <f aca="false">MAX(Structures!$H$16)</f>
        <v>0</v>
      </c>
      <c r="J180" s="15"/>
      <c r="K180" s="16" t="n">
        <v>0</v>
      </c>
      <c r="L180" s="15" t="s">
        <v>358</v>
      </c>
      <c r="M180" s="15" t="n">
        <v>2</v>
      </c>
      <c r="N180" s="30" t="n">
        <f aca="false">_xlfn.MAXIFS('Piece check'!$E$6:$E$1643,'Piece check'!$B$6:$B$1643,B180)</f>
        <v>0.99999828601514</v>
      </c>
      <c r="O180" s="31" t="n">
        <f aca="false">SUMIFS('Piece check'!$D$6:$D$1643,'Piece check'!$B$6:$B$1643,B180)</f>
        <v>29.1958291364335</v>
      </c>
      <c r="P180" s="32" t="n">
        <v>-5.39999914300757</v>
      </c>
      <c r="Q180" s="32" t="n">
        <v>-5.39999748210263</v>
      </c>
      <c r="R180" s="30" t="n">
        <f aca="false">_xlfn.MINIFS('Piece check'!$K$6:$K$1643,'Piece check'!$B$6:$B$1643,B180)</f>
        <v>-5.39999914300757</v>
      </c>
      <c r="S180" s="18" t="n">
        <f aca="false">MAX(0,GWL-R180)</f>
        <v>3.89999914300757</v>
      </c>
      <c r="T180" s="18" t="n">
        <f aca="false">MAX(0,NG-R180)</f>
        <v>4.69999914300757</v>
      </c>
      <c r="U180" s="31" t="n">
        <f aca="false">SUMIFS('Piece check'!$R$6:$R$1643,'Piece check'!$B$6:$B$1643,B180)</f>
        <v>29.1958291364335</v>
      </c>
      <c r="V180" s="21" t="n">
        <f aca="false">O180-U180</f>
        <v>0</v>
      </c>
      <c r="W180" s="12" t="str">
        <f aca="false">IF(U180&lt;0.05,"Open cut",IF(V180&lt;0.05,"Sheet piles","Mixed: "&amp;TEXT(U180,"0")&amp;" m sheet piles"))</f>
        <v>Sheet piles</v>
      </c>
      <c r="X180" s="33" t="n">
        <f aca="false">SUMIFS('Piece check'!$V$6:$V$1643,'Piece check'!$B$6:$B$1643,B180)</f>
        <v>411.660875580358</v>
      </c>
      <c r="Y180" s="33" t="n">
        <f aca="false">SUMIFS('Piece check'!$W$6:$W$1643,'Piece check'!$B$6:$B$1643,B180)</f>
        <v>0</v>
      </c>
      <c r="Z180" s="33" t="n">
        <f aca="false">SUMIFS('Piece check'!$X$6:$X$1643,'Piece check'!$B$6:$B$1643,B180)</f>
        <v>29.1958037135787</v>
      </c>
      <c r="AA180" s="33" t="n">
        <f aca="false">SUMIFS('Piece check'!$Y$6:$Y$1643,'Piece check'!$B$6:$B$1643,B180)</f>
        <v>22.9302707144381</v>
      </c>
      <c r="AB180" s="20" t="n">
        <f aca="false">MAX(0,X180+Y180-Z180-AA180)</f>
        <v>359.534801152341</v>
      </c>
      <c r="AC180" s="20" t="n">
        <f aca="false">(ROUNDUP(O180/PILE_SP,0)+1)*IF(N180&gt;=PILE_THR,PILE_N_LARGE,PILE_N_SMALL)</f>
        <v>11</v>
      </c>
      <c r="AD180" s="20" t="n">
        <f aca="false">2*U180</f>
        <v>58.3916582728671</v>
      </c>
      <c r="AE180" s="34" t="n">
        <f aca="false">IF(U180&gt;0,ROUNDUP(T180*SHEET_RATIO,0),0)</f>
        <v>10</v>
      </c>
      <c r="AF180" s="20" t="n">
        <f aca="false">AD180*AE180</f>
        <v>583.916582728671</v>
      </c>
      <c r="AG180" s="18" t="n">
        <f aca="false">MAX(0,GWL-(R180-DD_BELOW))</f>
        <v>4.39999914300757</v>
      </c>
      <c r="AH180" s="12" t="str">
        <f aca="false">IF(AG180=0,"Not required",IF(AG180&lt;=WP_LIMIT,"Single-stage wellpoints","Deep wells or two-stage wellpoints"))</f>
        <v>Single-stage wellpoints</v>
      </c>
      <c r="AI180" s="30" t="n">
        <f aca="false">MIN(_xlfn.MINIFS('Piece check'!$Z$6:$Z$1643,'Piece check'!$B$6:$B$1643,B180),_xlfn.MINIFS('Piece check'!$AA$6:$AA$1643,'Piece check'!$B$6:$B$1643,B180))</f>
        <v>4.42013549368789</v>
      </c>
      <c r="AJ180" s="30" t="n">
        <f aca="false">MIN(_xlfn.MINIFS('Piece check'!$AB$6:$AB$1643,'Piece check'!$B$6:$B$1643,B180),_xlfn.MINIFS('Piece check'!$AC$6:$AC$1643,'Piece check'!$B$6:$B$1643,B180))</f>
        <v>8.39171519274982</v>
      </c>
      <c r="AK180" s="12" t="str">
        <f aca="false">IF(AJ180&lt;FOS_FLOT,"Anchor pipe to piled slab (permanent straps)",IF(AI180&lt;FOS_FLOT,"Keep dewatering on until fill reaches FL, or strap to slab","No extra measure"))</f>
        <v>No extra measure</v>
      </c>
      <c r="AL180" s="35" t="n">
        <f aca="false">Activities!P1921</f>
        <v>46466</v>
      </c>
      <c r="AM180" s="35" t="n">
        <f aca="false">Activities!Q1930</f>
        <v>46563</v>
      </c>
      <c r="AN180" s="15" t="n">
        <v>75</v>
      </c>
      <c r="AO180" s="36" t="s">
        <v>2519</v>
      </c>
      <c r="AP180" s="36" t="s">
        <v>2686</v>
      </c>
      <c r="AQ180" s="36" t="s">
        <v>2890</v>
      </c>
      <c r="AR180" s="37" t="n">
        <f aca="false">Activities!P1929-Activities!Q1927</f>
        <v>-2</v>
      </c>
      <c r="AS180" s="37" t="n">
        <f aca="false">IF(Activities!K1924=0,0,Activities!Q1930-Activities!P1924)</f>
        <v>92</v>
      </c>
    </row>
    <row r="181" customFormat="false" ht="15" hidden="false" customHeight="false" outlineLevel="0" collapsed="false">
      <c r="A181" s="15" t="s">
        <v>2058</v>
      </c>
      <c r="B181" s="29" t="s">
        <v>2059</v>
      </c>
      <c r="C181" s="15" t="s">
        <v>406</v>
      </c>
      <c r="D181" s="15" t="s">
        <v>2891</v>
      </c>
      <c r="E181" s="15" t="s">
        <v>2361</v>
      </c>
      <c r="F181" s="15" t="n">
        <v>28</v>
      </c>
      <c r="G181" s="15" t="s">
        <v>2523</v>
      </c>
      <c r="H181" s="15" t="s">
        <v>2892</v>
      </c>
      <c r="I181" s="35" t="n">
        <f aca="false">MAX(Structures!$H$6,Structures!$H$27)</f>
        <v>0</v>
      </c>
      <c r="J181" s="15"/>
      <c r="K181" s="16" t="n">
        <v>0</v>
      </c>
      <c r="L181" s="15" t="s">
        <v>358</v>
      </c>
      <c r="M181" s="15" t="n">
        <v>0</v>
      </c>
      <c r="N181" s="30" t="n">
        <f aca="false">_xlfn.MAXIFS('Piece check'!$E$6:$E$1643,'Piece check'!$B$6:$B$1643,B181)</f>
        <v>2.27639798956988</v>
      </c>
      <c r="O181" s="31" t="n">
        <f aca="false">SUMIFS('Piece check'!$D$6:$D$1643,'Piece check'!$B$6:$B$1643,B181)</f>
        <v>12.2025900003074</v>
      </c>
      <c r="P181" s="32" t="n">
        <v>-6.23819899478494</v>
      </c>
      <c r="Q181" s="32" t="n">
        <v>-6.23819899478494</v>
      </c>
      <c r="R181" s="30" t="n">
        <f aca="false">_xlfn.MINIFS('Piece check'!$K$6:$K$1643,'Piece check'!$B$6:$B$1643,B181)</f>
        <v>-6.23819899478494</v>
      </c>
      <c r="S181" s="18" t="n">
        <f aca="false">MAX(0,GWL-R181)</f>
        <v>4.73819899478494</v>
      </c>
      <c r="T181" s="18" t="n">
        <f aca="false">MAX(0,NG-R181)</f>
        <v>5.53819899478494</v>
      </c>
      <c r="U181" s="31" t="n">
        <f aca="false">SUMIFS('Piece check'!$R$6:$R$1643,'Piece check'!$B$6:$B$1643,B181)</f>
        <v>12.2025900003074</v>
      </c>
      <c r="V181" s="21" t="n">
        <f aca="false">O181-U181</f>
        <v>0</v>
      </c>
      <c r="W181" s="12" t="str">
        <f aca="false">IF(U181&lt;0.05,"Open cut",IF(V181&lt;0.05,"Sheet piles","Mixed: "&amp;TEXT(U181,"0")&amp;" m sheet piles"))</f>
        <v>Sheet piles</v>
      </c>
      <c r="X181" s="33" t="n">
        <f aca="false">SUMIFS('Piece check'!$V$6:$V$1643,'Piece check'!$B$6:$B$1643,B181)</f>
        <v>289.000565558834</v>
      </c>
      <c r="Y181" s="33" t="n">
        <f aca="false">SUMIFS('Piece check'!$W$6:$W$1643,'Piece check'!$B$6:$B$1643,B181)</f>
        <v>0</v>
      </c>
      <c r="Z181" s="33" t="n">
        <f aca="false">SUMIFS('Piece check'!$X$6:$X$1643,'Piece check'!$B$6:$B$1643,B181)</f>
        <v>19.9902706722763</v>
      </c>
      <c r="AA181" s="33" t="n">
        <f aca="false">SUMIFS('Piece check'!$Y$6:$Y$1643,'Piece check'!$B$6:$B$1643,B181)</f>
        <v>49.6636103205251</v>
      </c>
      <c r="AB181" s="20" t="n">
        <f aca="false">MAX(0,X181+Y181-Z181-AA181)</f>
        <v>219.346684566033</v>
      </c>
      <c r="AC181" s="20" t="n">
        <f aca="false">(ROUNDUP(O181/PILE_SP,0)+1)*IF(N181&gt;=PILE_THR,PILE_N_LARGE,PILE_N_SMALL)</f>
        <v>12</v>
      </c>
      <c r="AD181" s="20" t="n">
        <f aca="false">2*U181</f>
        <v>24.4051800006147</v>
      </c>
      <c r="AE181" s="34" t="n">
        <f aca="false">IF(U181&gt;0,ROUNDUP(T181*SHEET_RATIO,0),0)</f>
        <v>12</v>
      </c>
      <c r="AF181" s="20" t="n">
        <f aca="false">AD181*AE181</f>
        <v>292.862160007377</v>
      </c>
      <c r="AG181" s="18" t="n">
        <f aca="false">MAX(0,GWL-(R181-DD_BELOW))</f>
        <v>5.23819899478494</v>
      </c>
      <c r="AH181" s="12" t="str">
        <f aca="false">IF(AG181=0,"Not required",IF(AG181&lt;=WP_LIMIT,"Single-stage wellpoints","Deep wells or two-stage wellpoints"))</f>
        <v>Deep wells or two-stage wellpoints</v>
      </c>
      <c r="AI181" s="30" t="n">
        <f aca="false">MIN(_xlfn.MINIFS('Piece check'!$Z$6:$Z$1643,'Piece check'!$B$6:$B$1643,B181),_xlfn.MINIFS('Piece check'!$AA$6:$AA$1643,'Piece check'!$B$6:$B$1643,B181))</f>
        <v>1.73709972661516</v>
      </c>
      <c r="AJ181" s="30" t="n">
        <f aca="false">MIN(_xlfn.MINIFS('Piece check'!$AB$6:$AB$1643,'Piece check'!$B$6:$B$1643,B181),_xlfn.MINIFS('Piece check'!$AC$6:$AC$1643,'Piece check'!$B$6:$B$1643,B181))</f>
        <v>3.48177394879934</v>
      </c>
      <c r="AK181" s="12" t="str">
        <f aca="false">IF(AJ181&lt;FOS_FLOT,"Anchor pipe to piled slab (permanent straps)",IF(AI181&lt;FOS_FLOT,"Keep dewatering on until fill reaches FL, or strap to slab","No extra measure"))</f>
        <v>No extra measure</v>
      </c>
      <c r="AL181" s="35" t="n">
        <f aca="false">Activities!P1932</f>
        <v>46357</v>
      </c>
      <c r="AM181" s="35" t="n">
        <f aca="false">Activities!Q1941</f>
        <v>46384</v>
      </c>
      <c r="AN181" s="15" t="n">
        <v>39</v>
      </c>
      <c r="AO181" s="36" t="s">
        <v>2893</v>
      </c>
      <c r="AP181" s="36" t="s">
        <v>2894</v>
      </c>
      <c r="AQ181" s="36" t="s">
        <v>2895</v>
      </c>
      <c r="AR181" s="37" t="n">
        <f aca="false">Activities!P1940-Activities!Q1938</f>
        <v>2</v>
      </c>
      <c r="AS181" s="37" t="n">
        <f aca="false">IF(Activities!K1935=0,0,Activities!Q1941-Activities!P1935)</f>
        <v>24</v>
      </c>
    </row>
    <row r="182" customFormat="false" ht="15" hidden="false" customHeight="false" outlineLevel="0" collapsed="false">
      <c r="A182" s="15" t="s">
        <v>2062</v>
      </c>
      <c r="B182" s="29" t="s">
        <v>2063</v>
      </c>
      <c r="C182" s="15" t="s">
        <v>406</v>
      </c>
      <c r="D182" s="15" t="s">
        <v>2896</v>
      </c>
      <c r="E182" s="15" t="s">
        <v>2361</v>
      </c>
      <c r="F182" s="15" t="n">
        <v>28</v>
      </c>
      <c r="G182" s="15" t="s">
        <v>2523</v>
      </c>
      <c r="H182" s="15" t="s">
        <v>2892</v>
      </c>
      <c r="I182" s="35" t="n">
        <f aca="false">MAX(Structures!$H$6,Structures!$H$27)</f>
        <v>0</v>
      </c>
      <c r="J182" s="15"/>
      <c r="K182" s="16" t="n">
        <v>0</v>
      </c>
      <c r="L182" s="15" t="s">
        <v>358</v>
      </c>
      <c r="M182" s="15" t="n">
        <v>0</v>
      </c>
      <c r="N182" s="30" t="n">
        <f aca="false">_xlfn.MAXIFS('Piece check'!$E$6:$E$1643,'Piece check'!$B$6:$B$1643,B182)</f>
        <v>2.27639779722181</v>
      </c>
      <c r="O182" s="31" t="n">
        <f aca="false">SUMIFS('Piece check'!$D$6:$D$1643,'Piece check'!$B$6:$B$1643,B182)</f>
        <v>12.2103899998167</v>
      </c>
      <c r="P182" s="32" t="n">
        <v>-6.2381988986109</v>
      </c>
      <c r="Q182" s="32" t="n">
        <v>-6.2381988986109</v>
      </c>
      <c r="R182" s="30" t="n">
        <f aca="false">_xlfn.MINIFS('Piece check'!$K$6:$K$1643,'Piece check'!$B$6:$B$1643,B182)</f>
        <v>-6.2381988986109</v>
      </c>
      <c r="S182" s="18" t="n">
        <f aca="false">MAX(0,GWL-R182)</f>
        <v>4.7381988986109</v>
      </c>
      <c r="T182" s="18" t="n">
        <f aca="false">MAX(0,NG-R182)</f>
        <v>5.5381988986109</v>
      </c>
      <c r="U182" s="31" t="n">
        <f aca="false">SUMIFS('Piece check'!$R$6:$R$1643,'Piece check'!$B$6:$B$1643,B182)</f>
        <v>12.2103899998167</v>
      </c>
      <c r="V182" s="21" t="n">
        <f aca="false">O182-U182</f>
        <v>0</v>
      </c>
      <c r="W182" s="12" t="str">
        <f aca="false">IF(U182&lt;0.05,"Open cut",IF(V182&lt;0.05,"Sheet piles","Mixed: "&amp;TEXT(U182,"0")&amp;" m sheet piles"))</f>
        <v>Sheet piles</v>
      </c>
      <c r="X182" s="33" t="n">
        <f aca="false">SUMIFS('Piece check'!$V$6:$V$1643,'Piece check'!$B$6:$B$1643,B182)</f>
        <v>289.185279153847</v>
      </c>
      <c r="Y182" s="33" t="n">
        <f aca="false">SUMIFS('Piece check'!$W$6:$W$1643,'Piece check'!$B$6:$B$1643,B182)</f>
        <v>0</v>
      </c>
      <c r="Z182" s="33" t="n">
        <f aca="false">SUMIFS('Piece check'!$X$6:$X$1643,'Piece check'!$B$6:$B$1643,B182)</f>
        <v>20.0030474493093</v>
      </c>
      <c r="AA182" s="33" t="n">
        <f aca="false">SUMIFS('Piece check'!$Y$6:$Y$1643,'Piece check'!$B$6:$B$1643,B182)</f>
        <v>49.6953473252523</v>
      </c>
      <c r="AB182" s="20" t="n">
        <f aca="false">MAX(0,X182+Y182-Z182-AA182)</f>
        <v>219.486884379286</v>
      </c>
      <c r="AC182" s="20" t="n">
        <f aca="false">(ROUNDUP(O182/PILE_SP,0)+1)*IF(N182&gt;=PILE_THR,PILE_N_LARGE,PILE_N_SMALL)</f>
        <v>12</v>
      </c>
      <c r="AD182" s="20" t="n">
        <f aca="false">2*U182</f>
        <v>24.4207799996334</v>
      </c>
      <c r="AE182" s="34" t="n">
        <f aca="false">IF(U182&gt;0,ROUNDUP(T182*SHEET_RATIO,0),0)</f>
        <v>12</v>
      </c>
      <c r="AF182" s="20" t="n">
        <f aca="false">AD182*AE182</f>
        <v>293.049359995601</v>
      </c>
      <c r="AG182" s="18" t="n">
        <f aca="false">MAX(0,GWL-(R182-DD_BELOW))</f>
        <v>5.2381988986109</v>
      </c>
      <c r="AH182" s="12" t="str">
        <f aca="false">IF(AG182=0,"Not required",IF(AG182&lt;=WP_LIMIT,"Single-stage wellpoints","Deep wells or two-stage wellpoints"))</f>
        <v>Deep wells or two-stage wellpoints</v>
      </c>
      <c r="AI182" s="30" t="n">
        <f aca="false">MIN(_xlfn.MINIFS('Piece check'!$Z$6:$Z$1643,'Piece check'!$B$6:$B$1643,B182),_xlfn.MINIFS('Piece check'!$AA$6:$AA$1643,'Piece check'!$B$6:$B$1643,B182))</f>
        <v>1.73709991830348</v>
      </c>
      <c r="AJ182" s="30" t="n">
        <f aca="false">MIN(_xlfn.MINIFS('Piece check'!$AB$6:$AB$1643,'Piece check'!$B$6:$B$1643,B182),_xlfn.MINIFS('Piece check'!$AC$6:$AC$1643,'Piece check'!$B$6:$B$1643,B182))</f>
        <v>3.48177428790684</v>
      </c>
      <c r="AK182" s="12" t="str">
        <f aca="false">IF(AJ182&lt;FOS_FLOT,"Anchor pipe to piled slab (permanent straps)",IF(AI182&lt;FOS_FLOT,"Keep dewatering on until fill reaches FL, or strap to slab","No extra measure"))</f>
        <v>No extra measure</v>
      </c>
      <c r="AL182" s="35" t="n">
        <f aca="false">Activities!P1943</f>
        <v>46357</v>
      </c>
      <c r="AM182" s="35" t="n">
        <f aca="false">Activities!Q1952</f>
        <v>46384</v>
      </c>
      <c r="AN182" s="15" t="n">
        <v>40</v>
      </c>
      <c r="AO182" s="36" t="s">
        <v>2893</v>
      </c>
      <c r="AP182" s="36" t="s">
        <v>2897</v>
      </c>
      <c r="AQ182" s="36" t="s">
        <v>2898</v>
      </c>
      <c r="AR182" s="37" t="n">
        <f aca="false">Activities!P1951-Activities!Q1949</f>
        <v>2</v>
      </c>
      <c r="AS182" s="37" t="n">
        <f aca="false">IF(Activities!K1946=0,0,Activities!Q1952-Activities!P1946)</f>
        <v>24</v>
      </c>
    </row>
    <row r="183" customFormat="false" ht="15" hidden="false" customHeight="false" outlineLevel="0" collapsed="false">
      <c r="A183" s="15" t="s">
        <v>2297</v>
      </c>
      <c r="B183" s="29" t="s">
        <v>2301</v>
      </c>
      <c r="C183" s="15" t="s">
        <v>406</v>
      </c>
      <c r="D183" s="15" t="s">
        <v>2899</v>
      </c>
      <c r="E183" s="15" t="s">
        <v>2518</v>
      </c>
      <c r="F183" s="15" t="n">
        <v>28</v>
      </c>
      <c r="G183" s="15" t="s">
        <v>2523</v>
      </c>
      <c r="H183" s="15" t="s">
        <v>2892</v>
      </c>
      <c r="I183" s="35" t="n">
        <f aca="false">MAX(Structures!$H$6,Structures!$H$27)</f>
        <v>0</v>
      </c>
      <c r="J183" s="15"/>
      <c r="K183" s="16" t="n">
        <v>0</v>
      </c>
      <c r="L183" s="15" t="s">
        <v>358</v>
      </c>
      <c r="M183" s="15" t="n">
        <v>5</v>
      </c>
      <c r="N183" s="30" t="n">
        <f aca="false">_xlfn.MAXIFS('Piece check'!$E$6:$E$1643,'Piece check'!$B$6:$B$1643,B183)</f>
        <v>0.500002969591336</v>
      </c>
      <c r="O183" s="31" t="n">
        <f aca="false">SUMIFS('Piece check'!$D$6:$D$1643,'Piece check'!$B$6:$B$1643,B183)</f>
        <v>12.4454263124163</v>
      </c>
      <c r="P183" s="32" t="n">
        <v>-5.60000148479567</v>
      </c>
      <c r="Q183" s="32" t="n">
        <v>-5.5999984429861</v>
      </c>
      <c r="R183" s="30" t="n">
        <f aca="false">_xlfn.MINIFS('Piece check'!$K$6:$K$1643,'Piece check'!$B$6:$B$1643,B183)</f>
        <v>-5.60000148479567</v>
      </c>
      <c r="S183" s="18" t="n">
        <f aca="false">MAX(0,GWL-R183)</f>
        <v>4.10000148479567</v>
      </c>
      <c r="T183" s="18" t="n">
        <f aca="false">MAX(0,NG-R183)</f>
        <v>4.90000148479567</v>
      </c>
      <c r="U183" s="31" t="n">
        <f aca="false">SUMIFS('Piece check'!$R$6:$R$1643,'Piece check'!$B$6:$B$1643,B183)</f>
        <v>12.4454263124163</v>
      </c>
      <c r="V183" s="21" t="n">
        <f aca="false">O183-U183</f>
        <v>0</v>
      </c>
      <c r="W183" s="12" t="str">
        <f aca="false">IF(U183&lt;0.05,"Open cut",IF(V183&lt;0.05,"Sheet piles","Mixed: "&amp;TEXT(U183,"0")&amp;" m sheet piles"))</f>
        <v>Sheet piles</v>
      </c>
      <c r="X183" s="33" t="n">
        <f aca="false">SUMIFS('Piece check'!$V$6:$V$1643,'Piece check'!$B$6:$B$1643,B183)</f>
        <v>152.456469158659</v>
      </c>
      <c r="Y183" s="33" t="n">
        <f aca="false">SUMIFS('Piece check'!$W$6:$W$1643,'Piece check'!$B$6:$B$1643,B183)</f>
        <v>0</v>
      </c>
      <c r="Z183" s="33" t="n">
        <f aca="false">SUMIFS('Piece check'!$X$6:$X$1643,'Piece check'!$B$6:$B$1643,B183)</f>
        <v>9.33406947671133</v>
      </c>
      <c r="AA183" s="33" t="n">
        <f aca="false">SUMIFS('Piece check'!$Y$6:$Y$1643,'Piece check'!$B$6:$B$1643,B183)</f>
        <v>2.4436533375575</v>
      </c>
      <c r="AB183" s="20" t="n">
        <f aca="false">MAX(0,X183+Y183-Z183-AA183)</f>
        <v>140.67874634439</v>
      </c>
      <c r="AC183" s="20" t="n">
        <f aca="false">(ROUNDUP(O183/PILE_SP,0)+1)*IF(N183&gt;=PILE_THR,PILE_N_LARGE,PILE_N_SMALL)</f>
        <v>6</v>
      </c>
      <c r="AD183" s="20" t="n">
        <f aca="false">2*U183</f>
        <v>24.8908526248326</v>
      </c>
      <c r="AE183" s="34" t="n">
        <f aca="false">IF(U183&gt;0,ROUNDUP(T183*SHEET_RATIO,0),0)</f>
        <v>10</v>
      </c>
      <c r="AF183" s="20" t="n">
        <f aca="false">AD183*AE183</f>
        <v>248.908526248326</v>
      </c>
      <c r="AG183" s="18" t="n">
        <f aca="false">MAX(0,GWL-(R183-DD_BELOW))</f>
        <v>4.60000148479567</v>
      </c>
      <c r="AH183" s="12" t="str">
        <f aca="false">IF(AG183=0,"Not required",IF(AG183&lt;=WP_LIMIT,"Single-stage wellpoints","Deep wells or two-stage wellpoints"))</f>
        <v>Deep wells or two-stage wellpoints</v>
      </c>
      <c r="AI183" s="30" t="n">
        <f aca="false">MIN(_xlfn.MINIFS('Piece check'!$Z$6:$Z$1643,'Piece check'!$B$6:$B$1643,B183),_xlfn.MINIFS('Piece check'!$AA$6:$AA$1643,'Piece check'!$B$6:$B$1643,B183))</f>
        <v>10.328361239478</v>
      </c>
      <c r="AJ183" s="30" t="n">
        <f aca="false">MIN(_xlfn.MINIFS('Piece check'!$AB$6:$AB$1643,'Piece check'!$B$6:$B$1643,B183),_xlfn.MINIFS('Piece check'!$AC$6:$AC$1643,'Piece check'!$B$6:$B$1643,B183))</f>
        <v>18.2714598476333</v>
      </c>
      <c r="AK183" s="12" t="str">
        <f aca="false">IF(AJ183&lt;FOS_FLOT,"Anchor pipe to piled slab (permanent straps)",IF(AI183&lt;FOS_FLOT,"Keep dewatering on until fill reaches FL, or strap to slab","No extra measure"))</f>
        <v>No extra measure</v>
      </c>
      <c r="AL183" s="35" t="n">
        <f aca="false">Activities!P1954</f>
        <v>46357</v>
      </c>
      <c r="AM183" s="35" t="n">
        <f aca="false">Activities!Q1963</f>
        <v>46386</v>
      </c>
      <c r="AN183" s="15" t="n">
        <v>41</v>
      </c>
      <c r="AO183" s="36" t="s">
        <v>2363</v>
      </c>
      <c r="AP183" s="36" t="s">
        <v>2900</v>
      </c>
      <c r="AQ183" s="36" t="s">
        <v>2901</v>
      </c>
      <c r="AR183" s="37" t="n">
        <f aca="false">Activities!P1962-Activities!Q1960</f>
        <v>-2</v>
      </c>
      <c r="AS183" s="37" t="n">
        <f aca="false">IF(Activities!K1957=0,0,Activities!Q1963-Activities!P1957)</f>
        <v>26</v>
      </c>
    </row>
    <row r="184" customFormat="false" ht="15" hidden="false" customHeight="false" outlineLevel="0" collapsed="false">
      <c r="A184" s="15" t="s">
        <v>956</v>
      </c>
      <c r="B184" s="29" t="s">
        <v>957</v>
      </c>
      <c r="C184" s="15" t="s">
        <v>406</v>
      </c>
      <c r="D184" s="15" t="s">
        <v>2902</v>
      </c>
      <c r="E184" s="15" t="s">
        <v>2361</v>
      </c>
      <c r="F184" s="15" t="n">
        <v>28</v>
      </c>
      <c r="G184" s="15" t="s">
        <v>2362</v>
      </c>
      <c r="H184" s="15"/>
      <c r="I184" s="16" t="n">
        <v>0</v>
      </c>
      <c r="J184" s="15"/>
      <c r="K184" s="16" t="n">
        <v>0</v>
      </c>
      <c r="L184" s="15" t="s">
        <v>358</v>
      </c>
      <c r="M184" s="15" t="n">
        <v>3</v>
      </c>
      <c r="N184" s="30" t="n">
        <f aca="false">_xlfn.MAXIFS('Piece check'!$E$6:$E$1643,'Piece check'!$B$6:$B$1643,B184)</f>
        <v>2.0696053161602</v>
      </c>
      <c r="O184" s="31" t="n">
        <f aca="false">SUMIFS('Piece check'!$D$6:$D$1643,'Piece check'!$B$6:$B$1643,B184)</f>
        <v>49.299999999661</v>
      </c>
      <c r="P184" s="32" t="n">
        <v>-5.03299013350824</v>
      </c>
      <c r="Q184" s="32" t="n">
        <v>-5.32787033176224</v>
      </c>
      <c r="R184" s="30" t="n">
        <f aca="false">_xlfn.MINIFS('Piece check'!$K$6:$K$1643,'Piece check'!$B$6:$B$1643,B184)</f>
        <v>-5.3448026580801</v>
      </c>
      <c r="S184" s="18" t="n">
        <f aca="false">MAX(0,GWL-R184)</f>
        <v>3.8448026580801</v>
      </c>
      <c r="T184" s="18" t="n">
        <f aca="false">MAX(0,NG-R184)</f>
        <v>4.6448026580801</v>
      </c>
      <c r="U184" s="31" t="n">
        <f aca="false">SUMIFS('Piece check'!$R$6:$R$1643,'Piece check'!$B$6:$B$1643,B184)</f>
        <v>49.299999999661</v>
      </c>
      <c r="V184" s="21" t="n">
        <f aca="false">O184-U184</f>
        <v>0</v>
      </c>
      <c r="W184" s="12" t="str">
        <f aca="false">IF(U184&lt;0.05,"Open cut",IF(V184&lt;0.05,"Sheet piles","Mixed: "&amp;TEXT(U184,"0")&amp;" m sheet piles"))</f>
        <v>Sheet piles</v>
      </c>
      <c r="X184" s="33" t="n">
        <f aca="false">SUMIFS('Piece check'!$V$6:$V$1643,'Piece check'!$B$6:$B$1643,B184)</f>
        <v>920.863396811861</v>
      </c>
      <c r="Y184" s="33" t="n">
        <f aca="false">SUMIFS('Piece check'!$W$6:$W$1643,'Piece check'!$B$6:$B$1643,B184)</f>
        <v>0</v>
      </c>
      <c r="Z184" s="33" t="n">
        <f aca="false">SUMIFS('Piece check'!$X$6:$X$1643,'Piece check'!$B$6:$B$1643,B184)</f>
        <v>75.0369613730479</v>
      </c>
      <c r="AA184" s="33" t="n">
        <f aca="false">SUMIFS('Piece check'!$Y$6:$Y$1643,'Piece check'!$B$6:$B$1643,B184)</f>
        <v>161.863617151232</v>
      </c>
      <c r="AB184" s="20" t="n">
        <f aca="false">MAX(0,X184+Y184-Z184-AA184)</f>
        <v>683.962818287582</v>
      </c>
      <c r="AC184" s="20" t="n">
        <f aca="false">(ROUNDUP(O184/PILE_SP,0)+1)*IF(N184&gt;=PILE_THR,PILE_N_LARGE,PILE_N_SMALL)</f>
        <v>36</v>
      </c>
      <c r="AD184" s="20" t="n">
        <f aca="false">2*U184</f>
        <v>98.5999999993219</v>
      </c>
      <c r="AE184" s="34" t="n">
        <f aca="false">IF(U184&gt;0,ROUNDUP(T184*SHEET_RATIO,0),0)</f>
        <v>10</v>
      </c>
      <c r="AF184" s="20" t="n">
        <f aca="false">AD184*AE184</f>
        <v>985.999999993219</v>
      </c>
      <c r="AG184" s="18" t="n">
        <f aca="false">MAX(0,GWL-(R184-DD_BELOW))</f>
        <v>4.3448026580801</v>
      </c>
      <c r="AH184" s="12" t="str">
        <f aca="false">IF(AG184=0,"Not required",IF(AG184&lt;=WP_LIMIT,"Single-stage wellpoints","Deep wells or two-stage wellpoints"))</f>
        <v>Single-stage wellpoints</v>
      </c>
      <c r="AI184" s="30" t="n">
        <f aca="false">MIN(_xlfn.MINIFS('Piece check'!$Z$6:$Z$1643,'Piece check'!$B$6:$B$1643,B184),_xlfn.MINIFS('Piece check'!$AA$6:$AA$1643,'Piece check'!$B$6:$B$1643,B184))</f>
        <v>1.5070171010349</v>
      </c>
      <c r="AJ184" s="30" t="n">
        <f aca="false">MIN(_xlfn.MINIFS('Piece check'!$AB$6:$AB$1643,'Piece check'!$B$6:$B$1643,B184),_xlfn.MINIFS('Piece check'!$AC$6:$AC$1643,'Piece check'!$B$6:$B$1643,B184))</f>
        <v>3.42601724121768</v>
      </c>
      <c r="AK184" s="12" t="str">
        <f aca="false">IF(AJ184&lt;FOS_FLOT,"Anchor pipe to piled slab (permanent straps)",IF(AI184&lt;FOS_FLOT,"Keep dewatering on until fill reaches FL, or strap to slab","No extra measure"))</f>
        <v>No extra measure</v>
      </c>
      <c r="AL184" s="35" t="n">
        <f aca="false">Activities!P1965</f>
        <v>46357</v>
      </c>
      <c r="AM184" s="35" t="n">
        <f aca="false">Activities!Q1974</f>
        <v>46398</v>
      </c>
      <c r="AN184" s="15" t="n">
        <v>82</v>
      </c>
      <c r="AO184" s="36" t="s">
        <v>2903</v>
      </c>
      <c r="AP184" s="36" t="s">
        <v>2904</v>
      </c>
      <c r="AQ184" s="36" t="s">
        <v>2905</v>
      </c>
      <c r="AR184" s="37" t="n">
        <f aca="false">Activities!P1973-Activities!Q1971</f>
        <v>12</v>
      </c>
      <c r="AS184" s="37" t="n">
        <f aca="false">IF(Activities!K1968=0,0,Activities!Q1974-Activities!P1968)</f>
        <v>37</v>
      </c>
    </row>
    <row r="185" customFormat="false" ht="15" hidden="false" customHeight="false" outlineLevel="0" collapsed="false">
      <c r="A185" s="15" t="s">
        <v>993</v>
      </c>
      <c r="B185" s="29" t="s">
        <v>1070</v>
      </c>
      <c r="C185" s="15" t="s">
        <v>406</v>
      </c>
      <c r="D185" s="15" t="s">
        <v>2906</v>
      </c>
      <c r="E185" s="15" t="s">
        <v>2518</v>
      </c>
      <c r="F185" s="15" t="n">
        <v>28</v>
      </c>
      <c r="G185" s="15" t="s">
        <v>2362</v>
      </c>
      <c r="H185" s="15"/>
      <c r="I185" s="16" t="n">
        <v>0</v>
      </c>
      <c r="J185" s="15"/>
      <c r="K185" s="16" t="n">
        <v>0</v>
      </c>
      <c r="L185" s="15" t="s">
        <v>358</v>
      </c>
      <c r="M185" s="15" t="n">
        <v>1</v>
      </c>
      <c r="N185" s="30" t="n">
        <f aca="false">_xlfn.MAXIFS('Piece check'!$E$6:$E$1643,'Piece check'!$B$6:$B$1643,B185)</f>
        <v>1.22583740752726</v>
      </c>
      <c r="O185" s="31" t="n">
        <f aca="false">SUMIFS('Piece check'!$D$6:$D$1643,'Piece check'!$B$6:$B$1643,B185)</f>
        <v>6.31246142820857</v>
      </c>
      <c r="P185" s="32" t="n">
        <v>-4.82498849651377</v>
      </c>
      <c r="Q185" s="32" t="n">
        <v>-4.83790870376363</v>
      </c>
      <c r="R185" s="30" t="n">
        <f aca="false">_xlfn.MINIFS('Piece check'!$K$6:$K$1643,'Piece check'!$B$6:$B$1643,B185)</f>
        <v>-4.83790870376363</v>
      </c>
      <c r="S185" s="18" t="n">
        <f aca="false">MAX(0,GWL-R185)</f>
        <v>3.33790870376363</v>
      </c>
      <c r="T185" s="18" t="n">
        <f aca="false">MAX(0,NG-R185)</f>
        <v>4.13790870376363</v>
      </c>
      <c r="U185" s="31" t="n">
        <f aca="false">SUMIFS('Piece check'!$R$6:$R$1643,'Piece check'!$B$6:$B$1643,B185)</f>
        <v>6.31246142820857</v>
      </c>
      <c r="V185" s="21" t="n">
        <f aca="false">O185-U185</f>
        <v>0</v>
      </c>
      <c r="W185" s="12" t="str">
        <f aca="false">IF(U185&lt;0.05,"Open cut",IF(V185&lt;0.05,"Sheet piles","Mixed: "&amp;TEXT(U185,"0")&amp;" m sheet piles"))</f>
        <v>Sheet piles</v>
      </c>
      <c r="X185" s="33" t="n">
        <f aca="false">SUMIFS('Piece check'!$V$6:$V$1643,'Piece check'!$B$6:$B$1643,B185)</f>
        <v>83.7718463881426</v>
      </c>
      <c r="Y185" s="33" t="n">
        <f aca="false">SUMIFS('Piece check'!$W$6:$W$1643,'Piece check'!$B$6:$B$1643,B185)</f>
        <v>0</v>
      </c>
      <c r="Z185" s="33" t="n">
        <f aca="false">SUMIFS('Piece check'!$X$6:$X$1643,'Piece check'!$B$6:$B$1643,B185)</f>
        <v>6.98270762298603</v>
      </c>
      <c r="AA185" s="33" t="n">
        <f aca="false">SUMIFS('Piece check'!$Y$6:$Y$1643,'Piece check'!$B$6:$B$1643,B185)</f>
        <v>7.2878353360038</v>
      </c>
      <c r="AB185" s="20" t="n">
        <f aca="false">MAX(0,X185+Y185-Z185-AA185)</f>
        <v>69.5013034291528</v>
      </c>
      <c r="AC185" s="20" t="n">
        <f aca="false">(ROUNDUP(O185/PILE_SP,0)+1)*IF(N185&gt;=PILE_THR,PILE_N_LARGE,PILE_N_SMALL)</f>
        <v>8</v>
      </c>
      <c r="AD185" s="20" t="n">
        <f aca="false">2*U185</f>
        <v>12.6249228564171</v>
      </c>
      <c r="AE185" s="34" t="n">
        <f aca="false">IF(U185&gt;0,ROUNDUP(T185*SHEET_RATIO,0),0)</f>
        <v>9</v>
      </c>
      <c r="AF185" s="20" t="n">
        <f aca="false">AD185*AE185</f>
        <v>113.624305707754</v>
      </c>
      <c r="AG185" s="18" t="n">
        <f aca="false">MAX(0,GWL-(R185-DD_BELOW))</f>
        <v>3.83790870376363</v>
      </c>
      <c r="AH185" s="12" t="str">
        <f aca="false">IF(AG185=0,"Not required",IF(AG185&lt;=WP_LIMIT,"Single-stage wellpoints","Deep wells or two-stage wellpoints"))</f>
        <v>Single-stage wellpoints</v>
      </c>
      <c r="AI185" s="30" t="n">
        <f aca="false">MIN(_xlfn.MINIFS('Piece check'!$Z$6:$Z$1643,'Piece check'!$B$6:$B$1643,B185),_xlfn.MINIFS('Piece check'!$AA$6:$AA$1643,'Piece check'!$B$6:$B$1643,B185))</f>
        <v>2.92255293080149</v>
      </c>
      <c r="AJ185" s="30" t="n">
        <f aca="false">MIN(_xlfn.MINIFS('Piece check'!$AB$6:$AB$1643,'Piece check'!$B$6:$B$1643,B185),_xlfn.MINIFS('Piece check'!$AC$6:$AC$1643,'Piece check'!$B$6:$B$1643,B185))</f>
        <v>6.16243847145068</v>
      </c>
      <c r="AK185" s="12" t="str">
        <f aca="false">IF(AJ185&lt;FOS_FLOT,"Anchor pipe to piled slab (permanent straps)",IF(AI185&lt;FOS_FLOT,"Keep dewatering on until fill reaches FL, or strap to slab","No extra measure"))</f>
        <v>No extra measure</v>
      </c>
      <c r="AL185" s="35" t="n">
        <f aca="false">Activities!P1976</f>
        <v>46358</v>
      </c>
      <c r="AM185" s="35" t="n">
        <f aca="false">Activities!Q1985</f>
        <v>46408</v>
      </c>
      <c r="AN185" s="15" t="n">
        <v>83</v>
      </c>
      <c r="AO185" s="36" t="s">
        <v>2907</v>
      </c>
      <c r="AP185" s="36" t="s">
        <v>2908</v>
      </c>
      <c r="AQ185" s="36" t="s">
        <v>2909</v>
      </c>
      <c r="AR185" s="37" t="n">
        <f aca="false">Activities!P1984-Activities!Q1982</f>
        <v>18</v>
      </c>
      <c r="AS185" s="37" t="n">
        <f aca="false">IF(Activities!K1979=0,0,Activities!Q1985-Activities!P1979)</f>
        <v>42</v>
      </c>
    </row>
    <row r="186" customFormat="false" ht="15" hidden="false" customHeight="false" outlineLevel="0" collapsed="false">
      <c r="A186" s="15" t="s">
        <v>993</v>
      </c>
      <c r="B186" s="29" t="s">
        <v>1067</v>
      </c>
      <c r="C186" s="15" t="s">
        <v>406</v>
      </c>
      <c r="D186" s="15" t="s">
        <v>2910</v>
      </c>
      <c r="E186" s="15" t="s">
        <v>2518</v>
      </c>
      <c r="F186" s="15" t="n">
        <v>28</v>
      </c>
      <c r="G186" s="15" t="s">
        <v>2367</v>
      </c>
      <c r="H186" s="15" t="s">
        <v>307</v>
      </c>
      <c r="I186" s="35" t="n">
        <f aca="false">MAX(Structures!$H$8)</f>
        <v>0</v>
      </c>
      <c r="J186" s="15"/>
      <c r="K186" s="16" t="n">
        <v>0</v>
      </c>
      <c r="L186" s="15" t="s">
        <v>358</v>
      </c>
      <c r="M186" s="15" t="n">
        <v>1</v>
      </c>
      <c r="N186" s="30" t="n">
        <f aca="false">_xlfn.MAXIFS('Piece check'!$E$6:$E$1643,'Piece check'!$B$6:$B$1643,B186)</f>
        <v>1.19999444697793</v>
      </c>
      <c r="O186" s="31" t="n">
        <f aca="false">SUMIFS('Piece check'!$D$6:$D$1643,'Piece check'!$B$6:$B$1643,B186)</f>
        <v>0.880820655459211</v>
      </c>
      <c r="P186" s="32" t="n">
        <v>-4.82498722348897</v>
      </c>
      <c r="Q186" s="32" t="n">
        <v>-4.81631714599838</v>
      </c>
      <c r="R186" s="30" t="n">
        <f aca="false">_xlfn.MINIFS('Piece check'!$K$6:$K$1643,'Piece check'!$B$6:$B$1643,B186)</f>
        <v>-4.82498722348897</v>
      </c>
      <c r="S186" s="18" t="n">
        <f aca="false">MAX(0,GWL-R186)</f>
        <v>3.32498722348897</v>
      </c>
      <c r="T186" s="18" t="n">
        <f aca="false">MAX(0,NG-R186)</f>
        <v>4.12498722348897</v>
      </c>
      <c r="U186" s="31" t="n">
        <f aca="false">SUMIFS('Piece check'!$R$6:$R$1643,'Piece check'!$B$6:$B$1643,B186)</f>
        <v>0.880820655459211</v>
      </c>
      <c r="V186" s="21" t="n">
        <f aca="false">O186-U186</f>
        <v>0</v>
      </c>
      <c r="W186" s="12" t="str">
        <f aca="false">IF(U186&lt;0.05,"Open cut",IF(V186&lt;0.05,"Sheet piles","Mixed: "&amp;TEXT(U186,"0")&amp;" m sheet piles"))</f>
        <v>Sheet piles</v>
      </c>
      <c r="X186" s="33" t="n">
        <f aca="false">SUMIFS('Piece check'!$V$6:$V$1643,'Piece check'!$B$6:$B$1643,B186)</f>
        <v>11.5950039042641</v>
      </c>
      <c r="Y186" s="33" t="n">
        <f aca="false">SUMIFS('Piece check'!$W$6:$W$1643,'Piece check'!$B$6:$B$1643,B186)</f>
        <v>0</v>
      </c>
      <c r="Z186" s="33" t="n">
        <f aca="false">SUMIFS('Piece check'!$X$6:$X$1643,'Piece check'!$B$6:$B$1643,B186)</f>
        <v>0.966121163076351</v>
      </c>
      <c r="AA186" s="33" t="n">
        <f aca="false">SUMIFS('Piece check'!$Y$6:$Y$1643,'Piece check'!$B$6:$B$1643,B186)</f>
        <v>0.985774211323235</v>
      </c>
      <c r="AB186" s="20" t="n">
        <f aca="false">MAX(0,X186+Y186-Z186-AA186)</f>
        <v>9.64310852986451</v>
      </c>
      <c r="AC186" s="20" t="n">
        <f aca="false">(ROUNDUP(O186/PILE_SP,0)+1)*IF(N186&gt;=PILE_THR,PILE_N_LARGE,PILE_N_SMALL)</f>
        <v>4</v>
      </c>
      <c r="AD186" s="20" t="n">
        <f aca="false">2*U186</f>
        <v>1.76164131091842</v>
      </c>
      <c r="AE186" s="34" t="n">
        <f aca="false">IF(U186&gt;0,ROUNDUP(T186*SHEET_RATIO,0),0)</f>
        <v>9</v>
      </c>
      <c r="AF186" s="20" t="n">
        <f aca="false">AD186*AE186</f>
        <v>15.8547717982658</v>
      </c>
      <c r="AG186" s="18" t="n">
        <f aca="false">MAX(0,GWL-(R186-DD_BELOW))</f>
        <v>3.82498722348897</v>
      </c>
      <c r="AH186" s="12" t="str">
        <f aca="false">IF(AG186=0,"Not required",IF(AG186&lt;=WP_LIMIT,"Single-stage wellpoints","Deep wells or two-stage wellpoints"))</f>
        <v>Single-stage wellpoints</v>
      </c>
      <c r="AI186" s="30" t="n">
        <f aca="false">MIN(_xlfn.MINIFS('Piece check'!$Z$6:$Z$1643,'Piece check'!$B$6:$B$1643,B186),_xlfn.MINIFS('Piece check'!$AA$6:$AA$1643,'Piece check'!$B$6:$B$1643,B186))</f>
        <v>2.99693885223708</v>
      </c>
      <c r="AJ186" s="30" t="n">
        <f aca="false">MIN(_xlfn.MINIFS('Piece check'!$AB$6:$AB$1643,'Piece check'!$B$6:$B$1643,B186),_xlfn.MINIFS('Piece check'!$AC$6:$AC$1643,'Piece check'!$B$6:$B$1643,B186))</f>
        <v>6.30659824427549</v>
      </c>
      <c r="AK186" s="12" t="str">
        <f aca="false">IF(AJ186&lt;FOS_FLOT,"Anchor pipe to piled slab (permanent straps)",IF(AI186&lt;FOS_FLOT,"Keep dewatering on until fill reaches FL, or strap to slab","No extra measure"))</f>
        <v>No extra measure</v>
      </c>
      <c r="AL186" s="35" t="n">
        <f aca="false">Activities!P1987</f>
        <v>46363</v>
      </c>
      <c r="AM186" s="35" t="n">
        <f aca="false">Activities!Q1996</f>
        <v>46397</v>
      </c>
      <c r="AN186" s="15" t="n">
        <v>84</v>
      </c>
      <c r="AO186" s="36" t="s">
        <v>2519</v>
      </c>
      <c r="AP186" s="36" t="s">
        <v>2911</v>
      </c>
      <c r="AQ186" s="36" t="s">
        <v>2912</v>
      </c>
      <c r="AR186" s="37" t="n">
        <f aca="false">Activities!P1995-Activities!Q1993</f>
        <v>-1</v>
      </c>
      <c r="AS186" s="37" t="n">
        <f aca="false">IF(Activities!K1990=0,0,Activities!Q1996-Activities!P1990)</f>
        <v>31</v>
      </c>
    </row>
    <row r="187" customFormat="false" ht="15" hidden="false" customHeight="false" outlineLevel="0" collapsed="false">
      <c r="A187" s="15" t="s">
        <v>993</v>
      </c>
      <c r="B187" s="29" t="s">
        <v>1044</v>
      </c>
      <c r="C187" s="15" t="s">
        <v>406</v>
      </c>
      <c r="D187" s="15" t="s">
        <v>2913</v>
      </c>
      <c r="E187" s="15" t="s">
        <v>2518</v>
      </c>
      <c r="F187" s="15" t="n">
        <v>28</v>
      </c>
      <c r="G187" s="15" t="s">
        <v>2362</v>
      </c>
      <c r="H187" s="15"/>
      <c r="I187" s="16" t="n">
        <v>0</v>
      </c>
      <c r="J187" s="15"/>
      <c r="K187" s="16" t="n">
        <v>0</v>
      </c>
      <c r="L187" s="15" t="s">
        <v>358</v>
      </c>
      <c r="M187" s="15" t="n">
        <v>3</v>
      </c>
      <c r="N187" s="30" t="n">
        <f aca="false">_xlfn.MAXIFS('Piece check'!$E$6:$E$1643,'Piece check'!$B$6:$B$1643,B187)</f>
        <v>1.65520026701648</v>
      </c>
      <c r="O187" s="31" t="n">
        <f aca="false">SUMIFS('Piece check'!$D$6:$D$1643,'Piece check'!$B$6:$B$1643,B187)</f>
        <v>62.526693312255</v>
      </c>
      <c r="P187" s="32" t="n">
        <v>-4.90000053142148</v>
      </c>
      <c r="Q187" s="32" t="n">
        <v>-5.03299013350824</v>
      </c>
      <c r="R187" s="30" t="n">
        <f aca="false">_xlfn.MINIFS('Piece check'!$K$6:$K$1643,'Piece check'!$B$6:$B$1643,B187)</f>
        <v>-5.03299013350824</v>
      </c>
      <c r="S187" s="18" t="n">
        <f aca="false">MAX(0,GWL-R187)</f>
        <v>3.53299013350824</v>
      </c>
      <c r="T187" s="18" t="n">
        <f aca="false">MAX(0,NG-R187)</f>
        <v>4.33299013350824</v>
      </c>
      <c r="U187" s="31" t="n">
        <f aca="false">SUMIFS('Piece check'!$R$6:$R$1643,'Piece check'!$B$6:$B$1643,B187)</f>
        <v>62.526693312255</v>
      </c>
      <c r="V187" s="21" t="n">
        <f aca="false">O187-U187</f>
        <v>0</v>
      </c>
      <c r="W187" s="12" t="str">
        <f aca="false">IF(U187&lt;0.05,"Open cut",IF(V187&lt;0.05,"Sheet piles","Mixed: "&amp;TEXT(U187,"0")&amp;" m sheet piles"))</f>
        <v>Sheet piles</v>
      </c>
      <c r="X187" s="33" t="n">
        <f aca="false">SUMIFS('Piece check'!$V$6:$V$1643,'Piece check'!$B$6:$B$1643,B187)</f>
        <v>949.848859964535</v>
      </c>
      <c r="Y187" s="33" t="n">
        <f aca="false">SUMIFS('Piece check'!$W$6:$W$1643,'Piece check'!$B$6:$B$1643,B187)</f>
        <v>0</v>
      </c>
      <c r="Z187" s="33" t="n">
        <f aca="false">SUMIFS('Piece check'!$X$6:$X$1643,'Piece check'!$B$6:$B$1643,B187)</f>
        <v>81.4638900448088</v>
      </c>
      <c r="AA187" s="33" t="n">
        <f aca="false">SUMIFS('Piece check'!$Y$6:$Y$1643,'Piece check'!$B$6:$B$1643,B187)</f>
        <v>126.633615449334</v>
      </c>
      <c r="AB187" s="20" t="n">
        <f aca="false">MAX(0,X187+Y187-Z187-AA187)</f>
        <v>741.751354470392</v>
      </c>
      <c r="AC187" s="20" t="n">
        <f aca="false">(ROUNDUP(O187/PILE_SP,0)+1)*IF(N187&gt;=PILE_THR,PILE_N_LARGE,PILE_N_SMALL)</f>
        <v>44</v>
      </c>
      <c r="AD187" s="20" t="n">
        <f aca="false">2*U187</f>
        <v>125.05338662451</v>
      </c>
      <c r="AE187" s="34" t="n">
        <f aca="false">IF(U187&gt;0,ROUNDUP(T187*SHEET_RATIO,0),0)</f>
        <v>9</v>
      </c>
      <c r="AF187" s="20" t="n">
        <f aca="false">AD187*AE187</f>
        <v>1125.48047962059</v>
      </c>
      <c r="AG187" s="18" t="n">
        <f aca="false">MAX(0,GWL-(R187-DD_BELOW))</f>
        <v>4.03299013350824</v>
      </c>
      <c r="AH187" s="12" t="str">
        <f aca="false">IF(AG187=0,"Not required",IF(AG187&lt;=WP_LIMIT,"Single-stage wellpoints","Deep wells or two-stage wellpoints"))</f>
        <v>Single-stage wellpoints</v>
      </c>
      <c r="AI187" s="30" t="n">
        <f aca="false">MIN(_xlfn.MINIFS('Piece check'!$Z$6:$Z$1643,'Piece check'!$B$6:$B$1643,B187),_xlfn.MINIFS('Piece check'!$AA$6:$AA$1643,'Piece check'!$B$6:$B$1643,B187))</f>
        <v>1.97705196551651</v>
      </c>
      <c r="AJ187" s="30" t="n">
        <f aca="false">MIN(_xlfn.MINIFS('Piece check'!$AB$6:$AB$1643,'Piece check'!$B$6:$B$1643,B187),_xlfn.MINIFS('Piece check'!$AC$6:$AC$1643,'Piece check'!$B$6:$B$1643,B187))</f>
        <v>4.37650354305478</v>
      </c>
      <c r="AK187" s="12" t="str">
        <f aca="false">IF(AJ187&lt;FOS_FLOT,"Anchor pipe to piled slab (permanent straps)",IF(AI187&lt;FOS_FLOT,"Keep dewatering on until fill reaches FL, or strap to slab","No extra measure"))</f>
        <v>No extra measure</v>
      </c>
      <c r="AL187" s="35" t="n">
        <f aca="false">Activities!P1998</f>
        <v>46363</v>
      </c>
      <c r="AM187" s="35" t="n">
        <f aca="false">Activities!Q2007</f>
        <v>46489</v>
      </c>
      <c r="AN187" s="15" t="n">
        <v>85</v>
      </c>
      <c r="AO187" s="36" t="s">
        <v>2914</v>
      </c>
      <c r="AP187" s="36" t="s">
        <v>2915</v>
      </c>
      <c r="AQ187" s="36" t="s">
        <v>2916</v>
      </c>
      <c r="AR187" s="37" t="n">
        <f aca="false">Activities!P2006-Activities!Q2004</f>
        <v>90</v>
      </c>
      <c r="AS187" s="37" t="n">
        <f aca="false">IF(Activities!K2001=0,0,Activities!Q2007-Activities!P2001)</f>
        <v>120</v>
      </c>
    </row>
    <row r="188" customFormat="false" ht="15" hidden="false" customHeight="false" outlineLevel="0" collapsed="false">
      <c r="A188" s="15" t="s">
        <v>1872</v>
      </c>
      <c r="B188" s="29" t="s">
        <v>1882</v>
      </c>
      <c r="C188" s="15" t="s">
        <v>406</v>
      </c>
      <c r="D188" s="15" t="s">
        <v>2917</v>
      </c>
      <c r="E188" s="15" t="s">
        <v>2361</v>
      </c>
      <c r="F188" s="15" t="n">
        <v>28</v>
      </c>
      <c r="G188" s="15" t="s">
        <v>2362</v>
      </c>
      <c r="H188" s="15"/>
      <c r="I188" s="16" t="n">
        <v>0</v>
      </c>
      <c r="J188" s="15"/>
      <c r="K188" s="16" t="n">
        <v>0</v>
      </c>
      <c r="L188" s="15" t="s">
        <v>358</v>
      </c>
      <c r="M188" s="15" t="n">
        <v>2</v>
      </c>
      <c r="N188" s="30" t="n">
        <f aca="false">_xlfn.MAXIFS('Piece check'!$E$6:$E$1643,'Piece check'!$B$6:$B$1643,B188)</f>
        <v>2.27639778569161</v>
      </c>
      <c r="O188" s="31" t="n">
        <f aca="false">SUMIFS('Piece check'!$D$6:$D$1643,'Piece check'!$B$6:$B$1643,B188)</f>
        <v>45.2674440291802</v>
      </c>
      <c r="P188" s="32" t="n">
        <v>-3.92819822440365</v>
      </c>
      <c r="Q188" s="32" t="n">
        <v>-4.31819889284581</v>
      </c>
      <c r="R188" s="30" t="n">
        <f aca="false">_xlfn.MINIFS('Piece check'!$K$6:$K$1643,'Piece check'!$B$6:$B$1643,B188)</f>
        <v>-4.31819889284581</v>
      </c>
      <c r="S188" s="18" t="n">
        <f aca="false">MAX(0,GWL-R188)</f>
        <v>2.81819889284581</v>
      </c>
      <c r="T188" s="18" t="n">
        <f aca="false">MAX(0,NG-R188)</f>
        <v>3.61819889284581</v>
      </c>
      <c r="U188" s="31" t="n">
        <f aca="false">SUMIFS('Piece check'!$R$6:$R$1643,'Piece check'!$B$6:$B$1643,B188)</f>
        <v>40.0000000003952</v>
      </c>
      <c r="V188" s="21" t="n">
        <f aca="false">O188-U188</f>
        <v>5.267444028785</v>
      </c>
      <c r="W188" s="12" t="str">
        <f aca="false">IF(U188&lt;0.05,"Open cut",IF(V188&lt;0.05,"Sheet piles","Mixed: "&amp;TEXT(U188,"0")&amp;" m sheet piles"))</f>
        <v>Mixed: 40 m sheet piles</v>
      </c>
      <c r="X188" s="33" t="n">
        <f aca="false">SUMIFS('Piece check'!$V$6:$V$1643,'Piece check'!$B$6:$B$1643,B188)</f>
        <v>598.789160032369</v>
      </c>
      <c r="Y188" s="33" t="n">
        <f aca="false">SUMIFS('Piece check'!$W$6:$W$1643,'Piece check'!$B$6:$B$1643,B188)</f>
        <v>183.575862127747</v>
      </c>
      <c r="Z188" s="33" t="n">
        <f aca="false">SUMIFS('Piece check'!$X$6:$X$1643,'Piece check'!$B$6:$B$1643,B188)</f>
        <v>74.1570563043858</v>
      </c>
      <c r="AA188" s="33" t="n">
        <f aca="false">SUMIFS('Piece check'!$Y$6:$Y$1643,'Piece check'!$B$6:$B$1643,B188)</f>
        <v>184.23486478519</v>
      </c>
      <c r="AB188" s="20" t="n">
        <f aca="false">MAX(0,X188+Y188-Z188-AA188)</f>
        <v>523.973101070541</v>
      </c>
      <c r="AC188" s="20" t="n">
        <f aca="false">(ROUNDUP(O188/PILE_SP,0)+1)*IF(N188&gt;=PILE_THR,PILE_N_LARGE,PILE_N_SMALL)</f>
        <v>34</v>
      </c>
      <c r="AD188" s="20" t="n">
        <f aca="false">2*U188</f>
        <v>80.0000000007904</v>
      </c>
      <c r="AE188" s="34" t="n">
        <f aca="false">IF(U188&gt;0,ROUNDUP(T188*SHEET_RATIO,0),0)</f>
        <v>8</v>
      </c>
      <c r="AF188" s="20" t="n">
        <f aca="false">AD188*AE188</f>
        <v>640.000000006323</v>
      </c>
      <c r="AG188" s="18" t="n">
        <f aca="false">MAX(0,GWL-(R188-DD_BELOW))</f>
        <v>3.31819889284581</v>
      </c>
      <c r="AH188" s="12" t="str">
        <f aca="false">IF(AG188=0,"Not required",IF(AG188&lt;=WP_LIMIT,"Single-stage wellpoints","Deep wells or two-stage wellpoints"))</f>
        <v>Single-stage wellpoints</v>
      </c>
      <c r="AI188" s="30" t="n">
        <f aca="false">MIN(_xlfn.MINIFS('Piece check'!$Z$6:$Z$1643,'Piece check'!$B$6:$B$1643,B188),_xlfn.MINIFS('Piece check'!$AA$6:$AA$1643,'Piece check'!$B$6:$B$1643,B188))</f>
        <v>0.463674967611325</v>
      </c>
      <c r="AJ188" s="30" t="n">
        <f aca="false">MIN(_xlfn.MINIFS('Piece check'!$AB$6:$AB$1643,'Piece check'!$B$6:$B$1643,B188),_xlfn.MINIFS('Piece check'!$AC$6:$AC$1643,'Piece check'!$B$6:$B$1643,B188))</f>
        <v>2.20835037066571</v>
      </c>
      <c r="AK188" s="12" t="str">
        <f aca="false">IF(AJ188&lt;FOS_FLOT,"Anchor pipe to piled slab (permanent straps)",IF(AI188&lt;FOS_FLOT,"Keep dewatering on until fill reaches FL, or strap to slab","No extra measure"))</f>
        <v>Keep dewatering on until fill reaches FL, or strap to slab</v>
      </c>
      <c r="AL188" s="35" t="n">
        <f aca="false">Activities!P2009</f>
        <v>46365</v>
      </c>
      <c r="AM188" s="35" t="n">
        <f aca="false">Activities!Q2018</f>
        <v>46520</v>
      </c>
      <c r="AN188" s="15" t="n">
        <v>86</v>
      </c>
      <c r="AO188" s="36" t="s">
        <v>2918</v>
      </c>
      <c r="AP188" s="36" t="s">
        <v>2919</v>
      </c>
      <c r="AQ188" s="36" t="s">
        <v>2920</v>
      </c>
      <c r="AR188" s="37" t="n">
        <f aca="false">Activities!P2017-Activities!Q2015</f>
        <v>111</v>
      </c>
      <c r="AS188" s="37" t="n">
        <f aca="false">IF(Activities!K2012=0,0,Activities!Q2018-Activities!P2012)</f>
        <v>146</v>
      </c>
    </row>
    <row r="189" customFormat="false" ht="15" hidden="false" customHeight="false" outlineLevel="0" collapsed="false">
      <c r="A189" s="15" t="s">
        <v>1996</v>
      </c>
      <c r="B189" s="29" t="s">
        <v>2010</v>
      </c>
      <c r="C189" s="15" t="s">
        <v>406</v>
      </c>
      <c r="D189" s="15" t="s">
        <v>2921</v>
      </c>
      <c r="E189" s="15" t="s">
        <v>2361</v>
      </c>
      <c r="F189" s="15" t="n">
        <v>28</v>
      </c>
      <c r="G189" s="15" t="s">
        <v>2362</v>
      </c>
      <c r="H189" s="15"/>
      <c r="I189" s="16" t="n">
        <v>0</v>
      </c>
      <c r="J189" s="15"/>
      <c r="K189" s="16" t="n">
        <v>0</v>
      </c>
      <c r="L189" s="15" t="s">
        <v>358</v>
      </c>
      <c r="M189" s="15" t="n">
        <v>7</v>
      </c>
      <c r="N189" s="30" t="n">
        <f aca="false">_xlfn.MAXIFS('Piece check'!$E$6:$E$1643,'Piece check'!$B$6:$B$1643,B189)</f>
        <v>1.86260028695454</v>
      </c>
      <c r="O189" s="31" t="n">
        <f aca="false">SUMIFS('Piece check'!$D$6:$D$1643,'Piece check'!$B$6:$B$1643,B189)</f>
        <v>82.2204456512704</v>
      </c>
      <c r="P189" s="32" t="n">
        <v>-4.28037016600289</v>
      </c>
      <c r="Q189" s="32" t="n">
        <v>-4.68130014347727</v>
      </c>
      <c r="R189" s="30" t="n">
        <f aca="false">_xlfn.MINIFS('Piece check'!$K$6:$K$1643,'Piece check'!$B$6:$B$1643,B189)</f>
        <v>-4.68130014347727</v>
      </c>
      <c r="S189" s="18" t="n">
        <f aca="false">MAX(0,GWL-R189)</f>
        <v>3.18130014347727</v>
      </c>
      <c r="T189" s="18" t="n">
        <f aca="false">MAX(0,NG-R189)</f>
        <v>3.98130014347727</v>
      </c>
      <c r="U189" s="31" t="n">
        <f aca="false">SUMIFS('Piece check'!$R$6:$R$1643,'Piece check'!$B$6:$B$1643,B189)</f>
        <v>82.2204456512704</v>
      </c>
      <c r="V189" s="21" t="n">
        <f aca="false">O189-U189</f>
        <v>0</v>
      </c>
      <c r="W189" s="12" t="str">
        <f aca="false">IF(U189&lt;0.05,"Open cut",IF(V189&lt;0.05,"Sheet piles","Mixed: "&amp;TEXT(U189,"0")&amp;" m sheet piles"))</f>
        <v>Sheet piles</v>
      </c>
      <c r="X189" s="33" t="n">
        <f aca="false">SUMIFS('Piece check'!$V$6:$V$1643,'Piece check'!$B$6:$B$1643,B189)</f>
        <v>1202.99040597312</v>
      </c>
      <c r="Y189" s="33" t="n">
        <f aca="false">SUMIFS('Piece check'!$W$6:$W$1643,'Piece check'!$B$6:$B$1643,B189)</f>
        <v>0</v>
      </c>
      <c r="Z189" s="33" t="n">
        <f aca="false">SUMIFS('Piece check'!$X$6:$X$1643,'Piece check'!$B$6:$B$1643,B189)</f>
        <v>117.493377912355</v>
      </c>
      <c r="AA189" s="33" t="n">
        <f aca="false">SUMIFS('Piece check'!$Y$6:$Y$1643,'Piece check'!$B$6:$B$1643,B189)</f>
        <v>222.972583223272</v>
      </c>
      <c r="AB189" s="20" t="n">
        <f aca="false">MAX(0,X189+Y189-Z189-AA189)</f>
        <v>862.524444837497</v>
      </c>
      <c r="AC189" s="20" t="n">
        <f aca="false">(ROUNDUP(O189/PILE_SP,0)+1)*IF(N189&gt;=PILE_THR,PILE_N_LARGE,PILE_N_SMALL)</f>
        <v>58</v>
      </c>
      <c r="AD189" s="20" t="n">
        <f aca="false">2*U189</f>
        <v>164.440891302541</v>
      </c>
      <c r="AE189" s="34" t="n">
        <f aca="false">IF(U189&gt;0,ROUNDUP(T189*SHEET_RATIO,0),0)</f>
        <v>8</v>
      </c>
      <c r="AF189" s="20" t="n">
        <f aca="false">AD189*AE189</f>
        <v>1315.52713042033</v>
      </c>
      <c r="AG189" s="18" t="n">
        <f aca="false">MAX(0,GWL-(R189-DD_BELOW))</f>
        <v>3.68130014347727</v>
      </c>
      <c r="AH189" s="12" t="str">
        <f aca="false">IF(AG189=0,"Not required",IF(AG189&lt;=WP_LIMIT,"Single-stage wellpoints","Deep wells or two-stage wellpoints"))</f>
        <v>Single-stage wellpoints</v>
      </c>
      <c r="AI189" s="30" t="n">
        <f aca="false">MIN(_xlfn.MINIFS('Piece check'!$Z$6:$Z$1643,'Piece check'!$B$6:$B$1643,B189),_xlfn.MINIFS('Piece check'!$AA$6:$AA$1643,'Piece check'!$B$6:$B$1643,B189))</f>
        <v>1.24809970579901</v>
      </c>
      <c r="AJ189" s="30" t="n">
        <f aca="false">MIN(_xlfn.MINIFS('Piece check'!$AB$6:$AB$1643,'Piece check'!$B$6:$B$1643,B189),_xlfn.MINIFS('Piece check'!$AC$6:$AC$1643,'Piece check'!$B$6:$B$1643,B189))</f>
        <v>3.38039624706674</v>
      </c>
      <c r="AK189" s="12" t="str">
        <f aca="false">IF(AJ189&lt;FOS_FLOT,"Anchor pipe to piled slab (permanent straps)",IF(AI189&lt;FOS_FLOT,"Keep dewatering on until fill reaches FL, or strap to slab","No extra measure"))</f>
        <v>No extra measure</v>
      </c>
      <c r="AL189" s="35" t="n">
        <f aca="false">Activities!P2020</f>
        <v>46371</v>
      </c>
      <c r="AM189" s="35" t="n">
        <f aca="false">Activities!Q2029</f>
        <v>46524</v>
      </c>
      <c r="AN189" s="15" t="n">
        <v>87</v>
      </c>
      <c r="AO189" s="36" t="s">
        <v>2922</v>
      </c>
      <c r="AP189" s="36" t="s">
        <v>2923</v>
      </c>
      <c r="AQ189" s="36" t="s">
        <v>2924</v>
      </c>
      <c r="AR189" s="37" t="n">
        <f aca="false">Activities!P2028-Activities!Q2026</f>
        <v>104</v>
      </c>
      <c r="AS189" s="37" t="n">
        <f aca="false">IF(Activities!K2023=0,0,Activities!Q2029-Activities!P2023)</f>
        <v>138</v>
      </c>
    </row>
    <row r="190" customFormat="false" ht="15" hidden="false" customHeight="false" outlineLevel="0" collapsed="false">
      <c r="A190" s="15" t="s">
        <v>2030</v>
      </c>
      <c r="B190" s="29" t="s">
        <v>2035</v>
      </c>
      <c r="C190" s="15" t="s">
        <v>406</v>
      </c>
      <c r="D190" s="15" t="s">
        <v>2925</v>
      </c>
      <c r="E190" s="15" t="s">
        <v>2361</v>
      </c>
      <c r="F190" s="15" t="n">
        <v>28</v>
      </c>
      <c r="G190" s="15" t="s">
        <v>2362</v>
      </c>
      <c r="H190" s="15"/>
      <c r="I190" s="16" t="n">
        <v>0</v>
      </c>
      <c r="J190" s="15"/>
      <c r="K190" s="16" t="n">
        <v>0</v>
      </c>
      <c r="L190" s="15" t="s">
        <v>358</v>
      </c>
      <c r="M190" s="15" t="n">
        <v>8</v>
      </c>
      <c r="N190" s="30" t="n">
        <f aca="false">_xlfn.MAXIFS('Piece check'!$E$6:$E$1643,'Piece check'!$B$6:$B$1643,B190)</f>
        <v>1.86260034870584</v>
      </c>
      <c r="O190" s="31" t="n">
        <f aca="false">SUMIFS('Piece check'!$D$6:$D$1643,'Piece check'!$B$6:$B$1643,B190)</f>
        <v>107.006882520685</v>
      </c>
      <c r="P190" s="32" t="n">
        <v>-4.31130017435292</v>
      </c>
      <c r="Q190" s="32" t="n">
        <v>-4.58129762454893</v>
      </c>
      <c r="R190" s="30" t="n">
        <f aca="false">_xlfn.MINIFS('Piece check'!$K$6:$K$1643,'Piece check'!$B$6:$B$1643,B190)</f>
        <v>-4.58129762454893</v>
      </c>
      <c r="S190" s="18" t="n">
        <f aca="false">MAX(0,GWL-R190)</f>
        <v>3.08129762454892</v>
      </c>
      <c r="T190" s="18" t="n">
        <f aca="false">MAX(0,NG-R190)</f>
        <v>3.88129762454892</v>
      </c>
      <c r="U190" s="31" t="n">
        <f aca="false">SUMIFS('Piece check'!$R$6:$R$1643,'Piece check'!$B$6:$B$1643,B190)</f>
        <v>107.006882520685</v>
      </c>
      <c r="V190" s="21" t="n">
        <f aca="false">O190-U190</f>
        <v>0</v>
      </c>
      <c r="W190" s="12" t="str">
        <f aca="false">IF(U190&lt;0.05,"Open cut",IF(V190&lt;0.05,"Sheet piles","Mixed: "&amp;TEXT(U190,"0")&amp;" m sheet piles"))</f>
        <v>Sheet piles</v>
      </c>
      <c r="X190" s="33" t="n">
        <f aca="false">SUMIFS('Piece check'!$V$6:$V$1643,'Piece check'!$B$6:$B$1643,B190)</f>
        <v>1532.13802522048</v>
      </c>
      <c r="Y190" s="33" t="n">
        <f aca="false">SUMIFS('Piece check'!$W$6:$W$1643,'Piece check'!$B$6:$B$1643,B190)</f>
        <v>0</v>
      </c>
      <c r="Z190" s="33" t="n">
        <f aca="false">SUMIFS('Piece check'!$X$6:$X$1643,'Piece check'!$B$6:$B$1643,B190)</f>
        <v>152.943064127605</v>
      </c>
      <c r="AA190" s="33" t="n">
        <f aca="false">SUMIFS('Piece check'!$Y$6:$Y$1643,'Piece check'!$B$6:$B$1643,B190)</f>
        <v>290.352446826033</v>
      </c>
      <c r="AB190" s="20" t="n">
        <f aca="false">MAX(0,X190+Y190-Z190-AA190)</f>
        <v>1088.84251426684</v>
      </c>
      <c r="AC190" s="20" t="n">
        <f aca="false">(ROUNDUP(O190/PILE_SP,0)+1)*IF(N190&gt;=PILE_THR,PILE_N_LARGE,PILE_N_SMALL)</f>
        <v>74</v>
      </c>
      <c r="AD190" s="20" t="n">
        <f aca="false">2*U190</f>
        <v>214.01376504137</v>
      </c>
      <c r="AE190" s="34" t="n">
        <f aca="false">IF(U190&gt;0,ROUNDUP(T190*SHEET_RATIO,0),0)</f>
        <v>8</v>
      </c>
      <c r="AF190" s="20" t="n">
        <f aca="false">AD190*AE190</f>
        <v>1712.11012033096</v>
      </c>
      <c r="AG190" s="18" t="n">
        <f aca="false">MAX(0,GWL-(R190-DD_BELOW))</f>
        <v>3.58129762454892</v>
      </c>
      <c r="AH190" s="12" t="str">
        <f aca="false">IF(AG190=0,"Not required",IF(AG190&lt;=WP_LIMIT,"Single-stage wellpoints","Deep wells or two-stage wellpoints"))</f>
        <v>Single-stage wellpoints</v>
      </c>
      <c r="AI190" s="30" t="n">
        <f aca="false">MIN(_xlfn.MINIFS('Piece check'!$Z$6:$Z$1643,'Piece check'!$B$6:$B$1643,B190),_xlfn.MINIFS('Piece check'!$AA$6:$AA$1643,'Piece check'!$B$6:$B$1643,B190))</f>
        <v>1.25949419723533</v>
      </c>
      <c r="AJ190" s="30" t="n">
        <f aca="false">MIN(_xlfn.MINIFS('Piece check'!$AB$6:$AB$1643,'Piece check'!$B$6:$B$1643,B190),_xlfn.MINIFS('Piece check'!$AC$6:$AC$1643,'Piece check'!$B$6:$B$1643,B190))</f>
        <v>3.39176744339571</v>
      </c>
      <c r="AK190" s="12" t="str">
        <f aca="false">IF(AJ190&lt;FOS_FLOT,"Anchor pipe to piled slab (permanent straps)",IF(AI190&lt;FOS_FLOT,"Keep dewatering on until fill reaches FL, or strap to slab","No extra measure"))</f>
        <v>No extra measure</v>
      </c>
      <c r="AL190" s="35" t="n">
        <f aca="false">Activities!P2031</f>
        <v>46376</v>
      </c>
      <c r="AM190" s="35" t="n">
        <f aca="false">Activities!Q2040</f>
        <v>46528</v>
      </c>
      <c r="AN190" s="15" t="n">
        <v>88</v>
      </c>
      <c r="AO190" s="36" t="s">
        <v>2926</v>
      </c>
      <c r="AP190" s="36" t="s">
        <v>2927</v>
      </c>
      <c r="AQ190" s="36" t="s">
        <v>2928</v>
      </c>
      <c r="AR190" s="37" t="n">
        <f aca="false">Activities!P2039-Activities!Q2037</f>
        <v>97</v>
      </c>
      <c r="AS190" s="37" t="n">
        <f aca="false">IF(Activities!K2034=0,0,Activities!Q2040-Activities!P2034)</f>
        <v>138</v>
      </c>
    </row>
    <row r="191" customFormat="false" ht="15" hidden="false" customHeight="false" outlineLevel="0" collapsed="false">
      <c r="A191" s="15" t="s">
        <v>2030</v>
      </c>
      <c r="B191" s="29" t="s">
        <v>2031</v>
      </c>
      <c r="C191" s="15" t="s">
        <v>406</v>
      </c>
      <c r="D191" s="15" t="s">
        <v>2929</v>
      </c>
      <c r="E191" s="15" t="s">
        <v>2361</v>
      </c>
      <c r="F191" s="15" t="n">
        <v>28</v>
      </c>
      <c r="G191" s="15" t="s">
        <v>2367</v>
      </c>
      <c r="H191" s="15" t="s">
        <v>350</v>
      </c>
      <c r="I191" s="35" t="n">
        <f aca="false">MAX(Structures!$H$27)</f>
        <v>0</v>
      </c>
      <c r="J191" s="15"/>
      <c r="K191" s="16" t="n">
        <v>0</v>
      </c>
      <c r="L191" s="15" t="s">
        <v>358</v>
      </c>
      <c r="M191" s="15" t="n">
        <v>2</v>
      </c>
      <c r="N191" s="30" t="n">
        <f aca="false">_xlfn.MAXIFS('Piece check'!$E$6:$E$1643,'Piece check'!$B$6:$B$1643,B191)</f>
        <v>1.86260034870584</v>
      </c>
      <c r="O191" s="31" t="n">
        <f aca="false">SUMIFS('Piece check'!$D$6:$D$1643,'Piece check'!$B$6:$B$1643,B191)</f>
        <v>2.71845777906527</v>
      </c>
      <c r="P191" s="32" t="n">
        <v>-4.31129762468795</v>
      </c>
      <c r="Q191" s="32" t="n">
        <v>-4.31130017435292</v>
      </c>
      <c r="R191" s="30" t="n">
        <f aca="false">_xlfn.MINIFS('Piece check'!$K$6:$K$1643,'Piece check'!$B$6:$B$1643,B191)</f>
        <v>-4.31130017435292</v>
      </c>
      <c r="S191" s="18" t="n">
        <f aca="false">MAX(0,GWL-R191)</f>
        <v>2.81130017435292</v>
      </c>
      <c r="T191" s="18" t="n">
        <f aca="false">MAX(0,NG-R191)</f>
        <v>3.61130017435292</v>
      </c>
      <c r="U191" s="31" t="n">
        <f aca="false">SUMIFS('Piece check'!$R$6:$R$1643,'Piece check'!$B$6:$B$1643,B191)</f>
        <v>2.71845777906527</v>
      </c>
      <c r="V191" s="21" t="n">
        <f aca="false">O191-U191</f>
        <v>0</v>
      </c>
      <c r="W191" s="12" t="str">
        <f aca="false">IF(U191&lt;0.05,"Open cut",IF(V191&lt;0.05,"Sheet piles","Mixed: "&amp;TEXT(U191,"0")&amp;" m sheet piles"))</f>
        <v>Sheet piles</v>
      </c>
      <c r="X191" s="33" t="n">
        <f aca="false">SUMIFS('Piece check'!$V$6:$V$1643,'Piece check'!$B$6:$B$1643,B191)</f>
        <v>37.9197408772266</v>
      </c>
      <c r="Y191" s="33" t="n">
        <f aca="false">SUMIFS('Piece check'!$W$6:$W$1643,'Piece check'!$B$6:$B$1643,B191)</f>
        <v>0</v>
      </c>
      <c r="Z191" s="33" t="n">
        <f aca="false">SUMIFS('Piece check'!$X$6:$X$1643,'Piece check'!$B$6:$B$1643,B191)</f>
        <v>3.89092440227484</v>
      </c>
      <c r="AA191" s="33" t="n">
        <f aca="false">SUMIFS('Piece check'!$Y$6:$Y$1643,'Piece check'!$B$6:$B$1643,B191)</f>
        <v>7.40713438748081</v>
      </c>
      <c r="AB191" s="20" t="n">
        <f aca="false">MAX(0,X191+Y191-Z191-AA191)</f>
        <v>26.621682087471</v>
      </c>
      <c r="AC191" s="20" t="n">
        <f aca="false">(ROUNDUP(O191/PILE_SP,0)+1)*IF(N191&gt;=PILE_THR,PILE_N_LARGE,PILE_N_SMALL)</f>
        <v>4</v>
      </c>
      <c r="AD191" s="20" t="n">
        <f aca="false">2*U191</f>
        <v>5.43691555813055</v>
      </c>
      <c r="AE191" s="34" t="n">
        <f aca="false">IF(U191&gt;0,ROUNDUP(T191*SHEET_RATIO,0),0)</f>
        <v>8</v>
      </c>
      <c r="AF191" s="20" t="n">
        <f aca="false">AD191*AE191</f>
        <v>43.4953244650444</v>
      </c>
      <c r="AG191" s="18" t="n">
        <f aca="false">MAX(0,GWL-(R191-DD_BELOW))</f>
        <v>3.31130017435292</v>
      </c>
      <c r="AH191" s="12" t="str">
        <f aca="false">IF(AG191=0,"Not required",IF(AG191&lt;=WP_LIMIT,"Single-stage wellpoints","Deep wells or two-stage wellpoints"))</f>
        <v>Single-stage wellpoints</v>
      </c>
      <c r="AI191" s="30" t="n">
        <f aca="false">MIN(_xlfn.MINIFS('Piece check'!$Z$6:$Z$1643,'Piece check'!$B$6:$B$1643,B191),_xlfn.MINIFS('Piece check'!$AA$6:$AA$1643,'Piece check'!$B$6:$B$1643,B191))</f>
        <v>1.25949419723533</v>
      </c>
      <c r="AJ191" s="30" t="n">
        <f aca="false">MIN(_xlfn.MINIFS('Piece check'!$AB$6:$AB$1643,'Piece check'!$B$6:$B$1643,B191),_xlfn.MINIFS('Piece check'!$AC$6:$AC$1643,'Piece check'!$B$6:$B$1643,B191))</f>
        <v>3.39176744339571</v>
      </c>
      <c r="AK191" s="12" t="str">
        <f aca="false">IF(AJ191&lt;FOS_FLOT,"Anchor pipe to piled slab (permanent straps)",IF(AI191&lt;FOS_FLOT,"Keep dewatering on until fill reaches FL, or strap to slab","No extra measure"))</f>
        <v>No extra measure</v>
      </c>
      <c r="AL191" s="35" t="n">
        <f aca="false">Activities!P2042</f>
        <v>46383</v>
      </c>
      <c r="AM191" s="35" t="n">
        <f aca="false">Activities!Q2051</f>
        <v>46439</v>
      </c>
      <c r="AN191" s="15" t="n">
        <v>89</v>
      </c>
      <c r="AO191" s="36" t="s">
        <v>2930</v>
      </c>
      <c r="AP191" s="36" t="s">
        <v>2931</v>
      </c>
      <c r="AQ191" s="36" t="s">
        <v>2932</v>
      </c>
      <c r="AR191" s="37" t="n">
        <f aca="false">Activities!P2050-Activities!Q2048</f>
        <v>6</v>
      </c>
      <c r="AS191" s="37" t="n">
        <f aca="false">IF(Activities!K2045=0,0,Activities!Q2051-Activities!P2045)</f>
        <v>53</v>
      </c>
    </row>
    <row r="192" customFormat="false" ht="15" hidden="false" customHeight="false" outlineLevel="0" collapsed="false">
      <c r="A192" s="15" t="s">
        <v>1996</v>
      </c>
      <c r="B192" s="29" t="s">
        <v>2001</v>
      </c>
      <c r="C192" s="15" t="s">
        <v>406</v>
      </c>
      <c r="D192" s="15" t="s">
        <v>2933</v>
      </c>
      <c r="E192" s="15" t="s">
        <v>2361</v>
      </c>
      <c r="F192" s="15" t="n">
        <v>28</v>
      </c>
      <c r="G192" s="15" t="s">
        <v>2362</v>
      </c>
      <c r="H192" s="15"/>
      <c r="I192" s="16" t="n">
        <v>0</v>
      </c>
      <c r="J192" s="15"/>
      <c r="K192" s="16" t="n">
        <v>0</v>
      </c>
      <c r="L192" s="15" t="s">
        <v>358</v>
      </c>
      <c r="M192" s="15" t="n">
        <v>5</v>
      </c>
      <c r="N192" s="30" t="n">
        <f aca="false">_xlfn.MAXIFS('Piece check'!$E$6:$E$1643,'Piece check'!$B$6:$B$1643,B192)</f>
        <v>1.86259778216107</v>
      </c>
      <c r="O192" s="31" t="n">
        <f aca="false">SUMIFS('Piece check'!$D$6:$D$1643,'Piece check'!$B$6:$B$1643,B192)</f>
        <v>30.5156039629667</v>
      </c>
      <c r="P192" s="32" t="n">
        <v>-4.03129889108054</v>
      </c>
      <c r="Q192" s="32" t="n">
        <v>-4.27305932580954</v>
      </c>
      <c r="R192" s="30" t="n">
        <f aca="false">_xlfn.MINIFS('Piece check'!$K$6:$K$1643,'Piece check'!$B$6:$B$1643,B192)</f>
        <v>-4.27826889108053</v>
      </c>
      <c r="S192" s="18" t="n">
        <f aca="false">MAX(0,GWL-R192)</f>
        <v>2.77826889108053</v>
      </c>
      <c r="T192" s="18" t="n">
        <f aca="false">MAX(0,NG-R192)</f>
        <v>3.57826889108053</v>
      </c>
      <c r="U192" s="31" t="n">
        <f aca="false">SUMIFS('Piece check'!$R$6:$R$1643,'Piece check'!$B$6:$B$1643,B192)</f>
        <v>30.5156039629667</v>
      </c>
      <c r="V192" s="21" t="n">
        <f aca="false">O192-U192</f>
        <v>0</v>
      </c>
      <c r="W192" s="12" t="str">
        <f aca="false">IF(U192&lt;0.05,"Open cut",IF(V192&lt;0.05,"Sheet piles","Mixed: "&amp;TEXT(U192,"0")&amp;" m sheet piles"))</f>
        <v>Sheet piles</v>
      </c>
      <c r="X192" s="33" t="n">
        <f aca="false">SUMIFS('Piece check'!$V$6:$V$1643,'Piece check'!$B$6:$B$1643,B192)</f>
        <v>407.69530701231</v>
      </c>
      <c r="Y192" s="33" t="n">
        <f aca="false">SUMIFS('Piece check'!$W$6:$W$1643,'Piece check'!$B$6:$B$1643,B192)</f>
        <v>0</v>
      </c>
      <c r="Z192" s="33" t="n">
        <f aca="false">SUMIFS('Piece check'!$X$6:$X$1643,'Piece check'!$B$6:$B$1643,B192)</f>
        <v>43.6497570911021</v>
      </c>
      <c r="AA192" s="33" t="n">
        <f aca="false">SUMIFS('Piece check'!$Y$6:$Y$1643,'Piece check'!$B$6:$B$1643,B192)</f>
        <v>82.9900489591176</v>
      </c>
      <c r="AB192" s="20" t="n">
        <f aca="false">MAX(0,X192+Y192-Z192-AA192)</f>
        <v>281.055500962091</v>
      </c>
      <c r="AC192" s="20" t="n">
        <f aca="false">(ROUNDUP(O192/PILE_SP,0)+1)*IF(N192&gt;=PILE_THR,PILE_N_LARGE,PILE_N_SMALL)</f>
        <v>24</v>
      </c>
      <c r="AD192" s="20" t="n">
        <f aca="false">2*U192</f>
        <v>61.0312079259333</v>
      </c>
      <c r="AE192" s="34" t="n">
        <f aca="false">IF(U192&gt;0,ROUNDUP(T192*SHEET_RATIO,0),0)</f>
        <v>8</v>
      </c>
      <c r="AF192" s="20" t="n">
        <f aca="false">AD192*AE192</f>
        <v>488.249663407467</v>
      </c>
      <c r="AG192" s="18" t="n">
        <f aca="false">MAX(0,GWL-(R192-DD_BELOW))</f>
        <v>3.27826889108053</v>
      </c>
      <c r="AH192" s="12" t="str">
        <f aca="false">IF(AG192=0,"Not required",IF(AG192&lt;=WP_LIMIT,"Single-stage wellpoints","Deep wells or two-stage wellpoints"))</f>
        <v>Single-stage wellpoints</v>
      </c>
      <c r="AI192" s="30" t="n">
        <f aca="false">MIN(_xlfn.MINIFS('Piece check'!$Z$6:$Z$1643,'Piece check'!$B$6:$B$1643,B192),_xlfn.MINIFS('Piece check'!$AA$6:$AA$1643,'Piece check'!$B$6:$B$1643,B192))</f>
        <v>1.09970137928911</v>
      </c>
      <c r="AJ192" s="30" t="n">
        <f aca="false">MIN(_xlfn.MINIFS('Piece check'!$AB$6:$AB$1643,'Piece check'!$B$6:$B$1643,B192),_xlfn.MINIFS('Piece check'!$AC$6:$AC$1643,'Piece check'!$B$6:$B$1643,B192))</f>
        <v>3.2319775635904</v>
      </c>
      <c r="AK192" s="12" t="str">
        <f aca="false">IF(AJ192&lt;FOS_FLOT,"Anchor pipe to piled slab (permanent straps)",IF(AI192&lt;FOS_FLOT,"Keep dewatering on until fill reaches FL, or strap to slab","No extra measure"))</f>
        <v>Keep dewatering on until fill reaches FL, or strap to slab</v>
      </c>
      <c r="AL192" s="35" t="n">
        <f aca="false">Activities!P2053</f>
        <v>46383</v>
      </c>
      <c r="AM192" s="35" t="n">
        <f aca="false">Activities!Q2062</f>
        <v>46528</v>
      </c>
      <c r="AN192" s="15" t="n">
        <v>90</v>
      </c>
      <c r="AO192" s="36" t="s">
        <v>2934</v>
      </c>
      <c r="AP192" s="36" t="s">
        <v>2923</v>
      </c>
      <c r="AQ192" s="36" t="s">
        <v>2935</v>
      </c>
      <c r="AR192" s="37" t="n">
        <f aca="false">Activities!P2061-Activities!Q2059</f>
        <v>94</v>
      </c>
      <c r="AS192" s="37" t="n">
        <f aca="false">IF(Activities!K2056=0,0,Activities!Q2062-Activities!P2056)</f>
        <v>131</v>
      </c>
    </row>
    <row r="193" customFormat="false" ht="15" hidden="false" customHeight="false" outlineLevel="0" collapsed="false">
      <c r="A193" s="15" t="s">
        <v>1996</v>
      </c>
      <c r="B193" s="29" t="s">
        <v>1997</v>
      </c>
      <c r="C193" s="15" t="s">
        <v>406</v>
      </c>
      <c r="D193" s="15" t="s">
        <v>2936</v>
      </c>
      <c r="E193" s="15" t="s">
        <v>2361</v>
      </c>
      <c r="F193" s="15" t="n">
        <v>28</v>
      </c>
      <c r="G193" s="15" t="s">
        <v>2367</v>
      </c>
      <c r="H193" s="15" t="s">
        <v>350</v>
      </c>
      <c r="I193" s="35" t="n">
        <f aca="false">MAX(Structures!$H$27)</f>
        <v>0</v>
      </c>
      <c r="J193" s="15"/>
      <c r="K193" s="16" t="n">
        <v>0</v>
      </c>
      <c r="L193" s="15" t="s">
        <v>358</v>
      </c>
      <c r="M193" s="15" t="n">
        <v>2</v>
      </c>
      <c r="N193" s="30" t="n">
        <f aca="false">_xlfn.MAXIFS('Piece check'!$E$6:$E$1643,'Piece check'!$B$6:$B$1643,B193)</f>
        <v>1.86260028689554</v>
      </c>
      <c r="O193" s="31" t="n">
        <f aca="false">SUMIFS('Piece check'!$D$6:$D$1643,'Piece check'!$B$6:$B$1643,B193)</f>
        <v>2.50609331492831</v>
      </c>
      <c r="P193" s="32" t="n">
        <v>-4.03130014344777</v>
      </c>
      <c r="Q193" s="32" t="n">
        <v>-4.03129889108054</v>
      </c>
      <c r="R193" s="30" t="n">
        <f aca="false">_xlfn.MINIFS('Piece check'!$K$6:$K$1643,'Piece check'!$B$6:$B$1643,B193)</f>
        <v>-4.03130014344777</v>
      </c>
      <c r="S193" s="18" t="n">
        <f aca="false">MAX(0,GWL-R193)</f>
        <v>2.53130014344777</v>
      </c>
      <c r="T193" s="18" t="n">
        <f aca="false">MAX(0,NG-R193)</f>
        <v>3.33130014344777</v>
      </c>
      <c r="U193" s="31" t="n">
        <f aca="false">SUMIFS('Piece check'!$R$6:$R$1643,'Piece check'!$B$6:$B$1643,B193)</f>
        <v>2.50609331492831</v>
      </c>
      <c r="V193" s="21" t="n">
        <f aca="false">O193-U193</f>
        <v>0</v>
      </c>
      <c r="W193" s="12" t="str">
        <f aca="false">IF(U193&lt;0.05,"Open cut",IF(V193&lt;0.05,"Sheet piles","Mixed: "&amp;TEXT(U193,"0")&amp;" m sheet piles"))</f>
        <v>Sheet piles</v>
      </c>
      <c r="X193" s="33" t="n">
        <f aca="false">SUMIFS('Piece check'!$V$6:$V$1643,'Piece check'!$B$6:$B$1643,B193)</f>
        <v>32.247096229026</v>
      </c>
      <c r="Y193" s="33" t="n">
        <f aca="false">SUMIFS('Piece check'!$W$6:$W$1643,'Piece check'!$B$6:$B$1643,B193)</f>
        <v>0</v>
      </c>
      <c r="Z193" s="33" t="n">
        <f aca="false">SUMIFS('Piece check'!$X$6:$X$1643,'Piece check'!$B$6:$B$1643,B193)</f>
        <v>3.58697061818673</v>
      </c>
      <c r="AA193" s="33" t="n">
        <f aca="false">SUMIFS('Piece check'!$Y$6:$Y$1643,'Piece check'!$B$6:$B$1643,B193)</f>
        <v>6.82851141787436</v>
      </c>
      <c r="AB193" s="20" t="n">
        <f aca="false">MAX(0,X193+Y193-Z193-AA193)</f>
        <v>21.8316141929649</v>
      </c>
      <c r="AC193" s="20" t="n">
        <f aca="false">(ROUNDUP(O193/PILE_SP,0)+1)*IF(N193&gt;=PILE_THR,PILE_N_LARGE,PILE_N_SMALL)</f>
        <v>4</v>
      </c>
      <c r="AD193" s="20" t="n">
        <f aca="false">2*U193</f>
        <v>5.01218662985661</v>
      </c>
      <c r="AE193" s="34" t="n">
        <f aca="false">IF(U193&gt;0,ROUNDUP(T193*SHEET_RATIO,0),0)</f>
        <v>7</v>
      </c>
      <c r="AF193" s="20" t="n">
        <f aca="false">AD193*AE193</f>
        <v>35.0853064089963</v>
      </c>
      <c r="AG193" s="18" t="n">
        <f aca="false">MAX(0,GWL-(R193-DD_BELOW))</f>
        <v>3.03130014344777</v>
      </c>
      <c r="AH193" s="12" t="str">
        <f aca="false">IF(AG193=0,"Not required",IF(AG193&lt;=WP_LIMIT,"Single-stage wellpoints","Deep wells or two-stage wellpoints"))</f>
        <v>Single-stage wellpoints</v>
      </c>
      <c r="AI193" s="30" t="n">
        <f aca="false">MIN(_xlfn.MINIFS('Piece check'!$Z$6:$Z$1643,'Piece check'!$B$6:$B$1643,B193),_xlfn.MINIFS('Piece check'!$AA$6:$AA$1643,'Piece check'!$B$6:$B$1643,B193))</f>
        <v>1.09969918574224</v>
      </c>
      <c r="AJ193" s="30" t="n">
        <f aca="false">MIN(_xlfn.MINIFS('Piece check'!$AB$6:$AB$1643,'Piece check'!$B$6:$B$1643,B193),_xlfn.MINIFS('Piece check'!$AC$6:$AC$1643,'Piece check'!$B$6:$B$1643,B193))</f>
        <v>3.231972502662</v>
      </c>
      <c r="AK193" s="12" t="str">
        <f aca="false">IF(AJ193&lt;FOS_FLOT,"Anchor pipe to piled slab (permanent straps)",IF(AI193&lt;FOS_FLOT,"Keep dewatering on until fill reaches FL, or strap to slab","No extra measure"))</f>
        <v>Keep dewatering on until fill reaches FL, or strap to slab</v>
      </c>
      <c r="AL193" s="35" t="n">
        <f aca="false">Activities!P2064</f>
        <v>46393</v>
      </c>
      <c r="AM193" s="35" t="n">
        <f aca="false">Activities!Q2073</f>
        <v>46441</v>
      </c>
      <c r="AN193" s="15" t="n">
        <v>91</v>
      </c>
      <c r="AO193" s="36" t="s">
        <v>2918</v>
      </c>
      <c r="AP193" s="36" t="s">
        <v>2937</v>
      </c>
      <c r="AQ193" s="36" t="s">
        <v>2938</v>
      </c>
      <c r="AR193" s="37" t="n">
        <f aca="false">Activities!P2072-Activities!Q2070</f>
        <v>-2</v>
      </c>
      <c r="AS193" s="37" t="n">
        <f aca="false">IF(Activities!K2067=0,0,Activities!Q2073-Activities!P2067)</f>
        <v>45</v>
      </c>
    </row>
    <row r="194" customFormat="false" ht="15" hidden="false" customHeight="false" outlineLevel="0" collapsed="false">
      <c r="A194" s="15" t="s">
        <v>993</v>
      </c>
      <c r="B194" s="29" t="s">
        <v>1064</v>
      </c>
      <c r="C194" s="15" t="s">
        <v>406</v>
      </c>
      <c r="D194" s="15" t="s">
        <v>2939</v>
      </c>
      <c r="E194" s="15" t="s">
        <v>2518</v>
      </c>
      <c r="F194" s="15" t="n">
        <v>28</v>
      </c>
      <c r="G194" s="15" t="s">
        <v>2362</v>
      </c>
      <c r="H194" s="15"/>
      <c r="I194" s="16" t="n">
        <v>0</v>
      </c>
      <c r="J194" s="15"/>
      <c r="K194" s="16" t="n">
        <v>0</v>
      </c>
      <c r="L194" s="15" t="s">
        <v>358</v>
      </c>
      <c r="M194" s="15" t="n">
        <v>0</v>
      </c>
      <c r="N194" s="30" t="n">
        <f aca="false">_xlfn.MAXIFS('Piece check'!$E$6:$E$1643,'Piece check'!$B$6:$B$1643,B194)</f>
        <v>1.20000165587043</v>
      </c>
      <c r="O194" s="31" t="n">
        <f aca="false">SUMIFS('Piece check'!$D$6:$D$1643,'Piece check'!$B$6:$B$1643,B194)</f>
        <v>10.9818039713504</v>
      </c>
      <c r="P194" s="32" t="n">
        <v>-4.70000082793521</v>
      </c>
      <c r="Q194" s="32" t="n">
        <v>-4.70000082793521</v>
      </c>
      <c r="R194" s="30" t="n">
        <f aca="false">_xlfn.MINIFS('Piece check'!$K$6:$K$1643,'Piece check'!$B$6:$B$1643,B194)</f>
        <v>-4.70000082793521</v>
      </c>
      <c r="S194" s="18" t="n">
        <f aca="false">MAX(0,GWL-R194)</f>
        <v>3.20000082793521</v>
      </c>
      <c r="T194" s="18" t="n">
        <f aca="false">MAX(0,NG-R194)</f>
        <v>4.00000082793521</v>
      </c>
      <c r="U194" s="31" t="n">
        <f aca="false">SUMIFS('Piece check'!$R$6:$R$1643,'Piece check'!$B$6:$B$1643,B194)</f>
        <v>10.9818039713504</v>
      </c>
      <c r="V194" s="21" t="n">
        <f aca="false">O194-U194</f>
        <v>0</v>
      </c>
      <c r="W194" s="12" t="str">
        <f aca="false">IF(U194&lt;0.05,"Open cut",IF(V194&lt;0.05,"Sheet piles","Mixed: "&amp;TEXT(U194,"0")&amp;" m sheet piles"))</f>
        <v>Sheet piles</v>
      </c>
      <c r="X194" s="33" t="n">
        <f aca="false">SUMIFS('Piece check'!$V$6:$V$1643,'Piece check'!$B$6:$B$1643,B194)</f>
        <v>140.567192666189</v>
      </c>
      <c r="Y194" s="33" t="n">
        <f aca="false">SUMIFS('Piece check'!$W$6:$W$1643,'Piece check'!$B$6:$B$1643,B194)</f>
        <v>0</v>
      </c>
      <c r="Z194" s="33" t="n">
        <f aca="false">SUMIFS('Piece check'!$X$6:$X$1643,'Piece check'!$B$6:$B$1643,B194)</f>
        <v>12.0799934607077</v>
      </c>
      <c r="AA194" s="33" t="n">
        <f aca="false">SUMIFS('Piece check'!$Y$6:$Y$1643,'Piece check'!$B$6:$B$1643,B194)</f>
        <v>12.4201619615346</v>
      </c>
      <c r="AB194" s="20" t="n">
        <f aca="false">MAX(0,X194+Y194-Z194-AA194)</f>
        <v>116.067037243947</v>
      </c>
      <c r="AC194" s="20" t="n">
        <f aca="false">(ROUNDUP(O194/PILE_SP,0)+1)*IF(N194&gt;=PILE_THR,PILE_N_LARGE,PILE_N_SMALL)</f>
        <v>10</v>
      </c>
      <c r="AD194" s="20" t="n">
        <f aca="false">2*U194</f>
        <v>21.9636079427008</v>
      </c>
      <c r="AE194" s="34" t="n">
        <f aca="false">IF(U194&gt;0,ROUNDUP(T194*SHEET_RATIO,0),0)</f>
        <v>9</v>
      </c>
      <c r="AF194" s="20" t="n">
        <f aca="false">AD194*AE194</f>
        <v>197.672471484307</v>
      </c>
      <c r="AG194" s="18" t="n">
        <f aca="false">MAX(0,GWL-(R194-DD_BELOW))</f>
        <v>3.70000082793521</v>
      </c>
      <c r="AH194" s="12" t="str">
        <f aca="false">IF(AG194=0,"Not required",IF(AG194&lt;=WP_LIMIT,"Single-stage wellpoints","Deep wells or two-stage wellpoints"))</f>
        <v>Single-stage wellpoints</v>
      </c>
      <c r="AI194" s="30" t="n">
        <f aca="false">MIN(_xlfn.MINIFS('Piece check'!$Z$6:$Z$1643,'Piece check'!$B$6:$B$1643,B194),_xlfn.MINIFS('Piece check'!$AA$6:$AA$1643,'Piece check'!$B$6:$B$1643,B194))</f>
        <v>2.88619960363623</v>
      </c>
      <c r="AJ194" s="30" t="n">
        <f aca="false">MIN(_xlfn.MINIFS('Piece check'!$AB$6:$AB$1643,'Piece check'!$B$6:$B$1643,B194),_xlfn.MINIFS('Piece check'!$AC$6:$AC$1643,'Piece check'!$B$6:$B$1643,B194))</f>
        <v>6.19583911321979</v>
      </c>
      <c r="AK194" s="12" t="str">
        <f aca="false">IF(AJ194&lt;FOS_FLOT,"Anchor pipe to piled slab (permanent straps)",IF(AI194&lt;FOS_FLOT,"Keep dewatering on until fill reaches FL, or strap to slab","No extra measure"))</f>
        <v>No extra measure</v>
      </c>
      <c r="AL194" s="35" t="n">
        <f aca="false">Activities!P2075</f>
        <v>46393</v>
      </c>
      <c r="AM194" s="35" t="n">
        <f aca="false">Activities!Q2084</f>
        <v>46529</v>
      </c>
      <c r="AN194" s="15" t="n">
        <v>92</v>
      </c>
      <c r="AO194" s="36" t="s">
        <v>2567</v>
      </c>
      <c r="AP194" s="36" t="s">
        <v>2416</v>
      </c>
      <c r="AQ194" s="36" t="s">
        <v>2940</v>
      </c>
      <c r="AR194" s="37" t="n">
        <f aca="false">Activities!P2083-Activities!Q2081</f>
        <v>91</v>
      </c>
      <c r="AS194" s="37" t="n">
        <f aca="false">IF(Activities!K2078=0,0,Activities!Q2084-Activities!P2078)</f>
        <v>129</v>
      </c>
    </row>
    <row r="195" customFormat="false" ht="15" hidden="false" customHeight="false" outlineLevel="0" collapsed="false">
      <c r="A195" s="15" t="s">
        <v>993</v>
      </c>
      <c r="B195" s="29" t="s">
        <v>1021</v>
      </c>
      <c r="C195" s="15" t="s">
        <v>406</v>
      </c>
      <c r="D195" s="15" t="s">
        <v>2941</v>
      </c>
      <c r="E195" s="15" t="s">
        <v>2518</v>
      </c>
      <c r="F195" s="15" t="n">
        <v>28</v>
      </c>
      <c r="G195" s="15" t="s">
        <v>2362</v>
      </c>
      <c r="H195" s="15"/>
      <c r="I195" s="16" t="n">
        <v>0</v>
      </c>
      <c r="J195" s="15"/>
      <c r="K195" s="16" t="n">
        <v>0</v>
      </c>
      <c r="L195" s="15" t="s">
        <v>358</v>
      </c>
      <c r="M195" s="15" t="n">
        <v>6</v>
      </c>
      <c r="N195" s="30" t="n">
        <f aca="false">_xlfn.MAXIFS('Piece check'!$E$6:$E$1643,'Piece check'!$B$6:$B$1643,B195)</f>
        <v>1.60000106284297</v>
      </c>
      <c r="O195" s="31" t="n">
        <f aca="false">SUMIFS('Piece check'!$D$6:$D$1643,'Piece check'!$B$6:$B$1643,B195)</f>
        <v>122.119825809492</v>
      </c>
      <c r="P195" s="32" t="n">
        <v>-4.66238779358714</v>
      </c>
      <c r="Q195" s="32" t="n">
        <v>-4.90000053142148</v>
      </c>
      <c r="R195" s="30" t="n">
        <f aca="false">_xlfn.MINIFS('Piece check'!$K$6:$K$1643,'Piece check'!$B$6:$B$1643,B195)</f>
        <v>-4.90000053142148</v>
      </c>
      <c r="S195" s="18" t="n">
        <f aca="false">MAX(0,GWL-R195)</f>
        <v>3.40000053142148</v>
      </c>
      <c r="T195" s="18" t="n">
        <f aca="false">MAX(0,NG-R195)</f>
        <v>4.20000053142148</v>
      </c>
      <c r="U195" s="31" t="n">
        <f aca="false">SUMIFS('Piece check'!$R$6:$R$1643,'Piece check'!$B$6:$B$1643,B195)</f>
        <v>122.119825809492</v>
      </c>
      <c r="V195" s="21" t="n">
        <f aca="false">O195-U195</f>
        <v>0</v>
      </c>
      <c r="W195" s="12" t="str">
        <f aca="false">IF(U195&lt;0.05,"Open cut",IF(V195&lt;0.05,"Sheet piles","Mixed: "&amp;TEXT(U195,"0")&amp;" m sheet piles"))</f>
        <v>Sheet piles</v>
      </c>
      <c r="X195" s="33" t="n">
        <f aca="false">SUMIFS('Piece check'!$V$6:$V$1643,'Piece check'!$B$6:$B$1643,B195)</f>
        <v>1568.87560374384</v>
      </c>
      <c r="Y195" s="33" t="n">
        <f aca="false">SUMIFS('Piece check'!$W$6:$W$1643,'Piece check'!$B$6:$B$1643,B195)</f>
        <v>0</v>
      </c>
      <c r="Z195" s="33" t="n">
        <f aca="false">SUMIFS('Piece check'!$X$6:$X$1643,'Piece check'!$B$6:$B$1643,B195)</f>
        <v>135.207632236603</v>
      </c>
      <c r="AA195" s="33" t="n">
        <f aca="false">SUMIFS('Piece check'!$Y$6:$Y$1643,'Piece check'!$B$6:$B$1643,B195)</f>
        <v>141.960232577107</v>
      </c>
      <c r="AB195" s="20" t="n">
        <f aca="false">MAX(0,X195+Y195-Z195-AA195)</f>
        <v>1291.70773893012</v>
      </c>
      <c r="AC195" s="20" t="n">
        <f aca="false">(ROUNDUP(O195/PILE_SP,0)+1)*IF(N195&gt;=PILE_THR,PILE_N_LARGE,PILE_N_SMALL)</f>
        <v>84</v>
      </c>
      <c r="AD195" s="20" t="n">
        <f aca="false">2*U195</f>
        <v>244.239651618984</v>
      </c>
      <c r="AE195" s="34" t="n">
        <f aca="false">IF(U195&gt;0,ROUNDUP(T195*SHEET_RATIO,0),0)</f>
        <v>9</v>
      </c>
      <c r="AF195" s="20" t="n">
        <f aca="false">AD195*AE195</f>
        <v>2198.15686457086</v>
      </c>
      <c r="AG195" s="18" t="n">
        <f aca="false">MAX(0,GWL-(R195-DD_BELOW))</f>
        <v>3.90000053142148</v>
      </c>
      <c r="AH195" s="12" t="str">
        <f aca="false">IF(AG195=0,"Not required",IF(AG195&lt;=WP_LIMIT,"Single-stage wellpoints","Deep wells or two-stage wellpoints"))</f>
        <v>Single-stage wellpoints</v>
      </c>
      <c r="AI195" s="30" t="n">
        <f aca="false">MIN(_xlfn.MINIFS('Piece check'!$Z$6:$Z$1643,'Piece check'!$B$6:$B$1643,B195),_xlfn.MINIFS('Piece check'!$AA$6:$AA$1643,'Piece check'!$B$6:$B$1643,B195))</f>
        <v>2.03177906161345</v>
      </c>
      <c r="AJ195" s="30" t="n">
        <f aca="false">MIN(_xlfn.MINIFS('Piece check'!$AB$6:$AB$1643,'Piece check'!$B$6:$B$1643,B195),_xlfn.MINIFS('Piece check'!$AC$6:$AC$1643,'Piece check'!$B$6:$B$1643,B195))</f>
        <v>4.51401047012111</v>
      </c>
      <c r="AK195" s="12" t="str">
        <f aca="false">IF(AJ195&lt;FOS_FLOT,"Anchor pipe to piled slab (permanent straps)",IF(AI195&lt;FOS_FLOT,"Keep dewatering on until fill reaches FL, or strap to slab","No extra measure"))</f>
        <v>No extra measure</v>
      </c>
      <c r="AL195" s="35" t="n">
        <f aca="false">Activities!P2086</f>
        <v>46397</v>
      </c>
      <c r="AM195" s="35" t="n">
        <f aca="false">Activities!Q2095</f>
        <v>46535</v>
      </c>
      <c r="AN195" s="15" t="n">
        <v>93</v>
      </c>
      <c r="AO195" s="36" t="s">
        <v>2564</v>
      </c>
      <c r="AP195" s="36" t="s">
        <v>2942</v>
      </c>
      <c r="AQ195" s="36" t="s">
        <v>2943</v>
      </c>
      <c r="AR195" s="37" t="n">
        <f aca="false">Activities!P2094-Activities!Q2092</f>
        <v>82</v>
      </c>
      <c r="AS195" s="37" t="n">
        <f aca="false">IF(Activities!K2089=0,0,Activities!Q2095-Activities!P2089)</f>
        <v>130</v>
      </c>
    </row>
    <row r="196" customFormat="false" ht="15" hidden="false" customHeight="false" outlineLevel="0" collapsed="false">
      <c r="A196" s="15" t="s">
        <v>1872</v>
      </c>
      <c r="B196" s="29" t="s">
        <v>1922</v>
      </c>
      <c r="C196" s="15" t="s">
        <v>406</v>
      </c>
      <c r="D196" s="15" t="s">
        <v>2944</v>
      </c>
      <c r="E196" s="15" t="s">
        <v>2361</v>
      </c>
      <c r="F196" s="15" t="n">
        <v>28</v>
      </c>
      <c r="G196" s="15" t="s">
        <v>2362</v>
      </c>
      <c r="H196" s="15"/>
      <c r="I196" s="16" t="n">
        <v>0</v>
      </c>
      <c r="J196" s="15"/>
      <c r="K196" s="16" t="n">
        <v>0</v>
      </c>
      <c r="L196" s="15" t="s">
        <v>358</v>
      </c>
      <c r="M196" s="15" t="n">
        <v>0</v>
      </c>
      <c r="N196" s="30" t="n">
        <f aca="false">_xlfn.MAXIFS('Piece check'!$E$6:$E$1643,'Piece check'!$B$6:$B$1643,B196)</f>
        <v>2.24900548244979</v>
      </c>
      <c r="O196" s="31" t="n">
        <f aca="false">SUMIFS('Piece check'!$D$6:$D$1643,'Piece check'!$B$6:$B$1643,B196)</f>
        <v>75.9999999997258</v>
      </c>
      <c r="P196" s="32" t="n">
        <v>-4.30450274122489</v>
      </c>
      <c r="Q196" s="32" t="n">
        <v>-4.30450274122489</v>
      </c>
      <c r="R196" s="30" t="n">
        <f aca="false">_xlfn.MINIFS('Piece check'!$K$6:$K$1643,'Piece check'!$B$6:$B$1643,B196)</f>
        <v>-4.30450274122489</v>
      </c>
      <c r="S196" s="18" t="n">
        <f aca="false">MAX(0,GWL-R196)</f>
        <v>2.80450274122489</v>
      </c>
      <c r="T196" s="18" t="n">
        <f aca="false">MAX(0,NG-R196)</f>
        <v>3.60450274122489</v>
      </c>
      <c r="U196" s="31" t="n">
        <f aca="false">SUMIFS('Piece check'!$R$6:$R$1643,'Piece check'!$B$6:$B$1643,B196)</f>
        <v>75.9999999997258</v>
      </c>
      <c r="V196" s="21" t="n">
        <f aca="false">O196-U196</f>
        <v>0</v>
      </c>
      <c r="W196" s="12" t="str">
        <f aca="false">IF(U196&lt;0.05,"Open cut",IF(V196&lt;0.05,"Sheet piles","Mixed: "&amp;TEXT(U196,"0")&amp;" m sheet piles"))</f>
        <v>Sheet piles</v>
      </c>
      <c r="X196" s="33" t="n">
        <f aca="false">SUMIFS('Piece check'!$V$6:$V$1643,'Piece check'!$B$6:$B$1643,B196)</f>
        <v>1163.98194507751</v>
      </c>
      <c r="Y196" s="33" t="n">
        <f aca="false">SUMIFS('Piece check'!$W$6:$W$1643,'Piece check'!$B$6:$B$1643,B196)</f>
        <v>0</v>
      </c>
      <c r="Z196" s="33" t="n">
        <f aca="false">SUMIFS('Piece check'!$X$6:$X$1643,'Piece check'!$B$6:$B$1643,B196)</f>
        <v>123.462208332646</v>
      </c>
      <c r="AA196" s="33" t="n">
        <f aca="false">SUMIFS('Piece check'!$Y$6:$Y$1643,'Piece check'!$B$6:$B$1643,B196)</f>
        <v>301.914868851603</v>
      </c>
      <c r="AB196" s="20" t="n">
        <f aca="false">MAX(0,X196+Y196-Z196-AA196)</f>
        <v>738.60486789326</v>
      </c>
      <c r="AC196" s="20" t="n">
        <f aca="false">(ROUNDUP(O196/PILE_SP,0)+1)*IF(N196&gt;=PILE_THR,PILE_N_LARGE,PILE_N_SMALL)</f>
        <v>54</v>
      </c>
      <c r="AD196" s="20" t="n">
        <f aca="false">2*U196</f>
        <v>151.999999999452</v>
      </c>
      <c r="AE196" s="34" t="n">
        <f aca="false">IF(U196&gt;0,ROUNDUP(T196*SHEET_RATIO,0),0)</f>
        <v>8</v>
      </c>
      <c r="AF196" s="20" t="n">
        <f aca="false">AD196*AE196</f>
        <v>1215.99999999561</v>
      </c>
      <c r="AG196" s="18" t="n">
        <f aca="false">MAX(0,GWL-(R196-DD_BELOW))</f>
        <v>3.30450274122489</v>
      </c>
      <c r="AH196" s="12" t="str">
        <f aca="false">IF(AG196=0,"Not required",IF(AG196&lt;=WP_LIMIT,"Single-stage wellpoints","Deep wells or two-stage wellpoints"))</f>
        <v>Single-stage wellpoints</v>
      </c>
      <c r="AI196" s="30" t="n">
        <f aca="false">MIN(_xlfn.MINIFS('Piece check'!$Z$6:$Z$1643,'Piece check'!$B$6:$B$1643,B196),_xlfn.MINIFS('Piece check'!$AA$6:$AA$1643,'Piece check'!$B$6:$B$1643,B196))</f>
        <v>0.857253554416595</v>
      </c>
      <c r="AJ196" s="30" t="n">
        <f aca="false">MIN(_xlfn.MINIFS('Piece check'!$AB$6:$AB$1643,'Piece check'!$B$6:$B$1643,B196),_xlfn.MINIFS('Piece check'!$AC$6:$AC$1643,'Piece check'!$B$6:$B$1643,B196))</f>
        <v>2.62317761410733</v>
      </c>
      <c r="AK196" s="12" t="str">
        <f aca="false">IF(AJ196&lt;FOS_FLOT,"Anchor pipe to piled slab (permanent straps)",IF(AI196&lt;FOS_FLOT,"Keep dewatering on until fill reaches FL, or strap to slab","No extra measure"))</f>
        <v>Keep dewatering on until fill reaches FL, or strap to slab</v>
      </c>
      <c r="AL196" s="35" t="n">
        <f aca="false">Activities!P2097</f>
        <v>46399</v>
      </c>
      <c r="AM196" s="35" t="n">
        <f aca="false">Activities!Q2106</f>
        <v>46537</v>
      </c>
      <c r="AN196" s="15" t="n">
        <v>94</v>
      </c>
      <c r="AO196" s="36" t="s">
        <v>2930</v>
      </c>
      <c r="AP196" s="36" t="s">
        <v>2945</v>
      </c>
      <c r="AQ196" s="36" t="s">
        <v>2946</v>
      </c>
      <c r="AR196" s="37" t="n">
        <f aca="false">Activities!P2105-Activities!Q2103</f>
        <v>76</v>
      </c>
      <c r="AS196" s="37" t="n">
        <f aca="false">IF(Activities!K2100=0,0,Activities!Q2106-Activities!P2100)</f>
        <v>122</v>
      </c>
    </row>
    <row r="197" customFormat="false" ht="15" hidden="false" customHeight="false" outlineLevel="0" collapsed="false">
      <c r="A197" s="15" t="s">
        <v>1872</v>
      </c>
      <c r="B197" s="29" t="s">
        <v>1932</v>
      </c>
      <c r="C197" s="15" t="s">
        <v>406</v>
      </c>
      <c r="D197" s="15" t="s">
        <v>2947</v>
      </c>
      <c r="E197" s="15" t="s">
        <v>2361</v>
      </c>
      <c r="F197" s="15" t="n">
        <v>28</v>
      </c>
      <c r="G197" s="15" t="s">
        <v>2362</v>
      </c>
      <c r="H197" s="15"/>
      <c r="I197" s="16" t="n">
        <v>0</v>
      </c>
      <c r="J197" s="15"/>
      <c r="K197" s="16" t="n">
        <v>0</v>
      </c>
      <c r="L197" s="15" t="s">
        <v>358</v>
      </c>
      <c r="M197" s="15" t="n">
        <v>0</v>
      </c>
      <c r="N197" s="30" t="n">
        <f aca="false">_xlfn.MAXIFS('Piece check'!$E$6:$E$1643,'Piece check'!$B$6:$B$1643,B197)</f>
        <v>2.24900548244979</v>
      </c>
      <c r="O197" s="31" t="n">
        <f aca="false">SUMIFS('Piece check'!$D$6:$D$1643,'Piece check'!$B$6:$B$1643,B197)</f>
        <v>24.9734641518594</v>
      </c>
      <c r="P197" s="32" t="n">
        <v>-4.30450274122489</v>
      </c>
      <c r="Q197" s="32" t="n">
        <v>-4.30450274122489</v>
      </c>
      <c r="R197" s="30" t="n">
        <f aca="false">_xlfn.MINIFS('Piece check'!$K$6:$K$1643,'Piece check'!$B$6:$B$1643,B197)</f>
        <v>-4.30450274122489</v>
      </c>
      <c r="S197" s="18" t="n">
        <f aca="false">MAX(0,GWL-R197)</f>
        <v>2.80450274122489</v>
      </c>
      <c r="T197" s="18" t="n">
        <f aca="false">MAX(0,NG-R197)</f>
        <v>3.60450274122489</v>
      </c>
      <c r="U197" s="31" t="n">
        <f aca="false">SUMIFS('Piece check'!$R$6:$R$1643,'Piece check'!$B$6:$B$1643,B197)</f>
        <v>24.9734641518594</v>
      </c>
      <c r="V197" s="21" t="n">
        <f aca="false">O197-U197</f>
        <v>0</v>
      </c>
      <c r="W197" s="12" t="str">
        <f aca="false">IF(U197&lt;0.05,"Open cut",IF(V197&lt;0.05,"Sheet piles","Mixed: "&amp;TEXT(U197,"0")&amp;" m sheet piles"))</f>
        <v>Sheet piles</v>
      </c>
      <c r="X197" s="33" t="n">
        <f aca="false">SUMIFS('Piece check'!$V$6:$V$1643,'Piece check'!$B$6:$B$1643,B197)</f>
        <v>382.4823865646</v>
      </c>
      <c r="Y197" s="33" t="n">
        <f aca="false">SUMIFS('Piece check'!$W$6:$W$1643,'Piece check'!$B$6:$B$1643,B197)</f>
        <v>0</v>
      </c>
      <c r="Z197" s="33" t="n">
        <f aca="false">SUMIFS('Piece check'!$X$6:$X$1643,'Piece check'!$B$6:$B$1643,B197)</f>
        <v>40.5694609725772</v>
      </c>
      <c r="AA197" s="33" t="n">
        <f aca="false">SUMIFS('Piece check'!$Y$6:$Y$1643,'Piece check'!$B$6:$B$1643,B197)</f>
        <v>99.2086862395532</v>
      </c>
      <c r="AB197" s="20" t="n">
        <f aca="false">MAX(0,X197+Y197-Z197-AA197)</f>
        <v>242.70423935247</v>
      </c>
      <c r="AC197" s="20" t="n">
        <f aca="false">(ROUNDUP(O197/PILE_SP,0)+1)*IF(N197&gt;=PILE_THR,PILE_N_LARGE,PILE_N_SMALL)</f>
        <v>20</v>
      </c>
      <c r="AD197" s="20" t="n">
        <f aca="false">2*U197</f>
        <v>49.9469283037188</v>
      </c>
      <c r="AE197" s="34" t="n">
        <f aca="false">IF(U197&gt;0,ROUNDUP(T197*SHEET_RATIO,0),0)</f>
        <v>8</v>
      </c>
      <c r="AF197" s="20" t="n">
        <f aca="false">AD197*AE197</f>
        <v>399.57542642975</v>
      </c>
      <c r="AG197" s="18" t="n">
        <f aca="false">MAX(0,GWL-(R197-DD_BELOW))</f>
        <v>3.30450274122489</v>
      </c>
      <c r="AH197" s="12" t="str">
        <f aca="false">IF(AG197=0,"Not required",IF(AG197&lt;=WP_LIMIT,"Single-stage wellpoints","Deep wells or two-stage wellpoints"))</f>
        <v>Single-stage wellpoints</v>
      </c>
      <c r="AI197" s="30" t="n">
        <f aca="false">MIN(_xlfn.MINIFS('Piece check'!$Z$6:$Z$1643,'Piece check'!$B$6:$B$1643,B197),_xlfn.MINIFS('Piece check'!$AA$6:$AA$1643,'Piece check'!$B$6:$B$1643,B197))</f>
        <v>0.857253554416595</v>
      </c>
      <c r="AJ197" s="30" t="n">
        <f aca="false">MIN(_xlfn.MINIFS('Piece check'!$AB$6:$AB$1643,'Piece check'!$B$6:$B$1643,B197),_xlfn.MINIFS('Piece check'!$AC$6:$AC$1643,'Piece check'!$B$6:$B$1643,B197))</f>
        <v>2.62317761410733</v>
      </c>
      <c r="AK197" s="12" t="str">
        <f aca="false">IF(AJ197&lt;FOS_FLOT,"Anchor pipe to piled slab (permanent straps)",IF(AI197&lt;FOS_FLOT,"Keep dewatering on until fill reaches FL, or strap to slab","No extra measure"))</f>
        <v>Keep dewatering on until fill reaches FL, or strap to slab</v>
      </c>
      <c r="AL197" s="35" t="n">
        <f aca="false">Activities!P2108</f>
        <v>46410</v>
      </c>
      <c r="AM197" s="35" t="n">
        <f aca="false">Activities!Q2117</f>
        <v>46537</v>
      </c>
      <c r="AN197" s="15" t="n">
        <v>95</v>
      </c>
      <c r="AO197" s="36" t="s">
        <v>2948</v>
      </c>
      <c r="AP197" s="36" t="s">
        <v>2949</v>
      </c>
      <c r="AQ197" s="36" t="s">
        <v>2950</v>
      </c>
      <c r="AR197" s="37" t="n">
        <f aca="false">Activities!P2116-Activities!Q2114</f>
        <v>73</v>
      </c>
      <c r="AS197" s="37" t="n">
        <f aca="false">IF(Activities!K2111=0,0,Activities!Q2117-Activities!P2111)</f>
        <v>117</v>
      </c>
    </row>
    <row r="198" customFormat="false" ht="15" hidden="false" customHeight="false" outlineLevel="0" collapsed="false">
      <c r="A198" s="15" t="s">
        <v>1341</v>
      </c>
      <c r="B198" s="29" t="s">
        <v>1376</v>
      </c>
      <c r="C198" s="15" t="s">
        <v>406</v>
      </c>
      <c r="D198" s="15" t="s">
        <v>2951</v>
      </c>
      <c r="E198" s="15" t="s">
        <v>2518</v>
      </c>
      <c r="F198" s="15" t="n">
        <v>28</v>
      </c>
      <c r="G198" s="15" t="s">
        <v>2362</v>
      </c>
      <c r="H198" s="15"/>
      <c r="I198" s="16" t="n">
        <v>0</v>
      </c>
      <c r="J198" s="15"/>
      <c r="K198" s="16" t="n">
        <v>0</v>
      </c>
      <c r="L198" s="15" t="s">
        <v>358</v>
      </c>
      <c r="M198" s="15" t="n">
        <v>4</v>
      </c>
      <c r="N198" s="30" t="n">
        <f aca="false">_xlfn.MAXIFS('Piece check'!$E$6:$E$1643,'Piece check'!$B$6:$B$1643,B198)</f>
        <v>1.42499895331155</v>
      </c>
      <c r="O198" s="31" t="n">
        <f aca="false">SUMIFS('Piece check'!$D$6:$D$1643,'Piece check'!$B$6:$B$1643,B198)</f>
        <v>75.0999999989842</v>
      </c>
      <c r="P198" s="32" t="n">
        <v>-4.30000083307994</v>
      </c>
      <c r="Q198" s="32" t="n">
        <v>-4.29999800940366</v>
      </c>
      <c r="R198" s="30" t="n">
        <f aca="false">_xlfn.MINIFS('Piece check'!$K$6:$K$1643,'Piece check'!$B$6:$B$1643,B198)</f>
        <v>-4.31249947665578</v>
      </c>
      <c r="S198" s="18" t="n">
        <f aca="false">MAX(0,GWL-R198)</f>
        <v>2.81249947665578</v>
      </c>
      <c r="T198" s="18" t="n">
        <f aca="false">MAX(0,NG-R198)</f>
        <v>3.61249947665578</v>
      </c>
      <c r="U198" s="31" t="n">
        <f aca="false">SUMIFS('Piece check'!$R$6:$R$1643,'Piece check'!$B$6:$B$1643,B198)</f>
        <v>75.0999999989842</v>
      </c>
      <c r="V198" s="21" t="n">
        <f aca="false">O198-U198</f>
        <v>0</v>
      </c>
      <c r="W198" s="12" t="str">
        <f aca="false">IF(U198&lt;0.05,"Open cut",IF(V198&lt;0.05,"Sheet piles","Mixed: "&amp;TEXT(U198,"0")&amp;" m sheet piles"))</f>
        <v>Sheet piles</v>
      </c>
      <c r="X198" s="33" t="n">
        <f aca="false">SUMIFS('Piece check'!$V$6:$V$1643,'Piece check'!$B$6:$B$1643,B198)</f>
        <v>919.49285384873</v>
      </c>
      <c r="Y198" s="33" t="n">
        <f aca="false">SUMIFS('Piece check'!$W$6:$W$1643,'Piece check'!$B$6:$B$1643,B198)</f>
        <v>0</v>
      </c>
      <c r="Z198" s="33" t="n">
        <f aca="false">SUMIFS('Piece check'!$X$6:$X$1643,'Piece check'!$B$6:$B$1643,B198)</f>
        <v>90.1453043248803</v>
      </c>
      <c r="AA198" s="33" t="n">
        <f aca="false">SUMIFS('Piece check'!$Y$6:$Y$1643,'Piece check'!$B$6:$B$1643,B198)</f>
        <v>115.719748764035</v>
      </c>
      <c r="AB198" s="20" t="n">
        <f aca="false">MAX(0,X198+Y198-Z198-AA198)</f>
        <v>713.627800759815</v>
      </c>
      <c r="AC198" s="20" t="n">
        <f aca="false">(ROUNDUP(O198/PILE_SP,0)+1)*IF(N198&gt;=PILE_THR,PILE_N_LARGE,PILE_N_SMALL)</f>
        <v>54</v>
      </c>
      <c r="AD198" s="20" t="n">
        <f aca="false">2*U198</f>
        <v>150.199999997968</v>
      </c>
      <c r="AE198" s="34" t="n">
        <f aca="false">IF(U198&gt;0,ROUNDUP(T198*SHEET_RATIO,0),0)</f>
        <v>8</v>
      </c>
      <c r="AF198" s="20" t="n">
        <f aca="false">AD198*AE198</f>
        <v>1201.59999998375</v>
      </c>
      <c r="AG198" s="18" t="n">
        <f aca="false">MAX(0,GWL-(R198-DD_BELOW))</f>
        <v>3.31249947665578</v>
      </c>
      <c r="AH198" s="12" t="str">
        <f aca="false">IF(AG198=0,"Not required",IF(AG198&lt;=WP_LIMIT,"Single-stage wellpoints","Deep wells or two-stage wellpoints"))</f>
        <v>Single-stage wellpoints</v>
      </c>
      <c r="AI198" s="30" t="n">
        <f aca="false">MIN(_xlfn.MINIFS('Piece check'!$Z$6:$Z$1643,'Piece check'!$B$6:$B$1643,B198),_xlfn.MINIFS('Piece check'!$AA$6:$AA$1643,'Piece check'!$B$6:$B$1643,B198))</f>
        <v>1.97359486040249</v>
      </c>
      <c r="AJ198" s="30" t="n">
        <f aca="false">MIN(_xlfn.MINIFS('Piece check'!$AB$6:$AB$1643,'Piece check'!$B$6:$B$1643,B198),_xlfn.MINIFS('Piece check'!$AC$6:$AC$1643,'Piece check'!$B$6:$B$1643,B198))</f>
        <v>4.76066560358087</v>
      </c>
      <c r="AK198" s="12" t="str">
        <f aca="false">IF(AJ198&lt;FOS_FLOT,"Anchor pipe to piled slab (permanent straps)",IF(AI198&lt;FOS_FLOT,"Keep dewatering on until fill reaches FL, or strap to slab","No extra measure"))</f>
        <v>No extra measure</v>
      </c>
      <c r="AL198" s="35" t="n">
        <f aca="false">Activities!P2119</f>
        <v>46417</v>
      </c>
      <c r="AM198" s="35" t="n">
        <f aca="false">Activities!Q2128</f>
        <v>46542</v>
      </c>
      <c r="AN198" s="15" t="n">
        <v>96</v>
      </c>
      <c r="AO198" s="36" t="s">
        <v>2564</v>
      </c>
      <c r="AP198" s="36" t="s">
        <v>2942</v>
      </c>
      <c r="AQ198" s="36" t="s">
        <v>2952</v>
      </c>
      <c r="AR198" s="37" t="n">
        <f aca="false">Activities!P2127-Activities!Q2125</f>
        <v>66</v>
      </c>
      <c r="AS198" s="37" t="n">
        <f aca="false">IF(Activities!K2122=0,0,Activities!Q2128-Activities!P2122)</f>
        <v>117</v>
      </c>
    </row>
    <row r="199" customFormat="false" ht="15" hidden="false" customHeight="false" outlineLevel="0" collapsed="false">
      <c r="A199" s="15" t="s">
        <v>1872</v>
      </c>
      <c r="B199" s="29" t="s">
        <v>1891</v>
      </c>
      <c r="C199" s="15" t="s">
        <v>406</v>
      </c>
      <c r="D199" s="15" t="s">
        <v>2953</v>
      </c>
      <c r="E199" s="15" t="s">
        <v>2361</v>
      </c>
      <c r="F199" s="15" t="n">
        <v>28</v>
      </c>
      <c r="G199" s="15" t="s">
        <v>2362</v>
      </c>
      <c r="H199" s="15"/>
      <c r="I199" s="16" t="n">
        <v>0</v>
      </c>
      <c r="J199" s="15"/>
      <c r="K199" s="16" t="n">
        <v>0</v>
      </c>
      <c r="L199" s="15" t="s">
        <v>358</v>
      </c>
      <c r="M199" s="15" t="n">
        <v>6</v>
      </c>
      <c r="N199" s="30" t="n">
        <f aca="false">_xlfn.MAXIFS('Piece check'!$E$6:$E$1643,'Piece check'!$B$6:$B$1643,B199)</f>
        <v>2.27639778605298</v>
      </c>
      <c r="O199" s="31" t="n">
        <f aca="false">SUMIFS('Piece check'!$D$6:$D$1643,'Piece check'!$B$6:$B$1643,B199)</f>
        <v>207.100000000379</v>
      </c>
      <c r="P199" s="32" t="n">
        <v>-4.31819889284581</v>
      </c>
      <c r="Q199" s="32" t="n">
        <v>-4.30450274122489</v>
      </c>
      <c r="R199" s="30" t="n">
        <f aca="false">_xlfn.MINIFS('Piece check'!$K$6:$K$1643,'Piece check'!$B$6:$B$1643,B199)</f>
        <v>-4.31819889302649</v>
      </c>
      <c r="S199" s="18" t="n">
        <f aca="false">MAX(0,GWL-R199)</f>
        <v>2.81819889302649</v>
      </c>
      <c r="T199" s="18" t="n">
        <f aca="false">MAX(0,NG-R199)</f>
        <v>3.61819889302649</v>
      </c>
      <c r="U199" s="31" t="n">
        <f aca="false">SUMIFS('Piece check'!$R$6:$R$1643,'Piece check'!$B$6:$B$1643,B199)</f>
        <v>207.100000000379</v>
      </c>
      <c r="V199" s="21" t="n">
        <f aca="false">O199-U199</f>
        <v>0</v>
      </c>
      <c r="W199" s="12" t="str">
        <f aca="false">IF(U199&lt;0.05,"Open cut",IF(V199&lt;0.05,"Sheet piles","Mixed: "&amp;TEXT(U199,"0")&amp;" m sheet piles"))</f>
        <v>Sheet piles</v>
      </c>
      <c r="X199" s="33" t="n">
        <f aca="false">SUMIFS('Piece check'!$V$6:$V$1643,'Piece check'!$B$6:$B$1643,B199)</f>
        <v>3176.54149090061</v>
      </c>
      <c r="Y199" s="33" t="n">
        <f aca="false">SUMIFS('Piece check'!$W$6:$W$1643,'Piece check'!$B$6:$B$1643,B199)</f>
        <v>0</v>
      </c>
      <c r="Z199" s="33" t="n">
        <f aca="false">SUMIFS('Piece check'!$X$6:$X$1643,'Piece check'!$B$6:$B$1643,B199)</f>
        <v>336.842920210742</v>
      </c>
      <c r="AA199" s="33" t="n">
        <f aca="false">SUMIFS('Piece check'!$Y$6:$Y$1643,'Piece check'!$B$6:$B$1643,B199)</f>
        <v>825.621177737797</v>
      </c>
      <c r="AB199" s="20" t="n">
        <f aca="false">MAX(0,X199+Y199-Z199-AA199)</f>
        <v>2014.07739295208</v>
      </c>
      <c r="AC199" s="20" t="n">
        <f aca="false">(ROUNDUP(O199/PILE_SP,0)+1)*IF(N199&gt;=PILE_THR,PILE_N_LARGE,PILE_N_SMALL)</f>
        <v>142</v>
      </c>
      <c r="AD199" s="20" t="n">
        <f aca="false">2*U199</f>
        <v>414.200000000757</v>
      </c>
      <c r="AE199" s="34" t="n">
        <f aca="false">IF(U199&gt;0,ROUNDUP(T199*SHEET_RATIO,0),0)</f>
        <v>8</v>
      </c>
      <c r="AF199" s="20" t="n">
        <f aca="false">AD199*AE199</f>
        <v>3313.60000000606</v>
      </c>
      <c r="AG199" s="18" t="n">
        <f aca="false">MAX(0,GWL-(R199-DD_BELOW))</f>
        <v>3.31819889302649</v>
      </c>
      <c r="AH199" s="12" t="str">
        <f aca="false">IF(AG199=0,"Not required",IF(AG199&lt;=WP_LIMIT,"Single-stage wellpoints","Deep wells or two-stage wellpoints"))</f>
        <v>Single-stage wellpoints</v>
      </c>
      <c r="AI199" s="30" t="n">
        <f aca="false">MIN(_xlfn.MINIFS('Piece check'!$Z$6:$Z$1643,'Piece check'!$B$6:$B$1643,B199),_xlfn.MINIFS('Piece check'!$AA$6:$AA$1643,'Piece check'!$B$6:$B$1643,B199))</f>
        <v>0.840542554867215</v>
      </c>
      <c r="AJ199" s="30" t="n">
        <f aca="false">MIN(_xlfn.MINIFS('Piece check'!$AB$6:$AB$1643,'Piece check'!$B$6:$B$1643,B199),_xlfn.MINIFS('Piece check'!$AC$6:$AC$1643,'Piece check'!$B$6:$B$1643,B199))</f>
        <v>2.58521693303058</v>
      </c>
      <c r="AK199" s="12" t="str">
        <f aca="false">IF(AJ199&lt;FOS_FLOT,"Anchor pipe to piled slab (permanent straps)",IF(AI199&lt;FOS_FLOT,"Keep dewatering on until fill reaches FL, or strap to slab","No extra measure"))</f>
        <v>Keep dewatering on until fill reaches FL, or strap to slab</v>
      </c>
      <c r="AL199" s="35" t="n">
        <f aca="false">Activities!P2130</f>
        <v>46420</v>
      </c>
      <c r="AM199" s="35" t="n">
        <f aca="false">Activities!Q2139</f>
        <v>46560</v>
      </c>
      <c r="AN199" s="15" t="n">
        <v>97</v>
      </c>
      <c r="AO199" s="36" t="s">
        <v>2918</v>
      </c>
      <c r="AP199" s="36" t="s">
        <v>2954</v>
      </c>
      <c r="AQ199" s="36" t="s">
        <v>2955</v>
      </c>
      <c r="AR199" s="37" t="n">
        <f aca="false">Activities!P2138-Activities!Q2136</f>
        <v>63</v>
      </c>
      <c r="AS199" s="37" t="n">
        <f aca="false">IF(Activities!K2133=0,0,Activities!Q2139-Activities!P2133)</f>
        <v>123</v>
      </c>
    </row>
    <row r="200" customFormat="false" ht="15" hidden="false" customHeight="false" outlineLevel="0" collapsed="false">
      <c r="A200" s="15" t="s">
        <v>1936</v>
      </c>
      <c r="B200" s="29" t="s">
        <v>1946</v>
      </c>
      <c r="C200" s="15" t="s">
        <v>406</v>
      </c>
      <c r="D200" s="15" t="s">
        <v>2956</v>
      </c>
      <c r="E200" s="15" t="s">
        <v>2361</v>
      </c>
      <c r="F200" s="15" t="n">
        <v>28</v>
      </c>
      <c r="G200" s="15" t="s">
        <v>2362</v>
      </c>
      <c r="H200" s="15"/>
      <c r="I200" s="16" t="n">
        <v>0</v>
      </c>
      <c r="J200" s="15"/>
      <c r="K200" s="16" t="n">
        <v>0</v>
      </c>
      <c r="L200" s="15" t="s">
        <v>358</v>
      </c>
      <c r="M200" s="15" t="n">
        <v>8</v>
      </c>
      <c r="N200" s="30" t="n">
        <f aca="false">_xlfn.MAXIFS('Piece check'!$E$6:$E$1643,'Piece check'!$B$6:$B$1643,B200)</f>
        <v>2.27640745621576</v>
      </c>
      <c r="O200" s="31" t="n">
        <f aca="false">SUMIFS('Piece check'!$D$6:$D$1643,'Piece check'!$B$6:$B$1643,B200)</f>
        <v>364.541800036038</v>
      </c>
      <c r="P200" s="32" t="n">
        <v>-3.92819894311945</v>
      </c>
      <c r="Q200" s="32" t="n">
        <v>-4.3044989651587</v>
      </c>
      <c r="R200" s="30" t="n">
        <f aca="false">_xlfn.MINIFS('Piece check'!$K$6:$K$1643,'Piece check'!$B$6:$B$1643,B200)</f>
        <v>-4.31712889302615</v>
      </c>
      <c r="S200" s="18" t="n">
        <f aca="false">MAX(0,GWL-R200)</f>
        <v>2.81712889302615</v>
      </c>
      <c r="T200" s="18" t="n">
        <f aca="false">MAX(0,NG-R200)</f>
        <v>3.61712889302615</v>
      </c>
      <c r="U200" s="31" t="n">
        <f aca="false">SUMIFS('Piece check'!$R$6:$R$1643,'Piece check'!$B$6:$B$1643,B200)</f>
        <v>364.541800036038</v>
      </c>
      <c r="V200" s="21" t="n">
        <f aca="false">O200-U200</f>
        <v>0</v>
      </c>
      <c r="W200" s="12" t="str">
        <f aca="false">IF(U200&lt;0.05,"Open cut",IF(V200&lt;0.05,"Sheet piles","Mixed: "&amp;TEXT(U200,"0")&amp;" m sheet piles"))</f>
        <v>Sheet piles</v>
      </c>
      <c r="X200" s="33" t="n">
        <f aca="false">SUMIFS('Piece check'!$V$6:$V$1643,'Piece check'!$B$6:$B$1643,B200)</f>
        <v>5579.24480138075</v>
      </c>
      <c r="Y200" s="33" t="n">
        <f aca="false">SUMIFS('Piece check'!$W$6:$W$1643,'Piece check'!$B$6:$B$1643,B200)</f>
        <v>0</v>
      </c>
      <c r="Z200" s="33" t="n">
        <f aca="false">SUMIFS('Piece check'!$X$6:$X$1643,'Piece check'!$B$6:$B$1643,B200)</f>
        <v>594.759342557677</v>
      </c>
      <c r="AA200" s="33" t="n">
        <f aca="false">SUMIFS('Piece check'!$Y$6:$Y$1643,'Piece check'!$B$6:$B$1643,B200)</f>
        <v>1466.36476198019</v>
      </c>
      <c r="AB200" s="20" t="n">
        <f aca="false">MAX(0,X200+Y200-Z200-AA200)</f>
        <v>3518.12069684289</v>
      </c>
      <c r="AC200" s="20" t="n">
        <f aca="false">(ROUNDUP(O200/PILE_SP,0)+1)*IF(N200&gt;=PILE_THR,PILE_N_LARGE,PILE_N_SMALL)</f>
        <v>246</v>
      </c>
      <c r="AD200" s="20" t="n">
        <f aca="false">2*U200</f>
        <v>729.083600072076</v>
      </c>
      <c r="AE200" s="34" t="n">
        <f aca="false">IF(U200&gt;0,ROUNDUP(T200*SHEET_RATIO,0),0)</f>
        <v>8</v>
      </c>
      <c r="AF200" s="20" t="n">
        <f aca="false">AD200*AE200</f>
        <v>5832.66880057661</v>
      </c>
      <c r="AG200" s="18" t="n">
        <f aca="false">MAX(0,GWL-(R200-DD_BELOW))</f>
        <v>3.31712889302615</v>
      </c>
      <c r="AH200" s="12" t="str">
        <f aca="false">IF(AG200=0,"Not required",IF(AG200&lt;=WP_LIMIT,"Single-stage wellpoints","Deep wells or two-stage wellpoints"))</f>
        <v>Single-stage wellpoints</v>
      </c>
      <c r="AI200" s="30" t="n">
        <f aca="false">MIN(_xlfn.MINIFS('Piece check'!$Z$6:$Z$1643,'Piece check'!$B$6:$B$1643,B200),_xlfn.MINIFS('Piece check'!$AA$6:$AA$1643,'Piece check'!$B$6:$B$1643,B200))</f>
        <v>0.463673937220796</v>
      </c>
      <c r="AJ200" s="30" t="n">
        <f aca="false">MIN(_xlfn.MINIFS('Piece check'!$AB$6:$AB$1643,'Piece check'!$B$6:$B$1643,B200),_xlfn.MINIFS('Piece check'!$AC$6:$AC$1643,'Piece check'!$B$6:$B$1643,B200))</f>
        <v>2.20834823859978</v>
      </c>
      <c r="AK200" s="12" t="str">
        <f aca="false">IF(AJ200&lt;FOS_FLOT,"Anchor pipe to piled slab (permanent straps)",IF(AI200&lt;FOS_FLOT,"Keep dewatering on until fill reaches FL, or strap to slab","No extra measure"))</f>
        <v>Keep dewatering on until fill reaches FL, or strap to slab</v>
      </c>
      <c r="AL200" s="35" t="n">
        <f aca="false">Activities!P2141</f>
        <v>46427</v>
      </c>
      <c r="AM200" s="35" t="n">
        <f aca="false">Activities!Q2150</f>
        <v>46572</v>
      </c>
      <c r="AN200" s="15" t="n">
        <v>98</v>
      </c>
      <c r="AO200" s="36" t="s">
        <v>2957</v>
      </c>
      <c r="AP200" s="36" t="s">
        <v>2942</v>
      </c>
      <c r="AQ200" s="36" t="s">
        <v>2958</v>
      </c>
      <c r="AR200" s="37" t="n">
        <f aca="false">Activities!P2149-Activities!Q2147</f>
        <v>44</v>
      </c>
      <c r="AS200" s="37" t="n">
        <f aca="false">IF(Activities!K2144=0,0,Activities!Q2150-Activities!P2144)</f>
        <v>112</v>
      </c>
    </row>
    <row r="201" customFormat="false" ht="15" hidden="false" customHeight="false" outlineLevel="0" collapsed="false">
      <c r="A201" s="15" t="s">
        <v>1341</v>
      </c>
      <c r="B201" s="29" t="s">
        <v>1393</v>
      </c>
      <c r="C201" s="15" t="s">
        <v>406</v>
      </c>
      <c r="D201" s="15" t="s">
        <v>2959</v>
      </c>
      <c r="E201" s="15" t="s">
        <v>2518</v>
      </c>
      <c r="F201" s="15" t="n">
        <v>28</v>
      </c>
      <c r="G201" s="15" t="s">
        <v>2362</v>
      </c>
      <c r="H201" s="15"/>
      <c r="I201" s="16" t="n">
        <v>0</v>
      </c>
      <c r="J201" s="15"/>
      <c r="K201" s="16" t="n">
        <v>0</v>
      </c>
      <c r="L201" s="15" t="s">
        <v>358</v>
      </c>
      <c r="M201" s="15" t="n">
        <v>2</v>
      </c>
      <c r="N201" s="30" t="n">
        <f aca="false">_xlfn.MAXIFS('Piece check'!$E$6:$E$1643,'Piece check'!$B$6:$B$1643,B201)</f>
        <v>1.42500210045913</v>
      </c>
      <c r="O201" s="31" t="n">
        <f aca="false">SUMIFS('Piece check'!$D$6:$D$1643,'Piece check'!$B$6:$B$1643,B201)</f>
        <v>17.6867361519889</v>
      </c>
      <c r="P201" s="32" t="n">
        <v>-4.29999800940366</v>
      </c>
      <c r="Q201" s="32" t="n">
        <v>-4.2999993701353</v>
      </c>
      <c r="R201" s="30" t="n">
        <f aca="false">_xlfn.MINIFS('Piece check'!$K$6:$K$1643,'Piece check'!$B$6:$B$1643,B201)</f>
        <v>-4.31250105022956</v>
      </c>
      <c r="S201" s="18" t="n">
        <f aca="false">MAX(0,GWL-R201)</f>
        <v>2.81250105022956</v>
      </c>
      <c r="T201" s="18" t="n">
        <f aca="false">MAX(0,NG-R201)</f>
        <v>3.61250105022956</v>
      </c>
      <c r="U201" s="31" t="n">
        <f aca="false">SUMIFS('Piece check'!$R$6:$R$1643,'Piece check'!$B$6:$B$1643,B201)</f>
        <v>17.6867361519889</v>
      </c>
      <c r="V201" s="21" t="n">
        <f aca="false">O201-U201</f>
        <v>0</v>
      </c>
      <c r="W201" s="12" t="str">
        <f aca="false">IF(U201&lt;0.05,"Open cut",IF(V201&lt;0.05,"Sheet piles","Mixed: "&amp;TEXT(U201,"0")&amp;" m sheet piles"))</f>
        <v>Sheet piles</v>
      </c>
      <c r="X201" s="33" t="n">
        <f aca="false">SUMIFS('Piece check'!$V$6:$V$1643,'Piece check'!$B$6:$B$1643,B201)</f>
        <v>216.752388393221</v>
      </c>
      <c r="Y201" s="33" t="n">
        <f aca="false">SUMIFS('Piece check'!$W$6:$W$1643,'Piece check'!$B$6:$B$1643,B201)</f>
        <v>0</v>
      </c>
      <c r="Z201" s="33" t="n">
        <f aca="false">SUMIFS('Piece check'!$X$6:$X$1643,'Piece check'!$B$6:$B$1643,B201)</f>
        <v>21.2491880712634</v>
      </c>
      <c r="AA201" s="33" t="n">
        <f aca="false">SUMIFS('Piece check'!$Y$6:$Y$1643,'Piece check'!$B$6:$B$1643,B201)</f>
        <v>27.3380179253031</v>
      </c>
      <c r="AB201" s="20" t="n">
        <f aca="false">MAX(0,X201+Y201-Z201-AA201)</f>
        <v>168.165182396654</v>
      </c>
      <c r="AC201" s="20" t="n">
        <f aca="false">(ROUNDUP(O201/PILE_SP,0)+1)*IF(N201&gt;=PILE_THR,PILE_N_LARGE,PILE_N_SMALL)</f>
        <v>14</v>
      </c>
      <c r="AD201" s="20" t="n">
        <f aca="false">2*U201</f>
        <v>35.3734723039778</v>
      </c>
      <c r="AE201" s="34" t="n">
        <f aca="false">IF(U201&gt;0,ROUNDUP(T201*SHEET_RATIO,0),0)</f>
        <v>8</v>
      </c>
      <c r="AF201" s="20" t="n">
        <f aca="false">AD201*AE201</f>
        <v>282.987778431822</v>
      </c>
      <c r="AG201" s="18" t="n">
        <f aca="false">MAX(0,GWL-(R201-DD_BELOW))</f>
        <v>3.31250105022956</v>
      </c>
      <c r="AH201" s="12" t="str">
        <f aca="false">IF(AG201=0,"Not required",IF(AG201&lt;=WP_LIMIT,"Single-stage wellpoints","Deep wells or two-stage wellpoints"))</f>
        <v>Single-stage wellpoints</v>
      </c>
      <c r="AI201" s="30" t="n">
        <f aca="false">MIN(_xlfn.MINIFS('Piece check'!$Z$6:$Z$1643,'Piece check'!$B$6:$B$1643,B201),_xlfn.MINIFS('Piece check'!$AA$6:$AA$1643,'Piece check'!$B$6:$B$1643,B201))</f>
        <v>1.97358932786929</v>
      </c>
      <c r="AJ201" s="30" t="n">
        <f aca="false">MIN(_xlfn.MINIFS('Piece check'!$AB$6:$AB$1643,'Piece check'!$B$6:$B$1643,B201),_xlfn.MINIFS('Piece check'!$AC$6:$AC$1643,'Piece check'!$B$6:$B$1643,B201))</f>
        <v>4.76065391574242</v>
      </c>
      <c r="AK201" s="12" t="str">
        <f aca="false">IF(AJ201&lt;FOS_FLOT,"Anchor pipe to piled slab (permanent straps)",IF(AI201&lt;FOS_FLOT,"Keep dewatering on until fill reaches FL, or strap to slab","No extra measure"))</f>
        <v>No extra measure</v>
      </c>
      <c r="AL201" s="35" t="n">
        <f aca="false">Activities!P2152</f>
        <v>46445</v>
      </c>
      <c r="AM201" s="35" t="n">
        <f aca="false">Activities!Q2161</f>
        <v>46561</v>
      </c>
      <c r="AN201" s="15" t="n">
        <v>99</v>
      </c>
      <c r="AO201" s="36" t="s">
        <v>2564</v>
      </c>
      <c r="AP201" s="36" t="s">
        <v>2960</v>
      </c>
      <c r="AQ201" s="36" t="s">
        <v>2961</v>
      </c>
      <c r="AR201" s="37" t="n">
        <f aca="false">Activities!P2160-Activities!Q2158</f>
        <v>46</v>
      </c>
      <c r="AS201" s="37" t="n">
        <f aca="false">IF(Activities!K2155=0,0,Activities!Q2161-Activities!P2155)</f>
        <v>83</v>
      </c>
    </row>
    <row r="202" customFormat="false" ht="15" hidden="false" customHeight="false" outlineLevel="0" collapsed="false">
      <c r="A202" s="15" t="s">
        <v>993</v>
      </c>
      <c r="B202" s="29" t="s">
        <v>1013</v>
      </c>
      <c r="C202" s="15" t="s">
        <v>406</v>
      </c>
      <c r="D202" s="15" t="s">
        <v>2962</v>
      </c>
      <c r="E202" s="15" t="s">
        <v>2518</v>
      </c>
      <c r="F202" s="15" t="n">
        <v>28</v>
      </c>
      <c r="G202" s="15" t="s">
        <v>2362</v>
      </c>
      <c r="H202" s="15"/>
      <c r="I202" s="16" t="n">
        <v>0</v>
      </c>
      <c r="J202" s="15"/>
      <c r="K202" s="16" t="n">
        <v>0</v>
      </c>
      <c r="L202" s="15" t="s">
        <v>358</v>
      </c>
      <c r="M202" s="15" t="n">
        <v>3</v>
      </c>
      <c r="N202" s="30" t="n">
        <f aca="false">_xlfn.MAXIFS('Piece check'!$E$6:$E$1643,'Piece check'!$B$6:$B$1643,B202)</f>
        <v>1.20000707533732</v>
      </c>
      <c r="O202" s="31" t="n">
        <f aca="false">SUMIFS('Piece check'!$D$6:$D$1643,'Piece check'!$B$6:$B$1643,B202)</f>
        <v>9.6495740520511</v>
      </c>
      <c r="P202" s="32" t="n">
        <v>-2.72000353766866</v>
      </c>
      <c r="Q202" s="32" t="n">
        <v>-4.66238779358714</v>
      </c>
      <c r="R202" s="30" t="n">
        <f aca="false">_xlfn.MINIFS('Piece check'!$K$6:$K$1643,'Piece check'!$B$6:$B$1643,B202)</f>
        <v>-4.66238779358714</v>
      </c>
      <c r="S202" s="18" t="n">
        <f aca="false">MAX(0,GWL-R202)</f>
        <v>3.16238779358714</v>
      </c>
      <c r="T202" s="18" t="n">
        <f aca="false">MAX(0,NG-R202)</f>
        <v>3.96238779358714</v>
      </c>
      <c r="U202" s="31" t="n">
        <f aca="false">SUMIFS('Piece check'!$R$6:$R$1643,'Piece check'!$B$6:$B$1643,B202)</f>
        <v>7.09999999990675</v>
      </c>
      <c r="V202" s="21" t="n">
        <f aca="false">O202-U202</f>
        <v>2.54957405214435</v>
      </c>
      <c r="W202" s="12" t="str">
        <f aca="false">IF(U202&lt;0.05,"Open cut",IF(V202&lt;0.05,"Sheet piles","Mixed: "&amp;TEXT(U202,"0")&amp;" m sheet piles"))</f>
        <v>Mixed: 7 m sheet piles</v>
      </c>
      <c r="X202" s="33" t="n">
        <f aca="false">SUMIFS('Piece check'!$V$6:$V$1643,'Piece check'!$B$6:$B$1643,B202)</f>
        <v>84.809531890788</v>
      </c>
      <c r="Y202" s="33" t="n">
        <f aca="false">SUMIFS('Piece check'!$W$6:$W$1643,'Piece check'!$B$6:$B$1643,B202)</f>
        <v>41.0974932036281</v>
      </c>
      <c r="Z202" s="33" t="n">
        <f aca="false">SUMIFS('Piece check'!$X$6:$X$1643,'Piece check'!$B$6:$B$1643,B202)</f>
        <v>10.6047385510283</v>
      </c>
      <c r="AA202" s="33" t="n">
        <f aca="false">SUMIFS('Piece check'!$Y$6:$Y$1643,'Piece check'!$B$6:$B$1643,B202)</f>
        <v>10.8771214244996</v>
      </c>
      <c r="AB202" s="20" t="n">
        <f aca="false">MAX(0,X202+Y202-Z202-AA202)</f>
        <v>104.425165118888</v>
      </c>
      <c r="AC202" s="20" t="n">
        <f aca="false">(ROUNDUP(O202/PILE_SP,0)+1)*IF(N202&gt;=PILE_THR,PILE_N_LARGE,PILE_N_SMALL)</f>
        <v>10</v>
      </c>
      <c r="AD202" s="20" t="n">
        <f aca="false">2*U202</f>
        <v>14.1999999998135</v>
      </c>
      <c r="AE202" s="34" t="n">
        <f aca="false">IF(U202&gt;0,ROUNDUP(T202*SHEET_RATIO,0),0)</f>
        <v>8</v>
      </c>
      <c r="AF202" s="20" t="n">
        <f aca="false">AD202*AE202</f>
        <v>113.599999998508</v>
      </c>
      <c r="AG202" s="18" t="n">
        <f aca="false">MAX(0,GWL-(R202-DD_BELOW))</f>
        <v>3.66238779358714</v>
      </c>
      <c r="AH202" s="12" t="str">
        <f aca="false">IF(AG202=0,"Not required",IF(AG202&lt;=WP_LIMIT,"Single-stage wellpoints","Deep wells or two-stage wellpoints"))</f>
        <v>Single-stage wellpoints</v>
      </c>
      <c r="AI202" s="30" t="n">
        <f aca="false">MIN(_xlfn.MINIFS('Piece check'!$Z$6:$Z$1643,'Piece check'!$B$6:$B$1643,B202),_xlfn.MINIFS('Piece check'!$AA$6:$AA$1643,'Piece check'!$B$6:$B$1643,B202))</f>
        <v>0.622981265692972</v>
      </c>
      <c r="AJ202" s="30" t="n">
        <f aca="false">MIN(_xlfn.MINIFS('Piece check'!$AB$6:$AB$1643,'Piece check'!$B$6:$B$1643,B202),_xlfn.MINIFS('Piece check'!$AC$6:$AC$1643,'Piece check'!$B$6:$B$1643,B202))</f>
        <v>3.93260582829654</v>
      </c>
      <c r="AK202" s="12" t="str">
        <f aca="false">IF(AJ202&lt;FOS_FLOT,"Anchor pipe to piled slab (permanent straps)",IF(AI202&lt;FOS_FLOT,"Keep dewatering on until fill reaches FL, or strap to slab","No extra measure"))</f>
        <v>Keep dewatering on until fill reaches FL, or strap to slab</v>
      </c>
      <c r="AL202" s="35" t="n">
        <f aca="false">Activities!P2163</f>
        <v>46475</v>
      </c>
      <c r="AM202" s="35" t="n">
        <f aca="false">Activities!Q2172</f>
        <v>46563</v>
      </c>
      <c r="AN202" s="15" t="n">
        <v>100</v>
      </c>
      <c r="AO202" s="36" t="s">
        <v>2564</v>
      </c>
      <c r="AP202" s="36" t="s">
        <v>2963</v>
      </c>
      <c r="AQ202" s="36" t="s">
        <v>2964</v>
      </c>
      <c r="AR202" s="37" t="n">
        <f aca="false">Activities!P2171-Activities!Q2169</f>
        <v>13</v>
      </c>
      <c r="AS202" s="37" t="n">
        <f aca="false">IF(Activities!K2166=0,0,Activities!Q2172-Activities!P2166)</f>
        <v>82</v>
      </c>
    </row>
    <row r="203" customFormat="false" ht="15" hidden="false" customHeight="false" outlineLevel="0" collapsed="false">
      <c r="A203" s="15" t="s">
        <v>1872</v>
      </c>
      <c r="B203" s="29" t="s">
        <v>1873</v>
      </c>
      <c r="C203" s="15" t="s">
        <v>406</v>
      </c>
      <c r="D203" s="15" t="s">
        <v>2965</v>
      </c>
      <c r="E203" s="15" t="s">
        <v>2361</v>
      </c>
      <c r="F203" s="15" t="n">
        <v>28</v>
      </c>
      <c r="G203" s="15" t="s">
        <v>2367</v>
      </c>
      <c r="H203" s="15" t="s">
        <v>350</v>
      </c>
      <c r="I203" s="35" t="n">
        <f aca="false">MAX(Structures!$H$27)</f>
        <v>0</v>
      </c>
      <c r="J203" s="15"/>
      <c r="K203" s="16" t="n">
        <v>0</v>
      </c>
      <c r="L203" s="15" t="s">
        <v>358</v>
      </c>
      <c r="M203" s="15" t="n">
        <v>6</v>
      </c>
      <c r="N203" s="30" t="n">
        <f aca="false">_xlfn.MAXIFS('Piece check'!$E$6:$E$1643,'Piece check'!$B$6:$B$1643,B203)</f>
        <v>2.27639861229757</v>
      </c>
      <c r="O203" s="31" t="n">
        <f aca="false">SUMIFS('Piece check'!$D$6:$D$1643,'Piece check'!$B$6:$B$1643,B203)</f>
        <v>14.7325559707283</v>
      </c>
      <c r="P203" s="32" t="n">
        <v>-3.92819930614879</v>
      </c>
      <c r="Q203" s="32" t="n">
        <v>-3.9145019354401</v>
      </c>
      <c r="R203" s="30" t="n">
        <f aca="false">_xlfn.MINIFS('Piece check'!$K$6:$K$1643,'Piece check'!$B$6:$B$1643,B203)</f>
        <v>-3.92819930614879</v>
      </c>
      <c r="S203" s="18" t="n">
        <f aca="false">MAX(0,GWL-R203)</f>
        <v>2.42819930614879</v>
      </c>
      <c r="T203" s="18" t="n">
        <f aca="false">MAX(0,NG-R203)</f>
        <v>3.22819930614879</v>
      </c>
      <c r="U203" s="31" t="n">
        <f aca="false">SUMIFS('Piece check'!$R$6:$R$1643,'Piece check'!$B$6:$B$1643,B203)</f>
        <v>0</v>
      </c>
      <c r="V203" s="21" t="n">
        <f aca="false">O203-U203</f>
        <v>14.7325559707283</v>
      </c>
      <c r="W203" s="12" t="str">
        <f aca="false">IF(U203&lt;0.05,"Open cut",IF(V203&lt;0.05,"Sheet piles","Mixed: "&amp;TEXT(U203,"0")&amp;" m sheet piles"))</f>
        <v>Open cut</v>
      </c>
      <c r="X203" s="33" t="n">
        <f aca="false">SUMIFS('Piece check'!$V$6:$V$1643,'Piece check'!$B$6:$B$1643,B203)</f>
        <v>0</v>
      </c>
      <c r="Y203" s="33" t="n">
        <f aca="false">SUMIFS('Piece check'!$W$6:$W$1643,'Piece check'!$B$6:$B$1643,B203)</f>
        <v>502.93178117173</v>
      </c>
      <c r="Z203" s="33" t="n">
        <f aca="false">SUMIFS('Piece check'!$X$6:$X$1643,'Piece check'!$B$6:$B$1643,B203)</f>
        <v>24.0159257160551</v>
      </c>
      <c r="AA203" s="33" t="n">
        <f aca="false">SUMIFS('Piece check'!$Y$6:$Y$1643,'Piece check'!$B$6:$B$1643,B203)</f>
        <v>59.1182405229584</v>
      </c>
      <c r="AB203" s="20" t="n">
        <f aca="false">MAX(0,X203+Y203-Z203-AA203)</f>
        <v>419.797614932716</v>
      </c>
      <c r="AC203" s="20" t="n">
        <f aca="false">(ROUNDUP(O203/PILE_SP,0)+1)*IF(N203&gt;=PILE_THR,PILE_N_LARGE,PILE_N_SMALL)</f>
        <v>12</v>
      </c>
      <c r="AD203" s="20" t="n">
        <f aca="false">2*U203</f>
        <v>0</v>
      </c>
      <c r="AE203" s="34" t="n">
        <f aca="false">IF(U203&gt;0,ROUNDUP(T203*SHEET_RATIO,0),0)</f>
        <v>0</v>
      </c>
      <c r="AF203" s="20" t="n">
        <f aca="false">AD203*AE203</f>
        <v>0</v>
      </c>
      <c r="AG203" s="18" t="n">
        <f aca="false">MAX(0,GWL-(R203-DD_BELOW))</f>
        <v>2.92819930614879</v>
      </c>
      <c r="AH203" s="12" t="str">
        <f aca="false">IF(AG203=0,"Not required",IF(AG203&lt;=WP_LIMIT,"Single-stage wellpoints","Deep wells or two-stage wellpoints"))</f>
        <v>Single-stage wellpoints</v>
      </c>
      <c r="AI203" s="30" t="n">
        <f aca="false">MIN(_xlfn.MINIFS('Piece check'!$Z$6:$Z$1643,'Piece check'!$B$6:$B$1643,B203),_xlfn.MINIFS('Piece check'!$AA$6:$AA$1643,'Piece check'!$B$6:$B$1643,B203))</f>
        <v>0.463673416762461</v>
      </c>
      <c r="AJ203" s="30" t="n">
        <f aca="false">MIN(_xlfn.MINIFS('Piece check'!$AB$6:$AB$1643,'Piece check'!$B$6:$B$1643,B203),_xlfn.MINIFS('Piece check'!$AC$6:$AC$1643,'Piece check'!$B$6:$B$1643,B203))</f>
        <v>2.20834716167655</v>
      </c>
      <c r="AK203" s="12" t="str">
        <f aca="false">IF(AJ203&lt;FOS_FLOT,"Anchor pipe to piled slab (permanent straps)",IF(AI203&lt;FOS_FLOT,"Keep dewatering on until fill reaches FL, or strap to slab","No extra measure"))</f>
        <v>Keep dewatering on until fill reaches FL, or strap to slab</v>
      </c>
      <c r="AL203" s="35" t="n">
        <f aca="false">Activities!P2174</f>
        <v>46371</v>
      </c>
      <c r="AM203" s="35" t="n">
        <f aca="false">Activities!Q2183</f>
        <v>46519</v>
      </c>
      <c r="AN203" s="15" t="n">
        <v>101</v>
      </c>
      <c r="AO203" s="36" t="s">
        <v>2918</v>
      </c>
      <c r="AP203" s="36" t="s">
        <v>2966</v>
      </c>
      <c r="AQ203" s="36" t="s">
        <v>2967</v>
      </c>
      <c r="AR203" s="37" t="n">
        <f aca="false">Activities!P2182-Activities!Q2180</f>
        <v>30</v>
      </c>
      <c r="AS203" s="37" t="n">
        <f aca="false">IF(Activities!K2177=0,0,Activities!Q2183-Activities!P2177)</f>
        <v>146</v>
      </c>
    </row>
    <row r="204" customFormat="false" ht="15" hidden="false" customHeight="false" outlineLevel="0" collapsed="false">
      <c r="A204" s="15" t="s">
        <v>1936</v>
      </c>
      <c r="B204" s="29" t="s">
        <v>1937</v>
      </c>
      <c r="C204" s="15" t="s">
        <v>406</v>
      </c>
      <c r="D204" s="15" t="s">
        <v>2968</v>
      </c>
      <c r="E204" s="15" t="s">
        <v>2361</v>
      </c>
      <c r="F204" s="15" t="n">
        <v>28</v>
      </c>
      <c r="G204" s="15" t="s">
        <v>2367</v>
      </c>
      <c r="H204" s="15" t="s">
        <v>350</v>
      </c>
      <c r="I204" s="35" t="n">
        <f aca="false">MAX(Structures!$H$27)</f>
        <v>0</v>
      </c>
      <c r="J204" s="15"/>
      <c r="K204" s="16" t="n">
        <v>0</v>
      </c>
      <c r="L204" s="15" t="s">
        <v>358</v>
      </c>
      <c r="M204" s="15" t="n">
        <v>6</v>
      </c>
      <c r="N204" s="30" t="n">
        <f aca="false">_xlfn.MAXIFS('Piece check'!$E$6:$E$1643,'Piece check'!$B$6:$B$1643,B204)</f>
        <v>2.27639861220404</v>
      </c>
      <c r="O204" s="31" t="n">
        <f aca="false">SUMIFS('Piece check'!$D$6:$D$1643,'Piece check'!$B$6:$B$1643,B204)</f>
        <v>10.5191397620194</v>
      </c>
      <c r="P204" s="32" t="n">
        <v>-3.92819930610202</v>
      </c>
      <c r="Q204" s="32" t="n">
        <v>-3.91449941608727</v>
      </c>
      <c r="R204" s="30" t="n">
        <f aca="false">_xlfn.MINIFS('Piece check'!$K$6:$K$1643,'Piece check'!$B$6:$B$1643,B204)</f>
        <v>-3.92819930610202</v>
      </c>
      <c r="S204" s="18" t="n">
        <f aca="false">MAX(0,GWL-R204)</f>
        <v>2.42819930610202</v>
      </c>
      <c r="T204" s="18" t="n">
        <f aca="false">MAX(0,NG-R204)</f>
        <v>3.22819930610202</v>
      </c>
      <c r="U204" s="31" t="n">
        <f aca="false">SUMIFS('Piece check'!$R$6:$R$1643,'Piece check'!$B$6:$B$1643,B204)</f>
        <v>0</v>
      </c>
      <c r="V204" s="21" t="n">
        <f aca="false">O204-U204</f>
        <v>10.5191397620194</v>
      </c>
      <c r="W204" s="12" t="str">
        <f aca="false">IF(U204&lt;0.05,"Open cut",IF(V204&lt;0.05,"Sheet piles","Mixed: "&amp;TEXT(U204,"0")&amp;" m sheet piles"))</f>
        <v>Open cut</v>
      </c>
      <c r="X204" s="33" t="n">
        <f aca="false">SUMIFS('Piece check'!$V$6:$V$1643,'Piece check'!$B$6:$B$1643,B204)</f>
        <v>0</v>
      </c>
      <c r="Y204" s="33" t="n">
        <f aca="false">SUMIFS('Piece check'!$W$6:$W$1643,'Piece check'!$B$6:$B$1643,B204)</f>
        <v>358.29520481655</v>
      </c>
      <c r="Z204" s="33" t="n">
        <f aca="false">SUMIFS('Piece check'!$X$6:$X$1643,'Piece check'!$B$6:$B$1643,B204)</f>
        <v>17.1135070610172</v>
      </c>
      <c r="AA204" s="33" t="n">
        <f aca="false">SUMIFS('Piece check'!$Y$6:$Y$1643,'Piece check'!$B$6:$B$1643,B204)</f>
        <v>41.969926373916</v>
      </c>
      <c r="AB204" s="20" t="n">
        <f aca="false">MAX(0,X204+Y204-Z204-AA204)</f>
        <v>299.211771381617</v>
      </c>
      <c r="AC204" s="20" t="n">
        <f aca="false">(ROUNDUP(O204/PILE_SP,0)+1)*IF(N204&gt;=PILE_THR,PILE_N_LARGE,PILE_N_SMALL)</f>
        <v>10</v>
      </c>
      <c r="AD204" s="20" t="n">
        <f aca="false">2*U204</f>
        <v>0</v>
      </c>
      <c r="AE204" s="34" t="n">
        <f aca="false">IF(U204&gt;0,ROUNDUP(T204*SHEET_RATIO,0),0)</f>
        <v>0</v>
      </c>
      <c r="AF204" s="20" t="n">
        <f aca="false">AD204*AE204</f>
        <v>0</v>
      </c>
      <c r="AG204" s="18" t="n">
        <f aca="false">MAX(0,GWL-(R204-DD_BELOW))</f>
        <v>2.92819930610202</v>
      </c>
      <c r="AH204" s="12" t="str">
        <f aca="false">IF(AG204=0,"Not required",IF(AG204&lt;=WP_LIMIT,"Single-stage wellpoints","Deep wells or two-stage wellpoints"))</f>
        <v>Single-stage wellpoints</v>
      </c>
      <c r="AI204" s="30" t="n">
        <f aca="false">MIN(_xlfn.MINIFS('Piece check'!$Z$6:$Z$1643,'Piece check'!$B$6:$B$1643,B204),_xlfn.MINIFS('Piece check'!$AA$6:$AA$1643,'Piece check'!$B$6:$B$1643,B204))</f>
        <v>0.463673416829504</v>
      </c>
      <c r="AJ204" s="30" t="n">
        <f aca="false">MIN(_xlfn.MINIFS('Piece check'!$AB$6:$AB$1643,'Piece check'!$B$6:$B$1643,B204),_xlfn.MINIFS('Piece check'!$AC$6:$AC$1643,'Piece check'!$B$6:$B$1643,B204))</f>
        <v>2.20834716181528</v>
      </c>
      <c r="AK204" s="12" t="str">
        <f aca="false">IF(AJ204&lt;FOS_FLOT,"Anchor pipe to piled slab (permanent straps)",IF(AI204&lt;FOS_FLOT,"Keep dewatering on until fill reaches FL, or strap to slab","No extra measure"))</f>
        <v>Keep dewatering on until fill reaches FL, or strap to slab</v>
      </c>
      <c r="AL204" s="35" t="n">
        <f aca="false">Activities!P2185</f>
        <v>46445</v>
      </c>
      <c r="AM204" s="35" t="n">
        <f aca="false">Activities!Q2194</f>
        <v>46521</v>
      </c>
      <c r="AN204" s="15" t="n">
        <v>102</v>
      </c>
      <c r="AO204" s="36" t="s">
        <v>2918</v>
      </c>
      <c r="AP204" s="36" t="s">
        <v>2969</v>
      </c>
      <c r="AQ204" s="36" t="s">
        <v>2970</v>
      </c>
      <c r="AR204" s="37" t="n">
        <f aca="false">Activities!P2193-Activities!Q2191</f>
        <v>-4</v>
      </c>
      <c r="AS204" s="37" t="n">
        <f aca="false">IF(Activities!K2188=0,0,Activities!Q2194-Activities!P2188)</f>
        <v>74</v>
      </c>
    </row>
    <row r="205" customFormat="false" ht="15" hidden="false" customHeight="false" outlineLevel="0" collapsed="false">
      <c r="A205" s="15" t="s">
        <v>2297</v>
      </c>
      <c r="B205" s="29" t="s">
        <v>2298</v>
      </c>
      <c r="C205" s="15" t="s">
        <v>406</v>
      </c>
      <c r="D205" s="15" t="s">
        <v>2971</v>
      </c>
      <c r="E205" s="15" t="s">
        <v>2518</v>
      </c>
      <c r="F205" s="15" t="n">
        <v>28</v>
      </c>
      <c r="G205" s="15" t="s">
        <v>2523</v>
      </c>
      <c r="H205" s="15" t="s">
        <v>2972</v>
      </c>
      <c r="I205" s="35" t="n">
        <f aca="false">MAX(Structures!$H$6,Structures!$H$6)</f>
        <v>0</v>
      </c>
      <c r="J205" s="15"/>
      <c r="K205" s="16" t="n">
        <v>0</v>
      </c>
      <c r="L205" s="15" t="s">
        <v>358</v>
      </c>
      <c r="M205" s="15" t="n">
        <v>1</v>
      </c>
      <c r="N205" s="30" t="n">
        <f aca="false">_xlfn.MAXIFS('Piece check'!$E$6:$E$1643,'Piece check'!$B$6:$B$1643,B205)</f>
        <v>0.500000988403368</v>
      </c>
      <c r="O205" s="31" t="n">
        <f aca="false">SUMIFS('Piece check'!$D$6:$D$1643,'Piece check'!$B$6:$B$1643,B205)</f>
        <v>1.10000099761177</v>
      </c>
      <c r="P205" s="32" t="n">
        <v>-0.638980494201684</v>
      </c>
      <c r="Q205" s="32" t="n">
        <v>-0.639410494201684</v>
      </c>
      <c r="R205" s="30" t="n">
        <f aca="false">_xlfn.MINIFS('Piece check'!$K$6:$K$1643,'Piece check'!$B$6:$B$1643,B205)</f>
        <v>-0.639410494201684</v>
      </c>
      <c r="S205" s="18" t="n">
        <f aca="false">MAX(0,GWL-R205)</f>
        <v>0</v>
      </c>
      <c r="T205" s="18" t="n">
        <f aca="false">MAX(0,NG-R205)</f>
        <v>0</v>
      </c>
      <c r="U205" s="31" t="n">
        <f aca="false">SUMIFS('Piece check'!$R$6:$R$1643,'Piece check'!$B$6:$B$1643,B205)</f>
        <v>0</v>
      </c>
      <c r="V205" s="21" t="n">
        <f aca="false">O205-U205</f>
        <v>1.10000099761177</v>
      </c>
      <c r="W205" s="12" t="str">
        <f aca="false">IF(U205&lt;0.05,"Open cut",IF(V205&lt;0.05,"Sheet piles","Mixed: "&amp;TEXT(U205,"0")&amp;" m sheet piles"))</f>
        <v>Open cut</v>
      </c>
      <c r="X205" s="33" t="n">
        <f aca="false">SUMIFS('Piece check'!$V$6:$V$1643,'Piece check'!$B$6:$B$1643,B205)</f>
        <v>0</v>
      </c>
      <c r="Y205" s="33" t="n">
        <f aca="false">SUMIFS('Piece check'!$W$6:$W$1643,'Piece check'!$B$6:$B$1643,B205)</f>
        <v>0</v>
      </c>
      <c r="Z205" s="33" t="n">
        <f aca="false">SUMIFS('Piece check'!$X$6:$X$1643,'Piece check'!$B$6:$B$1643,B205)</f>
        <v>0</v>
      </c>
      <c r="AA205" s="33" t="n">
        <f aca="false">SUMIFS('Piece check'!$Y$6:$Y$1643,'Piece check'!$B$6:$B$1643,B205)</f>
        <v>0</v>
      </c>
      <c r="AB205" s="20" t="n">
        <f aca="false">MAX(0,X205+Y205-Z205-AA205)</f>
        <v>0</v>
      </c>
      <c r="AC205" s="20" t="n">
        <f aca="false">(ROUNDUP(O205/PILE_SP,0)+1)*IF(N205&gt;=PILE_THR,PILE_N_LARGE,PILE_N_SMALL)</f>
        <v>2</v>
      </c>
      <c r="AD205" s="20" t="n">
        <f aca="false">2*U205</f>
        <v>0</v>
      </c>
      <c r="AE205" s="34" t="n">
        <f aca="false">IF(U205&gt;0,ROUNDUP(T205*SHEET_RATIO,0),0)</f>
        <v>0</v>
      </c>
      <c r="AF205" s="20" t="n">
        <f aca="false">AD205*AE205</f>
        <v>0</v>
      </c>
      <c r="AG205" s="18" t="n">
        <f aca="false">MAX(0,GWL-(R205-DD_BELOW))</f>
        <v>0</v>
      </c>
      <c r="AH205" s="12" t="str">
        <f aca="false">IF(AG205=0,"Not required",IF(AG205&lt;=WP_LIMIT,"Single-stage wellpoints","Deep wells or two-stage wellpoints"))</f>
        <v>Not required</v>
      </c>
      <c r="AI205" s="30" t="n">
        <f aca="false">MIN(_xlfn.MINIFS('Piece check'!$Z$6:$Z$1643,'Piece check'!$B$6:$B$1643,B205),_xlfn.MINIFS('Piece check'!$AA$6:$AA$1643,'Piece check'!$B$6:$B$1643,B205))</f>
        <v>99</v>
      </c>
      <c r="AJ205" s="30" t="n">
        <f aca="false">MIN(_xlfn.MINIFS('Piece check'!$AB$6:$AB$1643,'Piece check'!$B$6:$B$1643,B205),_xlfn.MINIFS('Piece check'!$AC$6:$AC$1643,'Piece check'!$B$6:$B$1643,B205))</f>
        <v>99</v>
      </c>
      <c r="AK205" s="12" t="str">
        <f aca="false">IF(AJ205&lt;FOS_FLOT,"Anchor pipe to piled slab (permanent straps)",IF(AI205&lt;FOS_FLOT,"Keep dewatering on until fill reaches FL, or strap to slab","No extra measure"))</f>
        <v>No extra measure</v>
      </c>
      <c r="AL205" s="35" t="n">
        <f aca="false">Activities!P2196</f>
        <v>46357</v>
      </c>
      <c r="AM205" s="35" t="n">
        <f aca="false">Activities!Q2205</f>
        <v>46465</v>
      </c>
      <c r="AN205" s="15" t="n">
        <v>122</v>
      </c>
      <c r="AO205" s="36" t="s">
        <v>2973</v>
      </c>
      <c r="AP205" s="36" t="s">
        <v>2974</v>
      </c>
      <c r="AQ205" s="36" t="s">
        <v>2975</v>
      </c>
      <c r="AR205" s="37" t="n">
        <f aca="false">Activities!P2204-Activities!Q2202</f>
        <v>4</v>
      </c>
      <c r="AS205" s="37" t="n">
        <f aca="false">IF(Activities!K2199=0,0,Activities!Q2205-Activities!P2199)</f>
        <v>0</v>
      </c>
    </row>
    <row r="206" customFormat="false" ht="15" hidden="false" customHeight="false" outlineLevel="0" collapsed="false">
      <c r="A206" s="15" t="s">
        <v>2312</v>
      </c>
      <c r="B206" s="29" t="s">
        <v>2313</v>
      </c>
      <c r="C206" s="15" t="s">
        <v>406</v>
      </c>
      <c r="D206" s="15" t="s">
        <v>2976</v>
      </c>
      <c r="E206" s="15" t="s">
        <v>2518</v>
      </c>
      <c r="F206" s="15" t="n">
        <v>28</v>
      </c>
      <c r="G206" s="15" t="s">
        <v>2523</v>
      </c>
      <c r="H206" s="15" t="s">
        <v>2972</v>
      </c>
      <c r="I206" s="35" t="n">
        <f aca="false">MAX(Structures!$H$6,Structures!$H$6)</f>
        <v>0</v>
      </c>
      <c r="J206" s="15"/>
      <c r="K206" s="16" t="n">
        <v>0</v>
      </c>
      <c r="L206" s="15" t="s">
        <v>358</v>
      </c>
      <c r="M206" s="15" t="n">
        <v>7</v>
      </c>
      <c r="N206" s="30" t="n">
        <f aca="false">_xlfn.MAXIFS('Piece check'!$E$6:$E$1643,'Piece check'!$B$6:$B$1643,B206)</f>
        <v>0.31500217193228</v>
      </c>
      <c r="O206" s="31" t="n">
        <f aca="false">SUMIFS('Piece check'!$D$6:$D$1643,'Piece check'!$B$6:$B$1643,B206)</f>
        <v>17.8373748189085</v>
      </c>
      <c r="P206" s="32" t="n">
        <v>-0.547496766745485</v>
      </c>
      <c r="Q206" s="32" t="n">
        <v>-0.537496766580888</v>
      </c>
      <c r="R206" s="30" t="n">
        <f aca="false">_xlfn.MINIFS('Piece check'!$K$6:$K$1643,'Piece check'!$B$6:$B$1643,B206)</f>
        <v>-0.547496766745485</v>
      </c>
      <c r="S206" s="18" t="n">
        <f aca="false">MAX(0,GWL-R206)</f>
        <v>0</v>
      </c>
      <c r="T206" s="18" t="n">
        <f aca="false">MAX(0,NG-R206)</f>
        <v>0</v>
      </c>
      <c r="U206" s="31" t="n">
        <f aca="false">SUMIFS('Piece check'!$R$6:$R$1643,'Piece check'!$B$6:$B$1643,B206)</f>
        <v>0</v>
      </c>
      <c r="V206" s="21" t="n">
        <f aca="false">O206-U206</f>
        <v>17.8373748189085</v>
      </c>
      <c r="W206" s="12" t="str">
        <f aca="false">IF(U206&lt;0.05,"Open cut",IF(V206&lt;0.05,"Sheet piles","Mixed: "&amp;TEXT(U206,"0")&amp;" m sheet piles"))</f>
        <v>Open cut</v>
      </c>
      <c r="X206" s="33" t="n">
        <f aca="false">SUMIFS('Piece check'!$V$6:$V$1643,'Piece check'!$B$6:$B$1643,B206)</f>
        <v>0</v>
      </c>
      <c r="Y206" s="33" t="n">
        <f aca="false">SUMIFS('Piece check'!$W$6:$W$1643,'Piece check'!$B$6:$B$1643,B206)</f>
        <v>0</v>
      </c>
      <c r="Z206" s="33" t="n">
        <f aca="false">SUMIFS('Piece check'!$X$6:$X$1643,'Piece check'!$B$6:$B$1643,B206)</f>
        <v>0</v>
      </c>
      <c r="AA206" s="33" t="n">
        <f aca="false">SUMIFS('Piece check'!$Y$6:$Y$1643,'Piece check'!$B$6:$B$1643,B206)</f>
        <v>0</v>
      </c>
      <c r="AB206" s="20" t="n">
        <f aca="false">MAX(0,X206+Y206-Z206-AA206)</f>
        <v>0</v>
      </c>
      <c r="AC206" s="20" t="n">
        <f aca="false">(ROUNDUP(O206/PILE_SP,0)+1)*IF(N206&gt;=PILE_THR,PILE_N_LARGE,PILE_N_SMALL)</f>
        <v>7</v>
      </c>
      <c r="AD206" s="20" t="n">
        <f aca="false">2*U206</f>
        <v>0</v>
      </c>
      <c r="AE206" s="34" t="n">
        <f aca="false">IF(U206&gt;0,ROUNDUP(T206*SHEET_RATIO,0),0)</f>
        <v>0</v>
      </c>
      <c r="AF206" s="20" t="n">
        <f aca="false">AD206*AE206</f>
        <v>0</v>
      </c>
      <c r="AG206" s="18" t="n">
        <f aca="false">MAX(0,GWL-(R206-DD_BELOW))</f>
        <v>0</v>
      </c>
      <c r="AH206" s="12" t="str">
        <f aca="false">IF(AG206=0,"Not required",IF(AG206&lt;=WP_LIMIT,"Single-stage wellpoints","Deep wells or two-stage wellpoints"))</f>
        <v>Not required</v>
      </c>
      <c r="AI206" s="30" t="n">
        <f aca="false">MIN(_xlfn.MINIFS('Piece check'!$Z$6:$Z$1643,'Piece check'!$B$6:$B$1643,B206),_xlfn.MINIFS('Piece check'!$AA$6:$AA$1643,'Piece check'!$B$6:$B$1643,B206))</f>
        <v>99</v>
      </c>
      <c r="AJ206" s="30" t="n">
        <f aca="false">MIN(_xlfn.MINIFS('Piece check'!$AB$6:$AB$1643,'Piece check'!$B$6:$B$1643,B206),_xlfn.MINIFS('Piece check'!$AC$6:$AC$1643,'Piece check'!$B$6:$B$1643,B206))</f>
        <v>99</v>
      </c>
      <c r="AK206" s="12" t="str">
        <f aca="false">IF(AJ206&lt;FOS_FLOT,"Anchor pipe to piled slab (permanent straps)",IF(AI206&lt;FOS_FLOT,"Keep dewatering on until fill reaches FL, or strap to slab","No extra measure"))</f>
        <v>No extra measure</v>
      </c>
      <c r="AL206" s="35" t="n">
        <f aca="false">Activities!P2207</f>
        <v>46357</v>
      </c>
      <c r="AM206" s="35" t="n">
        <f aca="false">Activities!Q2216</f>
        <v>46467</v>
      </c>
      <c r="AN206" s="15" t="n">
        <v>123</v>
      </c>
      <c r="AO206" s="36" t="s">
        <v>2977</v>
      </c>
      <c r="AP206" s="36" t="s">
        <v>2978</v>
      </c>
      <c r="AQ206" s="36" t="s">
        <v>2979</v>
      </c>
      <c r="AR206" s="37" t="n">
        <f aca="false">Activities!P2215-Activities!Q2213</f>
        <v>-4</v>
      </c>
      <c r="AS206" s="37" t="n">
        <f aca="false">IF(Activities!K2210=0,0,Activities!Q2216-Activities!P2210)</f>
        <v>0</v>
      </c>
    </row>
    <row r="207" customFormat="false" ht="15" hidden="false" customHeight="false" outlineLevel="0" collapsed="false">
      <c r="B207" s="10" t="s">
        <v>262</v>
      </c>
      <c r="O207" s="22" t="n">
        <f aca="false">SUM(O6:O206)</f>
        <v>8151.36788808049</v>
      </c>
      <c r="U207" s="22" t="n">
        <f aca="false">SUM(U6:U206)</f>
        <v>6561.59330003798</v>
      </c>
      <c r="V207" s="22" t="n">
        <f aca="false">SUM(V6:V206)</f>
        <v>1589.7745880425</v>
      </c>
      <c r="X207" s="22" t="n">
        <f aca="false">SUM(X6:X206)</f>
        <v>104633.082954158</v>
      </c>
      <c r="Y207" s="22" t="n">
        <f aca="false">SUM(Y6:Y206)</f>
        <v>29959.9607418467</v>
      </c>
      <c r="Z207" s="22" t="n">
        <f aca="false">SUM(Z6:Z206)</f>
        <v>11770.1362207214</v>
      </c>
      <c r="AA207" s="22" t="n">
        <f aca="false">SUM(AA6:AA206)</f>
        <v>25377.3628708363</v>
      </c>
      <c r="AB207" s="22" t="n">
        <f aca="false">SUM(AB6:AB206)</f>
        <v>97445.5446044473</v>
      </c>
      <c r="AC207" s="22" t="n">
        <f aca="false">SUM(AC6:AC206)</f>
        <v>5788</v>
      </c>
      <c r="AD207" s="22" t="n">
        <f aca="false">SUM(AD6:AD206)</f>
        <v>13123.186600076</v>
      </c>
      <c r="AF207" s="22" t="n">
        <f aca="false">SUM(AF6:AF206)</f>
        <v>116308.607642288</v>
      </c>
    </row>
    <row r="208" customFormat="false" ht="15" hidden="false" customHeight="false" outlineLevel="0" collapsed="false">
      <c r="B208" s="38" t="s">
        <v>2980</v>
      </c>
      <c r="O208" s="39" t="n">
        <v>8151.36788808049</v>
      </c>
    </row>
    <row r="209" customFormat="false" ht="15" hidden="false" customHeight="false" outlineLevel="0" collapsed="false">
      <c r="B209" s="38" t="s">
        <v>2981</v>
      </c>
      <c r="O209" s="40" t="n">
        <f aca="false">O207-O208</f>
        <v>0</v>
      </c>
    </row>
  </sheetData>
  <autoFilter ref="A5:AS2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216"/>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7" ySplit="5" topLeftCell="H6" activePane="bottomRight" state="frozen"/>
      <selection pane="topLeft" activeCell="A1" activeCellId="0" sqref="A1"/>
      <selection pane="topRight" activeCell="H1" activeCellId="0" sqref="H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22"/>
    <col collapsed="false" customWidth="true" hidden="false" outlineLevel="0" max="3" min="3" style="0" width="6"/>
    <col collapsed="false" customWidth="true" hidden="false" outlineLevel="0" max="4" min="4" style="0" width="8"/>
    <col collapsed="false" customWidth="true" hidden="false" outlineLevel="0" max="5" min="5" style="0" width="12"/>
    <col collapsed="false" customWidth="true" hidden="false" outlineLevel="0" max="6" min="6" style="0" width="7"/>
    <col collapsed="false" customWidth="true" hidden="false" outlineLevel="0" max="7" min="7" style="0" width="44"/>
    <col collapsed="false" customWidth="true" hidden="false" outlineLevel="0" max="8" min="8" style="0" width="10"/>
    <col collapsed="false" customWidth="true" hidden="false" outlineLevel="0" max="9" min="9" style="0" width="8"/>
    <col collapsed="false" customWidth="true" hidden="false" outlineLevel="0" max="11" min="10" style="0" width="9"/>
    <col collapsed="false" customWidth="true" hidden="false" outlineLevel="0" max="12" min="12" style="0" width="20"/>
    <col collapsed="false" customWidth="true" hidden="false" outlineLevel="0" max="14" min="13" style="0" width="8"/>
    <col collapsed="false" customWidth="true" hidden="false" outlineLevel="0" max="15" min="15" style="0" width="50"/>
    <col collapsed="false" customWidth="true" hidden="false" outlineLevel="0" max="18" min="16" style="0" width="11"/>
    <col collapsed="false" customWidth="true" hidden="false" outlineLevel="0" max="19" min="19" style="0" width="20"/>
  </cols>
  <sheetData>
    <row r="1" customFormat="false" ht="17.35" hidden="false" customHeight="false" outlineLevel="0" collapsed="false">
      <c r="A1" s="1" t="s">
        <v>2982</v>
      </c>
    </row>
    <row r="2" customFormat="false" ht="15" hidden="false" customHeight="false" outlineLevel="0" collapsed="false">
      <c r="A2" s="2" t="s">
        <v>2983</v>
      </c>
    </row>
    <row r="5" customFormat="false" ht="42" hidden="false" customHeight="true" outlineLevel="0" collapsed="false">
      <c r="A5" s="5" t="s">
        <v>2984</v>
      </c>
      <c r="B5" s="5" t="s">
        <v>2985</v>
      </c>
      <c r="C5" s="5" t="s">
        <v>370</v>
      </c>
      <c r="D5" s="5" t="s">
        <v>414</v>
      </c>
      <c r="E5" s="5" t="s">
        <v>415</v>
      </c>
      <c r="F5" s="5" t="s">
        <v>286</v>
      </c>
      <c r="G5" s="5" t="s">
        <v>2986</v>
      </c>
      <c r="H5" s="5" t="s">
        <v>2987</v>
      </c>
      <c r="I5" s="5" t="s">
        <v>113</v>
      </c>
      <c r="J5" s="5" t="s">
        <v>2988</v>
      </c>
      <c r="K5" s="5" t="s">
        <v>2989</v>
      </c>
      <c r="L5" s="5" t="s">
        <v>2990</v>
      </c>
      <c r="M5" s="5" t="s">
        <v>2991</v>
      </c>
      <c r="N5" s="5" t="s">
        <v>2992</v>
      </c>
      <c r="O5" s="5" t="s">
        <v>2993</v>
      </c>
      <c r="P5" s="5" t="s">
        <v>382</v>
      </c>
      <c r="Q5" s="5" t="s">
        <v>383</v>
      </c>
      <c r="R5" s="5" t="s">
        <v>2994</v>
      </c>
      <c r="S5" s="5" t="s">
        <v>2995</v>
      </c>
    </row>
    <row r="6" customFormat="false" ht="15" hidden="false" customHeight="false" outlineLevel="0" collapsed="false">
      <c r="A6" s="15" t="s">
        <v>2996</v>
      </c>
      <c r="B6" s="15" t="s">
        <v>2997</v>
      </c>
      <c r="C6" s="15" t="s">
        <v>385</v>
      </c>
      <c r="D6" s="15" t="s">
        <v>441</v>
      </c>
      <c r="E6" s="15" t="s">
        <v>447</v>
      </c>
      <c r="F6" s="15" t="s">
        <v>2998</v>
      </c>
      <c r="G6" s="15" t="s">
        <v>2999</v>
      </c>
      <c r="H6" s="12"/>
      <c r="I6" s="12"/>
      <c r="J6" s="34" t="n">
        <f aca="false">0</f>
        <v>0</v>
      </c>
      <c r="K6" s="34" t="n">
        <f aca="false">IF(J6=0,0,ROUNDUP(J6*7/WD,0))</f>
        <v>0</v>
      </c>
      <c r="L6" s="12"/>
      <c r="M6" s="12"/>
      <c r="N6" s="12"/>
      <c r="O6" s="15" t="s">
        <v>3000</v>
      </c>
      <c r="P6" s="16" t="n">
        <f aca="false">MAX(START,D_DLU,Packages!$I$6,Packages!$K$6)</f>
        <v>46357</v>
      </c>
      <c r="Q6" s="16" t="n">
        <f aca="false">P6+K6</f>
        <v>46357</v>
      </c>
      <c r="R6" s="12"/>
      <c r="S6" s="12"/>
    </row>
    <row r="7" customFormat="false" ht="15" hidden="false" customHeight="false" outlineLevel="0" collapsed="false">
      <c r="A7" s="15" t="s">
        <v>3001</v>
      </c>
      <c r="B7" s="15" t="s">
        <v>2997</v>
      </c>
      <c r="C7" s="15" t="s">
        <v>385</v>
      </c>
      <c r="D7" s="15" t="s">
        <v>441</v>
      </c>
      <c r="E7" s="15" t="s">
        <v>447</v>
      </c>
      <c r="F7" s="15" t="s">
        <v>3002</v>
      </c>
      <c r="G7" s="15" t="s">
        <v>205</v>
      </c>
      <c r="H7" s="33" t="n">
        <f aca="false">Packages!$O$6</f>
        <v>276.060569871476</v>
      </c>
      <c r="I7" s="15" t="s">
        <v>118</v>
      </c>
      <c r="J7" s="34" t="n">
        <f aca="false">MAX(1,ROUNDUP(Packages!$O$6/R_PLAT,0))</f>
        <v>4</v>
      </c>
      <c r="K7" s="34" t="n">
        <f aca="false">IF(J7=0,0,ROUNDUP(J7*7/WD,0))</f>
        <v>5</v>
      </c>
      <c r="L7" s="15" t="s">
        <v>2996</v>
      </c>
      <c r="M7" s="12"/>
      <c r="N7" s="12"/>
      <c r="O7" s="15" t="s">
        <v>3003</v>
      </c>
      <c r="P7" s="16" t="n">
        <f aca="false">MAX(Q6)</f>
        <v>46357</v>
      </c>
      <c r="Q7" s="16" t="n">
        <f aca="false">P7+K7</f>
        <v>46362</v>
      </c>
      <c r="R7" s="12"/>
      <c r="S7" s="12"/>
    </row>
    <row r="8" customFormat="false" ht="15" hidden="false" customHeight="false" outlineLevel="0" collapsed="false">
      <c r="A8" s="15" t="s">
        <v>3004</v>
      </c>
      <c r="B8" s="15" t="s">
        <v>2997</v>
      </c>
      <c r="C8" s="15" t="s">
        <v>385</v>
      </c>
      <c r="D8" s="15" t="s">
        <v>441</v>
      </c>
      <c r="E8" s="15" t="s">
        <v>447</v>
      </c>
      <c r="F8" s="15" t="s">
        <v>3005</v>
      </c>
      <c r="G8" s="15" t="s">
        <v>3006</v>
      </c>
      <c r="H8" s="33" t="n">
        <f aca="false">Packages!$AC$6</f>
        <v>188</v>
      </c>
      <c r="I8" s="15" t="s">
        <v>3007</v>
      </c>
      <c r="J8" s="34" t="n">
        <f aca="false">IF(Packages!$AC$6=0,0,MAX(1,ROUNDUP(Packages!$AC$6/(R_PILE*Fronts!$H$5),0)))</f>
        <v>38</v>
      </c>
      <c r="K8" s="34" t="n">
        <f aca="false">IF(J8=0,0,ROUNDUP(J8*7/WD,0))</f>
        <v>45</v>
      </c>
      <c r="L8" s="15" t="s">
        <v>3001</v>
      </c>
      <c r="M8" s="34" t="n">
        <f aca="false">ROUNDUP(K7*LADDER,0)</f>
        <v>2</v>
      </c>
      <c r="N8" s="34" t="n">
        <f aca="false">IF(K8=0,0,FFLAG)</f>
        <v>2</v>
      </c>
      <c r="O8" s="15" t="s">
        <v>3008</v>
      </c>
      <c r="P8" s="16" t="n">
        <f aca="false">MAX(P7+M8,D_PILEDES)</f>
        <v>46359</v>
      </c>
      <c r="Q8" s="16" t="n">
        <f aca="false">MAX(P8+K8,Q7+N8)</f>
        <v>46404</v>
      </c>
      <c r="R8" s="16" t="n">
        <f aca="false">IF(K8&gt;0,Q8,0)</f>
        <v>46404</v>
      </c>
      <c r="S8" s="12"/>
    </row>
    <row r="9" customFormat="false" ht="15" hidden="false" customHeight="false" outlineLevel="0" collapsed="false">
      <c r="A9" s="15" t="s">
        <v>3009</v>
      </c>
      <c r="B9" s="15" t="s">
        <v>2997</v>
      </c>
      <c r="C9" s="15" t="s">
        <v>385</v>
      </c>
      <c r="D9" s="15" t="s">
        <v>441</v>
      </c>
      <c r="E9" s="15" t="s">
        <v>447</v>
      </c>
      <c r="F9" s="15" t="s">
        <v>3010</v>
      </c>
      <c r="G9" s="15" t="s">
        <v>3011</v>
      </c>
      <c r="H9" s="33" t="n">
        <f aca="false">Packages!$AD$6</f>
        <v>552.121139742952</v>
      </c>
      <c r="I9" s="15" t="s">
        <v>3012</v>
      </c>
      <c r="J9" s="34" t="n">
        <f aca="false">IF(Packages!$AD$6=0,0,MAX(1,ROUNDUP(Packages!$AD$6/(R_SHEET*Fronts!$I$5),0)))</f>
        <v>23</v>
      </c>
      <c r="K9" s="34" t="n">
        <f aca="false">IF(J9=0,0,ROUNDUP(J9*7/WD,0))</f>
        <v>27</v>
      </c>
      <c r="L9" s="15" t="s">
        <v>3004</v>
      </c>
      <c r="M9" s="34" t="n">
        <f aca="false">ROUNDUP(K8*LADDER,0)</f>
        <v>14</v>
      </c>
      <c r="N9" s="34" t="n">
        <f aca="false">IF(K9=0,0,FFLAG)</f>
        <v>2</v>
      </c>
      <c r="O9" s="15"/>
      <c r="P9" s="16" t="n">
        <f aca="false">MAX(P8+M9)</f>
        <v>46373</v>
      </c>
      <c r="Q9" s="16" t="n">
        <f aca="false">MAX(P9+K9,Q8+N9)</f>
        <v>46406</v>
      </c>
      <c r="R9" s="16" t="n">
        <f aca="false">IF(K9&gt;0,Q9,0)</f>
        <v>46406</v>
      </c>
      <c r="S9" s="12"/>
    </row>
    <row r="10" customFormat="false" ht="15" hidden="false" customHeight="false" outlineLevel="0" collapsed="false">
      <c r="A10" s="15" t="s">
        <v>3013</v>
      </c>
      <c r="B10" s="15" t="s">
        <v>2997</v>
      </c>
      <c r="C10" s="15" t="s">
        <v>385</v>
      </c>
      <c r="D10" s="15" t="s">
        <v>441</v>
      </c>
      <c r="E10" s="15" t="s">
        <v>447</v>
      </c>
      <c r="F10" s="15" t="s">
        <v>3014</v>
      </c>
      <c r="G10" s="15" t="s">
        <v>3015</v>
      </c>
      <c r="H10" s="33" t="n">
        <f aca="false">Packages!$O$6</f>
        <v>276.060569871476</v>
      </c>
      <c r="I10" s="15" t="s">
        <v>118</v>
      </c>
      <c r="J10" s="34" t="n">
        <f aca="false">IF(Packages!$AG$6=0,0,ROUNDUP(Packages!$O$6/R_DW,0)+DW_DRAW)</f>
        <v>14</v>
      </c>
      <c r="K10" s="34" t="n">
        <f aca="false">IF(J10=0,0,ROUNDUP(J10*7/WD,0))</f>
        <v>17</v>
      </c>
      <c r="L10" s="15" t="s">
        <v>3009</v>
      </c>
      <c r="M10" s="34" t="n">
        <f aca="false">ROUNDUP(K9*LADDER,0)</f>
        <v>9</v>
      </c>
      <c r="N10" s="34" t="n">
        <f aca="false">IF(K10=0,0,FFLAG)</f>
        <v>2</v>
      </c>
      <c r="O10" s="15"/>
      <c r="P10" s="16" t="n">
        <f aca="false">MAX(P9+M10)</f>
        <v>46382</v>
      </c>
      <c r="Q10" s="16" t="n">
        <f aca="false">MAX(P10+K10,Q9+N10)</f>
        <v>46408</v>
      </c>
      <c r="R10" s="12"/>
      <c r="S10" s="12"/>
    </row>
    <row r="11" customFormat="false" ht="15" hidden="false" customHeight="false" outlineLevel="0" collapsed="false">
      <c r="A11" s="15" t="s">
        <v>3016</v>
      </c>
      <c r="B11" s="15" t="s">
        <v>2997</v>
      </c>
      <c r="C11" s="15" t="s">
        <v>385</v>
      </c>
      <c r="D11" s="15" t="s">
        <v>441</v>
      </c>
      <c r="E11" s="15" t="s">
        <v>447</v>
      </c>
      <c r="F11" s="15" t="s">
        <v>3017</v>
      </c>
      <c r="G11" s="15" t="s">
        <v>3018</v>
      </c>
      <c r="H11" s="33" t="n">
        <f aca="false">Packages!$X$6+Packages!$Y$6</f>
        <v>7037.0478448479</v>
      </c>
      <c r="I11" s="15" t="s">
        <v>3019</v>
      </c>
      <c r="J11" s="34" t="n">
        <f aca="false">MAX(1,ROUNDUP((Packages!$X$6/R_EXS+Packages!$Y$6/R_EXO)/Fronts!$J$5,0))</f>
        <v>29</v>
      </c>
      <c r="K11" s="34" t="n">
        <f aca="false">IF(J11=0,0,ROUNDUP(J11*7/WD,0))</f>
        <v>34</v>
      </c>
      <c r="L11" s="15" t="s">
        <v>3013</v>
      </c>
      <c r="M11" s="34" t="n">
        <f aca="false">IF(K10=0,0,ROUNDUP((K10-ROUNDUP(DW_DRAW*7/WD,0))*LADDER,0)+ROUNDUP(DW_DRAW*7/WD,0))</f>
        <v>12</v>
      </c>
      <c r="N11" s="34" t="n">
        <f aca="false">IF(K11=0,0,FFLAG)</f>
        <v>2</v>
      </c>
      <c r="O11" s="15" t="s">
        <v>3020</v>
      </c>
      <c r="P11" s="16" t="n">
        <f aca="false">MAX(P10+M11,D_XING)</f>
        <v>46394</v>
      </c>
      <c r="Q11" s="16" t="n">
        <f aca="false">MAX(P11+K11,Q10+N11)</f>
        <v>46428</v>
      </c>
      <c r="R11" s="16" t="n">
        <f aca="false">IF(K11&gt;0,Q11,0)</f>
        <v>46428</v>
      </c>
      <c r="S11" s="12"/>
    </row>
    <row r="12" customFormat="false" ht="15" hidden="false" customHeight="false" outlineLevel="0" collapsed="false">
      <c r="A12" s="15" t="s">
        <v>3021</v>
      </c>
      <c r="B12" s="15" t="s">
        <v>2997</v>
      </c>
      <c r="C12" s="15" t="s">
        <v>385</v>
      </c>
      <c r="D12" s="15" t="s">
        <v>441</v>
      </c>
      <c r="E12" s="15" t="s">
        <v>447</v>
      </c>
      <c r="F12" s="15" t="s">
        <v>3022</v>
      </c>
      <c r="G12" s="15" t="s">
        <v>3023</v>
      </c>
      <c r="H12" s="33" t="n">
        <f aca="false">Packages!$O$6</f>
        <v>276.060569871476</v>
      </c>
      <c r="I12" s="15" t="s">
        <v>118</v>
      </c>
      <c r="J12" s="34" t="n">
        <f aca="false">MAX(1,ROUNDUP(Packages!$O$6/(R_SLAB*Fronts!$K$5),0))+SLAB_CURE</f>
        <v>27</v>
      </c>
      <c r="K12" s="34" t="n">
        <f aca="false">IF(J12=0,0,ROUNDUP(J12*7/WD,0))</f>
        <v>32</v>
      </c>
      <c r="L12" s="15" t="s">
        <v>3016</v>
      </c>
      <c r="M12" s="34" t="n">
        <f aca="false">ROUNDUP(K11*LADDER,0)</f>
        <v>11</v>
      </c>
      <c r="N12" s="34" t="n">
        <f aca="false">IF(K12=0,0,FFLAG)</f>
        <v>2</v>
      </c>
      <c r="O12" s="15"/>
      <c r="P12" s="16" t="n">
        <f aca="false">MAX(P11+M12)</f>
        <v>46405</v>
      </c>
      <c r="Q12" s="16" t="n">
        <f aca="false">MAX(P12+K12,Q11+N12)</f>
        <v>46437</v>
      </c>
      <c r="R12" s="16" t="n">
        <f aca="false">IF(K12&gt;0,Q12,0)</f>
        <v>46437</v>
      </c>
      <c r="S12" s="12"/>
    </row>
    <row r="13" customFormat="false" ht="15" hidden="false" customHeight="false" outlineLevel="0" collapsed="false">
      <c r="A13" s="15" t="s">
        <v>3024</v>
      </c>
      <c r="B13" s="15" t="s">
        <v>2997</v>
      </c>
      <c r="C13" s="15" t="s">
        <v>385</v>
      </c>
      <c r="D13" s="15" t="s">
        <v>441</v>
      </c>
      <c r="E13" s="15" t="s">
        <v>447</v>
      </c>
      <c r="F13" s="15" t="s">
        <v>3025</v>
      </c>
      <c r="G13" s="15" t="s">
        <v>3026</v>
      </c>
      <c r="H13" s="33" t="n">
        <f aca="false">Packages!$O$6</f>
        <v>276.060569871476</v>
      </c>
      <c r="I13" s="15" t="s">
        <v>118</v>
      </c>
      <c r="J13" s="34" t="n">
        <f aca="false">MAX(1,ROUNDUP(Packages!$O$6/(IF(Packages!$N$6&gt;=PIPE_T1,R_PIPE_L,IF(Packages!$N$6&gt;=PIPE_T2,R_PIPE_M,R_PIPE_S))*Fronts!$L$5)+Packages!$M$6*FIT_D+IF(Packages!$G$6&lt;&gt;"Run",TIE_D,0),0))</f>
        <v>21</v>
      </c>
      <c r="K13" s="34" t="n">
        <f aca="false">IF(J13=0,0,ROUNDUP(J13*7/WD,0))</f>
        <v>25</v>
      </c>
      <c r="L13" s="15" t="s">
        <v>3021</v>
      </c>
      <c r="M13" s="34" t="n">
        <f aca="false">ROUNDUP(K12*LADDER,0)</f>
        <v>10</v>
      </c>
      <c r="N13" s="34" t="n">
        <f aca="false">IF(K13=0,0,FFLAG)</f>
        <v>2</v>
      </c>
      <c r="O13" s="15"/>
      <c r="P13" s="16" t="n">
        <f aca="false">MAX(P12+M13)</f>
        <v>46415</v>
      </c>
      <c r="Q13" s="16" t="n">
        <f aca="false">MAX(P13+K13,Q12+N13)</f>
        <v>46440</v>
      </c>
      <c r="R13" s="16" t="n">
        <f aca="false">IF(K13&gt;0,Q13,0)</f>
        <v>46440</v>
      </c>
      <c r="S13" s="12"/>
    </row>
    <row r="14" customFormat="false" ht="15" hidden="false" customHeight="false" outlineLevel="0" collapsed="false">
      <c r="A14" s="15" t="s">
        <v>3027</v>
      </c>
      <c r="B14" s="15" t="s">
        <v>2997</v>
      </c>
      <c r="C14" s="15" t="s">
        <v>385</v>
      </c>
      <c r="D14" s="15" t="s">
        <v>441</v>
      </c>
      <c r="E14" s="15" t="s">
        <v>447</v>
      </c>
      <c r="F14" s="15" t="s">
        <v>3028</v>
      </c>
      <c r="G14" s="15" t="s">
        <v>3029</v>
      </c>
      <c r="H14" s="33" t="n">
        <f aca="false">Packages!$O$6</f>
        <v>276.060569871476</v>
      </c>
      <c r="I14" s="15" t="s">
        <v>118</v>
      </c>
      <c r="J14" s="34" t="n">
        <f aca="false">TEST_D+ROUNDUP(Packages!$O$6/R_TEST,0)</f>
        <v>4</v>
      </c>
      <c r="K14" s="34" t="n">
        <f aca="false">IF(J14=0,0,ROUNDUP(J14*7/WD,0))</f>
        <v>5</v>
      </c>
      <c r="L14" s="15" t="s">
        <v>3024</v>
      </c>
      <c r="M14" s="34" t="n">
        <f aca="false">ROUNDUP(K13*LADDER,0)</f>
        <v>8</v>
      </c>
      <c r="N14" s="34" t="n">
        <f aca="false">IF(K14=0,0,FFLAG)</f>
        <v>2</v>
      </c>
      <c r="O14" s="15"/>
      <c r="P14" s="16" t="n">
        <f aca="false">MAX(P13+M14)</f>
        <v>46423</v>
      </c>
      <c r="Q14" s="16" t="n">
        <f aca="false">MAX(P14+K14,Q13+N14)</f>
        <v>46442</v>
      </c>
      <c r="R14" s="12"/>
      <c r="S14" s="12"/>
    </row>
    <row r="15" customFormat="false" ht="15" hidden="false" customHeight="false" outlineLevel="0" collapsed="false">
      <c r="A15" s="15" t="s">
        <v>3030</v>
      </c>
      <c r="B15" s="15" t="s">
        <v>2997</v>
      </c>
      <c r="C15" s="15" t="s">
        <v>385</v>
      </c>
      <c r="D15" s="15" t="s">
        <v>441</v>
      </c>
      <c r="E15" s="15" t="s">
        <v>447</v>
      </c>
      <c r="F15" s="15" t="s">
        <v>3031</v>
      </c>
      <c r="G15" s="15" t="s">
        <v>3032</v>
      </c>
      <c r="H15" s="33" t="n">
        <f aca="false">Packages!$AB$6</f>
        <v>5134.76736859396</v>
      </c>
      <c r="I15" s="15" t="s">
        <v>3019</v>
      </c>
      <c r="J15" s="34" t="n">
        <f aca="false">MAX(1,ROUNDUP(Packages!$AB$6/(R_BF*Fronts!$M$5),0))</f>
        <v>15</v>
      </c>
      <c r="K15" s="34" t="n">
        <f aca="false">IF(J15=0,0,ROUNDUP(J15*7/WD,0))</f>
        <v>18</v>
      </c>
      <c r="L15" s="15" t="s">
        <v>3027</v>
      </c>
      <c r="M15" s="34" t="n">
        <f aca="false">ROUNDUP(K14*LADDER,0)</f>
        <v>2</v>
      </c>
      <c r="N15" s="34" t="n">
        <f aca="false">IF(K15=0,0,FFLAG)</f>
        <v>2</v>
      </c>
      <c r="O15" s="15"/>
      <c r="P15" s="16" t="n">
        <f aca="false">MAX(P14+M15)</f>
        <v>46425</v>
      </c>
      <c r="Q15" s="16" t="n">
        <f aca="false">MAX(P15+K15,Q14+N15)</f>
        <v>46444</v>
      </c>
      <c r="R15" s="16" t="n">
        <f aca="false">IF(K15&gt;0,Q15,0)</f>
        <v>46444</v>
      </c>
      <c r="S15" s="12"/>
    </row>
    <row r="16" customFormat="false" ht="15" hidden="false" customHeight="false" outlineLevel="0" collapsed="false">
      <c r="A16" s="15" t="s">
        <v>3033</v>
      </c>
      <c r="B16" s="15" t="s">
        <v>2997</v>
      </c>
      <c r="C16" s="15" t="s">
        <v>385</v>
      </c>
      <c r="D16" s="15" t="s">
        <v>441</v>
      </c>
      <c r="E16" s="15" t="s">
        <v>447</v>
      </c>
      <c r="F16" s="15" t="s">
        <v>3034</v>
      </c>
      <c r="G16" s="15" t="s">
        <v>3035</v>
      </c>
      <c r="H16" s="33" t="n">
        <f aca="false">Packages!$AD$6</f>
        <v>552.121139742952</v>
      </c>
      <c r="I16" s="15" t="s">
        <v>3012</v>
      </c>
      <c r="J16" s="34" t="n">
        <f aca="false">IF(Packages!$AD$6&gt;0,ROUNDUP(Packages!$AD$6/R_EXT,0),0)+IF(Packages!$AG$6&gt;0,1,0)</f>
        <v>13</v>
      </c>
      <c r="K16" s="34" t="n">
        <f aca="false">IF(J16=0,0,ROUNDUP(J16*7/WD,0))</f>
        <v>16</v>
      </c>
      <c r="L16" s="15" t="s">
        <v>3030</v>
      </c>
      <c r="M16" s="34" t="n">
        <f aca="false">ROUNDUP(K15*LADDER,0)</f>
        <v>6</v>
      </c>
      <c r="N16" s="34" t="n">
        <f aca="false">IF(K16=0,0,FFLAG)</f>
        <v>2</v>
      </c>
      <c r="O16" s="15"/>
      <c r="P16" s="16" t="n">
        <f aca="false">MAX(P15+M16)</f>
        <v>46431</v>
      </c>
      <c r="Q16" s="16" t="n">
        <f aca="false">MAX(P16+K16,Q15+N16)</f>
        <v>46447</v>
      </c>
      <c r="R16" s="12"/>
      <c r="S16" s="12"/>
    </row>
    <row r="17" customFormat="false" ht="15" hidden="false" customHeight="false" outlineLevel="0" collapsed="false">
      <c r="A17" s="15" t="s">
        <v>3036</v>
      </c>
      <c r="B17" s="15" t="s">
        <v>3037</v>
      </c>
      <c r="C17" s="15" t="s">
        <v>385</v>
      </c>
      <c r="D17" s="15" t="s">
        <v>441</v>
      </c>
      <c r="E17" s="15" t="s">
        <v>495</v>
      </c>
      <c r="F17" s="15" t="s">
        <v>2998</v>
      </c>
      <c r="G17" s="15" t="s">
        <v>2999</v>
      </c>
      <c r="H17" s="12"/>
      <c r="I17" s="12"/>
      <c r="J17" s="34" t="n">
        <f aca="false">0</f>
        <v>0</v>
      </c>
      <c r="K17" s="34" t="n">
        <f aca="false">IF(J17=0,0,ROUNDUP(J17*7/WD,0))</f>
        <v>0</v>
      </c>
      <c r="L17" s="12"/>
      <c r="M17" s="12"/>
      <c r="N17" s="12"/>
      <c r="O17" s="15" t="s">
        <v>3038</v>
      </c>
      <c r="P17" s="16" t="n">
        <f aca="false">MAX(START,D_DLU,Packages!$I$7,Packages!$K$7)</f>
        <v>46357</v>
      </c>
      <c r="Q17" s="16" t="n">
        <f aca="false">P17+K17</f>
        <v>46357</v>
      </c>
      <c r="R17" s="12"/>
      <c r="S17" s="12"/>
    </row>
    <row r="18" customFormat="false" ht="15" hidden="false" customHeight="false" outlineLevel="0" collapsed="false">
      <c r="A18" s="15" t="s">
        <v>3039</v>
      </c>
      <c r="B18" s="15" t="s">
        <v>3037</v>
      </c>
      <c r="C18" s="15" t="s">
        <v>385</v>
      </c>
      <c r="D18" s="15" t="s">
        <v>441</v>
      </c>
      <c r="E18" s="15" t="s">
        <v>495</v>
      </c>
      <c r="F18" s="15" t="s">
        <v>3002</v>
      </c>
      <c r="G18" s="15" t="s">
        <v>205</v>
      </c>
      <c r="H18" s="33" t="n">
        <f aca="false">Packages!$O$7</f>
        <v>29.4101699998186</v>
      </c>
      <c r="I18" s="15" t="s">
        <v>118</v>
      </c>
      <c r="J18" s="34" t="n">
        <f aca="false">MAX(1,ROUNDUP(Packages!$O$7/R_PLAT,0))</f>
        <v>1</v>
      </c>
      <c r="K18" s="34" t="n">
        <f aca="false">IF(J18=0,0,ROUNDUP(J18*7/WD,0))</f>
        <v>2</v>
      </c>
      <c r="L18" s="15" t="s">
        <v>3036</v>
      </c>
      <c r="M18" s="12"/>
      <c r="N18" s="12"/>
      <c r="O18" s="15" t="s">
        <v>3040</v>
      </c>
      <c r="P18" s="16" t="n">
        <f aca="false">MAX(Q17,P8)</f>
        <v>46359</v>
      </c>
      <c r="Q18" s="16" t="n">
        <f aca="false">P18+K18</f>
        <v>46361</v>
      </c>
      <c r="R18" s="12"/>
      <c r="S18" s="12"/>
    </row>
    <row r="19" customFormat="false" ht="15" hidden="false" customHeight="false" outlineLevel="0" collapsed="false">
      <c r="A19" s="15" t="s">
        <v>3041</v>
      </c>
      <c r="B19" s="15" t="s">
        <v>3037</v>
      </c>
      <c r="C19" s="15" t="s">
        <v>385</v>
      </c>
      <c r="D19" s="15" t="s">
        <v>441</v>
      </c>
      <c r="E19" s="15" t="s">
        <v>495</v>
      </c>
      <c r="F19" s="15" t="s">
        <v>3005</v>
      </c>
      <c r="G19" s="15" t="s">
        <v>3006</v>
      </c>
      <c r="H19" s="33" t="n">
        <f aca="false">Packages!$AC$7</f>
        <v>11</v>
      </c>
      <c r="I19" s="15" t="s">
        <v>3007</v>
      </c>
      <c r="J19" s="34" t="n">
        <f aca="false">IF(Packages!$AC$7=0,0,MAX(1,ROUNDUP(Packages!$AC$7/(R_PILE*Fronts!$H$5),0)))</f>
        <v>3</v>
      </c>
      <c r="K19" s="34" t="n">
        <f aca="false">IF(J19=0,0,ROUNDUP(J19*7/WD,0))</f>
        <v>4</v>
      </c>
      <c r="L19" s="15" t="s">
        <v>3039</v>
      </c>
      <c r="M19" s="34" t="n">
        <f aca="false">ROUNDUP(K18*LADDER,0)</f>
        <v>1</v>
      </c>
      <c r="N19" s="34" t="n">
        <f aca="false">IF(K19=0,0,FFLAG)</f>
        <v>2</v>
      </c>
      <c r="O19" s="15" t="s">
        <v>3008</v>
      </c>
      <c r="P19" s="16" t="n">
        <f aca="false">MAX(P18+M19,D_PILEDES)</f>
        <v>46360</v>
      </c>
      <c r="Q19" s="16" t="n">
        <f aca="false">MAX(P19+K19,Q18+N19)</f>
        <v>46364</v>
      </c>
      <c r="R19" s="16" t="n">
        <f aca="false">IF(K19&gt;0,Q19,0)</f>
        <v>46364</v>
      </c>
      <c r="S19" s="12"/>
    </row>
    <row r="20" customFormat="false" ht="15" hidden="false" customHeight="false" outlineLevel="0" collapsed="false">
      <c r="A20" s="15" t="s">
        <v>3042</v>
      </c>
      <c r="B20" s="15" t="s">
        <v>3037</v>
      </c>
      <c r="C20" s="15" t="s">
        <v>385</v>
      </c>
      <c r="D20" s="15" t="s">
        <v>441</v>
      </c>
      <c r="E20" s="15" t="s">
        <v>495</v>
      </c>
      <c r="F20" s="15" t="s">
        <v>3010</v>
      </c>
      <c r="G20" s="15" t="s">
        <v>3011</v>
      </c>
      <c r="H20" s="33" t="n">
        <f aca="false">Packages!$AD$7</f>
        <v>58.8203399996373</v>
      </c>
      <c r="I20" s="15" t="s">
        <v>3012</v>
      </c>
      <c r="J20" s="34" t="n">
        <f aca="false">IF(Packages!$AD$7=0,0,MAX(1,ROUNDUP(Packages!$AD$7/(R_SHEET*Fronts!$I$5),0)))</f>
        <v>3</v>
      </c>
      <c r="K20" s="34" t="n">
        <f aca="false">IF(J20=0,0,ROUNDUP(J20*7/WD,0))</f>
        <v>4</v>
      </c>
      <c r="L20" s="15" t="s">
        <v>3041</v>
      </c>
      <c r="M20" s="34" t="n">
        <f aca="false">ROUNDUP(K19*LADDER,0)</f>
        <v>2</v>
      </c>
      <c r="N20" s="34" t="n">
        <f aca="false">IF(K20=0,0,FFLAG)</f>
        <v>2</v>
      </c>
      <c r="O20" s="15"/>
      <c r="P20" s="16" t="n">
        <f aca="false">MAX(P19+M20)</f>
        <v>46362</v>
      </c>
      <c r="Q20" s="16" t="n">
        <f aca="false">MAX(P20+K20,Q19+N20)</f>
        <v>46366</v>
      </c>
      <c r="R20" s="16" t="n">
        <f aca="false">IF(K20&gt;0,Q20,0)</f>
        <v>46366</v>
      </c>
      <c r="S20" s="12"/>
    </row>
    <row r="21" customFormat="false" ht="15" hidden="false" customHeight="false" outlineLevel="0" collapsed="false">
      <c r="A21" s="15" t="s">
        <v>3043</v>
      </c>
      <c r="B21" s="15" t="s">
        <v>3037</v>
      </c>
      <c r="C21" s="15" t="s">
        <v>385</v>
      </c>
      <c r="D21" s="15" t="s">
        <v>441</v>
      </c>
      <c r="E21" s="15" t="s">
        <v>495</v>
      </c>
      <c r="F21" s="15" t="s">
        <v>3014</v>
      </c>
      <c r="G21" s="15" t="s">
        <v>3015</v>
      </c>
      <c r="H21" s="33" t="n">
        <f aca="false">Packages!$O$7</f>
        <v>29.4101699998186</v>
      </c>
      <c r="I21" s="15" t="s">
        <v>118</v>
      </c>
      <c r="J21" s="34" t="n">
        <f aca="false">IF(Packages!$AG$7=0,0,ROUNDUP(Packages!$O$7/R_DW,0)+DW_DRAW)</f>
        <v>8</v>
      </c>
      <c r="K21" s="34" t="n">
        <f aca="false">IF(J21=0,0,ROUNDUP(J21*7/WD,0))</f>
        <v>10</v>
      </c>
      <c r="L21" s="15" t="s">
        <v>3042</v>
      </c>
      <c r="M21" s="34" t="n">
        <f aca="false">ROUNDUP(K20*LADDER,0)</f>
        <v>2</v>
      </c>
      <c r="N21" s="34" t="n">
        <f aca="false">IF(K21=0,0,FFLAG)</f>
        <v>2</v>
      </c>
      <c r="O21" s="15"/>
      <c r="P21" s="16" t="n">
        <f aca="false">MAX(P20+M21)</f>
        <v>46364</v>
      </c>
      <c r="Q21" s="16" t="n">
        <f aca="false">MAX(P21+K21,Q20+N21)</f>
        <v>46374</v>
      </c>
      <c r="R21" s="12"/>
      <c r="S21" s="12"/>
    </row>
    <row r="22" customFormat="false" ht="15" hidden="false" customHeight="false" outlineLevel="0" collapsed="false">
      <c r="A22" s="15" t="s">
        <v>3044</v>
      </c>
      <c r="B22" s="15" t="s">
        <v>3037</v>
      </c>
      <c r="C22" s="15" t="s">
        <v>385</v>
      </c>
      <c r="D22" s="15" t="s">
        <v>441</v>
      </c>
      <c r="E22" s="15" t="s">
        <v>495</v>
      </c>
      <c r="F22" s="15" t="s">
        <v>3017</v>
      </c>
      <c r="G22" s="15" t="s">
        <v>3018</v>
      </c>
      <c r="H22" s="33" t="n">
        <f aca="false">Packages!$X$7+Packages!$Y$7</f>
        <v>447.004437819093</v>
      </c>
      <c r="I22" s="15" t="s">
        <v>3019</v>
      </c>
      <c r="J22" s="34" t="n">
        <f aca="false">MAX(1,ROUNDUP((Packages!$X$7/R_EXS+Packages!$Y$7/R_EXO)/Fronts!$J$5,0))</f>
        <v>2</v>
      </c>
      <c r="K22" s="34" t="n">
        <f aca="false">IF(J22=0,0,ROUNDUP(J22*7/WD,0))</f>
        <v>3</v>
      </c>
      <c r="L22" s="15" t="s">
        <v>3043</v>
      </c>
      <c r="M22" s="34" t="n">
        <f aca="false">IF(K21=0,0,ROUNDUP((K21-ROUNDUP(DW_DRAW*7/WD,0))*LADDER,0)+ROUNDUP(DW_DRAW*7/WD,0))</f>
        <v>10</v>
      </c>
      <c r="N22" s="34" t="n">
        <f aca="false">IF(K22=0,0,FFLAG)</f>
        <v>2</v>
      </c>
      <c r="O22" s="15"/>
      <c r="P22" s="16" t="n">
        <f aca="false">MAX(P21+M22)</f>
        <v>46374</v>
      </c>
      <c r="Q22" s="16" t="n">
        <f aca="false">MAX(P22+K22,Q21+N22)</f>
        <v>46377</v>
      </c>
      <c r="R22" s="16" t="n">
        <f aca="false">IF(K22&gt;0,Q22,0)</f>
        <v>46377</v>
      </c>
      <c r="S22" s="12"/>
    </row>
    <row r="23" customFormat="false" ht="15" hidden="false" customHeight="false" outlineLevel="0" collapsed="false">
      <c r="A23" s="15" t="s">
        <v>3045</v>
      </c>
      <c r="B23" s="15" t="s">
        <v>3037</v>
      </c>
      <c r="C23" s="15" t="s">
        <v>385</v>
      </c>
      <c r="D23" s="15" t="s">
        <v>441</v>
      </c>
      <c r="E23" s="15" t="s">
        <v>495</v>
      </c>
      <c r="F23" s="15" t="s">
        <v>3022</v>
      </c>
      <c r="G23" s="15" t="s">
        <v>3023</v>
      </c>
      <c r="H23" s="33" t="n">
        <f aca="false">Packages!$O$7</f>
        <v>29.4101699998186</v>
      </c>
      <c r="I23" s="15" t="s">
        <v>118</v>
      </c>
      <c r="J23" s="34" t="n">
        <f aca="false">MAX(1,ROUNDUP(Packages!$O$7/(R_SLAB*Fronts!$K$5),0))+SLAB_CURE</f>
        <v>6</v>
      </c>
      <c r="K23" s="34" t="n">
        <f aca="false">IF(J23=0,0,ROUNDUP(J23*7/WD,0))</f>
        <v>7</v>
      </c>
      <c r="L23" s="15" t="s">
        <v>3044</v>
      </c>
      <c r="M23" s="34" t="n">
        <f aca="false">ROUNDUP(K22*LADDER,0)</f>
        <v>1</v>
      </c>
      <c r="N23" s="34" t="n">
        <f aca="false">IF(K23=0,0,FFLAG)</f>
        <v>2</v>
      </c>
      <c r="O23" s="15"/>
      <c r="P23" s="16" t="n">
        <f aca="false">MAX(P22+M23)</f>
        <v>46375</v>
      </c>
      <c r="Q23" s="16" t="n">
        <f aca="false">MAX(P23+K23,Q22+N23)</f>
        <v>46382</v>
      </c>
      <c r="R23" s="16" t="n">
        <f aca="false">IF(K23&gt;0,Q23,0)</f>
        <v>46382</v>
      </c>
      <c r="S23" s="12"/>
    </row>
    <row r="24" customFormat="false" ht="15" hidden="false" customHeight="false" outlineLevel="0" collapsed="false">
      <c r="A24" s="15" t="s">
        <v>3046</v>
      </c>
      <c r="B24" s="15" t="s">
        <v>3037</v>
      </c>
      <c r="C24" s="15" t="s">
        <v>385</v>
      </c>
      <c r="D24" s="15" t="s">
        <v>441</v>
      </c>
      <c r="E24" s="15" t="s">
        <v>495</v>
      </c>
      <c r="F24" s="15" t="s">
        <v>3025</v>
      </c>
      <c r="G24" s="15" t="s">
        <v>3026</v>
      </c>
      <c r="H24" s="33" t="n">
        <f aca="false">Packages!$O$7</f>
        <v>29.4101699998186</v>
      </c>
      <c r="I24" s="15" t="s">
        <v>118</v>
      </c>
      <c r="J24" s="34" t="n">
        <f aca="false">MAX(1,ROUNDUP(Packages!$O$7/(IF(Packages!$N$7&gt;=PIPE_T1,R_PIPE_L,IF(Packages!$N$7&gt;=PIPE_T2,R_PIPE_M,R_PIPE_S))*Fronts!$L$5)+Packages!$M$7*FIT_D+IF(Packages!$G$7&lt;&gt;"Run",TIE_D,0),0))</f>
        <v>4</v>
      </c>
      <c r="K24" s="34" t="n">
        <f aca="false">IF(J24=0,0,ROUNDUP(J24*7/WD,0))</f>
        <v>5</v>
      </c>
      <c r="L24" s="15" t="s">
        <v>3045</v>
      </c>
      <c r="M24" s="34" t="n">
        <f aca="false">ROUNDUP(K23*LADDER,0)</f>
        <v>3</v>
      </c>
      <c r="N24" s="34" t="n">
        <f aca="false">IF(K24=0,0,FFLAG)</f>
        <v>2</v>
      </c>
      <c r="O24" s="15" t="s">
        <v>3047</v>
      </c>
      <c r="P24" s="16" t="n">
        <f aca="false">MAX(P23+M24,Q13)</f>
        <v>46440</v>
      </c>
      <c r="Q24" s="16" t="n">
        <f aca="false">MAX(P24+K24,Q23+N24)</f>
        <v>46445</v>
      </c>
      <c r="R24" s="16" t="n">
        <f aca="false">IF(K24&gt;0,Q24,0)</f>
        <v>46445</v>
      </c>
      <c r="S24" s="12"/>
    </row>
    <row r="25" customFormat="false" ht="15" hidden="false" customHeight="false" outlineLevel="0" collapsed="false">
      <c r="A25" s="15" t="s">
        <v>3048</v>
      </c>
      <c r="B25" s="15" t="s">
        <v>3037</v>
      </c>
      <c r="C25" s="15" t="s">
        <v>385</v>
      </c>
      <c r="D25" s="15" t="s">
        <v>441</v>
      </c>
      <c r="E25" s="15" t="s">
        <v>495</v>
      </c>
      <c r="F25" s="15" t="s">
        <v>3028</v>
      </c>
      <c r="G25" s="15" t="s">
        <v>3029</v>
      </c>
      <c r="H25" s="33" t="n">
        <f aca="false">Packages!$O$7</f>
        <v>29.4101699998186</v>
      </c>
      <c r="I25" s="15" t="s">
        <v>118</v>
      </c>
      <c r="J25" s="34" t="n">
        <f aca="false">TEST_D+ROUNDUP(Packages!$O$7/R_TEST,0)</f>
        <v>3</v>
      </c>
      <c r="K25" s="34" t="n">
        <f aca="false">IF(J25=0,0,ROUNDUP(J25*7/WD,0))</f>
        <v>4</v>
      </c>
      <c r="L25" s="15" t="s">
        <v>3046</v>
      </c>
      <c r="M25" s="34" t="n">
        <f aca="false">ROUNDUP(K24*LADDER,0)</f>
        <v>2</v>
      </c>
      <c r="N25" s="34" t="n">
        <f aca="false">IF(K25=0,0,FFLAG)</f>
        <v>2</v>
      </c>
      <c r="O25" s="15"/>
      <c r="P25" s="16" t="n">
        <f aca="false">MAX(P24+M25)</f>
        <v>46442</v>
      </c>
      <c r="Q25" s="16" t="n">
        <f aca="false">MAX(P25+K25,Q24+N25)</f>
        <v>46447</v>
      </c>
      <c r="R25" s="12"/>
      <c r="S25" s="12"/>
    </row>
    <row r="26" customFormat="false" ht="15" hidden="false" customHeight="false" outlineLevel="0" collapsed="false">
      <c r="A26" s="15" t="s">
        <v>3049</v>
      </c>
      <c r="B26" s="15" t="s">
        <v>3037</v>
      </c>
      <c r="C26" s="15" t="s">
        <v>385</v>
      </c>
      <c r="D26" s="15" t="s">
        <v>441</v>
      </c>
      <c r="E26" s="15" t="s">
        <v>495</v>
      </c>
      <c r="F26" s="15" t="s">
        <v>3031</v>
      </c>
      <c r="G26" s="15" t="s">
        <v>3032</v>
      </c>
      <c r="H26" s="33" t="n">
        <f aca="false">Packages!$AB$7</f>
        <v>414.602581331007</v>
      </c>
      <c r="I26" s="15" t="s">
        <v>3019</v>
      </c>
      <c r="J26" s="34" t="n">
        <f aca="false">MAX(1,ROUNDUP(Packages!$AB$7/(R_BF*Fronts!$M$5),0))</f>
        <v>2</v>
      </c>
      <c r="K26" s="34" t="n">
        <f aca="false">IF(J26=0,0,ROUNDUP(J26*7/WD,0))</f>
        <v>3</v>
      </c>
      <c r="L26" s="15" t="s">
        <v>3048</v>
      </c>
      <c r="M26" s="34" t="n">
        <f aca="false">ROUNDUP(K25*LADDER,0)</f>
        <v>2</v>
      </c>
      <c r="N26" s="34" t="n">
        <f aca="false">IF(K26=0,0,FFLAG)</f>
        <v>2</v>
      </c>
      <c r="O26" s="15"/>
      <c r="P26" s="16" t="n">
        <f aca="false">MAX(P25+M26)</f>
        <v>46444</v>
      </c>
      <c r="Q26" s="16" t="n">
        <f aca="false">MAX(P26+K26,Q25+N26)</f>
        <v>46449</v>
      </c>
      <c r="R26" s="16" t="n">
        <f aca="false">IF(K26&gt;0,Q26,0)</f>
        <v>46449</v>
      </c>
      <c r="S26" s="12"/>
    </row>
    <row r="27" customFormat="false" ht="15" hidden="false" customHeight="false" outlineLevel="0" collapsed="false">
      <c r="A27" s="15" t="s">
        <v>3050</v>
      </c>
      <c r="B27" s="15" t="s">
        <v>3037</v>
      </c>
      <c r="C27" s="15" t="s">
        <v>385</v>
      </c>
      <c r="D27" s="15" t="s">
        <v>441</v>
      </c>
      <c r="E27" s="15" t="s">
        <v>495</v>
      </c>
      <c r="F27" s="15" t="s">
        <v>3034</v>
      </c>
      <c r="G27" s="15" t="s">
        <v>3035</v>
      </c>
      <c r="H27" s="33" t="n">
        <f aca="false">Packages!$AD$7</f>
        <v>58.8203399996373</v>
      </c>
      <c r="I27" s="15" t="s">
        <v>3012</v>
      </c>
      <c r="J27" s="34" t="n">
        <f aca="false">IF(Packages!$AD$7&gt;0,ROUNDUP(Packages!$AD$7/R_EXT,0),0)+IF(Packages!$AG$7&gt;0,1,0)</f>
        <v>3</v>
      </c>
      <c r="K27" s="34" t="n">
        <f aca="false">IF(J27=0,0,ROUNDUP(J27*7/WD,0))</f>
        <v>4</v>
      </c>
      <c r="L27" s="15" t="s">
        <v>3049</v>
      </c>
      <c r="M27" s="34" t="n">
        <f aca="false">ROUNDUP(K26*LADDER,0)</f>
        <v>1</v>
      </c>
      <c r="N27" s="34" t="n">
        <f aca="false">IF(K27=0,0,FFLAG)</f>
        <v>2</v>
      </c>
      <c r="O27" s="15"/>
      <c r="P27" s="16" t="n">
        <f aca="false">MAX(P26+M27)</f>
        <v>46445</v>
      </c>
      <c r="Q27" s="16" t="n">
        <f aca="false">MAX(P27+K27,Q26+N27)</f>
        <v>46451</v>
      </c>
      <c r="R27" s="12"/>
      <c r="S27" s="12"/>
    </row>
    <row r="28" customFormat="false" ht="15" hidden="false" customHeight="false" outlineLevel="0" collapsed="false">
      <c r="A28" s="15" t="s">
        <v>3051</v>
      </c>
      <c r="B28" s="15" t="s">
        <v>3052</v>
      </c>
      <c r="C28" s="15" t="s">
        <v>385</v>
      </c>
      <c r="D28" s="15" t="s">
        <v>441</v>
      </c>
      <c r="E28" s="15" t="s">
        <v>442</v>
      </c>
      <c r="F28" s="15" t="s">
        <v>2998</v>
      </c>
      <c r="G28" s="15" t="s">
        <v>2999</v>
      </c>
      <c r="H28" s="12"/>
      <c r="I28" s="12"/>
      <c r="J28" s="34" t="n">
        <f aca="false">0</f>
        <v>0</v>
      </c>
      <c r="K28" s="34" t="n">
        <f aca="false">IF(J28=0,0,ROUNDUP(J28*7/WD,0))</f>
        <v>0</v>
      </c>
      <c r="L28" s="12"/>
      <c r="M28" s="12"/>
      <c r="N28" s="12"/>
      <c r="O28" s="15" t="s">
        <v>3038</v>
      </c>
      <c r="P28" s="16" t="n">
        <f aca="false">MAX(START,D_DLU,Packages!$I$8,Packages!$K$8)</f>
        <v>46357</v>
      </c>
      <c r="Q28" s="16" t="n">
        <f aca="false">P28+K28</f>
        <v>46357</v>
      </c>
      <c r="R28" s="12"/>
      <c r="S28" s="12"/>
    </row>
    <row r="29" customFormat="false" ht="15" hidden="false" customHeight="false" outlineLevel="0" collapsed="false">
      <c r="A29" s="15" t="s">
        <v>3053</v>
      </c>
      <c r="B29" s="15" t="s">
        <v>3052</v>
      </c>
      <c r="C29" s="15" t="s">
        <v>385</v>
      </c>
      <c r="D29" s="15" t="s">
        <v>441</v>
      </c>
      <c r="E29" s="15" t="s">
        <v>442</v>
      </c>
      <c r="F29" s="15" t="s">
        <v>3002</v>
      </c>
      <c r="G29" s="15" t="s">
        <v>205</v>
      </c>
      <c r="H29" s="33" t="n">
        <f aca="false">Packages!$O$8</f>
        <v>18.8051631162368</v>
      </c>
      <c r="I29" s="15" t="s">
        <v>118</v>
      </c>
      <c r="J29" s="34" t="n">
        <f aca="false">MAX(1,ROUNDUP(Packages!$O$8/R_PLAT,0))</f>
        <v>1</v>
      </c>
      <c r="K29" s="34" t="n">
        <f aca="false">IF(J29=0,0,ROUNDUP(J29*7/WD,0))</f>
        <v>2</v>
      </c>
      <c r="L29" s="15" t="s">
        <v>3051</v>
      </c>
      <c r="M29" s="12"/>
      <c r="N29" s="12"/>
      <c r="O29" s="15" t="s">
        <v>3040</v>
      </c>
      <c r="P29" s="16" t="n">
        <f aca="false">MAX(Q28,P8)</f>
        <v>46359</v>
      </c>
      <c r="Q29" s="16" t="n">
        <f aca="false">P29+K29</f>
        <v>46361</v>
      </c>
      <c r="R29" s="12"/>
      <c r="S29" s="12"/>
    </row>
    <row r="30" customFormat="false" ht="15" hidden="false" customHeight="false" outlineLevel="0" collapsed="false">
      <c r="A30" s="15" t="s">
        <v>3054</v>
      </c>
      <c r="B30" s="15" t="s">
        <v>3052</v>
      </c>
      <c r="C30" s="15" t="s">
        <v>385</v>
      </c>
      <c r="D30" s="15" t="s">
        <v>441</v>
      </c>
      <c r="E30" s="15" t="s">
        <v>442</v>
      </c>
      <c r="F30" s="15" t="s">
        <v>3005</v>
      </c>
      <c r="G30" s="15" t="s">
        <v>3006</v>
      </c>
      <c r="H30" s="33" t="n">
        <f aca="false">Packages!$AC$8</f>
        <v>16</v>
      </c>
      <c r="I30" s="15" t="s">
        <v>3007</v>
      </c>
      <c r="J30" s="34" t="n">
        <f aca="false">IF(Packages!$AC$8=0,0,MAX(1,ROUNDUP(Packages!$AC$8/(R_PILE*Fronts!$H$5),0)))</f>
        <v>4</v>
      </c>
      <c r="K30" s="34" t="n">
        <f aca="false">IF(J30=0,0,ROUNDUP(J30*7/WD,0))</f>
        <v>5</v>
      </c>
      <c r="L30" s="15" t="s">
        <v>3053</v>
      </c>
      <c r="M30" s="34" t="n">
        <f aca="false">ROUNDUP(K29*LADDER,0)</f>
        <v>1</v>
      </c>
      <c r="N30" s="34" t="n">
        <f aca="false">IF(K30=0,0,FFLAG)</f>
        <v>2</v>
      </c>
      <c r="O30" s="15" t="s">
        <v>3008</v>
      </c>
      <c r="P30" s="16" t="n">
        <f aca="false">MAX(P29+M30,D_PILEDES)</f>
        <v>46360</v>
      </c>
      <c r="Q30" s="16" t="n">
        <f aca="false">MAX(P30+K30,Q29+N30)</f>
        <v>46365</v>
      </c>
      <c r="R30" s="16" t="n">
        <f aca="false">IF(K30&gt;0,Q30,0)</f>
        <v>46365</v>
      </c>
      <c r="S30" s="12"/>
    </row>
    <row r="31" customFormat="false" ht="15" hidden="false" customHeight="false" outlineLevel="0" collapsed="false">
      <c r="A31" s="15" t="s">
        <v>3055</v>
      </c>
      <c r="B31" s="15" t="s">
        <v>3052</v>
      </c>
      <c r="C31" s="15" t="s">
        <v>385</v>
      </c>
      <c r="D31" s="15" t="s">
        <v>441</v>
      </c>
      <c r="E31" s="15" t="s">
        <v>442</v>
      </c>
      <c r="F31" s="15" t="s">
        <v>3010</v>
      </c>
      <c r="G31" s="15" t="s">
        <v>3011</v>
      </c>
      <c r="H31" s="33" t="n">
        <f aca="false">Packages!$AD$8</f>
        <v>37.6103262324735</v>
      </c>
      <c r="I31" s="15" t="s">
        <v>3012</v>
      </c>
      <c r="J31" s="34" t="n">
        <f aca="false">IF(Packages!$AD$8=0,0,MAX(1,ROUNDUP(Packages!$AD$8/(R_SHEET*Fronts!$I$5),0)))</f>
        <v>2</v>
      </c>
      <c r="K31" s="34" t="n">
        <f aca="false">IF(J31=0,0,ROUNDUP(J31*7/WD,0))</f>
        <v>3</v>
      </c>
      <c r="L31" s="15" t="s">
        <v>3054</v>
      </c>
      <c r="M31" s="34" t="n">
        <f aca="false">ROUNDUP(K30*LADDER,0)</f>
        <v>2</v>
      </c>
      <c r="N31" s="34" t="n">
        <f aca="false">IF(K31=0,0,FFLAG)</f>
        <v>2</v>
      </c>
      <c r="O31" s="15"/>
      <c r="P31" s="16" t="n">
        <f aca="false">MAX(P30+M31)</f>
        <v>46362</v>
      </c>
      <c r="Q31" s="16" t="n">
        <f aca="false">MAX(P31+K31,Q30+N31)</f>
        <v>46367</v>
      </c>
      <c r="R31" s="16" t="n">
        <f aca="false">IF(K31&gt;0,Q31,0)</f>
        <v>46367</v>
      </c>
      <c r="S31" s="12"/>
    </row>
    <row r="32" customFormat="false" ht="15" hidden="false" customHeight="false" outlineLevel="0" collapsed="false">
      <c r="A32" s="15" t="s">
        <v>3056</v>
      </c>
      <c r="B32" s="15" t="s">
        <v>3052</v>
      </c>
      <c r="C32" s="15" t="s">
        <v>385</v>
      </c>
      <c r="D32" s="15" t="s">
        <v>441</v>
      </c>
      <c r="E32" s="15" t="s">
        <v>442</v>
      </c>
      <c r="F32" s="15" t="s">
        <v>3014</v>
      </c>
      <c r="G32" s="15" t="s">
        <v>3015</v>
      </c>
      <c r="H32" s="33" t="n">
        <f aca="false">Packages!$O$8</f>
        <v>18.8051631162368</v>
      </c>
      <c r="I32" s="15" t="s">
        <v>118</v>
      </c>
      <c r="J32" s="34" t="n">
        <f aca="false">IF(Packages!$AG$8=0,0,ROUNDUP(Packages!$O$8/R_DW,0)+DW_DRAW)</f>
        <v>8</v>
      </c>
      <c r="K32" s="34" t="n">
        <f aca="false">IF(J32=0,0,ROUNDUP(J32*7/WD,0))</f>
        <v>10</v>
      </c>
      <c r="L32" s="15" t="s">
        <v>3055</v>
      </c>
      <c r="M32" s="34" t="n">
        <f aca="false">ROUNDUP(K31*LADDER,0)</f>
        <v>1</v>
      </c>
      <c r="N32" s="34" t="n">
        <f aca="false">IF(K32=0,0,FFLAG)</f>
        <v>2</v>
      </c>
      <c r="O32" s="15"/>
      <c r="P32" s="16" t="n">
        <f aca="false">MAX(P31+M32)</f>
        <v>46363</v>
      </c>
      <c r="Q32" s="16" t="n">
        <f aca="false">MAX(P32+K32,Q31+N32)</f>
        <v>46373</v>
      </c>
      <c r="R32" s="12"/>
      <c r="S32" s="12"/>
    </row>
    <row r="33" customFormat="false" ht="15" hidden="false" customHeight="false" outlineLevel="0" collapsed="false">
      <c r="A33" s="15" t="s">
        <v>3057</v>
      </c>
      <c r="B33" s="15" t="s">
        <v>3052</v>
      </c>
      <c r="C33" s="15" t="s">
        <v>385</v>
      </c>
      <c r="D33" s="15" t="s">
        <v>441</v>
      </c>
      <c r="E33" s="15" t="s">
        <v>442</v>
      </c>
      <c r="F33" s="15" t="s">
        <v>3017</v>
      </c>
      <c r="G33" s="15" t="s">
        <v>3018</v>
      </c>
      <c r="H33" s="33" t="n">
        <f aca="false">Packages!$X$8+Packages!$Y$8</f>
        <v>405.532146059919</v>
      </c>
      <c r="I33" s="15" t="s">
        <v>3019</v>
      </c>
      <c r="J33" s="34" t="n">
        <f aca="false">MAX(1,ROUNDUP((Packages!$X$8/R_EXS+Packages!$Y$8/R_EXO)/Fronts!$J$5,0))</f>
        <v>2</v>
      </c>
      <c r="K33" s="34" t="n">
        <f aca="false">IF(J33=0,0,ROUNDUP(J33*7/WD,0))</f>
        <v>3</v>
      </c>
      <c r="L33" s="15" t="s">
        <v>3056</v>
      </c>
      <c r="M33" s="34" t="n">
        <f aca="false">IF(K32=0,0,ROUNDUP((K32-ROUNDUP(DW_DRAW*7/WD,0))*LADDER,0)+ROUNDUP(DW_DRAW*7/WD,0))</f>
        <v>10</v>
      </c>
      <c r="N33" s="34" t="n">
        <f aca="false">IF(K33=0,0,FFLAG)</f>
        <v>2</v>
      </c>
      <c r="O33" s="15"/>
      <c r="P33" s="16" t="n">
        <f aca="false">MAX(P32+M33)</f>
        <v>46373</v>
      </c>
      <c r="Q33" s="16" t="n">
        <f aca="false">MAX(P33+K33,Q32+N33)</f>
        <v>46376</v>
      </c>
      <c r="R33" s="16" t="n">
        <f aca="false">IF(K33&gt;0,Q33,0)</f>
        <v>46376</v>
      </c>
      <c r="S33" s="12"/>
    </row>
    <row r="34" customFormat="false" ht="15" hidden="false" customHeight="false" outlineLevel="0" collapsed="false">
      <c r="A34" s="15" t="s">
        <v>3058</v>
      </c>
      <c r="B34" s="15" t="s">
        <v>3052</v>
      </c>
      <c r="C34" s="15" t="s">
        <v>385</v>
      </c>
      <c r="D34" s="15" t="s">
        <v>441</v>
      </c>
      <c r="E34" s="15" t="s">
        <v>442</v>
      </c>
      <c r="F34" s="15" t="s">
        <v>3022</v>
      </c>
      <c r="G34" s="15" t="s">
        <v>3023</v>
      </c>
      <c r="H34" s="33" t="n">
        <f aca="false">Packages!$O$8</f>
        <v>18.8051631162368</v>
      </c>
      <c r="I34" s="15" t="s">
        <v>118</v>
      </c>
      <c r="J34" s="34" t="n">
        <f aca="false">MAX(1,ROUNDUP(Packages!$O$8/(R_SLAB*Fronts!$K$5),0))+SLAB_CURE</f>
        <v>5</v>
      </c>
      <c r="K34" s="34" t="n">
        <f aca="false">IF(J34=0,0,ROUNDUP(J34*7/WD,0))</f>
        <v>6</v>
      </c>
      <c r="L34" s="15" t="s">
        <v>3057</v>
      </c>
      <c r="M34" s="34" t="n">
        <f aca="false">ROUNDUP(K33*LADDER,0)</f>
        <v>1</v>
      </c>
      <c r="N34" s="34" t="n">
        <f aca="false">IF(K34=0,0,FFLAG)</f>
        <v>2</v>
      </c>
      <c r="O34" s="15"/>
      <c r="P34" s="16" t="n">
        <f aca="false">MAX(P33+M34)</f>
        <v>46374</v>
      </c>
      <c r="Q34" s="16" t="n">
        <f aca="false">MAX(P34+K34,Q33+N34)</f>
        <v>46380</v>
      </c>
      <c r="R34" s="16" t="n">
        <f aca="false">IF(K34&gt;0,Q34,0)</f>
        <v>46380</v>
      </c>
      <c r="S34" s="12"/>
    </row>
    <row r="35" customFormat="false" ht="15" hidden="false" customHeight="false" outlineLevel="0" collapsed="false">
      <c r="A35" s="15" t="s">
        <v>3059</v>
      </c>
      <c r="B35" s="15" t="s">
        <v>3052</v>
      </c>
      <c r="C35" s="15" t="s">
        <v>385</v>
      </c>
      <c r="D35" s="15" t="s">
        <v>441</v>
      </c>
      <c r="E35" s="15" t="s">
        <v>442</v>
      </c>
      <c r="F35" s="15" t="s">
        <v>3025</v>
      </c>
      <c r="G35" s="15" t="s">
        <v>3026</v>
      </c>
      <c r="H35" s="33" t="n">
        <f aca="false">Packages!$O$8</f>
        <v>18.8051631162368</v>
      </c>
      <c r="I35" s="15" t="s">
        <v>118</v>
      </c>
      <c r="J35" s="34" t="n">
        <f aca="false">MAX(1,ROUNDUP(Packages!$O$8/(IF(Packages!$N$8&gt;=PIPE_T1,R_PIPE_L,IF(Packages!$N$8&gt;=PIPE_T2,R_PIPE_M,R_PIPE_S))*Fronts!$L$5)+Packages!$M$8*FIT_D+IF(Packages!$G$8&lt;&gt;"Run",TIE_D,0),0))</f>
        <v>5</v>
      </c>
      <c r="K35" s="34" t="n">
        <f aca="false">IF(J35=0,0,ROUNDUP(J35*7/WD,0))</f>
        <v>6</v>
      </c>
      <c r="L35" s="15" t="s">
        <v>3058</v>
      </c>
      <c r="M35" s="34" t="n">
        <f aca="false">ROUNDUP(K34*LADDER,0)</f>
        <v>2</v>
      </c>
      <c r="N35" s="34" t="n">
        <f aca="false">IF(K35=0,0,FFLAG)</f>
        <v>2</v>
      </c>
      <c r="O35" s="15" t="s">
        <v>3047</v>
      </c>
      <c r="P35" s="16" t="n">
        <f aca="false">MAX(P34+M35,Q13)</f>
        <v>46440</v>
      </c>
      <c r="Q35" s="16" t="n">
        <f aca="false">MAX(P35+K35,Q34+N35)</f>
        <v>46446</v>
      </c>
      <c r="R35" s="16" t="n">
        <f aca="false">IF(K35&gt;0,Q35,0)</f>
        <v>46446</v>
      </c>
      <c r="S35" s="12"/>
    </row>
    <row r="36" customFormat="false" ht="15" hidden="false" customHeight="false" outlineLevel="0" collapsed="false">
      <c r="A36" s="15" t="s">
        <v>3060</v>
      </c>
      <c r="B36" s="15" t="s">
        <v>3052</v>
      </c>
      <c r="C36" s="15" t="s">
        <v>385</v>
      </c>
      <c r="D36" s="15" t="s">
        <v>441</v>
      </c>
      <c r="E36" s="15" t="s">
        <v>442</v>
      </c>
      <c r="F36" s="15" t="s">
        <v>3028</v>
      </c>
      <c r="G36" s="15" t="s">
        <v>3029</v>
      </c>
      <c r="H36" s="33" t="n">
        <f aca="false">Packages!$O$8</f>
        <v>18.8051631162368</v>
      </c>
      <c r="I36" s="15" t="s">
        <v>118</v>
      </c>
      <c r="J36" s="34" t="n">
        <f aca="false">TEST_D+ROUNDUP(Packages!$O$8/R_TEST,0)</f>
        <v>3</v>
      </c>
      <c r="K36" s="34" t="n">
        <f aca="false">IF(J36=0,0,ROUNDUP(J36*7/WD,0))</f>
        <v>4</v>
      </c>
      <c r="L36" s="15" t="s">
        <v>3059</v>
      </c>
      <c r="M36" s="34" t="n">
        <f aca="false">ROUNDUP(K35*LADDER,0)</f>
        <v>2</v>
      </c>
      <c r="N36" s="34" t="n">
        <f aca="false">IF(K36=0,0,FFLAG)</f>
        <v>2</v>
      </c>
      <c r="O36" s="15"/>
      <c r="P36" s="16" t="n">
        <f aca="false">MAX(P35+M36)</f>
        <v>46442</v>
      </c>
      <c r="Q36" s="16" t="n">
        <f aca="false">MAX(P36+K36,Q35+N36)</f>
        <v>46448</v>
      </c>
      <c r="R36" s="12"/>
      <c r="S36" s="12"/>
    </row>
    <row r="37" customFormat="false" ht="15" hidden="false" customHeight="false" outlineLevel="0" collapsed="false">
      <c r="A37" s="15" t="s">
        <v>3061</v>
      </c>
      <c r="B37" s="15" t="s">
        <v>3052</v>
      </c>
      <c r="C37" s="15" t="s">
        <v>385</v>
      </c>
      <c r="D37" s="15" t="s">
        <v>441</v>
      </c>
      <c r="E37" s="15" t="s">
        <v>442</v>
      </c>
      <c r="F37" s="15" t="s">
        <v>3031</v>
      </c>
      <c r="G37" s="15" t="s">
        <v>3032</v>
      </c>
      <c r="H37" s="33" t="n">
        <f aca="false">Packages!$AB$8</f>
        <v>273.549430339716</v>
      </c>
      <c r="I37" s="15" t="s">
        <v>3019</v>
      </c>
      <c r="J37" s="34" t="n">
        <f aca="false">MAX(1,ROUNDUP(Packages!$AB$8/(R_BF*Fronts!$M$5),0))</f>
        <v>1</v>
      </c>
      <c r="K37" s="34" t="n">
        <f aca="false">IF(J37=0,0,ROUNDUP(J37*7/WD,0))</f>
        <v>2</v>
      </c>
      <c r="L37" s="15" t="s">
        <v>3060</v>
      </c>
      <c r="M37" s="34" t="n">
        <f aca="false">ROUNDUP(K36*LADDER,0)</f>
        <v>2</v>
      </c>
      <c r="N37" s="34" t="n">
        <f aca="false">IF(K37=0,0,FFLAG)</f>
        <v>2</v>
      </c>
      <c r="O37" s="15"/>
      <c r="P37" s="16" t="n">
        <f aca="false">MAX(P36+M37)</f>
        <v>46444</v>
      </c>
      <c r="Q37" s="16" t="n">
        <f aca="false">MAX(P37+K37,Q36+N37)</f>
        <v>46450</v>
      </c>
      <c r="R37" s="16" t="n">
        <f aca="false">IF(K37&gt;0,Q37,0)</f>
        <v>46450</v>
      </c>
      <c r="S37" s="12"/>
    </row>
    <row r="38" customFormat="false" ht="15" hidden="false" customHeight="false" outlineLevel="0" collapsed="false">
      <c r="A38" s="15" t="s">
        <v>3062</v>
      </c>
      <c r="B38" s="15" t="s">
        <v>3052</v>
      </c>
      <c r="C38" s="15" t="s">
        <v>385</v>
      </c>
      <c r="D38" s="15" t="s">
        <v>441</v>
      </c>
      <c r="E38" s="15" t="s">
        <v>442</v>
      </c>
      <c r="F38" s="15" t="s">
        <v>3034</v>
      </c>
      <c r="G38" s="15" t="s">
        <v>3035</v>
      </c>
      <c r="H38" s="33" t="n">
        <f aca="false">Packages!$AD$8</f>
        <v>37.6103262324735</v>
      </c>
      <c r="I38" s="15" t="s">
        <v>3012</v>
      </c>
      <c r="J38" s="34" t="n">
        <f aca="false">IF(Packages!$AD$8&gt;0,ROUNDUP(Packages!$AD$8/R_EXT,0),0)+IF(Packages!$AG$8&gt;0,1,0)</f>
        <v>2</v>
      </c>
      <c r="K38" s="34" t="n">
        <f aca="false">IF(J38=0,0,ROUNDUP(J38*7/WD,0))</f>
        <v>3</v>
      </c>
      <c r="L38" s="15" t="s">
        <v>3061</v>
      </c>
      <c r="M38" s="34" t="n">
        <f aca="false">ROUNDUP(K37*LADDER,0)</f>
        <v>1</v>
      </c>
      <c r="N38" s="34" t="n">
        <f aca="false">IF(K38=0,0,FFLAG)</f>
        <v>2</v>
      </c>
      <c r="O38" s="15"/>
      <c r="P38" s="16" t="n">
        <f aca="false">MAX(P37+M38)</f>
        <v>46445</v>
      </c>
      <c r="Q38" s="16" t="n">
        <f aca="false">MAX(P38+K38,Q37+N38)</f>
        <v>46452</v>
      </c>
      <c r="R38" s="12"/>
      <c r="S38" s="12"/>
    </row>
    <row r="39" customFormat="false" ht="15" hidden="false" customHeight="false" outlineLevel="0" collapsed="false">
      <c r="A39" s="15" t="s">
        <v>3063</v>
      </c>
      <c r="B39" s="15" t="s">
        <v>3064</v>
      </c>
      <c r="C39" s="15" t="s">
        <v>385</v>
      </c>
      <c r="D39" s="15" t="s">
        <v>500</v>
      </c>
      <c r="E39" s="15" t="s">
        <v>518</v>
      </c>
      <c r="F39" s="15" t="s">
        <v>2998</v>
      </c>
      <c r="G39" s="15" t="s">
        <v>2999</v>
      </c>
      <c r="H39" s="12"/>
      <c r="I39" s="12"/>
      <c r="J39" s="34" t="n">
        <f aca="false">0</f>
        <v>0</v>
      </c>
      <c r="K39" s="34" t="n">
        <f aca="false">IF(J39=0,0,ROUNDUP(J39*7/WD,0))</f>
        <v>0</v>
      </c>
      <c r="L39" s="12"/>
      <c r="M39" s="12"/>
      <c r="N39" s="12"/>
      <c r="O39" s="15" t="s">
        <v>3065</v>
      </c>
      <c r="P39" s="16" t="n">
        <f aca="false">MAX(START,D_DLU,Packages!$I$9,Packages!$K$9)</f>
        <v>46357</v>
      </c>
      <c r="Q39" s="16" t="n">
        <f aca="false">P39+K39</f>
        <v>46357</v>
      </c>
      <c r="R39" s="12"/>
      <c r="S39" s="12"/>
    </row>
    <row r="40" customFormat="false" ht="15" hidden="false" customHeight="false" outlineLevel="0" collapsed="false">
      <c r="A40" s="15" t="s">
        <v>3066</v>
      </c>
      <c r="B40" s="15" t="s">
        <v>3064</v>
      </c>
      <c r="C40" s="15" t="s">
        <v>385</v>
      </c>
      <c r="D40" s="15" t="s">
        <v>500</v>
      </c>
      <c r="E40" s="15" t="s">
        <v>518</v>
      </c>
      <c r="F40" s="15" t="s">
        <v>3002</v>
      </c>
      <c r="G40" s="15" t="s">
        <v>205</v>
      </c>
      <c r="H40" s="33" t="n">
        <f aca="false">Packages!$O$9</f>
        <v>65.0999999998516</v>
      </c>
      <c r="I40" s="15" t="s">
        <v>118</v>
      </c>
      <c r="J40" s="34" t="n">
        <f aca="false">MAX(1,ROUNDUP(Packages!$O$9/R_PLAT,0))</f>
        <v>1</v>
      </c>
      <c r="K40" s="34" t="n">
        <f aca="false">IF(J40=0,0,ROUNDUP(J40*7/WD,0))</f>
        <v>2</v>
      </c>
      <c r="L40" s="15" t="s">
        <v>3063</v>
      </c>
      <c r="M40" s="12"/>
      <c r="N40" s="12"/>
      <c r="O40" s="15" t="s">
        <v>3067</v>
      </c>
      <c r="P40" s="16" t="n">
        <f aca="false">MAX(Q39,P8)</f>
        <v>46359</v>
      </c>
      <c r="Q40" s="16" t="n">
        <f aca="false">P40+K40</f>
        <v>46361</v>
      </c>
      <c r="R40" s="12"/>
      <c r="S40" s="12"/>
    </row>
    <row r="41" customFormat="false" ht="15" hidden="false" customHeight="false" outlineLevel="0" collapsed="false">
      <c r="A41" s="15" t="s">
        <v>3068</v>
      </c>
      <c r="B41" s="15" t="s">
        <v>3064</v>
      </c>
      <c r="C41" s="15" t="s">
        <v>385</v>
      </c>
      <c r="D41" s="15" t="s">
        <v>500</v>
      </c>
      <c r="E41" s="15" t="s">
        <v>518</v>
      </c>
      <c r="F41" s="15" t="s">
        <v>3005</v>
      </c>
      <c r="G41" s="15" t="s">
        <v>3006</v>
      </c>
      <c r="H41" s="33" t="n">
        <f aca="false">Packages!$AC$9</f>
        <v>46</v>
      </c>
      <c r="I41" s="15" t="s">
        <v>3007</v>
      </c>
      <c r="J41" s="34" t="n">
        <f aca="false">IF(Packages!$AC$9=0,0,MAX(1,ROUNDUP(Packages!$AC$9/(R_PILE*Fronts!$H$5),0)))</f>
        <v>10</v>
      </c>
      <c r="K41" s="34" t="n">
        <f aca="false">IF(J41=0,0,ROUNDUP(J41*7/WD,0))</f>
        <v>12</v>
      </c>
      <c r="L41" s="15" t="s">
        <v>3066</v>
      </c>
      <c r="M41" s="34" t="n">
        <f aca="false">ROUNDUP(K40*LADDER,0)</f>
        <v>1</v>
      </c>
      <c r="N41" s="34" t="n">
        <f aca="false">IF(K41=0,0,FFLAG)</f>
        <v>2</v>
      </c>
      <c r="O41" s="15" t="s">
        <v>3008</v>
      </c>
      <c r="P41" s="16" t="n">
        <f aca="false">MAX(P40+M41,D_PILEDES,R8)</f>
        <v>46404</v>
      </c>
      <c r="Q41" s="16" t="n">
        <f aca="false">MAX(P41+K41,Q40+N41)</f>
        <v>46416</v>
      </c>
      <c r="R41" s="16" t="n">
        <f aca="false">IF(K41&gt;0,Q41,R8)</f>
        <v>46416</v>
      </c>
      <c r="S41" s="15" t="s">
        <v>3004</v>
      </c>
    </row>
    <row r="42" customFormat="false" ht="15" hidden="false" customHeight="false" outlineLevel="0" collapsed="false">
      <c r="A42" s="15" t="s">
        <v>3069</v>
      </c>
      <c r="B42" s="15" t="s">
        <v>3064</v>
      </c>
      <c r="C42" s="15" t="s">
        <v>385</v>
      </c>
      <c r="D42" s="15" t="s">
        <v>500</v>
      </c>
      <c r="E42" s="15" t="s">
        <v>518</v>
      </c>
      <c r="F42" s="15" t="s">
        <v>3010</v>
      </c>
      <c r="G42" s="15" t="s">
        <v>3011</v>
      </c>
      <c r="H42" s="33" t="n">
        <f aca="false">Packages!$AD$9</f>
        <v>130.199999999703</v>
      </c>
      <c r="I42" s="15" t="s">
        <v>3012</v>
      </c>
      <c r="J42" s="34" t="n">
        <f aca="false">IF(Packages!$AD$9=0,0,MAX(1,ROUNDUP(Packages!$AD$9/(R_SHEET*Fronts!$I$5),0)))</f>
        <v>6</v>
      </c>
      <c r="K42" s="34" t="n">
        <f aca="false">IF(J42=0,0,ROUNDUP(J42*7/WD,0))</f>
        <v>7</v>
      </c>
      <c r="L42" s="15" t="s">
        <v>3068</v>
      </c>
      <c r="M42" s="34" t="n">
        <f aca="false">ROUNDUP(K41*LADDER,0)</f>
        <v>4</v>
      </c>
      <c r="N42" s="34" t="n">
        <f aca="false">IF(K42=0,0,FFLAG)</f>
        <v>2</v>
      </c>
      <c r="O42" s="15"/>
      <c r="P42" s="16" t="n">
        <f aca="false">MAX(P41+M42,R9)</f>
        <v>46408</v>
      </c>
      <c r="Q42" s="16" t="n">
        <f aca="false">MAX(P42+K42,Q41+N42)</f>
        <v>46418</v>
      </c>
      <c r="R42" s="16" t="n">
        <f aca="false">IF(K42&gt;0,Q42,R9)</f>
        <v>46418</v>
      </c>
      <c r="S42" s="15" t="s">
        <v>3009</v>
      </c>
    </row>
    <row r="43" customFormat="false" ht="15" hidden="false" customHeight="false" outlineLevel="0" collapsed="false">
      <c r="A43" s="15" t="s">
        <v>3070</v>
      </c>
      <c r="B43" s="15" t="s">
        <v>3064</v>
      </c>
      <c r="C43" s="15" t="s">
        <v>385</v>
      </c>
      <c r="D43" s="15" t="s">
        <v>500</v>
      </c>
      <c r="E43" s="15" t="s">
        <v>518</v>
      </c>
      <c r="F43" s="15" t="s">
        <v>3014</v>
      </c>
      <c r="G43" s="15" t="s">
        <v>3015</v>
      </c>
      <c r="H43" s="33" t="n">
        <f aca="false">Packages!$O$9</f>
        <v>65.0999999998516</v>
      </c>
      <c r="I43" s="15" t="s">
        <v>118</v>
      </c>
      <c r="J43" s="34" t="n">
        <f aca="false">IF(Packages!$AG$9=0,0,ROUNDUP(Packages!$O$9/R_DW,0)+DW_DRAW)</f>
        <v>9</v>
      </c>
      <c r="K43" s="34" t="n">
        <f aca="false">IF(J43=0,0,ROUNDUP(J43*7/WD,0))</f>
        <v>11</v>
      </c>
      <c r="L43" s="15" t="s">
        <v>3069</v>
      </c>
      <c r="M43" s="34" t="n">
        <f aca="false">ROUNDUP(K42*LADDER,0)</f>
        <v>3</v>
      </c>
      <c r="N43" s="34" t="n">
        <f aca="false">IF(K43=0,0,FFLAG)</f>
        <v>2</v>
      </c>
      <c r="O43" s="15" t="s">
        <v>3071</v>
      </c>
      <c r="P43" s="16" t="n">
        <f aca="false">MAX(P42+M43,Q11-K43)</f>
        <v>46417</v>
      </c>
      <c r="Q43" s="16" t="n">
        <f aca="false">MAX(P43+K43,Q42+N43)</f>
        <v>46428</v>
      </c>
      <c r="R43" s="12"/>
      <c r="S43" s="12"/>
    </row>
    <row r="44" customFormat="false" ht="15" hidden="false" customHeight="false" outlineLevel="0" collapsed="false">
      <c r="A44" s="15" t="s">
        <v>3072</v>
      </c>
      <c r="B44" s="15" t="s">
        <v>3064</v>
      </c>
      <c r="C44" s="15" t="s">
        <v>385</v>
      </c>
      <c r="D44" s="15" t="s">
        <v>500</v>
      </c>
      <c r="E44" s="15" t="s">
        <v>518</v>
      </c>
      <c r="F44" s="15" t="s">
        <v>3017</v>
      </c>
      <c r="G44" s="15" t="s">
        <v>3018</v>
      </c>
      <c r="H44" s="33" t="n">
        <f aca="false">Packages!$X$9+Packages!$Y$9</f>
        <v>1400.9398153447</v>
      </c>
      <c r="I44" s="15" t="s">
        <v>3019</v>
      </c>
      <c r="J44" s="34" t="n">
        <f aca="false">MAX(1,ROUNDUP((Packages!$X$9/R_EXS+Packages!$Y$9/R_EXO)/Fronts!$J$5,0))</f>
        <v>6</v>
      </c>
      <c r="K44" s="34" t="n">
        <f aca="false">IF(J44=0,0,ROUNDUP(J44*7/WD,0))</f>
        <v>7</v>
      </c>
      <c r="L44" s="15" t="s">
        <v>3070</v>
      </c>
      <c r="M44" s="34" t="n">
        <f aca="false">IF(K43=0,0,ROUNDUP((K43-ROUNDUP(DW_DRAW*7/WD,0))*LADDER,0)+ROUNDUP(DW_DRAW*7/WD,0))</f>
        <v>10</v>
      </c>
      <c r="N44" s="34" t="n">
        <f aca="false">IF(K44=0,0,FFLAG)</f>
        <v>2</v>
      </c>
      <c r="O44" s="15"/>
      <c r="P44" s="16" t="n">
        <f aca="false">MAX(P43+M44,R11)</f>
        <v>46428</v>
      </c>
      <c r="Q44" s="16" t="n">
        <f aca="false">MAX(P44+K44,Q43+N44)</f>
        <v>46435</v>
      </c>
      <c r="R44" s="16" t="n">
        <f aca="false">IF(K44&gt;0,Q44,R11)</f>
        <v>46435</v>
      </c>
      <c r="S44" s="15" t="s">
        <v>3016</v>
      </c>
    </row>
    <row r="45" customFormat="false" ht="15" hidden="false" customHeight="false" outlineLevel="0" collapsed="false">
      <c r="A45" s="15" t="s">
        <v>3073</v>
      </c>
      <c r="B45" s="15" t="s">
        <v>3064</v>
      </c>
      <c r="C45" s="15" t="s">
        <v>385</v>
      </c>
      <c r="D45" s="15" t="s">
        <v>500</v>
      </c>
      <c r="E45" s="15" t="s">
        <v>518</v>
      </c>
      <c r="F45" s="15" t="s">
        <v>3022</v>
      </c>
      <c r="G45" s="15" t="s">
        <v>3023</v>
      </c>
      <c r="H45" s="33" t="n">
        <f aca="false">Packages!$O$9</f>
        <v>65.0999999998516</v>
      </c>
      <c r="I45" s="15" t="s">
        <v>118</v>
      </c>
      <c r="J45" s="34" t="n">
        <f aca="false">MAX(1,ROUNDUP(Packages!$O$9/(R_SLAB*Fronts!$K$5),0))+SLAB_CURE</f>
        <v>9</v>
      </c>
      <c r="K45" s="34" t="n">
        <f aca="false">IF(J45=0,0,ROUNDUP(J45*7/WD,0))</f>
        <v>11</v>
      </c>
      <c r="L45" s="15" t="s">
        <v>3072</v>
      </c>
      <c r="M45" s="34" t="n">
        <f aca="false">ROUNDUP(K44*LADDER,0)</f>
        <v>3</v>
      </c>
      <c r="N45" s="34" t="n">
        <f aca="false">IF(K45=0,0,FFLAG)</f>
        <v>2</v>
      </c>
      <c r="O45" s="15"/>
      <c r="P45" s="16" t="n">
        <f aca="false">MAX(P44+M45,R12)</f>
        <v>46437</v>
      </c>
      <c r="Q45" s="16" t="n">
        <f aca="false">MAX(P45+K45,Q44+N45)</f>
        <v>46448</v>
      </c>
      <c r="R45" s="16" t="n">
        <f aca="false">IF(K45&gt;0,Q45,R12)</f>
        <v>46448</v>
      </c>
      <c r="S45" s="15" t="s">
        <v>3021</v>
      </c>
    </row>
    <row r="46" customFormat="false" ht="15" hidden="false" customHeight="false" outlineLevel="0" collapsed="false">
      <c r="A46" s="15" t="s">
        <v>3074</v>
      </c>
      <c r="B46" s="15" t="s">
        <v>3064</v>
      </c>
      <c r="C46" s="15" t="s">
        <v>385</v>
      </c>
      <c r="D46" s="15" t="s">
        <v>500</v>
      </c>
      <c r="E46" s="15" t="s">
        <v>518</v>
      </c>
      <c r="F46" s="15" t="s">
        <v>3025</v>
      </c>
      <c r="G46" s="15" t="s">
        <v>3026</v>
      </c>
      <c r="H46" s="33" t="n">
        <f aca="false">Packages!$O$9</f>
        <v>65.0999999998516</v>
      </c>
      <c r="I46" s="15" t="s">
        <v>118</v>
      </c>
      <c r="J46" s="34" t="n">
        <f aca="false">MAX(1,ROUNDUP(Packages!$O$9/(IF(Packages!$N$9&gt;=PIPE_T1,R_PIPE_L,IF(Packages!$N$9&gt;=PIPE_T2,R_PIPE_M,R_PIPE_S))*Fronts!$L$5)+Packages!$M$9*FIT_D+IF(Packages!$G$9&lt;&gt;"Run",TIE_D,0),0))</f>
        <v>4</v>
      </c>
      <c r="K46" s="34" t="n">
        <f aca="false">IF(J46=0,0,ROUNDUP(J46*7/WD,0))</f>
        <v>5</v>
      </c>
      <c r="L46" s="15" t="s">
        <v>3073</v>
      </c>
      <c r="M46" s="34" t="n">
        <f aca="false">ROUNDUP(K45*LADDER,0)</f>
        <v>4</v>
      </c>
      <c r="N46" s="34" t="n">
        <f aca="false">IF(K46=0,0,FFLAG)</f>
        <v>2</v>
      </c>
      <c r="O46" s="15"/>
      <c r="P46" s="16" t="n">
        <f aca="false">MAX(P45+M46,R13)</f>
        <v>46441</v>
      </c>
      <c r="Q46" s="16" t="n">
        <f aca="false">MAX(P46+K46,Q45+N46)</f>
        <v>46450</v>
      </c>
      <c r="R46" s="16" t="n">
        <f aca="false">IF(K46&gt;0,Q46,R13)</f>
        <v>46450</v>
      </c>
      <c r="S46" s="15" t="s">
        <v>3024</v>
      </c>
    </row>
    <row r="47" customFormat="false" ht="15" hidden="false" customHeight="false" outlineLevel="0" collapsed="false">
      <c r="A47" s="15" t="s">
        <v>3075</v>
      </c>
      <c r="B47" s="15" t="s">
        <v>3064</v>
      </c>
      <c r="C47" s="15" t="s">
        <v>385</v>
      </c>
      <c r="D47" s="15" t="s">
        <v>500</v>
      </c>
      <c r="E47" s="15" t="s">
        <v>518</v>
      </c>
      <c r="F47" s="15" t="s">
        <v>3028</v>
      </c>
      <c r="G47" s="15" t="s">
        <v>3029</v>
      </c>
      <c r="H47" s="33" t="n">
        <f aca="false">Packages!$O$9</f>
        <v>65.0999999998516</v>
      </c>
      <c r="I47" s="15" t="s">
        <v>118</v>
      </c>
      <c r="J47" s="34" t="n">
        <f aca="false">TEST_D+ROUNDUP(Packages!$O$9/R_TEST,0)</f>
        <v>3</v>
      </c>
      <c r="K47" s="34" t="n">
        <f aca="false">IF(J47=0,0,ROUNDUP(J47*7/WD,0))</f>
        <v>4</v>
      </c>
      <c r="L47" s="15" t="s">
        <v>3074</v>
      </c>
      <c r="M47" s="34" t="n">
        <f aca="false">ROUNDUP(K46*LADDER,0)</f>
        <v>2</v>
      </c>
      <c r="N47" s="34" t="n">
        <f aca="false">IF(K47=0,0,FFLAG)</f>
        <v>2</v>
      </c>
      <c r="O47" s="15"/>
      <c r="P47" s="16" t="n">
        <f aca="false">MAX(P46+M47)</f>
        <v>46443</v>
      </c>
      <c r="Q47" s="16" t="n">
        <f aca="false">MAX(P47+K47,Q46+N47)</f>
        <v>46452</v>
      </c>
      <c r="R47" s="12"/>
      <c r="S47" s="12"/>
    </row>
    <row r="48" customFormat="false" ht="15" hidden="false" customHeight="false" outlineLevel="0" collapsed="false">
      <c r="A48" s="15" t="s">
        <v>3076</v>
      </c>
      <c r="B48" s="15" t="s">
        <v>3064</v>
      </c>
      <c r="C48" s="15" t="s">
        <v>385</v>
      </c>
      <c r="D48" s="15" t="s">
        <v>500</v>
      </c>
      <c r="E48" s="15" t="s">
        <v>518</v>
      </c>
      <c r="F48" s="15" t="s">
        <v>3031</v>
      </c>
      <c r="G48" s="15" t="s">
        <v>3032</v>
      </c>
      <c r="H48" s="33" t="n">
        <f aca="false">Packages!$AB$9</f>
        <v>1082.02222978662</v>
      </c>
      <c r="I48" s="15" t="s">
        <v>3019</v>
      </c>
      <c r="J48" s="34" t="n">
        <f aca="false">MAX(1,ROUNDUP(Packages!$AB$9/(R_BF*Fronts!$M$5),0))</f>
        <v>4</v>
      </c>
      <c r="K48" s="34" t="n">
        <f aca="false">IF(J48=0,0,ROUNDUP(J48*7/WD,0))</f>
        <v>5</v>
      </c>
      <c r="L48" s="15" t="s">
        <v>3075</v>
      </c>
      <c r="M48" s="34" t="n">
        <f aca="false">ROUNDUP(K47*LADDER,0)</f>
        <v>2</v>
      </c>
      <c r="N48" s="34" t="n">
        <f aca="false">IF(K48=0,0,FFLAG)</f>
        <v>2</v>
      </c>
      <c r="O48" s="15" t="s">
        <v>3077</v>
      </c>
      <c r="P48" s="16" t="n">
        <f aca="false">MAX(P47+M48,R15,Q90,Q101)</f>
        <v>46514</v>
      </c>
      <c r="Q48" s="16" t="n">
        <f aca="false">MAX(P48+K48,Q47+N48)</f>
        <v>46519</v>
      </c>
      <c r="R48" s="16" t="n">
        <f aca="false">IF(K48&gt;0,Q48,R15)</f>
        <v>46519</v>
      </c>
      <c r="S48" s="15" t="s">
        <v>3030</v>
      </c>
    </row>
    <row r="49" customFormat="false" ht="15" hidden="false" customHeight="false" outlineLevel="0" collapsed="false">
      <c r="A49" s="15" t="s">
        <v>3078</v>
      </c>
      <c r="B49" s="15" t="s">
        <v>3064</v>
      </c>
      <c r="C49" s="15" t="s">
        <v>385</v>
      </c>
      <c r="D49" s="15" t="s">
        <v>500</v>
      </c>
      <c r="E49" s="15" t="s">
        <v>518</v>
      </c>
      <c r="F49" s="15" t="s">
        <v>3034</v>
      </c>
      <c r="G49" s="15" t="s">
        <v>3035</v>
      </c>
      <c r="H49" s="33" t="n">
        <f aca="false">Packages!$AD$9</f>
        <v>130.199999999703</v>
      </c>
      <c r="I49" s="15" t="s">
        <v>3012</v>
      </c>
      <c r="J49" s="34" t="n">
        <f aca="false">IF(Packages!$AD$9&gt;0,ROUNDUP(Packages!$AD$9/R_EXT,0),0)+IF(Packages!$AG$9&gt;0,1,0)</f>
        <v>4</v>
      </c>
      <c r="K49" s="34" t="n">
        <f aca="false">IF(J49=0,0,ROUNDUP(J49*7/WD,0))</f>
        <v>5</v>
      </c>
      <c r="L49" s="15" t="s">
        <v>3076</v>
      </c>
      <c r="M49" s="34" t="n">
        <f aca="false">ROUNDUP(K48*LADDER,0)</f>
        <v>2</v>
      </c>
      <c r="N49" s="34" t="n">
        <f aca="false">IF(K49=0,0,FFLAG)</f>
        <v>2</v>
      </c>
      <c r="O49" s="15"/>
      <c r="P49" s="16" t="n">
        <f aca="false">MAX(P48+M49)</f>
        <v>46516</v>
      </c>
      <c r="Q49" s="16" t="n">
        <f aca="false">MAX(P49+K49,Q48+N49)</f>
        <v>46521</v>
      </c>
      <c r="R49" s="12"/>
      <c r="S49" s="12"/>
    </row>
    <row r="50" customFormat="false" ht="15" hidden="false" customHeight="false" outlineLevel="0" collapsed="false">
      <c r="A50" s="15" t="s">
        <v>3079</v>
      </c>
      <c r="B50" s="15" t="s">
        <v>3080</v>
      </c>
      <c r="C50" s="15" t="s">
        <v>385</v>
      </c>
      <c r="D50" s="15" t="s">
        <v>500</v>
      </c>
      <c r="E50" s="15" t="s">
        <v>508</v>
      </c>
      <c r="F50" s="15" t="s">
        <v>2998</v>
      </c>
      <c r="G50" s="15" t="s">
        <v>2999</v>
      </c>
      <c r="H50" s="12"/>
      <c r="I50" s="12"/>
      <c r="J50" s="34" t="n">
        <f aca="false">0</f>
        <v>0</v>
      </c>
      <c r="K50" s="34" t="n">
        <f aca="false">IF(J50=0,0,ROUNDUP(J50*7/WD,0))</f>
        <v>0</v>
      </c>
      <c r="L50" s="12"/>
      <c r="M50" s="12"/>
      <c r="N50" s="12"/>
      <c r="O50" s="15" t="s">
        <v>3065</v>
      </c>
      <c r="P50" s="16" t="n">
        <f aca="false">MAX(START,D_DLU,Packages!$I$10,Packages!$K$10)</f>
        <v>46357</v>
      </c>
      <c r="Q50" s="16" t="n">
        <f aca="false">P50+K50</f>
        <v>46357</v>
      </c>
      <c r="R50" s="12"/>
      <c r="S50" s="12"/>
    </row>
    <row r="51" customFormat="false" ht="15" hidden="false" customHeight="false" outlineLevel="0" collapsed="false">
      <c r="A51" s="15" t="s">
        <v>3081</v>
      </c>
      <c r="B51" s="15" t="s">
        <v>3080</v>
      </c>
      <c r="C51" s="15" t="s">
        <v>385</v>
      </c>
      <c r="D51" s="15" t="s">
        <v>500</v>
      </c>
      <c r="E51" s="15" t="s">
        <v>508</v>
      </c>
      <c r="F51" s="15" t="s">
        <v>3002</v>
      </c>
      <c r="G51" s="15" t="s">
        <v>205</v>
      </c>
      <c r="H51" s="33" t="n">
        <f aca="false">Packages!$O$10</f>
        <v>78.047505078822</v>
      </c>
      <c r="I51" s="15" t="s">
        <v>118</v>
      </c>
      <c r="J51" s="34" t="n">
        <f aca="false">MAX(1,ROUNDUP(Packages!$O$10/R_PLAT,0))</f>
        <v>1</v>
      </c>
      <c r="K51" s="34" t="n">
        <f aca="false">IF(J51=0,0,ROUNDUP(J51*7/WD,0))</f>
        <v>2</v>
      </c>
      <c r="L51" s="15" t="s">
        <v>3079</v>
      </c>
      <c r="M51" s="12"/>
      <c r="N51" s="12"/>
      <c r="O51" s="15" t="s">
        <v>3082</v>
      </c>
      <c r="P51" s="16" t="n">
        <f aca="false">MAX(Q50,P41)</f>
        <v>46404</v>
      </c>
      <c r="Q51" s="16" t="n">
        <f aca="false">P51+K51</f>
        <v>46406</v>
      </c>
      <c r="R51" s="12"/>
      <c r="S51" s="12"/>
    </row>
    <row r="52" customFormat="false" ht="15" hidden="false" customHeight="false" outlineLevel="0" collapsed="false">
      <c r="A52" s="15" t="s">
        <v>3083</v>
      </c>
      <c r="B52" s="15" t="s">
        <v>3080</v>
      </c>
      <c r="C52" s="15" t="s">
        <v>385</v>
      </c>
      <c r="D52" s="15" t="s">
        <v>500</v>
      </c>
      <c r="E52" s="15" t="s">
        <v>508</v>
      </c>
      <c r="F52" s="15" t="s">
        <v>3005</v>
      </c>
      <c r="G52" s="15" t="s">
        <v>3006</v>
      </c>
      <c r="H52" s="33" t="n">
        <f aca="false">Packages!$AC$10</f>
        <v>56</v>
      </c>
      <c r="I52" s="15" t="s">
        <v>3007</v>
      </c>
      <c r="J52" s="34" t="n">
        <f aca="false">IF(Packages!$AC$10=0,0,MAX(1,ROUNDUP(Packages!$AC$10/(R_PILE*Fronts!$H$5),0)))</f>
        <v>12</v>
      </c>
      <c r="K52" s="34" t="n">
        <f aca="false">IF(J52=0,0,ROUNDUP(J52*7/WD,0))</f>
        <v>14</v>
      </c>
      <c r="L52" s="15" t="s">
        <v>3081</v>
      </c>
      <c r="M52" s="34" t="n">
        <f aca="false">ROUNDUP(K51*LADDER,0)</f>
        <v>1</v>
      </c>
      <c r="N52" s="34" t="n">
        <f aca="false">IF(K52=0,0,FFLAG)</f>
        <v>2</v>
      </c>
      <c r="O52" s="15" t="s">
        <v>3008</v>
      </c>
      <c r="P52" s="16" t="n">
        <f aca="false">MAX(P51+M52,D_PILEDES,R41)</f>
        <v>46416</v>
      </c>
      <c r="Q52" s="16" t="n">
        <f aca="false">MAX(P52+K52,Q51+N52)</f>
        <v>46430</v>
      </c>
      <c r="R52" s="16" t="n">
        <f aca="false">IF(K52&gt;0,Q52,R41)</f>
        <v>46430</v>
      </c>
      <c r="S52" s="15" t="s">
        <v>3068</v>
      </c>
    </row>
    <row r="53" customFormat="false" ht="15" hidden="false" customHeight="false" outlineLevel="0" collapsed="false">
      <c r="A53" s="15" t="s">
        <v>3084</v>
      </c>
      <c r="B53" s="15" t="s">
        <v>3080</v>
      </c>
      <c r="C53" s="15" t="s">
        <v>385</v>
      </c>
      <c r="D53" s="15" t="s">
        <v>500</v>
      </c>
      <c r="E53" s="15" t="s">
        <v>508</v>
      </c>
      <c r="F53" s="15" t="s">
        <v>3010</v>
      </c>
      <c r="G53" s="15" t="s">
        <v>3011</v>
      </c>
      <c r="H53" s="33" t="n">
        <f aca="false">Packages!$AD$10</f>
        <v>156.095010157644</v>
      </c>
      <c r="I53" s="15" t="s">
        <v>3012</v>
      </c>
      <c r="J53" s="34" t="n">
        <f aca="false">IF(Packages!$AD$10=0,0,MAX(1,ROUNDUP(Packages!$AD$10/(R_SHEET*Fronts!$I$5),0)))</f>
        <v>7</v>
      </c>
      <c r="K53" s="34" t="n">
        <f aca="false">IF(J53=0,0,ROUNDUP(J53*7/WD,0))</f>
        <v>9</v>
      </c>
      <c r="L53" s="15" t="s">
        <v>3083</v>
      </c>
      <c r="M53" s="34" t="n">
        <f aca="false">ROUNDUP(K52*LADDER,0)</f>
        <v>5</v>
      </c>
      <c r="N53" s="34" t="n">
        <f aca="false">IF(K53=0,0,FFLAG)</f>
        <v>2</v>
      </c>
      <c r="O53" s="15"/>
      <c r="P53" s="16" t="n">
        <f aca="false">MAX(P52+M53,R42)</f>
        <v>46421</v>
      </c>
      <c r="Q53" s="16" t="n">
        <f aca="false">MAX(P53+K53,Q52+N53)</f>
        <v>46432</v>
      </c>
      <c r="R53" s="16" t="n">
        <f aca="false">IF(K53&gt;0,Q53,R42)</f>
        <v>46432</v>
      </c>
      <c r="S53" s="15" t="s">
        <v>3069</v>
      </c>
    </row>
    <row r="54" customFormat="false" ht="15" hidden="false" customHeight="false" outlineLevel="0" collapsed="false">
      <c r="A54" s="15" t="s">
        <v>3085</v>
      </c>
      <c r="B54" s="15" t="s">
        <v>3080</v>
      </c>
      <c r="C54" s="15" t="s">
        <v>385</v>
      </c>
      <c r="D54" s="15" t="s">
        <v>500</v>
      </c>
      <c r="E54" s="15" t="s">
        <v>508</v>
      </c>
      <c r="F54" s="15" t="s">
        <v>3014</v>
      </c>
      <c r="G54" s="15" t="s">
        <v>3015</v>
      </c>
      <c r="H54" s="33" t="n">
        <f aca="false">Packages!$O$10</f>
        <v>78.047505078822</v>
      </c>
      <c r="I54" s="15" t="s">
        <v>118</v>
      </c>
      <c r="J54" s="34" t="n">
        <f aca="false">IF(Packages!$AG$10=0,0,ROUNDUP(Packages!$O$10/R_DW,0)+DW_DRAW)</f>
        <v>9</v>
      </c>
      <c r="K54" s="34" t="n">
        <f aca="false">IF(J54=0,0,ROUNDUP(J54*7/WD,0))</f>
        <v>11</v>
      </c>
      <c r="L54" s="15" t="s">
        <v>3084</v>
      </c>
      <c r="M54" s="34" t="n">
        <f aca="false">ROUNDUP(K53*LADDER,0)</f>
        <v>3</v>
      </c>
      <c r="N54" s="34" t="n">
        <f aca="false">IF(K54=0,0,FFLAG)</f>
        <v>2</v>
      </c>
      <c r="O54" s="15" t="s">
        <v>3086</v>
      </c>
      <c r="P54" s="16" t="n">
        <f aca="false">MAX(P53+M54,Q44-K54)</f>
        <v>46424</v>
      </c>
      <c r="Q54" s="16" t="n">
        <f aca="false">MAX(P54+K54,Q53+N54)</f>
        <v>46435</v>
      </c>
      <c r="R54" s="12"/>
      <c r="S54" s="12"/>
    </row>
    <row r="55" customFormat="false" ht="15" hidden="false" customHeight="false" outlineLevel="0" collapsed="false">
      <c r="A55" s="15" t="s">
        <v>3087</v>
      </c>
      <c r="B55" s="15" t="s">
        <v>3080</v>
      </c>
      <c r="C55" s="15" t="s">
        <v>385</v>
      </c>
      <c r="D55" s="15" t="s">
        <v>500</v>
      </c>
      <c r="E55" s="15" t="s">
        <v>508</v>
      </c>
      <c r="F55" s="15" t="s">
        <v>3017</v>
      </c>
      <c r="G55" s="15" t="s">
        <v>3018</v>
      </c>
      <c r="H55" s="33" t="n">
        <f aca="false">Packages!$X$10+Packages!$Y$10</f>
        <v>1553.97052623812</v>
      </c>
      <c r="I55" s="15" t="s">
        <v>3019</v>
      </c>
      <c r="J55" s="34" t="n">
        <f aca="false">MAX(1,ROUNDUP((Packages!$X$10/R_EXS+Packages!$Y$10/R_EXO)/Fronts!$J$5,0))</f>
        <v>7</v>
      </c>
      <c r="K55" s="34" t="n">
        <f aca="false">IF(J55=0,0,ROUNDUP(J55*7/WD,0))</f>
        <v>9</v>
      </c>
      <c r="L55" s="15" t="s">
        <v>3085</v>
      </c>
      <c r="M55" s="34" t="n">
        <f aca="false">IF(K54=0,0,ROUNDUP((K54-ROUNDUP(DW_DRAW*7/WD,0))*LADDER,0)+ROUNDUP(DW_DRAW*7/WD,0))</f>
        <v>10</v>
      </c>
      <c r="N55" s="34" t="n">
        <f aca="false">IF(K55=0,0,FFLAG)</f>
        <v>2</v>
      </c>
      <c r="O55" s="15"/>
      <c r="P55" s="16" t="n">
        <f aca="false">MAX(P54+M55,R44)</f>
        <v>46435</v>
      </c>
      <c r="Q55" s="16" t="n">
        <f aca="false">MAX(P55+K55,Q54+N55)</f>
        <v>46444</v>
      </c>
      <c r="R55" s="16" t="n">
        <f aca="false">IF(K55&gt;0,Q55,R44)</f>
        <v>46444</v>
      </c>
      <c r="S55" s="15" t="s">
        <v>3072</v>
      </c>
    </row>
    <row r="56" customFormat="false" ht="15" hidden="false" customHeight="false" outlineLevel="0" collapsed="false">
      <c r="A56" s="15" t="s">
        <v>3088</v>
      </c>
      <c r="B56" s="15" t="s">
        <v>3080</v>
      </c>
      <c r="C56" s="15" t="s">
        <v>385</v>
      </c>
      <c r="D56" s="15" t="s">
        <v>500</v>
      </c>
      <c r="E56" s="15" t="s">
        <v>508</v>
      </c>
      <c r="F56" s="15" t="s">
        <v>3022</v>
      </c>
      <c r="G56" s="15" t="s">
        <v>3023</v>
      </c>
      <c r="H56" s="33" t="n">
        <f aca="false">Packages!$O$10</f>
        <v>78.047505078822</v>
      </c>
      <c r="I56" s="15" t="s">
        <v>118</v>
      </c>
      <c r="J56" s="34" t="n">
        <f aca="false">MAX(1,ROUNDUP(Packages!$O$10/(R_SLAB*Fronts!$K$5),0))+SLAB_CURE</f>
        <v>10</v>
      </c>
      <c r="K56" s="34" t="n">
        <f aca="false">IF(J56=0,0,ROUNDUP(J56*7/WD,0))</f>
        <v>12</v>
      </c>
      <c r="L56" s="15" t="s">
        <v>3087</v>
      </c>
      <c r="M56" s="34" t="n">
        <f aca="false">ROUNDUP(K55*LADDER,0)</f>
        <v>3</v>
      </c>
      <c r="N56" s="34" t="n">
        <f aca="false">IF(K56=0,0,FFLAG)</f>
        <v>2</v>
      </c>
      <c r="O56" s="15"/>
      <c r="P56" s="16" t="n">
        <f aca="false">MAX(P55+M56,R45)</f>
        <v>46448</v>
      </c>
      <c r="Q56" s="16" t="n">
        <f aca="false">MAX(P56+K56,Q55+N56)</f>
        <v>46460</v>
      </c>
      <c r="R56" s="16" t="n">
        <f aca="false">IF(K56&gt;0,Q56,R45)</f>
        <v>46460</v>
      </c>
      <c r="S56" s="15" t="s">
        <v>3073</v>
      </c>
    </row>
    <row r="57" customFormat="false" ht="15" hidden="false" customHeight="false" outlineLevel="0" collapsed="false">
      <c r="A57" s="15" t="s">
        <v>3089</v>
      </c>
      <c r="B57" s="15" t="s">
        <v>3080</v>
      </c>
      <c r="C57" s="15" t="s">
        <v>385</v>
      </c>
      <c r="D57" s="15" t="s">
        <v>500</v>
      </c>
      <c r="E57" s="15" t="s">
        <v>508</v>
      </c>
      <c r="F57" s="15" t="s">
        <v>3025</v>
      </c>
      <c r="G57" s="15" t="s">
        <v>3026</v>
      </c>
      <c r="H57" s="33" t="n">
        <f aca="false">Packages!$O$10</f>
        <v>78.047505078822</v>
      </c>
      <c r="I57" s="15" t="s">
        <v>118</v>
      </c>
      <c r="J57" s="34" t="n">
        <f aca="false">MAX(1,ROUNDUP(Packages!$O$10/(IF(Packages!$N$10&gt;=PIPE_T1,R_PIPE_L,IF(Packages!$N$10&gt;=PIPE_T2,R_PIPE_M,R_PIPE_S))*Fronts!$L$5)+Packages!$M$10*FIT_D+IF(Packages!$G$10&lt;&gt;"Run",TIE_D,0),0))</f>
        <v>4</v>
      </c>
      <c r="K57" s="34" t="n">
        <f aca="false">IF(J57=0,0,ROUNDUP(J57*7/WD,0))</f>
        <v>5</v>
      </c>
      <c r="L57" s="15" t="s">
        <v>3088</v>
      </c>
      <c r="M57" s="34" t="n">
        <f aca="false">ROUNDUP(K56*LADDER,0)</f>
        <v>4</v>
      </c>
      <c r="N57" s="34" t="n">
        <f aca="false">IF(K57=0,0,FFLAG)</f>
        <v>2</v>
      </c>
      <c r="O57" s="15"/>
      <c r="P57" s="16" t="n">
        <f aca="false">MAX(P56+M57,R46)</f>
        <v>46452</v>
      </c>
      <c r="Q57" s="16" t="n">
        <f aca="false">MAX(P57+K57,Q56+N57)</f>
        <v>46462</v>
      </c>
      <c r="R57" s="16" t="n">
        <f aca="false">IF(K57&gt;0,Q57,R46)</f>
        <v>46462</v>
      </c>
      <c r="S57" s="15" t="s">
        <v>3074</v>
      </c>
    </row>
    <row r="58" customFormat="false" ht="15" hidden="false" customHeight="false" outlineLevel="0" collapsed="false">
      <c r="A58" s="15" t="s">
        <v>3090</v>
      </c>
      <c r="B58" s="15" t="s">
        <v>3080</v>
      </c>
      <c r="C58" s="15" t="s">
        <v>385</v>
      </c>
      <c r="D58" s="15" t="s">
        <v>500</v>
      </c>
      <c r="E58" s="15" t="s">
        <v>508</v>
      </c>
      <c r="F58" s="15" t="s">
        <v>3028</v>
      </c>
      <c r="G58" s="15" t="s">
        <v>3029</v>
      </c>
      <c r="H58" s="33" t="n">
        <f aca="false">Packages!$O$10</f>
        <v>78.047505078822</v>
      </c>
      <c r="I58" s="15" t="s">
        <v>118</v>
      </c>
      <c r="J58" s="34" t="n">
        <f aca="false">TEST_D+ROUNDUP(Packages!$O$10/R_TEST,0)</f>
        <v>3</v>
      </c>
      <c r="K58" s="34" t="n">
        <f aca="false">IF(J58=0,0,ROUNDUP(J58*7/WD,0))</f>
        <v>4</v>
      </c>
      <c r="L58" s="15" t="s">
        <v>3089</v>
      </c>
      <c r="M58" s="34" t="n">
        <f aca="false">ROUNDUP(K57*LADDER,0)</f>
        <v>2</v>
      </c>
      <c r="N58" s="34" t="n">
        <f aca="false">IF(K58=0,0,FFLAG)</f>
        <v>2</v>
      </c>
      <c r="O58" s="15"/>
      <c r="P58" s="16" t="n">
        <f aca="false">MAX(P57+M58)</f>
        <v>46454</v>
      </c>
      <c r="Q58" s="16" t="n">
        <f aca="false">MAX(P58+K58,Q57+N58)</f>
        <v>46464</v>
      </c>
      <c r="R58" s="12"/>
      <c r="S58" s="12"/>
    </row>
    <row r="59" customFormat="false" ht="15" hidden="false" customHeight="false" outlineLevel="0" collapsed="false">
      <c r="A59" s="15" t="s">
        <v>3091</v>
      </c>
      <c r="B59" s="15" t="s">
        <v>3080</v>
      </c>
      <c r="C59" s="15" t="s">
        <v>385</v>
      </c>
      <c r="D59" s="15" t="s">
        <v>500</v>
      </c>
      <c r="E59" s="15" t="s">
        <v>508</v>
      </c>
      <c r="F59" s="15" t="s">
        <v>3031</v>
      </c>
      <c r="G59" s="15" t="s">
        <v>3032</v>
      </c>
      <c r="H59" s="33" t="n">
        <f aca="false">Packages!$AB$10</f>
        <v>1171.62456804109</v>
      </c>
      <c r="I59" s="15" t="s">
        <v>3019</v>
      </c>
      <c r="J59" s="34" t="n">
        <f aca="false">MAX(1,ROUNDUP(Packages!$AB$10/(R_BF*Fronts!$M$5),0))</f>
        <v>4</v>
      </c>
      <c r="K59" s="34" t="n">
        <f aca="false">IF(J59=0,0,ROUNDUP(J59*7/WD,0))</f>
        <v>5</v>
      </c>
      <c r="L59" s="15" t="s">
        <v>3090</v>
      </c>
      <c r="M59" s="34" t="n">
        <f aca="false">ROUNDUP(K58*LADDER,0)</f>
        <v>2</v>
      </c>
      <c r="N59" s="34" t="n">
        <f aca="false">IF(K59=0,0,FFLAG)</f>
        <v>2</v>
      </c>
      <c r="O59" s="15" t="s">
        <v>3092</v>
      </c>
      <c r="P59" s="16" t="n">
        <f aca="false">MAX(P58+M59,R48,Q90)</f>
        <v>46519</v>
      </c>
      <c r="Q59" s="16" t="n">
        <f aca="false">MAX(P59+K59,Q58+N59)</f>
        <v>46524</v>
      </c>
      <c r="R59" s="16" t="n">
        <f aca="false">IF(K59&gt;0,Q59,R48)</f>
        <v>46524</v>
      </c>
      <c r="S59" s="15" t="s">
        <v>3076</v>
      </c>
    </row>
    <row r="60" customFormat="false" ht="15" hidden="false" customHeight="false" outlineLevel="0" collapsed="false">
      <c r="A60" s="15" t="s">
        <v>3093</v>
      </c>
      <c r="B60" s="15" t="s">
        <v>3080</v>
      </c>
      <c r="C60" s="15" t="s">
        <v>385</v>
      </c>
      <c r="D60" s="15" t="s">
        <v>500</v>
      </c>
      <c r="E60" s="15" t="s">
        <v>508</v>
      </c>
      <c r="F60" s="15" t="s">
        <v>3034</v>
      </c>
      <c r="G60" s="15" t="s">
        <v>3035</v>
      </c>
      <c r="H60" s="33" t="n">
        <f aca="false">Packages!$AD$10</f>
        <v>156.095010157644</v>
      </c>
      <c r="I60" s="15" t="s">
        <v>3012</v>
      </c>
      <c r="J60" s="34" t="n">
        <f aca="false">IF(Packages!$AD$10&gt;0,ROUNDUP(Packages!$AD$10/R_EXT,0),0)+IF(Packages!$AG$10&gt;0,1,0)</f>
        <v>5</v>
      </c>
      <c r="K60" s="34" t="n">
        <f aca="false">IF(J60=0,0,ROUNDUP(J60*7/WD,0))</f>
        <v>6</v>
      </c>
      <c r="L60" s="15" t="s">
        <v>3091</v>
      </c>
      <c r="M60" s="34" t="n">
        <f aca="false">ROUNDUP(K59*LADDER,0)</f>
        <v>2</v>
      </c>
      <c r="N60" s="34" t="n">
        <f aca="false">IF(K60=0,0,FFLAG)</f>
        <v>2</v>
      </c>
      <c r="O60" s="15"/>
      <c r="P60" s="16" t="n">
        <f aca="false">MAX(P59+M60)</f>
        <v>46521</v>
      </c>
      <c r="Q60" s="16" t="n">
        <f aca="false">MAX(P60+K60,Q59+N60)</f>
        <v>46527</v>
      </c>
      <c r="R60" s="12"/>
      <c r="S60" s="12"/>
    </row>
    <row r="61" customFormat="false" ht="15" hidden="false" customHeight="false" outlineLevel="0" collapsed="false">
      <c r="A61" s="15" t="s">
        <v>3094</v>
      </c>
      <c r="B61" s="15" t="s">
        <v>3095</v>
      </c>
      <c r="C61" s="15" t="s">
        <v>385</v>
      </c>
      <c r="D61" s="15" t="s">
        <v>500</v>
      </c>
      <c r="E61" s="15" t="s">
        <v>541</v>
      </c>
      <c r="F61" s="15" t="s">
        <v>2998</v>
      </c>
      <c r="G61" s="15" t="s">
        <v>2999</v>
      </c>
      <c r="H61" s="12"/>
      <c r="I61" s="12"/>
      <c r="J61" s="34" t="n">
        <f aca="false">0</f>
        <v>0</v>
      </c>
      <c r="K61" s="34" t="n">
        <f aca="false">IF(J61=0,0,ROUNDUP(J61*7/WD,0))</f>
        <v>0</v>
      </c>
      <c r="L61" s="12"/>
      <c r="M61" s="12"/>
      <c r="N61" s="12"/>
      <c r="O61" s="15" t="s">
        <v>3096</v>
      </c>
      <c r="P61" s="16" t="n">
        <f aca="false">MAX(START,D_DLU,Packages!$I$11,Packages!$K$11)</f>
        <v>46357</v>
      </c>
      <c r="Q61" s="16" t="n">
        <f aca="false">P61+K61</f>
        <v>46357</v>
      </c>
      <c r="R61" s="12"/>
      <c r="S61" s="12"/>
    </row>
    <row r="62" customFormat="false" ht="15" hidden="false" customHeight="false" outlineLevel="0" collapsed="false">
      <c r="A62" s="15" t="s">
        <v>3097</v>
      </c>
      <c r="B62" s="15" t="s">
        <v>3095</v>
      </c>
      <c r="C62" s="15" t="s">
        <v>385</v>
      </c>
      <c r="D62" s="15" t="s">
        <v>500</v>
      </c>
      <c r="E62" s="15" t="s">
        <v>541</v>
      </c>
      <c r="F62" s="15" t="s">
        <v>3002</v>
      </c>
      <c r="G62" s="15" t="s">
        <v>205</v>
      </c>
      <c r="H62" s="33" t="n">
        <f aca="false">Packages!$O$11</f>
        <v>5.96785999962656</v>
      </c>
      <c r="I62" s="15" t="s">
        <v>118</v>
      </c>
      <c r="J62" s="34" t="n">
        <f aca="false">MAX(1,ROUNDUP(Packages!$O$11/R_PLAT,0))</f>
        <v>1</v>
      </c>
      <c r="K62" s="34" t="n">
        <f aca="false">IF(J62=0,0,ROUNDUP(J62*7/WD,0))</f>
        <v>2</v>
      </c>
      <c r="L62" s="15" t="s">
        <v>3094</v>
      </c>
      <c r="M62" s="12"/>
      <c r="N62" s="12"/>
      <c r="O62" s="15" t="s">
        <v>3098</v>
      </c>
      <c r="P62" s="16" t="n">
        <f aca="false">MAX(Q61,P74)</f>
        <v>46430</v>
      </c>
      <c r="Q62" s="16" t="n">
        <f aca="false">P62+K62</f>
        <v>46432</v>
      </c>
      <c r="R62" s="12"/>
      <c r="S62" s="12"/>
    </row>
    <row r="63" customFormat="false" ht="15" hidden="false" customHeight="false" outlineLevel="0" collapsed="false">
      <c r="A63" s="15" t="s">
        <v>3099</v>
      </c>
      <c r="B63" s="15" t="s">
        <v>3095</v>
      </c>
      <c r="C63" s="15" t="s">
        <v>385</v>
      </c>
      <c r="D63" s="15" t="s">
        <v>500</v>
      </c>
      <c r="E63" s="15" t="s">
        <v>541</v>
      </c>
      <c r="F63" s="15" t="s">
        <v>3005</v>
      </c>
      <c r="G63" s="15" t="s">
        <v>3006</v>
      </c>
      <c r="H63" s="33" t="n">
        <f aca="false">Packages!$AC$11</f>
        <v>6</v>
      </c>
      <c r="I63" s="15" t="s">
        <v>3007</v>
      </c>
      <c r="J63" s="34" t="n">
        <f aca="false">IF(Packages!$AC$11=0,0,MAX(1,ROUNDUP(Packages!$AC$11/(R_PILE*Fronts!$H$5),0)))</f>
        <v>2</v>
      </c>
      <c r="K63" s="34" t="n">
        <f aca="false">IF(J63=0,0,ROUNDUP(J63*7/WD,0))</f>
        <v>3</v>
      </c>
      <c r="L63" s="15" t="s">
        <v>3097</v>
      </c>
      <c r="M63" s="34" t="n">
        <f aca="false">ROUNDUP(K62*LADDER,0)</f>
        <v>1</v>
      </c>
      <c r="N63" s="34" t="n">
        <f aca="false">IF(K63=0,0,FFLAG)</f>
        <v>2</v>
      </c>
      <c r="O63" s="15" t="s">
        <v>3008</v>
      </c>
      <c r="P63" s="16" t="n">
        <f aca="false">MAX(P62+M63,D_PILEDES)</f>
        <v>46431</v>
      </c>
      <c r="Q63" s="16" t="n">
        <f aca="false">MAX(P63+K63,Q62+N63)</f>
        <v>46434</v>
      </c>
      <c r="R63" s="16" t="n">
        <f aca="false">IF(K63&gt;0,Q63,0)</f>
        <v>46434</v>
      </c>
      <c r="S63" s="12"/>
    </row>
    <row r="64" customFormat="false" ht="15" hidden="false" customHeight="false" outlineLevel="0" collapsed="false">
      <c r="A64" s="15" t="s">
        <v>3100</v>
      </c>
      <c r="B64" s="15" t="s">
        <v>3095</v>
      </c>
      <c r="C64" s="15" t="s">
        <v>385</v>
      </c>
      <c r="D64" s="15" t="s">
        <v>500</v>
      </c>
      <c r="E64" s="15" t="s">
        <v>541</v>
      </c>
      <c r="F64" s="15" t="s">
        <v>3010</v>
      </c>
      <c r="G64" s="15" t="s">
        <v>3011</v>
      </c>
      <c r="H64" s="33" t="n">
        <f aca="false">Packages!$AD$11</f>
        <v>11.9357199992531</v>
      </c>
      <c r="I64" s="15" t="s">
        <v>3012</v>
      </c>
      <c r="J64" s="34" t="n">
        <f aca="false">IF(Packages!$AD$11=0,0,MAX(1,ROUNDUP(Packages!$AD$11/(R_SHEET*Fronts!$I$5),0)))</f>
        <v>1</v>
      </c>
      <c r="K64" s="34" t="n">
        <f aca="false">IF(J64=0,0,ROUNDUP(J64*7/WD,0))</f>
        <v>2</v>
      </c>
      <c r="L64" s="15" t="s">
        <v>3099</v>
      </c>
      <c r="M64" s="34" t="n">
        <f aca="false">ROUNDUP(K63*LADDER,0)</f>
        <v>1</v>
      </c>
      <c r="N64" s="34" t="n">
        <f aca="false">IF(K64=0,0,FFLAG)</f>
        <v>2</v>
      </c>
      <c r="O64" s="15"/>
      <c r="P64" s="16" t="n">
        <f aca="false">MAX(P63+M64)</f>
        <v>46432</v>
      </c>
      <c r="Q64" s="16" t="n">
        <f aca="false">MAX(P64+K64,Q63+N64)</f>
        <v>46436</v>
      </c>
      <c r="R64" s="16" t="n">
        <f aca="false">IF(K64&gt;0,Q64,0)</f>
        <v>46436</v>
      </c>
      <c r="S64" s="12"/>
    </row>
    <row r="65" customFormat="false" ht="15" hidden="false" customHeight="false" outlineLevel="0" collapsed="false">
      <c r="A65" s="15" t="s">
        <v>3101</v>
      </c>
      <c r="B65" s="15" t="s">
        <v>3095</v>
      </c>
      <c r="C65" s="15" t="s">
        <v>385</v>
      </c>
      <c r="D65" s="15" t="s">
        <v>500</v>
      </c>
      <c r="E65" s="15" t="s">
        <v>541</v>
      </c>
      <c r="F65" s="15" t="s">
        <v>3014</v>
      </c>
      <c r="G65" s="15" t="s">
        <v>3015</v>
      </c>
      <c r="H65" s="33" t="n">
        <f aca="false">Packages!$O$11</f>
        <v>5.96785999962656</v>
      </c>
      <c r="I65" s="15" t="s">
        <v>118</v>
      </c>
      <c r="J65" s="34" t="n">
        <f aca="false">IF(Packages!$AG$11=0,0,ROUNDUP(Packages!$O$11/R_DW,0)+DW_DRAW)</f>
        <v>8</v>
      </c>
      <c r="K65" s="34" t="n">
        <f aca="false">IF(J65=0,0,ROUNDUP(J65*7/WD,0))</f>
        <v>10</v>
      </c>
      <c r="L65" s="15" t="s">
        <v>3100</v>
      </c>
      <c r="M65" s="34" t="n">
        <f aca="false">ROUNDUP(K64*LADDER,0)</f>
        <v>1</v>
      </c>
      <c r="N65" s="34" t="n">
        <f aca="false">IF(K65=0,0,FFLAG)</f>
        <v>2</v>
      </c>
      <c r="O65" s="15"/>
      <c r="P65" s="16" t="n">
        <f aca="false">MAX(P64+M65)</f>
        <v>46433</v>
      </c>
      <c r="Q65" s="16" t="n">
        <f aca="false">MAX(P65+K65,Q64+N65)</f>
        <v>46443</v>
      </c>
      <c r="R65" s="12"/>
      <c r="S65" s="12"/>
    </row>
    <row r="66" customFormat="false" ht="15" hidden="false" customHeight="false" outlineLevel="0" collapsed="false">
      <c r="A66" s="15" t="s">
        <v>3102</v>
      </c>
      <c r="B66" s="15" t="s">
        <v>3095</v>
      </c>
      <c r="C66" s="15" t="s">
        <v>385</v>
      </c>
      <c r="D66" s="15" t="s">
        <v>500</v>
      </c>
      <c r="E66" s="15" t="s">
        <v>541</v>
      </c>
      <c r="F66" s="15" t="s">
        <v>3017</v>
      </c>
      <c r="G66" s="15" t="s">
        <v>3018</v>
      </c>
      <c r="H66" s="33" t="n">
        <f aca="false">Packages!$X$11+Packages!$Y$11</f>
        <v>146.446618083839</v>
      </c>
      <c r="I66" s="15" t="s">
        <v>3019</v>
      </c>
      <c r="J66" s="34" t="n">
        <f aca="false">MAX(1,ROUNDUP((Packages!$X$11/R_EXS+Packages!$Y$11/R_EXO)/Fronts!$J$5,0))</f>
        <v>1</v>
      </c>
      <c r="K66" s="34" t="n">
        <f aca="false">IF(J66=0,0,ROUNDUP(J66*7/WD,0))</f>
        <v>2</v>
      </c>
      <c r="L66" s="15" t="s">
        <v>3101</v>
      </c>
      <c r="M66" s="34" t="n">
        <f aca="false">IF(K65=0,0,ROUNDUP((K65-ROUNDUP(DW_DRAW*7/WD,0))*LADDER,0)+ROUNDUP(DW_DRAW*7/WD,0))</f>
        <v>10</v>
      </c>
      <c r="N66" s="34" t="n">
        <f aca="false">IF(K66=0,0,FFLAG)</f>
        <v>2</v>
      </c>
      <c r="O66" s="15" t="s">
        <v>3103</v>
      </c>
      <c r="P66" s="16" t="n">
        <f aca="false">MAX(P65+M66,P110,P121)</f>
        <v>46499</v>
      </c>
      <c r="Q66" s="16" t="n">
        <f aca="false">MAX(P66+K66,Q65+N66)</f>
        <v>46501</v>
      </c>
      <c r="R66" s="16" t="n">
        <f aca="false">IF(K66&gt;0,Q66,0)</f>
        <v>46501</v>
      </c>
      <c r="S66" s="12"/>
    </row>
    <row r="67" customFormat="false" ht="15" hidden="false" customHeight="false" outlineLevel="0" collapsed="false">
      <c r="A67" s="15" t="s">
        <v>3104</v>
      </c>
      <c r="B67" s="15" t="s">
        <v>3095</v>
      </c>
      <c r="C67" s="15" t="s">
        <v>385</v>
      </c>
      <c r="D67" s="15" t="s">
        <v>500</v>
      </c>
      <c r="E67" s="15" t="s">
        <v>541</v>
      </c>
      <c r="F67" s="15" t="s">
        <v>3022</v>
      </c>
      <c r="G67" s="15" t="s">
        <v>3023</v>
      </c>
      <c r="H67" s="33" t="n">
        <f aca="false">Packages!$O$11</f>
        <v>5.96785999962656</v>
      </c>
      <c r="I67" s="15" t="s">
        <v>118</v>
      </c>
      <c r="J67" s="34" t="n">
        <f aca="false">MAX(1,ROUNDUP(Packages!$O$11/(R_SLAB*Fronts!$K$5),0))+SLAB_CURE</f>
        <v>4</v>
      </c>
      <c r="K67" s="34" t="n">
        <f aca="false">IF(J67=0,0,ROUNDUP(J67*7/WD,0))</f>
        <v>5</v>
      </c>
      <c r="L67" s="15" t="s">
        <v>3102</v>
      </c>
      <c r="M67" s="34" t="n">
        <f aca="false">ROUNDUP(K66*LADDER,0)</f>
        <v>1</v>
      </c>
      <c r="N67" s="34" t="n">
        <f aca="false">IF(K67=0,0,FFLAG)</f>
        <v>2</v>
      </c>
      <c r="O67" s="15"/>
      <c r="P67" s="16" t="n">
        <f aca="false">MAX(P66+M67)</f>
        <v>46500</v>
      </c>
      <c r="Q67" s="16" t="n">
        <f aca="false">MAX(P67+K67,Q66+N67)</f>
        <v>46505</v>
      </c>
      <c r="R67" s="16" t="n">
        <f aca="false">IF(K67&gt;0,Q67,0)</f>
        <v>46505</v>
      </c>
      <c r="S67" s="12"/>
    </row>
    <row r="68" customFormat="false" ht="15" hidden="false" customHeight="false" outlineLevel="0" collapsed="false">
      <c r="A68" s="15" t="s">
        <v>3105</v>
      </c>
      <c r="B68" s="15" t="s">
        <v>3095</v>
      </c>
      <c r="C68" s="15" t="s">
        <v>385</v>
      </c>
      <c r="D68" s="15" t="s">
        <v>500</v>
      </c>
      <c r="E68" s="15" t="s">
        <v>541</v>
      </c>
      <c r="F68" s="15" t="s">
        <v>3025</v>
      </c>
      <c r="G68" s="15" t="s">
        <v>3026</v>
      </c>
      <c r="H68" s="33" t="n">
        <f aca="false">Packages!$O$11</f>
        <v>5.96785999962656</v>
      </c>
      <c r="I68" s="15" t="s">
        <v>118</v>
      </c>
      <c r="J68" s="34" t="n">
        <f aca="false">MAX(1,ROUNDUP(Packages!$O$11/(IF(Packages!$N$11&gt;=PIPE_T1,R_PIPE_L,IF(Packages!$N$11&gt;=PIPE_T2,R_PIPE_M,R_PIPE_S))*Fronts!$L$5)+Packages!$M$11*FIT_D+IF(Packages!$G$11&lt;&gt;"Run",TIE_D,0),0))</f>
        <v>4</v>
      </c>
      <c r="K68" s="34" t="n">
        <f aca="false">IF(J68=0,0,ROUNDUP(J68*7/WD,0))</f>
        <v>5</v>
      </c>
      <c r="L68" s="15" t="s">
        <v>3104</v>
      </c>
      <c r="M68" s="34" t="n">
        <f aca="false">ROUNDUP(K67*LADDER,0)</f>
        <v>2</v>
      </c>
      <c r="N68" s="34" t="n">
        <f aca="false">IF(K68=0,0,FFLAG)</f>
        <v>2</v>
      </c>
      <c r="O68" s="15" t="s">
        <v>3106</v>
      </c>
      <c r="P68" s="16" t="n">
        <f aca="false">MAX(P67+M68,Q79)</f>
        <v>46502</v>
      </c>
      <c r="Q68" s="16" t="n">
        <f aca="false">MAX(P68+K68,Q67+N68)</f>
        <v>46507</v>
      </c>
      <c r="R68" s="16" t="n">
        <f aca="false">IF(K68&gt;0,Q68,0)</f>
        <v>46507</v>
      </c>
      <c r="S68" s="12"/>
    </row>
    <row r="69" customFormat="false" ht="15" hidden="false" customHeight="false" outlineLevel="0" collapsed="false">
      <c r="A69" s="15" t="s">
        <v>3107</v>
      </c>
      <c r="B69" s="15" t="s">
        <v>3095</v>
      </c>
      <c r="C69" s="15" t="s">
        <v>385</v>
      </c>
      <c r="D69" s="15" t="s">
        <v>500</v>
      </c>
      <c r="E69" s="15" t="s">
        <v>541</v>
      </c>
      <c r="F69" s="15" t="s">
        <v>3028</v>
      </c>
      <c r="G69" s="15" t="s">
        <v>3029</v>
      </c>
      <c r="H69" s="33" t="n">
        <f aca="false">Packages!$O$11</f>
        <v>5.96785999962656</v>
      </c>
      <c r="I69" s="15" t="s">
        <v>118</v>
      </c>
      <c r="J69" s="34" t="n">
        <f aca="false">TEST_D+ROUNDUP(Packages!$O$11/R_TEST,0)</f>
        <v>3</v>
      </c>
      <c r="K69" s="34" t="n">
        <f aca="false">IF(J69=0,0,ROUNDUP(J69*7/WD,0))</f>
        <v>4</v>
      </c>
      <c r="L69" s="15" t="s">
        <v>3105</v>
      </c>
      <c r="M69" s="34" t="n">
        <f aca="false">ROUNDUP(K68*LADDER,0)</f>
        <v>2</v>
      </c>
      <c r="N69" s="34" t="n">
        <f aca="false">IF(K69=0,0,FFLAG)</f>
        <v>2</v>
      </c>
      <c r="O69" s="15"/>
      <c r="P69" s="16" t="n">
        <f aca="false">MAX(P68+M69)</f>
        <v>46504</v>
      </c>
      <c r="Q69" s="16" t="n">
        <f aca="false">MAX(P69+K69,Q68+N69)</f>
        <v>46509</v>
      </c>
      <c r="R69" s="12"/>
      <c r="S69" s="12"/>
    </row>
    <row r="70" customFormat="false" ht="15" hidden="false" customHeight="false" outlineLevel="0" collapsed="false">
      <c r="A70" s="15" t="s">
        <v>3108</v>
      </c>
      <c r="B70" s="15" t="s">
        <v>3095</v>
      </c>
      <c r="C70" s="15" t="s">
        <v>385</v>
      </c>
      <c r="D70" s="15" t="s">
        <v>500</v>
      </c>
      <c r="E70" s="15" t="s">
        <v>541</v>
      </c>
      <c r="F70" s="15" t="s">
        <v>3031</v>
      </c>
      <c r="G70" s="15" t="s">
        <v>3032</v>
      </c>
      <c r="H70" s="33" t="n">
        <f aca="false">Packages!$AB$11</f>
        <v>117.210959892189</v>
      </c>
      <c r="I70" s="15" t="s">
        <v>3019</v>
      </c>
      <c r="J70" s="34" t="n">
        <f aca="false">MAX(1,ROUNDUP(Packages!$AB$11/(R_BF*Fronts!$M$5),0))</f>
        <v>1</v>
      </c>
      <c r="K70" s="34" t="n">
        <f aca="false">IF(J70=0,0,ROUNDUP(J70*7/WD,0))</f>
        <v>2</v>
      </c>
      <c r="L70" s="15" t="s">
        <v>3107</v>
      </c>
      <c r="M70" s="34" t="n">
        <f aca="false">ROUNDUP(K69*LADDER,0)</f>
        <v>2</v>
      </c>
      <c r="N70" s="34" t="n">
        <f aca="false">IF(K70=0,0,FFLAG)</f>
        <v>2</v>
      </c>
      <c r="O70" s="15" t="s">
        <v>3109</v>
      </c>
      <c r="P70" s="16" t="n">
        <f aca="false">MAX(P69+M70,Q112,Q123)</f>
        <v>46524</v>
      </c>
      <c r="Q70" s="16" t="n">
        <f aca="false">MAX(P70+K70,Q69+N70)</f>
        <v>46526</v>
      </c>
      <c r="R70" s="16" t="n">
        <f aca="false">IF(K70&gt;0,Q70,0)</f>
        <v>46526</v>
      </c>
      <c r="S70" s="12"/>
    </row>
    <row r="71" customFormat="false" ht="15" hidden="false" customHeight="false" outlineLevel="0" collapsed="false">
      <c r="A71" s="15" t="s">
        <v>3110</v>
      </c>
      <c r="B71" s="15" t="s">
        <v>3095</v>
      </c>
      <c r="C71" s="15" t="s">
        <v>385</v>
      </c>
      <c r="D71" s="15" t="s">
        <v>500</v>
      </c>
      <c r="E71" s="15" t="s">
        <v>541</v>
      </c>
      <c r="F71" s="15" t="s">
        <v>3034</v>
      </c>
      <c r="G71" s="15" t="s">
        <v>3035</v>
      </c>
      <c r="H71" s="33" t="n">
        <f aca="false">Packages!$AD$11</f>
        <v>11.9357199992531</v>
      </c>
      <c r="I71" s="15" t="s">
        <v>3012</v>
      </c>
      <c r="J71" s="34" t="n">
        <f aca="false">IF(Packages!$AD$11&gt;0,ROUNDUP(Packages!$AD$11/R_EXT,0),0)+IF(Packages!$AG$11&gt;0,1,0)</f>
        <v>2</v>
      </c>
      <c r="K71" s="34" t="n">
        <f aca="false">IF(J71=0,0,ROUNDUP(J71*7/WD,0))</f>
        <v>3</v>
      </c>
      <c r="L71" s="15" t="s">
        <v>3108</v>
      </c>
      <c r="M71" s="34" t="n">
        <f aca="false">ROUNDUP(K70*LADDER,0)</f>
        <v>1</v>
      </c>
      <c r="N71" s="34" t="n">
        <f aca="false">IF(K71=0,0,FFLAG)</f>
        <v>2</v>
      </c>
      <c r="O71" s="15"/>
      <c r="P71" s="16" t="n">
        <f aca="false">MAX(P70+M71)</f>
        <v>46525</v>
      </c>
      <c r="Q71" s="16" t="n">
        <f aca="false">MAX(P71+K71,Q70+N71)</f>
        <v>46528</v>
      </c>
      <c r="R71" s="12"/>
      <c r="S71" s="12"/>
    </row>
    <row r="72" customFormat="false" ht="15" hidden="false" customHeight="false" outlineLevel="0" collapsed="false">
      <c r="A72" s="15" t="s">
        <v>3111</v>
      </c>
      <c r="B72" s="15" t="s">
        <v>3112</v>
      </c>
      <c r="C72" s="15" t="s">
        <v>385</v>
      </c>
      <c r="D72" s="15" t="s">
        <v>500</v>
      </c>
      <c r="E72" s="15" t="s">
        <v>526</v>
      </c>
      <c r="F72" s="15" t="s">
        <v>2998</v>
      </c>
      <c r="G72" s="15" t="s">
        <v>2999</v>
      </c>
      <c r="H72" s="12"/>
      <c r="I72" s="12"/>
      <c r="J72" s="34" t="n">
        <f aca="false">0</f>
        <v>0</v>
      </c>
      <c r="K72" s="34" t="n">
        <f aca="false">IF(J72=0,0,ROUNDUP(J72*7/WD,0))</f>
        <v>0</v>
      </c>
      <c r="L72" s="12"/>
      <c r="M72" s="12"/>
      <c r="N72" s="12"/>
      <c r="O72" s="15" t="s">
        <v>3065</v>
      </c>
      <c r="P72" s="16" t="n">
        <f aca="false">MAX(START,D_DLU,Packages!$I$12,Packages!$K$12)</f>
        <v>46357</v>
      </c>
      <c r="Q72" s="16" t="n">
        <f aca="false">P72+K72</f>
        <v>46357</v>
      </c>
      <c r="R72" s="12"/>
      <c r="S72" s="12"/>
    </row>
    <row r="73" customFormat="false" ht="15" hidden="false" customHeight="false" outlineLevel="0" collapsed="false">
      <c r="A73" s="15" t="s">
        <v>3113</v>
      </c>
      <c r="B73" s="15" t="s">
        <v>3112</v>
      </c>
      <c r="C73" s="15" t="s">
        <v>385</v>
      </c>
      <c r="D73" s="15" t="s">
        <v>500</v>
      </c>
      <c r="E73" s="15" t="s">
        <v>526</v>
      </c>
      <c r="F73" s="15" t="s">
        <v>3002</v>
      </c>
      <c r="G73" s="15" t="s">
        <v>205</v>
      </c>
      <c r="H73" s="33" t="n">
        <f aca="false">Packages!$O$12</f>
        <v>105.194074918404</v>
      </c>
      <c r="I73" s="15" t="s">
        <v>118</v>
      </c>
      <c r="J73" s="34" t="n">
        <f aca="false">MAX(1,ROUNDUP(Packages!$O$12/R_PLAT,0))</f>
        <v>2</v>
      </c>
      <c r="K73" s="34" t="n">
        <f aca="false">IF(J73=0,0,ROUNDUP(J73*7/WD,0))</f>
        <v>3</v>
      </c>
      <c r="L73" s="15" t="s">
        <v>3111</v>
      </c>
      <c r="M73" s="12"/>
      <c r="N73" s="12"/>
      <c r="O73" s="15" t="s">
        <v>3114</v>
      </c>
      <c r="P73" s="16" t="n">
        <f aca="false">MAX(Q72,P52)</f>
        <v>46416</v>
      </c>
      <c r="Q73" s="16" t="n">
        <f aca="false">P73+K73</f>
        <v>46419</v>
      </c>
      <c r="R73" s="12"/>
      <c r="S73" s="12"/>
    </row>
    <row r="74" customFormat="false" ht="15" hidden="false" customHeight="false" outlineLevel="0" collapsed="false">
      <c r="A74" s="15" t="s">
        <v>3115</v>
      </c>
      <c r="B74" s="15" t="s">
        <v>3112</v>
      </c>
      <c r="C74" s="15" t="s">
        <v>385</v>
      </c>
      <c r="D74" s="15" t="s">
        <v>500</v>
      </c>
      <c r="E74" s="15" t="s">
        <v>526</v>
      </c>
      <c r="F74" s="15" t="s">
        <v>3005</v>
      </c>
      <c r="G74" s="15" t="s">
        <v>3006</v>
      </c>
      <c r="H74" s="33" t="n">
        <f aca="false">Packages!$AC$12</f>
        <v>74</v>
      </c>
      <c r="I74" s="15" t="s">
        <v>3007</v>
      </c>
      <c r="J74" s="34" t="n">
        <f aca="false">IF(Packages!$AC$12=0,0,MAX(1,ROUNDUP(Packages!$AC$12/(R_PILE*Fronts!$H$5),0)))</f>
        <v>15</v>
      </c>
      <c r="K74" s="34" t="n">
        <f aca="false">IF(J74=0,0,ROUNDUP(J74*7/WD,0))</f>
        <v>18</v>
      </c>
      <c r="L74" s="15" t="s">
        <v>3113</v>
      </c>
      <c r="M74" s="34" t="n">
        <f aca="false">ROUNDUP(K73*LADDER,0)</f>
        <v>1</v>
      </c>
      <c r="N74" s="34" t="n">
        <f aca="false">IF(K74=0,0,FFLAG)</f>
        <v>2</v>
      </c>
      <c r="O74" s="15" t="s">
        <v>3008</v>
      </c>
      <c r="P74" s="16" t="n">
        <f aca="false">MAX(P73+M74,D_PILEDES,R52)</f>
        <v>46430</v>
      </c>
      <c r="Q74" s="16" t="n">
        <f aca="false">MAX(P74+K74,Q73+N74)</f>
        <v>46448</v>
      </c>
      <c r="R74" s="16" t="n">
        <f aca="false">IF(K74&gt;0,Q74,R52)</f>
        <v>46448</v>
      </c>
      <c r="S74" s="15" t="s">
        <v>3083</v>
      </c>
    </row>
    <row r="75" customFormat="false" ht="15" hidden="false" customHeight="false" outlineLevel="0" collapsed="false">
      <c r="A75" s="15" t="s">
        <v>3116</v>
      </c>
      <c r="B75" s="15" t="s">
        <v>3112</v>
      </c>
      <c r="C75" s="15" t="s">
        <v>385</v>
      </c>
      <c r="D75" s="15" t="s">
        <v>500</v>
      </c>
      <c r="E75" s="15" t="s">
        <v>526</v>
      </c>
      <c r="F75" s="15" t="s">
        <v>3010</v>
      </c>
      <c r="G75" s="15" t="s">
        <v>3011</v>
      </c>
      <c r="H75" s="33" t="n">
        <f aca="false">Packages!$AD$12</f>
        <v>210.388149836808</v>
      </c>
      <c r="I75" s="15" t="s">
        <v>3012</v>
      </c>
      <c r="J75" s="34" t="n">
        <f aca="false">IF(Packages!$AD$12=0,0,MAX(1,ROUNDUP(Packages!$AD$12/(R_SHEET*Fronts!$I$5),0)))</f>
        <v>9</v>
      </c>
      <c r="K75" s="34" t="n">
        <f aca="false">IF(J75=0,0,ROUNDUP(J75*7/WD,0))</f>
        <v>11</v>
      </c>
      <c r="L75" s="15" t="s">
        <v>3115</v>
      </c>
      <c r="M75" s="34" t="n">
        <f aca="false">ROUNDUP(K74*LADDER,0)</f>
        <v>6</v>
      </c>
      <c r="N75" s="34" t="n">
        <f aca="false">IF(K75=0,0,FFLAG)</f>
        <v>2</v>
      </c>
      <c r="O75" s="15"/>
      <c r="P75" s="16" t="n">
        <f aca="false">MAX(P74+M75,R53)</f>
        <v>46436</v>
      </c>
      <c r="Q75" s="16" t="n">
        <f aca="false">MAX(P75+K75,Q74+N75)</f>
        <v>46450</v>
      </c>
      <c r="R75" s="16" t="n">
        <f aca="false">IF(K75&gt;0,Q75,R53)</f>
        <v>46450</v>
      </c>
      <c r="S75" s="15" t="s">
        <v>3084</v>
      </c>
    </row>
    <row r="76" customFormat="false" ht="15" hidden="false" customHeight="false" outlineLevel="0" collapsed="false">
      <c r="A76" s="15" t="s">
        <v>3117</v>
      </c>
      <c r="B76" s="15" t="s">
        <v>3112</v>
      </c>
      <c r="C76" s="15" t="s">
        <v>385</v>
      </c>
      <c r="D76" s="15" t="s">
        <v>500</v>
      </c>
      <c r="E76" s="15" t="s">
        <v>526</v>
      </c>
      <c r="F76" s="15" t="s">
        <v>3014</v>
      </c>
      <c r="G76" s="15" t="s">
        <v>3015</v>
      </c>
      <c r="H76" s="33" t="n">
        <f aca="false">Packages!$O$12</f>
        <v>105.194074918404</v>
      </c>
      <c r="I76" s="15" t="s">
        <v>118</v>
      </c>
      <c r="J76" s="34" t="n">
        <f aca="false">IF(Packages!$AG$12=0,0,ROUNDUP(Packages!$O$12/R_DW,0)+DW_DRAW)</f>
        <v>10</v>
      </c>
      <c r="K76" s="34" t="n">
        <f aca="false">IF(J76=0,0,ROUNDUP(J76*7/WD,0))</f>
        <v>12</v>
      </c>
      <c r="L76" s="15" t="s">
        <v>3116</v>
      </c>
      <c r="M76" s="34" t="n">
        <f aca="false">ROUNDUP(K75*LADDER,0)</f>
        <v>4</v>
      </c>
      <c r="N76" s="34" t="n">
        <f aca="false">IF(K76=0,0,FFLAG)</f>
        <v>2</v>
      </c>
      <c r="O76" s="15" t="s">
        <v>3118</v>
      </c>
      <c r="P76" s="16" t="n">
        <f aca="false">MAX(P75+M76,Q55-K76)</f>
        <v>46440</v>
      </c>
      <c r="Q76" s="16" t="n">
        <f aca="false">MAX(P76+K76,Q75+N76)</f>
        <v>46452</v>
      </c>
      <c r="R76" s="12"/>
      <c r="S76" s="12"/>
    </row>
    <row r="77" customFormat="false" ht="15" hidden="false" customHeight="false" outlineLevel="0" collapsed="false">
      <c r="A77" s="15" t="s">
        <v>3119</v>
      </c>
      <c r="B77" s="15" t="s">
        <v>3112</v>
      </c>
      <c r="C77" s="15" t="s">
        <v>385</v>
      </c>
      <c r="D77" s="15" t="s">
        <v>500</v>
      </c>
      <c r="E77" s="15" t="s">
        <v>526</v>
      </c>
      <c r="F77" s="15" t="s">
        <v>3017</v>
      </c>
      <c r="G77" s="15" t="s">
        <v>3018</v>
      </c>
      <c r="H77" s="33" t="n">
        <f aca="false">Packages!$X$12+Packages!$Y$12</f>
        <v>2464.84067827765</v>
      </c>
      <c r="I77" s="15" t="s">
        <v>3019</v>
      </c>
      <c r="J77" s="34" t="n">
        <f aca="false">MAX(1,ROUNDUP((Packages!$X$12/R_EXS+Packages!$Y$12/R_EXO)/Fronts!$J$5,0))</f>
        <v>10</v>
      </c>
      <c r="K77" s="34" t="n">
        <f aca="false">IF(J77=0,0,ROUNDUP(J77*7/WD,0))</f>
        <v>12</v>
      </c>
      <c r="L77" s="15" t="s">
        <v>3117</v>
      </c>
      <c r="M77" s="34" t="n">
        <f aca="false">IF(K76=0,0,ROUNDUP((K76-ROUNDUP(DW_DRAW*7/WD,0))*LADDER,0)+ROUNDUP(DW_DRAW*7/WD,0))</f>
        <v>10</v>
      </c>
      <c r="N77" s="34" t="n">
        <f aca="false">IF(K77=0,0,FFLAG)</f>
        <v>2</v>
      </c>
      <c r="O77" s="15" t="s">
        <v>3120</v>
      </c>
      <c r="P77" s="16" t="n">
        <f aca="false">MAX(P76+M77,D_XING,R55,P121)</f>
        <v>46477</v>
      </c>
      <c r="Q77" s="16" t="n">
        <f aca="false">MAX(P77+K77,Q76+N77)</f>
        <v>46489</v>
      </c>
      <c r="R77" s="16" t="n">
        <f aca="false">IF(K77&gt;0,Q77,R55)</f>
        <v>46489</v>
      </c>
      <c r="S77" s="15" t="s">
        <v>3087</v>
      </c>
    </row>
    <row r="78" customFormat="false" ht="15" hidden="false" customHeight="false" outlineLevel="0" collapsed="false">
      <c r="A78" s="15" t="s">
        <v>3121</v>
      </c>
      <c r="B78" s="15" t="s">
        <v>3112</v>
      </c>
      <c r="C78" s="15" t="s">
        <v>385</v>
      </c>
      <c r="D78" s="15" t="s">
        <v>500</v>
      </c>
      <c r="E78" s="15" t="s">
        <v>526</v>
      </c>
      <c r="F78" s="15" t="s">
        <v>3022</v>
      </c>
      <c r="G78" s="15" t="s">
        <v>3023</v>
      </c>
      <c r="H78" s="33" t="n">
        <f aca="false">Packages!$O$12</f>
        <v>105.194074918404</v>
      </c>
      <c r="I78" s="15" t="s">
        <v>118</v>
      </c>
      <c r="J78" s="34" t="n">
        <f aca="false">MAX(1,ROUNDUP(Packages!$O$12/(R_SLAB*Fronts!$K$5),0))+SLAB_CURE</f>
        <v>12</v>
      </c>
      <c r="K78" s="34" t="n">
        <f aca="false">IF(J78=0,0,ROUNDUP(J78*7/WD,0))</f>
        <v>14</v>
      </c>
      <c r="L78" s="15" t="s">
        <v>3119</v>
      </c>
      <c r="M78" s="34" t="n">
        <f aca="false">ROUNDUP(K77*LADDER,0)</f>
        <v>4</v>
      </c>
      <c r="N78" s="34" t="n">
        <f aca="false">IF(K78=0,0,FFLAG)</f>
        <v>2</v>
      </c>
      <c r="O78" s="15"/>
      <c r="P78" s="16" t="n">
        <f aca="false">MAX(P77+M78,R56)</f>
        <v>46481</v>
      </c>
      <c r="Q78" s="16" t="n">
        <f aca="false">MAX(P78+K78,Q77+N78)</f>
        <v>46495</v>
      </c>
      <c r="R78" s="16" t="n">
        <f aca="false">IF(K78&gt;0,Q78,R56)</f>
        <v>46495</v>
      </c>
      <c r="S78" s="15" t="s">
        <v>3088</v>
      </c>
    </row>
    <row r="79" customFormat="false" ht="15" hidden="false" customHeight="false" outlineLevel="0" collapsed="false">
      <c r="A79" s="15" t="s">
        <v>3122</v>
      </c>
      <c r="B79" s="15" t="s">
        <v>3112</v>
      </c>
      <c r="C79" s="15" t="s">
        <v>385</v>
      </c>
      <c r="D79" s="15" t="s">
        <v>500</v>
      </c>
      <c r="E79" s="15" t="s">
        <v>526</v>
      </c>
      <c r="F79" s="15" t="s">
        <v>3025</v>
      </c>
      <c r="G79" s="15" t="s">
        <v>3026</v>
      </c>
      <c r="H79" s="33" t="n">
        <f aca="false">Packages!$O$12</f>
        <v>105.194074918404</v>
      </c>
      <c r="I79" s="15" t="s">
        <v>118</v>
      </c>
      <c r="J79" s="34" t="n">
        <f aca="false">MAX(1,ROUNDUP(Packages!$O$12/(IF(Packages!$N$12&gt;=PIPE_T1,R_PIPE_L,IF(Packages!$N$12&gt;=PIPE_T2,R_PIPE_M,R_PIPE_S))*Fronts!$L$5)+Packages!$M$12*FIT_D+IF(Packages!$G$12&lt;&gt;"Run",TIE_D,0),0))</f>
        <v>7</v>
      </c>
      <c r="K79" s="34" t="n">
        <f aca="false">IF(J79=0,0,ROUNDUP(J79*7/WD,0))</f>
        <v>9</v>
      </c>
      <c r="L79" s="15" t="s">
        <v>3121</v>
      </c>
      <c r="M79" s="34" t="n">
        <f aca="false">ROUNDUP(K78*LADDER,0)</f>
        <v>5</v>
      </c>
      <c r="N79" s="34" t="n">
        <f aca="false">IF(K79=0,0,FFLAG)</f>
        <v>2</v>
      </c>
      <c r="O79" s="15"/>
      <c r="P79" s="16" t="n">
        <f aca="false">MAX(P78+M79,R57)</f>
        <v>46486</v>
      </c>
      <c r="Q79" s="16" t="n">
        <f aca="false">MAX(P79+K79,Q78+N79)</f>
        <v>46497</v>
      </c>
      <c r="R79" s="16" t="n">
        <f aca="false">IF(K79&gt;0,Q79,R57)</f>
        <v>46497</v>
      </c>
      <c r="S79" s="15" t="s">
        <v>3089</v>
      </c>
    </row>
    <row r="80" customFormat="false" ht="15" hidden="false" customHeight="false" outlineLevel="0" collapsed="false">
      <c r="A80" s="15" t="s">
        <v>3123</v>
      </c>
      <c r="B80" s="15" t="s">
        <v>3112</v>
      </c>
      <c r="C80" s="15" t="s">
        <v>385</v>
      </c>
      <c r="D80" s="15" t="s">
        <v>500</v>
      </c>
      <c r="E80" s="15" t="s">
        <v>526</v>
      </c>
      <c r="F80" s="15" t="s">
        <v>3028</v>
      </c>
      <c r="G80" s="15" t="s">
        <v>3029</v>
      </c>
      <c r="H80" s="33" t="n">
        <f aca="false">Packages!$O$12</f>
        <v>105.194074918404</v>
      </c>
      <c r="I80" s="15" t="s">
        <v>118</v>
      </c>
      <c r="J80" s="34" t="n">
        <f aca="false">TEST_D+ROUNDUP(Packages!$O$12/R_TEST,0)</f>
        <v>3</v>
      </c>
      <c r="K80" s="34" t="n">
        <f aca="false">IF(J80=0,0,ROUNDUP(J80*7/WD,0))</f>
        <v>4</v>
      </c>
      <c r="L80" s="15" t="s">
        <v>3122</v>
      </c>
      <c r="M80" s="34" t="n">
        <f aca="false">ROUNDUP(K79*LADDER,0)</f>
        <v>3</v>
      </c>
      <c r="N80" s="34" t="n">
        <f aca="false">IF(K80=0,0,FFLAG)</f>
        <v>2</v>
      </c>
      <c r="O80" s="15"/>
      <c r="P80" s="16" t="n">
        <f aca="false">MAX(P79+M80)</f>
        <v>46489</v>
      </c>
      <c r="Q80" s="16" t="n">
        <f aca="false">MAX(P80+K80,Q79+N80)</f>
        <v>46499</v>
      </c>
      <c r="R80" s="12"/>
      <c r="S80" s="12"/>
    </row>
    <row r="81" customFormat="false" ht="15" hidden="false" customHeight="false" outlineLevel="0" collapsed="false">
      <c r="A81" s="15" t="s">
        <v>3124</v>
      </c>
      <c r="B81" s="15" t="s">
        <v>3112</v>
      </c>
      <c r="C81" s="15" t="s">
        <v>385</v>
      </c>
      <c r="D81" s="15" t="s">
        <v>500</v>
      </c>
      <c r="E81" s="15" t="s">
        <v>526</v>
      </c>
      <c r="F81" s="15" t="s">
        <v>3031</v>
      </c>
      <c r="G81" s="15" t="s">
        <v>3032</v>
      </c>
      <c r="H81" s="33" t="n">
        <f aca="false">Packages!$AB$12</f>
        <v>1949.50683666745</v>
      </c>
      <c r="I81" s="15" t="s">
        <v>3019</v>
      </c>
      <c r="J81" s="34" t="n">
        <f aca="false">MAX(1,ROUNDUP(Packages!$AB$12/(R_BF*Fronts!$M$5),0))</f>
        <v>6</v>
      </c>
      <c r="K81" s="34" t="n">
        <f aca="false">IF(J81=0,0,ROUNDUP(J81*7/WD,0))</f>
        <v>7</v>
      </c>
      <c r="L81" s="15" t="s">
        <v>3123</v>
      </c>
      <c r="M81" s="34" t="n">
        <f aca="false">ROUNDUP(K80*LADDER,0)</f>
        <v>2</v>
      </c>
      <c r="N81" s="34" t="n">
        <f aca="false">IF(K81=0,0,FFLAG)</f>
        <v>2</v>
      </c>
      <c r="O81" s="15" t="s">
        <v>3125</v>
      </c>
      <c r="P81" s="16" t="n">
        <f aca="false">MAX(P80+M81,R59,Q90,Q101,Q156,Q112,Q123)</f>
        <v>46537</v>
      </c>
      <c r="Q81" s="16" t="n">
        <f aca="false">MAX(P81+K81,Q80+N81)</f>
        <v>46544</v>
      </c>
      <c r="R81" s="16" t="n">
        <f aca="false">IF(K81&gt;0,Q81,R59)</f>
        <v>46544</v>
      </c>
      <c r="S81" s="15" t="s">
        <v>3091</v>
      </c>
    </row>
    <row r="82" customFormat="false" ht="15" hidden="false" customHeight="false" outlineLevel="0" collapsed="false">
      <c r="A82" s="15" t="s">
        <v>3126</v>
      </c>
      <c r="B82" s="15" t="s">
        <v>3112</v>
      </c>
      <c r="C82" s="15" t="s">
        <v>385</v>
      </c>
      <c r="D82" s="15" t="s">
        <v>500</v>
      </c>
      <c r="E82" s="15" t="s">
        <v>526</v>
      </c>
      <c r="F82" s="15" t="s">
        <v>3034</v>
      </c>
      <c r="G82" s="15" t="s">
        <v>3035</v>
      </c>
      <c r="H82" s="33" t="n">
        <f aca="false">Packages!$AD$12</f>
        <v>210.388149836808</v>
      </c>
      <c r="I82" s="15" t="s">
        <v>3012</v>
      </c>
      <c r="J82" s="34" t="n">
        <f aca="false">IF(Packages!$AD$12&gt;0,ROUNDUP(Packages!$AD$12/R_EXT,0),0)+IF(Packages!$AG$12&gt;0,1,0)</f>
        <v>6</v>
      </c>
      <c r="K82" s="34" t="n">
        <f aca="false">IF(J82=0,0,ROUNDUP(J82*7/WD,0))</f>
        <v>7</v>
      </c>
      <c r="L82" s="15" t="s">
        <v>3124</v>
      </c>
      <c r="M82" s="34" t="n">
        <f aca="false">ROUNDUP(K81*LADDER,0)</f>
        <v>3</v>
      </c>
      <c r="N82" s="34" t="n">
        <f aca="false">IF(K82=0,0,FFLAG)</f>
        <v>2</v>
      </c>
      <c r="O82" s="15"/>
      <c r="P82" s="16" t="n">
        <f aca="false">MAX(P81+M82)</f>
        <v>46540</v>
      </c>
      <c r="Q82" s="16" t="n">
        <f aca="false">MAX(P82+K82,Q81+N82)</f>
        <v>46547</v>
      </c>
      <c r="R82" s="12"/>
      <c r="S82" s="12"/>
    </row>
    <row r="83" customFormat="false" ht="15" hidden="false" customHeight="false" outlineLevel="0" collapsed="false">
      <c r="A83" s="15" t="s">
        <v>3127</v>
      </c>
      <c r="B83" s="15" t="s">
        <v>3128</v>
      </c>
      <c r="C83" s="15" t="s">
        <v>385</v>
      </c>
      <c r="D83" s="15" t="s">
        <v>543</v>
      </c>
      <c r="E83" s="15" t="s">
        <v>544</v>
      </c>
      <c r="F83" s="15" t="s">
        <v>2998</v>
      </c>
      <c r="G83" s="15" t="s">
        <v>2999</v>
      </c>
      <c r="H83" s="12"/>
      <c r="I83" s="12"/>
      <c r="J83" s="34" t="n">
        <f aca="false">0</f>
        <v>0</v>
      </c>
      <c r="K83" s="34" t="n">
        <f aca="false">IF(J83=0,0,ROUNDUP(J83*7/WD,0))</f>
        <v>0</v>
      </c>
      <c r="L83" s="12"/>
      <c r="M83" s="12"/>
      <c r="N83" s="12"/>
      <c r="O83" s="15" t="s">
        <v>3000</v>
      </c>
      <c r="P83" s="16" t="n">
        <f aca="false">MAX(START,D_DLU,Packages!$I$13,Packages!$K$13)</f>
        <v>46357</v>
      </c>
      <c r="Q83" s="16" t="n">
        <f aca="false">P83+K83</f>
        <v>46357</v>
      </c>
      <c r="R83" s="12"/>
      <c r="S83" s="12"/>
    </row>
    <row r="84" customFormat="false" ht="15" hidden="false" customHeight="false" outlineLevel="0" collapsed="false">
      <c r="A84" s="15" t="s">
        <v>3129</v>
      </c>
      <c r="B84" s="15" t="s">
        <v>3128</v>
      </c>
      <c r="C84" s="15" t="s">
        <v>385</v>
      </c>
      <c r="D84" s="15" t="s">
        <v>543</v>
      </c>
      <c r="E84" s="15" t="s">
        <v>544</v>
      </c>
      <c r="F84" s="15" t="s">
        <v>3002</v>
      </c>
      <c r="G84" s="15" t="s">
        <v>205</v>
      </c>
      <c r="H84" s="33" t="n">
        <f aca="false">Packages!$O$13</f>
        <v>65.9999999999322</v>
      </c>
      <c r="I84" s="15" t="s">
        <v>118</v>
      </c>
      <c r="J84" s="34" t="n">
        <f aca="false">MAX(1,ROUNDUP(Packages!$O$13/R_PLAT,0))</f>
        <v>1</v>
      </c>
      <c r="K84" s="34" t="n">
        <f aca="false">IF(J84=0,0,ROUNDUP(J84*7/WD,0))</f>
        <v>2</v>
      </c>
      <c r="L84" s="15" t="s">
        <v>3127</v>
      </c>
      <c r="M84" s="12"/>
      <c r="N84" s="12"/>
      <c r="O84" s="15" t="s">
        <v>3130</v>
      </c>
      <c r="P84" s="16" t="n">
        <f aca="false">MAX(Q83,P74)</f>
        <v>46430</v>
      </c>
      <c r="Q84" s="16" t="n">
        <f aca="false">P84+K84</f>
        <v>46432</v>
      </c>
      <c r="R84" s="12"/>
      <c r="S84" s="12"/>
    </row>
    <row r="85" customFormat="false" ht="15" hidden="false" customHeight="false" outlineLevel="0" collapsed="false">
      <c r="A85" s="15" t="s">
        <v>3131</v>
      </c>
      <c r="B85" s="15" t="s">
        <v>3128</v>
      </c>
      <c r="C85" s="15" t="s">
        <v>385</v>
      </c>
      <c r="D85" s="15" t="s">
        <v>543</v>
      </c>
      <c r="E85" s="15" t="s">
        <v>544</v>
      </c>
      <c r="F85" s="15" t="s">
        <v>3005</v>
      </c>
      <c r="G85" s="15" t="s">
        <v>3006</v>
      </c>
      <c r="H85" s="33" t="n">
        <f aca="false">Packages!$AC$13</f>
        <v>46</v>
      </c>
      <c r="I85" s="15" t="s">
        <v>3007</v>
      </c>
      <c r="J85" s="34" t="n">
        <f aca="false">IF(Packages!$AC$13=0,0,MAX(1,ROUNDUP(Packages!$AC$13/(R_PILE*Fronts!$H$5),0)))</f>
        <v>10</v>
      </c>
      <c r="K85" s="34" t="n">
        <f aca="false">IF(J85=0,0,ROUNDUP(J85*7/WD,0))</f>
        <v>12</v>
      </c>
      <c r="L85" s="15" t="s">
        <v>3129</v>
      </c>
      <c r="M85" s="34" t="n">
        <f aca="false">ROUNDUP(K84*LADDER,0)</f>
        <v>1</v>
      </c>
      <c r="N85" s="34" t="n">
        <f aca="false">IF(K85=0,0,FFLAG)</f>
        <v>2</v>
      </c>
      <c r="O85" s="15" t="s">
        <v>3008</v>
      </c>
      <c r="P85" s="16" t="n">
        <f aca="false">MAX(P84+M85,D_PILEDES,R74)</f>
        <v>46448</v>
      </c>
      <c r="Q85" s="16" t="n">
        <f aca="false">MAX(P85+K85,Q84+N85)</f>
        <v>46460</v>
      </c>
      <c r="R85" s="16" t="n">
        <f aca="false">IF(K85&gt;0,Q85,R74)</f>
        <v>46460</v>
      </c>
      <c r="S85" s="15" t="s">
        <v>3115</v>
      </c>
    </row>
    <row r="86" customFormat="false" ht="15" hidden="false" customHeight="false" outlineLevel="0" collapsed="false">
      <c r="A86" s="15" t="s">
        <v>3132</v>
      </c>
      <c r="B86" s="15" t="s">
        <v>3128</v>
      </c>
      <c r="C86" s="15" t="s">
        <v>385</v>
      </c>
      <c r="D86" s="15" t="s">
        <v>543</v>
      </c>
      <c r="E86" s="15" t="s">
        <v>544</v>
      </c>
      <c r="F86" s="15" t="s">
        <v>3010</v>
      </c>
      <c r="G86" s="15" t="s">
        <v>3011</v>
      </c>
      <c r="H86" s="33" t="n">
        <f aca="false">Packages!$AD$13</f>
        <v>131.999999999864</v>
      </c>
      <c r="I86" s="15" t="s">
        <v>3012</v>
      </c>
      <c r="J86" s="34" t="n">
        <f aca="false">IF(Packages!$AD$13=0,0,MAX(1,ROUNDUP(Packages!$AD$13/(R_SHEET*Fronts!$I$5),0)))</f>
        <v>6</v>
      </c>
      <c r="K86" s="34" t="n">
        <f aca="false">IF(J86=0,0,ROUNDUP(J86*7/WD,0))</f>
        <v>7</v>
      </c>
      <c r="L86" s="15" t="s">
        <v>3131</v>
      </c>
      <c r="M86" s="34" t="n">
        <f aca="false">ROUNDUP(K85*LADDER,0)</f>
        <v>4</v>
      </c>
      <c r="N86" s="34" t="n">
        <f aca="false">IF(K86=0,0,FFLAG)</f>
        <v>2</v>
      </c>
      <c r="O86" s="15"/>
      <c r="P86" s="16" t="n">
        <f aca="false">MAX(P85+M86,R75)</f>
        <v>46452</v>
      </c>
      <c r="Q86" s="16" t="n">
        <f aca="false">MAX(P86+K86,Q85+N86)</f>
        <v>46462</v>
      </c>
      <c r="R86" s="16" t="n">
        <f aca="false">IF(K86&gt;0,Q86,R75)</f>
        <v>46462</v>
      </c>
      <c r="S86" s="15" t="s">
        <v>3116</v>
      </c>
    </row>
    <row r="87" customFormat="false" ht="15" hidden="false" customHeight="false" outlineLevel="0" collapsed="false">
      <c r="A87" s="15" t="s">
        <v>3133</v>
      </c>
      <c r="B87" s="15" t="s">
        <v>3128</v>
      </c>
      <c r="C87" s="15" t="s">
        <v>385</v>
      </c>
      <c r="D87" s="15" t="s">
        <v>543</v>
      </c>
      <c r="E87" s="15" t="s">
        <v>544</v>
      </c>
      <c r="F87" s="15" t="s">
        <v>3014</v>
      </c>
      <c r="G87" s="15" t="s">
        <v>3015</v>
      </c>
      <c r="H87" s="33" t="n">
        <f aca="false">Packages!$O$13</f>
        <v>65.9999999999322</v>
      </c>
      <c r="I87" s="15" t="s">
        <v>118</v>
      </c>
      <c r="J87" s="34" t="n">
        <f aca="false">IF(Packages!$AG$13=0,0,ROUNDUP(Packages!$O$13/R_DW,0)+DW_DRAW)</f>
        <v>9</v>
      </c>
      <c r="K87" s="34" t="n">
        <f aca="false">IF(J87=0,0,ROUNDUP(J87*7/WD,0))</f>
        <v>11</v>
      </c>
      <c r="L87" s="15" t="s">
        <v>3132</v>
      </c>
      <c r="M87" s="34" t="n">
        <f aca="false">ROUNDUP(K86*LADDER,0)</f>
        <v>3</v>
      </c>
      <c r="N87" s="34" t="n">
        <f aca="false">IF(K87=0,0,FFLAG)</f>
        <v>2</v>
      </c>
      <c r="O87" s="15" t="s">
        <v>3134</v>
      </c>
      <c r="P87" s="16" t="n">
        <f aca="false">MAX(P86+M87,Q77-K87)</f>
        <v>46478</v>
      </c>
      <c r="Q87" s="16" t="n">
        <f aca="false">MAX(P87+K87,Q86+N87)</f>
        <v>46489</v>
      </c>
      <c r="R87" s="12"/>
      <c r="S87" s="12"/>
    </row>
    <row r="88" customFormat="false" ht="15" hidden="false" customHeight="false" outlineLevel="0" collapsed="false">
      <c r="A88" s="15" t="s">
        <v>3135</v>
      </c>
      <c r="B88" s="15" t="s">
        <v>3128</v>
      </c>
      <c r="C88" s="15" t="s">
        <v>385</v>
      </c>
      <c r="D88" s="15" t="s">
        <v>543</v>
      </c>
      <c r="E88" s="15" t="s">
        <v>544</v>
      </c>
      <c r="F88" s="15" t="s">
        <v>3017</v>
      </c>
      <c r="G88" s="15" t="s">
        <v>3018</v>
      </c>
      <c r="H88" s="33" t="n">
        <f aca="false">Packages!$X$13+Packages!$Y$13</f>
        <v>1291.19831992381</v>
      </c>
      <c r="I88" s="15" t="s">
        <v>3019</v>
      </c>
      <c r="J88" s="34" t="n">
        <f aca="false">MAX(1,ROUNDUP((Packages!$X$13/R_EXS+Packages!$Y$13/R_EXO)/Fronts!$J$5,0))</f>
        <v>6</v>
      </c>
      <c r="K88" s="34" t="n">
        <f aca="false">IF(J88=0,0,ROUNDUP(J88*7/WD,0))</f>
        <v>7</v>
      </c>
      <c r="L88" s="15" t="s">
        <v>3133</v>
      </c>
      <c r="M88" s="34" t="n">
        <f aca="false">IF(K87=0,0,ROUNDUP((K87-ROUNDUP(DW_DRAW*7/WD,0))*LADDER,0)+ROUNDUP(DW_DRAW*7/WD,0))</f>
        <v>10</v>
      </c>
      <c r="N88" s="34" t="n">
        <f aca="false">IF(K88=0,0,FFLAG)</f>
        <v>2</v>
      </c>
      <c r="O88" s="15" t="s">
        <v>3136</v>
      </c>
      <c r="P88" s="16" t="n">
        <f aca="false">MAX(P87+M88,R77,P55,P44,P77)</f>
        <v>46489</v>
      </c>
      <c r="Q88" s="16" t="n">
        <f aca="false">MAX(P88+K88,Q87+N88)</f>
        <v>46496</v>
      </c>
      <c r="R88" s="16" t="n">
        <f aca="false">IF(K88&gt;0,Q88,R77)</f>
        <v>46496</v>
      </c>
      <c r="S88" s="15" t="s">
        <v>3119</v>
      </c>
    </row>
    <row r="89" customFormat="false" ht="15" hidden="false" customHeight="false" outlineLevel="0" collapsed="false">
      <c r="A89" s="15" t="s">
        <v>3137</v>
      </c>
      <c r="B89" s="15" t="s">
        <v>3128</v>
      </c>
      <c r="C89" s="15" t="s">
        <v>385</v>
      </c>
      <c r="D89" s="15" t="s">
        <v>543</v>
      </c>
      <c r="E89" s="15" t="s">
        <v>544</v>
      </c>
      <c r="F89" s="15" t="s">
        <v>3022</v>
      </c>
      <c r="G89" s="15" t="s">
        <v>3023</v>
      </c>
      <c r="H89" s="33" t="n">
        <f aca="false">Packages!$O$13</f>
        <v>65.9999999999322</v>
      </c>
      <c r="I89" s="15" t="s">
        <v>118</v>
      </c>
      <c r="J89" s="34" t="n">
        <f aca="false">MAX(1,ROUNDUP(Packages!$O$13/(R_SLAB*Fronts!$K$5),0))+SLAB_CURE</f>
        <v>9</v>
      </c>
      <c r="K89" s="34" t="n">
        <f aca="false">IF(J89=0,0,ROUNDUP(J89*7/WD,0))</f>
        <v>11</v>
      </c>
      <c r="L89" s="15" t="s">
        <v>3135</v>
      </c>
      <c r="M89" s="34" t="n">
        <f aca="false">ROUNDUP(K88*LADDER,0)</f>
        <v>3</v>
      </c>
      <c r="N89" s="34" t="n">
        <f aca="false">IF(K89=0,0,FFLAG)</f>
        <v>2</v>
      </c>
      <c r="O89" s="15"/>
      <c r="P89" s="16" t="n">
        <f aca="false">MAX(P88+M89,R78)</f>
        <v>46495</v>
      </c>
      <c r="Q89" s="16" t="n">
        <f aca="false">MAX(P89+K89,Q88+N89)</f>
        <v>46506</v>
      </c>
      <c r="R89" s="16" t="n">
        <f aca="false">IF(K89&gt;0,Q89,R78)</f>
        <v>46506</v>
      </c>
      <c r="S89" s="15" t="s">
        <v>3121</v>
      </c>
    </row>
    <row r="90" customFormat="false" ht="15" hidden="false" customHeight="false" outlineLevel="0" collapsed="false">
      <c r="A90" s="15" t="s">
        <v>3138</v>
      </c>
      <c r="B90" s="15" t="s">
        <v>3128</v>
      </c>
      <c r="C90" s="15" t="s">
        <v>385</v>
      </c>
      <c r="D90" s="15" t="s">
        <v>543</v>
      </c>
      <c r="E90" s="15" t="s">
        <v>544</v>
      </c>
      <c r="F90" s="15" t="s">
        <v>3025</v>
      </c>
      <c r="G90" s="15" t="s">
        <v>3026</v>
      </c>
      <c r="H90" s="33" t="n">
        <f aca="false">Packages!$O$13</f>
        <v>65.9999999999322</v>
      </c>
      <c r="I90" s="15" t="s">
        <v>118</v>
      </c>
      <c r="J90" s="34" t="n">
        <f aca="false">MAX(1,ROUNDUP(Packages!$O$13/(IF(Packages!$N$13&gt;=PIPE_T1,R_PIPE_L,IF(Packages!$N$13&gt;=PIPE_T2,R_PIPE_M,R_PIPE_S))*Fronts!$L$5)+Packages!$M$13*FIT_D+IF(Packages!$G$13&lt;&gt;"Run",TIE_D,0),0))</f>
        <v>5</v>
      </c>
      <c r="K90" s="34" t="n">
        <f aca="false">IF(J90=0,0,ROUNDUP(J90*7/WD,0))</f>
        <v>6</v>
      </c>
      <c r="L90" s="15" t="s">
        <v>3137</v>
      </c>
      <c r="M90" s="34" t="n">
        <f aca="false">ROUNDUP(K89*LADDER,0)</f>
        <v>4</v>
      </c>
      <c r="N90" s="34" t="n">
        <f aca="false">IF(K90=0,0,FFLAG)</f>
        <v>2</v>
      </c>
      <c r="O90" s="15"/>
      <c r="P90" s="16" t="n">
        <f aca="false">MAX(P89+M90,R79)</f>
        <v>46499</v>
      </c>
      <c r="Q90" s="16" t="n">
        <f aca="false">MAX(P90+K90,Q89+N90)</f>
        <v>46508</v>
      </c>
      <c r="R90" s="16" t="n">
        <f aca="false">IF(K90&gt;0,Q90,R79)</f>
        <v>46508</v>
      </c>
      <c r="S90" s="15" t="s">
        <v>3122</v>
      </c>
    </row>
    <row r="91" customFormat="false" ht="15" hidden="false" customHeight="false" outlineLevel="0" collapsed="false">
      <c r="A91" s="15" t="s">
        <v>3139</v>
      </c>
      <c r="B91" s="15" t="s">
        <v>3128</v>
      </c>
      <c r="C91" s="15" t="s">
        <v>385</v>
      </c>
      <c r="D91" s="15" t="s">
        <v>543</v>
      </c>
      <c r="E91" s="15" t="s">
        <v>544</v>
      </c>
      <c r="F91" s="15" t="s">
        <v>3028</v>
      </c>
      <c r="G91" s="15" t="s">
        <v>3029</v>
      </c>
      <c r="H91" s="33" t="n">
        <f aca="false">Packages!$O$13</f>
        <v>65.9999999999322</v>
      </c>
      <c r="I91" s="15" t="s">
        <v>118</v>
      </c>
      <c r="J91" s="34" t="n">
        <f aca="false">TEST_D+ROUNDUP(Packages!$O$13/R_TEST,0)</f>
        <v>3</v>
      </c>
      <c r="K91" s="34" t="n">
        <f aca="false">IF(J91=0,0,ROUNDUP(J91*7/WD,0))</f>
        <v>4</v>
      </c>
      <c r="L91" s="15" t="s">
        <v>3138</v>
      </c>
      <c r="M91" s="34" t="n">
        <f aca="false">ROUNDUP(K90*LADDER,0)</f>
        <v>2</v>
      </c>
      <c r="N91" s="34" t="n">
        <f aca="false">IF(K91=0,0,FFLAG)</f>
        <v>2</v>
      </c>
      <c r="O91" s="15"/>
      <c r="P91" s="16" t="n">
        <f aca="false">MAX(P90+M91)</f>
        <v>46501</v>
      </c>
      <c r="Q91" s="16" t="n">
        <f aca="false">MAX(P91+K91,Q90+N91)</f>
        <v>46510</v>
      </c>
      <c r="R91" s="12"/>
      <c r="S91" s="12"/>
    </row>
    <row r="92" customFormat="false" ht="15" hidden="false" customHeight="false" outlineLevel="0" collapsed="false">
      <c r="A92" s="15" t="s">
        <v>3140</v>
      </c>
      <c r="B92" s="15" t="s">
        <v>3128</v>
      </c>
      <c r="C92" s="15" t="s">
        <v>385</v>
      </c>
      <c r="D92" s="15" t="s">
        <v>543</v>
      </c>
      <c r="E92" s="15" t="s">
        <v>544</v>
      </c>
      <c r="F92" s="15" t="s">
        <v>3031</v>
      </c>
      <c r="G92" s="15" t="s">
        <v>3032</v>
      </c>
      <c r="H92" s="33" t="n">
        <f aca="false">Packages!$AB$13</f>
        <v>980.863090724399</v>
      </c>
      <c r="I92" s="15" t="s">
        <v>3019</v>
      </c>
      <c r="J92" s="34" t="n">
        <f aca="false">MAX(1,ROUNDUP(Packages!$AB$13/(R_BF*Fronts!$M$5),0))</f>
        <v>3</v>
      </c>
      <c r="K92" s="34" t="n">
        <f aca="false">IF(J92=0,0,ROUNDUP(J92*7/WD,0))</f>
        <v>4</v>
      </c>
      <c r="L92" s="15" t="s">
        <v>3139</v>
      </c>
      <c r="M92" s="34" t="n">
        <f aca="false">ROUNDUP(K91*LADDER,0)</f>
        <v>2</v>
      </c>
      <c r="N92" s="34" t="n">
        <f aca="false">IF(K92=0,0,FFLAG)</f>
        <v>2</v>
      </c>
      <c r="O92" s="15" t="s">
        <v>3141</v>
      </c>
      <c r="P92" s="16" t="n">
        <f aca="false">MAX(P91+M92,R81,Q57,Q46,Q79)</f>
        <v>46544</v>
      </c>
      <c r="Q92" s="16" t="n">
        <f aca="false">MAX(P92+K92,Q91+N92)</f>
        <v>46548</v>
      </c>
      <c r="R92" s="16" t="n">
        <f aca="false">IF(K92&gt;0,Q92,R81)</f>
        <v>46548</v>
      </c>
      <c r="S92" s="15" t="s">
        <v>3124</v>
      </c>
    </row>
    <row r="93" customFormat="false" ht="15" hidden="false" customHeight="false" outlineLevel="0" collapsed="false">
      <c r="A93" s="15" t="s">
        <v>3142</v>
      </c>
      <c r="B93" s="15" t="s">
        <v>3128</v>
      </c>
      <c r="C93" s="15" t="s">
        <v>385</v>
      </c>
      <c r="D93" s="15" t="s">
        <v>543</v>
      </c>
      <c r="E93" s="15" t="s">
        <v>544</v>
      </c>
      <c r="F93" s="15" t="s">
        <v>3034</v>
      </c>
      <c r="G93" s="15" t="s">
        <v>3035</v>
      </c>
      <c r="H93" s="33" t="n">
        <f aca="false">Packages!$AD$13</f>
        <v>131.999999999864</v>
      </c>
      <c r="I93" s="15" t="s">
        <v>3012</v>
      </c>
      <c r="J93" s="34" t="n">
        <f aca="false">IF(Packages!$AD$13&gt;0,ROUNDUP(Packages!$AD$13/R_EXT,0),0)+IF(Packages!$AG$13&gt;0,1,0)</f>
        <v>4</v>
      </c>
      <c r="K93" s="34" t="n">
        <f aca="false">IF(J93=0,0,ROUNDUP(J93*7/WD,0))</f>
        <v>5</v>
      </c>
      <c r="L93" s="15" t="s">
        <v>3140</v>
      </c>
      <c r="M93" s="34" t="n">
        <f aca="false">ROUNDUP(K92*LADDER,0)</f>
        <v>2</v>
      </c>
      <c r="N93" s="34" t="n">
        <f aca="false">IF(K93=0,0,FFLAG)</f>
        <v>2</v>
      </c>
      <c r="O93" s="15"/>
      <c r="P93" s="16" t="n">
        <f aca="false">MAX(P92+M93)</f>
        <v>46546</v>
      </c>
      <c r="Q93" s="16" t="n">
        <f aca="false">MAX(P93+K93,Q92+N93)</f>
        <v>46551</v>
      </c>
      <c r="R93" s="12"/>
      <c r="S93" s="12"/>
    </row>
    <row r="94" customFormat="false" ht="15" hidden="false" customHeight="false" outlineLevel="0" collapsed="false">
      <c r="A94" s="15" t="s">
        <v>3143</v>
      </c>
      <c r="B94" s="15" t="s">
        <v>3144</v>
      </c>
      <c r="C94" s="15" t="s">
        <v>385</v>
      </c>
      <c r="D94" s="15" t="s">
        <v>543</v>
      </c>
      <c r="E94" s="15" t="s">
        <v>556</v>
      </c>
      <c r="F94" s="15" t="s">
        <v>2998</v>
      </c>
      <c r="G94" s="15" t="s">
        <v>2999</v>
      </c>
      <c r="H94" s="12"/>
      <c r="I94" s="12"/>
      <c r="J94" s="34" t="n">
        <f aca="false">0</f>
        <v>0</v>
      </c>
      <c r="K94" s="34" t="n">
        <f aca="false">IF(J94=0,0,ROUNDUP(J94*7/WD,0))</f>
        <v>0</v>
      </c>
      <c r="L94" s="12"/>
      <c r="M94" s="12"/>
      <c r="N94" s="12"/>
      <c r="O94" s="15" t="s">
        <v>3000</v>
      </c>
      <c r="P94" s="16" t="n">
        <f aca="false">MAX(START,D_DLU,Packages!$I$14,Packages!$K$14)</f>
        <v>46357</v>
      </c>
      <c r="Q94" s="16" t="n">
        <f aca="false">P94+K94</f>
        <v>46357</v>
      </c>
      <c r="R94" s="12"/>
      <c r="S94" s="12"/>
    </row>
    <row r="95" customFormat="false" ht="15" hidden="false" customHeight="false" outlineLevel="0" collapsed="false">
      <c r="A95" s="15" t="s">
        <v>3145</v>
      </c>
      <c r="B95" s="15" t="s">
        <v>3144</v>
      </c>
      <c r="C95" s="15" t="s">
        <v>385</v>
      </c>
      <c r="D95" s="15" t="s">
        <v>543</v>
      </c>
      <c r="E95" s="15" t="s">
        <v>556</v>
      </c>
      <c r="F95" s="15" t="s">
        <v>3002</v>
      </c>
      <c r="G95" s="15" t="s">
        <v>205</v>
      </c>
      <c r="H95" s="33" t="n">
        <f aca="false">Packages!$O$14</f>
        <v>15.9999999994241</v>
      </c>
      <c r="I95" s="15" t="s">
        <v>118</v>
      </c>
      <c r="J95" s="34" t="n">
        <f aca="false">MAX(1,ROUNDUP(Packages!$O$14/R_PLAT,0))</f>
        <v>1</v>
      </c>
      <c r="K95" s="34" t="n">
        <f aca="false">IF(J95=0,0,ROUNDUP(J95*7/WD,0))</f>
        <v>2</v>
      </c>
      <c r="L95" s="15" t="s">
        <v>3143</v>
      </c>
      <c r="M95" s="12"/>
      <c r="N95" s="12"/>
      <c r="O95" s="15" t="s">
        <v>3146</v>
      </c>
      <c r="P95" s="16" t="n">
        <f aca="false">MAX(Q94,P85)</f>
        <v>46448</v>
      </c>
      <c r="Q95" s="16" t="n">
        <f aca="false">P95+K95</f>
        <v>46450</v>
      </c>
      <c r="R95" s="12"/>
      <c r="S95" s="12"/>
    </row>
    <row r="96" customFormat="false" ht="15" hidden="false" customHeight="false" outlineLevel="0" collapsed="false">
      <c r="A96" s="15" t="s">
        <v>3147</v>
      </c>
      <c r="B96" s="15" t="s">
        <v>3144</v>
      </c>
      <c r="C96" s="15" t="s">
        <v>385</v>
      </c>
      <c r="D96" s="15" t="s">
        <v>543</v>
      </c>
      <c r="E96" s="15" t="s">
        <v>556</v>
      </c>
      <c r="F96" s="15" t="s">
        <v>3005</v>
      </c>
      <c r="G96" s="15" t="s">
        <v>3006</v>
      </c>
      <c r="H96" s="33" t="n">
        <f aca="false">Packages!$AC$14</f>
        <v>14</v>
      </c>
      <c r="I96" s="15" t="s">
        <v>3007</v>
      </c>
      <c r="J96" s="34" t="n">
        <f aca="false">IF(Packages!$AC$14=0,0,MAX(1,ROUNDUP(Packages!$AC$14/(R_PILE*Fronts!$H$5),0)))</f>
        <v>3</v>
      </c>
      <c r="K96" s="34" t="n">
        <f aca="false">IF(J96=0,0,ROUNDUP(J96*7/WD,0))</f>
        <v>4</v>
      </c>
      <c r="L96" s="15" t="s">
        <v>3145</v>
      </c>
      <c r="M96" s="34" t="n">
        <f aca="false">ROUNDUP(K95*LADDER,0)</f>
        <v>1</v>
      </c>
      <c r="N96" s="34" t="n">
        <f aca="false">IF(K96=0,0,FFLAG)</f>
        <v>2</v>
      </c>
      <c r="O96" s="15" t="s">
        <v>3008</v>
      </c>
      <c r="P96" s="16" t="n">
        <f aca="false">MAX(P95+M96,D_PILEDES,R85)</f>
        <v>46460</v>
      </c>
      <c r="Q96" s="16" t="n">
        <f aca="false">MAX(P96+K96,Q95+N96)</f>
        <v>46464</v>
      </c>
      <c r="R96" s="16" t="n">
        <f aca="false">IF(K96&gt;0,Q96,R85)</f>
        <v>46464</v>
      </c>
      <c r="S96" s="15" t="s">
        <v>3131</v>
      </c>
    </row>
    <row r="97" customFormat="false" ht="15" hidden="false" customHeight="false" outlineLevel="0" collapsed="false">
      <c r="A97" s="15" t="s">
        <v>3148</v>
      </c>
      <c r="B97" s="15" t="s">
        <v>3144</v>
      </c>
      <c r="C97" s="15" t="s">
        <v>385</v>
      </c>
      <c r="D97" s="15" t="s">
        <v>543</v>
      </c>
      <c r="E97" s="15" t="s">
        <v>556</v>
      </c>
      <c r="F97" s="15" t="s">
        <v>3010</v>
      </c>
      <c r="G97" s="15" t="s">
        <v>3011</v>
      </c>
      <c r="H97" s="33" t="n">
        <f aca="false">Packages!$AD$14</f>
        <v>31.9999999988483</v>
      </c>
      <c r="I97" s="15" t="s">
        <v>3012</v>
      </c>
      <c r="J97" s="34" t="n">
        <f aca="false">IF(Packages!$AD$14=0,0,MAX(1,ROUNDUP(Packages!$AD$14/(R_SHEET*Fronts!$I$5),0)))</f>
        <v>2</v>
      </c>
      <c r="K97" s="34" t="n">
        <f aca="false">IF(J97=0,0,ROUNDUP(J97*7/WD,0))</f>
        <v>3</v>
      </c>
      <c r="L97" s="15" t="s">
        <v>3147</v>
      </c>
      <c r="M97" s="34" t="n">
        <f aca="false">ROUNDUP(K96*LADDER,0)</f>
        <v>2</v>
      </c>
      <c r="N97" s="34" t="n">
        <f aca="false">IF(K97=0,0,FFLAG)</f>
        <v>2</v>
      </c>
      <c r="O97" s="15"/>
      <c r="P97" s="16" t="n">
        <f aca="false">MAX(P96+M97,R86)</f>
        <v>46462</v>
      </c>
      <c r="Q97" s="16" t="n">
        <f aca="false">MAX(P97+K97,Q96+N97)</f>
        <v>46466</v>
      </c>
      <c r="R97" s="16" t="n">
        <f aca="false">IF(K97&gt;0,Q97,R86)</f>
        <v>46466</v>
      </c>
      <c r="S97" s="15" t="s">
        <v>3132</v>
      </c>
    </row>
    <row r="98" customFormat="false" ht="15" hidden="false" customHeight="false" outlineLevel="0" collapsed="false">
      <c r="A98" s="15" t="s">
        <v>3149</v>
      </c>
      <c r="B98" s="15" t="s">
        <v>3144</v>
      </c>
      <c r="C98" s="15" t="s">
        <v>385</v>
      </c>
      <c r="D98" s="15" t="s">
        <v>543</v>
      </c>
      <c r="E98" s="15" t="s">
        <v>556</v>
      </c>
      <c r="F98" s="15" t="s">
        <v>3014</v>
      </c>
      <c r="G98" s="15" t="s">
        <v>3015</v>
      </c>
      <c r="H98" s="33" t="n">
        <f aca="false">Packages!$O$14</f>
        <v>15.9999999994241</v>
      </c>
      <c r="I98" s="15" t="s">
        <v>118</v>
      </c>
      <c r="J98" s="34" t="n">
        <f aca="false">IF(Packages!$AG$14=0,0,ROUNDUP(Packages!$O$14/R_DW,0)+DW_DRAW)</f>
        <v>8</v>
      </c>
      <c r="K98" s="34" t="n">
        <f aca="false">IF(J98=0,0,ROUNDUP(J98*7/WD,0))</f>
        <v>10</v>
      </c>
      <c r="L98" s="15" t="s">
        <v>3148</v>
      </c>
      <c r="M98" s="34" t="n">
        <f aca="false">ROUNDUP(K97*LADDER,0)</f>
        <v>1</v>
      </c>
      <c r="N98" s="34" t="n">
        <f aca="false">IF(K98=0,0,FFLAG)</f>
        <v>2</v>
      </c>
      <c r="O98" s="15" t="s">
        <v>3150</v>
      </c>
      <c r="P98" s="16" t="n">
        <f aca="false">MAX(P97+M98,Q88-K98)</f>
        <v>46486</v>
      </c>
      <c r="Q98" s="16" t="n">
        <f aca="false">MAX(P98+K98,Q97+N98)</f>
        <v>46496</v>
      </c>
      <c r="R98" s="12"/>
      <c r="S98" s="12"/>
    </row>
    <row r="99" customFormat="false" ht="15" hidden="false" customHeight="false" outlineLevel="0" collapsed="false">
      <c r="A99" s="15" t="s">
        <v>3151</v>
      </c>
      <c r="B99" s="15" t="s">
        <v>3144</v>
      </c>
      <c r="C99" s="15" t="s">
        <v>385</v>
      </c>
      <c r="D99" s="15" t="s">
        <v>543</v>
      </c>
      <c r="E99" s="15" t="s">
        <v>556</v>
      </c>
      <c r="F99" s="15" t="s">
        <v>3017</v>
      </c>
      <c r="G99" s="15" t="s">
        <v>3018</v>
      </c>
      <c r="H99" s="33" t="n">
        <f aca="false">Packages!$X$14+Packages!$Y$14</f>
        <v>337.754483122565</v>
      </c>
      <c r="I99" s="15" t="s">
        <v>3019</v>
      </c>
      <c r="J99" s="34" t="n">
        <f aca="false">MAX(1,ROUNDUP((Packages!$X$14/R_EXS+Packages!$Y$14/R_EXO)/Fronts!$J$5,0))</f>
        <v>2</v>
      </c>
      <c r="K99" s="34" t="n">
        <f aca="false">IF(J99=0,0,ROUNDUP(J99*7/WD,0))</f>
        <v>3</v>
      </c>
      <c r="L99" s="15" t="s">
        <v>3149</v>
      </c>
      <c r="M99" s="34" t="n">
        <f aca="false">IF(K98=0,0,ROUNDUP((K98-ROUNDUP(DW_DRAW*7/WD,0))*LADDER,0)+ROUNDUP(DW_DRAW*7/WD,0))</f>
        <v>10</v>
      </c>
      <c r="N99" s="34" t="n">
        <f aca="false">IF(K99=0,0,FFLAG)</f>
        <v>2</v>
      </c>
      <c r="O99" s="15" t="s">
        <v>3152</v>
      </c>
      <c r="P99" s="16" t="n">
        <f aca="false">MAX(P98+M99,R88,P44,P77)</f>
        <v>46496</v>
      </c>
      <c r="Q99" s="16" t="n">
        <f aca="false">MAX(P99+K99,Q98+N99)</f>
        <v>46499</v>
      </c>
      <c r="R99" s="16" t="n">
        <f aca="false">IF(K99&gt;0,Q99,R88)</f>
        <v>46499</v>
      </c>
      <c r="S99" s="15" t="s">
        <v>3135</v>
      </c>
    </row>
    <row r="100" customFormat="false" ht="15" hidden="false" customHeight="false" outlineLevel="0" collapsed="false">
      <c r="A100" s="15" t="s">
        <v>3153</v>
      </c>
      <c r="B100" s="15" t="s">
        <v>3144</v>
      </c>
      <c r="C100" s="15" t="s">
        <v>385</v>
      </c>
      <c r="D100" s="15" t="s">
        <v>543</v>
      </c>
      <c r="E100" s="15" t="s">
        <v>556</v>
      </c>
      <c r="F100" s="15" t="s">
        <v>3022</v>
      </c>
      <c r="G100" s="15" t="s">
        <v>3023</v>
      </c>
      <c r="H100" s="33" t="n">
        <f aca="false">Packages!$O$14</f>
        <v>15.9999999994241</v>
      </c>
      <c r="I100" s="15" t="s">
        <v>118</v>
      </c>
      <c r="J100" s="34" t="n">
        <f aca="false">MAX(1,ROUNDUP(Packages!$O$14/(R_SLAB*Fronts!$K$5),0))+SLAB_CURE</f>
        <v>5</v>
      </c>
      <c r="K100" s="34" t="n">
        <f aca="false">IF(J100=0,0,ROUNDUP(J100*7/WD,0))</f>
        <v>6</v>
      </c>
      <c r="L100" s="15" t="s">
        <v>3151</v>
      </c>
      <c r="M100" s="34" t="n">
        <f aca="false">ROUNDUP(K99*LADDER,0)</f>
        <v>1</v>
      </c>
      <c r="N100" s="34" t="n">
        <f aca="false">IF(K100=0,0,FFLAG)</f>
        <v>2</v>
      </c>
      <c r="O100" s="15"/>
      <c r="P100" s="16" t="n">
        <f aca="false">MAX(P99+M100,R89)</f>
        <v>46506</v>
      </c>
      <c r="Q100" s="16" t="n">
        <f aca="false">MAX(P100+K100,Q99+N100)</f>
        <v>46512</v>
      </c>
      <c r="R100" s="16" t="n">
        <f aca="false">IF(K100&gt;0,Q100,R89)</f>
        <v>46512</v>
      </c>
      <c r="S100" s="15" t="s">
        <v>3137</v>
      </c>
    </row>
    <row r="101" customFormat="false" ht="15" hidden="false" customHeight="false" outlineLevel="0" collapsed="false">
      <c r="A101" s="15" t="s">
        <v>3154</v>
      </c>
      <c r="B101" s="15" t="s">
        <v>3144</v>
      </c>
      <c r="C101" s="15" t="s">
        <v>385</v>
      </c>
      <c r="D101" s="15" t="s">
        <v>543</v>
      </c>
      <c r="E101" s="15" t="s">
        <v>556</v>
      </c>
      <c r="F101" s="15" t="s">
        <v>3025</v>
      </c>
      <c r="G101" s="15" t="s">
        <v>3026</v>
      </c>
      <c r="H101" s="33" t="n">
        <f aca="false">Packages!$O$14</f>
        <v>15.9999999994241</v>
      </c>
      <c r="I101" s="15" t="s">
        <v>118</v>
      </c>
      <c r="J101" s="34" t="n">
        <f aca="false">MAX(1,ROUNDUP(Packages!$O$14/(IF(Packages!$N$14&gt;=PIPE_T1,R_PIPE_L,IF(Packages!$N$14&gt;=PIPE_T2,R_PIPE_M,R_PIPE_S))*Fronts!$L$5)+Packages!$M$14*FIT_D+IF(Packages!$G$14&lt;&gt;"Run",TIE_D,0),0))</f>
        <v>1</v>
      </c>
      <c r="K101" s="34" t="n">
        <f aca="false">IF(J101=0,0,ROUNDUP(J101*7/WD,0))</f>
        <v>2</v>
      </c>
      <c r="L101" s="15" t="s">
        <v>3153</v>
      </c>
      <c r="M101" s="34" t="n">
        <f aca="false">ROUNDUP(K100*LADDER,0)</f>
        <v>2</v>
      </c>
      <c r="N101" s="34" t="n">
        <f aca="false">IF(K101=0,0,FFLAG)</f>
        <v>2</v>
      </c>
      <c r="O101" s="15"/>
      <c r="P101" s="16" t="n">
        <f aca="false">MAX(P100+M101,R90)</f>
        <v>46508</v>
      </c>
      <c r="Q101" s="16" t="n">
        <f aca="false">MAX(P101+K101,Q100+N101)</f>
        <v>46514</v>
      </c>
      <c r="R101" s="16" t="n">
        <f aca="false">IF(K101&gt;0,Q101,R90)</f>
        <v>46514</v>
      </c>
      <c r="S101" s="15" t="s">
        <v>3138</v>
      </c>
    </row>
    <row r="102" customFormat="false" ht="15" hidden="false" customHeight="false" outlineLevel="0" collapsed="false">
      <c r="A102" s="15" t="s">
        <v>3155</v>
      </c>
      <c r="B102" s="15" t="s">
        <v>3144</v>
      </c>
      <c r="C102" s="15" t="s">
        <v>385</v>
      </c>
      <c r="D102" s="15" t="s">
        <v>543</v>
      </c>
      <c r="E102" s="15" t="s">
        <v>556</v>
      </c>
      <c r="F102" s="15" t="s">
        <v>3028</v>
      </c>
      <c r="G102" s="15" t="s">
        <v>3029</v>
      </c>
      <c r="H102" s="33" t="n">
        <f aca="false">Packages!$O$14</f>
        <v>15.9999999994241</v>
      </c>
      <c r="I102" s="15" t="s">
        <v>118</v>
      </c>
      <c r="J102" s="34" t="n">
        <f aca="false">TEST_D+ROUNDUP(Packages!$O$14/R_TEST,0)</f>
        <v>3</v>
      </c>
      <c r="K102" s="34" t="n">
        <f aca="false">IF(J102=0,0,ROUNDUP(J102*7/WD,0))</f>
        <v>4</v>
      </c>
      <c r="L102" s="15" t="s">
        <v>3154</v>
      </c>
      <c r="M102" s="34" t="n">
        <f aca="false">ROUNDUP(K101*LADDER,0)</f>
        <v>1</v>
      </c>
      <c r="N102" s="34" t="n">
        <f aca="false">IF(K102=0,0,FFLAG)</f>
        <v>2</v>
      </c>
      <c r="O102" s="15"/>
      <c r="P102" s="16" t="n">
        <f aca="false">MAX(P101+M102)</f>
        <v>46509</v>
      </c>
      <c r="Q102" s="16" t="n">
        <f aca="false">MAX(P102+K102,Q101+N102)</f>
        <v>46516</v>
      </c>
      <c r="R102" s="12"/>
      <c r="S102" s="12"/>
    </row>
    <row r="103" customFormat="false" ht="15" hidden="false" customHeight="false" outlineLevel="0" collapsed="false">
      <c r="A103" s="15" t="s">
        <v>3156</v>
      </c>
      <c r="B103" s="15" t="s">
        <v>3144</v>
      </c>
      <c r="C103" s="15" t="s">
        <v>385</v>
      </c>
      <c r="D103" s="15" t="s">
        <v>543</v>
      </c>
      <c r="E103" s="15" t="s">
        <v>556</v>
      </c>
      <c r="F103" s="15" t="s">
        <v>3031</v>
      </c>
      <c r="G103" s="15" t="s">
        <v>3032</v>
      </c>
      <c r="H103" s="33" t="n">
        <f aca="false">Packages!$AB$14</f>
        <v>261.067128435998</v>
      </c>
      <c r="I103" s="15" t="s">
        <v>3019</v>
      </c>
      <c r="J103" s="34" t="n">
        <f aca="false">MAX(1,ROUNDUP(Packages!$AB$14/(R_BF*Fronts!$M$5),0))</f>
        <v>1</v>
      </c>
      <c r="K103" s="34" t="n">
        <f aca="false">IF(J103=0,0,ROUNDUP(J103*7/WD,0))</f>
        <v>2</v>
      </c>
      <c r="L103" s="15" t="s">
        <v>3155</v>
      </c>
      <c r="M103" s="34" t="n">
        <f aca="false">ROUNDUP(K102*LADDER,0)</f>
        <v>2</v>
      </c>
      <c r="N103" s="34" t="n">
        <f aca="false">IF(K103=0,0,FFLAG)</f>
        <v>2</v>
      </c>
      <c r="O103" s="15" t="s">
        <v>3157</v>
      </c>
      <c r="P103" s="16" t="n">
        <f aca="false">MAX(P102+M103,R92,Q46,Q79)</f>
        <v>46548</v>
      </c>
      <c r="Q103" s="16" t="n">
        <f aca="false">MAX(P103+K103,Q102+N103)</f>
        <v>46550</v>
      </c>
      <c r="R103" s="16" t="n">
        <f aca="false">IF(K103&gt;0,Q103,R92)</f>
        <v>46550</v>
      </c>
      <c r="S103" s="15" t="s">
        <v>3140</v>
      </c>
    </row>
    <row r="104" customFormat="false" ht="15" hidden="false" customHeight="false" outlineLevel="0" collapsed="false">
      <c r="A104" s="15" t="s">
        <v>3158</v>
      </c>
      <c r="B104" s="15" t="s">
        <v>3144</v>
      </c>
      <c r="C104" s="15" t="s">
        <v>385</v>
      </c>
      <c r="D104" s="15" t="s">
        <v>543</v>
      </c>
      <c r="E104" s="15" t="s">
        <v>556</v>
      </c>
      <c r="F104" s="15" t="s">
        <v>3034</v>
      </c>
      <c r="G104" s="15" t="s">
        <v>3035</v>
      </c>
      <c r="H104" s="33" t="n">
        <f aca="false">Packages!$AD$14</f>
        <v>31.9999999988483</v>
      </c>
      <c r="I104" s="15" t="s">
        <v>3012</v>
      </c>
      <c r="J104" s="34" t="n">
        <f aca="false">IF(Packages!$AD$14&gt;0,ROUNDUP(Packages!$AD$14/R_EXT,0),0)+IF(Packages!$AG$14&gt;0,1,0)</f>
        <v>2</v>
      </c>
      <c r="K104" s="34" t="n">
        <f aca="false">IF(J104=0,0,ROUNDUP(J104*7/WD,0))</f>
        <v>3</v>
      </c>
      <c r="L104" s="15" t="s">
        <v>3156</v>
      </c>
      <c r="M104" s="34" t="n">
        <f aca="false">ROUNDUP(K103*LADDER,0)</f>
        <v>1</v>
      </c>
      <c r="N104" s="34" t="n">
        <f aca="false">IF(K104=0,0,FFLAG)</f>
        <v>2</v>
      </c>
      <c r="O104" s="15"/>
      <c r="P104" s="16" t="n">
        <f aca="false">MAX(P103+M104)</f>
        <v>46549</v>
      </c>
      <c r="Q104" s="16" t="n">
        <f aca="false">MAX(P104+K104,Q103+N104)</f>
        <v>46552</v>
      </c>
      <c r="R104" s="12"/>
      <c r="S104" s="12"/>
    </row>
    <row r="105" customFormat="false" ht="15" hidden="false" customHeight="false" outlineLevel="0" collapsed="false">
      <c r="A105" s="15" t="s">
        <v>3159</v>
      </c>
      <c r="B105" s="15" t="s">
        <v>3160</v>
      </c>
      <c r="C105" s="15" t="s">
        <v>385</v>
      </c>
      <c r="D105" s="15" t="s">
        <v>543</v>
      </c>
      <c r="E105" s="15" t="s">
        <v>570</v>
      </c>
      <c r="F105" s="15" t="s">
        <v>2998</v>
      </c>
      <c r="G105" s="15" t="s">
        <v>2999</v>
      </c>
      <c r="H105" s="12"/>
      <c r="I105" s="12"/>
      <c r="J105" s="34" t="n">
        <f aca="false">0</f>
        <v>0</v>
      </c>
      <c r="K105" s="34" t="n">
        <f aca="false">IF(J105=0,0,ROUNDUP(J105*7/WD,0))</f>
        <v>0</v>
      </c>
      <c r="L105" s="12"/>
      <c r="M105" s="12"/>
      <c r="N105" s="12"/>
      <c r="O105" s="15" t="s">
        <v>3000</v>
      </c>
      <c r="P105" s="16" t="n">
        <f aca="false">MAX(START,D_DLU,Packages!$I$15,Packages!$K$15)</f>
        <v>46357</v>
      </c>
      <c r="Q105" s="16" t="n">
        <f aca="false">P105+K105</f>
        <v>46357</v>
      </c>
      <c r="R105" s="12"/>
      <c r="S105" s="12"/>
    </row>
    <row r="106" customFormat="false" ht="15" hidden="false" customHeight="false" outlineLevel="0" collapsed="false">
      <c r="A106" s="15" t="s">
        <v>3161</v>
      </c>
      <c r="B106" s="15" t="s">
        <v>3160</v>
      </c>
      <c r="C106" s="15" t="s">
        <v>385</v>
      </c>
      <c r="D106" s="15" t="s">
        <v>543</v>
      </c>
      <c r="E106" s="15" t="s">
        <v>570</v>
      </c>
      <c r="F106" s="15" t="s">
        <v>3002</v>
      </c>
      <c r="G106" s="15" t="s">
        <v>205</v>
      </c>
      <c r="H106" s="33" t="n">
        <f aca="false">Packages!$O$15</f>
        <v>6.9803856869693</v>
      </c>
      <c r="I106" s="15" t="s">
        <v>118</v>
      </c>
      <c r="J106" s="34" t="n">
        <f aca="false">MAX(1,ROUNDUP(Packages!$O$15/R_PLAT,0))</f>
        <v>1</v>
      </c>
      <c r="K106" s="34" t="n">
        <f aca="false">IF(J106=0,0,ROUNDUP(J106*7/WD,0))</f>
        <v>2</v>
      </c>
      <c r="L106" s="15" t="s">
        <v>3159</v>
      </c>
      <c r="M106" s="12"/>
      <c r="N106" s="12"/>
      <c r="O106" s="15" t="s">
        <v>3162</v>
      </c>
      <c r="P106" s="16" t="n">
        <f aca="false">MAX(Q105,P96)</f>
        <v>46460</v>
      </c>
      <c r="Q106" s="16" t="n">
        <f aca="false">P106+K106</f>
        <v>46462</v>
      </c>
      <c r="R106" s="12"/>
      <c r="S106" s="12"/>
    </row>
    <row r="107" customFormat="false" ht="15" hidden="false" customHeight="false" outlineLevel="0" collapsed="false">
      <c r="A107" s="15" t="s">
        <v>3163</v>
      </c>
      <c r="B107" s="15" t="s">
        <v>3160</v>
      </c>
      <c r="C107" s="15" t="s">
        <v>385</v>
      </c>
      <c r="D107" s="15" t="s">
        <v>543</v>
      </c>
      <c r="E107" s="15" t="s">
        <v>570</v>
      </c>
      <c r="F107" s="15" t="s">
        <v>3005</v>
      </c>
      <c r="G107" s="15" t="s">
        <v>3006</v>
      </c>
      <c r="H107" s="33" t="n">
        <f aca="false">Packages!$AC$15</f>
        <v>8</v>
      </c>
      <c r="I107" s="15" t="s">
        <v>3007</v>
      </c>
      <c r="J107" s="34" t="n">
        <f aca="false">IF(Packages!$AC$15=0,0,MAX(1,ROUNDUP(Packages!$AC$15/(R_PILE*Fronts!$H$5),0)))</f>
        <v>2</v>
      </c>
      <c r="K107" s="34" t="n">
        <f aca="false">IF(J107=0,0,ROUNDUP(J107*7/WD,0))</f>
        <v>3</v>
      </c>
      <c r="L107" s="15" t="s">
        <v>3161</v>
      </c>
      <c r="M107" s="34" t="n">
        <f aca="false">ROUNDUP(K106*LADDER,0)</f>
        <v>1</v>
      </c>
      <c r="N107" s="34" t="n">
        <f aca="false">IF(K107=0,0,FFLAG)</f>
        <v>2</v>
      </c>
      <c r="O107" s="15" t="s">
        <v>3008</v>
      </c>
      <c r="P107" s="16" t="n">
        <f aca="false">MAX(P106+M107,D_PILEDES,R96)</f>
        <v>46464</v>
      </c>
      <c r="Q107" s="16" t="n">
        <f aca="false">MAX(P107+K107,Q106+N107)</f>
        <v>46467</v>
      </c>
      <c r="R107" s="16" t="n">
        <f aca="false">IF(K107&gt;0,Q107,R96)</f>
        <v>46467</v>
      </c>
      <c r="S107" s="15" t="s">
        <v>3147</v>
      </c>
    </row>
    <row r="108" customFormat="false" ht="15" hidden="false" customHeight="false" outlineLevel="0" collapsed="false">
      <c r="A108" s="15" t="s">
        <v>3164</v>
      </c>
      <c r="B108" s="15" t="s">
        <v>3160</v>
      </c>
      <c r="C108" s="15" t="s">
        <v>385</v>
      </c>
      <c r="D108" s="15" t="s">
        <v>543</v>
      </c>
      <c r="E108" s="15" t="s">
        <v>570</v>
      </c>
      <c r="F108" s="15" t="s">
        <v>3010</v>
      </c>
      <c r="G108" s="15" t="s">
        <v>3011</v>
      </c>
      <c r="H108" s="33" t="n">
        <f aca="false">Packages!$AD$15</f>
        <v>13.9607713739386</v>
      </c>
      <c r="I108" s="15" t="s">
        <v>3012</v>
      </c>
      <c r="J108" s="34" t="n">
        <f aca="false">IF(Packages!$AD$15=0,0,MAX(1,ROUNDUP(Packages!$AD$15/(R_SHEET*Fronts!$I$5),0)))</f>
        <v>1</v>
      </c>
      <c r="K108" s="34" t="n">
        <f aca="false">IF(J108=0,0,ROUNDUP(J108*7/WD,0))</f>
        <v>2</v>
      </c>
      <c r="L108" s="15" t="s">
        <v>3163</v>
      </c>
      <c r="M108" s="34" t="n">
        <f aca="false">ROUNDUP(K107*LADDER,0)</f>
        <v>1</v>
      </c>
      <c r="N108" s="34" t="n">
        <f aca="false">IF(K108=0,0,FFLAG)</f>
        <v>2</v>
      </c>
      <c r="O108" s="15"/>
      <c r="P108" s="16" t="n">
        <f aca="false">MAX(P107+M108,R97)</f>
        <v>46466</v>
      </c>
      <c r="Q108" s="16" t="n">
        <f aca="false">MAX(P108+K108,Q107+N108)</f>
        <v>46469</v>
      </c>
      <c r="R108" s="16" t="n">
        <f aca="false">IF(K108&gt;0,Q108,R97)</f>
        <v>46469</v>
      </c>
      <c r="S108" s="15" t="s">
        <v>3148</v>
      </c>
    </row>
    <row r="109" customFormat="false" ht="15" hidden="false" customHeight="false" outlineLevel="0" collapsed="false">
      <c r="A109" s="15" t="s">
        <v>3165</v>
      </c>
      <c r="B109" s="15" t="s">
        <v>3160</v>
      </c>
      <c r="C109" s="15" t="s">
        <v>385</v>
      </c>
      <c r="D109" s="15" t="s">
        <v>543</v>
      </c>
      <c r="E109" s="15" t="s">
        <v>570</v>
      </c>
      <c r="F109" s="15" t="s">
        <v>3014</v>
      </c>
      <c r="G109" s="15" t="s">
        <v>3015</v>
      </c>
      <c r="H109" s="33" t="n">
        <f aca="false">Packages!$O$15</f>
        <v>6.9803856869693</v>
      </c>
      <c r="I109" s="15" t="s">
        <v>118</v>
      </c>
      <c r="J109" s="34" t="n">
        <f aca="false">IF(Packages!$AG$15=0,0,ROUNDUP(Packages!$O$15/R_DW,0)+DW_DRAW)</f>
        <v>8</v>
      </c>
      <c r="K109" s="34" t="n">
        <f aca="false">IF(J109=0,0,ROUNDUP(J109*7/WD,0))</f>
        <v>10</v>
      </c>
      <c r="L109" s="15" t="s">
        <v>3164</v>
      </c>
      <c r="M109" s="34" t="n">
        <f aca="false">ROUNDUP(K108*LADDER,0)</f>
        <v>1</v>
      </c>
      <c r="N109" s="34" t="n">
        <f aca="false">IF(K109=0,0,FFLAG)</f>
        <v>2</v>
      </c>
      <c r="O109" s="15" t="s">
        <v>3166</v>
      </c>
      <c r="P109" s="16" t="n">
        <f aca="false">MAX(P108+M109,Q99-K109)</f>
        <v>46489</v>
      </c>
      <c r="Q109" s="16" t="n">
        <f aca="false">MAX(P109+K109,Q108+N109)</f>
        <v>46499</v>
      </c>
      <c r="R109" s="12"/>
      <c r="S109" s="12"/>
    </row>
    <row r="110" customFormat="false" ht="15" hidden="false" customHeight="false" outlineLevel="0" collapsed="false">
      <c r="A110" s="15" t="s">
        <v>3167</v>
      </c>
      <c r="B110" s="15" t="s">
        <v>3160</v>
      </c>
      <c r="C110" s="15" t="s">
        <v>385</v>
      </c>
      <c r="D110" s="15" t="s">
        <v>543</v>
      </c>
      <c r="E110" s="15" t="s">
        <v>570</v>
      </c>
      <c r="F110" s="15" t="s">
        <v>3017</v>
      </c>
      <c r="G110" s="15" t="s">
        <v>3018</v>
      </c>
      <c r="H110" s="33" t="n">
        <f aca="false">Packages!$X$15+Packages!$Y$15</f>
        <v>170.288367887531</v>
      </c>
      <c r="I110" s="15" t="s">
        <v>3019</v>
      </c>
      <c r="J110" s="34" t="n">
        <f aca="false">MAX(1,ROUNDUP((Packages!$X$15/R_EXS+Packages!$Y$15/R_EXO)/Fronts!$J$5,0))</f>
        <v>1</v>
      </c>
      <c r="K110" s="34" t="n">
        <f aca="false">IF(J110=0,0,ROUNDUP(J110*7/WD,0))</f>
        <v>2</v>
      </c>
      <c r="L110" s="15" t="s">
        <v>3165</v>
      </c>
      <c r="M110" s="34" t="n">
        <f aca="false">IF(K109=0,0,ROUNDUP((K109-ROUNDUP(DW_DRAW*7/WD,0))*LADDER,0)+ROUNDUP(DW_DRAW*7/WD,0))</f>
        <v>10</v>
      </c>
      <c r="N110" s="34" t="n">
        <f aca="false">IF(K110=0,0,FFLAG)</f>
        <v>2</v>
      </c>
      <c r="O110" s="15" t="s">
        <v>3168</v>
      </c>
      <c r="P110" s="16" t="n">
        <f aca="false">MAX(P109+M110,R99,P77)</f>
        <v>46499</v>
      </c>
      <c r="Q110" s="16" t="n">
        <f aca="false">MAX(P110+K110,Q109+N110)</f>
        <v>46501</v>
      </c>
      <c r="R110" s="16" t="n">
        <f aca="false">IF(K110&gt;0,Q110,R99)</f>
        <v>46501</v>
      </c>
      <c r="S110" s="15" t="s">
        <v>3151</v>
      </c>
    </row>
    <row r="111" customFormat="false" ht="15" hidden="false" customHeight="false" outlineLevel="0" collapsed="false">
      <c r="A111" s="15" t="s">
        <v>3169</v>
      </c>
      <c r="B111" s="15" t="s">
        <v>3160</v>
      </c>
      <c r="C111" s="15" t="s">
        <v>385</v>
      </c>
      <c r="D111" s="15" t="s">
        <v>543</v>
      </c>
      <c r="E111" s="15" t="s">
        <v>570</v>
      </c>
      <c r="F111" s="15" t="s">
        <v>3022</v>
      </c>
      <c r="G111" s="15" t="s">
        <v>3023</v>
      </c>
      <c r="H111" s="33" t="n">
        <f aca="false">Packages!$O$15</f>
        <v>6.9803856869693</v>
      </c>
      <c r="I111" s="15" t="s">
        <v>118</v>
      </c>
      <c r="J111" s="34" t="n">
        <f aca="false">MAX(1,ROUNDUP(Packages!$O$15/(R_SLAB*Fronts!$K$5),0))+SLAB_CURE</f>
        <v>4</v>
      </c>
      <c r="K111" s="34" t="n">
        <f aca="false">IF(J111=0,0,ROUNDUP(J111*7/WD,0))</f>
        <v>5</v>
      </c>
      <c r="L111" s="15" t="s">
        <v>3167</v>
      </c>
      <c r="M111" s="34" t="n">
        <f aca="false">ROUNDUP(K110*LADDER,0)</f>
        <v>1</v>
      </c>
      <c r="N111" s="34" t="n">
        <f aca="false">IF(K111=0,0,FFLAG)</f>
        <v>2</v>
      </c>
      <c r="O111" s="15"/>
      <c r="P111" s="16" t="n">
        <f aca="false">MAX(P110+M111,R100)</f>
        <v>46512</v>
      </c>
      <c r="Q111" s="16" t="n">
        <f aca="false">MAX(P111+K111,Q110+N111)</f>
        <v>46517</v>
      </c>
      <c r="R111" s="16" t="n">
        <f aca="false">IF(K111&gt;0,Q111,R100)</f>
        <v>46517</v>
      </c>
      <c r="S111" s="15" t="s">
        <v>3153</v>
      </c>
    </row>
    <row r="112" customFormat="false" ht="15" hidden="false" customHeight="false" outlineLevel="0" collapsed="false">
      <c r="A112" s="15" t="s">
        <v>3170</v>
      </c>
      <c r="B112" s="15" t="s">
        <v>3160</v>
      </c>
      <c r="C112" s="15" t="s">
        <v>385</v>
      </c>
      <c r="D112" s="15" t="s">
        <v>543</v>
      </c>
      <c r="E112" s="15" t="s">
        <v>570</v>
      </c>
      <c r="F112" s="15" t="s">
        <v>3025</v>
      </c>
      <c r="G112" s="15" t="s">
        <v>3026</v>
      </c>
      <c r="H112" s="33" t="n">
        <f aca="false">Packages!$O$15</f>
        <v>6.9803856869693</v>
      </c>
      <c r="I112" s="15" t="s">
        <v>118</v>
      </c>
      <c r="J112" s="34" t="n">
        <f aca="false">MAX(1,ROUNDUP(Packages!$O$15/(IF(Packages!$N$15&gt;=PIPE_T1,R_PIPE_L,IF(Packages!$N$15&gt;=PIPE_T2,R_PIPE_M,R_PIPE_S))*Fronts!$L$5)+Packages!$M$15*FIT_D+IF(Packages!$G$15&lt;&gt;"Run",TIE_D,0),0))</f>
        <v>2</v>
      </c>
      <c r="K112" s="34" t="n">
        <f aca="false">IF(J112=0,0,ROUNDUP(J112*7/WD,0))</f>
        <v>3</v>
      </c>
      <c r="L112" s="15" t="s">
        <v>3169</v>
      </c>
      <c r="M112" s="34" t="n">
        <f aca="false">ROUNDUP(K111*LADDER,0)</f>
        <v>2</v>
      </c>
      <c r="N112" s="34" t="n">
        <f aca="false">IF(K112=0,0,FFLAG)</f>
        <v>2</v>
      </c>
      <c r="O112" s="15"/>
      <c r="P112" s="16" t="n">
        <f aca="false">MAX(P111+M112,R101)</f>
        <v>46514</v>
      </c>
      <c r="Q112" s="16" t="n">
        <f aca="false">MAX(P112+K112,Q111+N112)</f>
        <v>46519</v>
      </c>
      <c r="R112" s="16" t="n">
        <f aca="false">IF(K112&gt;0,Q112,R101)</f>
        <v>46519</v>
      </c>
      <c r="S112" s="15" t="s">
        <v>3154</v>
      </c>
    </row>
    <row r="113" customFormat="false" ht="15" hidden="false" customHeight="false" outlineLevel="0" collapsed="false">
      <c r="A113" s="15" t="s">
        <v>3171</v>
      </c>
      <c r="B113" s="15" t="s">
        <v>3160</v>
      </c>
      <c r="C113" s="15" t="s">
        <v>385</v>
      </c>
      <c r="D113" s="15" t="s">
        <v>543</v>
      </c>
      <c r="E113" s="15" t="s">
        <v>570</v>
      </c>
      <c r="F113" s="15" t="s">
        <v>3028</v>
      </c>
      <c r="G113" s="15" t="s">
        <v>3029</v>
      </c>
      <c r="H113" s="33" t="n">
        <f aca="false">Packages!$O$15</f>
        <v>6.9803856869693</v>
      </c>
      <c r="I113" s="15" t="s">
        <v>118</v>
      </c>
      <c r="J113" s="34" t="n">
        <f aca="false">TEST_D+ROUNDUP(Packages!$O$15/R_TEST,0)</f>
        <v>3</v>
      </c>
      <c r="K113" s="34" t="n">
        <f aca="false">IF(J113=0,0,ROUNDUP(J113*7/WD,0))</f>
        <v>4</v>
      </c>
      <c r="L113" s="15" t="s">
        <v>3170</v>
      </c>
      <c r="M113" s="34" t="n">
        <f aca="false">ROUNDUP(K112*LADDER,0)</f>
        <v>1</v>
      </c>
      <c r="N113" s="34" t="n">
        <f aca="false">IF(K113=0,0,FFLAG)</f>
        <v>2</v>
      </c>
      <c r="O113" s="15"/>
      <c r="P113" s="16" t="n">
        <f aca="false">MAX(P112+M113)</f>
        <v>46515</v>
      </c>
      <c r="Q113" s="16" t="n">
        <f aca="false">MAX(P113+K113,Q112+N113)</f>
        <v>46521</v>
      </c>
      <c r="R113" s="12"/>
      <c r="S113" s="12"/>
    </row>
    <row r="114" customFormat="false" ht="15" hidden="false" customHeight="false" outlineLevel="0" collapsed="false">
      <c r="A114" s="15" t="s">
        <v>3172</v>
      </c>
      <c r="B114" s="15" t="s">
        <v>3160</v>
      </c>
      <c r="C114" s="15" t="s">
        <v>385</v>
      </c>
      <c r="D114" s="15" t="s">
        <v>543</v>
      </c>
      <c r="E114" s="15" t="s">
        <v>570</v>
      </c>
      <c r="F114" s="15" t="s">
        <v>3031</v>
      </c>
      <c r="G114" s="15" t="s">
        <v>3032</v>
      </c>
      <c r="H114" s="33" t="n">
        <f aca="false">Packages!$AB$15</f>
        <v>136.507062002773</v>
      </c>
      <c r="I114" s="15" t="s">
        <v>3019</v>
      </c>
      <c r="J114" s="34" t="n">
        <f aca="false">MAX(1,ROUNDUP(Packages!$AB$15/(R_BF*Fronts!$M$5),0))</f>
        <v>1</v>
      </c>
      <c r="K114" s="34" t="n">
        <f aca="false">IF(J114=0,0,ROUNDUP(J114*7/WD,0))</f>
        <v>2</v>
      </c>
      <c r="L114" s="15" t="s">
        <v>3171</v>
      </c>
      <c r="M114" s="34" t="n">
        <f aca="false">ROUNDUP(K113*LADDER,0)</f>
        <v>2</v>
      </c>
      <c r="N114" s="34" t="n">
        <f aca="false">IF(K114=0,0,FFLAG)</f>
        <v>2</v>
      </c>
      <c r="O114" s="15" t="s">
        <v>3173</v>
      </c>
      <c r="P114" s="16" t="n">
        <f aca="false">MAX(P113+M114,R103,Q79,Q68,Q134,Q145)</f>
        <v>46550</v>
      </c>
      <c r="Q114" s="16" t="n">
        <f aca="false">MAX(P114+K114,Q113+N114)</f>
        <v>46552</v>
      </c>
      <c r="R114" s="16" t="n">
        <f aca="false">IF(K114&gt;0,Q114,R103)</f>
        <v>46552</v>
      </c>
      <c r="S114" s="15" t="s">
        <v>3156</v>
      </c>
    </row>
    <row r="115" customFormat="false" ht="15" hidden="false" customHeight="false" outlineLevel="0" collapsed="false">
      <c r="A115" s="15" t="s">
        <v>3174</v>
      </c>
      <c r="B115" s="15" t="s">
        <v>3160</v>
      </c>
      <c r="C115" s="15" t="s">
        <v>385</v>
      </c>
      <c r="D115" s="15" t="s">
        <v>543</v>
      </c>
      <c r="E115" s="15" t="s">
        <v>570</v>
      </c>
      <c r="F115" s="15" t="s">
        <v>3034</v>
      </c>
      <c r="G115" s="15" t="s">
        <v>3035</v>
      </c>
      <c r="H115" s="33" t="n">
        <f aca="false">Packages!$AD$15</f>
        <v>13.9607713739386</v>
      </c>
      <c r="I115" s="15" t="s">
        <v>3012</v>
      </c>
      <c r="J115" s="34" t="n">
        <f aca="false">IF(Packages!$AD$15&gt;0,ROUNDUP(Packages!$AD$15/R_EXT,0),0)+IF(Packages!$AG$15&gt;0,1,0)</f>
        <v>2</v>
      </c>
      <c r="K115" s="34" t="n">
        <f aca="false">IF(J115=0,0,ROUNDUP(J115*7/WD,0))</f>
        <v>3</v>
      </c>
      <c r="L115" s="15" t="s">
        <v>3172</v>
      </c>
      <c r="M115" s="34" t="n">
        <f aca="false">ROUNDUP(K114*LADDER,0)</f>
        <v>1</v>
      </c>
      <c r="N115" s="34" t="n">
        <f aca="false">IF(K115=0,0,FFLAG)</f>
        <v>2</v>
      </c>
      <c r="O115" s="15"/>
      <c r="P115" s="16" t="n">
        <f aca="false">MAX(P114+M115)</f>
        <v>46551</v>
      </c>
      <c r="Q115" s="16" t="n">
        <f aca="false">MAX(P115+K115,Q114+N115)</f>
        <v>46554</v>
      </c>
      <c r="R115" s="12"/>
      <c r="S115" s="12"/>
    </row>
    <row r="116" customFormat="false" ht="15" hidden="false" customHeight="false" outlineLevel="0" collapsed="false">
      <c r="A116" s="15" t="s">
        <v>3175</v>
      </c>
      <c r="B116" s="15" t="s">
        <v>3176</v>
      </c>
      <c r="C116" s="15" t="s">
        <v>385</v>
      </c>
      <c r="D116" s="15" t="s">
        <v>543</v>
      </c>
      <c r="E116" s="15" t="s">
        <v>575</v>
      </c>
      <c r="F116" s="15" t="s">
        <v>2998</v>
      </c>
      <c r="G116" s="15" t="s">
        <v>2999</v>
      </c>
      <c r="H116" s="12"/>
      <c r="I116" s="12"/>
      <c r="J116" s="34" t="n">
        <f aca="false">0</f>
        <v>0</v>
      </c>
      <c r="K116" s="34" t="n">
        <f aca="false">IF(J116=0,0,ROUNDUP(J116*7/WD,0))</f>
        <v>0</v>
      </c>
      <c r="L116" s="12"/>
      <c r="M116" s="12"/>
      <c r="N116" s="12"/>
      <c r="O116" s="15" t="s">
        <v>3038</v>
      </c>
      <c r="P116" s="16" t="n">
        <f aca="false">MAX(START,D_DLU,Packages!$I$16,Packages!$K$16)</f>
        <v>46357</v>
      </c>
      <c r="Q116" s="16" t="n">
        <f aca="false">P116+K116</f>
        <v>46357</v>
      </c>
      <c r="R116" s="12"/>
      <c r="S116" s="12"/>
    </row>
    <row r="117" customFormat="false" ht="15" hidden="false" customHeight="false" outlineLevel="0" collapsed="false">
      <c r="A117" s="15" t="s">
        <v>3177</v>
      </c>
      <c r="B117" s="15" t="s">
        <v>3176</v>
      </c>
      <c r="C117" s="15" t="s">
        <v>385</v>
      </c>
      <c r="D117" s="15" t="s">
        <v>543</v>
      </c>
      <c r="E117" s="15" t="s">
        <v>575</v>
      </c>
      <c r="F117" s="15" t="s">
        <v>3002</v>
      </c>
      <c r="G117" s="15" t="s">
        <v>205</v>
      </c>
      <c r="H117" s="33" t="n">
        <f aca="false">Packages!$O$16</f>
        <v>10.9787800002896</v>
      </c>
      <c r="I117" s="15" t="s">
        <v>118</v>
      </c>
      <c r="J117" s="34" t="n">
        <f aca="false">MAX(1,ROUNDUP(Packages!$O$16/R_PLAT,0))</f>
        <v>1</v>
      </c>
      <c r="K117" s="34" t="n">
        <f aca="false">IF(J117=0,0,ROUNDUP(J117*7/WD,0))</f>
        <v>2</v>
      </c>
      <c r="L117" s="15" t="s">
        <v>3175</v>
      </c>
      <c r="M117" s="12"/>
      <c r="N117" s="12"/>
      <c r="O117" s="15" t="s">
        <v>3178</v>
      </c>
      <c r="P117" s="16" t="n">
        <f aca="false">MAX(Q116,P107)</f>
        <v>46464</v>
      </c>
      <c r="Q117" s="16" t="n">
        <f aca="false">P117+K117</f>
        <v>46466</v>
      </c>
      <c r="R117" s="12"/>
      <c r="S117" s="12"/>
    </row>
    <row r="118" customFormat="false" ht="15" hidden="false" customHeight="false" outlineLevel="0" collapsed="false">
      <c r="A118" s="15" t="s">
        <v>3179</v>
      </c>
      <c r="B118" s="15" t="s">
        <v>3176</v>
      </c>
      <c r="C118" s="15" t="s">
        <v>385</v>
      </c>
      <c r="D118" s="15" t="s">
        <v>543</v>
      </c>
      <c r="E118" s="15" t="s">
        <v>575</v>
      </c>
      <c r="F118" s="15" t="s">
        <v>3005</v>
      </c>
      <c r="G118" s="15" t="s">
        <v>3006</v>
      </c>
      <c r="H118" s="33" t="n">
        <f aca="false">Packages!$AC$16</f>
        <v>10</v>
      </c>
      <c r="I118" s="15" t="s">
        <v>3007</v>
      </c>
      <c r="J118" s="34" t="n">
        <f aca="false">IF(Packages!$AC$16=0,0,MAX(1,ROUNDUP(Packages!$AC$16/(R_PILE*Fronts!$H$5),0)))</f>
        <v>2</v>
      </c>
      <c r="K118" s="34" t="n">
        <f aca="false">IF(J118=0,0,ROUNDUP(J118*7/WD,0))</f>
        <v>3</v>
      </c>
      <c r="L118" s="15" t="s">
        <v>3177</v>
      </c>
      <c r="M118" s="34" t="n">
        <f aca="false">ROUNDUP(K117*LADDER,0)</f>
        <v>1</v>
      </c>
      <c r="N118" s="34" t="n">
        <f aca="false">IF(K118=0,0,FFLAG)</f>
        <v>2</v>
      </c>
      <c r="O118" s="15" t="s">
        <v>3008</v>
      </c>
      <c r="P118" s="16" t="n">
        <f aca="false">MAX(P117+M118,D_PILEDES)</f>
        <v>46465</v>
      </c>
      <c r="Q118" s="16" t="n">
        <f aca="false">MAX(P118+K118,Q117+N118)</f>
        <v>46468</v>
      </c>
      <c r="R118" s="16" t="n">
        <f aca="false">IF(K118&gt;0,Q118,0)</f>
        <v>46468</v>
      </c>
      <c r="S118" s="12"/>
    </row>
    <row r="119" customFormat="false" ht="15" hidden="false" customHeight="false" outlineLevel="0" collapsed="false">
      <c r="A119" s="15" t="s">
        <v>3180</v>
      </c>
      <c r="B119" s="15" t="s">
        <v>3176</v>
      </c>
      <c r="C119" s="15" t="s">
        <v>385</v>
      </c>
      <c r="D119" s="15" t="s">
        <v>543</v>
      </c>
      <c r="E119" s="15" t="s">
        <v>575</v>
      </c>
      <c r="F119" s="15" t="s">
        <v>3010</v>
      </c>
      <c r="G119" s="15" t="s">
        <v>3011</v>
      </c>
      <c r="H119" s="33" t="n">
        <f aca="false">Packages!$AD$16</f>
        <v>21.9575600005792</v>
      </c>
      <c r="I119" s="15" t="s">
        <v>3012</v>
      </c>
      <c r="J119" s="34" t="n">
        <f aca="false">IF(Packages!$AD$16=0,0,MAX(1,ROUNDUP(Packages!$AD$16/(R_SHEET*Fronts!$I$5),0)))</f>
        <v>1</v>
      </c>
      <c r="K119" s="34" t="n">
        <f aca="false">IF(J119=0,0,ROUNDUP(J119*7/WD,0))</f>
        <v>2</v>
      </c>
      <c r="L119" s="15" t="s">
        <v>3179</v>
      </c>
      <c r="M119" s="34" t="n">
        <f aca="false">ROUNDUP(K118*LADDER,0)</f>
        <v>1</v>
      </c>
      <c r="N119" s="34" t="n">
        <f aca="false">IF(K119=0,0,FFLAG)</f>
        <v>2</v>
      </c>
      <c r="O119" s="15"/>
      <c r="P119" s="16" t="n">
        <f aca="false">MAX(P118+M119)</f>
        <v>46466</v>
      </c>
      <c r="Q119" s="16" t="n">
        <f aca="false">MAX(P119+K119,Q118+N119)</f>
        <v>46470</v>
      </c>
      <c r="R119" s="16" t="n">
        <f aca="false">IF(K119&gt;0,Q119,0)</f>
        <v>46470</v>
      </c>
      <c r="S119" s="12"/>
    </row>
    <row r="120" customFormat="false" ht="15" hidden="false" customHeight="false" outlineLevel="0" collapsed="false">
      <c r="A120" s="15" t="s">
        <v>3181</v>
      </c>
      <c r="B120" s="15" t="s">
        <v>3176</v>
      </c>
      <c r="C120" s="15" t="s">
        <v>385</v>
      </c>
      <c r="D120" s="15" t="s">
        <v>543</v>
      </c>
      <c r="E120" s="15" t="s">
        <v>575</v>
      </c>
      <c r="F120" s="15" t="s">
        <v>3014</v>
      </c>
      <c r="G120" s="15" t="s">
        <v>3015</v>
      </c>
      <c r="H120" s="33" t="n">
        <f aca="false">Packages!$O$16</f>
        <v>10.9787800002896</v>
      </c>
      <c r="I120" s="15" t="s">
        <v>118</v>
      </c>
      <c r="J120" s="34" t="n">
        <f aca="false">IF(Packages!$AG$16=0,0,ROUNDUP(Packages!$O$16/R_DW,0)+DW_DRAW)</f>
        <v>8</v>
      </c>
      <c r="K120" s="34" t="n">
        <f aca="false">IF(J120=0,0,ROUNDUP(J120*7/WD,0))</f>
        <v>10</v>
      </c>
      <c r="L120" s="15" t="s">
        <v>3180</v>
      </c>
      <c r="M120" s="34" t="n">
        <f aca="false">ROUNDUP(K119*LADDER,0)</f>
        <v>1</v>
      </c>
      <c r="N120" s="34" t="n">
        <f aca="false">IF(K120=0,0,FFLAG)</f>
        <v>2</v>
      </c>
      <c r="O120" s="15"/>
      <c r="P120" s="16" t="n">
        <f aca="false">MAX(P119+M120)</f>
        <v>46467</v>
      </c>
      <c r="Q120" s="16" t="n">
        <f aca="false">MAX(P120+K120,Q119+N120)</f>
        <v>46477</v>
      </c>
      <c r="R120" s="12"/>
      <c r="S120" s="12"/>
    </row>
    <row r="121" customFormat="false" ht="15" hidden="false" customHeight="false" outlineLevel="0" collapsed="false">
      <c r="A121" s="15" t="s">
        <v>3182</v>
      </c>
      <c r="B121" s="15" t="s">
        <v>3176</v>
      </c>
      <c r="C121" s="15" t="s">
        <v>385</v>
      </c>
      <c r="D121" s="15" t="s">
        <v>543</v>
      </c>
      <c r="E121" s="15" t="s">
        <v>575</v>
      </c>
      <c r="F121" s="15" t="s">
        <v>3017</v>
      </c>
      <c r="G121" s="15" t="s">
        <v>3018</v>
      </c>
      <c r="H121" s="33" t="n">
        <f aca="false">Packages!$X$16+Packages!$Y$16</f>
        <v>269.487219709113</v>
      </c>
      <c r="I121" s="15" t="s">
        <v>3019</v>
      </c>
      <c r="J121" s="34" t="n">
        <f aca="false">MAX(1,ROUNDUP((Packages!$X$16/R_EXS+Packages!$Y$16/R_EXO)/Fronts!$J$5,0))</f>
        <v>2</v>
      </c>
      <c r="K121" s="34" t="n">
        <f aca="false">IF(J121=0,0,ROUNDUP(J121*7/WD,0))</f>
        <v>3</v>
      </c>
      <c r="L121" s="15" t="s">
        <v>3181</v>
      </c>
      <c r="M121" s="34" t="n">
        <f aca="false">IF(K120=0,0,ROUNDUP((K120-ROUNDUP(DW_DRAW*7/WD,0))*LADDER,0)+ROUNDUP(DW_DRAW*7/WD,0))</f>
        <v>10</v>
      </c>
      <c r="N121" s="34" t="n">
        <f aca="false">IF(K121=0,0,FFLAG)</f>
        <v>2</v>
      </c>
      <c r="O121" s="15"/>
      <c r="P121" s="16" t="n">
        <f aca="false">MAX(P120+M121)</f>
        <v>46477</v>
      </c>
      <c r="Q121" s="16" t="n">
        <f aca="false">MAX(P121+K121,Q120+N121)</f>
        <v>46480</v>
      </c>
      <c r="R121" s="16" t="n">
        <f aca="false">IF(K121&gt;0,Q121,0)</f>
        <v>46480</v>
      </c>
      <c r="S121" s="12"/>
    </row>
    <row r="122" customFormat="false" ht="15" hidden="false" customHeight="false" outlineLevel="0" collapsed="false">
      <c r="A122" s="15" t="s">
        <v>3183</v>
      </c>
      <c r="B122" s="15" t="s">
        <v>3176</v>
      </c>
      <c r="C122" s="15" t="s">
        <v>385</v>
      </c>
      <c r="D122" s="15" t="s">
        <v>543</v>
      </c>
      <c r="E122" s="15" t="s">
        <v>575</v>
      </c>
      <c r="F122" s="15" t="s">
        <v>3022</v>
      </c>
      <c r="G122" s="15" t="s">
        <v>3023</v>
      </c>
      <c r="H122" s="33" t="n">
        <f aca="false">Packages!$O$16</f>
        <v>10.9787800002896</v>
      </c>
      <c r="I122" s="15" t="s">
        <v>118</v>
      </c>
      <c r="J122" s="34" t="n">
        <f aca="false">MAX(1,ROUNDUP(Packages!$O$16/(R_SLAB*Fronts!$K$5),0))+SLAB_CURE</f>
        <v>4</v>
      </c>
      <c r="K122" s="34" t="n">
        <f aca="false">IF(J122=0,0,ROUNDUP(J122*7/WD,0))</f>
        <v>5</v>
      </c>
      <c r="L122" s="15" t="s">
        <v>3182</v>
      </c>
      <c r="M122" s="34" t="n">
        <f aca="false">ROUNDUP(K121*LADDER,0)</f>
        <v>1</v>
      </c>
      <c r="N122" s="34" t="n">
        <f aca="false">IF(K122=0,0,FFLAG)</f>
        <v>2</v>
      </c>
      <c r="O122" s="15"/>
      <c r="P122" s="16" t="n">
        <f aca="false">MAX(P121+M122)</f>
        <v>46478</v>
      </c>
      <c r="Q122" s="16" t="n">
        <f aca="false">MAX(P122+K122,Q121+N122)</f>
        <v>46483</v>
      </c>
      <c r="R122" s="16" t="n">
        <f aca="false">IF(K122&gt;0,Q122,0)</f>
        <v>46483</v>
      </c>
      <c r="S122" s="12"/>
    </row>
    <row r="123" customFormat="false" ht="15" hidden="false" customHeight="false" outlineLevel="0" collapsed="false">
      <c r="A123" s="15" t="s">
        <v>3184</v>
      </c>
      <c r="B123" s="15" t="s">
        <v>3176</v>
      </c>
      <c r="C123" s="15" t="s">
        <v>385</v>
      </c>
      <c r="D123" s="15" t="s">
        <v>543</v>
      </c>
      <c r="E123" s="15" t="s">
        <v>575</v>
      </c>
      <c r="F123" s="15" t="s">
        <v>3025</v>
      </c>
      <c r="G123" s="15" t="s">
        <v>3026</v>
      </c>
      <c r="H123" s="33" t="n">
        <f aca="false">Packages!$O$16</f>
        <v>10.9787800002896</v>
      </c>
      <c r="I123" s="15" t="s">
        <v>118</v>
      </c>
      <c r="J123" s="34" t="n">
        <f aca="false">MAX(1,ROUNDUP(Packages!$O$16/(IF(Packages!$N$16&gt;=PIPE_T1,R_PIPE_L,IF(Packages!$N$16&gt;=PIPE_T2,R_PIPE_M,R_PIPE_S))*Fronts!$L$5)+Packages!$M$16*FIT_D+IF(Packages!$G$16&lt;&gt;"Run",TIE_D,0),0))</f>
        <v>4</v>
      </c>
      <c r="K123" s="34" t="n">
        <f aca="false">IF(J123=0,0,ROUNDUP(J123*7/WD,0))</f>
        <v>5</v>
      </c>
      <c r="L123" s="15" t="s">
        <v>3183</v>
      </c>
      <c r="M123" s="34" t="n">
        <f aca="false">ROUNDUP(K122*LADDER,0)</f>
        <v>2</v>
      </c>
      <c r="N123" s="34" t="n">
        <f aca="false">IF(K123=0,0,FFLAG)</f>
        <v>2</v>
      </c>
      <c r="O123" s="15" t="s">
        <v>3185</v>
      </c>
      <c r="P123" s="16" t="n">
        <f aca="false">MAX(P122+M123,Q112)</f>
        <v>46519</v>
      </c>
      <c r="Q123" s="16" t="n">
        <f aca="false">MAX(P123+K123,Q122+N123)</f>
        <v>46524</v>
      </c>
      <c r="R123" s="16" t="n">
        <f aca="false">IF(K123&gt;0,Q123,0)</f>
        <v>46524</v>
      </c>
      <c r="S123" s="12"/>
    </row>
    <row r="124" customFormat="false" ht="15" hidden="false" customHeight="false" outlineLevel="0" collapsed="false">
      <c r="A124" s="15" t="s">
        <v>3186</v>
      </c>
      <c r="B124" s="15" t="s">
        <v>3176</v>
      </c>
      <c r="C124" s="15" t="s">
        <v>385</v>
      </c>
      <c r="D124" s="15" t="s">
        <v>543</v>
      </c>
      <c r="E124" s="15" t="s">
        <v>575</v>
      </c>
      <c r="F124" s="15" t="s">
        <v>3028</v>
      </c>
      <c r="G124" s="15" t="s">
        <v>3029</v>
      </c>
      <c r="H124" s="33" t="n">
        <f aca="false">Packages!$O$16</f>
        <v>10.9787800002896</v>
      </c>
      <c r="I124" s="15" t="s">
        <v>118</v>
      </c>
      <c r="J124" s="34" t="n">
        <f aca="false">TEST_D+ROUNDUP(Packages!$O$16/R_TEST,0)</f>
        <v>3</v>
      </c>
      <c r="K124" s="34" t="n">
        <f aca="false">IF(J124=0,0,ROUNDUP(J124*7/WD,0))</f>
        <v>4</v>
      </c>
      <c r="L124" s="15" t="s">
        <v>3184</v>
      </c>
      <c r="M124" s="34" t="n">
        <f aca="false">ROUNDUP(K123*LADDER,0)</f>
        <v>2</v>
      </c>
      <c r="N124" s="34" t="n">
        <f aca="false">IF(K124=0,0,FFLAG)</f>
        <v>2</v>
      </c>
      <c r="O124" s="15"/>
      <c r="P124" s="16" t="n">
        <f aca="false">MAX(P123+M124)</f>
        <v>46521</v>
      </c>
      <c r="Q124" s="16" t="n">
        <f aca="false">MAX(P124+K124,Q123+N124)</f>
        <v>46526</v>
      </c>
      <c r="R124" s="12"/>
      <c r="S124" s="12"/>
    </row>
    <row r="125" customFormat="false" ht="15" hidden="false" customHeight="false" outlineLevel="0" collapsed="false">
      <c r="A125" s="15" t="s">
        <v>3187</v>
      </c>
      <c r="B125" s="15" t="s">
        <v>3176</v>
      </c>
      <c r="C125" s="15" t="s">
        <v>385</v>
      </c>
      <c r="D125" s="15" t="s">
        <v>543</v>
      </c>
      <c r="E125" s="15" t="s">
        <v>575</v>
      </c>
      <c r="F125" s="15" t="s">
        <v>3031</v>
      </c>
      <c r="G125" s="15" t="s">
        <v>3032</v>
      </c>
      <c r="H125" s="33" t="n">
        <f aca="false">Packages!$AB$16</f>
        <v>215.703848138647</v>
      </c>
      <c r="I125" s="15" t="s">
        <v>3019</v>
      </c>
      <c r="J125" s="34" t="n">
        <f aca="false">MAX(1,ROUNDUP(Packages!$AB$16/(R_BF*Fronts!$M$5),0))</f>
        <v>1</v>
      </c>
      <c r="K125" s="34" t="n">
        <f aca="false">IF(J125=0,0,ROUNDUP(J125*7/WD,0))</f>
        <v>2</v>
      </c>
      <c r="L125" s="15" t="s">
        <v>3186</v>
      </c>
      <c r="M125" s="34" t="n">
        <f aca="false">ROUNDUP(K124*LADDER,0)</f>
        <v>2</v>
      </c>
      <c r="N125" s="34" t="n">
        <f aca="false">IF(K125=0,0,FFLAG)</f>
        <v>2</v>
      </c>
      <c r="O125" s="15" t="s">
        <v>3173</v>
      </c>
      <c r="P125" s="16" t="n">
        <f aca="false">MAX(P124+M125,Q79,Q68,Q134,Q145)</f>
        <v>46529</v>
      </c>
      <c r="Q125" s="16" t="n">
        <f aca="false">MAX(P125+K125,Q124+N125)</f>
        <v>46531</v>
      </c>
      <c r="R125" s="16" t="n">
        <f aca="false">IF(K125&gt;0,Q125,0)</f>
        <v>46531</v>
      </c>
      <c r="S125" s="12"/>
    </row>
    <row r="126" customFormat="false" ht="15" hidden="false" customHeight="false" outlineLevel="0" collapsed="false">
      <c r="A126" s="15" t="s">
        <v>3188</v>
      </c>
      <c r="B126" s="15" t="s">
        <v>3176</v>
      </c>
      <c r="C126" s="15" t="s">
        <v>385</v>
      </c>
      <c r="D126" s="15" t="s">
        <v>543</v>
      </c>
      <c r="E126" s="15" t="s">
        <v>575</v>
      </c>
      <c r="F126" s="15" t="s">
        <v>3034</v>
      </c>
      <c r="G126" s="15" t="s">
        <v>3035</v>
      </c>
      <c r="H126" s="33" t="n">
        <f aca="false">Packages!$AD$16</f>
        <v>21.9575600005792</v>
      </c>
      <c r="I126" s="15" t="s">
        <v>3012</v>
      </c>
      <c r="J126" s="34" t="n">
        <f aca="false">IF(Packages!$AD$16&gt;0,ROUNDUP(Packages!$AD$16/R_EXT,0),0)+IF(Packages!$AG$16&gt;0,1,0)</f>
        <v>2</v>
      </c>
      <c r="K126" s="34" t="n">
        <f aca="false">IF(J126=0,0,ROUNDUP(J126*7/WD,0))</f>
        <v>3</v>
      </c>
      <c r="L126" s="15" t="s">
        <v>3187</v>
      </c>
      <c r="M126" s="34" t="n">
        <f aca="false">ROUNDUP(K125*LADDER,0)</f>
        <v>1</v>
      </c>
      <c r="N126" s="34" t="n">
        <f aca="false">IF(K126=0,0,FFLAG)</f>
        <v>2</v>
      </c>
      <c r="O126" s="15"/>
      <c r="P126" s="16" t="n">
        <f aca="false">MAX(P125+M126)</f>
        <v>46530</v>
      </c>
      <c r="Q126" s="16" t="n">
        <f aca="false">MAX(P126+K126,Q125+N126)</f>
        <v>46533</v>
      </c>
      <c r="R126" s="12"/>
      <c r="S126" s="12"/>
    </row>
    <row r="127" customFormat="false" ht="15" hidden="false" customHeight="false" outlineLevel="0" collapsed="false">
      <c r="A127" s="15" t="s">
        <v>3189</v>
      </c>
      <c r="B127" s="15" t="s">
        <v>3190</v>
      </c>
      <c r="C127" s="15" t="s">
        <v>385</v>
      </c>
      <c r="D127" s="15" t="s">
        <v>578</v>
      </c>
      <c r="E127" s="15" t="s">
        <v>579</v>
      </c>
      <c r="F127" s="15" t="s">
        <v>2998</v>
      </c>
      <c r="G127" s="15" t="s">
        <v>2999</v>
      </c>
      <c r="H127" s="12"/>
      <c r="I127" s="12"/>
      <c r="J127" s="34" t="n">
        <f aca="false">0</f>
        <v>0</v>
      </c>
      <c r="K127" s="34" t="n">
        <f aca="false">IF(J127=0,0,ROUNDUP(J127*7/WD,0))</f>
        <v>0</v>
      </c>
      <c r="L127" s="12"/>
      <c r="M127" s="12"/>
      <c r="N127" s="12"/>
      <c r="O127" s="15" t="s">
        <v>3000</v>
      </c>
      <c r="P127" s="16" t="n">
        <f aca="false">MAX(START,D_DLU,Packages!$I$17,Packages!$K$17)</f>
        <v>46357</v>
      </c>
      <c r="Q127" s="16" t="n">
        <f aca="false">P127+K127</f>
        <v>46357</v>
      </c>
      <c r="R127" s="12"/>
      <c r="S127" s="12"/>
    </row>
    <row r="128" customFormat="false" ht="15" hidden="false" customHeight="false" outlineLevel="0" collapsed="false">
      <c r="A128" s="15" t="s">
        <v>3191</v>
      </c>
      <c r="B128" s="15" t="s">
        <v>3190</v>
      </c>
      <c r="C128" s="15" t="s">
        <v>385</v>
      </c>
      <c r="D128" s="15" t="s">
        <v>578</v>
      </c>
      <c r="E128" s="15" t="s">
        <v>579</v>
      </c>
      <c r="F128" s="15" t="s">
        <v>3002</v>
      </c>
      <c r="G128" s="15" t="s">
        <v>205</v>
      </c>
      <c r="H128" s="33" t="n">
        <f aca="false">Packages!$O$17</f>
        <v>10.3096902754036</v>
      </c>
      <c r="I128" s="15" t="s">
        <v>118</v>
      </c>
      <c r="J128" s="34" t="n">
        <f aca="false">MAX(1,ROUNDUP(Packages!$O$17/R_PLAT,0))</f>
        <v>1</v>
      </c>
      <c r="K128" s="34" t="n">
        <f aca="false">IF(J128=0,0,ROUNDUP(J128*7/WD,0))</f>
        <v>2</v>
      </c>
      <c r="L128" s="15" t="s">
        <v>3189</v>
      </c>
      <c r="M128" s="12"/>
      <c r="N128" s="12"/>
      <c r="O128" s="15" t="s">
        <v>3192</v>
      </c>
      <c r="P128" s="16" t="n">
        <f aca="false">MAX(Q127,P107)</f>
        <v>46464</v>
      </c>
      <c r="Q128" s="16" t="n">
        <f aca="false">P128+K128</f>
        <v>46466</v>
      </c>
      <c r="R128" s="12"/>
      <c r="S128" s="12"/>
    </row>
    <row r="129" customFormat="false" ht="15" hidden="false" customHeight="false" outlineLevel="0" collapsed="false">
      <c r="A129" s="15" t="s">
        <v>3193</v>
      </c>
      <c r="B129" s="15" t="s">
        <v>3190</v>
      </c>
      <c r="C129" s="15" t="s">
        <v>385</v>
      </c>
      <c r="D129" s="15" t="s">
        <v>578</v>
      </c>
      <c r="E129" s="15" t="s">
        <v>579</v>
      </c>
      <c r="F129" s="15" t="s">
        <v>3005</v>
      </c>
      <c r="G129" s="15" t="s">
        <v>3006</v>
      </c>
      <c r="H129" s="33" t="n">
        <f aca="false">Packages!$AC$17</f>
        <v>10</v>
      </c>
      <c r="I129" s="15" t="s">
        <v>3007</v>
      </c>
      <c r="J129" s="34" t="n">
        <f aca="false">IF(Packages!$AC$17=0,0,MAX(1,ROUNDUP(Packages!$AC$17/(R_PILE*Fronts!$H$5),0)))</f>
        <v>2</v>
      </c>
      <c r="K129" s="34" t="n">
        <f aca="false">IF(J129=0,0,ROUNDUP(J129*7/WD,0))</f>
        <v>3</v>
      </c>
      <c r="L129" s="15" t="s">
        <v>3191</v>
      </c>
      <c r="M129" s="34" t="n">
        <f aca="false">ROUNDUP(K128*LADDER,0)</f>
        <v>1</v>
      </c>
      <c r="N129" s="34" t="n">
        <f aca="false">IF(K129=0,0,FFLAG)</f>
        <v>2</v>
      </c>
      <c r="O129" s="15" t="s">
        <v>3008</v>
      </c>
      <c r="P129" s="16" t="n">
        <f aca="false">MAX(P128+M129,D_PILEDES,R107)</f>
        <v>46467</v>
      </c>
      <c r="Q129" s="16" t="n">
        <f aca="false">MAX(P129+K129,Q128+N129)</f>
        <v>46470</v>
      </c>
      <c r="R129" s="16" t="n">
        <f aca="false">IF(K129&gt;0,Q129,R107)</f>
        <v>46470</v>
      </c>
      <c r="S129" s="15" t="s">
        <v>3163</v>
      </c>
    </row>
    <row r="130" customFormat="false" ht="15" hidden="false" customHeight="false" outlineLevel="0" collapsed="false">
      <c r="A130" s="15" t="s">
        <v>3194</v>
      </c>
      <c r="B130" s="15" t="s">
        <v>3190</v>
      </c>
      <c r="C130" s="15" t="s">
        <v>385</v>
      </c>
      <c r="D130" s="15" t="s">
        <v>578</v>
      </c>
      <c r="E130" s="15" t="s">
        <v>579</v>
      </c>
      <c r="F130" s="15" t="s">
        <v>3010</v>
      </c>
      <c r="G130" s="15" t="s">
        <v>3011</v>
      </c>
      <c r="H130" s="33" t="n">
        <f aca="false">Packages!$AD$17</f>
        <v>20.6193805508073</v>
      </c>
      <c r="I130" s="15" t="s">
        <v>3012</v>
      </c>
      <c r="J130" s="34" t="n">
        <f aca="false">IF(Packages!$AD$17=0,0,MAX(1,ROUNDUP(Packages!$AD$17/(R_SHEET*Fronts!$I$5),0)))</f>
        <v>1</v>
      </c>
      <c r="K130" s="34" t="n">
        <f aca="false">IF(J130=0,0,ROUNDUP(J130*7/WD,0))</f>
        <v>2</v>
      </c>
      <c r="L130" s="15" t="s">
        <v>3193</v>
      </c>
      <c r="M130" s="34" t="n">
        <f aca="false">ROUNDUP(K129*LADDER,0)</f>
        <v>1</v>
      </c>
      <c r="N130" s="34" t="n">
        <f aca="false">IF(K130=0,0,FFLAG)</f>
        <v>2</v>
      </c>
      <c r="O130" s="15"/>
      <c r="P130" s="16" t="n">
        <f aca="false">MAX(P129+M130,R108)</f>
        <v>46469</v>
      </c>
      <c r="Q130" s="16" t="n">
        <f aca="false">MAX(P130+K130,Q129+N130)</f>
        <v>46472</v>
      </c>
      <c r="R130" s="16" t="n">
        <f aca="false">IF(K130&gt;0,Q130,R108)</f>
        <v>46472</v>
      </c>
      <c r="S130" s="15" t="s">
        <v>3164</v>
      </c>
    </row>
    <row r="131" customFormat="false" ht="15" hidden="false" customHeight="false" outlineLevel="0" collapsed="false">
      <c r="A131" s="15" t="s">
        <v>3195</v>
      </c>
      <c r="B131" s="15" t="s">
        <v>3190</v>
      </c>
      <c r="C131" s="15" t="s">
        <v>385</v>
      </c>
      <c r="D131" s="15" t="s">
        <v>578</v>
      </c>
      <c r="E131" s="15" t="s">
        <v>579</v>
      </c>
      <c r="F131" s="15" t="s">
        <v>3014</v>
      </c>
      <c r="G131" s="15" t="s">
        <v>3015</v>
      </c>
      <c r="H131" s="33" t="n">
        <f aca="false">Packages!$O$17</f>
        <v>10.3096902754036</v>
      </c>
      <c r="I131" s="15" t="s">
        <v>118</v>
      </c>
      <c r="J131" s="34" t="n">
        <f aca="false">IF(Packages!$AG$17=0,0,ROUNDUP(Packages!$O$17/R_DW,0)+DW_DRAW)</f>
        <v>8</v>
      </c>
      <c r="K131" s="34" t="n">
        <f aca="false">IF(J131=0,0,ROUNDUP(J131*7/WD,0))</f>
        <v>10</v>
      </c>
      <c r="L131" s="15" t="s">
        <v>3194</v>
      </c>
      <c r="M131" s="34" t="n">
        <f aca="false">ROUNDUP(K130*LADDER,0)</f>
        <v>1</v>
      </c>
      <c r="N131" s="34" t="n">
        <f aca="false">IF(K131=0,0,FFLAG)</f>
        <v>2</v>
      </c>
      <c r="O131" s="15" t="s">
        <v>3196</v>
      </c>
      <c r="P131" s="16" t="n">
        <f aca="false">MAX(P130+M131,Q110-K131)</f>
        <v>46491</v>
      </c>
      <c r="Q131" s="16" t="n">
        <f aca="false">MAX(P131+K131,Q130+N131)</f>
        <v>46501</v>
      </c>
      <c r="R131" s="12"/>
      <c r="S131" s="12"/>
    </row>
    <row r="132" customFormat="false" ht="15" hidden="false" customHeight="false" outlineLevel="0" collapsed="false">
      <c r="A132" s="15" t="s">
        <v>3197</v>
      </c>
      <c r="B132" s="15" t="s">
        <v>3190</v>
      </c>
      <c r="C132" s="15" t="s">
        <v>385</v>
      </c>
      <c r="D132" s="15" t="s">
        <v>578</v>
      </c>
      <c r="E132" s="15" t="s">
        <v>579</v>
      </c>
      <c r="F132" s="15" t="s">
        <v>3017</v>
      </c>
      <c r="G132" s="15" t="s">
        <v>3018</v>
      </c>
      <c r="H132" s="33" t="n">
        <f aca="false">Packages!$X$17+Packages!$Y$17</f>
        <v>191.574073467958</v>
      </c>
      <c r="I132" s="15" t="s">
        <v>3019</v>
      </c>
      <c r="J132" s="34" t="n">
        <f aca="false">MAX(1,ROUNDUP((Packages!$X$17/R_EXS+Packages!$Y$17/R_EXO)/Fronts!$J$5,0))</f>
        <v>1</v>
      </c>
      <c r="K132" s="34" t="n">
        <f aca="false">IF(J132=0,0,ROUNDUP(J132*7/WD,0))</f>
        <v>2</v>
      </c>
      <c r="L132" s="15" t="s">
        <v>3195</v>
      </c>
      <c r="M132" s="34" t="n">
        <f aca="false">IF(K131=0,0,ROUNDUP((K131-ROUNDUP(DW_DRAW*7/WD,0))*LADDER,0)+ROUNDUP(DW_DRAW*7/WD,0))</f>
        <v>10</v>
      </c>
      <c r="N132" s="34" t="n">
        <f aca="false">IF(K132=0,0,FFLAG)</f>
        <v>2</v>
      </c>
      <c r="O132" s="15" t="s">
        <v>3103</v>
      </c>
      <c r="P132" s="16" t="n">
        <f aca="false">MAX(P131+M132,R110,P110,P121)</f>
        <v>46501</v>
      </c>
      <c r="Q132" s="16" t="n">
        <f aca="false">MAX(P132+K132,Q131+N132)</f>
        <v>46503</v>
      </c>
      <c r="R132" s="16" t="n">
        <f aca="false">IF(K132&gt;0,Q132,R110)</f>
        <v>46503</v>
      </c>
      <c r="S132" s="15" t="s">
        <v>3167</v>
      </c>
    </row>
    <row r="133" customFormat="false" ht="15" hidden="false" customHeight="false" outlineLevel="0" collapsed="false">
      <c r="A133" s="15" t="s">
        <v>3198</v>
      </c>
      <c r="B133" s="15" t="s">
        <v>3190</v>
      </c>
      <c r="C133" s="15" t="s">
        <v>385</v>
      </c>
      <c r="D133" s="15" t="s">
        <v>578</v>
      </c>
      <c r="E133" s="15" t="s">
        <v>579</v>
      </c>
      <c r="F133" s="15" t="s">
        <v>3022</v>
      </c>
      <c r="G133" s="15" t="s">
        <v>3023</v>
      </c>
      <c r="H133" s="33" t="n">
        <f aca="false">Packages!$O$17</f>
        <v>10.3096902754036</v>
      </c>
      <c r="I133" s="15" t="s">
        <v>118</v>
      </c>
      <c r="J133" s="34" t="n">
        <f aca="false">MAX(1,ROUNDUP(Packages!$O$17/(R_SLAB*Fronts!$K$5),0))+SLAB_CURE</f>
        <v>4</v>
      </c>
      <c r="K133" s="34" t="n">
        <f aca="false">IF(J133=0,0,ROUNDUP(J133*7/WD,0))</f>
        <v>5</v>
      </c>
      <c r="L133" s="15" t="s">
        <v>3197</v>
      </c>
      <c r="M133" s="34" t="n">
        <f aca="false">ROUNDUP(K132*LADDER,0)</f>
        <v>1</v>
      </c>
      <c r="N133" s="34" t="n">
        <f aca="false">IF(K133=0,0,FFLAG)</f>
        <v>2</v>
      </c>
      <c r="O133" s="15"/>
      <c r="P133" s="16" t="n">
        <f aca="false">MAX(P132+M133,R111)</f>
        <v>46517</v>
      </c>
      <c r="Q133" s="16" t="n">
        <f aca="false">MAX(P133+K133,Q132+N133)</f>
        <v>46522</v>
      </c>
      <c r="R133" s="16" t="n">
        <f aca="false">IF(K133&gt;0,Q133,R111)</f>
        <v>46522</v>
      </c>
      <c r="S133" s="15" t="s">
        <v>3169</v>
      </c>
    </row>
    <row r="134" customFormat="false" ht="15" hidden="false" customHeight="false" outlineLevel="0" collapsed="false">
      <c r="A134" s="15" t="s">
        <v>3199</v>
      </c>
      <c r="B134" s="15" t="s">
        <v>3190</v>
      </c>
      <c r="C134" s="15" t="s">
        <v>385</v>
      </c>
      <c r="D134" s="15" t="s">
        <v>578</v>
      </c>
      <c r="E134" s="15" t="s">
        <v>579</v>
      </c>
      <c r="F134" s="15" t="s">
        <v>3025</v>
      </c>
      <c r="G134" s="15" t="s">
        <v>3026</v>
      </c>
      <c r="H134" s="33" t="n">
        <f aca="false">Packages!$O$17</f>
        <v>10.3096902754036</v>
      </c>
      <c r="I134" s="15" t="s">
        <v>118</v>
      </c>
      <c r="J134" s="34" t="n">
        <f aca="false">MAX(1,ROUNDUP(Packages!$O$17/(IF(Packages!$N$17&gt;=PIPE_T1,R_PIPE_L,IF(Packages!$N$17&gt;=PIPE_T2,R_PIPE_M,R_PIPE_S))*Fronts!$L$5)+Packages!$M$17*FIT_D+IF(Packages!$G$17&lt;&gt;"Run",TIE_D,0),0))</f>
        <v>4</v>
      </c>
      <c r="K134" s="34" t="n">
        <f aca="false">IF(J134=0,0,ROUNDUP(J134*7/WD,0))</f>
        <v>5</v>
      </c>
      <c r="L134" s="15" t="s">
        <v>3198</v>
      </c>
      <c r="M134" s="34" t="n">
        <f aca="false">ROUNDUP(K133*LADDER,0)</f>
        <v>2</v>
      </c>
      <c r="N134" s="34" t="n">
        <f aca="false">IF(K134=0,0,FFLAG)</f>
        <v>2</v>
      </c>
      <c r="O134" s="15"/>
      <c r="P134" s="16" t="n">
        <f aca="false">MAX(P133+M134,R112)</f>
        <v>46519</v>
      </c>
      <c r="Q134" s="16" t="n">
        <f aca="false">MAX(P134+K134,Q133+N134)</f>
        <v>46524</v>
      </c>
      <c r="R134" s="16" t="n">
        <f aca="false">IF(K134&gt;0,Q134,R112)</f>
        <v>46524</v>
      </c>
      <c r="S134" s="15" t="s">
        <v>3170</v>
      </c>
    </row>
    <row r="135" customFormat="false" ht="15" hidden="false" customHeight="false" outlineLevel="0" collapsed="false">
      <c r="A135" s="15" t="s">
        <v>3200</v>
      </c>
      <c r="B135" s="15" t="s">
        <v>3190</v>
      </c>
      <c r="C135" s="15" t="s">
        <v>385</v>
      </c>
      <c r="D135" s="15" t="s">
        <v>578</v>
      </c>
      <c r="E135" s="15" t="s">
        <v>579</v>
      </c>
      <c r="F135" s="15" t="s">
        <v>3028</v>
      </c>
      <c r="G135" s="15" t="s">
        <v>3029</v>
      </c>
      <c r="H135" s="33" t="n">
        <f aca="false">Packages!$O$17</f>
        <v>10.3096902754036</v>
      </c>
      <c r="I135" s="15" t="s">
        <v>118</v>
      </c>
      <c r="J135" s="34" t="n">
        <f aca="false">TEST_D+ROUNDUP(Packages!$O$17/R_TEST,0)</f>
        <v>3</v>
      </c>
      <c r="K135" s="34" t="n">
        <f aca="false">IF(J135=0,0,ROUNDUP(J135*7/WD,0))</f>
        <v>4</v>
      </c>
      <c r="L135" s="15" t="s">
        <v>3199</v>
      </c>
      <c r="M135" s="34" t="n">
        <f aca="false">ROUNDUP(K134*LADDER,0)</f>
        <v>2</v>
      </c>
      <c r="N135" s="34" t="n">
        <f aca="false">IF(K135=0,0,FFLAG)</f>
        <v>2</v>
      </c>
      <c r="O135" s="15"/>
      <c r="P135" s="16" t="n">
        <f aca="false">MAX(P134+M135)</f>
        <v>46521</v>
      </c>
      <c r="Q135" s="16" t="n">
        <f aca="false">MAX(P135+K135,Q134+N135)</f>
        <v>46526</v>
      </c>
      <c r="R135" s="12"/>
      <c r="S135" s="12"/>
    </row>
    <row r="136" customFormat="false" ht="15" hidden="false" customHeight="false" outlineLevel="0" collapsed="false">
      <c r="A136" s="15" t="s">
        <v>3201</v>
      </c>
      <c r="B136" s="15" t="s">
        <v>3190</v>
      </c>
      <c r="C136" s="15" t="s">
        <v>385</v>
      </c>
      <c r="D136" s="15" t="s">
        <v>578</v>
      </c>
      <c r="E136" s="15" t="s">
        <v>579</v>
      </c>
      <c r="F136" s="15" t="s">
        <v>3031</v>
      </c>
      <c r="G136" s="15" t="s">
        <v>3032</v>
      </c>
      <c r="H136" s="33" t="n">
        <f aca="false">Packages!$AB$17</f>
        <v>146.851549005657</v>
      </c>
      <c r="I136" s="15" t="s">
        <v>3019</v>
      </c>
      <c r="J136" s="34" t="n">
        <f aca="false">MAX(1,ROUNDUP(Packages!$AB$17/(R_BF*Fronts!$M$5),0))</f>
        <v>1</v>
      </c>
      <c r="K136" s="34" t="n">
        <f aca="false">IF(J136=0,0,ROUNDUP(J136*7/WD,0))</f>
        <v>2</v>
      </c>
      <c r="L136" s="15" t="s">
        <v>3200</v>
      </c>
      <c r="M136" s="34" t="n">
        <f aca="false">ROUNDUP(K135*LADDER,0)</f>
        <v>2</v>
      </c>
      <c r="N136" s="34" t="n">
        <f aca="false">IF(K136=0,0,FFLAG)</f>
        <v>2</v>
      </c>
      <c r="O136" s="15" t="s">
        <v>3109</v>
      </c>
      <c r="P136" s="16" t="n">
        <f aca="false">MAX(P135+M136,R114,Q112,Q123)</f>
        <v>46552</v>
      </c>
      <c r="Q136" s="16" t="n">
        <f aca="false">MAX(P136+K136,Q135+N136)</f>
        <v>46554</v>
      </c>
      <c r="R136" s="16" t="n">
        <f aca="false">IF(K136&gt;0,Q136,R114)</f>
        <v>46554</v>
      </c>
      <c r="S136" s="15" t="s">
        <v>3172</v>
      </c>
    </row>
    <row r="137" customFormat="false" ht="15" hidden="false" customHeight="false" outlineLevel="0" collapsed="false">
      <c r="A137" s="15" t="s">
        <v>3202</v>
      </c>
      <c r="B137" s="15" t="s">
        <v>3190</v>
      </c>
      <c r="C137" s="15" t="s">
        <v>385</v>
      </c>
      <c r="D137" s="15" t="s">
        <v>578</v>
      </c>
      <c r="E137" s="15" t="s">
        <v>579</v>
      </c>
      <c r="F137" s="15" t="s">
        <v>3034</v>
      </c>
      <c r="G137" s="15" t="s">
        <v>3035</v>
      </c>
      <c r="H137" s="33" t="n">
        <f aca="false">Packages!$AD$17</f>
        <v>20.6193805508073</v>
      </c>
      <c r="I137" s="15" t="s">
        <v>3012</v>
      </c>
      <c r="J137" s="34" t="n">
        <f aca="false">IF(Packages!$AD$17&gt;0,ROUNDUP(Packages!$AD$17/R_EXT,0),0)+IF(Packages!$AG$17&gt;0,1,0)</f>
        <v>2</v>
      </c>
      <c r="K137" s="34" t="n">
        <f aca="false">IF(J137=0,0,ROUNDUP(J137*7/WD,0))</f>
        <v>3</v>
      </c>
      <c r="L137" s="15" t="s">
        <v>3201</v>
      </c>
      <c r="M137" s="34" t="n">
        <f aca="false">ROUNDUP(K136*LADDER,0)</f>
        <v>1</v>
      </c>
      <c r="N137" s="34" t="n">
        <f aca="false">IF(K137=0,0,FFLAG)</f>
        <v>2</v>
      </c>
      <c r="O137" s="15"/>
      <c r="P137" s="16" t="n">
        <f aca="false">MAX(P136+M137)</f>
        <v>46553</v>
      </c>
      <c r="Q137" s="16" t="n">
        <f aca="false">MAX(P137+K137,Q136+N137)</f>
        <v>46556</v>
      </c>
      <c r="R137" s="12"/>
      <c r="S137" s="12"/>
    </row>
    <row r="138" customFormat="false" ht="15" hidden="false" customHeight="false" outlineLevel="0" collapsed="false">
      <c r="A138" s="15" t="s">
        <v>3203</v>
      </c>
      <c r="B138" s="15" t="s">
        <v>3204</v>
      </c>
      <c r="C138" s="15" t="s">
        <v>385</v>
      </c>
      <c r="D138" s="15" t="s">
        <v>578</v>
      </c>
      <c r="E138" s="15" t="s">
        <v>588</v>
      </c>
      <c r="F138" s="15" t="s">
        <v>2998</v>
      </c>
      <c r="G138" s="15" t="s">
        <v>2999</v>
      </c>
      <c r="H138" s="12"/>
      <c r="I138" s="12"/>
      <c r="J138" s="34" t="n">
        <f aca="false">0</f>
        <v>0</v>
      </c>
      <c r="K138" s="34" t="n">
        <f aca="false">IF(J138=0,0,ROUNDUP(J138*7/WD,0))</f>
        <v>0</v>
      </c>
      <c r="L138" s="12"/>
      <c r="M138" s="12"/>
      <c r="N138" s="12"/>
      <c r="O138" s="15" t="s">
        <v>3038</v>
      </c>
      <c r="P138" s="16" t="n">
        <f aca="false">MAX(START,D_DLU,Packages!$I$18,Packages!$K$18)</f>
        <v>46357</v>
      </c>
      <c r="Q138" s="16" t="n">
        <f aca="false">P138+K138</f>
        <v>46357</v>
      </c>
      <c r="R138" s="12"/>
      <c r="S138" s="12"/>
    </row>
    <row r="139" customFormat="false" ht="15" hidden="false" customHeight="false" outlineLevel="0" collapsed="false">
      <c r="A139" s="15" t="s">
        <v>3205</v>
      </c>
      <c r="B139" s="15" t="s">
        <v>3204</v>
      </c>
      <c r="C139" s="15" t="s">
        <v>385</v>
      </c>
      <c r="D139" s="15" t="s">
        <v>578</v>
      </c>
      <c r="E139" s="15" t="s">
        <v>588</v>
      </c>
      <c r="F139" s="15" t="s">
        <v>3002</v>
      </c>
      <c r="G139" s="15" t="s">
        <v>205</v>
      </c>
      <c r="H139" s="33" t="n">
        <f aca="false">Packages!$O$18</f>
        <v>12.345200000319</v>
      </c>
      <c r="I139" s="15" t="s">
        <v>118</v>
      </c>
      <c r="J139" s="34" t="n">
        <f aca="false">MAX(1,ROUNDUP(Packages!$O$18/R_PLAT,0))</f>
        <v>1</v>
      </c>
      <c r="K139" s="34" t="n">
        <f aca="false">IF(J139=0,0,ROUNDUP(J139*7/WD,0))</f>
        <v>2</v>
      </c>
      <c r="L139" s="15" t="s">
        <v>3203</v>
      </c>
      <c r="M139" s="12"/>
      <c r="N139" s="12"/>
      <c r="O139" s="15" t="s">
        <v>3206</v>
      </c>
      <c r="P139" s="16" t="n">
        <f aca="false">MAX(Q138,P129)</f>
        <v>46467</v>
      </c>
      <c r="Q139" s="16" t="n">
        <f aca="false">P139+K139</f>
        <v>46469</v>
      </c>
      <c r="R139" s="12"/>
      <c r="S139" s="12"/>
    </row>
    <row r="140" customFormat="false" ht="15" hidden="false" customHeight="false" outlineLevel="0" collapsed="false">
      <c r="A140" s="15" t="s">
        <v>3207</v>
      </c>
      <c r="B140" s="15" t="s">
        <v>3204</v>
      </c>
      <c r="C140" s="15" t="s">
        <v>385</v>
      </c>
      <c r="D140" s="15" t="s">
        <v>578</v>
      </c>
      <c r="E140" s="15" t="s">
        <v>588</v>
      </c>
      <c r="F140" s="15" t="s">
        <v>3005</v>
      </c>
      <c r="G140" s="15" t="s">
        <v>3006</v>
      </c>
      <c r="H140" s="33" t="n">
        <f aca="false">Packages!$AC$18</f>
        <v>12</v>
      </c>
      <c r="I140" s="15" t="s">
        <v>3007</v>
      </c>
      <c r="J140" s="34" t="n">
        <f aca="false">IF(Packages!$AC$18=0,0,MAX(1,ROUNDUP(Packages!$AC$18/(R_PILE*Fronts!$H$5),0)))</f>
        <v>3</v>
      </c>
      <c r="K140" s="34" t="n">
        <f aca="false">IF(J140=0,0,ROUNDUP(J140*7/WD,0))</f>
        <v>4</v>
      </c>
      <c r="L140" s="15" t="s">
        <v>3205</v>
      </c>
      <c r="M140" s="34" t="n">
        <f aca="false">ROUNDUP(K139*LADDER,0)</f>
        <v>1</v>
      </c>
      <c r="N140" s="34" t="n">
        <f aca="false">IF(K140=0,0,FFLAG)</f>
        <v>2</v>
      </c>
      <c r="O140" s="15" t="s">
        <v>3008</v>
      </c>
      <c r="P140" s="16" t="n">
        <f aca="false">MAX(P139+M140,D_PILEDES)</f>
        <v>46468</v>
      </c>
      <c r="Q140" s="16" t="n">
        <f aca="false">MAX(P140+K140,Q139+N140)</f>
        <v>46472</v>
      </c>
      <c r="R140" s="16" t="n">
        <f aca="false">IF(K140&gt;0,Q140,0)</f>
        <v>46472</v>
      </c>
      <c r="S140" s="12"/>
    </row>
    <row r="141" customFormat="false" ht="15" hidden="false" customHeight="false" outlineLevel="0" collapsed="false">
      <c r="A141" s="15" t="s">
        <v>3208</v>
      </c>
      <c r="B141" s="15" t="s">
        <v>3204</v>
      </c>
      <c r="C141" s="15" t="s">
        <v>385</v>
      </c>
      <c r="D141" s="15" t="s">
        <v>578</v>
      </c>
      <c r="E141" s="15" t="s">
        <v>588</v>
      </c>
      <c r="F141" s="15" t="s">
        <v>3010</v>
      </c>
      <c r="G141" s="15" t="s">
        <v>3011</v>
      </c>
      <c r="H141" s="33" t="n">
        <f aca="false">Packages!$AD$18</f>
        <v>24.690400000638</v>
      </c>
      <c r="I141" s="15" t="s">
        <v>3012</v>
      </c>
      <c r="J141" s="34" t="n">
        <f aca="false">IF(Packages!$AD$18=0,0,MAX(1,ROUNDUP(Packages!$AD$18/(R_SHEET*Fronts!$I$5),0)))</f>
        <v>1</v>
      </c>
      <c r="K141" s="34" t="n">
        <f aca="false">IF(J141=0,0,ROUNDUP(J141*7/WD,0))</f>
        <v>2</v>
      </c>
      <c r="L141" s="15" t="s">
        <v>3207</v>
      </c>
      <c r="M141" s="34" t="n">
        <f aca="false">ROUNDUP(K140*LADDER,0)</f>
        <v>2</v>
      </c>
      <c r="N141" s="34" t="n">
        <f aca="false">IF(K141=0,0,FFLAG)</f>
        <v>2</v>
      </c>
      <c r="O141" s="15"/>
      <c r="P141" s="16" t="n">
        <f aca="false">MAX(P140+M141)</f>
        <v>46470</v>
      </c>
      <c r="Q141" s="16" t="n">
        <f aca="false">MAX(P141+K141,Q140+N141)</f>
        <v>46474</v>
      </c>
      <c r="R141" s="16" t="n">
        <f aca="false">IF(K141&gt;0,Q141,0)</f>
        <v>46474</v>
      </c>
      <c r="S141" s="12"/>
    </row>
    <row r="142" customFormat="false" ht="15" hidden="false" customHeight="false" outlineLevel="0" collapsed="false">
      <c r="A142" s="15" t="s">
        <v>3209</v>
      </c>
      <c r="B142" s="15" t="s">
        <v>3204</v>
      </c>
      <c r="C142" s="15" t="s">
        <v>385</v>
      </c>
      <c r="D142" s="15" t="s">
        <v>578</v>
      </c>
      <c r="E142" s="15" t="s">
        <v>588</v>
      </c>
      <c r="F142" s="15" t="s">
        <v>3014</v>
      </c>
      <c r="G142" s="15" t="s">
        <v>3015</v>
      </c>
      <c r="H142" s="33" t="n">
        <f aca="false">Packages!$O$18</f>
        <v>12.345200000319</v>
      </c>
      <c r="I142" s="15" t="s">
        <v>118</v>
      </c>
      <c r="J142" s="34" t="n">
        <f aca="false">IF(Packages!$AG$18=0,0,ROUNDUP(Packages!$O$18/R_DW,0)+DW_DRAW)</f>
        <v>8</v>
      </c>
      <c r="K142" s="34" t="n">
        <f aca="false">IF(J142=0,0,ROUNDUP(J142*7/WD,0))</f>
        <v>10</v>
      </c>
      <c r="L142" s="15" t="s">
        <v>3208</v>
      </c>
      <c r="M142" s="34" t="n">
        <f aca="false">ROUNDUP(K141*LADDER,0)</f>
        <v>1</v>
      </c>
      <c r="N142" s="34" t="n">
        <f aca="false">IF(K142=0,0,FFLAG)</f>
        <v>2</v>
      </c>
      <c r="O142" s="15"/>
      <c r="P142" s="16" t="n">
        <f aca="false">MAX(P141+M142)</f>
        <v>46471</v>
      </c>
      <c r="Q142" s="16" t="n">
        <f aca="false">MAX(P142+K142,Q141+N142)</f>
        <v>46481</v>
      </c>
      <c r="R142" s="12"/>
      <c r="S142" s="12"/>
    </row>
    <row r="143" customFormat="false" ht="15" hidden="false" customHeight="false" outlineLevel="0" collapsed="false">
      <c r="A143" s="15" t="s">
        <v>3210</v>
      </c>
      <c r="B143" s="15" t="s">
        <v>3204</v>
      </c>
      <c r="C143" s="15" t="s">
        <v>385</v>
      </c>
      <c r="D143" s="15" t="s">
        <v>578</v>
      </c>
      <c r="E143" s="15" t="s">
        <v>588</v>
      </c>
      <c r="F143" s="15" t="s">
        <v>3017</v>
      </c>
      <c r="G143" s="15" t="s">
        <v>3018</v>
      </c>
      <c r="H143" s="33" t="n">
        <f aca="false">Packages!$X$18+Packages!$Y$18</f>
        <v>281.26785336355</v>
      </c>
      <c r="I143" s="15" t="s">
        <v>3019</v>
      </c>
      <c r="J143" s="34" t="n">
        <f aca="false">MAX(1,ROUNDUP((Packages!$X$18/R_EXS+Packages!$Y$18/R_EXO)/Fronts!$J$5,0))</f>
        <v>2</v>
      </c>
      <c r="K143" s="34" t="n">
        <f aca="false">IF(J143=0,0,ROUNDUP(J143*7/WD,0))</f>
        <v>3</v>
      </c>
      <c r="L143" s="15" t="s">
        <v>3209</v>
      </c>
      <c r="M143" s="34" t="n">
        <f aca="false">IF(K142=0,0,ROUNDUP((K142-ROUNDUP(DW_DRAW*7/WD,0))*LADDER,0)+ROUNDUP(DW_DRAW*7/WD,0))</f>
        <v>10</v>
      </c>
      <c r="N143" s="34" t="n">
        <f aca="false">IF(K143=0,0,FFLAG)</f>
        <v>2</v>
      </c>
      <c r="O143" s="15" t="s">
        <v>3103</v>
      </c>
      <c r="P143" s="16" t="n">
        <f aca="false">MAX(P142+M143,P110,P121)</f>
        <v>46499</v>
      </c>
      <c r="Q143" s="16" t="n">
        <f aca="false">MAX(P143+K143,Q142+N143)</f>
        <v>46502</v>
      </c>
      <c r="R143" s="16" t="n">
        <f aca="false">IF(K143&gt;0,Q143,0)</f>
        <v>46502</v>
      </c>
      <c r="S143" s="12"/>
    </row>
    <row r="144" customFormat="false" ht="15" hidden="false" customHeight="false" outlineLevel="0" collapsed="false">
      <c r="A144" s="15" t="s">
        <v>3211</v>
      </c>
      <c r="B144" s="15" t="s">
        <v>3204</v>
      </c>
      <c r="C144" s="15" t="s">
        <v>385</v>
      </c>
      <c r="D144" s="15" t="s">
        <v>578</v>
      </c>
      <c r="E144" s="15" t="s">
        <v>588</v>
      </c>
      <c r="F144" s="15" t="s">
        <v>3022</v>
      </c>
      <c r="G144" s="15" t="s">
        <v>3023</v>
      </c>
      <c r="H144" s="33" t="n">
        <f aca="false">Packages!$O$18</f>
        <v>12.345200000319</v>
      </c>
      <c r="I144" s="15" t="s">
        <v>118</v>
      </c>
      <c r="J144" s="34" t="n">
        <f aca="false">MAX(1,ROUNDUP(Packages!$O$18/(R_SLAB*Fronts!$K$5),0))+SLAB_CURE</f>
        <v>5</v>
      </c>
      <c r="K144" s="34" t="n">
        <f aca="false">IF(J144=0,0,ROUNDUP(J144*7/WD,0))</f>
        <v>6</v>
      </c>
      <c r="L144" s="15" t="s">
        <v>3210</v>
      </c>
      <c r="M144" s="34" t="n">
        <f aca="false">ROUNDUP(K143*LADDER,0)</f>
        <v>1</v>
      </c>
      <c r="N144" s="34" t="n">
        <f aca="false">IF(K144=0,0,FFLAG)</f>
        <v>2</v>
      </c>
      <c r="O144" s="15"/>
      <c r="P144" s="16" t="n">
        <f aca="false">MAX(P143+M144)</f>
        <v>46500</v>
      </c>
      <c r="Q144" s="16" t="n">
        <f aca="false">MAX(P144+K144,Q143+N144)</f>
        <v>46506</v>
      </c>
      <c r="R144" s="16" t="n">
        <f aca="false">IF(K144&gt;0,Q144,0)</f>
        <v>46506</v>
      </c>
      <c r="S144" s="12"/>
    </row>
    <row r="145" customFormat="false" ht="15" hidden="false" customHeight="false" outlineLevel="0" collapsed="false">
      <c r="A145" s="15" t="s">
        <v>3212</v>
      </c>
      <c r="B145" s="15" t="s">
        <v>3204</v>
      </c>
      <c r="C145" s="15" t="s">
        <v>385</v>
      </c>
      <c r="D145" s="15" t="s">
        <v>578</v>
      </c>
      <c r="E145" s="15" t="s">
        <v>588</v>
      </c>
      <c r="F145" s="15" t="s">
        <v>3025</v>
      </c>
      <c r="G145" s="15" t="s">
        <v>3026</v>
      </c>
      <c r="H145" s="33" t="n">
        <f aca="false">Packages!$O$18</f>
        <v>12.345200000319</v>
      </c>
      <c r="I145" s="15" t="s">
        <v>118</v>
      </c>
      <c r="J145" s="34" t="n">
        <f aca="false">MAX(1,ROUNDUP(Packages!$O$18/(IF(Packages!$N$18&gt;=PIPE_T1,R_PIPE_L,IF(Packages!$N$18&gt;=PIPE_T2,R_PIPE_M,R_PIPE_S))*Fronts!$L$5)+Packages!$M$18*FIT_D+IF(Packages!$G$18&lt;&gt;"Run",TIE_D,0),0))</f>
        <v>4</v>
      </c>
      <c r="K145" s="34" t="n">
        <f aca="false">IF(J145=0,0,ROUNDUP(J145*7/WD,0))</f>
        <v>5</v>
      </c>
      <c r="L145" s="15" t="s">
        <v>3211</v>
      </c>
      <c r="M145" s="34" t="n">
        <f aca="false">ROUNDUP(K144*LADDER,0)</f>
        <v>2</v>
      </c>
      <c r="N145" s="34" t="n">
        <f aca="false">IF(K145=0,0,FFLAG)</f>
        <v>2</v>
      </c>
      <c r="O145" s="15" t="s">
        <v>3213</v>
      </c>
      <c r="P145" s="16" t="n">
        <f aca="false">MAX(P144+M145,Q134)</f>
        <v>46524</v>
      </c>
      <c r="Q145" s="16" t="n">
        <f aca="false">MAX(P145+K145,Q144+N145)</f>
        <v>46529</v>
      </c>
      <c r="R145" s="16" t="n">
        <f aca="false">IF(K145&gt;0,Q145,0)</f>
        <v>46529</v>
      </c>
      <c r="S145" s="12"/>
    </row>
    <row r="146" customFormat="false" ht="15" hidden="false" customHeight="false" outlineLevel="0" collapsed="false">
      <c r="A146" s="15" t="s">
        <v>3214</v>
      </c>
      <c r="B146" s="15" t="s">
        <v>3204</v>
      </c>
      <c r="C146" s="15" t="s">
        <v>385</v>
      </c>
      <c r="D146" s="15" t="s">
        <v>578</v>
      </c>
      <c r="E146" s="15" t="s">
        <v>588</v>
      </c>
      <c r="F146" s="15" t="s">
        <v>3028</v>
      </c>
      <c r="G146" s="15" t="s">
        <v>3029</v>
      </c>
      <c r="H146" s="33" t="n">
        <f aca="false">Packages!$O$18</f>
        <v>12.345200000319</v>
      </c>
      <c r="I146" s="15" t="s">
        <v>118</v>
      </c>
      <c r="J146" s="34" t="n">
        <f aca="false">TEST_D+ROUNDUP(Packages!$O$18/R_TEST,0)</f>
        <v>3</v>
      </c>
      <c r="K146" s="34" t="n">
        <f aca="false">IF(J146=0,0,ROUNDUP(J146*7/WD,0))</f>
        <v>4</v>
      </c>
      <c r="L146" s="15" t="s">
        <v>3212</v>
      </c>
      <c r="M146" s="34" t="n">
        <f aca="false">ROUNDUP(K145*LADDER,0)</f>
        <v>2</v>
      </c>
      <c r="N146" s="34" t="n">
        <f aca="false">IF(K146=0,0,FFLAG)</f>
        <v>2</v>
      </c>
      <c r="O146" s="15"/>
      <c r="P146" s="16" t="n">
        <f aca="false">MAX(P145+M146)</f>
        <v>46526</v>
      </c>
      <c r="Q146" s="16" t="n">
        <f aca="false">MAX(P146+K146,Q145+N146)</f>
        <v>46531</v>
      </c>
      <c r="R146" s="12"/>
      <c r="S146" s="12"/>
    </row>
    <row r="147" customFormat="false" ht="15" hidden="false" customHeight="false" outlineLevel="0" collapsed="false">
      <c r="A147" s="15" t="s">
        <v>3215</v>
      </c>
      <c r="B147" s="15" t="s">
        <v>3204</v>
      </c>
      <c r="C147" s="15" t="s">
        <v>385</v>
      </c>
      <c r="D147" s="15" t="s">
        <v>578</v>
      </c>
      <c r="E147" s="15" t="s">
        <v>588</v>
      </c>
      <c r="F147" s="15" t="s">
        <v>3031</v>
      </c>
      <c r="G147" s="15" t="s">
        <v>3032</v>
      </c>
      <c r="H147" s="33" t="n">
        <f aca="false">Packages!$AB$18</f>
        <v>220.790652721167</v>
      </c>
      <c r="I147" s="15" t="s">
        <v>3019</v>
      </c>
      <c r="J147" s="34" t="n">
        <f aca="false">MAX(1,ROUNDUP(Packages!$AB$18/(R_BF*Fronts!$M$5),0))</f>
        <v>1</v>
      </c>
      <c r="K147" s="34" t="n">
        <f aca="false">IF(J147=0,0,ROUNDUP(J147*7/WD,0))</f>
        <v>2</v>
      </c>
      <c r="L147" s="15" t="s">
        <v>3214</v>
      </c>
      <c r="M147" s="34" t="n">
        <f aca="false">ROUNDUP(K146*LADDER,0)</f>
        <v>2</v>
      </c>
      <c r="N147" s="34" t="n">
        <f aca="false">IF(K147=0,0,FFLAG)</f>
        <v>2</v>
      </c>
      <c r="O147" s="15" t="s">
        <v>3109</v>
      </c>
      <c r="P147" s="16" t="n">
        <f aca="false">MAX(P146+M147,Q112,Q123)</f>
        <v>46528</v>
      </c>
      <c r="Q147" s="16" t="n">
        <f aca="false">MAX(P147+K147,Q146+N147)</f>
        <v>46533</v>
      </c>
      <c r="R147" s="16" t="n">
        <f aca="false">IF(K147&gt;0,Q147,0)</f>
        <v>46533</v>
      </c>
      <c r="S147" s="12"/>
    </row>
    <row r="148" customFormat="false" ht="15" hidden="false" customHeight="false" outlineLevel="0" collapsed="false">
      <c r="A148" s="15" t="s">
        <v>3216</v>
      </c>
      <c r="B148" s="15" t="s">
        <v>3204</v>
      </c>
      <c r="C148" s="15" t="s">
        <v>385</v>
      </c>
      <c r="D148" s="15" t="s">
        <v>578</v>
      </c>
      <c r="E148" s="15" t="s">
        <v>588</v>
      </c>
      <c r="F148" s="15" t="s">
        <v>3034</v>
      </c>
      <c r="G148" s="15" t="s">
        <v>3035</v>
      </c>
      <c r="H148" s="33" t="n">
        <f aca="false">Packages!$AD$18</f>
        <v>24.690400000638</v>
      </c>
      <c r="I148" s="15" t="s">
        <v>3012</v>
      </c>
      <c r="J148" s="34" t="n">
        <f aca="false">IF(Packages!$AD$18&gt;0,ROUNDUP(Packages!$AD$18/R_EXT,0),0)+IF(Packages!$AG$18&gt;0,1,0)</f>
        <v>2</v>
      </c>
      <c r="K148" s="34" t="n">
        <f aca="false">IF(J148=0,0,ROUNDUP(J148*7/WD,0))</f>
        <v>3</v>
      </c>
      <c r="L148" s="15" t="s">
        <v>3215</v>
      </c>
      <c r="M148" s="34" t="n">
        <f aca="false">ROUNDUP(K147*LADDER,0)</f>
        <v>1</v>
      </c>
      <c r="N148" s="34" t="n">
        <f aca="false">IF(K148=0,0,FFLAG)</f>
        <v>2</v>
      </c>
      <c r="O148" s="15"/>
      <c r="P148" s="16" t="n">
        <f aca="false">MAX(P147+M148)</f>
        <v>46529</v>
      </c>
      <c r="Q148" s="16" t="n">
        <f aca="false">MAX(P148+K148,Q147+N148)</f>
        <v>46535</v>
      </c>
      <c r="R148" s="12"/>
      <c r="S148" s="12"/>
    </row>
    <row r="149" customFormat="false" ht="15" hidden="false" customHeight="false" outlineLevel="0" collapsed="false">
      <c r="A149" s="15" t="s">
        <v>3217</v>
      </c>
      <c r="B149" s="15" t="s">
        <v>3218</v>
      </c>
      <c r="C149" s="15" t="s">
        <v>385</v>
      </c>
      <c r="D149" s="15" t="s">
        <v>543</v>
      </c>
      <c r="E149" s="15" t="s">
        <v>560</v>
      </c>
      <c r="F149" s="15" t="s">
        <v>2998</v>
      </c>
      <c r="G149" s="15" t="s">
        <v>2999</v>
      </c>
      <c r="H149" s="12"/>
      <c r="I149" s="12"/>
      <c r="J149" s="34" t="n">
        <f aca="false">0</f>
        <v>0</v>
      </c>
      <c r="K149" s="34" t="n">
        <f aca="false">IF(J149=0,0,ROUNDUP(J149*7/WD,0))</f>
        <v>0</v>
      </c>
      <c r="L149" s="12"/>
      <c r="M149" s="12"/>
      <c r="N149" s="12"/>
      <c r="O149" s="15" t="s">
        <v>3000</v>
      </c>
      <c r="P149" s="16" t="n">
        <f aca="false">MAX(START,D_DLU,Packages!$I$19,Packages!$K$19)</f>
        <v>46357</v>
      </c>
      <c r="Q149" s="16" t="n">
        <f aca="false">P149+K149</f>
        <v>46357</v>
      </c>
      <c r="R149" s="12"/>
      <c r="S149" s="12"/>
    </row>
    <row r="150" customFormat="false" ht="15" hidden="false" customHeight="false" outlineLevel="0" collapsed="false">
      <c r="A150" s="15" t="s">
        <v>3219</v>
      </c>
      <c r="B150" s="15" t="s">
        <v>3218</v>
      </c>
      <c r="C150" s="15" t="s">
        <v>385</v>
      </c>
      <c r="D150" s="15" t="s">
        <v>543</v>
      </c>
      <c r="E150" s="15" t="s">
        <v>560</v>
      </c>
      <c r="F150" s="15" t="s">
        <v>3002</v>
      </c>
      <c r="G150" s="15" t="s">
        <v>205</v>
      </c>
      <c r="H150" s="33" t="n">
        <f aca="false">Packages!$O$19</f>
        <v>86.1000000004996</v>
      </c>
      <c r="I150" s="15" t="s">
        <v>118</v>
      </c>
      <c r="J150" s="34" t="n">
        <f aca="false">MAX(1,ROUNDUP(Packages!$O$19/R_PLAT,0))</f>
        <v>2</v>
      </c>
      <c r="K150" s="34" t="n">
        <f aca="false">IF(J150=0,0,ROUNDUP(J150*7/WD,0))</f>
        <v>3</v>
      </c>
      <c r="L150" s="15" t="s">
        <v>3217</v>
      </c>
      <c r="M150" s="12"/>
      <c r="N150" s="12"/>
      <c r="O150" s="15" t="s">
        <v>3220</v>
      </c>
      <c r="P150" s="16" t="n">
        <f aca="false">MAX(Q149,P129)</f>
        <v>46467</v>
      </c>
      <c r="Q150" s="16" t="n">
        <f aca="false">P150+K150</f>
        <v>46470</v>
      </c>
      <c r="R150" s="12"/>
      <c r="S150" s="12"/>
    </row>
    <row r="151" customFormat="false" ht="15" hidden="false" customHeight="false" outlineLevel="0" collapsed="false">
      <c r="A151" s="15" t="s">
        <v>3221</v>
      </c>
      <c r="B151" s="15" t="s">
        <v>3218</v>
      </c>
      <c r="C151" s="15" t="s">
        <v>385</v>
      </c>
      <c r="D151" s="15" t="s">
        <v>543</v>
      </c>
      <c r="E151" s="15" t="s">
        <v>560</v>
      </c>
      <c r="F151" s="15" t="s">
        <v>3005</v>
      </c>
      <c r="G151" s="15" t="s">
        <v>3006</v>
      </c>
      <c r="H151" s="33" t="n">
        <f aca="false">Packages!$AC$19</f>
        <v>60</v>
      </c>
      <c r="I151" s="15" t="s">
        <v>3007</v>
      </c>
      <c r="J151" s="34" t="n">
        <f aca="false">IF(Packages!$AC$19=0,0,MAX(1,ROUNDUP(Packages!$AC$19/(R_PILE*Fronts!$H$5),0)))</f>
        <v>12</v>
      </c>
      <c r="K151" s="34" t="n">
        <f aca="false">IF(J151=0,0,ROUNDUP(J151*7/WD,0))</f>
        <v>14</v>
      </c>
      <c r="L151" s="15" t="s">
        <v>3219</v>
      </c>
      <c r="M151" s="34" t="n">
        <f aca="false">ROUNDUP(K150*LADDER,0)</f>
        <v>1</v>
      </c>
      <c r="N151" s="34" t="n">
        <f aca="false">IF(K151=0,0,FFLAG)</f>
        <v>2</v>
      </c>
      <c r="O151" s="15" t="s">
        <v>3008</v>
      </c>
      <c r="P151" s="16" t="n">
        <f aca="false">MAX(P150+M151,D_PILEDES,R129)</f>
        <v>46470</v>
      </c>
      <c r="Q151" s="16" t="n">
        <f aca="false">MAX(P151+K151,Q150+N151)</f>
        <v>46484</v>
      </c>
      <c r="R151" s="16" t="n">
        <f aca="false">IF(K151&gt;0,Q151,R129)</f>
        <v>46484</v>
      </c>
      <c r="S151" s="15" t="s">
        <v>3193</v>
      </c>
    </row>
    <row r="152" customFormat="false" ht="15" hidden="false" customHeight="false" outlineLevel="0" collapsed="false">
      <c r="A152" s="15" t="s">
        <v>3222</v>
      </c>
      <c r="B152" s="15" t="s">
        <v>3218</v>
      </c>
      <c r="C152" s="15" t="s">
        <v>385</v>
      </c>
      <c r="D152" s="15" t="s">
        <v>543</v>
      </c>
      <c r="E152" s="15" t="s">
        <v>560</v>
      </c>
      <c r="F152" s="15" t="s">
        <v>3010</v>
      </c>
      <c r="G152" s="15" t="s">
        <v>3011</v>
      </c>
      <c r="H152" s="33" t="n">
        <f aca="false">Packages!$AD$19</f>
        <v>172.200000000999</v>
      </c>
      <c r="I152" s="15" t="s">
        <v>3012</v>
      </c>
      <c r="J152" s="34" t="n">
        <f aca="false">IF(Packages!$AD$19=0,0,MAX(1,ROUNDUP(Packages!$AD$19/(R_SHEET*Fronts!$I$5),0)))</f>
        <v>7</v>
      </c>
      <c r="K152" s="34" t="n">
        <f aca="false">IF(J152=0,0,ROUNDUP(J152*7/WD,0))</f>
        <v>9</v>
      </c>
      <c r="L152" s="15" t="s">
        <v>3221</v>
      </c>
      <c r="M152" s="34" t="n">
        <f aca="false">ROUNDUP(K151*LADDER,0)</f>
        <v>5</v>
      </c>
      <c r="N152" s="34" t="n">
        <f aca="false">IF(K152=0,0,FFLAG)</f>
        <v>2</v>
      </c>
      <c r="O152" s="15"/>
      <c r="P152" s="16" t="n">
        <f aca="false">MAX(P151+M152,R130)</f>
        <v>46475</v>
      </c>
      <c r="Q152" s="16" t="n">
        <f aca="false">MAX(P152+K152,Q151+N152)</f>
        <v>46486</v>
      </c>
      <c r="R152" s="16" t="n">
        <f aca="false">IF(K152&gt;0,Q152,R130)</f>
        <v>46486</v>
      </c>
      <c r="S152" s="15" t="s">
        <v>3194</v>
      </c>
    </row>
    <row r="153" customFormat="false" ht="15" hidden="false" customHeight="false" outlineLevel="0" collapsed="false">
      <c r="A153" s="15" t="s">
        <v>3223</v>
      </c>
      <c r="B153" s="15" t="s">
        <v>3218</v>
      </c>
      <c r="C153" s="15" t="s">
        <v>385</v>
      </c>
      <c r="D153" s="15" t="s">
        <v>543</v>
      </c>
      <c r="E153" s="15" t="s">
        <v>560</v>
      </c>
      <c r="F153" s="15" t="s">
        <v>3014</v>
      </c>
      <c r="G153" s="15" t="s">
        <v>3015</v>
      </c>
      <c r="H153" s="33" t="n">
        <f aca="false">Packages!$O$19</f>
        <v>86.1000000004996</v>
      </c>
      <c r="I153" s="15" t="s">
        <v>118</v>
      </c>
      <c r="J153" s="34" t="n">
        <f aca="false">IF(Packages!$AG$19=0,0,ROUNDUP(Packages!$O$19/R_DW,0)+DW_DRAW)</f>
        <v>10</v>
      </c>
      <c r="K153" s="34" t="n">
        <f aca="false">IF(J153=0,0,ROUNDUP(J153*7/WD,0))</f>
        <v>12</v>
      </c>
      <c r="L153" s="15" t="s">
        <v>3222</v>
      </c>
      <c r="M153" s="34" t="n">
        <f aca="false">ROUNDUP(K152*LADDER,0)</f>
        <v>3</v>
      </c>
      <c r="N153" s="34" t="n">
        <f aca="false">IF(K153=0,0,FFLAG)</f>
        <v>2</v>
      </c>
      <c r="O153" s="15" t="s">
        <v>3224</v>
      </c>
      <c r="P153" s="16" t="n">
        <f aca="false">MAX(P152+M153,Q132-K153)</f>
        <v>46491</v>
      </c>
      <c r="Q153" s="16" t="n">
        <f aca="false">MAX(P153+K153,Q152+N153)</f>
        <v>46503</v>
      </c>
      <c r="R153" s="12"/>
      <c r="S153" s="12"/>
    </row>
    <row r="154" customFormat="false" ht="15" hidden="false" customHeight="false" outlineLevel="0" collapsed="false">
      <c r="A154" s="15" t="s">
        <v>3225</v>
      </c>
      <c r="B154" s="15" t="s">
        <v>3218</v>
      </c>
      <c r="C154" s="15" t="s">
        <v>385</v>
      </c>
      <c r="D154" s="15" t="s">
        <v>543</v>
      </c>
      <c r="E154" s="15" t="s">
        <v>560</v>
      </c>
      <c r="F154" s="15" t="s">
        <v>3017</v>
      </c>
      <c r="G154" s="15" t="s">
        <v>3018</v>
      </c>
      <c r="H154" s="33" t="n">
        <f aca="false">Packages!$X$19+Packages!$Y$19</f>
        <v>1964.83042472024</v>
      </c>
      <c r="I154" s="15" t="s">
        <v>3019</v>
      </c>
      <c r="J154" s="34" t="n">
        <f aca="false">MAX(1,ROUNDUP((Packages!$X$19/R_EXS+Packages!$Y$19/R_EXO)/Fronts!$J$5,0))</f>
        <v>8</v>
      </c>
      <c r="K154" s="34" t="n">
        <f aca="false">IF(J154=0,0,ROUNDUP(J154*7/WD,0))</f>
        <v>10</v>
      </c>
      <c r="L154" s="15" t="s">
        <v>3223</v>
      </c>
      <c r="M154" s="34" t="n">
        <f aca="false">IF(K153=0,0,ROUNDUP((K153-ROUNDUP(DW_DRAW*7/WD,0))*LADDER,0)+ROUNDUP(DW_DRAW*7/WD,0))</f>
        <v>10</v>
      </c>
      <c r="N154" s="34" t="n">
        <f aca="false">IF(K154=0,0,FFLAG)</f>
        <v>2</v>
      </c>
      <c r="O154" s="15" t="s">
        <v>3226</v>
      </c>
      <c r="P154" s="16" t="n">
        <f aca="false">MAX(P153+M154,D_XING,R132,P77)</f>
        <v>46503</v>
      </c>
      <c r="Q154" s="16" t="n">
        <f aca="false">MAX(P154+K154,Q153+N154)</f>
        <v>46513</v>
      </c>
      <c r="R154" s="16" t="n">
        <f aca="false">IF(K154&gt;0,Q154,R132)</f>
        <v>46513</v>
      </c>
      <c r="S154" s="15" t="s">
        <v>3197</v>
      </c>
    </row>
    <row r="155" customFormat="false" ht="15" hidden="false" customHeight="false" outlineLevel="0" collapsed="false">
      <c r="A155" s="15" t="s">
        <v>3227</v>
      </c>
      <c r="B155" s="15" t="s">
        <v>3218</v>
      </c>
      <c r="C155" s="15" t="s">
        <v>385</v>
      </c>
      <c r="D155" s="15" t="s">
        <v>543</v>
      </c>
      <c r="E155" s="15" t="s">
        <v>560</v>
      </c>
      <c r="F155" s="15" t="s">
        <v>3022</v>
      </c>
      <c r="G155" s="15" t="s">
        <v>3023</v>
      </c>
      <c r="H155" s="33" t="n">
        <f aca="false">Packages!$O$19</f>
        <v>86.1000000004996</v>
      </c>
      <c r="I155" s="15" t="s">
        <v>118</v>
      </c>
      <c r="J155" s="34" t="n">
        <f aca="false">MAX(1,ROUNDUP(Packages!$O$19/(R_SLAB*Fronts!$K$5),0))+SLAB_CURE</f>
        <v>11</v>
      </c>
      <c r="K155" s="34" t="n">
        <f aca="false">IF(J155=0,0,ROUNDUP(J155*7/WD,0))</f>
        <v>13</v>
      </c>
      <c r="L155" s="15" t="s">
        <v>3225</v>
      </c>
      <c r="M155" s="34" t="n">
        <f aca="false">ROUNDUP(K154*LADDER,0)</f>
        <v>3</v>
      </c>
      <c r="N155" s="34" t="n">
        <f aca="false">IF(K155=0,0,FFLAG)</f>
        <v>2</v>
      </c>
      <c r="O155" s="15"/>
      <c r="P155" s="16" t="n">
        <f aca="false">MAX(P154+M155,R133)</f>
        <v>46522</v>
      </c>
      <c r="Q155" s="16" t="n">
        <f aca="false">MAX(P155+K155,Q154+N155)</f>
        <v>46535</v>
      </c>
      <c r="R155" s="16" t="n">
        <f aca="false">IF(K155&gt;0,Q155,R133)</f>
        <v>46535</v>
      </c>
      <c r="S155" s="15" t="s">
        <v>3198</v>
      </c>
    </row>
    <row r="156" customFormat="false" ht="15" hidden="false" customHeight="false" outlineLevel="0" collapsed="false">
      <c r="A156" s="15" t="s">
        <v>3228</v>
      </c>
      <c r="B156" s="15" t="s">
        <v>3218</v>
      </c>
      <c r="C156" s="15" t="s">
        <v>385</v>
      </c>
      <c r="D156" s="15" t="s">
        <v>543</v>
      </c>
      <c r="E156" s="15" t="s">
        <v>560</v>
      </c>
      <c r="F156" s="15" t="s">
        <v>3025</v>
      </c>
      <c r="G156" s="15" t="s">
        <v>3026</v>
      </c>
      <c r="H156" s="33" t="n">
        <f aca="false">Packages!$O$19</f>
        <v>86.1000000004996</v>
      </c>
      <c r="I156" s="15" t="s">
        <v>118</v>
      </c>
      <c r="J156" s="34" t="n">
        <f aca="false">MAX(1,ROUNDUP(Packages!$O$19/(IF(Packages!$N$19&gt;=PIPE_T1,R_PIPE_L,IF(Packages!$N$19&gt;=PIPE_T2,R_PIPE_M,R_PIPE_S))*Fronts!$L$5)+Packages!$M$19*FIT_D+IF(Packages!$G$19&lt;&gt;"Run",TIE_D,0),0))</f>
        <v>5</v>
      </c>
      <c r="K156" s="34" t="n">
        <f aca="false">IF(J156=0,0,ROUNDUP(J156*7/WD,0))</f>
        <v>6</v>
      </c>
      <c r="L156" s="15" t="s">
        <v>3227</v>
      </c>
      <c r="M156" s="34" t="n">
        <f aca="false">ROUNDUP(K155*LADDER,0)</f>
        <v>4</v>
      </c>
      <c r="N156" s="34" t="n">
        <f aca="false">IF(K156=0,0,FFLAG)</f>
        <v>2</v>
      </c>
      <c r="O156" s="15"/>
      <c r="P156" s="16" t="n">
        <f aca="false">MAX(P155+M156,R134)</f>
        <v>46526</v>
      </c>
      <c r="Q156" s="16" t="n">
        <f aca="false">MAX(P156+K156,Q155+N156)</f>
        <v>46537</v>
      </c>
      <c r="R156" s="16" t="n">
        <f aca="false">IF(K156&gt;0,Q156,R134)</f>
        <v>46537</v>
      </c>
      <c r="S156" s="15" t="s">
        <v>3199</v>
      </c>
    </row>
    <row r="157" customFormat="false" ht="15" hidden="false" customHeight="false" outlineLevel="0" collapsed="false">
      <c r="A157" s="15" t="s">
        <v>3229</v>
      </c>
      <c r="B157" s="15" t="s">
        <v>3218</v>
      </c>
      <c r="C157" s="15" t="s">
        <v>385</v>
      </c>
      <c r="D157" s="15" t="s">
        <v>543</v>
      </c>
      <c r="E157" s="15" t="s">
        <v>560</v>
      </c>
      <c r="F157" s="15" t="s">
        <v>3028</v>
      </c>
      <c r="G157" s="15" t="s">
        <v>3029</v>
      </c>
      <c r="H157" s="33" t="n">
        <f aca="false">Packages!$O$19</f>
        <v>86.1000000004996</v>
      </c>
      <c r="I157" s="15" t="s">
        <v>118</v>
      </c>
      <c r="J157" s="34" t="n">
        <f aca="false">TEST_D+ROUNDUP(Packages!$O$19/R_TEST,0)</f>
        <v>3</v>
      </c>
      <c r="K157" s="34" t="n">
        <f aca="false">IF(J157=0,0,ROUNDUP(J157*7/WD,0))</f>
        <v>4</v>
      </c>
      <c r="L157" s="15" t="s">
        <v>3228</v>
      </c>
      <c r="M157" s="34" t="n">
        <f aca="false">ROUNDUP(K156*LADDER,0)</f>
        <v>2</v>
      </c>
      <c r="N157" s="34" t="n">
        <f aca="false">IF(K157=0,0,FFLAG)</f>
        <v>2</v>
      </c>
      <c r="O157" s="15"/>
      <c r="P157" s="16" t="n">
        <f aca="false">MAX(P156+M157)</f>
        <v>46528</v>
      </c>
      <c r="Q157" s="16" t="n">
        <f aca="false">MAX(P157+K157,Q156+N157)</f>
        <v>46539</v>
      </c>
      <c r="R157" s="12"/>
      <c r="S157" s="12"/>
    </row>
    <row r="158" customFormat="false" ht="15" hidden="false" customHeight="false" outlineLevel="0" collapsed="false">
      <c r="A158" s="15" t="s">
        <v>3230</v>
      </c>
      <c r="B158" s="15" t="s">
        <v>3218</v>
      </c>
      <c r="C158" s="15" t="s">
        <v>385</v>
      </c>
      <c r="D158" s="15" t="s">
        <v>543</v>
      </c>
      <c r="E158" s="15" t="s">
        <v>560</v>
      </c>
      <c r="F158" s="15" t="s">
        <v>3031</v>
      </c>
      <c r="G158" s="15" t="s">
        <v>3032</v>
      </c>
      <c r="H158" s="33" t="n">
        <f aca="false">Packages!$AB$19</f>
        <v>1552.15659729591</v>
      </c>
      <c r="I158" s="15" t="s">
        <v>3019</v>
      </c>
      <c r="J158" s="34" t="n">
        <f aca="false">MAX(1,ROUNDUP(Packages!$AB$19/(R_BF*Fronts!$M$5),0))</f>
        <v>5</v>
      </c>
      <c r="K158" s="34" t="n">
        <f aca="false">IF(J158=0,0,ROUNDUP(J158*7/WD,0))</f>
        <v>6</v>
      </c>
      <c r="L158" s="15" t="s">
        <v>3229</v>
      </c>
      <c r="M158" s="34" t="n">
        <f aca="false">ROUNDUP(K157*LADDER,0)</f>
        <v>2</v>
      </c>
      <c r="N158" s="34" t="n">
        <f aca="false">IF(K158=0,0,FFLAG)</f>
        <v>2</v>
      </c>
      <c r="O158" s="15" t="s">
        <v>3231</v>
      </c>
      <c r="P158" s="16" t="n">
        <f aca="false">MAX(P157+M158,R136,Q79)</f>
        <v>46554</v>
      </c>
      <c r="Q158" s="16" t="n">
        <f aca="false">MAX(P158+K158,Q157+N158)</f>
        <v>46560</v>
      </c>
      <c r="R158" s="16" t="n">
        <f aca="false">IF(K158&gt;0,Q158,R136)</f>
        <v>46560</v>
      </c>
      <c r="S158" s="15" t="s">
        <v>3201</v>
      </c>
    </row>
    <row r="159" customFormat="false" ht="15" hidden="false" customHeight="false" outlineLevel="0" collapsed="false">
      <c r="A159" s="15" t="s">
        <v>3232</v>
      </c>
      <c r="B159" s="15" t="s">
        <v>3218</v>
      </c>
      <c r="C159" s="15" t="s">
        <v>385</v>
      </c>
      <c r="D159" s="15" t="s">
        <v>543</v>
      </c>
      <c r="E159" s="15" t="s">
        <v>560</v>
      </c>
      <c r="F159" s="15" t="s">
        <v>3034</v>
      </c>
      <c r="G159" s="15" t="s">
        <v>3035</v>
      </c>
      <c r="H159" s="33" t="n">
        <f aca="false">Packages!$AD$19</f>
        <v>172.200000000999</v>
      </c>
      <c r="I159" s="15" t="s">
        <v>3012</v>
      </c>
      <c r="J159" s="34" t="n">
        <f aca="false">IF(Packages!$AD$19&gt;0,ROUNDUP(Packages!$AD$19/R_EXT,0),0)+IF(Packages!$AG$19&gt;0,1,0)</f>
        <v>5</v>
      </c>
      <c r="K159" s="34" t="n">
        <f aca="false">IF(J159=0,0,ROUNDUP(J159*7/WD,0))</f>
        <v>6</v>
      </c>
      <c r="L159" s="15" t="s">
        <v>3230</v>
      </c>
      <c r="M159" s="34" t="n">
        <f aca="false">ROUNDUP(K158*LADDER,0)</f>
        <v>2</v>
      </c>
      <c r="N159" s="34" t="n">
        <f aca="false">IF(K159=0,0,FFLAG)</f>
        <v>2</v>
      </c>
      <c r="O159" s="15"/>
      <c r="P159" s="16" t="n">
        <f aca="false">MAX(P158+M159)</f>
        <v>46556</v>
      </c>
      <c r="Q159" s="16" t="n">
        <f aca="false">MAX(P159+K159,Q158+N159)</f>
        <v>46562</v>
      </c>
      <c r="R159" s="12"/>
      <c r="S159" s="12"/>
    </row>
    <row r="160" customFormat="false" ht="15" hidden="false" customHeight="false" outlineLevel="0" collapsed="false">
      <c r="A160" s="15" t="s">
        <v>3233</v>
      </c>
      <c r="B160" s="15" t="s">
        <v>3234</v>
      </c>
      <c r="C160" s="15" t="s">
        <v>385</v>
      </c>
      <c r="D160" s="15" t="s">
        <v>500</v>
      </c>
      <c r="E160" s="15" t="s">
        <v>501</v>
      </c>
      <c r="F160" s="15" t="s">
        <v>2998</v>
      </c>
      <c r="G160" s="15" t="s">
        <v>2999</v>
      </c>
      <c r="H160" s="12"/>
      <c r="I160" s="12"/>
      <c r="J160" s="34" t="n">
        <f aca="false">0</f>
        <v>0</v>
      </c>
      <c r="K160" s="34" t="n">
        <f aca="false">IF(J160=0,0,ROUNDUP(J160*7/WD,0))</f>
        <v>0</v>
      </c>
      <c r="L160" s="12"/>
      <c r="M160" s="12"/>
      <c r="N160" s="12"/>
      <c r="O160" s="15" t="s">
        <v>3038</v>
      </c>
      <c r="P160" s="16" t="n">
        <f aca="false">MAX(START,D_DLU,Packages!$I$20,Packages!$K$20)</f>
        <v>46357</v>
      </c>
      <c r="Q160" s="16" t="n">
        <f aca="false">P160+K160</f>
        <v>46357</v>
      </c>
      <c r="R160" s="12"/>
      <c r="S160" s="12"/>
    </row>
    <row r="161" customFormat="false" ht="15" hidden="false" customHeight="false" outlineLevel="0" collapsed="false">
      <c r="A161" s="15" t="s">
        <v>3235</v>
      </c>
      <c r="B161" s="15" t="s">
        <v>3234</v>
      </c>
      <c r="C161" s="15" t="s">
        <v>385</v>
      </c>
      <c r="D161" s="15" t="s">
        <v>500</v>
      </c>
      <c r="E161" s="15" t="s">
        <v>501</v>
      </c>
      <c r="F161" s="15" t="s">
        <v>3002</v>
      </c>
      <c r="G161" s="15" t="s">
        <v>205</v>
      </c>
      <c r="H161" s="33" t="n">
        <f aca="false">Packages!$O$20</f>
        <v>13.0524949210489</v>
      </c>
      <c r="I161" s="15" t="s">
        <v>118</v>
      </c>
      <c r="J161" s="34" t="n">
        <f aca="false">MAX(1,ROUNDUP(Packages!$O$20/R_PLAT,0))</f>
        <v>1</v>
      </c>
      <c r="K161" s="34" t="n">
        <f aca="false">IF(J161=0,0,ROUNDUP(J161*7/WD,0))</f>
        <v>2</v>
      </c>
      <c r="L161" s="15" t="s">
        <v>3233</v>
      </c>
      <c r="M161" s="12"/>
      <c r="N161" s="12"/>
      <c r="O161" s="15" t="s">
        <v>3236</v>
      </c>
      <c r="P161" s="16" t="n">
        <f aca="false">MAX(Q160,P52)</f>
        <v>46416</v>
      </c>
      <c r="Q161" s="16" t="n">
        <f aca="false">P161+K161</f>
        <v>46418</v>
      </c>
      <c r="R161" s="12"/>
      <c r="S161" s="12"/>
    </row>
    <row r="162" customFormat="false" ht="15" hidden="false" customHeight="false" outlineLevel="0" collapsed="false">
      <c r="A162" s="15" t="s">
        <v>3237</v>
      </c>
      <c r="B162" s="15" t="s">
        <v>3234</v>
      </c>
      <c r="C162" s="15" t="s">
        <v>385</v>
      </c>
      <c r="D162" s="15" t="s">
        <v>500</v>
      </c>
      <c r="E162" s="15" t="s">
        <v>501</v>
      </c>
      <c r="F162" s="15" t="s">
        <v>3005</v>
      </c>
      <c r="G162" s="15" t="s">
        <v>3006</v>
      </c>
      <c r="H162" s="33" t="n">
        <f aca="false">Packages!$AC$20</f>
        <v>12</v>
      </c>
      <c r="I162" s="15" t="s">
        <v>3007</v>
      </c>
      <c r="J162" s="34" t="n">
        <f aca="false">IF(Packages!$AC$20=0,0,MAX(1,ROUNDUP(Packages!$AC$20/(R_PILE*Fronts!$H$5),0)))</f>
        <v>3</v>
      </c>
      <c r="K162" s="34" t="n">
        <f aca="false">IF(J162=0,0,ROUNDUP(J162*7/WD,0))</f>
        <v>4</v>
      </c>
      <c r="L162" s="15" t="s">
        <v>3235</v>
      </c>
      <c r="M162" s="34" t="n">
        <f aca="false">ROUNDUP(K161*LADDER,0)</f>
        <v>1</v>
      </c>
      <c r="N162" s="34" t="n">
        <f aca="false">IF(K162=0,0,FFLAG)</f>
        <v>2</v>
      </c>
      <c r="O162" s="15" t="s">
        <v>3008</v>
      </c>
      <c r="P162" s="16" t="n">
        <f aca="false">MAX(P161+M162,D_PILEDES)</f>
        <v>46417</v>
      </c>
      <c r="Q162" s="16" t="n">
        <f aca="false">MAX(P162+K162,Q161+N162)</f>
        <v>46421</v>
      </c>
      <c r="R162" s="16" t="n">
        <f aca="false">IF(K162&gt;0,Q162,0)</f>
        <v>46421</v>
      </c>
      <c r="S162" s="12"/>
    </row>
    <row r="163" customFormat="false" ht="15" hidden="false" customHeight="false" outlineLevel="0" collapsed="false">
      <c r="A163" s="15" t="s">
        <v>3238</v>
      </c>
      <c r="B163" s="15" t="s">
        <v>3234</v>
      </c>
      <c r="C163" s="15" t="s">
        <v>385</v>
      </c>
      <c r="D163" s="15" t="s">
        <v>500</v>
      </c>
      <c r="E163" s="15" t="s">
        <v>501</v>
      </c>
      <c r="F163" s="15" t="s">
        <v>3010</v>
      </c>
      <c r="G163" s="15" t="s">
        <v>3011</v>
      </c>
      <c r="H163" s="33" t="n">
        <f aca="false">Packages!$AD$20</f>
        <v>26.1049898420979</v>
      </c>
      <c r="I163" s="15" t="s">
        <v>3012</v>
      </c>
      <c r="J163" s="34" t="n">
        <f aca="false">IF(Packages!$AD$20=0,0,MAX(1,ROUNDUP(Packages!$AD$20/(R_SHEET*Fronts!$I$5),0)))</f>
        <v>2</v>
      </c>
      <c r="K163" s="34" t="n">
        <f aca="false">IF(J163=0,0,ROUNDUP(J163*7/WD,0))</f>
        <v>3</v>
      </c>
      <c r="L163" s="15" t="s">
        <v>3237</v>
      </c>
      <c r="M163" s="34" t="n">
        <f aca="false">ROUNDUP(K162*LADDER,0)</f>
        <v>2</v>
      </c>
      <c r="N163" s="34" t="n">
        <f aca="false">IF(K163=0,0,FFLAG)</f>
        <v>2</v>
      </c>
      <c r="O163" s="15"/>
      <c r="P163" s="16" t="n">
        <f aca="false">MAX(P162+M163)</f>
        <v>46419</v>
      </c>
      <c r="Q163" s="16" t="n">
        <f aca="false">MAX(P163+K163,Q162+N163)</f>
        <v>46423</v>
      </c>
      <c r="R163" s="16" t="n">
        <f aca="false">IF(K163&gt;0,Q163,0)</f>
        <v>46423</v>
      </c>
      <c r="S163" s="12"/>
    </row>
    <row r="164" customFormat="false" ht="15" hidden="false" customHeight="false" outlineLevel="0" collapsed="false">
      <c r="A164" s="15" t="s">
        <v>3239</v>
      </c>
      <c r="B164" s="15" t="s">
        <v>3234</v>
      </c>
      <c r="C164" s="15" t="s">
        <v>385</v>
      </c>
      <c r="D164" s="15" t="s">
        <v>500</v>
      </c>
      <c r="E164" s="15" t="s">
        <v>501</v>
      </c>
      <c r="F164" s="15" t="s">
        <v>3014</v>
      </c>
      <c r="G164" s="15" t="s">
        <v>3015</v>
      </c>
      <c r="H164" s="33" t="n">
        <f aca="false">Packages!$O$20</f>
        <v>13.0524949210489</v>
      </c>
      <c r="I164" s="15" t="s">
        <v>118</v>
      </c>
      <c r="J164" s="34" t="n">
        <f aca="false">IF(Packages!$AG$20=0,0,ROUNDUP(Packages!$O$20/R_DW,0)+DW_DRAW)</f>
        <v>8</v>
      </c>
      <c r="K164" s="34" t="n">
        <f aca="false">IF(J164=0,0,ROUNDUP(J164*7/WD,0))</f>
        <v>10</v>
      </c>
      <c r="L164" s="15" t="s">
        <v>3238</v>
      </c>
      <c r="M164" s="34" t="n">
        <f aca="false">ROUNDUP(K163*LADDER,0)</f>
        <v>1</v>
      </c>
      <c r="N164" s="34" t="n">
        <f aca="false">IF(K164=0,0,FFLAG)</f>
        <v>2</v>
      </c>
      <c r="O164" s="15"/>
      <c r="P164" s="16" t="n">
        <f aca="false">MAX(P163+M164)</f>
        <v>46420</v>
      </c>
      <c r="Q164" s="16" t="n">
        <f aca="false">MAX(P164+K164,Q163+N164)</f>
        <v>46430</v>
      </c>
      <c r="R164" s="12"/>
      <c r="S164" s="12"/>
    </row>
    <row r="165" customFormat="false" ht="15" hidden="false" customHeight="false" outlineLevel="0" collapsed="false">
      <c r="A165" s="15" t="s">
        <v>3240</v>
      </c>
      <c r="B165" s="15" t="s">
        <v>3234</v>
      </c>
      <c r="C165" s="15" t="s">
        <v>385</v>
      </c>
      <c r="D165" s="15" t="s">
        <v>500</v>
      </c>
      <c r="E165" s="15" t="s">
        <v>501</v>
      </c>
      <c r="F165" s="15" t="s">
        <v>3017</v>
      </c>
      <c r="G165" s="15" t="s">
        <v>3018</v>
      </c>
      <c r="H165" s="33" t="n">
        <f aca="false">Packages!$X$20+Packages!$Y$20</f>
        <v>232.249794804271</v>
      </c>
      <c r="I165" s="15" t="s">
        <v>3019</v>
      </c>
      <c r="J165" s="34" t="n">
        <f aca="false">MAX(1,ROUNDUP((Packages!$X$20/R_EXS+Packages!$Y$20/R_EXO)/Fronts!$J$5,0))</f>
        <v>1</v>
      </c>
      <c r="K165" s="34" t="n">
        <f aca="false">IF(J165=0,0,ROUNDUP(J165*7/WD,0))</f>
        <v>2</v>
      </c>
      <c r="L165" s="15" t="s">
        <v>3239</v>
      </c>
      <c r="M165" s="34" t="n">
        <f aca="false">IF(K164=0,0,ROUNDUP((K164-ROUNDUP(DW_DRAW*7/WD,0))*LADDER,0)+ROUNDUP(DW_DRAW*7/WD,0))</f>
        <v>10</v>
      </c>
      <c r="N165" s="34" t="n">
        <f aca="false">IF(K165=0,0,FFLAG)</f>
        <v>2</v>
      </c>
      <c r="O165" s="15"/>
      <c r="P165" s="16" t="n">
        <f aca="false">MAX(P164+M165)</f>
        <v>46430</v>
      </c>
      <c r="Q165" s="16" t="n">
        <f aca="false">MAX(P165+K165,Q164+N165)</f>
        <v>46432</v>
      </c>
      <c r="R165" s="16" t="n">
        <f aca="false">IF(K165&gt;0,Q165,0)</f>
        <v>46432</v>
      </c>
      <c r="S165" s="12"/>
    </row>
    <row r="166" customFormat="false" ht="15" hidden="false" customHeight="false" outlineLevel="0" collapsed="false">
      <c r="A166" s="15" t="s">
        <v>3241</v>
      </c>
      <c r="B166" s="15" t="s">
        <v>3234</v>
      </c>
      <c r="C166" s="15" t="s">
        <v>385</v>
      </c>
      <c r="D166" s="15" t="s">
        <v>500</v>
      </c>
      <c r="E166" s="15" t="s">
        <v>501</v>
      </c>
      <c r="F166" s="15" t="s">
        <v>3022</v>
      </c>
      <c r="G166" s="15" t="s">
        <v>3023</v>
      </c>
      <c r="H166" s="33" t="n">
        <f aca="false">Packages!$O$20</f>
        <v>13.0524949210489</v>
      </c>
      <c r="I166" s="15" t="s">
        <v>118</v>
      </c>
      <c r="J166" s="34" t="n">
        <f aca="false">MAX(1,ROUNDUP(Packages!$O$20/(R_SLAB*Fronts!$K$5),0))+SLAB_CURE</f>
        <v>5</v>
      </c>
      <c r="K166" s="34" t="n">
        <f aca="false">IF(J166=0,0,ROUNDUP(J166*7/WD,0))</f>
        <v>6</v>
      </c>
      <c r="L166" s="15" t="s">
        <v>3240</v>
      </c>
      <c r="M166" s="34" t="n">
        <f aca="false">ROUNDUP(K165*LADDER,0)</f>
        <v>1</v>
      </c>
      <c r="N166" s="34" t="n">
        <f aca="false">IF(K166=0,0,FFLAG)</f>
        <v>2</v>
      </c>
      <c r="O166" s="15"/>
      <c r="P166" s="16" t="n">
        <f aca="false">MAX(P165+M166)</f>
        <v>46431</v>
      </c>
      <c r="Q166" s="16" t="n">
        <f aca="false">MAX(P166+K166,Q165+N166)</f>
        <v>46437</v>
      </c>
      <c r="R166" s="16" t="n">
        <f aca="false">IF(K166&gt;0,Q166,0)</f>
        <v>46437</v>
      </c>
      <c r="S166" s="12"/>
    </row>
    <row r="167" customFormat="false" ht="15" hidden="false" customHeight="false" outlineLevel="0" collapsed="false">
      <c r="A167" s="15" t="s">
        <v>3242</v>
      </c>
      <c r="B167" s="15" t="s">
        <v>3234</v>
      </c>
      <c r="C167" s="15" t="s">
        <v>385</v>
      </c>
      <c r="D167" s="15" t="s">
        <v>500</v>
      </c>
      <c r="E167" s="15" t="s">
        <v>501</v>
      </c>
      <c r="F167" s="15" t="s">
        <v>3025</v>
      </c>
      <c r="G167" s="15" t="s">
        <v>3026</v>
      </c>
      <c r="H167" s="33" t="n">
        <f aca="false">Packages!$O$20</f>
        <v>13.0524949210489</v>
      </c>
      <c r="I167" s="15" t="s">
        <v>118</v>
      </c>
      <c r="J167" s="34" t="n">
        <f aca="false">MAX(1,ROUNDUP(Packages!$O$20/(IF(Packages!$N$20&gt;=PIPE_T1,R_PIPE_L,IF(Packages!$N$20&gt;=PIPE_T2,R_PIPE_M,R_PIPE_S))*Fronts!$L$5)+Packages!$M$20*FIT_D+IF(Packages!$G$20&lt;&gt;"Run",TIE_D,0),0))</f>
        <v>6</v>
      </c>
      <c r="K167" s="34" t="n">
        <f aca="false">IF(J167=0,0,ROUNDUP(J167*7/WD,0))</f>
        <v>7</v>
      </c>
      <c r="L167" s="15" t="s">
        <v>3241</v>
      </c>
      <c r="M167" s="34" t="n">
        <f aca="false">ROUNDUP(K166*LADDER,0)</f>
        <v>2</v>
      </c>
      <c r="N167" s="34" t="n">
        <f aca="false">IF(K167=0,0,FFLAG)</f>
        <v>2</v>
      </c>
      <c r="O167" s="15" t="s">
        <v>3243</v>
      </c>
      <c r="P167" s="16" t="n">
        <f aca="false">MAX(P166+M167,Q57)</f>
        <v>46462</v>
      </c>
      <c r="Q167" s="16" t="n">
        <f aca="false">MAX(P167+K167,Q166+N167)</f>
        <v>46469</v>
      </c>
      <c r="R167" s="16" t="n">
        <f aca="false">IF(K167&gt;0,Q167,0)</f>
        <v>46469</v>
      </c>
      <c r="S167" s="12"/>
    </row>
    <row r="168" customFormat="false" ht="15" hidden="false" customHeight="false" outlineLevel="0" collapsed="false">
      <c r="A168" s="15" t="s">
        <v>3244</v>
      </c>
      <c r="B168" s="15" t="s">
        <v>3234</v>
      </c>
      <c r="C168" s="15" t="s">
        <v>385</v>
      </c>
      <c r="D168" s="15" t="s">
        <v>500</v>
      </c>
      <c r="E168" s="15" t="s">
        <v>501</v>
      </c>
      <c r="F168" s="15" t="s">
        <v>3028</v>
      </c>
      <c r="G168" s="15" t="s">
        <v>3029</v>
      </c>
      <c r="H168" s="33" t="n">
        <f aca="false">Packages!$O$20</f>
        <v>13.0524949210489</v>
      </c>
      <c r="I168" s="15" t="s">
        <v>118</v>
      </c>
      <c r="J168" s="34" t="n">
        <f aca="false">TEST_D+ROUNDUP(Packages!$O$20/R_TEST,0)</f>
        <v>3</v>
      </c>
      <c r="K168" s="34" t="n">
        <f aca="false">IF(J168=0,0,ROUNDUP(J168*7/WD,0))</f>
        <v>4</v>
      </c>
      <c r="L168" s="15" t="s">
        <v>3242</v>
      </c>
      <c r="M168" s="34" t="n">
        <f aca="false">ROUNDUP(K167*LADDER,0)</f>
        <v>3</v>
      </c>
      <c r="N168" s="34" t="n">
        <f aca="false">IF(K168=0,0,FFLAG)</f>
        <v>2</v>
      </c>
      <c r="O168" s="15"/>
      <c r="P168" s="16" t="n">
        <f aca="false">MAX(P167+M168)</f>
        <v>46465</v>
      </c>
      <c r="Q168" s="16" t="n">
        <f aca="false">MAX(P168+K168,Q167+N168)</f>
        <v>46471</v>
      </c>
      <c r="R168" s="12"/>
      <c r="S168" s="12"/>
    </row>
    <row r="169" customFormat="false" ht="15" hidden="false" customHeight="false" outlineLevel="0" collapsed="false">
      <c r="A169" s="15" t="s">
        <v>3245</v>
      </c>
      <c r="B169" s="15" t="s">
        <v>3234</v>
      </c>
      <c r="C169" s="15" t="s">
        <v>385</v>
      </c>
      <c r="D169" s="15" t="s">
        <v>500</v>
      </c>
      <c r="E169" s="15" t="s">
        <v>501</v>
      </c>
      <c r="F169" s="15" t="s">
        <v>3031</v>
      </c>
      <c r="G169" s="15" t="s">
        <v>3032</v>
      </c>
      <c r="H169" s="33" t="n">
        <f aca="false">Packages!$AB$20</f>
        <v>176.210282315574</v>
      </c>
      <c r="I169" s="15" t="s">
        <v>3019</v>
      </c>
      <c r="J169" s="34" t="n">
        <f aca="false">MAX(1,ROUNDUP(Packages!$AB$20/(R_BF*Fronts!$M$5),0))</f>
        <v>1</v>
      </c>
      <c r="K169" s="34" t="n">
        <f aca="false">IF(J169=0,0,ROUNDUP(J169*7/WD,0))</f>
        <v>2</v>
      </c>
      <c r="L169" s="15" t="s">
        <v>3244</v>
      </c>
      <c r="M169" s="34" t="n">
        <f aca="false">ROUNDUP(K168*LADDER,0)</f>
        <v>2</v>
      </c>
      <c r="N169" s="34" t="n">
        <f aca="false">IF(K169=0,0,FFLAG)</f>
        <v>2</v>
      </c>
      <c r="O169" s="15"/>
      <c r="P169" s="16" t="n">
        <f aca="false">MAX(P168+M169)</f>
        <v>46467</v>
      </c>
      <c r="Q169" s="16" t="n">
        <f aca="false">MAX(P169+K169,Q168+N169)</f>
        <v>46473</v>
      </c>
      <c r="R169" s="16" t="n">
        <f aca="false">IF(K169&gt;0,Q169,0)</f>
        <v>46473</v>
      </c>
      <c r="S169" s="12"/>
    </row>
    <row r="170" customFormat="false" ht="15" hidden="false" customHeight="false" outlineLevel="0" collapsed="false">
      <c r="A170" s="15" t="s">
        <v>3246</v>
      </c>
      <c r="B170" s="15" t="s">
        <v>3234</v>
      </c>
      <c r="C170" s="15" t="s">
        <v>385</v>
      </c>
      <c r="D170" s="15" t="s">
        <v>500</v>
      </c>
      <c r="E170" s="15" t="s">
        <v>501</v>
      </c>
      <c r="F170" s="15" t="s">
        <v>3034</v>
      </c>
      <c r="G170" s="15" t="s">
        <v>3035</v>
      </c>
      <c r="H170" s="33" t="n">
        <f aca="false">Packages!$AD$20</f>
        <v>26.1049898420979</v>
      </c>
      <c r="I170" s="15" t="s">
        <v>3012</v>
      </c>
      <c r="J170" s="34" t="n">
        <f aca="false">IF(Packages!$AD$20&gt;0,ROUNDUP(Packages!$AD$20/R_EXT,0),0)+IF(Packages!$AG$20&gt;0,1,0)</f>
        <v>2</v>
      </c>
      <c r="K170" s="34" t="n">
        <f aca="false">IF(J170=0,0,ROUNDUP(J170*7/WD,0))</f>
        <v>3</v>
      </c>
      <c r="L170" s="15" t="s">
        <v>3245</v>
      </c>
      <c r="M170" s="34" t="n">
        <f aca="false">ROUNDUP(K169*LADDER,0)</f>
        <v>1</v>
      </c>
      <c r="N170" s="34" t="n">
        <f aca="false">IF(K170=0,0,FFLAG)</f>
        <v>2</v>
      </c>
      <c r="O170" s="15"/>
      <c r="P170" s="16" t="n">
        <f aca="false">MAX(P169+M170)</f>
        <v>46468</v>
      </c>
      <c r="Q170" s="16" t="n">
        <f aca="false">MAX(P170+K170,Q169+N170)</f>
        <v>46475</v>
      </c>
      <c r="R170" s="12"/>
      <c r="S170" s="12"/>
    </row>
    <row r="171" customFormat="false" ht="15" hidden="false" customHeight="false" outlineLevel="0" collapsed="false">
      <c r="A171" s="15" t="s">
        <v>3247</v>
      </c>
      <c r="B171" s="15" t="s">
        <v>3248</v>
      </c>
      <c r="C171" s="15" t="s">
        <v>388</v>
      </c>
      <c r="D171" s="15" t="s">
        <v>642</v>
      </c>
      <c r="E171" s="15" t="s">
        <v>651</v>
      </c>
      <c r="F171" s="15" t="s">
        <v>2998</v>
      </c>
      <c r="G171" s="15" t="s">
        <v>2999</v>
      </c>
      <c r="H171" s="12"/>
      <c r="I171" s="12"/>
      <c r="J171" s="34" t="n">
        <f aca="false">0</f>
        <v>0</v>
      </c>
      <c r="K171" s="34" t="n">
        <f aca="false">IF(J171=0,0,ROUNDUP(J171*7/WD,0))</f>
        <v>0</v>
      </c>
      <c r="L171" s="12"/>
      <c r="M171" s="12"/>
      <c r="N171" s="12"/>
      <c r="O171" s="15" t="s">
        <v>3000</v>
      </c>
      <c r="P171" s="16" t="n">
        <f aca="false">MAX(START,D_DLU,Packages!$I$21,Packages!$K$21)</f>
        <v>46357</v>
      </c>
      <c r="Q171" s="16" t="n">
        <f aca="false">P171+K171</f>
        <v>46357</v>
      </c>
      <c r="R171" s="12"/>
      <c r="S171" s="12"/>
    </row>
    <row r="172" customFormat="false" ht="15" hidden="false" customHeight="false" outlineLevel="0" collapsed="false">
      <c r="A172" s="15" t="s">
        <v>3249</v>
      </c>
      <c r="B172" s="15" t="s">
        <v>3248</v>
      </c>
      <c r="C172" s="15" t="s">
        <v>388</v>
      </c>
      <c r="D172" s="15" t="s">
        <v>642</v>
      </c>
      <c r="E172" s="15" t="s">
        <v>651</v>
      </c>
      <c r="F172" s="15" t="s">
        <v>3002</v>
      </c>
      <c r="G172" s="15" t="s">
        <v>205</v>
      </c>
      <c r="H172" s="33" t="n">
        <f aca="false">Packages!$O$21</f>
        <v>27.9153913269512</v>
      </c>
      <c r="I172" s="15" t="s">
        <v>118</v>
      </c>
      <c r="J172" s="34" t="n">
        <f aca="false">MAX(1,ROUNDUP(Packages!$O$21/R_PLAT,0))</f>
        <v>1</v>
      </c>
      <c r="K172" s="34" t="n">
        <f aca="false">IF(J172=0,0,ROUNDUP(J172*7/WD,0))</f>
        <v>2</v>
      </c>
      <c r="L172" s="15" t="s">
        <v>3247</v>
      </c>
      <c r="M172" s="12"/>
      <c r="N172" s="12"/>
      <c r="O172" s="15" t="s">
        <v>3003</v>
      </c>
      <c r="P172" s="16" t="n">
        <f aca="false">MAX(Q171)</f>
        <v>46357</v>
      </c>
      <c r="Q172" s="16" t="n">
        <f aca="false">P172+K172</f>
        <v>46359</v>
      </c>
      <c r="R172" s="12"/>
      <c r="S172" s="12"/>
    </row>
    <row r="173" customFormat="false" ht="15" hidden="false" customHeight="false" outlineLevel="0" collapsed="false">
      <c r="A173" s="15" t="s">
        <v>3250</v>
      </c>
      <c r="B173" s="15" t="s">
        <v>3248</v>
      </c>
      <c r="C173" s="15" t="s">
        <v>388</v>
      </c>
      <c r="D173" s="15" t="s">
        <v>642</v>
      </c>
      <c r="E173" s="15" t="s">
        <v>651</v>
      </c>
      <c r="F173" s="15" t="s">
        <v>3005</v>
      </c>
      <c r="G173" s="15" t="s">
        <v>3006</v>
      </c>
      <c r="H173" s="33" t="n">
        <f aca="false">Packages!$AC$21</f>
        <v>22</v>
      </c>
      <c r="I173" s="15" t="s">
        <v>3007</v>
      </c>
      <c r="J173" s="34" t="n">
        <f aca="false">IF(Packages!$AC$21=0,0,MAX(1,ROUNDUP(Packages!$AC$21/(R_PILE*Fronts!$H$6),0)))</f>
        <v>3</v>
      </c>
      <c r="K173" s="34" t="n">
        <f aca="false">IF(J173=0,0,ROUNDUP(J173*7/WD,0))</f>
        <v>4</v>
      </c>
      <c r="L173" s="15" t="s">
        <v>3249</v>
      </c>
      <c r="M173" s="34" t="n">
        <f aca="false">ROUNDUP(K172*LADDER,0)</f>
        <v>1</v>
      </c>
      <c r="N173" s="34" t="n">
        <f aca="false">IF(K173=0,0,FFLAG)</f>
        <v>2</v>
      </c>
      <c r="O173" s="15" t="s">
        <v>3008</v>
      </c>
      <c r="P173" s="16" t="n">
        <f aca="false">MAX(P172+M173,D_PILEDES)</f>
        <v>46358</v>
      </c>
      <c r="Q173" s="16" t="n">
        <f aca="false">MAX(P173+K173,Q172+N173)</f>
        <v>46362</v>
      </c>
      <c r="R173" s="16" t="n">
        <f aca="false">IF(K173&gt;0,Q173,0)</f>
        <v>46362</v>
      </c>
      <c r="S173" s="12"/>
    </row>
    <row r="174" customFormat="false" ht="15" hidden="false" customHeight="false" outlineLevel="0" collapsed="false">
      <c r="A174" s="15" t="s">
        <v>3251</v>
      </c>
      <c r="B174" s="15" t="s">
        <v>3248</v>
      </c>
      <c r="C174" s="15" t="s">
        <v>388</v>
      </c>
      <c r="D174" s="15" t="s">
        <v>642</v>
      </c>
      <c r="E174" s="15" t="s">
        <v>651</v>
      </c>
      <c r="F174" s="15" t="s">
        <v>3010</v>
      </c>
      <c r="G174" s="15" t="s">
        <v>3011</v>
      </c>
      <c r="H174" s="33" t="n">
        <f aca="false">Packages!$AD$21</f>
        <v>55.8307826539024</v>
      </c>
      <c r="I174" s="15" t="s">
        <v>3012</v>
      </c>
      <c r="J174" s="34" t="n">
        <f aca="false">IF(Packages!$AD$21=0,0,MAX(1,ROUNDUP(Packages!$AD$21/(R_SHEET*Fronts!$I$6),0)))</f>
        <v>2</v>
      </c>
      <c r="K174" s="34" t="n">
        <f aca="false">IF(J174=0,0,ROUNDUP(J174*7/WD,0))</f>
        <v>3</v>
      </c>
      <c r="L174" s="15" t="s">
        <v>3250</v>
      </c>
      <c r="M174" s="34" t="n">
        <f aca="false">ROUNDUP(K173*LADDER,0)</f>
        <v>2</v>
      </c>
      <c r="N174" s="34" t="n">
        <f aca="false">IF(K174=0,0,FFLAG)</f>
        <v>2</v>
      </c>
      <c r="O174" s="15"/>
      <c r="P174" s="16" t="n">
        <f aca="false">MAX(P173+M174)</f>
        <v>46360</v>
      </c>
      <c r="Q174" s="16" t="n">
        <f aca="false">MAX(P174+K174,Q173+N174)</f>
        <v>46364</v>
      </c>
      <c r="R174" s="16" t="n">
        <f aca="false">IF(K174&gt;0,Q174,0)</f>
        <v>46364</v>
      </c>
      <c r="S174" s="12"/>
    </row>
    <row r="175" customFormat="false" ht="15" hidden="false" customHeight="false" outlineLevel="0" collapsed="false">
      <c r="A175" s="15" t="s">
        <v>3252</v>
      </c>
      <c r="B175" s="15" t="s">
        <v>3248</v>
      </c>
      <c r="C175" s="15" t="s">
        <v>388</v>
      </c>
      <c r="D175" s="15" t="s">
        <v>642</v>
      </c>
      <c r="E175" s="15" t="s">
        <v>651</v>
      </c>
      <c r="F175" s="15" t="s">
        <v>3014</v>
      </c>
      <c r="G175" s="15" t="s">
        <v>3015</v>
      </c>
      <c r="H175" s="33" t="n">
        <f aca="false">Packages!$O$21</f>
        <v>27.9153913269512</v>
      </c>
      <c r="I175" s="15" t="s">
        <v>118</v>
      </c>
      <c r="J175" s="34" t="n">
        <f aca="false">IF(Packages!$AG$21=0,0,ROUNDUP(Packages!$O$21/R_DW,0)+DW_DRAW)</f>
        <v>8</v>
      </c>
      <c r="K175" s="34" t="n">
        <f aca="false">IF(J175=0,0,ROUNDUP(J175*7/WD,0))</f>
        <v>10</v>
      </c>
      <c r="L175" s="15" t="s">
        <v>3251</v>
      </c>
      <c r="M175" s="34" t="n">
        <f aca="false">ROUNDUP(K174*LADDER,0)</f>
        <v>1</v>
      </c>
      <c r="N175" s="34" t="n">
        <f aca="false">IF(K175=0,0,FFLAG)</f>
        <v>2</v>
      </c>
      <c r="O175" s="15"/>
      <c r="P175" s="16" t="n">
        <f aca="false">MAX(P174+M175)</f>
        <v>46361</v>
      </c>
      <c r="Q175" s="16" t="n">
        <f aca="false">MAX(P175+K175,Q174+N175)</f>
        <v>46371</v>
      </c>
      <c r="R175" s="12"/>
      <c r="S175" s="12"/>
    </row>
    <row r="176" customFormat="false" ht="15" hidden="false" customHeight="false" outlineLevel="0" collapsed="false">
      <c r="A176" s="15" t="s">
        <v>3253</v>
      </c>
      <c r="B176" s="15" t="s">
        <v>3248</v>
      </c>
      <c r="C176" s="15" t="s">
        <v>388</v>
      </c>
      <c r="D176" s="15" t="s">
        <v>642</v>
      </c>
      <c r="E176" s="15" t="s">
        <v>651</v>
      </c>
      <c r="F176" s="15" t="s">
        <v>3017</v>
      </c>
      <c r="G176" s="15" t="s">
        <v>3018</v>
      </c>
      <c r="H176" s="33" t="n">
        <f aca="false">Packages!$X$21+Packages!$Y$21</f>
        <v>397.885023888616</v>
      </c>
      <c r="I176" s="15" t="s">
        <v>3019</v>
      </c>
      <c r="J176" s="34" t="n">
        <f aca="false">MAX(1,ROUNDUP((Packages!$X$21/R_EXS+Packages!$Y$21/R_EXO)/Fronts!$J$6,0))</f>
        <v>1</v>
      </c>
      <c r="K176" s="34" t="n">
        <f aca="false">IF(J176=0,0,ROUNDUP(J176*7/WD,0))</f>
        <v>2</v>
      </c>
      <c r="L176" s="15" t="s">
        <v>3252</v>
      </c>
      <c r="M176" s="34" t="n">
        <f aca="false">IF(K175=0,0,ROUNDUP((K175-ROUNDUP(DW_DRAW*7/WD,0))*LADDER,0)+ROUNDUP(DW_DRAW*7/WD,0))</f>
        <v>10</v>
      </c>
      <c r="N176" s="34" t="n">
        <f aca="false">IF(K176=0,0,FFLAG)</f>
        <v>2</v>
      </c>
      <c r="O176" s="15"/>
      <c r="P176" s="16" t="n">
        <f aca="false">MAX(P175+M176)</f>
        <v>46371</v>
      </c>
      <c r="Q176" s="16" t="n">
        <f aca="false">MAX(P176+K176,Q175+N176)</f>
        <v>46373</v>
      </c>
      <c r="R176" s="16" t="n">
        <f aca="false">IF(K176&gt;0,Q176,0)</f>
        <v>46373</v>
      </c>
      <c r="S176" s="12"/>
    </row>
    <row r="177" customFormat="false" ht="15" hidden="false" customHeight="false" outlineLevel="0" collapsed="false">
      <c r="A177" s="15" t="s">
        <v>3254</v>
      </c>
      <c r="B177" s="15" t="s">
        <v>3248</v>
      </c>
      <c r="C177" s="15" t="s">
        <v>388</v>
      </c>
      <c r="D177" s="15" t="s">
        <v>642</v>
      </c>
      <c r="E177" s="15" t="s">
        <v>651</v>
      </c>
      <c r="F177" s="15" t="s">
        <v>3022</v>
      </c>
      <c r="G177" s="15" t="s">
        <v>3023</v>
      </c>
      <c r="H177" s="33" t="n">
        <f aca="false">Packages!$O$21</f>
        <v>27.9153913269512</v>
      </c>
      <c r="I177" s="15" t="s">
        <v>118</v>
      </c>
      <c r="J177" s="34" t="n">
        <f aca="false">MAX(1,ROUNDUP(Packages!$O$21/(R_SLAB*Fronts!$K$6),0))+SLAB_CURE</f>
        <v>5</v>
      </c>
      <c r="K177" s="34" t="n">
        <f aca="false">IF(J177=0,0,ROUNDUP(J177*7/WD,0))</f>
        <v>6</v>
      </c>
      <c r="L177" s="15" t="s">
        <v>3253</v>
      </c>
      <c r="M177" s="34" t="n">
        <f aca="false">ROUNDUP(K176*LADDER,0)</f>
        <v>1</v>
      </c>
      <c r="N177" s="34" t="n">
        <f aca="false">IF(K177=0,0,FFLAG)</f>
        <v>2</v>
      </c>
      <c r="O177" s="15"/>
      <c r="P177" s="16" t="n">
        <f aca="false">MAX(P176+M177)</f>
        <v>46372</v>
      </c>
      <c r="Q177" s="16" t="n">
        <f aca="false">MAX(P177+K177,Q176+N177)</f>
        <v>46378</v>
      </c>
      <c r="R177" s="16" t="n">
        <f aca="false">IF(K177&gt;0,Q177,0)</f>
        <v>46378</v>
      </c>
      <c r="S177" s="12"/>
    </row>
    <row r="178" customFormat="false" ht="15" hidden="false" customHeight="false" outlineLevel="0" collapsed="false">
      <c r="A178" s="15" t="s">
        <v>3255</v>
      </c>
      <c r="B178" s="15" t="s">
        <v>3248</v>
      </c>
      <c r="C178" s="15" t="s">
        <v>388</v>
      </c>
      <c r="D178" s="15" t="s">
        <v>642</v>
      </c>
      <c r="E178" s="15" t="s">
        <v>651</v>
      </c>
      <c r="F178" s="15" t="s">
        <v>3025</v>
      </c>
      <c r="G178" s="15" t="s">
        <v>3026</v>
      </c>
      <c r="H178" s="33" t="n">
        <f aca="false">Packages!$O$21</f>
        <v>27.9153913269512</v>
      </c>
      <c r="I178" s="15" t="s">
        <v>118</v>
      </c>
      <c r="J178" s="34" t="n">
        <f aca="false">MAX(1,ROUNDUP(Packages!$O$21/(IF(Packages!$N$21&gt;=PIPE_T1,R_PIPE_L,IF(Packages!$N$21&gt;=PIPE_T2,R_PIPE_M,R_PIPE_S))*Fronts!$L$6)+Packages!$M$21*FIT_D+IF(Packages!$G$21&lt;&gt;"Run",TIE_D,0),0))</f>
        <v>1</v>
      </c>
      <c r="K178" s="34" t="n">
        <f aca="false">IF(J178=0,0,ROUNDUP(J178*7/WD,0))</f>
        <v>2</v>
      </c>
      <c r="L178" s="15" t="s">
        <v>3254</v>
      </c>
      <c r="M178" s="34" t="n">
        <f aca="false">ROUNDUP(K177*LADDER,0)</f>
        <v>2</v>
      </c>
      <c r="N178" s="34" t="n">
        <f aca="false">IF(K178=0,0,FFLAG)</f>
        <v>2</v>
      </c>
      <c r="O178" s="15"/>
      <c r="P178" s="16" t="n">
        <f aca="false">MAX(P177+M178)</f>
        <v>46374</v>
      </c>
      <c r="Q178" s="16" t="n">
        <f aca="false">MAX(P178+K178,Q177+N178)</f>
        <v>46380</v>
      </c>
      <c r="R178" s="16" t="n">
        <f aca="false">IF(K178&gt;0,Q178,0)</f>
        <v>46380</v>
      </c>
      <c r="S178" s="12"/>
    </row>
    <row r="179" customFormat="false" ht="15" hidden="false" customHeight="false" outlineLevel="0" collapsed="false">
      <c r="A179" s="15" t="s">
        <v>3256</v>
      </c>
      <c r="B179" s="15" t="s">
        <v>3248</v>
      </c>
      <c r="C179" s="15" t="s">
        <v>388</v>
      </c>
      <c r="D179" s="15" t="s">
        <v>642</v>
      </c>
      <c r="E179" s="15" t="s">
        <v>651</v>
      </c>
      <c r="F179" s="15" t="s">
        <v>3028</v>
      </c>
      <c r="G179" s="15" t="s">
        <v>3029</v>
      </c>
      <c r="H179" s="33" t="n">
        <f aca="false">Packages!$O$21</f>
        <v>27.9153913269512</v>
      </c>
      <c r="I179" s="15" t="s">
        <v>118</v>
      </c>
      <c r="J179" s="34" t="n">
        <f aca="false">TEST_D+ROUNDUP(Packages!$O$21/R_TEST,0)</f>
        <v>3</v>
      </c>
      <c r="K179" s="34" t="n">
        <f aca="false">IF(J179=0,0,ROUNDUP(J179*7/WD,0))</f>
        <v>4</v>
      </c>
      <c r="L179" s="15" t="s">
        <v>3255</v>
      </c>
      <c r="M179" s="34" t="n">
        <f aca="false">ROUNDUP(K178*LADDER,0)</f>
        <v>1</v>
      </c>
      <c r="N179" s="34" t="n">
        <f aca="false">IF(K179=0,0,FFLAG)</f>
        <v>2</v>
      </c>
      <c r="O179" s="15"/>
      <c r="P179" s="16" t="n">
        <f aca="false">MAX(P178+M179)</f>
        <v>46375</v>
      </c>
      <c r="Q179" s="16" t="n">
        <f aca="false">MAX(P179+K179,Q178+N179)</f>
        <v>46382</v>
      </c>
      <c r="R179" s="12"/>
      <c r="S179" s="12"/>
    </row>
    <row r="180" customFormat="false" ht="15" hidden="false" customHeight="false" outlineLevel="0" collapsed="false">
      <c r="A180" s="15" t="s">
        <v>3257</v>
      </c>
      <c r="B180" s="15" t="s">
        <v>3248</v>
      </c>
      <c r="C180" s="15" t="s">
        <v>388</v>
      </c>
      <c r="D180" s="15" t="s">
        <v>642</v>
      </c>
      <c r="E180" s="15" t="s">
        <v>651</v>
      </c>
      <c r="F180" s="15" t="s">
        <v>3031</v>
      </c>
      <c r="G180" s="15" t="s">
        <v>3032</v>
      </c>
      <c r="H180" s="33" t="n">
        <f aca="false">Packages!$AB$21</f>
        <v>241.641772406891</v>
      </c>
      <c r="I180" s="15" t="s">
        <v>3019</v>
      </c>
      <c r="J180" s="34" t="n">
        <f aca="false">MAX(1,ROUNDUP(Packages!$AB$21/(R_BF*Fronts!$M$6),0))</f>
        <v>1</v>
      </c>
      <c r="K180" s="34" t="n">
        <f aca="false">IF(J180=0,0,ROUNDUP(J180*7/WD,0))</f>
        <v>2</v>
      </c>
      <c r="L180" s="15" t="s">
        <v>3256</v>
      </c>
      <c r="M180" s="34" t="n">
        <f aca="false">ROUNDUP(K179*LADDER,0)</f>
        <v>2</v>
      </c>
      <c r="N180" s="34" t="n">
        <f aca="false">IF(K180=0,0,FFLAG)</f>
        <v>2</v>
      </c>
      <c r="O180" s="15"/>
      <c r="P180" s="16" t="n">
        <f aca="false">MAX(P179+M180)</f>
        <v>46377</v>
      </c>
      <c r="Q180" s="16" t="n">
        <f aca="false">MAX(P180+K180,Q179+N180)</f>
        <v>46384</v>
      </c>
      <c r="R180" s="16" t="n">
        <f aca="false">IF(K180&gt;0,Q180,0)</f>
        <v>46384</v>
      </c>
      <c r="S180" s="12"/>
    </row>
    <row r="181" customFormat="false" ht="15" hidden="false" customHeight="false" outlineLevel="0" collapsed="false">
      <c r="A181" s="15" t="s">
        <v>3258</v>
      </c>
      <c r="B181" s="15" t="s">
        <v>3248</v>
      </c>
      <c r="C181" s="15" t="s">
        <v>388</v>
      </c>
      <c r="D181" s="15" t="s">
        <v>642</v>
      </c>
      <c r="E181" s="15" t="s">
        <v>651</v>
      </c>
      <c r="F181" s="15" t="s">
        <v>3034</v>
      </c>
      <c r="G181" s="15" t="s">
        <v>3035</v>
      </c>
      <c r="H181" s="33" t="n">
        <f aca="false">Packages!$AD$21</f>
        <v>55.8307826539024</v>
      </c>
      <c r="I181" s="15" t="s">
        <v>3012</v>
      </c>
      <c r="J181" s="34" t="n">
        <f aca="false">IF(Packages!$AD$21&gt;0,ROUNDUP(Packages!$AD$21/R_EXT,0),0)+IF(Packages!$AG$21&gt;0,1,0)</f>
        <v>3</v>
      </c>
      <c r="K181" s="34" t="n">
        <f aca="false">IF(J181=0,0,ROUNDUP(J181*7/WD,0))</f>
        <v>4</v>
      </c>
      <c r="L181" s="15" t="s">
        <v>3257</v>
      </c>
      <c r="M181" s="34" t="n">
        <f aca="false">ROUNDUP(K180*LADDER,0)</f>
        <v>1</v>
      </c>
      <c r="N181" s="34" t="n">
        <f aca="false">IF(K181=0,0,FFLAG)</f>
        <v>2</v>
      </c>
      <c r="O181" s="15"/>
      <c r="P181" s="16" t="n">
        <f aca="false">MAX(P180+M181)</f>
        <v>46378</v>
      </c>
      <c r="Q181" s="16" t="n">
        <f aca="false">MAX(P181+K181,Q180+N181)</f>
        <v>46386</v>
      </c>
      <c r="R181" s="12"/>
      <c r="S181" s="12"/>
    </row>
    <row r="182" customFormat="false" ht="15" hidden="false" customHeight="false" outlineLevel="0" collapsed="false">
      <c r="A182" s="15" t="s">
        <v>3259</v>
      </c>
      <c r="B182" s="15" t="s">
        <v>3260</v>
      </c>
      <c r="C182" s="15" t="s">
        <v>388</v>
      </c>
      <c r="D182" s="15" t="s">
        <v>2170</v>
      </c>
      <c r="E182" s="15" t="s">
        <v>2171</v>
      </c>
      <c r="F182" s="15" t="s">
        <v>2998</v>
      </c>
      <c r="G182" s="15" t="s">
        <v>2999</v>
      </c>
      <c r="H182" s="12"/>
      <c r="I182" s="12"/>
      <c r="J182" s="34" t="n">
        <f aca="false">0</f>
        <v>0</v>
      </c>
      <c r="K182" s="34" t="n">
        <f aca="false">IF(J182=0,0,ROUNDUP(J182*7/WD,0))</f>
        <v>0</v>
      </c>
      <c r="L182" s="12"/>
      <c r="M182" s="12"/>
      <c r="N182" s="12"/>
      <c r="O182" s="15" t="s">
        <v>3000</v>
      </c>
      <c r="P182" s="16" t="n">
        <f aca="false">MAX(START,D_DLU,Packages!$I$22,Packages!$K$22)</f>
        <v>46357</v>
      </c>
      <c r="Q182" s="16" t="n">
        <f aca="false">P182+K182</f>
        <v>46357</v>
      </c>
      <c r="R182" s="12"/>
      <c r="S182" s="12"/>
    </row>
    <row r="183" customFormat="false" ht="15" hidden="false" customHeight="false" outlineLevel="0" collapsed="false">
      <c r="A183" s="15" t="s">
        <v>3261</v>
      </c>
      <c r="B183" s="15" t="s">
        <v>3260</v>
      </c>
      <c r="C183" s="15" t="s">
        <v>388</v>
      </c>
      <c r="D183" s="15" t="s">
        <v>2170</v>
      </c>
      <c r="E183" s="15" t="s">
        <v>2171</v>
      </c>
      <c r="F183" s="15" t="s">
        <v>3002</v>
      </c>
      <c r="G183" s="15" t="s">
        <v>205</v>
      </c>
      <c r="H183" s="33" t="n">
        <f aca="false">Packages!$O$22</f>
        <v>495.217183428037</v>
      </c>
      <c r="I183" s="15" t="s">
        <v>118</v>
      </c>
      <c r="J183" s="34" t="n">
        <f aca="false">MAX(1,ROUNDUP(Packages!$O$22/R_PLAT,0))</f>
        <v>7</v>
      </c>
      <c r="K183" s="34" t="n">
        <f aca="false">IF(J183=0,0,ROUNDUP(J183*7/WD,0))</f>
        <v>9</v>
      </c>
      <c r="L183" s="15" t="s">
        <v>3259</v>
      </c>
      <c r="M183" s="12"/>
      <c r="N183" s="12"/>
      <c r="O183" s="15" t="s">
        <v>3262</v>
      </c>
      <c r="P183" s="16" t="n">
        <f aca="false">MAX(Q182,P173)</f>
        <v>46358</v>
      </c>
      <c r="Q183" s="16" t="n">
        <f aca="false">P183+K183</f>
        <v>46367</v>
      </c>
      <c r="R183" s="12"/>
      <c r="S183" s="12"/>
    </row>
    <row r="184" customFormat="false" ht="15" hidden="false" customHeight="false" outlineLevel="0" collapsed="false">
      <c r="A184" s="15" t="s">
        <v>3263</v>
      </c>
      <c r="B184" s="15" t="s">
        <v>3260</v>
      </c>
      <c r="C184" s="15" t="s">
        <v>388</v>
      </c>
      <c r="D184" s="15" t="s">
        <v>2170</v>
      </c>
      <c r="E184" s="15" t="s">
        <v>2171</v>
      </c>
      <c r="F184" s="15" t="s">
        <v>3005</v>
      </c>
      <c r="G184" s="15" t="s">
        <v>3006</v>
      </c>
      <c r="H184" s="33" t="n">
        <f aca="false">Packages!$AC$22</f>
        <v>334</v>
      </c>
      <c r="I184" s="15" t="s">
        <v>3007</v>
      </c>
      <c r="J184" s="34" t="n">
        <f aca="false">IF(Packages!$AC$22=0,0,MAX(1,ROUNDUP(Packages!$AC$22/(R_PILE*Fronts!$H$6),0)))</f>
        <v>34</v>
      </c>
      <c r="K184" s="34" t="n">
        <f aca="false">IF(J184=0,0,ROUNDUP(J184*7/WD,0))</f>
        <v>40</v>
      </c>
      <c r="L184" s="15" t="s">
        <v>3261</v>
      </c>
      <c r="M184" s="34" t="n">
        <f aca="false">ROUNDUP(K183*LADDER,0)</f>
        <v>3</v>
      </c>
      <c r="N184" s="34" t="n">
        <f aca="false">IF(K184=0,0,FFLAG)</f>
        <v>2</v>
      </c>
      <c r="O184" s="15" t="s">
        <v>3008</v>
      </c>
      <c r="P184" s="16" t="n">
        <f aca="false">MAX(P183+M184,D_PILEDES,R173)</f>
        <v>46362</v>
      </c>
      <c r="Q184" s="16" t="n">
        <f aca="false">MAX(P184+K184,Q183+N184)</f>
        <v>46402</v>
      </c>
      <c r="R184" s="16" t="n">
        <f aca="false">IF(K184&gt;0,Q184,R173)</f>
        <v>46402</v>
      </c>
      <c r="S184" s="15" t="s">
        <v>3250</v>
      </c>
    </row>
    <row r="185" customFormat="false" ht="15" hidden="false" customHeight="false" outlineLevel="0" collapsed="false">
      <c r="A185" s="15" t="s">
        <v>3264</v>
      </c>
      <c r="B185" s="15" t="s">
        <v>3260</v>
      </c>
      <c r="C185" s="15" t="s">
        <v>388</v>
      </c>
      <c r="D185" s="15" t="s">
        <v>2170</v>
      </c>
      <c r="E185" s="15" t="s">
        <v>2171</v>
      </c>
      <c r="F185" s="15" t="s">
        <v>3010</v>
      </c>
      <c r="G185" s="15" t="s">
        <v>3011</v>
      </c>
      <c r="H185" s="33" t="n">
        <f aca="false">Packages!$AD$22</f>
        <v>990.434366856074</v>
      </c>
      <c r="I185" s="15" t="s">
        <v>3012</v>
      </c>
      <c r="J185" s="34" t="n">
        <f aca="false">IF(Packages!$AD$22=0,0,MAX(1,ROUNDUP(Packages!$AD$22/(R_SHEET*Fronts!$I$6),0)))</f>
        <v>20</v>
      </c>
      <c r="K185" s="34" t="n">
        <f aca="false">IF(J185=0,0,ROUNDUP(J185*7/WD,0))</f>
        <v>24</v>
      </c>
      <c r="L185" s="15" t="s">
        <v>3263</v>
      </c>
      <c r="M185" s="34" t="n">
        <f aca="false">ROUNDUP(K184*LADDER,0)</f>
        <v>12</v>
      </c>
      <c r="N185" s="34" t="n">
        <f aca="false">IF(K185=0,0,FFLAG)</f>
        <v>2</v>
      </c>
      <c r="O185" s="15"/>
      <c r="P185" s="16" t="n">
        <f aca="false">MAX(P184+M185,R174)</f>
        <v>46374</v>
      </c>
      <c r="Q185" s="16" t="n">
        <f aca="false">MAX(P185+K185,Q184+N185)</f>
        <v>46404</v>
      </c>
      <c r="R185" s="16" t="n">
        <f aca="false">IF(K185&gt;0,Q185,R174)</f>
        <v>46404</v>
      </c>
      <c r="S185" s="15" t="s">
        <v>3251</v>
      </c>
    </row>
    <row r="186" customFormat="false" ht="15" hidden="false" customHeight="false" outlineLevel="0" collapsed="false">
      <c r="A186" s="15" t="s">
        <v>3265</v>
      </c>
      <c r="B186" s="15" t="s">
        <v>3260</v>
      </c>
      <c r="C186" s="15" t="s">
        <v>388</v>
      </c>
      <c r="D186" s="15" t="s">
        <v>2170</v>
      </c>
      <c r="E186" s="15" t="s">
        <v>2171</v>
      </c>
      <c r="F186" s="15" t="s">
        <v>3014</v>
      </c>
      <c r="G186" s="15" t="s">
        <v>3015</v>
      </c>
      <c r="H186" s="33" t="n">
        <f aca="false">Packages!$O$22</f>
        <v>495.217183428037</v>
      </c>
      <c r="I186" s="15" t="s">
        <v>118</v>
      </c>
      <c r="J186" s="34" t="n">
        <f aca="false">IF(Packages!$AG$22=0,0,ROUNDUP(Packages!$O$22/R_DW,0)+DW_DRAW)</f>
        <v>20</v>
      </c>
      <c r="K186" s="34" t="n">
        <f aca="false">IF(J186=0,0,ROUNDUP(J186*7/WD,0))</f>
        <v>24</v>
      </c>
      <c r="L186" s="15" t="s">
        <v>3264</v>
      </c>
      <c r="M186" s="34" t="n">
        <f aca="false">ROUNDUP(K185*LADDER,0)</f>
        <v>8</v>
      </c>
      <c r="N186" s="34" t="n">
        <f aca="false">IF(K186=0,0,FFLAG)</f>
        <v>2</v>
      </c>
      <c r="O186" s="15" t="s">
        <v>3266</v>
      </c>
      <c r="P186" s="16" t="n">
        <f aca="false">MAX(P185+M186,Q176-K186)</f>
        <v>46382</v>
      </c>
      <c r="Q186" s="16" t="n">
        <f aca="false">MAX(P186+K186,Q185+N186)</f>
        <v>46406</v>
      </c>
      <c r="R186" s="12"/>
      <c r="S186" s="12"/>
    </row>
    <row r="187" customFormat="false" ht="15" hidden="false" customHeight="false" outlineLevel="0" collapsed="false">
      <c r="A187" s="15" t="s">
        <v>3267</v>
      </c>
      <c r="B187" s="15" t="s">
        <v>3260</v>
      </c>
      <c r="C187" s="15" t="s">
        <v>388</v>
      </c>
      <c r="D187" s="15" t="s">
        <v>2170</v>
      </c>
      <c r="E187" s="15" t="s">
        <v>2171</v>
      </c>
      <c r="F187" s="15" t="s">
        <v>3017</v>
      </c>
      <c r="G187" s="15" t="s">
        <v>3018</v>
      </c>
      <c r="H187" s="33" t="n">
        <f aca="false">Packages!$X$22+Packages!$Y$22</f>
        <v>8609.06651371478</v>
      </c>
      <c r="I187" s="15" t="s">
        <v>3019</v>
      </c>
      <c r="J187" s="34" t="n">
        <f aca="false">MAX(1,ROUNDUP((Packages!$X$22/R_EXS+Packages!$Y$22/R_EXO)/Fronts!$J$6,0))</f>
        <v>18</v>
      </c>
      <c r="K187" s="34" t="n">
        <f aca="false">IF(J187=0,0,ROUNDUP(J187*7/WD,0))</f>
        <v>21</v>
      </c>
      <c r="L187" s="15" t="s">
        <v>3265</v>
      </c>
      <c r="M187" s="34" t="n">
        <f aca="false">IF(K186=0,0,ROUNDUP((K186-ROUNDUP(DW_DRAW*7/WD,0))*LADDER,0)+ROUNDUP(DW_DRAW*7/WD,0))</f>
        <v>14</v>
      </c>
      <c r="N187" s="34" t="n">
        <f aca="false">IF(K187=0,0,FFLAG)</f>
        <v>2</v>
      </c>
      <c r="O187" s="15"/>
      <c r="P187" s="16" t="n">
        <f aca="false">MAX(P186+M187,R176)</f>
        <v>46396</v>
      </c>
      <c r="Q187" s="16" t="n">
        <f aca="false">MAX(P187+K187,Q186+N187)</f>
        <v>46417</v>
      </c>
      <c r="R187" s="16" t="n">
        <f aca="false">IF(K187&gt;0,Q187,R176)</f>
        <v>46417</v>
      </c>
      <c r="S187" s="15" t="s">
        <v>3253</v>
      </c>
    </row>
    <row r="188" customFormat="false" ht="15" hidden="false" customHeight="false" outlineLevel="0" collapsed="false">
      <c r="A188" s="15" t="s">
        <v>3268</v>
      </c>
      <c r="B188" s="15" t="s">
        <v>3260</v>
      </c>
      <c r="C188" s="15" t="s">
        <v>388</v>
      </c>
      <c r="D188" s="15" t="s">
        <v>2170</v>
      </c>
      <c r="E188" s="15" t="s">
        <v>2171</v>
      </c>
      <c r="F188" s="15" t="s">
        <v>3022</v>
      </c>
      <c r="G188" s="15" t="s">
        <v>3023</v>
      </c>
      <c r="H188" s="33" t="n">
        <f aca="false">Packages!$O$22</f>
        <v>495.217183428037</v>
      </c>
      <c r="I188" s="15" t="s">
        <v>118</v>
      </c>
      <c r="J188" s="34" t="n">
        <f aca="false">MAX(1,ROUNDUP(Packages!$O$22/(R_SLAB*Fronts!$K$6),0))+SLAB_CURE</f>
        <v>24</v>
      </c>
      <c r="K188" s="34" t="n">
        <f aca="false">IF(J188=0,0,ROUNDUP(J188*7/WD,0))</f>
        <v>28</v>
      </c>
      <c r="L188" s="15" t="s">
        <v>3267</v>
      </c>
      <c r="M188" s="34" t="n">
        <f aca="false">ROUNDUP(K187*LADDER,0)</f>
        <v>7</v>
      </c>
      <c r="N188" s="34" t="n">
        <f aca="false">IF(K188=0,0,FFLAG)</f>
        <v>2</v>
      </c>
      <c r="O188" s="15"/>
      <c r="P188" s="16" t="n">
        <f aca="false">MAX(P187+M188,R177)</f>
        <v>46403</v>
      </c>
      <c r="Q188" s="16" t="n">
        <f aca="false">MAX(P188+K188,Q187+N188)</f>
        <v>46431</v>
      </c>
      <c r="R188" s="16" t="n">
        <f aca="false">IF(K188&gt;0,Q188,R177)</f>
        <v>46431</v>
      </c>
      <c r="S188" s="15" t="s">
        <v>3254</v>
      </c>
    </row>
    <row r="189" customFormat="false" ht="15" hidden="false" customHeight="false" outlineLevel="0" collapsed="false">
      <c r="A189" s="15" t="s">
        <v>3269</v>
      </c>
      <c r="B189" s="15" t="s">
        <v>3260</v>
      </c>
      <c r="C189" s="15" t="s">
        <v>388</v>
      </c>
      <c r="D189" s="15" t="s">
        <v>2170</v>
      </c>
      <c r="E189" s="15" t="s">
        <v>2171</v>
      </c>
      <c r="F189" s="15" t="s">
        <v>3025</v>
      </c>
      <c r="G189" s="15" t="s">
        <v>3026</v>
      </c>
      <c r="H189" s="33" t="n">
        <f aca="false">Packages!$O$22</f>
        <v>495.217183428037</v>
      </c>
      <c r="I189" s="15" t="s">
        <v>118</v>
      </c>
      <c r="J189" s="34" t="n">
        <f aca="false">MAX(1,ROUNDUP(Packages!$O$22/(IF(Packages!$N$22&gt;=PIPE_T1,R_PIPE_L,IF(Packages!$N$22&gt;=PIPE_T2,R_PIPE_M,R_PIPE_S))*Fronts!$L$6)+Packages!$M$22*FIT_D+IF(Packages!$G$22&lt;&gt;"Run",TIE_D,0),0))</f>
        <v>18</v>
      </c>
      <c r="K189" s="34" t="n">
        <f aca="false">IF(J189=0,0,ROUNDUP(J189*7/WD,0))</f>
        <v>21</v>
      </c>
      <c r="L189" s="15" t="s">
        <v>3268</v>
      </c>
      <c r="M189" s="34" t="n">
        <f aca="false">ROUNDUP(K188*LADDER,0)</f>
        <v>9</v>
      </c>
      <c r="N189" s="34" t="n">
        <f aca="false">IF(K189=0,0,FFLAG)</f>
        <v>2</v>
      </c>
      <c r="O189" s="15"/>
      <c r="P189" s="16" t="n">
        <f aca="false">MAX(P188+M189,R178)</f>
        <v>46412</v>
      </c>
      <c r="Q189" s="16" t="n">
        <f aca="false">MAX(P189+K189,Q188+N189)</f>
        <v>46433</v>
      </c>
      <c r="R189" s="16" t="n">
        <f aca="false">IF(K189&gt;0,Q189,R178)</f>
        <v>46433</v>
      </c>
      <c r="S189" s="15" t="s">
        <v>3255</v>
      </c>
    </row>
    <row r="190" customFormat="false" ht="15" hidden="false" customHeight="false" outlineLevel="0" collapsed="false">
      <c r="A190" s="15" t="s">
        <v>3270</v>
      </c>
      <c r="B190" s="15" t="s">
        <v>3260</v>
      </c>
      <c r="C190" s="15" t="s">
        <v>388</v>
      </c>
      <c r="D190" s="15" t="s">
        <v>2170</v>
      </c>
      <c r="E190" s="15" t="s">
        <v>2171</v>
      </c>
      <c r="F190" s="15" t="s">
        <v>3028</v>
      </c>
      <c r="G190" s="15" t="s">
        <v>3029</v>
      </c>
      <c r="H190" s="33" t="n">
        <f aca="false">Packages!$O$22</f>
        <v>495.217183428037</v>
      </c>
      <c r="I190" s="15" t="s">
        <v>118</v>
      </c>
      <c r="J190" s="34" t="n">
        <f aca="false">TEST_D+ROUNDUP(Packages!$O$22/R_TEST,0)</f>
        <v>6</v>
      </c>
      <c r="K190" s="34" t="n">
        <f aca="false">IF(J190=0,0,ROUNDUP(J190*7/WD,0))</f>
        <v>7</v>
      </c>
      <c r="L190" s="15" t="s">
        <v>3269</v>
      </c>
      <c r="M190" s="34" t="n">
        <f aca="false">ROUNDUP(K189*LADDER,0)</f>
        <v>7</v>
      </c>
      <c r="N190" s="34" t="n">
        <f aca="false">IF(K190=0,0,FFLAG)</f>
        <v>2</v>
      </c>
      <c r="O190" s="15"/>
      <c r="P190" s="16" t="n">
        <f aca="false">MAX(P189+M190)</f>
        <v>46419</v>
      </c>
      <c r="Q190" s="16" t="n">
        <f aca="false">MAX(P190+K190,Q189+N190)</f>
        <v>46435</v>
      </c>
      <c r="R190" s="12"/>
      <c r="S190" s="12"/>
    </row>
    <row r="191" customFormat="false" ht="15" hidden="false" customHeight="false" outlineLevel="0" collapsed="false">
      <c r="A191" s="15" t="s">
        <v>3271</v>
      </c>
      <c r="B191" s="15" t="s">
        <v>3260</v>
      </c>
      <c r="C191" s="15" t="s">
        <v>388</v>
      </c>
      <c r="D191" s="15" t="s">
        <v>2170</v>
      </c>
      <c r="E191" s="15" t="s">
        <v>2171</v>
      </c>
      <c r="F191" s="15" t="s">
        <v>3031</v>
      </c>
      <c r="G191" s="15" t="s">
        <v>3032</v>
      </c>
      <c r="H191" s="33" t="n">
        <f aca="false">Packages!$AB$22</f>
        <v>5350.10972511747</v>
      </c>
      <c r="I191" s="15" t="s">
        <v>3019</v>
      </c>
      <c r="J191" s="34" t="n">
        <f aca="false">MAX(1,ROUNDUP(Packages!$AB$22/(R_BF*Fronts!$M$6),0))</f>
        <v>8</v>
      </c>
      <c r="K191" s="34" t="n">
        <f aca="false">IF(J191=0,0,ROUNDUP(J191*7/WD,0))</f>
        <v>10</v>
      </c>
      <c r="L191" s="15" t="s">
        <v>3270</v>
      </c>
      <c r="M191" s="34" t="n">
        <f aca="false">ROUNDUP(K190*LADDER,0)</f>
        <v>3</v>
      </c>
      <c r="N191" s="34" t="n">
        <f aca="false">IF(K191=0,0,FFLAG)</f>
        <v>2</v>
      </c>
      <c r="O191" s="15" t="s">
        <v>3272</v>
      </c>
      <c r="P191" s="16" t="n">
        <f aca="false">MAX(P190+M191,R180,Q233,Q211,Q200)</f>
        <v>46494</v>
      </c>
      <c r="Q191" s="16" t="n">
        <f aca="false">MAX(P191+K191,Q190+N191)</f>
        <v>46504</v>
      </c>
      <c r="R191" s="16" t="n">
        <f aca="false">IF(K191&gt;0,Q191,R180)</f>
        <v>46504</v>
      </c>
      <c r="S191" s="15" t="s">
        <v>3257</v>
      </c>
    </row>
    <row r="192" customFormat="false" ht="15" hidden="false" customHeight="false" outlineLevel="0" collapsed="false">
      <c r="A192" s="15" t="s">
        <v>3273</v>
      </c>
      <c r="B192" s="15" t="s">
        <v>3260</v>
      </c>
      <c r="C192" s="15" t="s">
        <v>388</v>
      </c>
      <c r="D192" s="15" t="s">
        <v>2170</v>
      </c>
      <c r="E192" s="15" t="s">
        <v>2171</v>
      </c>
      <c r="F192" s="15" t="s">
        <v>3034</v>
      </c>
      <c r="G192" s="15" t="s">
        <v>3035</v>
      </c>
      <c r="H192" s="33" t="n">
        <f aca="false">Packages!$AD$22</f>
        <v>990.434366856074</v>
      </c>
      <c r="I192" s="15" t="s">
        <v>3012</v>
      </c>
      <c r="J192" s="34" t="n">
        <f aca="false">IF(Packages!$AD$22&gt;0,ROUNDUP(Packages!$AD$22/R_EXT,0),0)+IF(Packages!$AG$22&gt;0,1,0)</f>
        <v>21</v>
      </c>
      <c r="K192" s="34" t="n">
        <f aca="false">IF(J192=0,0,ROUNDUP(J192*7/WD,0))</f>
        <v>25</v>
      </c>
      <c r="L192" s="15" t="s">
        <v>3271</v>
      </c>
      <c r="M192" s="34" t="n">
        <f aca="false">ROUNDUP(K191*LADDER,0)</f>
        <v>3</v>
      </c>
      <c r="N192" s="34" t="n">
        <f aca="false">IF(K192=0,0,FFLAG)</f>
        <v>2</v>
      </c>
      <c r="O192" s="15"/>
      <c r="P192" s="16" t="n">
        <f aca="false">MAX(P191+M192)</f>
        <v>46497</v>
      </c>
      <c r="Q192" s="16" t="n">
        <f aca="false">MAX(P192+K192,Q191+N192)</f>
        <v>46522</v>
      </c>
      <c r="R192" s="12"/>
      <c r="S192" s="12"/>
    </row>
    <row r="193" customFormat="false" ht="15" hidden="false" customHeight="false" outlineLevel="0" collapsed="false">
      <c r="A193" s="15" t="s">
        <v>3274</v>
      </c>
      <c r="B193" s="15" t="s">
        <v>3275</v>
      </c>
      <c r="C193" s="15" t="s">
        <v>388</v>
      </c>
      <c r="D193" s="15" t="s">
        <v>2236</v>
      </c>
      <c r="E193" s="15" t="s">
        <v>2237</v>
      </c>
      <c r="F193" s="15" t="s">
        <v>2998</v>
      </c>
      <c r="G193" s="15" t="s">
        <v>2999</v>
      </c>
      <c r="H193" s="12"/>
      <c r="I193" s="12"/>
      <c r="J193" s="34" t="n">
        <f aca="false">0</f>
        <v>0</v>
      </c>
      <c r="K193" s="34" t="n">
        <f aca="false">IF(J193=0,0,ROUNDUP(J193*7/WD,0))</f>
        <v>0</v>
      </c>
      <c r="L193" s="12"/>
      <c r="M193" s="12"/>
      <c r="N193" s="12"/>
      <c r="O193" s="15" t="s">
        <v>3000</v>
      </c>
      <c r="P193" s="16" t="n">
        <f aca="false">MAX(START,D_DLU,Packages!$I$23,Packages!$K$23)</f>
        <v>46357</v>
      </c>
      <c r="Q193" s="16" t="n">
        <f aca="false">P193+K193</f>
        <v>46357</v>
      </c>
      <c r="R193" s="12"/>
      <c r="S193" s="12"/>
    </row>
    <row r="194" customFormat="false" ht="15" hidden="false" customHeight="false" outlineLevel="0" collapsed="false">
      <c r="A194" s="15" t="s">
        <v>3276</v>
      </c>
      <c r="B194" s="15" t="s">
        <v>3275</v>
      </c>
      <c r="C194" s="15" t="s">
        <v>388</v>
      </c>
      <c r="D194" s="15" t="s">
        <v>2236</v>
      </c>
      <c r="E194" s="15" t="s">
        <v>2237</v>
      </c>
      <c r="F194" s="15" t="s">
        <v>3002</v>
      </c>
      <c r="G194" s="15" t="s">
        <v>205</v>
      </c>
      <c r="H194" s="33" t="n">
        <f aca="false">Packages!$O$23</f>
        <v>495.714576688877</v>
      </c>
      <c r="I194" s="15" t="s">
        <v>118</v>
      </c>
      <c r="J194" s="34" t="n">
        <f aca="false">MAX(1,ROUNDUP(Packages!$O$23/R_PLAT,0))</f>
        <v>7</v>
      </c>
      <c r="K194" s="34" t="n">
        <f aca="false">IF(J194=0,0,ROUNDUP(J194*7/WD,0))</f>
        <v>9</v>
      </c>
      <c r="L194" s="15" t="s">
        <v>3274</v>
      </c>
      <c r="M194" s="12"/>
      <c r="N194" s="12"/>
      <c r="O194" s="15" t="s">
        <v>3277</v>
      </c>
      <c r="P194" s="16" t="n">
        <f aca="false">MAX(Q193,P184)</f>
        <v>46362</v>
      </c>
      <c r="Q194" s="16" t="n">
        <f aca="false">P194+K194</f>
        <v>46371</v>
      </c>
      <c r="R194" s="12"/>
      <c r="S194" s="12"/>
    </row>
    <row r="195" customFormat="false" ht="15" hidden="false" customHeight="false" outlineLevel="0" collapsed="false">
      <c r="A195" s="15" t="s">
        <v>3278</v>
      </c>
      <c r="B195" s="15" t="s">
        <v>3275</v>
      </c>
      <c r="C195" s="15" t="s">
        <v>388</v>
      </c>
      <c r="D195" s="15" t="s">
        <v>2236</v>
      </c>
      <c r="E195" s="15" t="s">
        <v>2237</v>
      </c>
      <c r="F195" s="15" t="s">
        <v>3005</v>
      </c>
      <c r="G195" s="15" t="s">
        <v>3006</v>
      </c>
      <c r="H195" s="33" t="n">
        <f aca="false">Packages!$AC$23</f>
        <v>334</v>
      </c>
      <c r="I195" s="15" t="s">
        <v>3007</v>
      </c>
      <c r="J195" s="34" t="n">
        <f aca="false">IF(Packages!$AC$23=0,0,MAX(1,ROUNDUP(Packages!$AC$23/(R_PILE*Fronts!$H$6),0)))</f>
        <v>34</v>
      </c>
      <c r="K195" s="34" t="n">
        <f aca="false">IF(J195=0,0,ROUNDUP(J195*7/WD,0))</f>
        <v>40</v>
      </c>
      <c r="L195" s="15" t="s">
        <v>3276</v>
      </c>
      <c r="M195" s="34" t="n">
        <f aca="false">ROUNDUP(K194*LADDER,0)</f>
        <v>3</v>
      </c>
      <c r="N195" s="34" t="n">
        <f aca="false">IF(K195=0,0,FFLAG)</f>
        <v>2</v>
      </c>
      <c r="O195" s="15" t="s">
        <v>3008</v>
      </c>
      <c r="P195" s="16" t="n">
        <f aca="false">MAX(P194+M195,D_PILEDES,R184)</f>
        <v>46402</v>
      </c>
      <c r="Q195" s="16" t="n">
        <f aca="false">MAX(P195+K195,Q194+N195)</f>
        <v>46442</v>
      </c>
      <c r="R195" s="16" t="n">
        <f aca="false">IF(K195&gt;0,Q195,R184)</f>
        <v>46442</v>
      </c>
      <c r="S195" s="15" t="s">
        <v>3263</v>
      </c>
    </row>
    <row r="196" customFormat="false" ht="15" hidden="false" customHeight="false" outlineLevel="0" collapsed="false">
      <c r="A196" s="15" t="s">
        <v>3279</v>
      </c>
      <c r="B196" s="15" t="s">
        <v>3275</v>
      </c>
      <c r="C196" s="15" t="s">
        <v>388</v>
      </c>
      <c r="D196" s="15" t="s">
        <v>2236</v>
      </c>
      <c r="E196" s="15" t="s">
        <v>2237</v>
      </c>
      <c r="F196" s="15" t="s">
        <v>3010</v>
      </c>
      <c r="G196" s="15" t="s">
        <v>3011</v>
      </c>
      <c r="H196" s="33" t="n">
        <f aca="false">Packages!$AD$23</f>
        <v>991.429153377755</v>
      </c>
      <c r="I196" s="15" t="s">
        <v>3012</v>
      </c>
      <c r="J196" s="34" t="n">
        <f aca="false">IF(Packages!$AD$23=0,0,MAX(1,ROUNDUP(Packages!$AD$23/(R_SHEET*Fronts!$I$6),0)))</f>
        <v>20</v>
      </c>
      <c r="K196" s="34" t="n">
        <f aca="false">IF(J196=0,0,ROUNDUP(J196*7/WD,0))</f>
        <v>24</v>
      </c>
      <c r="L196" s="15" t="s">
        <v>3278</v>
      </c>
      <c r="M196" s="34" t="n">
        <f aca="false">ROUNDUP(K195*LADDER,0)</f>
        <v>12</v>
      </c>
      <c r="N196" s="34" t="n">
        <f aca="false">IF(K196=0,0,FFLAG)</f>
        <v>2</v>
      </c>
      <c r="O196" s="15"/>
      <c r="P196" s="16" t="n">
        <f aca="false">MAX(P195+M196,R185)</f>
        <v>46414</v>
      </c>
      <c r="Q196" s="16" t="n">
        <f aca="false">MAX(P196+K196,Q195+N196)</f>
        <v>46444</v>
      </c>
      <c r="R196" s="16" t="n">
        <f aca="false">IF(K196&gt;0,Q196,R185)</f>
        <v>46444</v>
      </c>
      <c r="S196" s="15" t="s">
        <v>3264</v>
      </c>
    </row>
    <row r="197" customFormat="false" ht="15" hidden="false" customHeight="false" outlineLevel="0" collapsed="false">
      <c r="A197" s="15" t="s">
        <v>3280</v>
      </c>
      <c r="B197" s="15" t="s">
        <v>3275</v>
      </c>
      <c r="C197" s="15" t="s">
        <v>388</v>
      </c>
      <c r="D197" s="15" t="s">
        <v>2236</v>
      </c>
      <c r="E197" s="15" t="s">
        <v>2237</v>
      </c>
      <c r="F197" s="15" t="s">
        <v>3014</v>
      </c>
      <c r="G197" s="15" t="s">
        <v>3015</v>
      </c>
      <c r="H197" s="33" t="n">
        <f aca="false">Packages!$O$23</f>
        <v>495.714576688877</v>
      </c>
      <c r="I197" s="15" t="s">
        <v>118</v>
      </c>
      <c r="J197" s="34" t="n">
        <f aca="false">IF(Packages!$AG$23=0,0,ROUNDUP(Packages!$O$23/R_DW,0)+DW_DRAW)</f>
        <v>20</v>
      </c>
      <c r="K197" s="34" t="n">
        <f aca="false">IF(J197=0,0,ROUNDUP(J197*7/WD,0))</f>
        <v>24</v>
      </c>
      <c r="L197" s="15" t="s">
        <v>3279</v>
      </c>
      <c r="M197" s="34" t="n">
        <f aca="false">ROUNDUP(K196*LADDER,0)</f>
        <v>8</v>
      </c>
      <c r="N197" s="34" t="n">
        <f aca="false">IF(K197=0,0,FFLAG)</f>
        <v>2</v>
      </c>
      <c r="O197" s="15" t="s">
        <v>3281</v>
      </c>
      <c r="P197" s="16" t="n">
        <f aca="false">MAX(P196+M197,Q187-K197)</f>
        <v>46422</v>
      </c>
      <c r="Q197" s="16" t="n">
        <f aca="false">MAX(P197+K197,Q196+N197)</f>
        <v>46446</v>
      </c>
      <c r="R197" s="12"/>
      <c r="S197" s="12"/>
    </row>
    <row r="198" customFormat="false" ht="15" hidden="false" customHeight="false" outlineLevel="0" collapsed="false">
      <c r="A198" s="15" t="s">
        <v>3282</v>
      </c>
      <c r="B198" s="15" t="s">
        <v>3275</v>
      </c>
      <c r="C198" s="15" t="s">
        <v>388</v>
      </c>
      <c r="D198" s="15" t="s">
        <v>2236</v>
      </c>
      <c r="E198" s="15" t="s">
        <v>2237</v>
      </c>
      <c r="F198" s="15" t="s">
        <v>3017</v>
      </c>
      <c r="G198" s="15" t="s">
        <v>3018</v>
      </c>
      <c r="H198" s="33" t="n">
        <f aca="false">Packages!$X$23+Packages!$Y$23</f>
        <v>8189.58431918329</v>
      </c>
      <c r="I198" s="15" t="s">
        <v>3019</v>
      </c>
      <c r="J198" s="34" t="n">
        <f aca="false">MAX(1,ROUNDUP((Packages!$X$23/R_EXS+Packages!$Y$23/R_EXO)/Fronts!$J$6,0))</f>
        <v>17</v>
      </c>
      <c r="K198" s="34" t="n">
        <f aca="false">IF(J198=0,0,ROUNDUP(J198*7/WD,0))</f>
        <v>20</v>
      </c>
      <c r="L198" s="15" t="s">
        <v>3280</v>
      </c>
      <c r="M198" s="34" t="n">
        <f aca="false">IF(K197=0,0,ROUNDUP((K197-ROUNDUP(DW_DRAW*7/WD,0))*LADDER,0)+ROUNDUP(DW_DRAW*7/WD,0))</f>
        <v>14</v>
      </c>
      <c r="N198" s="34" t="n">
        <f aca="false">IF(K198=0,0,FFLAG)</f>
        <v>2</v>
      </c>
      <c r="O198" s="15" t="s">
        <v>3283</v>
      </c>
      <c r="P198" s="16" t="n">
        <f aca="false">MAX(P197+M198,R187,P187)</f>
        <v>46436</v>
      </c>
      <c r="Q198" s="16" t="n">
        <f aca="false">MAX(P198+K198,Q197+N198)</f>
        <v>46456</v>
      </c>
      <c r="R198" s="16" t="n">
        <f aca="false">IF(K198&gt;0,Q198,R187)</f>
        <v>46456</v>
      </c>
      <c r="S198" s="15" t="s">
        <v>3267</v>
      </c>
    </row>
    <row r="199" customFormat="false" ht="15" hidden="false" customHeight="false" outlineLevel="0" collapsed="false">
      <c r="A199" s="15" t="s">
        <v>3284</v>
      </c>
      <c r="B199" s="15" t="s">
        <v>3275</v>
      </c>
      <c r="C199" s="15" t="s">
        <v>388</v>
      </c>
      <c r="D199" s="15" t="s">
        <v>2236</v>
      </c>
      <c r="E199" s="15" t="s">
        <v>2237</v>
      </c>
      <c r="F199" s="15" t="s">
        <v>3022</v>
      </c>
      <c r="G199" s="15" t="s">
        <v>3023</v>
      </c>
      <c r="H199" s="33" t="n">
        <f aca="false">Packages!$O$23</f>
        <v>495.714576688877</v>
      </c>
      <c r="I199" s="15" t="s">
        <v>118</v>
      </c>
      <c r="J199" s="34" t="n">
        <f aca="false">MAX(1,ROUNDUP(Packages!$O$23/(R_SLAB*Fronts!$K$6),0))+SLAB_CURE</f>
        <v>24</v>
      </c>
      <c r="K199" s="34" t="n">
        <f aca="false">IF(J199=0,0,ROUNDUP(J199*7/WD,0))</f>
        <v>28</v>
      </c>
      <c r="L199" s="15" t="s">
        <v>3282</v>
      </c>
      <c r="M199" s="34" t="n">
        <f aca="false">ROUNDUP(K198*LADDER,0)</f>
        <v>6</v>
      </c>
      <c r="N199" s="34" t="n">
        <f aca="false">IF(K199=0,0,FFLAG)</f>
        <v>2</v>
      </c>
      <c r="O199" s="15"/>
      <c r="P199" s="16" t="n">
        <f aca="false">MAX(P198+M199,R188)</f>
        <v>46442</v>
      </c>
      <c r="Q199" s="16" t="n">
        <f aca="false">MAX(P199+K199,Q198+N199)</f>
        <v>46470</v>
      </c>
      <c r="R199" s="16" t="n">
        <f aca="false">IF(K199&gt;0,Q199,R188)</f>
        <v>46470</v>
      </c>
      <c r="S199" s="15" t="s">
        <v>3268</v>
      </c>
    </row>
    <row r="200" customFormat="false" ht="15" hidden="false" customHeight="false" outlineLevel="0" collapsed="false">
      <c r="A200" s="15" t="s">
        <v>3285</v>
      </c>
      <c r="B200" s="15" t="s">
        <v>3275</v>
      </c>
      <c r="C200" s="15" t="s">
        <v>388</v>
      </c>
      <c r="D200" s="15" t="s">
        <v>2236</v>
      </c>
      <c r="E200" s="15" t="s">
        <v>2237</v>
      </c>
      <c r="F200" s="15" t="s">
        <v>3025</v>
      </c>
      <c r="G200" s="15" t="s">
        <v>3026</v>
      </c>
      <c r="H200" s="33" t="n">
        <f aca="false">Packages!$O$23</f>
        <v>495.714576688877</v>
      </c>
      <c r="I200" s="15" t="s">
        <v>118</v>
      </c>
      <c r="J200" s="34" t="n">
        <f aca="false">MAX(1,ROUNDUP(Packages!$O$23/(IF(Packages!$N$23&gt;=PIPE_T1,R_PIPE_L,IF(Packages!$N$23&gt;=PIPE_T2,R_PIPE_M,R_PIPE_S))*Fronts!$L$6)+Packages!$M$23*FIT_D+IF(Packages!$G$23&lt;&gt;"Run",TIE_D,0),0))</f>
        <v>16</v>
      </c>
      <c r="K200" s="34" t="n">
        <f aca="false">IF(J200=0,0,ROUNDUP(J200*7/WD,0))</f>
        <v>19</v>
      </c>
      <c r="L200" s="15" t="s">
        <v>3284</v>
      </c>
      <c r="M200" s="34" t="n">
        <f aca="false">ROUNDUP(K199*LADDER,0)</f>
        <v>9</v>
      </c>
      <c r="N200" s="34" t="n">
        <f aca="false">IF(K200=0,0,FFLAG)</f>
        <v>2</v>
      </c>
      <c r="O200" s="15"/>
      <c r="P200" s="16" t="n">
        <f aca="false">MAX(P199+M200,R189)</f>
        <v>46451</v>
      </c>
      <c r="Q200" s="16" t="n">
        <f aca="false">MAX(P200+K200,Q199+N200)</f>
        <v>46472</v>
      </c>
      <c r="R200" s="16" t="n">
        <f aca="false">IF(K200&gt;0,Q200,R189)</f>
        <v>46472</v>
      </c>
      <c r="S200" s="15" t="s">
        <v>3269</v>
      </c>
    </row>
    <row r="201" customFormat="false" ht="15" hidden="false" customHeight="false" outlineLevel="0" collapsed="false">
      <c r="A201" s="15" t="s">
        <v>3286</v>
      </c>
      <c r="B201" s="15" t="s">
        <v>3275</v>
      </c>
      <c r="C201" s="15" t="s">
        <v>388</v>
      </c>
      <c r="D201" s="15" t="s">
        <v>2236</v>
      </c>
      <c r="E201" s="15" t="s">
        <v>2237</v>
      </c>
      <c r="F201" s="15" t="s">
        <v>3028</v>
      </c>
      <c r="G201" s="15" t="s">
        <v>3029</v>
      </c>
      <c r="H201" s="33" t="n">
        <f aca="false">Packages!$O$23</f>
        <v>495.714576688877</v>
      </c>
      <c r="I201" s="15" t="s">
        <v>118</v>
      </c>
      <c r="J201" s="34" t="n">
        <f aca="false">TEST_D+ROUNDUP(Packages!$O$23/R_TEST,0)</f>
        <v>6</v>
      </c>
      <c r="K201" s="34" t="n">
        <f aca="false">IF(J201=0,0,ROUNDUP(J201*7/WD,0))</f>
        <v>7</v>
      </c>
      <c r="L201" s="15" t="s">
        <v>3285</v>
      </c>
      <c r="M201" s="34" t="n">
        <f aca="false">ROUNDUP(K200*LADDER,0)</f>
        <v>6</v>
      </c>
      <c r="N201" s="34" t="n">
        <f aca="false">IF(K201=0,0,FFLAG)</f>
        <v>2</v>
      </c>
      <c r="O201" s="15"/>
      <c r="P201" s="16" t="n">
        <f aca="false">MAX(P200+M201)</f>
        <v>46457</v>
      </c>
      <c r="Q201" s="16" t="n">
        <f aca="false">MAX(P201+K201,Q200+N201)</f>
        <v>46474</v>
      </c>
      <c r="R201" s="12"/>
      <c r="S201" s="12"/>
    </row>
    <row r="202" customFormat="false" ht="15" hidden="false" customHeight="false" outlineLevel="0" collapsed="false">
      <c r="A202" s="15" t="s">
        <v>3287</v>
      </c>
      <c r="B202" s="15" t="s">
        <v>3275</v>
      </c>
      <c r="C202" s="15" t="s">
        <v>388</v>
      </c>
      <c r="D202" s="15" t="s">
        <v>2236</v>
      </c>
      <c r="E202" s="15" t="s">
        <v>2237</v>
      </c>
      <c r="F202" s="15" t="s">
        <v>3031</v>
      </c>
      <c r="G202" s="15" t="s">
        <v>3032</v>
      </c>
      <c r="H202" s="33" t="n">
        <f aca="false">Packages!$AB$23</f>
        <v>4924.64828565927</v>
      </c>
      <c r="I202" s="15" t="s">
        <v>3019</v>
      </c>
      <c r="J202" s="34" t="n">
        <f aca="false">MAX(1,ROUNDUP(Packages!$AB$23/(R_BF*Fronts!$M$6),0))</f>
        <v>8</v>
      </c>
      <c r="K202" s="34" t="n">
        <f aca="false">IF(J202=0,0,ROUNDUP(J202*7/WD,0))</f>
        <v>10</v>
      </c>
      <c r="L202" s="15" t="s">
        <v>3286</v>
      </c>
      <c r="M202" s="34" t="n">
        <f aca="false">ROUNDUP(K201*LADDER,0)</f>
        <v>3</v>
      </c>
      <c r="N202" s="34" t="n">
        <f aca="false">IF(K202=0,0,FFLAG)</f>
        <v>2</v>
      </c>
      <c r="O202" s="15" t="s">
        <v>3288</v>
      </c>
      <c r="P202" s="16" t="n">
        <f aca="false">MAX(P201+M202,R191,Q233,Q211,Q189)</f>
        <v>46504</v>
      </c>
      <c r="Q202" s="16" t="n">
        <f aca="false">MAX(P202+K202,Q201+N202)</f>
        <v>46514</v>
      </c>
      <c r="R202" s="16" t="n">
        <f aca="false">IF(K202&gt;0,Q202,R191)</f>
        <v>46514</v>
      </c>
      <c r="S202" s="15" t="s">
        <v>3271</v>
      </c>
    </row>
    <row r="203" customFormat="false" ht="15" hidden="false" customHeight="false" outlineLevel="0" collapsed="false">
      <c r="A203" s="15" t="s">
        <v>3289</v>
      </c>
      <c r="B203" s="15" t="s">
        <v>3275</v>
      </c>
      <c r="C203" s="15" t="s">
        <v>388</v>
      </c>
      <c r="D203" s="15" t="s">
        <v>2236</v>
      </c>
      <c r="E203" s="15" t="s">
        <v>2237</v>
      </c>
      <c r="F203" s="15" t="s">
        <v>3034</v>
      </c>
      <c r="G203" s="15" t="s">
        <v>3035</v>
      </c>
      <c r="H203" s="33" t="n">
        <f aca="false">Packages!$AD$23</f>
        <v>991.429153377755</v>
      </c>
      <c r="I203" s="15" t="s">
        <v>3012</v>
      </c>
      <c r="J203" s="34" t="n">
        <f aca="false">IF(Packages!$AD$23&gt;0,ROUNDUP(Packages!$AD$23/R_EXT,0),0)+IF(Packages!$AG$23&gt;0,1,0)</f>
        <v>21</v>
      </c>
      <c r="K203" s="34" t="n">
        <f aca="false">IF(J203=0,0,ROUNDUP(J203*7/WD,0))</f>
        <v>25</v>
      </c>
      <c r="L203" s="15" t="s">
        <v>3287</v>
      </c>
      <c r="M203" s="34" t="n">
        <f aca="false">ROUNDUP(K202*LADDER,0)</f>
        <v>3</v>
      </c>
      <c r="N203" s="34" t="n">
        <f aca="false">IF(K203=0,0,FFLAG)</f>
        <v>2</v>
      </c>
      <c r="O203" s="15"/>
      <c r="P203" s="16" t="n">
        <f aca="false">MAX(P202+M203)</f>
        <v>46507</v>
      </c>
      <c r="Q203" s="16" t="n">
        <f aca="false">MAX(P203+K203,Q202+N203)</f>
        <v>46532</v>
      </c>
      <c r="R203" s="12"/>
      <c r="S203" s="12"/>
    </row>
    <row r="204" customFormat="false" ht="15" hidden="false" customHeight="false" outlineLevel="0" collapsed="false">
      <c r="A204" s="15" t="s">
        <v>3290</v>
      </c>
      <c r="B204" s="15" t="s">
        <v>3291</v>
      </c>
      <c r="C204" s="15" t="s">
        <v>388</v>
      </c>
      <c r="D204" s="15" t="s">
        <v>642</v>
      </c>
      <c r="E204" s="15" t="s">
        <v>691</v>
      </c>
      <c r="F204" s="15" t="s">
        <v>2998</v>
      </c>
      <c r="G204" s="15" t="s">
        <v>2999</v>
      </c>
      <c r="H204" s="12"/>
      <c r="I204" s="12"/>
      <c r="J204" s="34" t="n">
        <f aca="false">0</f>
        <v>0</v>
      </c>
      <c r="K204" s="34" t="n">
        <f aca="false">IF(J204=0,0,ROUNDUP(J204*7/WD,0))</f>
        <v>0</v>
      </c>
      <c r="L204" s="12"/>
      <c r="M204" s="12"/>
      <c r="N204" s="12"/>
      <c r="O204" s="15" t="s">
        <v>3000</v>
      </c>
      <c r="P204" s="16" t="n">
        <f aca="false">MAX(START,D_DLU,Packages!$I$24,Packages!$K$24)</f>
        <v>46357</v>
      </c>
      <c r="Q204" s="16" t="n">
        <f aca="false">P204+K204</f>
        <v>46357</v>
      </c>
      <c r="R204" s="12"/>
      <c r="S204" s="12"/>
    </row>
    <row r="205" customFormat="false" ht="15" hidden="false" customHeight="false" outlineLevel="0" collapsed="false">
      <c r="A205" s="15" t="s">
        <v>3292</v>
      </c>
      <c r="B205" s="15" t="s">
        <v>3291</v>
      </c>
      <c r="C205" s="15" t="s">
        <v>388</v>
      </c>
      <c r="D205" s="15" t="s">
        <v>642</v>
      </c>
      <c r="E205" s="15" t="s">
        <v>691</v>
      </c>
      <c r="F205" s="15" t="s">
        <v>3002</v>
      </c>
      <c r="G205" s="15" t="s">
        <v>205</v>
      </c>
      <c r="H205" s="33" t="n">
        <f aca="false">Packages!$O$24</f>
        <v>22.1072020730459</v>
      </c>
      <c r="I205" s="15" t="s">
        <v>118</v>
      </c>
      <c r="J205" s="34" t="n">
        <f aca="false">MAX(1,ROUNDUP(Packages!$O$24/R_PLAT,0))</f>
        <v>1</v>
      </c>
      <c r="K205" s="34" t="n">
        <f aca="false">IF(J205=0,0,ROUNDUP(J205*7/WD,0))</f>
        <v>2</v>
      </c>
      <c r="L205" s="15" t="s">
        <v>3290</v>
      </c>
      <c r="M205" s="12"/>
      <c r="N205" s="12"/>
      <c r="O205" s="15" t="s">
        <v>3293</v>
      </c>
      <c r="P205" s="16" t="n">
        <f aca="false">MAX(Q204,P195)</f>
        <v>46402</v>
      </c>
      <c r="Q205" s="16" t="n">
        <f aca="false">P205+K205</f>
        <v>46404</v>
      </c>
      <c r="R205" s="12"/>
      <c r="S205" s="12"/>
    </row>
    <row r="206" customFormat="false" ht="15" hidden="false" customHeight="false" outlineLevel="0" collapsed="false">
      <c r="A206" s="15" t="s">
        <v>3294</v>
      </c>
      <c r="B206" s="15" t="s">
        <v>3291</v>
      </c>
      <c r="C206" s="15" t="s">
        <v>388</v>
      </c>
      <c r="D206" s="15" t="s">
        <v>642</v>
      </c>
      <c r="E206" s="15" t="s">
        <v>691</v>
      </c>
      <c r="F206" s="15" t="s">
        <v>3005</v>
      </c>
      <c r="G206" s="15" t="s">
        <v>3006</v>
      </c>
      <c r="H206" s="33" t="n">
        <f aca="false">Packages!$AC$24</f>
        <v>18</v>
      </c>
      <c r="I206" s="15" t="s">
        <v>3007</v>
      </c>
      <c r="J206" s="34" t="n">
        <f aca="false">IF(Packages!$AC$24=0,0,MAX(1,ROUNDUP(Packages!$AC$24/(R_PILE*Fronts!$H$6),0)))</f>
        <v>2</v>
      </c>
      <c r="K206" s="34" t="n">
        <f aca="false">IF(J206=0,0,ROUNDUP(J206*7/WD,0))</f>
        <v>3</v>
      </c>
      <c r="L206" s="15" t="s">
        <v>3292</v>
      </c>
      <c r="M206" s="34" t="n">
        <f aca="false">ROUNDUP(K205*LADDER,0)</f>
        <v>1</v>
      </c>
      <c r="N206" s="34" t="n">
        <f aca="false">IF(K206=0,0,FFLAG)</f>
        <v>2</v>
      </c>
      <c r="O206" s="15" t="s">
        <v>3008</v>
      </c>
      <c r="P206" s="16" t="n">
        <f aca="false">MAX(P205+M206,D_PILEDES,R195)</f>
        <v>46442</v>
      </c>
      <c r="Q206" s="16" t="n">
        <f aca="false">MAX(P206+K206,Q205+N206)</f>
        <v>46445</v>
      </c>
      <c r="R206" s="16" t="n">
        <f aca="false">IF(K206&gt;0,Q206,R195)</f>
        <v>46445</v>
      </c>
      <c r="S206" s="15" t="s">
        <v>3278</v>
      </c>
    </row>
    <row r="207" customFormat="false" ht="15" hidden="false" customHeight="false" outlineLevel="0" collapsed="false">
      <c r="A207" s="15" t="s">
        <v>3295</v>
      </c>
      <c r="B207" s="15" t="s">
        <v>3291</v>
      </c>
      <c r="C207" s="15" t="s">
        <v>388</v>
      </c>
      <c r="D207" s="15" t="s">
        <v>642</v>
      </c>
      <c r="E207" s="15" t="s">
        <v>691</v>
      </c>
      <c r="F207" s="15" t="s">
        <v>3010</v>
      </c>
      <c r="G207" s="15" t="s">
        <v>3011</v>
      </c>
      <c r="H207" s="33" t="n">
        <f aca="false">Packages!$AD$24</f>
        <v>44.2144041460918</v>
      </c>
      <c r="I207" s="15" t="s">
        <v>3012</v>
      </c>
      <c r="J207" s="34" t="n">
        <f aca="false">IF(Packages!$AD$24=0,0,MAX(1,ROUNDUP(Packages!$AD$24/(R_SHEET*Fronts!$I$6),0)))</f>
        <v>1</v>
      </c>
      <c r="K207" s="34" t="n">
        <f aca="false">IF(J207=0,0,ROUNDUP(J207*7/WD,0))</f>
        <v>2</v>
      </c>
      <c r="L207" s="15" t="s">
        <v>3294</v>
      </c>
      <c r="M207" s="34" t="n">
        <f aca="false">ROUNDUP(K206*LADDER,0)</f>
        <v>1</v>
      </c>
      <c r="N207" s="34" t="n">
        <f aca="false">IF(K207=0,0,FFLAG)</f>
        <v>2</v>
      </c>
      <c r="O207" s="15"/>
      <c r="P207" s="16" t="n">
        <f aca="false">MAX(P206+M207,R196)</f>
        <v>46444</v>
      </c>
      <c r="Q207" s="16" t="n">
        <f aca="false">MAX(P207+K207,Q206+N207)</f>
        <v>46447</v>
      </c>
      <c r="R207" s="16" t="n">
        <f aca="false">IF(K207&gt;0,Q207,R196)</f>
        <v>46447</v>
      </c>
      <c r="S207" s="15" t="s">
        <v>3279</v>
      </c>
    </row>
    <row r="208" customFormat="false" ht="15" hidden="false" customHeight="false" outlineLevel="0" collapsed="false">
      <c r="A208" s="15" t="s">
        <v>3296</v>
      </c>
      <c r="B208" s="15" t="s">
        <v>3291</v>
      </c>
      <c r="C208" s="15" t="s">
        <v>388</v>
      </c>
      <c r="D208" s="15" t="s">
        <v>642</v>
      </c>
      <c r="E208" s="15" t="s">
        <v>691</v>
      </c>
      <c r="F208" s="15" t="s">
        <v>3014</v>
      </c>
      <c r="G208" s="15" t="s">
        <v>3015</v>
      </c>
      <c r="H208" s="33" t="n">
        <f aca="false">Packages!$O$24</f>
        <v>22.1072020730459</v>
      </c>
      <c r="I208" s="15" t="s">
        <v>118</v>
      </c>
      <c r="J208" s="34" t="n">
        <f aca="false">IF(Packages!$AG$24=0,0,ROUNDUP(Packages!$O$24/R_DW,0)+DW_DRAW)</f>
        <v>8</v>
      </c>
      <c r="K208" s="34" t="n">
        <f aca="false">IF(J208=0,0,ROUNDUP(J208*7/WD,0))</f>
        <v>10</v>
      </c>
      <c r="L208" s="15" t="s">
        <v>3295</v>
      </c>
      <c r="M208" s="34" t="n">
        <f aca="false">ROUNDUP(K207*LADDER,0)</f>
        <v>1</v>
      </c>
      <c r="N208" s="34" t="n">
        <f aca="false">IF(K208=0,0,FFLAG)</f>
        <v>2</v>
      </c>
      <c r="O208" s="15" t="s">
        <v>3297</v>
      </c>
      <c r="P208" s="16" t="n">
        <f aca="false">MAX(P207+M208,Q198-K208)</f>
        <v>46446</v>
      </c>
      <c r="Q208" s="16" t="n">
        <f aca="false">MAX(P208+K208,Q207+N208)</f>
        <v>46456</v>
      </c>
      <c r="R208" s="12"/>
      <c r="S208" s="12"/>
    </row>
    <row r="209" customFormat="false" ht="15" hidden="false" customHeight="false" outlineLevel="0" collapsed="false">
      <c r="A209" s="15" t="s">
        <v>3298</v>
      </c>
      <c r="B209" s="15" t="s">
        <v>3291</v>
      </c>
      <c r="C209" s="15" t="s">
        <v>388</v>
      </c>
      <c r="D209" s="15" t="s">
        <v>642</v>
      </c>
      <c r="E209" s="15" t="s">
        <v>691</v>
      </c>
      <c r="F209" s="15" t="s">
        <v>3017</v>
      </c>
      <c r="G209" s="15" t="s">
        <v>3018</v>
      </c>
      <c r="H209" s="33" t="n">
        <f aca="false">Packages!$X$24+Packages!$Y$24</f>
        <v>321.738939377153</v>
      </c>
      <c r="I209" s="15" t="s">
        <v>3019</v>
      </c>
      <c r="J209" s="34" t="n">
        <f aca="false">MAX(1,ROUNDUP((Packages!$X$24/R_EXS+Packages!$Y$24/R_EXO)/Fronts!$J$6,0))</f>
        <v>1</v>
      </c>
      <c r="K209" s="34" t="n">
        <f aca="false">IF(J209=0,0,ROUNDUP(J209*7/WD,0))</f>
        <v>2</v>
      </c>
      <c r="L209" s="15" t="s">
        <v>3296</v>
      </c>
      <c r="M209" s="34" t="n">
        <f aca="false">IF(K208=0,0,ROUNDUP((K208-ROUNDUP(DW_DRAW*7/WD,0))*LADDER,0)+ROUNDUP(DW_DRAW*7/WD,0))</f>
        <v>10</v>
      </c>
      <c r="N209" s="34" t="n">
        <f aca="false">IF(K209=0,0,FFLAG)</f>
        <v>2</v>
      </c>
      <c r="O209" s="15" t="s">
        <v>3299</v>
      </c>
      <c r="P209" s="16" t="n">
        <f aca="false">MAX(P208+M209,R198,P187,P198)</f>
        <v>46456</v>
      </c>
      <c r="Q209" s="16" t="n">
        <f aca="false">MAX(P209+K209,Q208+N209)</f>
        <v>46458</v>
      </c>
      <c r="R209" s="16" t="n">
        <f aca="false">IF(K209&gt;0,Q209,R198)</f>
        <v>46458</v>
      </c>
      <c r="S209" s="15" t="s">
        <v>3282</v>
      </c>
    </row>
    <row r="210" customFormat="false" ht="15" hidden="false" customHeight="false" outlineLevel="0" collapsed="false">
      <c r="A210" s="15" t="s">
        <v>3300</v>
      </c>
      <c r="B210" s="15" t="s">
        <v>3291</v>
      </c>
      <c r="C210" s="15" t="s">
        <v>388</v>
      </c>
      <c r="D210" s="15" t="s">
        <v>642</v>
      </c>
      <c r="E210" s="15" t="s">
        <v>691</v>
      </c>
      <c r="F210" s="15" t="s">
        <v>3022</v>
      </c>
      <c r="G210" s="15" t="s">
        <v>3023</v>
      </c>
      <c r="H210" s="33" t="n">
        <f aca="false">Packages!$O$24</f>
        <v>22.1072020730459</v>
      </c>
      <c r="I210" s="15" t="s">
        <v>118</v>
      </c>
      <c r="J210" s="34" t="n">
        <f aca="false">MAX(1,ROUNDUP(Packages!$O$24/(R_SLAB*Fronts!$K$6),0))+SLAB_CURE</f>
        <v>4</v>
      </c>
      <c r="K210" s="34" t="n">
        <f aca="false">IF(J210=0,0,ROUNDUP(J210*7/WD,0))</f>
        <v>5</v>
      </c>
      <c r="L210" s="15" t="s">
        <v>3298</v>
      </c>
      <c r="M210" s="34" t="n">
        <f aca="false">ROUNDUP(K209*LADDER,0)</f>
        <v>1</v>
      </c>
      <c r="N210" s="34" t="n">
        <f aca="false">IF(K210=0,0,FFLAG)</f>
        <v>2</v>
      </c>
      <c r="O210" s="15"/>
      <c r="P210" s="16" t="n">
        <f aca="false">MAX(P209+M210,R199)</f>
        <v>46470</v>
      </c>
      <c r="Q210" s="16" t="n">
        <f aca="false">MAX(P210+K210,Q209+N210)</f>
        <v>46475</v>
      </c>
      <c r="R210" s="16" t="n">
        <f aca="false">IF(K210&gt;0,Q210,R199)</f>
        <v>46475</v>
      </c>
      <c r="S210" s="15" t="s">
        <v>3284</v>
      </c>
    </row>
    <row r="211" customFormat="false" ht="15" hidden="false" customHeight="false" outlineLevel="0" collapsed="false">
      <c r="A211" s="15" t="s">
        <v>3301</v>
      </c>
      <c r="B211" s="15" t="s">
        <v>3291</v>
      </c>
      <c r="C211" s="15" t="s">
        <v>388</v>
      </c>
      <c r="D211" s="15" t="s">
        <v>642</v>
      </c>
      <c r="E211" s="15" t="s">
        <v>691</v>
      </c>
      <c r="F211" s="15" t="s">
        <v>3025</v>
      </c>
      <c r="G211" s="15" t="s">
        <v>3026</v>
      </c>
      <c r="H211" s="33" t="n">
        <f aca="false">Packages!$O$24</f>
        <v>22.1072020730459</v>
      </c>
      <c r="I211" s="15" t="s">
        <v>118</v>
      </c>
      <c r="J211" s="34" t="n">
        <f aca="false">MAX(1,ROUNDUP(Packages!$O$24/(IF(Packages!$N$24&gt;=PIPE_T1,R_PIPE_L,IF(Packages!$N$24&gt;=PIPE_T2,R_PIPE_M,R_PIPE_S))*Fronts!$L$6)+Packages!$M$24*FIT_D+IF(Packages!$G$24&lt;&gt;"Run",TIE_D,0),0))</f>
        <v>1</v>
      </c>
      <c r="K211" s="34" t="n">
        <f aca="false">IF(J211=0,0,ROUNDUP(J211*7/WD,0))</f>
        <v>2</v>
      </c>
      <c r="L211" s="15" t="s">
        <v>3300</v>
      </c>
      <c r="M211" s="34" t="n">
        <f aca="false">ROUNDUP(K210*LADDER,0)</f>
        <v>2</v>
      </c>
      <c r="N211" s="34" t="n">
        <f aca="false">IF(K211=0,0,FFLAG)</f>
        <v>2</v>
      </c>
      <c r="O211" s="15"/>
      <c r="P211" s="16" t="n">
        <f aca="false">MAX(P210+M211,R200)</f>
        <v>46472</v>
      </c>
      <c r="Q211" s="16" t="n">
        <f aca="false">MAX(P211+K211,Q210+N211)</f>
        <v>46477</v>
      </c>
      <c r="R211" s="16" t="n">
        <f aca="false">IF(K211&gt;0,Q211,R200)</f>
        <v>46477</v>
      </c>
      <c r="S211" s="15" t="s">
        <v>3285</v>
      </c>
    </row>
    <row r="212" customFormat="false" ht="15" hidden="false" customHeight="false" outlineLevel="0" collapsed="false">
      <c r="A212" s="15" t="s">
        <v>3302</v>
      </c>
      <c r="B212" s="15" t="s">
        <v>3291</v>
      </c>
      <c r="C212" s="15" t="s">
        <v>388</v>
      </c>
      <c r="D212" s="15" t="s">
        <v>642</v>
      </c>
      <c r="E212" s="15" t="s">
        <v>691</v>
      </c>
      <c r="F212" s="15" t="s">
        <v>3028</v>
      </c>
      <c r="G212" s="15" t="s">
        <v>3029</v>
      </c>
      <c r="H212" s="33" t="n">
        <f aca="false">Packages!$O$24</f>
        <v>22.1072020730459</v>
      </c>
      <c r="I212" s="15" t="s">
        <v>118</v>
      </c>
      <c r="J212" s="34" t="n">
        <f aca="false">TEST_D+ROUNDUP(Packages!$O$24/R_TEST,0)</f>
        <v>3</v>
      </c>
      <c r="K212" s="34" t="n">
        <f aca="false">IF(J212=0,0,ROUNDUP(J212*7/WD,0))</f>
        <v>4</v>
      </c>
      <c r="L212" s="15" t="s">
        <v>3301</v>
      </c>
      <c r="M212" s="34" t="n">
        <f aca="false">ROUNDUP(K211*LADDER,0)</f>
        <v>1</v>
      </c>
      <c r="N212" s="34" t="n">
        <f aca="false">IF(K212=0,0,FFLAG)</f>
        <v>2</v>
      </c>
      <c r="O212" s="15"/>
      <c r="P212" s="16" t="n">
        <f aca="false">MAX(P211+M212)</f>
        <v>46473</v>
      </c>
      <c r="Q212" s="16" t="n">
        <f aca="false">MAX(P212+K212,Q211+N212)</f>
        <v>46479</v>
      </c>
      <c r="R212" s="12"/>
      <c r="S212" s="12"/>
    </row>
    <row r="213" customFormat="false" ht="15" hidden="false" customHeight="false" outlineLevel="0" collapsed="false">
      <c r="A213" s="15" t="s">
        <v>3303</v>
      </c>
      <c r="B213" s="15" t="s">
        <v>3291</v>
      </c>
      <c r="C213" s="15" t="s">
        <v>388</v>
      </c>
      <c r="D213" s="15" t="s">
        <v>642</v>
      </c>
      <c r="E213" s="15" t="s">
        <v>691</v>
      </c>
      <c r="F213" s="15" t="s">
        <v>3031</v>
      </c>
      <c r="G213" s="15" t="s">
        <v>3032</v>
      </c>
      <c r="H213" s="33" t="n">
        <f aca="false">Packages!$AB$24</f>
        <v>198.0039053857</v>
      </c>
      <c r="I213" s="15" t="s">
        <v>3019</v>
      </c>
      <c r="J213" s="34" t="n">
        <f aca="false">MAX(1,ROUNDUP(Packages!$AB$24/(R_BF*Fronts!$M$6),0))</f>
        <v>1</v>
      </c>
      <c r="K213" s="34" t="n">
        <f aca="false">IF(J213=0,0,ROUNDUP(J213*7/WD,0))</f>
        <v>2</v>
      </c>
      <c r="L213" s="15" t="s">
        <v>3302</v>
      </c>
      <c r="M213" s="34" t="n">
        <f aca="false">ROUNDUP(K212*LADDER,0)</f>
        <v>2</v>
      </c>
      <c r="N213" s="34" t="n">
        <f aca="false">IF(K213=0,0,FFLAG)</f>
        <v>2</v>
      </c>
      <c r="O213" s="15" t="s">
        <v>3304</v>
      </c>
      <c r="P213" s="16" t="n">
        <f aca="false">MAX(P212+M213,R202,Q255,Q233,Q189,Q200)</f>
        <v>46515</v>
      </c>
      <c r="Q213" s="16" t="n">
        <f aca="false">MAX(P213+K213,Q212+N213)</f>
        <v>46517</v>
      </c>
      <c r="R213" s="16" t="n">
        <f aca="false">IF(K213&gt;0,Q213,R202)</f>
        <v>46517</v>
      </c>
      <c r="S213" s="15" t="s">
        <v>3287</v>
      </c>
    </row>
    <row r="214" customFormat="false" ht="15" hidden="false" customHeight="false" outlineLevel="0" collapsed="false">
      <c r="A214" s="15" t="s">
        <v>3305</v>
      </c>
      <c r="B214" s="15" t="s">
        <v>3291</v>
      </c>
      <c r="C214" s="15" t="s">
        <v>388</v>
      </c>
      <c r="D214" s="15" t="s">
        <v>642</v>
      </c>
      <c r="E214" s="15" t="s">
        <v>691</v>
      </c>
      <c r="F214" s="15" t="s">
        <v>3034</v>
      </c>
      <c r="G214" s="15" t="s">
        <v>3035</v>
      </c>
      <c r="H214" s="33" t="n">
        <f aca="false">Packages!$AD$24</f>
        <v>44.2144041460918</v>
      </c>
      <c r="I214" s="15" t="s">
        <v>3012</v>
      </c>
      <c r="J214" s="34" t="n">
        <f aca="false">IF(Packages!$AD$24&gt;0,ROUNDUP(Packages!$AD$24/R_EXT,0),0)+IF(Packages!$AG$24&gt;0,1,0)</f>
        <v>2</v>
      </c>
      <c r="K214" s="34" t="n">
        <f aca="false">IF(J214=0,0,ROUNDUP(J214*7/WD,0))</f>
        <v>3</v>
      </c>
      <c r="L214" s="15" t="s">
        <v>3303</v>
      </c>
      <c r="M214" s="34" t="n">
        <f aca="false">ROUNDUP(K213*LADDER,0)</f>
        <v>1</v>
      </c>
      <c r="N214" s="34" t="n">
        <f aca="false">IF(K214=0,0,FFLAG)</f>
        <v>2</v>
      </c>
      <c r="O214" s="15"/>
      <c r="P214" s="16" t="n">
        <f aca="false">MAX(P213+M214)</f>
        <v>46516</v>
      </c>
      <c r="Q214" s="16" t="n">
        <f aca="false">MAX(P214+K214,Q213+N214)</f>
        <v>46519</v>
      </c>
      <c r="R214" s="12"/>
      <c r="S214" s="12"/>
    </row>
    <row r="215" customFormat="false" ht="15" hidden="false" customHeight="false" outlineLevel="0" collapsed="false">
      <c r="A215" s="15" t="s">
        <v>3306</v>
      </c>
      <c r="B215" s="15" t="s">
        <v>3307</v>
      </c>
      <c r="C215" s="15" t="s">
        <v>388</v>
      </c>
      <c r="D215" s="15" t="s">
        <v>642</v>
      </c>
      <c r="E215" s="15" t="s">
        <v>676</v>
      </c>
      <c r="F215" s="15" t="s">
        <v>2998</v>
      </c>
      <c r="G215" s="15" t="s">
        <v>2999</v>
      </c>
      <c r="H215" s="12"/>
      <c r="I215" s="12"/>
      <c r="J215" s="34" t="n">
        <f aca="false">0</f>
        <v>0</v>
      </c>
      <c r="K215" s="34" t="n">
        <f aca="false">IF(J215=0,0,ROUNDUP(J215*7/WD,0))</f>
        <v>0</v>
      </c>
      <c r="L215" s="12"/>
      <c r="M215" s="12"/>
      <c r="N215" s="12"/>
      <c r="O215" s="15" t="s">
        <v>3000</v>
      </c>
      <c r="P215" s="16" t="n">
        <f aca="false">MAX(START,D_DLU,Packages!$I$25,Packages!$K$25)</f>
        <v>46357</v>
      </c>
      <c r="Q215" s="16" t="n">
        <f aca="false">P215+K215</f>
        <v>46357</v>
      </c>
      <c r="R215" s="12"/>
      <c r="S215" s="12"/>
    </row>
    <row r="216" customFormat="false" ht="15" hidden="false" customHeight="false" outlineLevel="0" collapsed="false">
      <c r="A216" s="15" t="s">
        <v>3308</v>
      </c>
      <c r="B216" s="15" t="s">
        <v>3307</v>
      </c>
      <c r="C216" s="15" t="s">
        <v>388</v>
      </c>
      <c r="D216" s="15" t="s">
        <v>642</v>
      </c>
      <c r="E216" s="15" t="s">
        <v>676</v>
      </c>
      <c r="F216" s="15" t="s">
        <v>3002</v>
      </c>
      <c r="G216" s="15" t="s">
        <v>205</v>
      </c>
      <c r="H216" s="33" t="n">
        <f aca="false">Packages!$O$25</f>
        <v>130.39999999941</v>
      </c>
      <c r="I216" s="15" t="s">
        <v>118</v>
      </c>
      <c r="J216" s="34" t="n">
        <f aca="false">MAX(1,ROUNDUP(Packages!$O$25/R_PLAT,0))</f>
        <v>2</v>
      </c>
      <c r="K216" s="34" t="n">
        <f aca="false">IF(J216=0,0,ROUNDUP(J216*7/WD,0))</f>
        <v>3</v>
      </c>
      <c r="L216" s="15" t="s">
        <v>3306</v>
      </c>
      <c r="M216" s="12"/>
      <c r="N216" s="12"/>
      <c r="O216" s="15" t="s">
        <v>3309</v>
      </c>
      <c r="P216" s="16" t="n">
        <f aca="false">MAX(Q215,P206)</f>
        <v>46442</v>
      </c>
      <c r="Q216" s="16" t="n">
        <f aca="false">P216+K216</f>
        <v>46445</v>
      </c>
      <c r="R216" s="12"/>
      <c r="S216" s="12"/>
    </row>
    <row r="217" customFormat="false" ht="15" hidden="false" customHeight="false" outlineLevel="0" collapsed="false">
      <c r="A217" s="15" t="s">
        <v>3310</v>
      </c>
      <c r="B217" s="15" t="s">
        <v>3307</v>
      </c>
      <c r="C217" s="15" t="s">
        <v>388</v>
      </c>
      <c r="D217" s="15" t="s">
        <v>642</v>
      </c>
      <c r="E217" s="15" t="s">
        <v>676</v>
      </c>
      <c r="F217" s="15" t="s">
        <v>3005</v>
      </c>
      <c r="G217" s="15" t="s">
        <v>3006</v>
      </c>
      <c r="H217" s="33" t="n">
        <f aca="false">Packages!$AC$25</f>
        <v>90</v>
      </c>
      <c r="I217" s="15" t="s">
        <v>3007</v>
      </c>
      <c r="J217" s="34" t="n">
        <f aca="false">IF(Packages!$AC$25=0,0,MAX(1,ROUNDUP(Packages!$AC$25/(R_PILE*Fronts!$H$6),0)))</f>
        <v>9</v>
      </c>
      <c r="K217" s="34" t="n">
        <f aca="false">IF(J217=0,0,ROUNDUP(J217*7/WD,0))</f>
        <v>11</v>
      </c>
      <c r="L217" s="15" t="s">
        <v>3308</v>
      </c>
      <c r="M217" s="34" t="n">
        <f aca="false">ROUNDUP(K216*LADDER,0)</f>
        <v>1</v>
      </c>
      <c r="N217" s="34" t="n">
        <f aca="false">IF(K217=0,0,FFLAG)</f>
        <v>2</v>
      </c>
      <c r="O217" s="15" t="s">
        <v>3008</v>
      </c>
      <c r="P217" s="16" t="n">
        <f aca="false">MAX(P216+M217,D_PILEDES,R206)</f>
        <v>46445</v>
      </c>
      <c r="Q217" s="16" t="n">
        <f aca="false">MAX(P217+K217,Q216+N217)</f>
        <v>46456</v>
      </c>
      <c r="R217" s="16" t="n">
        <f aca="false">IF(K217&gt;0,Q217,R206)</f>
        <v>46456</v>
      </c>
      <c r="S217" s="15" t="s">
        <v>3294</v>
      </c>
    </row>
    <row r="218" customFormat="false" ht="15" hidden="false" customHeight="false" outlineLevel="0" collapsed="false">
      <c r="A218" s="15" t="s">
        <v>3311</v>
      </c>
      <c r="B218" s="15" t="s">
        <v>3307</v>
      </c>
      <c r="C218" s="15" t="s">
        <v>388</v>
      </c>
      <c r="D218" s="15" t="s">
        <v>642</v>
      </c>
      <c r="E218" s="15" t="s">
        <v>676</v>
      </c>
      <c r="F218" s="15" t="s">
        <v>3010</v>
      </c>
      <c r="G218" s="15" t="s">
        <v>3011</v>
      </c>
      <c r="H218" s="33" t="n">
        <f aca="false">Packages!$AD$25</f>
        <v>260.79999999882</v>
      </c>
      <c r="I218" s="15" t="s">
        <v>3012</v>
      </c>
      <c r="J218" s="34" t="n">
        <f aca="false">IF(Packages!$AD$25=0,0,MAX(1,ROUNDUP(Packages!$AD$25/(R_SHEET*Fronts!$I$6),0)))</f>
        <v>6</v>
      </c>
      <c r="K218" s="34" t="n">
        <f aca="false">IF(J218=0,0,ROUNDUP(J218*7/WD,0))</f>
        <v>7</v>
      </c>
      <c r="L218" s="15" t="s">
        <v>3310</v>
      </c>
      <c r="M218" s="34" t="n">
        <f aca="false">ROUNDUP(K217*LADDER,0)</f>
        <v>4</v>
      </c>
      <c r="N218" s="34" t="n">
        <f aca="false">IF(K218=0,0,FFLAG)</f>
        <v>2</v>
      </c>
      <c r="O218" s="15"/>
      <c r="P218" s="16" t="n">
        <f aca="false">MAX(P217+M218,R207)</f>
        <v>46449</v>
      </c>
      <c r="Q218" s="16" t="n">
        <f aca="false">MAX(P218+K218,Q217+N218)</f>
        <v>46458</v>
      </c>
      <c r="R218" s="16" t="n">
        <f aca="false">IF(K218&gt;0,Q218,R207)</f>
        <v>46458</v>
      </c>
      <c r="S218" s="15" t="s">
        <v>3295</v>
      </c>
    </row>
    <row r="219" customFormat="false" ht="15" hidden="false" customHeight="false" outlineLevel="0" collapsed="false">
      <c r="A219" s="15" t="s">
        <v>3312</v>
      </c>
      <c r="B219" s="15" t="s">
        <v>3307</v>
      </c>
      <c r="C219" s="15" t="s">
        <v>388</v>
      </c>
      <c r="D219" s="15" t="s">
        <v>642</v>
      </c>
      <c r="E219" s="15" t="s">
        <v>676</v>
      </c>
      <c r="F219" s="15" t="s">
        <v>3014</v>
      </c>
      <c r="G219" s="15" t="s">
        <v>3015</v>
      </c>
      <c r="H219" s="33" t="n">
        <f aca="false">Packages!$O$25</f>
        <v>130.39999999941</v>
      </c>
      <c r="I219" s="15" t="s">
        <v>118</v>
      </c>
      <c r="J219" s="34" t="n">
        <f aca="false">IF(Packages!$AG$25=0,0,ROUNDUP(Packages!$O$25/R_DW,0)+DW_DRAW)</f>
        <v>11</v>
      </c>
      <c r="K219" s="34" t="n">
        <f aca="false">IF(J219=0,0,ROUNDUP(J219*7/WD,0))</f>
        <v>13</v>
      </c>
      <c r="L219" s="15" t="s">
        <v>3311</v>
      </c>
      <c r="M219" s="34" t="n">
        <f aca="false">ROUNDUP(K218*LADDER,0)</f>
        <v>3</v>
      </c>
      <c r="N219" s="34" t="n">
        <f aca="false">IF(K219=0,0,FFLAG)</f>
        <v>2</v>
      </c>
      <c r="O219" s="15" t="s">
        <v>3313</v>
      </c>
      <c r="P219" s="16" t="n">
        <f aca="false">MAX(P218+M219,Q209-K219)</f>
        <v>46452</v>
      </c>
      <c r="Q219" s="16" t="n">
        <f aca="false">MAX(P219+K219,Q218+N219)</f>
        <v>46465</v>
      </c>
      <c r="R219" s="12"/>
      <c r="S219" s="12"/>
    </row>
    <row r="220" customFormat="false" ht="15" hidden="false" customHeight="false" outlineLevel="0" collapsed="false">
      <c r="A220" s="15" t="s">
        <v>3314</v>
      </c>
      <c r="B220" s="15" t="s">
        <v>3307</v>
      </c>
      <c r="C220" s="15" t="s">
        <v>388</v>
      </c>
      <c r="D220" s="15" t="s">
        <v>642</v>
      </c>
      <c r="E220" s="15" t="s">
        <v>676</v>
      </c>
      <c r="F220" s="15" t="s">
        <v>3017</v>
      </c>
      <c r="G220" s="15" t="s">
        <v>3018</v>
      </c>
      <c r="H220" s="33" t="n">
        <f aca="false">Packages!$X$25+Packages!$Y$25</f>
        <v>1900.37538265407</v>
      </c>
      <c r="I220" s="15" t="s">
        <v>3019</v>
      </c>
      <c r="J220" s="34" t="n">
        <f aca="false">MAX(1,ROUNDUP((Packages!$X$25/R_EXS+Packages!$Y$25/R_EXO)/Fronts!$J$6,0))</f>
        <v>4</v>
      </c>
      <c r="K220" s="34" t="n">
        <f aca="false">IF(J220=0,0,ROUNDUP(J220*7/WD,0))</f>
        <v>5</v>
      </c>
      <c r="L220" s="15" t="s">
        <v>3312</v>
      </c>
      <c r="M220" s="34" t="n">
        <f aca="false">IF(K219=0,0,ROUNDUP((K219-ROUNDUP(DW_DRAW*7/WD,0))*LADDER,0)+ROUNDUP(DW_DRAW*7/WD,0))</f>
        <v>11</v>
      </c>
      <c r="N220" s="34" t="n">
        <f aca="false">IF(K220=0,0,FFLAG)</f>
        <v>2</v>
      </c>
      <c r="O220" s="15"/>
      <c r="P220" s="16" t="n">
        <f aca="false">MAX(P219+M220,R209)</f>
        <v>46463</v>
      </c>
      <c r="Q220" s="16" t="n">
        <f aca="false">MAX(P220+K220,Q219+N220)</f>
        <v>46468</v>
      </c>
      <c r="R220" s="16" t="n">
        <f aca="false">IF(K220&gt;0,Q220,R209)</f>
        <v>46468</v>
      </c>
      <c r="S220" s="15" t="s">
        <v>3298</v>
      </c>
    </row>
    <row r="221" customFormat="false" ht="15" hidden="false" customHeight="false" outlineLevel="0" collapsed="false">
      <c r="A221" s="15" t="s">
        <v>3315</v>
      </c>
      <c r="B221" s="15" t="s">
        <v>3307</v>
      </c>
      <c r="C221" s="15" t="s">
        <v>388</v>
      </c>
      <c r="D221" s="15" t="s">
        <v>642</v>
      </c>
      <c r="E221" s="15" t="s">
        <v>676</v>
      </c>
      <c r="F221" s="15" t="s">
        <v>3022</v>
      </c>
      <c r="G221" s="15" t="s">
        <v>3023</v>
      </c>
      <c r="H221" s="33" t="n">
        <f aca="false">Packages!$O$25</f>
        <v>130.39999999941</v>
      </c>
      <c r="I221" s="15" t="s">
        <v>118</v>
      </c>
      <c r="J221" s="34" t="n">
        <f aca="false">MAX(1,ROUNDUP(Packages!$O$25/(R_SLAB*Fronts!$K$6),0))+SLAB_CURE</f>
        <v>9</v>
      </c>
      <c r="K221" s="34" t="n">
        <f aca="false">IF(J221=0,0,ROUNDUP(J221*7/WD,0))</f>
        <v>11</v>
      </c>
      <c r="L221" s="15" t="s">
        <v>3314</v>
      </c>
      <c r="M221" s="34" t="n">
        <f aca="false">ROUNDUP(K220*LADDER,0)</f>
        <v>2</v>
      </c>
      <c r="N221" s="34" t="n">
        <f aca="false">IF(K221=0,0,FFLAG)</f>
        <v>2</v>
      </c>
      <c r="O221" s="15"/>
      <c r="P221" s="16" t="n">
        <f aca="false">MAX(P220+M221,R210)</f>
        <v>46475</v>
      </c>
      <c r="Q221" s="16" t="n">
        <f aca="false">MAX(P221+K221,Q220+N221)</f>
        <v>46486</v>
      </c>
      <c r="R221" s="16" t="n">
        <f aca="false">IF(K221&gt;0,Q221,R210)</f>
        <v>46486</v>
      </c>
      <c r="S221" s="15" t="s">
        <v>3300</v>
      </c>
    </row>
    <row r="222" customFormat="false" ht="15" hidden="false" customHeight="false" outlineLevel="0" collapsed="false">
      <c r="A222" s="15" t="s">
        <v>3316</v>
      </c>
      <c r="B222" s="15" t="s">
        <v>3307</v>
      </c>
      <c r="C222" s="15" t="s">
        <v>388</v>
      </c>
      <c r="D222" s="15" t="s">
        <v>642</v>
      </c>
      <c r="E222" s="15" t="s">
        <v>676</v>
      </c>
      <c r="F222" s="15" t="s">
        <v>3025</v>
      </c>
      <c r="G222" s="15" t="s">
        <v>3026</v>
      </c>
      <c r="H222" s="33" t="n">
        <f aca="false">Packages!$O$25</f>
        <v>130.39999999941</v>
      </c>
      <c r="I222" s="15" t="s">
        <v>118</v>
      </c>
      <c r="J222" s="34" t="n">
        <f aca="false">MAX(1,ROUNDUP(Packages!$O$25/(IF(Packages!$N$25&gt;=PIPE_T1,R_PIPE_L,IF(Packages!$N$25&gt;=PIPE_T2,R_PIPE_M,R_PIPE_S))*Fronts!$L$6)+Packages!$M$25*FIT_D+IF(Packages!$G$25&lt;&gt;"Run",TIE_D,0),0))</f>
        <v>4</v>
      </c>
      <c r="K222" s="34" t="n">
        <f aca="false">IF(J222=0,0,ROUNDUP(J222*7/WD,0))</f>
        <v>5</v>
      </c>
      <c r="L222" s="15" t="s">
        <v>3315</v>
      </c>
      <c r="M222" s="34" t="n">
        <f aca="false">ROUNDUP(K221*LADDER,0)</f>
        <v>4</v>
      </c>
      <c r="N222" s="34" t="n">
        <f aca="false">IF(K222=0,0,FFLAG)</f>
        <v>2</v>
      </c>
      <c r="O222" s="15"/>
      <c r="P222" s="16" t="n">
        <f aca="false">MAX(P221+M222,R211)</f>
        <v>46479</v>
      </c>
      <c r="Q222" s="16" t="n">
        <f aca="false">MAX(P222+K222,Q221+N222)</f>
        <v>46488</v>
      </c>
      <c r="R222" s="16" t="n">
        <f aca="false">IF(K222&gt;0,Q222,R211)</f>
        <v>46488</v>
      </c>
      <c r="S222" s="15" t="s">
        <v>3301</v>
      </c>
    </row>
    <row r="223" customFormat="false" ht="15" hidden="false" customHeight="false" outlineLevel="0" collapsed="false">
      <c r="A223" s="15" t="s">
        <v>3317</v>
      </c>
      <c r="B223" s="15" t="s">
        <v>3307</v>
      </c>
      <c r="C223" s="15" t="s">
        <v>388</v>
      </c>
      <c r="D223" s="15" t="s">
        <v>642</v>
      </c>
      <c r="E223" s="15" t="s">
        <v>676</v>
      </c>
      <c r="F223" s="15" t="s">
        <v>3028</v>
      </c>
      <c r="G223" s="15" t="s">
        <v>3029</v>
      </c>
      <c r="H223" s="33" t="n">
        <f aca="false">Packages!$O$25</f>
        <v>130.39999999941</v>
      </c>
      <c r="I223" s="15" t="s">
        <v>118</v>
      </c>
      <c r="J223" s="34" t="n">
        <f aca="false">TEST_D+ROUNDUP(Packages!$O$25/R_TEST,0)</f>
        <v>3</v>
      </c>
      <c r="K223" s="34" t="n">
        <f aca="false">IF(J223=0,0,ROUNDUP(J223*7/WD,0))</f>
        <v>4</v>
      </c>
      <c r="L223" s="15" t="s">
        <v>3316</v>
      </c>
      <c r="M223" s="34" t="n">
        <f aca="false">ROUNDUP(K222*LADDER,0)</f>
        <v>2</v>
      </c>
      <c r="N223" s="34" t="n">
        <f aca="false">IF(K223=0,0,FFLAG)</f>
        <v>2</v>
      </c>
      <c r="O223" s="15"/>
      <c r="P223" s="16" t="n">
        <f aca="false">MAX(P222+M223)</f>
        <v>46481</v>
      </c>
      <c r="Q223" s="16" t="n">
        <f aca="false">MAX(P223+K223,Q222+N223)</f>
        <v>46490</v>
      </c>
      <c r="R223" s="12"/>
      <c r="S223" s="12"/>
    </row>
    <row r="224" customFormat="false" ht="15" hidden="false" customHeight="false" outlineLevel="0" collapsed="false">
      <c r="A224" s="15" t="s">
        <v>3318</v>
      </c>
      <c r="B224" s="15" t="s">
        <v>3307</v>
      </c>
      <c r="C224" s="15" t="s">
        <v>388</v>
      </c>
      <c r="D224" s="15" t="s">
        <v>642</v>
      </c>
      <c r="E224" s="15" t="s">
        <v>676</v>
      </c>
      <c r="F224" s="15" t="s">
        <v>3031</v>
      </c>
      <c r="G224" s="15" t="s">
        <v>3032</v>
      </c>
      <c r="H224" s="33" t="n">
        <f aca="false">Packages!$AB$25</f>
        <v>1170.52054262956</v>
      </c>
      <c r="I224" s="15" t="s">
        <v>3019</v>
      </c>
      <c r="J224" s="34" t="n">
        <f aca="false">MAX(1,ROUNDUP(Packages!$AB$25/(R_BF*Fronts!$M$6),0))</f>
        <v>2</v>
      </c>
      <c r="K224" s="34" t="n">
        <f aca="false">IF(J224=0,0,ROUNDUP(J224*7/WD,0))</f>
        <v>3</v>
      </c>
      <c r="L224" s="15" t="s">
        <v>3317</v>
      </c>
      <c r="M224" s="34" t="n">
        <f aca="false">ROUNDUP(K223*LADDER,0)</f>
        <v>2</v>
      </c>
      <c r="N224" s="34" t="n">
        <f aca="false">IF(K224=0,0,FFLAG)</f>
        <v>2</v>
      </c>
      <c r="O224" s="15" t="s">
        <v>3319</v>
      </c>
      <c r="P224" s="16" t="n">
        <f aca="false">MAX(P223+M224,R213,Q266,Q255,Q233)</f>
        <v>46525</v>
      </c>
      <c r="Q224" s="16" t="n">
        <f aca="false">MAX(P224+K224,Q223+N224)</f>
        <v>46528</v>
      </c>
      <c r="R224" s="16" t="n">
        <f aca="false">IF(K224&gt;0,Q224,R213)</f>
        <v>46528</v>
      </c>
      <c r="S224" s="15" t="s">
        <v>3303</v>
      </c>
    </row>
    <row r="225" customFormat="false" ht="15" hidden="false" customHeight="false" outlineLevel="0" collapsed="false">
      <c r="A225" s="15" t="s">
        <v>3320</v>
      </c>
      <c r="B225" s="15" t="s">
        <v>3307</v>
      </c>
      <c r="C225" s="15" t="s">
        <v>388</v>
      </c>
      <c r="D225" s="15" t="s">
        <v>642</v>
      </c>
      <c r="E225" s="15" t="s">
        <v>676</v>
      </c>
      <c r="F225" s="15" t="s">
        <v>3034</v>
      </c>
      <c r="G225" s="15" t="s">
        <v>3035</v>
      </c>
      <c r="H225" s="33" t="n">
        <f aca="false">Packages!$AD$25</f>
        <v>260.79999999882</v>
      </c>
      <c r="I225" s="15" t="s">
        <v>3012</v>
      </c>
      <c r="J225" s="34" t="n">
        <f aca="false">IF(Packages!$AD$25&gt;0,ROUNDUP(Packages!$AD$25/R_EXT,0),0)+IF(Packages!$AG$25&gt;0,1,0)</f>
        <v>7</v>
      </c>
      <c r="K225" s="34" t="n">
        <f aca="false">IF(J225=0,0,ROUNDUP(J225*7/WD,0))</f>
        <v>9</v>
      </c>
      <c r="L225" s="15" t="s">
        <v>3318</v>
      </c>
      <c r="M225" s="34" t="n">
        <f aca="false">ROUNDUP(K224*LADDER,0)</f>
        <v>1</v>
      </c>
      <c r="N225" s="34" t="n">
        <f aca="false">IF(K225=0,0,FFLAG)</f>
        <v>2</v>
      </c>
      <c r="O225" s="15"/>
      <c r="P225" s="16" t="n">
        <f aca="false">MAX(P224+M225)</f>
        <v>46526</v>
      </c>
      <c r="Q225" s="16" t="n">
        <f aca="false">MAX(P225+K225,Q224+N225)</f>
        <v>46535</v>
      </c>
      <c r="R225" s="12"/>
      <c r="S225" s="12"/>
    </row>
    <row r="226" customFormat="false" ht="15" hidden="false" customHeight="false" outlineLevel="0" collapsed="false">
      <c r="A226" s="15" t="s">
        <v>3321</v>
      </c>
      <c r="B226" s="15" t="s">
        <v>3322</v>
      </c>
      <c r="C226" s="15" t="s">
        <v>388</v>
      </c>
      <c r="D226" s="15" t="s">
        <v>592</v>
      </c>
      <c r="E226" s="15" t="s">
        <v>638</v>
      </c>
      <c r="F226" s="15" t="s">
        <v>2998</v>
      </c>
      <c r="G226" s="15" t="s">
        <v>2999</v>
      </c>
      <c r="H226" s="12"/>
      <c r="I226" s="12"/>
      <c r="J226" s="34" t="n">
        <f aca="false">0</f>
        <v>0</v>
      </c>
      <c r="K226" s="34" t="n">
        <f aca="false">IF(J226=0,0,ROUNDUP(J226*7/WD,0))</f>
        <v>0</v>
      </c>
      <c r="L226" s="12"/>
      <c r="M226" s="12"/>
      <c r="N226" s="12"/>
      <c r="O226" s="15" t="s">
        <v>3000</v>
      </c>
      <c r="P226" s="16" t="n">
        <f aca="false">MAX(START,D_DLU,Packages!$I$26,Packages!$K$26)</f>
        <v>46357</v>
      </c>
      <c r="Q226" s="16" t="n">
        <f aca="false">P226+K226</f>
        <v>46357</v>
      </c>
      <c r="R226" s="12"/>
      <c r="S226" s="12"/>
    </row>
    <row r="227" customFormat="false" ht="15" hidden="false" customHeight="false" outlineLevel="0" collapsed="false">
      <c r="A227" s="15" t="s">
        <v>3323</v>
      </c>
      <c r="B227" s="15" t="s">
        <v>3322</v>
      </c>
      <c r="C227" s="15" t="s">
        <v>388</v>
      </c>
      <c r="D227" s="15" t="s">
        <v>592</v>
      </c>
      <c r="E227" s="15" t="s">
        <v>638</v>
      </c>
      <c r="F227" s="15" t="s">
        <v>3002</v>
      </c>
      <c r="G227" s="15" t="s">
        <v>205</v>
      </c>
      <c r="H227" s="33" t="n">
        <f aca="false">Packages!$O$26</f>
        <v>25.0174339320869</v>
      </c>
      <c r="I227" s="15" t="s">
        <v>118</v>
      </c>
      <c r="J227" s="34" t="n">
        <f aca="false">MAX(1,ROUNDUP(Packages!$O$26/R_PLAT,0))</f>
        <v>1</v>
      </c>
      <c r="K227" s="34" t="n">
        <f aca="false">IF(J227=0,0,ROUNDUP(J227*7/WD,0))</f>
        <v>2</v>
      </c>
      <c r="L227" s="15" t="s">
        <v>3321</v>
      </c>
      <c r="M227" s="12"/>
      <c r="N227" s="12"/>
      <c r="O227" s="15" t="s">
        <v>3324</v>
      </c>
      <c r="P227" s="16" t="n">
        <f aca="false">MAX(Q226,P217)</f>
        <v>46445</v>
      </c>
      <c r="Q227" s="16" t="n">
        <f aca="false">P227+K227</f>
        <v>46447</v>
      </c>
      <c r="R227" s="12"/>
      <c r="S227" s="12"/>
    </row>
    <row r="228" customFormat="false" ht="15" hidden="false" customHeight="false" outlineLevel="0" collapsed="false">
      <c r="A228" s="15" t="s">
        <v>3325</v>
      </c>
      <c r="B228" s="15" t="s">
        <v>3322</v>
      </c>
      <c r="C228" s="15" t="s">
        <v>388</v>
      </c>
      <c r="D228" s="15" t="s">
        <v>592</v>
      </c>
      <c r="E228" s="15" t="s">
        <v>638</v>
      </c>
      <c r="F228" s="15" t="s">
        <v>3005</v>
      </c>
      <c r="G228" s="15" t="s">
        <v>3006</v>
      </c>
      <c r="H228" s="33" t="n">
        <f aca="false">Packages!$AC$26</f>
        <v>20</v>
      </c>
      <c r="I228" s="15" t="s">
        <v>3007</v>
      </c>
      <c r="J228" s="34" t="n">
        <f aca="false">IF(Packages!$AC$26=0,0,MAX(1,ROUNDUP(Packages!$AC$26/(R_PILE*Fronts!$H$6),0)))</f>
        <v>2</v>
      </c>
      <c r="K228" s="34" t="n">
        <f aca="false">IF(J228=0,0,ROUNDUP(J228*7/WD,0))</f>
        <v>3</v>
      </c>
      <c r="L228" s="15" t="s">
        <v>3323</v>
      </c>
      <c r="M228" s="34" t="n">
        <f aca="false">ROUNDUP(K227*LADDER,0)</f>
        <v>1</v>
      </c>
      <c r="N228" s="34" t="n">
        <f aca="false">IF(K228=0,0,FFLAG)</f>
        <v>2</v>
      </c>
      <c r="O228" s="15" t="s">
        <v>3008</v>
      </c>
      <c r="P228" s="16" t="n">
        <f aca="false">MAX(P227+M228,D_PILEDES,R217)</f>
        <v>46456</v>
      </c>
      <c r="Q228" s="16" t="n">
        <f aca="false">MAX(P228+K228,Q227+N228)</f>
        <v>46459</v>
      </c>
      <c r="R228" s="16" t="n">
        <f aca="false">IF(K228&gt;0,Q228,R217)</f>
        <v>46459</v>
      </c>
      <c r="S228" s="15" t="s">
        <v>3310</v>
      </c>
    </row>
    <row r="229" customFormat="false" ht="15" hidden="false" customHeight="false" outlineLevel="0" collapsed="false">
      <c r="A229" s="15" t="s">
        <v>3326</v>
      </c>
      <c r="B229" s="15" t="s">
        <v>3322</v>
      </c>
      <c r="C229" s="15" t="s">
        <v>388</v>
      </c>
      <c r="D229" s="15" t="s">
        <v>592</v>
      </c>
      <c r="E229" s="15" t="s">
        <v>638</v>
      </c>
      <c r="F229" s="15" t="s">
        <v>3010</v>
      </c>
      <c r="G229" s="15" t="s">
        <v>3011</v>
      </c>
      <c r="H229" s="33" t="n">
        <f aca="false">Packages!$AD$26</f>
        <v>50.0348678641738</v>
      </c>
      <c r="I229" s="15" t="s">
        <v>3012</v>
      </c>
      <c r="J229" s="34" t="n">
        <f aca="false">IF(Packages!$AD$26=0,0,MAX(1,ROUNDUP(Packages!$AD$26/(R_SHEET*Fronts!$I$6),0)))</f>
        <v>2</v>
      </c>
      <c r="K229" s="34" t="n">
        <f aca="false">IF(J229=0,0,ROUNDUP(J229*7/WD,0))</f>
        <v>3</v>
      </c>
      <c r="L229" s="15" t="s">
        <v>3325</v>
      </c>
      <c r="M229" s="34" t="n">
        <f aca="false">ROUNDUP(K228*LADDER,0)</f>
        <v>1</v>
      </c>
      <c r="N229" s="34" t="n">
        <f aca="false">IF(K229=0,0,FFLAG)</f>
        <v>2</v>
      </c>
      <c r="O229" s="15"/>
      <c r="P229" s="16" t="n">
        <f aca="false">MAX(P228+M229,R218)</f>
        <v>46458</v>
      </c>
      <c r="Q229" s="16" t="n">
        <f aca="false">MAX(P229+K229,Q228+N229)</f>
        <v>46461</v>
      </c>
      <c r="R229" s="16" t="n">
        <f aca="false">IF(K229&gt;0,Q229,R218)</f>
        <v>46461</v>
      </c>
      <c r="S229" s="15" t="s">
        <v>3311</v>
      </c>
    </row>
    <row r="230" customFormat="false" ht="15" hidden="false" customHeight="false" outlineLevel="0" collapsed="false">
      <c r="A230" s="15" t="s">
        <v>3327</v>
      </c>
      <c r="B230" s="15" t="s">
        <v>3322</v>
      </c>
      <c r="C230" s="15" t="s">
        <v>388</v>
      </c>
      <c r="D230" s="15" t="s">
        <v>592</v>
      </c>
      <c r="E230" s="15" t="s">
        <v>638</v>
      </c>
      <c r="F230" s="15" t="s">
        <v>3014</v>
      </c>
      <c r="G230" s="15" t="s">
        <v>3015</v>
      </c>
      <c r="H230" s="33" t="n">
        <f aca="false">Packages!$O$26</f>
        <v>25.0174339320869</v>
      </c>
      <c r="I230" s="15" t="s">
        <v>118</v>
      </c>
      <c r="J230" s="34" t="n">
        <f aca="false">IF(Packages!$AG$26=0,0,ROUNDUP(Packages!$O$26/R_DW,0)+DW_DRAW)</f>
        <v>8</v>
      </c>
      <c r="K230" s="34" t="n">
        <f aca="false">IF(J230=0,0,ROUNDUP(J230*7/WD,0))</f>
        <v>10</v>
      </c>
      <c r="L230" s="15" t="s">
        <v>3326</v>
      </c>
      <c r="M230" s="34" t="n">
        <f aca="false">ROUNDUP(K229*LADDER,0)</f>
        <v>1</v>
      </c>
      <c r="N230" s="34" t="n">
        <f aca="false">IF(K230=0,0,FFLAG)</f>
        <v>2</v>
      </c>
      <c r="O230" s="15" t="s">
        <v>3328</v>
      </c>
      <c r="P230" s="16" t="n">
        <f aca="false">MAX(P229+M230,Q220-K230)</f>
        <v>46459</v>
      </c>
      <c r="Q230" s="16" t="n">
        <f aca="false">MAX(P230+K230,Q229+N230)</f>
        <v>46469</v>
      </c>
      <c r="R230" s="12"/>
      <c r="S230" s="12"/>
    </row>
    <row r="231" customFormat="false" ht="15" hidden="false" customHeight="false" outlineLevel="0" collapsed="false">
      <c r="A231" s="15" t="s">
        <v>3329</v>
      </c>
      <c r="B231" s="15" t="s">
        <v>3322</v>
      </c>
      <c r="C231" s="15" t="s">
        <v>388</v>
      </c>
      <c r="D231" s="15" t="s">
        <v>592</v>
      </c>
      <c r="E231" s="15" t="s">
        <v>638</v>
      </c>
      <c r="F231" s="15" t="s">
        <v>3017</v>
      </c>
      <c r="G231" s="15" t="s">
        <v>3018</v>
      </c>
      <c r="H231" s="33" t="n">
        <f aca="false">Packages!$X$26+Packages!$Y$26</f>
        <v>363.94170368696</v>
      </c>
      <c r="I231" s="15" t="s">
        <v>3019</v>
      </c>
      <c r="J231" s="34" t="n">
        <f aca="false">MAX(1,ROUNDUP((Packages!$X$26/R_EXS+Packages!$Y$26/R_EXO)/Fronts!$J$6,0))</f>
        <v>1</v>
      </c>
      <c r="K231" s="34" t="n">
        <f aca="false">IF(J231=0,0,ROUNDUP(J231*7/WD,0))</f>
        <v>2</v>
      </c>
      <c r="L231" s="15" t="s">
        <v>3327</v>
      </c>
      <c r="M231" s="34" t="n">
        <f aca="false">IF(K230=0,0,ROUNDUP((K230-ROUNDUP(DW_DRAW*7/WD,0))*LADDER,0)+ROUNDUP(DW_DRAW*7/WD,0))</f>
        <v>10</v>
      </c>
      <c r="N231" s="34" t="n">
        <f aca="false">IF(K231=0,0,FFLAG)</f>
        <v>2</v>
      </c>
      <c r="O231" s="15" t="s">
        <v>3330</v>
      </c>
      <c r="P231" s="16" t="n">
        <f aca="false">MAX(P230+M231,R220,P220,P209,P187,P198)</f>
        <v>46469</v>
      </c>
      <c r="Q231" s="16" t="n">
        <f aca="false">MAX(P231+K231,Q230+N231)</f>
        <v>46471</v>
      </c>
      <c r="R231" s="16" t="n">
        <f aca="false">IF(K231&gt;0,Q231,R220)</f>
        <v>46471</v>
      </c>
      <c r="S231" s="15" t="s">
        <v>3314</v>
      </c>
    </row>
    <row r="232" customFormat="false" ht="15" hidden="false" customHeight="false" outlineLevel="0" collapsed="false">
      <c r="A232" s="15" t="s">
        <v>3331</v>
      </c>
      <c r="B232" s="15" t="s">
        <v>3322</v>
      </c>
      <c r="C232" s="15" t="s">
        <v>388</v>
      </c>
      <c r="D232" s="15" t="s">
        <v>592</v>
      </c>
      <c r="E232" s="15" t="s">
        <v>638</v>
      </c>
      <c r="F232" s="15" t="s">
        <v>3022</v>
      </c>
      <c r="G232" s="15" t="s">
        <v>3023</v>
      </c>
      <c r="H232" s="33" t="n">
        <f aca="false">Packages!$O$26</f>
        <v>25.0174339320869</v>
      </c>
      <c r="I232" s="15" t="s">
        <v>118</v>
      </c>
      <c r="J232" s="34" t="n">
        <f aca="false">MAX(1,ROUNDUP(Packages!$O$26/(R_SLAB*Fronts!$K$6),0))+SLAB_CURE</f>
        <v>5</v>
      </c>
      <c r="K232" s="34" t="n">
        <f aca="false">IF(J232=0,0,ROUNDUP(J232*7/WD,0))</f>
        <v>6</v>
      </c>
      <c r="L232" s="15" t="s">
        <v>3329</v>
      </c>
      <c r="M232" s="34" t="n">
        <f aca="false">ROUNDUP(K231*LADDER,0)</f>
        <v>1</v>
      </c>
      <c r="N232" s="34" t="n">
        <f aca="false">IF(K232=0,0,FFLAG)</f>
        <v>2</v>
      </c>
      <c r="O232" s="15"/>
      <c r="P232" s="16" t="n">
        <f aca="false">MAX(P231+M232,R221)</f>
        <v>46486</v>
      </c>
      <c r="Q232" s="16" t="n">
        <f aca="false">MAX(P232+K232,Q231+N232)</f>
        <v>46492</v>
      </c>
      <c r="R232" s="16" t="n">
        <f aca="false">IF(K232&gt;0,Q232,R221)</f>
        <v>46492</v>
      </c>
      <c r="S232" s="15" t="s">
        <v>3315</v>
      </c>
    </row>
    <row r="233" customFormat="false" ht="15" hidden="false" customHeight="false" outlineLevel="0" collapsed="false">
      <c r="A233" s="15" t="s">
        <v>3332</v>
      </c>
      <c r="B233" s="15" t="s">
        <v>3322</v>
      </c>
      <c r="C233" s="15" t="s">
        <v>388</v>
      </c>
      <c r="D233" s="15" t="s">
        <v>592</v>
      </c>
      <c r="E233" s="15" t="s">
        <v>638</v>
      </c>
      <c r="F233" s="15" t="s">
        <v>3025</v>
      </c>
      <c r="G233" s="15" t="s">
        <v>3026</v>
      </c>
      <c r="H233" s="33" t="n">
        <f aca="false">Packages!$O$26</f>
        <v>25.0174339320869</v>
      </c>
      <c r="I233" s="15" t="s">
        <v>118</v>
      </c>
      <c r="J233" s="34" t="n">
        <f aca="false">MAX(1,ROUNDUP(Packages!$O$26/(IF(Packages!$N$26&gt;=PIPE_T1,R_PIPE_L,IF(Packages!$N$26&gt;=PIPE_T2,R_PIPE_M,R_PIPE_S))*Fronts!$L$6)+Packages!$M$26*FIT_D+IF(Packages!$G$26&lt;&gt;"Run",TIE_D,0),0))</f>
        <v>1</v>
      </c>
      <c r="K233" s="34" t="n">
        <f aca="false">IF(J233=0,0,ROUNDUP(J233*7/WD,0))</f>
        <v>2</v>
      </c>
      <c r="L233" s="15" t="s">
        <v>3331</v>
      </c>
      <c r="M233" s="34" t="n">
        <f aca="false">ROUNDUP(K232*LADDER,0)</f>
        <v>2</v>
      </c>
      <c r="N233" s="34" t="n">
        <f aca="false">IF(K233=0,0,FFLAG)</f>
        <v>2</v>
      </c>
      <c r="O233" s="15"/>
      <c r="P233" s="16" t="n">
        <f aca="false">MAX(P232+M233,R222)</f>
        <v>46488</v>
      </c>
      <c r="Q233" s="16" t="n">
        <f aca="false">MAX(P233+K233,Q232+N233)</f>
        <v>46494</v>
      </c>
      <c r="R233" s="16" t="n">
        <f aca="false">IF(K233&gt;0,Q233,R222)</f>
        <v>46494</v>
      </c>
      <c r="S233" s="15" t="s">
        <v>3316</v>
      </c>
    </row>
    <row r="234" customFormat="false" ht="15" hidden="false" customHeight="false" outlineLevel="0" collapsed="false">
      <c r="A234" s="15" t="s">
        <v>3333</v>
      </c>
      <c r="B234" s="15" t="s">
        <v>3322</v>
      </c>
      <c r="C234" s="15" t="s">
        <v>388</v>
      </c>
      <c r="D234" s="15" t="s">
        <v>592</v>
      </c>
      <c r="E234" s="15" t="s">
        <v>638</v>
      </c>
      <c r="F234" s="15" t="s">
        <v>3028</v>
      </c>
      <c r="G234" s="15" t="s">
        <v>3029</v>
      </c>
      <c r="H234" s="33" t="n">
        <f aca="false">Packages!$O$26</f>
        <v>25.0174339320869</v>
      </c>
      <c r="I234" s="15" t="s">
        <v>118</v>
      </c>
      <c r="J234" s="34" t="n">
        <f aca="false">TEST_D+ROUNDUP(Packages!$O$26/R_TEST,0)</f>
        <v>3</v>
      </c>
      <c r="K234" s="34" t="n">
        <f aca="false">IF(J234=0,0,ROUNDUP(J234*7/WD,0))</f>
        <v>4</v>
      </c>
      <c r="L234" s="15" t="s">
        <v>3332</v>
      </c>
      <c r="M234" s="34" t="n">
        <f aca="false">ROUNDUP(K233*LADDER,0)</f>
        <v>1</v>
      </c>
      <c r="N234" s="34" t="n">
        <f aca="false">IF(K234=0,0,FFLAG)</f>
        <v>2</v>
      </c>
      <c r="O234" s="15"/>
      <c r="P234" s="16" t="n">
        <f aca="false">MAX(P233+M234)</f>
        <v>46489</v>
      </c>
      <c r="Q234" s="16" t="n">
        <f aca="false">MAX(P234+K234,Q233+N234)</f>
        <v>46496</v>
      </c>
      <c r="R234" s="12"/>
      <c r="S234" s="12"/>
    </row>
    <row r="235" customFormat="false" ht="15" hidden="false" customHeight="false" outlineLevel="0" collapsed="false">
      <c r="A235" s="15" t="s">
        <v>3334</v>
      </c>
      <c r="B235" s="15" t="s">
        <v>3322</v>
      </c>
      <c r="C235" s="15" t="s">
        <v>388</v>
      </c>
      <c r="D235" s="15" t="s">
        <v>592</v>
      </c>
      <c r="E235" s="15" t="s">
        <v>638</v>
      </c>
      <c r="F235" s="15" t="s">
        <v>3031</v>
      </c>
      <c r="G235" s="15" t="s">
        <v>3032</v>
      </c>
      <c r="H235" s="33" t="n">
        <f aca="false">Packages!$AB$26</f>
        <v>223.917967198116</v>
      </c>
      <c r="I235" s="15" t="s">
        <v>3019</v>
      </c>
      <c r="J235" s="34" t="n">
        <f aca="false">MAX(1,ROUNDUP(Packages!$AB$26/(R_BF*Fronts!$M$6),0))</f>
        <v>1</v>
      </c>
      <c r="K235" s="34" t="n">
        <f aca="false">IF(J235=0,0,ROUNDUP(J235*7/WD,0))</f>
        <v>2</v>
      </c>
      <c r="L235" s="15" t="s">
        <v>3333</v>
      </c>
      <c r="M235" s="34" t="n">
        <f aca="false">ROUNDUP(K234*LADDER,0)</f>
        <v>2</v>
      </c>
      <c r="N235" s="34" t="n">
        <f aca="false">IF(K235=0,0,FFLAG)</f>
        <v>2</v>
      </c>
      <c r="O235" s="15" t="s">
        <v>3335</v>
      </c>
      <c r="P235" s="16" t="n">
        <f aca="false">MAX(P234+M235,R224,Q222,Q211,Q189,Q200)</f>
        <v>46528</v>
      </c>
      <c r="Q235" s="16" t="n">
        <f aca="false">MAX(P235+K235,Q234+N235)</f>
        <v>46530</v>
      </c>
      <c r="R235" s="16" t="n">
        <f aca="false">IF(K235&gt;0,Q235,R224)</f>
        <v>46530</v>
      </c>
      <c r="S235" s="15" t="s">
        <v>3318</v>
      </c>
    </row>
    <row r="236" customFormat="false" ht="15" hidden="false" customHeight="false" outlineLevel="0" collapsed="false">
      <c r="A236" s="15" t="s">
        <v>3336</v>
      </c>
      <c r="B236" s="15" t="s">
        <v>3322</v>
      </c>
      <c r="C236" s="15" t="s">
        <v>388</v>
      </c>
      <c r="D236" s="15" t="s">
        <v>592</v>
      </c>
      <c r="E236" s="15" t="s">
        <v>638</v>
      </c>
      <c r="F236" s="15" t="s">
        <v>3034</v>
      </c>
      <c r="G236" s="15" t="s">
        <v>3035</v>
      </c>
      <c r="H236" s="33" t="n">
        <f aca="false">Packages!$AD$26</f>
        <v>50.0348678641738</v>
      </c>
      <c r="I236" s="15" t="s">
        <v>3012</v>
      </c>
      <c r="J236" s="34" t="n">
        <f aca="false">IF(Packages!$AD$26&gt;0,ROUNDUP(Packages!$AD$26/R_EXT,0),0)+IF(Packages!$AG$26&gt;0,1,0)</f>
        <v>3</v>
      </c>
      <c r="K236" s="34" t="n">
        <f aca="false">IF(J236=0,0,ROUNDUP(J236*7/WD,0))</f>
        <v>4</v>
      </c>
      <c r="L236" s="15" t="s">
        <v>3334</v>
      </c>
      <c r="M236" s="34" t="n">
        <f aca="false">ROUNDUP(K235*LADDER,0)</f>
        <v>1</v>
      </c>
      <c r="N236" s="34" t="n">
        <f aca="false">IF(K236=0,0,FFLAG)</f>
        <v>2</v>
      </c>
      <c r="O236" s="15"/>
      <c r="P236" s="16" t="n">
        <f aca="false">MAX(P235+M236)</f>
        <v>46529</v>
      </c>
      <c r="Q236" s="16" t="n">
        <f aca="false">MAX(P236+K236,Q235+N236)</f>
        <v>46533</v>
      </c>
      <c r="R236" s="12"/>
      <c r="S236" s="12"/>
    </row>
    <row r="237" customFormat="false" ht="15" hidden="false" customHeight="false" outlineLevel="0" collapsed="false">
      <c r="A237" s="15" t="s">
        <v>3337</v>
      </c>
      <c r="B237" s="15" t="s">
        <v>3338</v>
      </c>
      <c r="C237" s="15" t="s">
        <v>388</v>
      </c>
      <c r="D237" s="15" t="s">
        <v>642</v>
      </c>
      <c r="E237" s="15" t="s">
        <v>655</v>
      </c>
      <c r="F237" s="15" t="s">
        <v>2998</v>
      </c>
      <c r="G237" s="15" t="s">
        <v>2999</v>
      </c>
      <c r="H237" s="12"/>
      <c r="I237" s="12"/>
      <c r="J237" s="34" t="n">
        <f aca="false">0</f>
        <v>0</v>
      </c>
      <c r="K237" s="34" t="n">
        <f aca="false">IF(J237=0,0,ROUNDUP(J237*7/WD,0))</f>
        <v>0</v>
      </c>
      <c r="L237" s="12"/>
      <c r="M237" s="12"/>
      <c r="N237" s="12"/>
      <c r="O237" s="15" t="s">
        <v>3000</v>
      </c>
      <c r="P237" s="16" t="n">
        <f aca="false">MAX(START,D_DLU,Packages!$I$27,Packages!$K$27)</f>
        <v>46357</v>
      </c>
      <c r="Q237" s="16" t="n">
        <f aca="false">P237+K237</f>
        <v>46357</v>
      </c>
      <c r="R237" s="12"/>
      <c r="S237" s="12"/>
    </row>
    <row r="238" customFormat="false" ht="15" hidden="false" customHeight="false" outlineLevel="0" collapsed="false">
      <c r="A238" s="15" t="s">
        <v>3339</v>
      </c>
      <c r="B238" s="15" t="s">
        <v>3338</v>
      </c>
      <c r="C238" s="15" t="s">
        <v>388</v>
      </c>
      <c r="D238" s="15" t="s">
        <v>642</v>
      </c>
      <c r="E238" s="15" t="s">
        <v>655</v>
      </c>
      <c r="F238" s="15" t="s">
        <v>3002</v>
      </c>
      <c r="G238" s="15" t="s">
        <v>205</v>
      </c>
      <c r="H238" s="33" t="n">
        <f aca="false">Packages!$O$27</f>
        <v>98.3000000019989</v>
      </c>
      <c r="I238" s="15" t="s">
        <v>118</v>
      </c>
      <c r="J238" s="34" t="n">
        <f aca="false">MAX(1,ROUNDUP(Packages!$O$27/R_PLAT,0))</f>
        <v>2</v>
      </c>
      <c r="K238" s="34" t="n">
        <f aca="false">IF(J238=0,0,ROUNDUP(J238*7/WD,0))</f>
        <v>3</v>
      </c>
      <c r="L238" s="15" t="s">
        <v>3337</v>
      </c>
      <c r="M238" s="12"/>
      <c r="N238" s="12"/>
      <c r="O238" s="15" t="s">
        <v>3340</v>
      </c>
      <c r="P238" s="16" t="n">
        <f aca="false">MAX(Q237,P228)</f>
        <v>46456</v>
      </c>
      <c r="Q238" s="16" t="n">
        <f aca="false">P238+K238</f>
        <v>46459</v>
      </c>
      <c r="R238" s="12"/>
      <c r="S238" s="12"/>
    </row>
    <row r="239" customFormat="false" ht="15" hidden="false" customHeight="false" outlineLevel="0" collapsed="false">
      <c r="A239" s="15" t="s">
        <v>3341</v>
      </c>
      <c r="B239" s="15" t="s">
        <v>3338</v>
      </c>
      <c r="C239" s="15" t="s">
        <v>388</v>
      </c>
      <c r="D239" s="15" t="s">
        <v>642</v>
      </c>
      <c r="E239" s="15" t="s">
        <v>655</v>
      </c>
      <c r="F239" s="15" t="s">
        <v>3005</v>
      </c>
      <c r="G239" s="15" t="s">
        <v>3006</v>
      </c>
      <c r="H239" s="33" t="n">
        <f aca="false">Packages!$AC$27</f>
        <v>68</v>
      </c>
      <c r="I239" s="15" t="s">
        <v>3007</v>
      </c>
      <c r="J239" s="34" t="n">
        <f aca="false">IF(Packages!$AC$27=0,0,MAX(1,ROUNDUP(Packages!$AC$27/(R_PILE*Fronts!$H$6),0)))</f>
        <v>7</v>
      </c>
      <c r="K239" s="34" t="n">
        <f aca="false">IF(J239=0,0,ROUNDUP(J239*7/WD,0))</f>
        <v>9</v>
      </c>
      <c r="L239" s="15" t="s">
        <v>3339</v>
      </c>
      <c r="M239" s="34" t="n">
        <f aca="false">ROUNDUP(K238*LADDER,0)</f>
        <v>1</v>
      </c>
      <c r="N239" s="34" t="n">
        <f aca="false">IF(K239=0,0,FFLAG)</f>
        <v>2</v>
      </c>
      <c r="O239" s="15" t="s">
        <v>3008</v>
      </c>
      <c r="P239" s="16" t="n">
        <f aca="false">MAX(P238+M239,D_PILEDES,R228)</f>
        <v>46459</v>
      </c>
      <c r="Q239" s="16" t="n">
        <f aca="false">MAX(P239+K239,Q238+N239)</f>
        <v>46468</v>
      </c>
      <c r="R239" s="16" t="n">
        <f aca="false">IF(K239&gt;0,Q239,R228)</f>
        <v>46468</v>
      </c>
      <c r="S239" s="15" t="s">
        <v>3325</v>
      </c>
    </row>
    <row r="240" customFormat="false" ht="15" hidden="false" customHeight="false" outlineLevel="0" collapsed="false">
      <c r="A240" s="15" t="s">
        <v>3342</v>
      </c>
      <c r="B240" s="15" t="s">
        <v>3338</v>
      </c>
      <c r="C240" s="15" t="s">
        <v>388</v>
      </c>
      <c r="D240" s="15" t="s">
        <v>642</v>
      </c>
      <c r="E240" s="15" t="s">
        <v>655</v>
      </c>
      <c r="F240" s="15" t="s">
        <v>3010</v>
      </c>
      <c r="G240" s="15" t="s">
        <v>3011</v>
      </c>
      <c r="H240" s="33" t="n">
        <f aca="false">Packages!$AD$27</f>
        <v>196.600000003998</v>
      </c>
      <c r="I240" s="15" t="s">
        <v>3012</v>
      </c>
      <c r="J240" s="34" t="n">
        <f aca="false">IF(Packages!$AD$27=0,0,MAX(1,ROUNDUP(Packages!$AD$27/(R_SHEET*Fronts!$I$6),0)))</f>
        <v>4</v>
      </c>
      <c r="K240" s="34" t="n">
        <f aca="false">IF(J240=0,0,ROUNDUP(J240*7/WD,0))</f>
        <v>5</v>
      </c>
      <c r="L240" s="15" t="s">
        <v>3341</v>
      </c>
      <c r="M240" s="34" t="n">
        <f aca="false">ROUNDUP(K239*LADDER,0)</f>
        <v>3</v>
      </c>
      <c r="N240" s="34" t="n">
        <f aca="false">IF(K240=0,0,FFLAG)</f>
        <v>2</v>
      </c>
      <c r="O240" s="15"/>
      <c r="P240" s="16" t="n">
        <f aca="false">MAX(P239+M240,R229)</f>
        <v>46462</v>
      </c>
      <c r="Q240" s="16" t="n">
        <f aca="false">MAX(P240+K240,Q239+N240)</f>
        <v>46470</v>
      </c>
      <c r="R240" s="16" t="n">
        <f aca="false">IF(K240&gt;0,Q240,R229)</f>
        <v>46470</v>
      </c>
      <c r="S240" s="15" t="s">
        <v>3326</v>
      </c>
    </row>
    <row r="241" customFormat="false" ht="15" hidden="false" customHeight="false" outlineLevel="0" collapsed="false">
      <c r="A241" s="15" t="s">
        <v>3343</v>
      </c>
      <c r="B241" s="15" t="s">
        <v>3338</v>
      </c>
      <c r="C241" s="15" t="s">
        <v>388</v>
      </c>
      <c r="D241" s="15" t="s">
        <v>642</v>
      </c>
      <c r="E241" s="15" t="s">
        <v>655</v>
      </c>
      <c r="F241" s="15" t="s">
        <v>3014</v>
      </c>
      <c r="G241" s="15" t="s">
        <v>3015</v>
      </c>
      <c r="H241" s="33" t="n">
        <f aca="false">Packages!$O$27</f>
        <v>98.3000000019989</v>
      </c>
      <c r="I241" s="15" t="s">
        <v>118</v>
      </c>
      <c r="J241" s="34" t="n">
        <f aca="false">IF(Packages!$AG$27=0,0,ROUNDUP(Packages!$O$27/R_DW,0)+DW_DRAW)</f>
        <v>10</v>
      </c>
      <c r="K241" s="34" t="n">
        <f aca="false">IF(J241=0,0,ROUNDUP(J241*7/WD,0))</f>
        <v>12</v>
      </c>
      <c r="L241" s="15" t="s">
        <v>3342</v>
      </c>
      <c r="M241" s="34" t="n">
        <f aca="false">ROUNDUP(K240*LADDER,0)</f>
        <v>2</v>
      </c>
      <c r="N241" s="34" t="n">
        <f aca="false">IF(K241=0,0,FFLAG)</f>
        <v>2</v>
      </c>
      <c r="O241" s="15" t="s">
        <v>3344</v>
      </c>
      <c r="P241" s="16" t="n">
        <f aca="false">MAX(P240+M241,Q231-K241)</f>
        <v>46464</v>
      </c>
      <c r="Q241" s="16" t="n">
        <f aca="false">MAX(P241+K241,Q240+N241)</f>
        <v>46476</v>
      </c>
      <c r="R241" s="12"/>
      <c r="S241" s="12"/>
    </row>
    <row r="242" customFormat="false" ht="15" hidden="false" customHeight="false" outlineLevel="0" collapsed="false">
      <c r="A242" s="15" t="s">
        <v>3345</v>
      </c>
      <c r="B242" s="15" t="s">
        <v>3338</v>
      </c>
      <c r="C242" s="15" t="s">
        <v>388</v>
      </c>
      <c r="D242" s="15" t="s">
        <v>642</v>
      </c>
      <c r="E242" s="15" t="s">
        <v>655</v>
      </c>
      <c r="F242" s="15" t="s">
        <v>3017</v>
      </c>
      <c r="G242" s="15" t="s">
        <v>3018</v>
      </c>
      <c r="H242" s="33" t="n">
        <f aca="false">Packages!$X$27+Packages!$Y$27</f>
        <v>1408.20398541755</v>
      </c>
      <c r="I242" s="15" t="s">
        <v>3019</v>
      </c>
      <c r="J242" s="34" t="n">
        <f aca="false">MAX(1,ROUNDUP((Packages!$X$27/R_EXS+Packages!$Y$27/R_EXO)/Fronts!$J$6,0))</f>
        <v>3</v>
      </c>
      <c r="K242" s="34" t="n">
        <f aca="false">IF(J242=0,0,ROUNDUP(J242*7/WD,0))</f>
        <v>4</v>
      </c>
      <c r="L242" s="15" t="s">
        <v>3343</v>
      </c>
      <c r="M242" s="34" t="n">
        <f aca="false">IF(K241=0,0,ROUNDUP((K241-ROUNDUP(DW_DRAW*7/WD,0))*LADDER,0)+ROUNDUP(DW_DRAW*7/WD,0))</f>
        <v>10</v>
      </c>
      <c r="N242" s="34" t="n">
        <f aca="false">IF(K242=0,0,FFLAG)</f>
        <v>2</v>
      </c>
      <c r="O242" s="15"/>
      <c r="P242" s="16" t="n">
        <f aca="false">MAX(P241+M242,R231)</f>
        <v>46474</v>
      </c>
      <c r="Q242" s="16" t="n">
        <f aca="false">MAX(P242+K242,Q241+N242)</f>
        <v>46478</v>
      </c>
      <c r="R242" s="16" t="n">
        <f aca="false">IF(K242&gt;0,Q242,R231)</f>
        <v>46478</v>
      </c>
      <c r="S242" s="15" t="s">
        <v>3329</v>
      </c>
    </row>
    <row r="243" customFormat="false" ht="15" hidden="false" customHeight="false" outlineLevel="0" collapsed="false">
      <c r="A243" s="15" t="s">
        <v>3346</v>
      </c>
      <c r="B243" s="15" t="s">
        <v>3338</v>
      </c>
      <c r="C243" s="15" t="s">
        <v>388</v>
      </c>
      <c r="D243" s="15" t="s">
        <v>642</v>
      </c>
      <c r="E243" s="15" t="s">
        <v>655</v>
      </c>
      <c r="F243" s="15" t="s">
        <v>3022</v>
      </c>
      <c r="G243" s="15" t="s">
        <v>3023</v>
      </c>
      <c r="H243" s="33" t="n">
        <f aca="false">Packages!$O$27</f>
        <v>98.3000000019989</v>
      </c>
      <c r="I243" s="15" t="s">
        <v>118</v>
      </c>
      <c r="J243" s="34" t="n">
        <f aca="false">MAX(1,ROUNDUP(Packages!$O$27/(R_SLAB*Fronts!$K$6),0))+SLAB_CURE</f>
        <v>8</v>
      </c>
      <c r="K243" s="34" t="n">
        <f aca="false">IF(J243=0,0,ROUNDUP(J243*7/WD,0))</f>
        <v>10</v>
      </c>
      <c r="L243" s="15" t="s">
        <v>3345</v>
      </c>
      <c r="M243" s="34" t="n">
        <f aca="false">ROUNDUP(K242*LADDER,0)</f>
        <v>2</v>
      </c>
      <c r="N243" s="34" t="n">
        <f aca="false">IF(K243=0,0,FFLAG)</f>
        <v>2</v>
      </c>
      <c r="O243" s="15"/>
      <c r="P243" s="16" t="n">
        <f aca="false">MAX(P242+M243,R232)</f>
        <v>46492</v>
      </c>
      <c r="Q243" s="16" t="n">
        <f aca="false">MAX(P243+K243,Q242+N243)</f>
        <v>46502</v>
      </c>
      <c r="R243" s="16" t="n">
        <f aca="false">IF(K243&gt;0,Q243,R232)</f>
        <v>46502</v>
      </c>
      <c r="S243" s="15" t="s">
        <v>3331</v>
      </c>
    </row>
    <row r="244" customFormat="false" ht="15" hidden="false" customHeight="false" outlineLevel="0" collapsed="false">
      <c r="A244" s="15" t="s">
        <v>3347</v>
      </c>
      <c r="B244" s="15" t="s">
        <v>3338</v>
      </c>
      <c r="C244" s="15" t="s">
        <v>388</v>
      </c>
      <c r="D244" s="15" t="s">
        <v>642</v>
      </c>
      <c r="E244" s="15" t="s">
        <v>655</v>
      </c>
      <c r="F244" s="15" t="s">
        <v>3025</v>
      </c>
      <c r="G244" s="15" t="s">
        <v>3026</v>
      </c>
      <c r="H244" s="33" t="n">
        <f aca="false">Packages!$O$27</f>
        <v>98.3000000019989</v>
      </c>
      <c r="I244" s="15" t="s">
        <v>118</v>
      </c>
      <c r="J244" s="34" t="n">
        <f aca="false">MAX(1,ROUNDUP(Packages!$O$27/(IF(Packages!$N$27&gt;=PIPE_T1,R_PIPE_L,IF(Packages!$N$27&gt;=PIPE_T2,R_PIPE_M,R_PIPE_S))*Fronts!$L$6)+Packages!$M$27*FIT_D+IF(Packages!$G$27&lt;&gt;"Run",TIE_D,0),0))</f>
        <v>6</v>
      </c>
      <c r="K244" s="34" t="n">
        <f aca="false">IF(J244=0,0,ROUNDUP(J244*7/WD,0))</f>
        <v>7</v>
      </c>
      <c r="L244" s="15" t="s">
        <v>3346</v>
      </c>
      <c r="M244" s="34" t="n">
        <f aca="false">ROUNDUP(K243*LADDER,0)</f>
        <v>3</v>
      </c>
      <c r="N244" s="34" t="n">
        <f aca="false">IF(K244=0,0,FFLAG)</f>
        <v>2</v>
      </c>
      <c r="O244" s="15"/>
      <c r="P244" s="16" t="n">
        <f aca="false">MAX(P243+M244,R233)</f>
        <v>46495</v>
      </c>
      <c r="Q244" s="16" t="n">
        <f aca="false">MAX(P244+K244,Q243+N244)</f>
        <v>46504</v>
      </c>
      <c r="R244" s="16" t="n">
        <f aca="false">IF(K244&gt;0,Q244,R233)</f>
        <v>46504</v>
      </c>
      <c r="S244" s="15" t="s">
        <v>3332</v>
      </c>
    </row>
    <row r="245" customFormat="false" ht="15" hidden="false" customHeight="false" outlineLevel="0" collapsed="false">
      <c r="A245" s="15" t="s">
        <v>3348</v>
      </c>
      <c r="B245" s="15" t="s">
        <v>3338</v>
      </c>
      <c r="C245" s="15" t="s">
        <v>388</v>
      </c>
      <c r="D245" s="15" t="s">
        <v>642</v>
      </c>
      <c r="E245" s="15" t="s">
        <v>655</v>
      </c>
      <c r="F245" s="15" t="s">
        <v>3028</v>
      </c>
      <c r="G245" s="15" t="s">
        <v>3029</v>
      </c>
      <c r="H245" s="33" t="n">
        <f aca="false">Packages!$O$27</f>
        <v>98.3000000019989</v>
      </c>
      <c r="I245" s="15" t="s">
        <v>118</v>
      </c>
      <c r="J245" s="34" t="n">
        <f aca="false">TEST_D+ROUNDUP(Packages!$O$27/R_TEST,0)</f>
        <v>3</v>
      </c>
      <c r="K245" s="34" t="n">
        <f aca="false">IF(J245=0,0,ROUNDUP(J245*7/WD,0))</f>
        <v>4</v>
      </c>
      <c r="L245" s="15" t="s">
        <v>3347</v>
      </c>
      <c r="M245" s="34" t="n">
        <f aca="false">ROUNDUP(K244*LADDER,0)</f>
        <v>3</v>
      </c>
      <c r="N245" s="34" t="n">
        <f aca="false">IF(K245=0,0,FFLAG)</f>
        <v>2</v>
      </c>
      <c r="O245" s="15"/>
      <c r="P245" s="16" t="n">
        <f aca="false">MAX(P244+M245)</f>
        <v>46498</v>
      </c>
      <c r="Q245" s="16" t="n">
        <f aca="false">MAX(P245+K245,Q244+N245)</f>
        <v>46506</v>
      </c>
      <c r="R245" s="12"/>
      <c r="S245" s="12"/>
    </row>
    <row r="246" customFormat="false" ht="15" hidden="false" customHeight="false" outlineLevel="0" collapsed="false">
      <c r="A246" s="15" t="s">
        <v>3349</v>
      </c>
      <c r="B246" s="15" t="s">
        <v>3338</v>
      </c>
      <c r="C246" s="15" t="s">
        <v>388</v>
      </c>
      <c r="D246" s="15" t="s">
        <v>642</v>
      </c>
      <c r="E246" s="15" t="s">
        <v>655</v>
      </c>
      <c r="F246" s="15" t="s">
        <v>3031</v>
      </c>
      <c r="G246" s="15" t="s">
        <v>3032</v>
      </c>
      <c r="H246" s="33" t="n">
        <f aca="false">Packages!$AB$27</f>
        <v>858.016034616127</v>
      </c>
      <c r="I246" s="15" t="s">
        <v>3019</v>
      </c>
      <c r="J246" s="34" t="n">
        <f aca="false">MAX(1,ROUNDUP(Packages!$AB$27/(R_BF*Fronts!$M$6),0))</f>
        <v>2</v>
      </c>
      <c r="K246" s="34" t="n">
        <f aca="false">IF(J246=0,0,ROUNDUP(J246*7/WD,0))</f>
        <v>3</v>
      </c>
      <c r="L246" s="15" t="s">
        <v>3348</v>
      </c>
      <c r="M246" s="34" t="n">
        <f aca="false">ROUNDUP(K245*LADDER,0)</f>
        <v>2</v>
      </c>
      <c r="N246" s="34" t="n">
        <f aca="false">IF(K246=0,0,FFLAG)</f>
        <v>2</v>
      </c>
      <c r="O246" s="15" t="s">
        <v>3350</v>
      </c>
      <c r="P246" s="16" t="n">
        <f aca="false">MAX(P245+M246,R235,Q277,Q266,Q255)</f>
        <v>46532</v>
      </c>
      <c r="Q246" s="16" t="n">
        <f aca="false">MAX(P246+K246,Q245+N246)</f>
        <v>46535</v>
      </c>
      <c r="R246" s="16" t="n">
        <f aca="false">IF(K246&gt;0,Q246,R235)</f>
        <v>46535</v>
      </c>
      <c r="S246" s="15" t="s">
        <v>3334</v>
      </c>
    </row>
    <row r="247" customFormat="false" ht="15" hidden="false" customHeight="false" outlineLevel="0" collapsed="false">
      <c r="A247" s="15" t="s">
        <v>3351</v>
      </c>
      <c r="B247" s="15" t="s">
        <v>3338</v>
      </c>
      <c r="C247" s="15" t="s">
        <v>388</v>
      </c>
      <c r="D247" s="15" t="s">
        <v>642</v>
      </c>
      <c r="E247" s="15" t="s">
        <v>655</v>
      </c>
      <c r="F247" s="15" t="s">
        <v>3034</v>
      </c>
      <c r="G247" s="15" t="s">
        <v>3035</v>
      </c>
      <c r="H247" s="33" t="n">
        <f aca="false">Packages!$AD$27</f>
        <v>196.600000003998</v>
      </c>
      <c r="I247" s="15" t="s">
        <v>3012</v>
      </c>
      <c r="J247" s="34" t="n">
        <f aca="false">IF(Packages!$AD$27&gt;0,ROUNDUP(Packages!$AD$27/R_EXT,0),0)+IF(Packages!$AG$27&gt;0,1,0)</f>
        <v>5</v>
      </c>
      <c r="K247" s="34" t="n">
        <f aca="false">IF(J247=0,0,ROUNDUP(J247*7/WD,0))</f>
        <v>6</v>
      </c>
      <c r="L247" s="15" t="s">
        <v>3349</v>
      </c>
      <c r="M247" s="34" t="n">
        <f aca="false">ROUNDUP(K246*LADDER,0)</f>
        <v>1</v>
      </c>
      <c r="N247" s="34" t="n">
        <f aca="false">IF(K247=0,0,FFLAG)</f>
        <v>2</v>
      </c>
      <c r="O247" s="15"/>
      <c r="P247" s="16" t="n">
        <f aca="false">MAX(P246+M247)</f>
        <v>46533</v>
      </c>
      <c r="Q247" s="16" t="n">
        <f aca="false">MAX(P247+K247,Q246+N247)</f>
        <v>46539</v>
      </c>
      <c r="R247" s="12"/>
      <c r="S247" s="12"/>
    </row>
    <row r="248" customFormat="false" ht="15" hidden="false" customHeight="false" outlineLevel="0" collapsed="false">
      <c r="A248" s="15" t="s">
        <v>3352</v>
      </c>
      <c r="B248" s="15" t="s">
        <v>3353</v>
      </c>
      <c r="C248" s="15" t="s">
        <v>388</v>
      </c>
      <c r="D248" s="15" t="s">
        <v>592</v>
      </c>
      <c r="E248" s="15" t="s">
        <v>623</v>
      </c>
      <c r="F248" s="15" t="s">
        <v>2998</v>
      </c>
      <c r="G248" s="15" t="s">
        <v>2999</v>
      </c>
      <c r="H248" s="12"/>
      <c r="I248" s="12"/>
      <c r="J248" s="34" t="n">
        <f aca="false">0</f>
        <v>0</v>
      </c>
      <c r="K248" s="34" t="n">
        <f aca="false">IF(J248=0,0,ROUNDUP(J248*7/WD,0))</f>
        <v>0</v>
      </c>
      <c r="L248" s="12"/>
      <c r="M248" s="12"/>
      <c r="N248" s="12"/>
      <c r="O248" s="15" t="s">
        <v>3000</v>
      </c>
      <c r="P248" s="16" t="n">
        <f aca="false">MAX(START,D_DLU,Packages!$I$28,Packages!$K$28)</f>
        <v>46357</v>
      </c>
      <c r="Q248" s="16" t="n">
        <f aca="false">P248+K248</f>
        <v>46357</v>
      </c>
      <c r="R248" s="12"/>
      <c r="S248" s="12"/>
    </row>
    <row r="249" customFormat="false" ht="15" hidden="false" customHeight="false" outlineLevel="0" collapsed="false">
      <c r="A249" s="15" t="s">
        <v>3354</v>
      </c>
      <c r="B249" s="15" t="s">
        <v>3353</v>
      </c>
      <c r="C249" s="15" t="s">
        <v>388</v>
      </c>
      <c r="D249" s="15" t="s">
        <v>592</v>
      </c>
      <c r="E249" s="15" t="s">
        <v>623</v>
      </c>
      <c r="F249" s="15" t="s">
        <v>3002</v>
      </c>
      <c r="G249" s="15" t="s">
        <v>205</v>
      </c>
      <c r="H249" s="33" t="n">
        <f aca="false">Packages!$O$28</f>
        <v>123.199999999879</v>
      </c>
      <c r="I249" s="15" t="s">
        <v>118</v>
      </c>
      <c r="J249" s="34" t="n">
        <f aca="false">MAX(1,ROUNDUP(Packages!$O$28/R_PLAT,0))</f>
        <v>2</v>
      </c>
      <c r="K249" s="34" t="n">
        <f aca="false">IF(J249=0,0,ROUNDUP(J249*7/WD,0))</f>
        <v>3</v>
      </c>
      <c r="L249" s="15" t="s">
        <v>3352</v>
      </c>
      <c r="M249" s="12"/>
      <c r="N249" s="12"/>
      <c r="O249" s="15" t="s">
        <v>3355</v>
      </c>
      <c r="P249" s="16" t="n">
        <f aca="false">MAX(Q248,P239)</f>
        <v>46459</v>
      </c>
      <c r="Q249" s="16" t="n">
        <f aca="false">P249+K249</f>
        <v>46462</v>
      </c>
      <c r="R249" s="12"/>
      <c r="S249" s="12"/>
    </row>
    <row r="250" customFormat="false" ht="15" hidden="false" customHeight="false" outlineLevel="0" collapsed="false">
      <c r="A250" s="15" t="s">
        <v>3356</v>
      </c>
      <c r="B250" s="15" t="s">
        <v>3353</v>
      </c>
      <c r="C250" s="15" t="s">
        <v>388</v>
      </c>
      <c r="D250" s="15" t="s">
        <v>592</v>
      </c>
      <c r="E250" s="15" t="s">
        <v>623</v>
      </c>
      <c r="F250" s="15" t="s">
        <v>3005</v>
      </c>
      <c r="G250" s="15" t="s">
        <v>3006</v>
      </c>
      <c r="H250" s="33" t="n">
        <f aca="false">Packages!$AC$28</f>
        <v>86</v>
      </c>
      <c r="I250" s="15" t="s">
        <v>3007</v>
      </c>
      <c r="J250" s="34" t="n">
        <f aca="false">IF(Packages!$AC$28=0,0,MAX(1,ROUNDUP(Packages!$AC$28/(R_PILE*Fronts!$H$6),0)))</f>
        <v>9</v>
      </c>
      <c r="K250" s="34" t="n">
        <f aca="false">IF(J250=0,0,ROUNDUP(J250*7/WD,0))</f>
        <v>11</v>
      </c>
      <c r="L250" s="15" t="s">
        <v>3354</v>
      </c>
      <c r="M250" s="34" t="n">
        <f aca="false">ROUNDUP(K249*LADDER,0)</f>
        <v>1</v>
      </c>
      <c r="N250" s="34" t="n">
        <f aca="false">IF(K250=0,0,FFLAG)</f>
        <v>2</v>
      </c>
      <c r="O250" s="15" t="s">
        <v>3008</v>
      </c>
      <c r="P250" s="16" t="n">
        <f aca="false">MAX(P249+M250,D_PILEDES,R239)</f>
        <v>46468</v>
      </c>
      <c r="Q250" s="16" t="n">
        <f aca="false">MAX(P250+K250,Q249+N250)</f>
        <v>46479</v>
      </c>
      <c r="R250" s="16" t="n">
        <f aca="false">IF(K250&gt;0,Q250,R239)</f>
        <v>46479</v>
      </c>
      <c r="S250" s="15" t="s">
        <v>3341</v>
      </c>
    </row>
    <row r="251" customFormat="false" ht="15" hidden="false" customHeight="false" outlineLevel="0" collapsed="false">
      <c r="A251" s="15" t="s">
        <v>3357</v>
      </c>
      <c r="B251" s="15" t="s">
        <v>3353</v>
      </c>
      <c r="C251" s="15" t="s">
        <v>388</v>
      </c>
      <c r="D251" s="15" t="s">
        <v>592</v>
      </c>
      <c r="E251" s="15" t="s">
        <v>623</v>
      </c>
      <c r="F251" s="15" t="s">
        <v>3010</v>
      </c>
      <c r="G251" s="15" t="s">
        <v>3011</v>
      </c>
      <c r="H251" s="33" t="n">
        <f aca="false">Packages!$AD$28</f>
        <v>246.399999999758</v>
      </c>
      <c r="I251" s="15" t="s">
        <v>3012</v>
      </c>
      <c r="J251" s="34" t="n">
        <f aca="false">IF(Packages!$AD$28=0,0,MAX(1,ROUNDUP(Packages!$AD$28/(R_SHEET*Fronts!$I$6),0)))</f>
        <v>5</v>
      </c>
      <c r="K251" s="34" t="n">
        <f aca="false">IF(J251=0,0,ROUNDUP(J251*7/WD,0))</f>
        <v>6</v>
      </c>
      <c r="L251" s="15" t="s">
        <v>3356</v>
      </c>
      <c r="M251" s="34" t="n">
        <f aca="false">ROUNDUP(K250*LADDER,0)</f>
        <v>4</v>
      </c>
      <c r="N251" s="34" t="n">
        <f aca="false">IF(K251=0,0,FFLAG)</f>
        <v>2</v>
      </c>
      <c r="O251" s="15"/>
      <c r="P251" s="16" t="n">
        <f aca="false">MAX(P250+M251,R240)</f>
        <v>46472</v>
      </c>
      <c r="Q251" s="16" t="n">
        <f aca="false">MAX(P251+K251,Q250+N251)</f>
        <v>46481</v>
      </c>
      <c r="R251" s="16" t="n">
        <f aca="false">IF(K251&gt;0,Q251,R240)</f>
        <v>46481</v>
      </c>
      <c r="S251" s="15" t="s">
        <v>3342</v>
      </c>
    </row>
    <row r="252" customFormat="false" ht="15" hidden="false" customHeight="false" outlineLevel="0" collapsed="false">
      <c r="A252" s="15" t="s">
        <v>3358</v>
      </c>
      <c r="B252" s="15" t="s">
        <v>3353</v>
      </c>
      <c r="C252" s="15" t="s">
        <v>388</v>
      </c>
      <c r="D252" s="15" t="s">
        <v>592</v>
      </c>
      <c r="E252" s="15" t="s">
        <v>623</v>
      </c>
      <c r="F252" s="15" t="s">
        <v>3014</v>
      </c>
      <c r="G252" s="15" t="s">
        <v>3015</v>
      </c>
      <c r="H252" s="33" t="n">
        <f aca="false">Packages!$O$28</f>
        <v>123.199999999879</v>
      </c>
      <c r="I252" s="15" t="s">
        <v>118</v>
      </c>
      <c r="J252" s="34" t="n">
        <f aca="false">IF(Packages!$AG$28=0,0,ROUNDUP(Packages!$O$28/R_DW,0)+DW_DRAW)</f>
        <v>11</v>
      </c>
      <c r="K252" s="34" t="n">
        <f aca="false">IF(J252=0,0,ROUNDUP(J252*7/WD,0))</f>
        <v>13</v>
      </c>
      <c r="L252" s="15" t="s">
        <v>3357</v>
      </c>
      <c r="M252" s="34" t="n">
        <f aca="false">ROUNDUP(K251*LADDER,0)</f>
        <v>2</v>
      </c>
      <c r="N252" s="34" t="n">
        <f aca="false">IF(K252=0,0,FFLAG)</f>
        <v>2</v>
      </c>
      <c r="O252" s="15" t="s">
        <v>3359</v>
      </c>
      <c r="P252" s="16" t="n">
        <f aca="false">MAX(P251+M252,Q242-K252)</f>
        <v>46474</v>
      </c>
      <c r="Q252" s="16" t="n">
        <f aca="false">MAX(P252+K252,Q251+N252)</f>
        <v>46487</v>
      </c>
      <c r="R252" s="12"/>
      <c r="S252" s="12"/>
    </row>
    <row r="253" customFormat="false" ht="15" hidden="false" customHeight="false" outlineLevel="0" collapsed="false">
      <c r="A253" s="15" t="s">
        <v>3360</v>
      </c>
      <c r="B253" s="15" t="s">
        <v>3353</v>
      </c>
      <c r="C253" s="15" t="s">
        <v>388</v>
      </c>
      <c r="D253" s="15" t="s">
        <v>592</v>
      </c>
      <c r="E253" s="15" t="s">
        <v>623</v>
      </c>
      <c r="F253" s="15" t="s">
        <v>3017</v>
      </c>
      <c r="G253" s="15" t="s">
        <v>3018</v>
      </c>
      <c r="H253" s="33" t="n">
        <f aca="false">Packages!$X$28+Packages!$Y$28</f>
        <v>1789.93420416159</v>
      </c>
      <c r="I253" s="15" t="s">
        <v>3019</v>
      </c>
      <c r="J253" s="34" t="n">
        <f aca="false">MAX(1,ROUNDUP((Packages!$X$28/R_EXS+Packages!$Y$28/R_EXO)/Fronts!$J$6,0))</f>
        <v>4</v>
      </c>
      <c r="K253" s="34" t="n">
        <f aca="false">IF(J253=0,0,ROUNDUP(J253*7/WD,0))</f>
        <v>5</v>
      </c>
      <c r="L253" s="15" t="s">
        <v>3358</v>
      </c>
      <c r="M253" s="34" t="n">
        <f aca="false">IF(K252=0,0,ROUNDUP((K252-ROUNDUP(DW_DRAW*7/WD,0))*LADDER,0)+ROUNDUP(DW_DRAW*7/WD,0))</f>
        <v>11</v>
      </c>
      <c r="N253" s="34" t="n">
        <f aca="false">IF(K253=0,0,FFLAG)</f>
        <v>2</v>
      </c>
      <c r="O253" s="15" t="s">
        <v>3361</v>
      </c>
      <c r="P253" s="16" t="n">
        <f aca="false">MAX(P252+M253,R242,P242,P220,P209)</f>
        <v>46485</v>
      </c>
      <c r="Q253" s="16" t="n">
        <f aca="false">MAX(P253+K253,Q252+N253)</f>
        <v>46490</v>
      </c>
      <c r="R253" s="16" t="n">
        <f aca="false">IF(K253&gt;0,Q253,R242)</f>
        <v>46490</v>
      </c>
      <c r="S253" s="15" t="s">
        <v>3345</v>
      </c>
    </row>
    <row r="254" customFormat="false" ht="15" hidden="false" customHeight="false" outlineLevel="0" collapsed="false">
      <c r="A254" s="15" t="s">
        <v>3362</v>
      </c>
      <c r="B254" s="15" t="s">
        <v>3353</v>
      </c>
      <c r="C254" s="15" t="s">
        <v>388</v>
      </c>
      <c r="D254" s="15" t="s">
        <v>592</v>
      </c>
      <c r="E254" s="15" t="s">
        <v>623</v>
      </c>
      <c r="F254" s="15" t="s">
        <v>3022</v>
      </c>
      <c r="G254" s="15" t="s">
        <v>3023</v>
      </c>
      <c r="H254" s="33" t="n">
        <f aca="false">Packages!$O$28</f>
        <v>123.199999999879</v>
      </c>
      <c r="I254" s="15" t="s">
        <v>118</v>
      </c>
      <c r="J254" s="34" t="n">
        <f aca="false">MAX(1,ROUNDUP(Packages!$O$28/(R_SLAB*Fronts!$K$6),0))+SLAB_CURE</f>
        <v>9</v>
      </c>
      <c r="K254" s="34" t="n">
        <f aca="false">IF(J254=0,0,ROUNDUP(J254*7/WD,0))</f>
        <v>11</v>
      </c>
      <c r="L254" s="15" t="s">
        <v>3360</v>
      </c>
      <c r="M254" s="34" t="n">
        <f aca="false">ROUNDUP(K253*LADDER,0)</f>
        <v>2</v>
      </c>
      <c r="N254" s="34" t="n">
        <f aca="false">IF(K254=0,0,FFLAG)</f>
        <v>2</v>
      </c>
      <c r="O254" s="15"/>
      <c r="P254" s="16" t="n">
        <f aca="false">MAX(P253+M254,R243)</f>
        <v>46502</v>
      </c>
      <c r="Q254" s="16" t="n">
        <f aca="false">MAX(P254+K254,Q253+N254)</f>
        <v>46513</v>
      </c>
      <c r="R254" s="16" t="n">
        <f aca="false">IF(K254&gt;0,Q254,R243)</f>
        <v>46513</v>
      </c>
      <c r="S254" s="15" t="s">
        <v>3346</v>
      </c>
    </row>
    <row r="255" customFormat="false" ht="15" hidden="false" customHeight="false" outlineLevel="0" collapsed="false">
      <c r="A255" s="15" t="s">
        <v>3363</v>
      </c>
      <c r="B255" s="15" t="s">
        <v>3353</v>
      </c>
      <c r="C255" s="15" t="s">
        <v>388</v>
      </c>
      <c r="D255" s="15" t="s">
        <v>592</v>
      </c>
      <c r="E255" s="15" t="s">
        <v>623</v>
      </c>
      <c r="F255" s="15" t="s">
        <v>3025</v>
      </c>
      <c r="G255" s="15" t="s">
        <v>3026</v>
      </c>
      <c r="H255" s="33" t="n">
        <f aca="false">Packages!$O$28</f>
        <v>123.199999999879</v>
      </c>
      <c r="I255" s="15" t="s">
        <v>118</v>
      </c>
      <c r="J255" s="34" t="n">
        <f aca="false">MAX(1,ROUNDUP(Packages!$O$28/(IF(Packages!$N$28&gt;=PIPE_T1,R_PIPE_L,IF(Packages!$N$28&gt;=PIPE_T2,R_PIPE_M,R_PIPE_S))*Fronts!$L$6)+Packages!$M$28*FIT_D+IF(Packages!$G$28&lt;&gt;"Run",TIE_D,0),0))</f>
        <v>4</v>
      </c>
      <c r="K255" s="34" t="n">
        <f aca="false">IF(J255=0,0,ROUNDUP(J255*7/WD,0))</f>
        <v>5</v>
      </c>
      <c r="L255" s="15" t="s">
        <v>3362</v>
      </c>
      <c r="M255" s="34" t="n">
        <f aca="false">ROUNDUP(K254*LADDER,0)</f>
        <v>4</v>
      </c>
      <c r="N255" s="34" t="n">
        <f aca="false">IF(K255=0,0,FFLAG)</f>
        <v>2</v>
      </c>
      <c r="O255" s="15"/>
      <c r="P255" s="16" t="n">
        <f aca="false">MAX(P254+M255,R244)</f>
        <v>46506</v>
      </c>
      <c r="Q255" s="16" t="n">
        <f aca="false">MAX(P255+K255,Q254+N255)</f>
        <v>46515</v>
      </c>
      <c r="R255" s="16" t="n">
        <f aca="false">IF(K255&gt;0,Q255,R244)</f>
        <v>46515</v>
      </c>
      <c r="S255" s="15" t="s">
        <v>3347</v>
      </c>
    </row>
    <row r="256" customFormat="false" ht="15" hidden="false" customHeight="false" outlineLevel="0" collapsed="false">
      <c r="A256" s="15" t="s">
        <v>3364</v>
      </c>
      <c r="B256" s="15" t="s">
        <v>3353</v>
      </c>
      <c r="C256" s="15" t="s">
        <v>388</v>
      </c>
      <c r="D256" s="15" t="s">
        <v>592</v>
      </c>
      <c r="E256" s="15" t="s">
        <v>623</v>
      </c>
      <c r="F256" s="15" t="s">
        <v>3028</v>
      </c>
      <c r="G256" s="15" t="s">
        <v>3029</v>
      </c>
      <c r="H256" s="33" t="n">
        <f aca="false">Packages!$O$28</f>
        <v>123.199999999879</v>
      </c>
      <c r="I256" s="15" t="s">
        <v>118</v>
      </c>
      <c r="J256" s="34" t="n">
        <f aca="false">TEST_D+ROUNDUP(Packages!$O$28/R_TEST,0)</f>
        <v>3</v>
      </c>
      <c r="K256" s="34" t="n">
        <f aca="false">IF(J256=0,0,ROUNDUP(J256*7/WD,0))</f>
        <v>4</v>
      </c>
      <c r="L256" s="15" t="s">
        <v>3363</v>
      </c>
      <c r="M256" s="34" t="n">
        <f aca="false">ROUNDUP(K255*LADDER,0)</f>
        <v>2</v>
      </c>
      <c r="N256" s="34" t="n">
        <f aca="false">IF(K256=0,0,FFLAG)</f>
        <v>2</v>
      </c>
      <c r="O256" s="15"/>
      <c r="P256" s="16" t="n">
        <f aca="false">MAX(P255+M256)</f>
        <v>46508</v>
      </c>
      <c r="Q256" s="16" t="n">
        <f aca="false">MAX(P256+K256,Q255+N256)</f>
        <v>46517</v>
      </c>
      <c r="R256" s="12"/>
      <c r="S256" s="12"/>
    </row>
    <row r="257" customFormat="false" ht="15" hidden="false" customHeight="false" outlineLevel="0" collapsed="false">
      <c r="A257" s="15" t="s">
        <v>3365</v>
      </c>
      <c r="B257" s="15" t="s">
        <v>3353</v>
      </c>
      <c r="C257" s="15" t="s">
        <v>388</v>
      </c>
      <c r="D257" s="15" t="s">
        <v>592</v>
      </c>
      <c r="E257" s="15" t="s">
        <v>623</v>
      </c>
      <c r="F257" s="15" t="s">
        <v>3031</v>
      </c>
      <c r="G257" s="15" t="s">
        <v>3032</v>
      </c>
      <c r="H257" s="33" t="n">
        <f aca="false">Packages!$AB$28</f>
        <v>1100.37809771844</v>
      </c>
      <c r="I257" s="15" t="s">
        <v>3019</v>
      </c>
      <c r="J257" s="34" t="n">
        <f aca="false">MAX(1,ROUNDUP(Packages!$AB$28/(R_BF*Fronts!$M$6),0))</f>
        <v>2</v>
      </c>
      <c r="K257" s="34" t="n">
        <f aca="false">IF(J257=0,0,ROUNDUP(J257*7/WD,0))</f>
        <v>3</v>
      </c>
      <c r="L257" s="15" t="s">
        <v>3364</v>
      </c>
      <c r="M257" s="34" t="n">
        <f aca="false">ROUNDUP(K256*LADDER,0)</f>
        <v>2</v>
      </c>
      <c r="N257" s="34" t="n">
        <f aca="false">IF(K257=0,0,FFLAG)</f>
        <v>2</v>
      </c>
      <c r="O257" s="15" t="s">
        <v>3366</v>
      </c>
      <c r="P257" s="16" t="n">
        <f aca="false">MAX(P256+M257,R246,Q244,Q222,Q211)</f>
        <v>46535</v>
      </c>
      <c r="Q257" s="16" t="n">
        <f aca="false">MAX(P257+K257,Q256+N257)</f>
        <v>46538</v>
      </c>
      <c r="R257" s="16" t="n">
        <f aca="false">IF(K257&gt;0,Q257,R246)</f>
        <v>46538</v>
      </c>
      <c r="S257" s="15" t="s">
        <v>3349</v>
      </c>
    </row>
    <row r="258" customFormat="false" ht="15" hidden="false" customHeight="false" outlineLevel="0" collapsed="false">
      <c r="A258" s="15" t="s">
        <v>3367</v>
      </c>
      <c r="B258" s="15" t="s">
        <v>3353</v>
      </c>
      <c r="C258" s="15" t="s">
        <v>388</v>
      </c>
      <c r="D258" s="15" t="s">
        <v>592</v>
      </c>
      <c r="E258" s="15" t="s">
        <v>623</v>
      </c>
      <c r="F258" s="15" t="s">
        <v>3034</v>
      </c>
      <c r="G258" s="15" t="s">
        <v>3035</v>
      </c>
      <c r="H258" s="33" t="n">
        <f aca="false">Packages!$AD$28</f>
        <v>246.399999999758</v>
      </c>
      <c r="I258" s="15" t="s">
        <v>3012</v>
      </c>
      <c r="J258" s="34" t="n">
        <f aca="false">IF(Packages!$AD$28&gt;0,ROUNDUP(Packages!$AD$28/R_EXT,0),0)+IF(Packages!$AG$28&gt;0,1,0)</f>
        <v>6</v>
      </c>
      <c r="K258" s="34" t="n">
        <f aca="false">IF(J258=0,0,ROUNDUP(J258*7/WD,0))</f>
        <v>7</v>
      </c>
      <c r="L258" s="15" t="s">
        <v>3365</v>
      </c>
      <c r="M258" s="34" t="n">
        <f aca="false">ROUNDUP(K257*LADDER,0)</f>
        <v>1</v>
      </c>
      <c r="N258" s="34" t="n">
        <f aca="false">IF(K258=0,0,FFLAG)</f>
        <v>2</v>
      </c>
      <c r="O258" s="15"/>
      <c r="P258" s="16" t="n">
        <f aca="false">MAX(P257+M258)</f>
        <v>46536</v>
      </c>
      <c r="Q258" s="16" t="n">
        <f aca="false">MAX(P258+K258,Q257+N258)</f>
        <v>46543</v>
      </c>
      <c r="R258" s="12"/>
      <c r="S258" s="12"/>
    </row>
    <row r="259" customFormat="false" ht="15" hidden="false" customHeight="false" outlineLevel="0" collapsed="false">
      <c r="A259" s="15" t="s">
        <v>3368</v>
      </c>
      <c r="B259" s="15" t="s">
        <v>3369</v>
      </c>
      <c r="C259" s="15" t="s">
        <v>388</v>
      </c>
      <c r="D259" s="15" t="s">
        <v>592</v>
      </c>
      <c r="E259" s="15" t="s">
        <v>605</v>
      </c>
      <c r="F259" s="15" t="s">
        <v>2998</v>
      </c>
      <c r="G259" s="15" t="s">
        <v>2999</v>
      </c>
      <c r="H259" s="12"/>
      <c r="I259" s="12"/>
      <c r="J259" s="34" t="n">
        <f aca="false">0</f>
        <v>0</v>
      </c>
      <c r="K259" s="34" t="n">
        <f aca="false">IF(J259=0,0,ROUNDUP(J259*7/WD,0))</f>
        <v>0</v>
      </c>
      <c r="L259" s="12"/>
      <c r="M259" s="12"/>
      <c r="N259" s="12"/>
      <c r="O259" s="15" t="s">
        <v>3000</v>
      </c>
      <c r="P259" s="16" t="n">
        <f aca="false">MAX(START,D_DLU,Packages!$I$29,Packages!$K$29)</f>
        <v>46357</v>
      </c>
      <c r="Q259" s="16" t="n">
        <f aca="false">P259+K259</f>
        <v>46357</v>
      </c>
      <c r="R259" s="12"/>
      <c r="S259" s="12"/>
    </row>
    <row r="260" customFormat="false" ht="15" hidden="false" customHeight="false" outlineLevel="0" collapsed="false">
      <c r="A260" s="15" t="s">
        <v>3370</v>
      </c>
      <c r="B260" s="15" t="s">
        <v>3369</v>
      </c>
      <c r="C260" s="15" t="s">
        <v>388</v>
      </c>
      <c r="D260" s="15" t="s">
        <v>592</v>
      </c>
      <c r="E260" s="15" t="s">
        <v>605</v>
      </c>
      <c r="F260" s="15" t="s">
        <v>3002</v>
      </c>
      <c r="G260" s="15" t="s">
        <v>205</v>
      </c>
      <c r="H260" s="33" t="n">
        <f aca="false">Packages!$O$29</f>
        <v>104.200000000977</v>
      </c>
      <c r="I260" s="15" t="s">
        <v>118</v>
      </c>
      <c r="J260" s="34" t="n">
        <f aca="false">MAX(1,ROUNDUP(Packages!$O$29/R_PLAT,0))</f>
        <v>2</v>
      </c>
      <c r="K260" s="34" t="n">
        <f aca="false">IF(J260=0,0,ROUNDUP(J260*7/WD,0))</f>
        <v>3</v>
      </c>
      <c r="L260" s="15" t="s">
        <v>3368</v>
      </c>
      <c r="M260" s="12"/>
      <c r="N260" s="12"/>
      <c r="O260" s="15" t="s">
        <v>3371</v>
      </c>
      <c r="P260" s="16" t="n">
        <f aca="false">MAX(Q259,P250)</f>
        <v>46468</v>
      </c>
      <c r="Q260" s="16" t="n">
        <f aca="false">P260+K260</f>
        <v>46471</v>
      </c>
      <c r="R260" s="12"/>
      <c r="S260" s="12"/>
    </row>
    <row r="261" customFormat="false" ht="15" hidden="false" customHeight="false" outlineLevel="0" collapsed="false">
      <c r="A261" s="15" t="s">
        <v>3372</v>
      </c>
      <c r="B261" s="15" t="s">
        <v>3369</v>
      </c>
      <c r="C261" s="15" t="s">
        <v>388</v>
      </c>
      <c r="D261" s="15" t="s">
        <v>592</v>
      </c>
      <c r="E261" s="15" t="s">
        <v>605</v>
      </c>
      <c r="F261" s="15" t="s">
        <v>3005</v>
      </c>
      <c r="G261" s="15" t="s">
        <v>3006</v>
      </c>
      <c r="H261" s="33" t="n">
        <f aca="false">Packages!$AC$29</f>
        <v>72</v>
      </c>
      <c r="I261" s="15" t="s">
        <v>3007</v>
      </c>
      <c r="J261" s="34" t="n">
        <f aca="false">IF(Packages!$AC$29=0,0,MAX(1,ROUNDUP(Packages!$AC$29/(R_PILE*Fronts!$H$6),0)))</f>
        <v>8</v>
      </c>
      <c r="K261" s="34" t="n">
        <f aca="false">IF(J261=0,0,ROUNDUP(J261*7/WD,0))</f>
        <v>10</v>
      </c>
      <c r="L261" s="15" t="s">
        <v>3370</v>
      </c>
      <c r="M261" s="34" t="n">
        <f aca="false">ROUNDUP(K260*LADDER,0)</f>
        <v>1</v>
      </c>
      <c r="N261" s="34" t="n">
        <f aca="false">IF(K261=0,0,FFLAG)</f>
        <v>2</v>
      </c>
      <c r="O261" s="15" t="s">
        <v>3008</v>
      </c>
      <c r="P261" s="16" t="n">
        <f aca="false">MAX(P260+M261,D_PILEDES,R250)</f>
        <v>46479</v>
      </c>
      <c r="Q261" s="16" t="n">
        <f aca="false">MAX(P261+K261,Q260+N261)</f>
        <v>46489</v>
      </c>
      <c r="R261" s="16" t="n">
        <f aca="false">IF(K261&gt;0,Q261,R250)</f>
        <v>46489</v>
      </c>
      <c r="S261" s="15" t="s">
        <v>3356</v>
      </c>
    </row>
    <row r="262" customFormat="false" ht="15" hidden="false" customHeight="false" outlineLevel="0" collapsed="false">
      <c r="A262" s="15" t="s">
        <v>3373</v>
      </c>
      <c r="B262" s="15" t="s">
        <v>3369</v>
      </c>
      <c r="C262" s="15" t="s">
        <v>388</v>
      </c>
      <c r="D262" s="15" t="s">
        <v>592</v>
      </c>
      <c r="E262" s="15" t="s">
        <v>605</v>
      </c>
      <c r="F262" s="15" t="s">
        <v>3010</v>
      </c>
      <c r="G262" s="15" t="s">
        <v>3011</v>
      </c>
      <c r="H262" s="33" t="n">
        <f aca="false">Packages!$AD$29</f>
        <v>116.600000000996</v>
      </c>
      <c r="I262" s="15" t="s">
        <v>3012</v>
      </c>
      <c r="J262" s="34" t="n">
        <f aca="false">IF(Packages!$AD$29=0,0,MAX(1,ROUNDUP(Packages!$AD$29/(R_SHEET*Fronts!$I$6),0)))</f>
        <v>3</v>
      </c>
      <c r="K262" s="34" t="n">
        <f aca="false">IF(J262=0,0,ROUNDUP(J262*7/WD,0))</f>
        <v>4</v>
      </c>
      <c r="L262" s="15" t="s">
        <v>3372</v>
      </c>
      <c r="M262" s="34" t="n">
        <f aca="false">ROUNDUP(K261*LADDER,0)</f>
        <v>3</v>
      </c>
      <c r="N262" s="34" t="n">
        <f aca="false">IF(K262=0,0,FFLAG)</f>
        <v>2</v>
      </c>
      <c r="O262" s="15"/>
      <c r="P262" s="16" t="n">
        <f aca="false">MAX(P261+M262,R251)</f>
        <v>46482</v>
      </c>
      <c r="Q262" s="16" t="n">
        <f aca="false">MAX(P262+K262,Q261+N262)</f>
        <v>46491</v>
      </c>
      <c r="R262" s="16" t="n">
        <f aca="false">IF(K262&gt;0,Q262,R251)</f>
        <v>46491</v>
      </c>
      <c r="S262" s="15" t="s">
        <v>3357</v>
      </c>
    </row>
    <row r="263" customFormat="false" ht="15" hidden="false" customHeight="false" outlineLevel="0" collapsed="false">
      <c r="A263" s="15" t="s">
        <v>3374</v>
      </c>
      <c r="B263" s="15" t="s">
        <v>3369</v>
      </c>
      <c r="C263" s="15" t="s">
        <v>388</v>
      </c>
      <c r="D263" s="15" t="s">
        <v>592</v>
      </c>
      <c r="E263" s="15" t="s">
        <v>605</v>
      </c>
      <c r="F263" s="15" t="s">
        <v>3014</v>
      </c>
      <c r="G263" s="15" t="s">
        <v>3015</v>
      </c>
      <c r="H263" s="33" t="n">
        <f aca="false">Packages!$O$29</f>
        <v>104.200000000977</v>
      </c>
      <c r="I263" s="15" t="s">
        <v>118</v>
      </c>
      <c r="J263" s="34" t="n">
        <f aca="false">IF(Packages!$AG$29=0,0,ROUNDUP(Packages!$O$29/R_DW,0)+DW_DRAW)</f>
        <v>10</v>
      </c>
      <c r="K263" s="34" t="n">
        <f aca="false">IF(J263=0,0,ROUNDUP(J263*7/WD,0))</f>
        <v>12</v>
      </c>
      <c r="L263" s="15" t="s">
        <v>3373</v>
      </c>
      <c r="M263" s="34" t="n">
        <f aca="false">ROUNDUP(K262*LADDER,0)</f>
        <v>2</v>
      </c>
      <c r="N263" s="34" t="n">
        <f aca="false">IF(K263=0,0,FFLAG)</f>
        <v>2</v>
      </c>
      <c r="O263" s="15" t="s">
        <v>3375</v>
      </c>
      <c r="P263" s="16" t="n">
        <f aca="false">MAX(P262+M263,Q253-K263)</f>
        <v>46484</v>
      </c>
      <c r="Q263" s="16" t="n">
        <f aca="false">MAX(P263+K263,Q262+N263)</f>
        <v>46496</v>
      </c>
      <c r="R263" s="12"/>
      <c r="S263" s="12"/>
    </row>
    <row r="264" customFormat="false" ht="15" hidden="false" customHeight="false" outlineLevel="0" collapsed="false">
      <c r="A264" s="15" t="s">
        <v>3376</v>
      </c>
      <c r="B264" s="15" t="s">
        <v>3369</v>
      </c>
      <c r="C264" s="15" t="s">
        <v>388</v>
      </c>
      <c r="D264" s="15" t="s">
        <v>592</v>
      </c>
      <c r="E264" s="15" t="s">
        <v>605</v>
      </c>
      <c r="F264" s="15" t="s">
        <v>3017</v>
      </c>
      <c r="G264" s="15" t="s">
        <v>3018</v>
      </c>
      <c r="H264" s="33" t="n">
        <f aca="false">Packages!$X$29+Packages!$Y$29</f>
        <v>2384.86716139959</v>
      </c>
      <c r="I264" s="15" t="s">
        <v>3019</v>
      </c>
      <c r="J264" s="34" t="n">
        <f aca="false">MAX(1,ROUNDUP((Packages!$X$29/R_EXS+Packages!$Y$29/R_EXO)/Fronts!$J$6,0))</f>
        <v>4</v>
      </c>
      <c r="K264" s="34" t="n">
        <f aca="false">IF(J264=0,0,ROUNDUP(J264*7/WD,0))</f>
        <v>5</v>
      </c>
      <c r="L264" s="15" t="s">
        <v>3374</v>
      </c>
      <c r="M264" s="34" t="n">
        <f aca="false">IF(K263=0,0,ROUNDUP((K263-ROUNDUP(DW_DRAW*7/WD,0))*LADDER,0)+ROUNDUP(DW_DRAW*7/WD,0))</f>
        <v>10</v>
      </c>
      <c r="N264" s="34" t="n">
        <f aca="false">IF(K264=0,0,FFLAG)</f>
        <v>2</v>
      </c>
      <c r="O264" s="15" t="s">
        <v>3377</v>
      </c>
      <c r="P264" s="16" t="n">
        <f aca="false">MAX(P263+M264,R253,P242,P220)</f>
        <v>46494</v>
      </c>
      <c r="Q264" s="16" t="n">
        <f aca="false">MAX(P264+K264,Q263+N264)</f>
        <v>46499</v>
      </c>
      <c r="R264" s="16" t="n">
        <f aca="false">IF(K264&gt;0,Q264,R253)</f>
        <v>46499</v>
      </c>
      <c r="S264" s="15" t="s">
        <v>3360</v>
      </c>
    </row>
    <row r="265" customFormat="false" ht="15" hidden="false" customHeight="false" outlineLevel="0" collapsed="false">
      <c r="A265" s="15" t="s">
        <v>3378</v>
      </c>
      <c r="B265" s="15" t="s">
        <v>3369</v>
      </c>
      <c r="C265" s="15" t="s">
        <v>388</v>
      </c>
      <c r="D265" s="15" t="s">
        <v>592</v>
      </c>
      <c r="E265" s="15" t="s">
        <v>605</v>
      </c>
      <c r="F265" s="15" t="s">
        <v>3022</v>
      </c>
      <c r="G265" s="15" t="s">
        <v>3023</v>
      </c>
      <c r="H265" s="33" t="n">
        <f aca="false">Packages!$O$29</f>
        <v>104.200000000977</v>
      </c>
      <c r="I265" s="15" t="s">
        <v>118</v>
      </c>
      <c r="J265" s="34" t="n">
        <f aca="false">MAX(1,ROUNDUP(Packages!$O$29/(R_SLAB*Fronts!$K$6),0))+SLAB_CURE</f>
        <v>8</v>
      </c>
      <c r="K265" s="34" t="n">
        <f aca="false">IF(J265=0,0,ROUNDUP(J265*7/WD,0))</f>
        <v>10</v>
      </c>
      <c r="L265" s="15" t="s">
        <v>3376</v>
      </c>
      <c r="M265" s="34" t="n">
        <f aca="false">ROUNDUP(K264*LADDER,0)</f>
        <v>2</v>
      </c>
      <c r="N265" s="34" t="n">
        <f aca="false">IF(K265=0,0,FFLAG)</f>
        <v>2</v>
      </c>
      <c r="O265" s="15"/>
      <c r="P265" s="16" t="n">
        <f aca="false">MAX(P264+M265,R254)</f>
        <v>46513</v>
      </c>
      <c r="Q265" s="16" t="n">
        <f aca="false">MAX(P265+K265,Q264+N265)</f>
        <v>46523</v>
      </c>
      <c r="R265" s="16" t="n">
        <f aca="false">IF(K265&gt;0,Q265,R254)</f>
        <v>46523</v>
      </c>
      <c r="S265" s="15" t="s">
        <v>3362</v>
      </c>
    </row>
    <row r="266" customFormat="false" ht="15" hidden="false" customHeight="false" outlineLevel="0" collapsed="false">
      <c r="A266" s="15" t="s">
        <v>3379</v>
      </c>
      <c r="B266" s="15" t="s">
        <v>3369</v>
      </c>
      <c r="C266" s="15" t="s">
        <v>388</v>
      </c>
      <c r="D266" s="15" t="s">
        <v>592</v>
      </c>
      <c r="E266" s="15" t="s">
        <v>605</v>
      </c>
      <c r="F266" s="15" t="s">
        <v>3025</v>
      </c>
      <c r="G266" s="15" t="s">
        <v>3026</v>
      </c>
      <c r="H266" s="33" t="n">
        <f aca="false">Packages!$O$29</f>
        <v>104.200000000977</v>
      </c>
      <c r="I266" s="15" t="s">
        <v>118</v>
      </c>
      <c r="J266" s="34" t="n">
        <f aca="false">MAX(1,ROUNDUP(Packages!$O$29/(IF(Packages!$N$29&gt;=PIPE_T1,R_PIPE_L,IF(Packages!$N$29&gt;=PIPE_T2,R_PIPE_M,R_PIPE_S))*Fronts!$L$6)+Packages!$M$29*FIT_D+IF(Packages!$G$29&lt;&gt;"Run",TIE_D,0),0))</f>
        <v>5</v>
      </c>
      <c r="K266" s="34" t="n">
        <f aca="false">IF(J266=0,0,ROUNDUP(J266*7/WD,0))</f>
        <v>6</v>
      </c>
      <c r="L266" s="15" t="s">
        <v>3378</v>
      </c>
      <c r="M266" s="34" t="n">
        <f aca="false">ROUNDUP(K265*LADDER,0)</f>
        <v>3</v>
      </c>
      <c r="N266" s="34" t="n">
        <f aca="false">IF(K266=0,0,FFLAG)</f>
        <v>2</v>
      </c>
      <c r="O266" s="15"/>
      <c r="P266" s="16" t="n">
        <f aca="false">MAX(P265+M266,R255)</f>
        <v>46516</v>
      </c>
      <c r="Q266" s="16" t="n">
        <f aca="false">MAX(P266+K266,Q265+N266)</f>
        <v>46525</v>
      </c>
      <c r="R266" s="16" t="n">
        <f aca="false">IF(K266&gt;0,Q266,R255)</f>
        <v>46525</v>
      </c>
      <c r="S266" s="15" t="s">
        <v>3363</v>
      </c>
    </row>
    <row r="267" customFormat="false" ht="15" hidden="false" customHeight="false" outlineLevel="0" collapsed="false">
      <c r="A267" s="15" t="s">
        <v>3380</v>
      </c>
      <c r="B267" s="15" t="s">
        <v>3369</v>
      </c>
      <c r="C267" s="15" t="s">
        <v>388</v>
      </c>
      <c r="D267" s="15" t="s">
        <v>592</v>
      </c>
      <c r="E267" s="15" t="s">
        <v>605</v>
      </c>
      <c r="F267" s="15" t="s">
        <v>3028</v>
      </c>
      <c r="G267" s="15" t="s">
        <v>3029</v>
      </c>
      <c r="H267" s="33" t="n">
        <f aca="false">Packages!$O$29</f>
        <v>104.200000000977</v>
      </c>
      <c r="I267" s="15" t="s">
        <v>118</v>
      </c>
      <c r="J267" s="34" t="n">
        <f aca="false">TEST_D+ROUNDUP(Packages!$O$29/R_TEST,0)</f>
        <v>3</v>
      </c>
      <c r="K267" s="34" t="n">
        <f aca="false">IF(J267=0,0,ROUNDUP(J267*7/WD,0))</f>
        <v>4</v>
      </c>
      <c r="L267" s="15" t="s">
        <v>3379</v>
      </c>
      <c r="M267" s="34" t="n">
        <f aca="false">ROUNDUP(K266*LADDER,0)</f>
        <v>2</v>
      </c>
      <c r="N267" s="34" t="n">
        <f aca="false">IF(K267=0,0,FFLAG)</f>
        <v>2</v>
      </c>
      <c r="O267" s="15"/>
      <c r="P267" s="16" t="n">
        <f aca="false">MAX(P266+M267)</f>
        <v>46518</v>
      </c>
      <c r="Q267" s="16" t="n">
        <f aca="false">MAX(P267+K267,Q266+N267)</f>
        <v>46527</v>
      </c>
      <c r="R267" s="12"/>
      <c r="S267" s="12"/>
    </row>
    <row r="268" customFormat="false" ht="15" hidden="false" customHeight="false" outlineLevel="0" collapsed="false">
      <c r="A268" s="15" t="s">
        <v>3381</v>
      </c>
      <c r="B268" s="15" t="s">
        <v>3369</v>
      </c>
      <c r="C268" s="15" t="s">
        <v>388</v>
      </c>
      <c r="D268" s="15" t="s">
        <v>592</v>
      </c>
      <c r="E268" s="15" t="s">
        <v>605</v>
      </c>
      <c r="F268" s="15" t="s">
        <v>3031</v>
      </c>
      <c r="G268" s="15" t="s">
        <v>3032</v>
      </c>
      <c r="H268" s="33" t="n">
        <f aca="false">Packages!$AB$29</f>
        <v>1801.65430164632</v>
      </c>
      <c r="I268" s="15" t="s">
        <v>3019</v>
      </c>
      <c r="J268" s="34" t="n">
        <f aca="false">MAX(1,ROUNDUP(Packages!$AB$29/(R_BF*Fronts!$M$6),0))</f>
        <v>3</v>
      </c>
      <c r="K268" s="34" t="n">
        <f aca="false">IF(J268=0,0,ROUNDUP(J268*7/WD,0))</f>
        <v>4</v>
      </c>
      <c r="L268" s="15" t="s">
        <v>3380</v>
      </c>
      <c r="M268" s="34" t="n">
        <f aca="false">ROUNDUP(K267*LADDER,0)</f>
        <v>2</v>
      </c>
      <c r="N268" s="34" t="n">
        <f aca="false">IF(K268=0,0,FFLAG)</f>
        <v>2</v>
      </c>
      <c r="O268" s="15" t="s">
        <v>3382</v>
      </c>
      <c r="P268" s="16" t="n">
        <f aca="false">MAX(P267+M268,R257,Q244,Q222)</f>
        <v>46538</v>
      </c>
      <c r="Q268" s="16" t="n">
        <f aca="false">MAX(P268+K268,Q267+N268)</f>
        <v>46542</v>
      </c>
      <c r="R268" s="16" t="n">
        <f aca="false">IF(K268&gt;0,Q268,R257)</f>
        <v>46542</v>
      </c>
      <c r="S268" s="15" t="s">
        <v>3365</v>
      </c>
    </row>
    <row r="269" customFormat="false" ht="15" hidden="false" customHeight="false" outlineLevel="0" collapsed="false">
      <c r="A269" s="15" t="s">
        <v>3383</v>
      </c>
      <c r="B269" s="15" t="s">
        <v>3369</v>
      </c>
      <c r="C269" s="15" t="s">
        <v>388</v>
      </c>
      <c r="D269" s="15" t="s">
        <v>592</v>
      </c>
      <c r="E269" s="15" t="s">
        <v>605</v>
      </c>
      <c r="F269" s="15" t="s">
        <v>3034</v>
      </c>
      <c r="G269" s="15" t="s">
        <v>3035</v>
      </c>
      <c r="H269" s="33" t="n">
        <f aca="false">Packages!$AD$29</f>
        <v>116.600000000996</v>
      </c>
      <c r="I269" s="15" t="s">
        <v>3012</v>
      </c>
      <c r="J269" s="34" t="n">
        <f aca="false">IF(Packages!$AD$29&gt;0,ROUNDUP(Packages!$AD$29/R_EXT,0),0)+IF(Packages!$AG$29&gt;0,1,0)</f>
        <v>4</v>
      </c>
      <c r="K269" s="34" t="n">
        <f aca="false">IF(J269=0,0,ROUNDUP(J269*7/WD,0))</f>
        <v>5</v>
      </c>
      <c r="L269" s="15" t="s">
        <v>3381</v>
      </c>
      <c r="M269" s="34" t="n">
        <f aca="false">ROUNDUP(K268*LADDER,0)</f>
        <v>2</v>
      </c>
      <c r="N269" s="34" t="n">
        <f aca="false">IF(K269=0,0,FFLAG)</f>
        <v>2</v>
      </c>
      <c r="O269" s="15"/>
      <c r="P269" s="16" t="n">
        <f aca="false">MAX(P268+M269)</f>
        <v>46540</v>
      </c>
      <c r="Q269" s="16" t="n">
        <f aca="false">MAX(P269+K269,Q268+N269)</f>
        <v>46545</v>
      </c>
      <c r="R269" s="12"/>
      <c r="S269" s="12"/>
    </row>
    <row r="270" customFormat="false" ht="15" hidden="false" customHeight="false" outlineLevel="0" collapsed="false">
      <c r="A270" s="15" t="s">
        <v>3384</v>
      </c>
      <c r="B270" s="15" t="s">
        <v>3385</v>
      </c>
      <c r="C270" s="15" t="s">
        <v>388</v>
      </c>
      <c r="D270" s="15" t="s">
        <v>592</v>
      </c>
      <c r="E270" s="15" t="s">
        <v>595</v>
      </c>
      <c r="F270" s="15" t="s">
        <v>2998</v>
      </c>
      <c r="G270" s="15" t="s">
        <v>2999</v>
      </c>
      <c r="H270" s="12"/>
      <c r="I270" s="12"/>
      <c r="J270" s="34" t="n">
        <f aca="false">0</f>
        <v>0</v>
      </c>
      <c r="K270" s="34" t="n">
        <f aca="false">IF(J270=0,0,ROUNDUP(J270*7/WD,0))</f>
        <v>0</v>
      </c>
      <c r="L270" s="12"/>
      <c r="M270" s="12"/>
      <c r="N270" s="12"/>
      <c r="O270" s="15" t="s">
        <v>3000</v>
      </c>
      <c r="P270" s="16" t="n">
        <f aca="false">MAX(START,D_DLU,Packages!$I$30,Packages!$K$30)</f>
        <v>46357</v>
      </c>
      <c r="Q270" s="16" t="n">
        <f aca="false">P270+K270</f>
        <v>46357</v>
      </c>
      <c r="R270" s="12"/>
      <c r="S270" s="12"/>
    </row>
    <row r="271" customFormat="false" ht="15" hidden="false" customHeight="false" outlineLevel="0" collapsed="false">
      <c r="A271" s="15" t="s">
        <v>3386</v>
      </c>
      <c r="B271" s="15" t="s">
        <v>3385</v>
      </c>
      <c r="C271" s="15" t="s">
        <v>388</v>
      </c>
      <c r="D271" s="15" t="s">
        <v>592</v>
      </c>
      <c r="E271" s="15" t="s">
        <v>595</v>
      </c>
      <c r="F271" s="15" t="s">
        <v>3002</v>
      </c>
      <c r="G271" s="15" t="s">
        <v>205</v>
      </c>
      <c r="H271" s="33" t="n">
        <f aca="false">Packages!$O$30</f>
        <v>48.09999999922</v>
      </c>
      <c r="I271" s="15" t="s">
        <v>118</v>
      </c>
      <c r="J271" s="34" t="n">
        <f aca="false">MAX(1,ROUNDUP(Packages!$O$30/R_PLAT,0))</f>
        <v>1</v>
      </c>
      <c r="K271" s="34" t="n">
        <f aca="false">IF(J271=0,0,ROUNDUP(J271*7/WD,0))</f>
        <v>2</v>
      </c>
      <c r="L271" s="15" t="s">
        <v>3384</v>
      </c>
      <c r="M271" s="12"/>
      <c r="N271" s="12"/>
      <c r="O271" s="15" t="s">
        <v>3387</v>
      </c>
      <c r="P271" s="16" t="n">
        <f aca="false">MAX(Q270,P261)</f>
        <v>46479</v>
      </c>
      <c r="Q271" s="16" t="n">
        <f aca="false">P271+K271</f>
        <v>46481</v>
      </c>
      <c r="R271" s="12"/>
      <c r="S271" s="12"/>
    </row>
    <row r="272" customFormat="false" ht="15" hidden="false" customHeight="false" outlineLevel="0" collapsed="false">
      <c r="A272" s="15" t="s">
        <v>3388</v>
      </c>
      <c r="B272" s="15" t="s">
        <v>3385</v>
      </c>
      <c r="C272" s="15" t="s">
        <v>388</v>
      </c>
      <c r="D272" s="15" t="s">
        <v>592</v>
      </c>
      <c r="E272" s="15" t="s">
        <v>595</v>
      </c>
      <c r="F272" s="15" t="s">
        <v>3005</v>
      </c>
      <c r="G272" s="15" t="s">
        <v>3006</v>
      </c>
      <c r="H272" s="33" t="n">
        <f aca="false">Packages!$AC$30</f>
        <v>36</v>
      </c>
      <c r="I272" s="15" t="s">
        <v>3007</v>
      </c>
      <c r="J272" s="34" t="n">
        <f aca="false">IF(Packages!$AC$30=0,0,MAX(1,ROUNDUP(Packages!$AC$30/(R_PILE*Fronts!$H$6),0)))</f>
        <v>4</v>
      </c>
      <c r="K272" s="34" t="n">
        <f aca="false">IF(J272=0,0,ROUNDUP(J272*7/WD,0))</f>
        <v>5</v>
      </c>
      <c r="L272" s="15" t="s">
        <v>3386</v>
      </c>
      <c r="M272" s="34" t="n">
        <f aca="false">ROUNDUP(K271*LADDER,0)</f>
        <v>1</v>
      </c>
      <c r="N272" s="34" t="n">
        <f aca="false">IF(K272=0,0,FFLAG)</f>
        <v>2</v>
      </c>
      <c r="O272" s="15" t="s">
        <v>3008</v>
      </c>
      <c r="P272" s="16" t="n">
        <f aca="false">MAX(P271+M272,D_PILEDES,R261)</f>
        <v>46489</v>
      </c>
      <c r="Q272" s="16" t="n">
        <f aca="false">MAX(P272+K272,Q271+N272)</f>
        <v>46494</v>
      </c>
      <c r="R272" s="16" t="n">
        <f aca="false">IF(K272&gt;0,Q272,R261)</f>
        <v>46494</v>
      </c>
      <c r="S272" s="15" t="s">
        <v>3372</v>
      </c>
    </row>
    <row r="273" customFormat="false" ht="15" hidden="false" customHeight="false" outlineLevel="0" collapsed="false">
      <c r="A273" s="15" t="s">
        <v>3389</v>
      </c>
      <c r="B273" s="15" t="s">
        <v>3385</v>
      </c>
      <c r="C273" s="15" t="s">
        <v>388</v>
      </c>
      <c r="D273" s="15" t="s">
        <v>592</v>
      </c>
      <c r="E273" s="15" t="s">
        <v>595</v>
      </c>
      <c r="F273" s="15" t="s">
        <v>3010</v>
      </c>
      <c r="G273" s="15" t="s">
        <v>3011</v>
      </c>
      <c r="H273" s="33" t="n">
        <f aca="false">Packages!$AD$30</f>
        <v>0</v>
      </c>
      <c r="I273" s="15" t="s">
        <v>3012</v>
      </c>
      <c r="J273" s="34" t="n">
        <f aca="false">IF(Packages!$AD$30=0,0,MAX(1,ROUNDUP(Packages!$AD$30/(R_SHEET*Fronts!$I$6),0)))</f>
        <v>0</v>
      </c>
      <c r="K273" s="34" t="n">
        <f aca="false">IF(J273=0,0,ROUNDUP(J273*7/WD,0))</f>
        <v>0</v>
      </c>
      <c r="L273" s="15" t="s">
        <v>3388</v>
      </c>
      <c r="M273" s="34" t="n">
        <f aca="false">ROUNDUP(K272*LADDER,0)</f>
        <v>2</v>
      </c>
      <c r="N273" s="34" t="n">
        <f aca="false">IF(K273=0,0,FFLAG)</f>
        <v>0</v>
      </c>
      <c r="O273" s="15"/>
      <c r="P273" s="16" t="n">
        <f aca="false">MAX(P272+M273,R262)</f>
        <v>46491</v>
      </c>
      <c r="Q273" s="16" t="n">
        <f aca="false">MAX(P273+K273,Q272+N273)</f>
        <v>46494</v>
      </c>
      <c r="R273" s="16" t="n">
        <f aca="false">IF(K273&gt;0,Q273,R262)</f>
        <v>46491</v>
      </c>
      <c r="S273" s="15" t="s">
        <v>3373</v>
      </c>
    </row>
    <row r="274" customFormat="false" ht="15" hidden="false" customHeight="false" outlineLevel="0" collapsed="false">
      <c r="A274" s="15" t="s">
        <v>3390</v>
      </c>
      <c r="B274" s="15" t="s">
        <v>3385</v>
      </c>
      <c r="C274" s="15" t="s">
        <v>388</v>
      </c>
      <c r="D274" s="15" t="s">
        <v>592</v>
      </c>
      <c r="E274" s="15" t="s">
        <v>595</v>
      </c>
      <c r="F274" s="15" t="s">
        <v>3014</v>
      </c>
      <c r="G274" s="15" t="s">
        <v>3015</v>
      </c>
      <c r="H274" s="33" t="n">
        <f aca="false">Packages!$O$30</f>
        <v>48.09999999922</v>
      </c>
      <c r="I274" s="15" t="s">
        <v>118</v>
      </c>
      <c r="J274" s="34" t="n">
        <f aca="false">IF(Packages!$AG$30=0,0,ROUNDUP(Packages!$O$30/R_DW,0)+DW_DRAW)</f>
        <v>9</v>
      </c>
      <c r="K274" s="34" t="n">
        <f aca="false">IF(J274=0,0,ROUNDUP(J274*7/WD,0))</f>
        <v>11</v>
      </c>
      <c r="L274" s="15" t="s">
        <v>3389</v>
      </c>
      <c r="M274" s="34" t="n">
        <f aca="false">ROUNDUP(K273*LADDER,0)</f>
        <v>0</v>
      </c>
      <c r="N274" s="34" t="n">
        <f aca="false">IF(K274=0,0,FFLAG)</f>
        <v>2</v>
      </c>
      <c r="O274" s="15" t="s">
        <v>3391</v>
      </c>
      <c r="P274" s="16" t="n">
        <f aca="false">MAX(P273+M274,Q264-K274)</f>
        <v>46491</v>
      </c>
      <c r="Q274" s="16" t="n">
        <f aca="false">MAX(P274+K274,Q273+N274)</f>
        <v>46502</v>
      </c>
      <c r="R274" s="12"/>
      <c r="S274" s="12"/>
    </row>
    <row r="275" customFormat="false" ht="15" hidden="false" customHeight="false" outlineLevel="0" collapsed="false">
      <c r="A275" s="15" t="s">
        <v>3392</v>
      </c>
      <c r="B275" s="15" t="s">
        <v>3385</v>
      </c>
      <c r="C275" s="15" t="s">
        <v>388</v>
      </c>
      <c r="D275" s="15" t="s">
        <v>592</v>
      </c>
      <c r="E275" s="15" t="s">
        <v>595</v>
      </c>
      <c r="F275" s="15" t="s">
        <v>3017</v>
      </c>
      <c r="G275" s="15" t="s">
        <v>3018</v>
      </c>
      <c r="H275" s="33" t="n">
        <f aca="false">Packages!$X$30+Packages!$Y$30</f>
        <v>1502.70666309794</v>
      </c>
      <c r="I275" s="15" t="s">
        <v>3019</v>
      </c>
      <c r="J275" s="34" t="n">
        <f aca="false">MAX(1,ROUNDUP((Packages!$X$30/R_EXS+Packages!$Y$30/R_EXO)/Fronts!$J$6,0))</f>
        <v>2</v>
      </c>
      <c r="K275" s="34" t="n">
        <f aca="false">IF(J275=0,0,ROUNDUP(J275*7/WD,0))</f>
        <v>3</v>
      </c>
      <c r="L275" s="15" t="s">
        <v>3390</v>
      </c>
      <c r="M275" s="34" t="n">
        <f aca="false">IF(K274=0,0,ROUNDUP((K274-ROUNDUP(DW_DRAW*7/WD,0))*LADDER,0)+ROUNDUP(DW_DRAW*7/WD,0))</f>
        <v>10</v>
      </c>
      <c r="N275" s="34" t="n">
        <f aca="false">IF(K275=0,0,FFLAG)</f>
        <v>2</v>
      </c>
      <c r="O275" s="15" t="s">
        <v>3393</v>
      </c>
      <c r="P275" s="16" t="n">
        <f aca="false">MAX(P274+M275,R264,P242)</f>
        <v>46501</v>
      </c>
      <c r="Q275" s="16" t="n">
        <f aca="false">MAX(P275+K275,Q274+N275)</f>
        <v>46504</v>
      </c>
      <c r="R275" s="16" t="n">
        <f aca="false">IF(K275&gt;0,Q275,R264)</f>
        <v>46504</v>
      </c>
      <c r="S275" s="15" t="s">
        <v>3376</v>
      </c>
    </row>
    <row r="276" customFormat="false" ht="15" hidden="false" customHeight="false" outlineLevel="0" collapsed="false">
      <c r="A276" s="15" t="s">
        <v>3394</v>
      </c>
      <c r="B276" s="15" t="s">
        <v>3385</v>
      </c>
      <c r="C276" s="15" t="s">
        <v>388</v>
      </c>
      <c r="D276" s="15" t="s">
        <v>592</v>
      </c>
      <c r="E276" s="15" t="s">
        <v>595</v>
      </c>
      <c r="F276" s="15" t="s">
        <v>3022</v>
      </c>
      <c r="G276" s="15" t="s">
        <v>3023</v>
      </c>
      <c r="H276" s="33" t="n">
        <f aca="false">Packages!$O$30</f>
        <v>48.09999999922</v>
      </c>
      <c r="I276" s="15" t="s">
        <v>118</v>
      </c>
      <c r="J276" s="34" t="n">
        <f aca="false">MAX(1,ROUNDUP(Packages!$O$30/(R_SLAB*Fronts!$K$6),0))+SLAB_CURE</f>
        <v>6</v>
      </c>
      <c r="K276" s="34" t="n">
        <f aca="false">IF(J276=0,0,ROUNDUP(J276*7/WD,0))</f>
        <v>7</v>
      </c>
      <c r="L276" s="15" t="s">
        <v>3392</v>
      </c>
      <c r="M276" s="34" t="n">
        <f aca="false">ROUNDUP(K275*LADDER,0)</f>
        <v>1</v>
      </c>
      <c r="N276" s="34" t="n">
        <f aca="false">IF(K276=0,0,FFLAG)</f>
        <v>2</v>
      </c>
      <c r="O276" s="15"/>
      <c r="P276" s="16" t="n">
        <f aca="false">MAX(P275+M276,R265)</f>
        <v>46523</v>
      </c>
      <c r="Q276" s="16" t="n">
        <f aca="false">MAX(P276+K276,Q275+N276)</f>
        <v>46530</v>
      </c>
      <c r="R276" s="16" t="n">
        <f aca="false">IF(K276&gt;0,Q276,R265)</f>
        <v>46530</v>
      </c>
      <c r="S276" s="15" t="s">
        <v>3378</v>
      </c>
    </row>
    <row r="277" customFormat="false" ht="15" hidden="false" customHeight="false" outlineLevel="0" collapsed="false">
      <c r="A277" s="15" t="s">
        <v>3395</v>
      </c>
      <c r="B277" s="15" t="s">
        <v>3385</v>
      </c>
      <c r="C277" s="15" t="s">
        <v>388</v>
      </c>
      <c r="D277" s="15" t="s">
        <v>592</v>
      </c>
      <c r="E277" s="15" t="s">
        <v>595</v>
      </c>
      <c r="F277" s="15" t="s">
        <v>3025</v>
      </c>
      <c r="G277" s="15" t="s">
        <v>3026</v>
      </c>
      <c r="H277" s="33" t="n">
        <f aca="false">Packages!$O$30</f>
        <v>48.09999999922</v>
      </c>
      <c r="I277" s="15" t="s">
        <v>118</v>
      </c>
      <c r="J277" s="34" t="n">
        <f aca="false">MAX(1,ROUNDUP(Packages!$O$30/(IF(Packages!$N$30&gt;=PIPE_T1,R_PIPE_L,IF(Packages!$N$30&gt;=PIPE_T2,R_PIPE_M,R_PIPE_S))*Fronts!$L$6)+Packages!$M$30*FIT_D+IF(Packages!$G$30&lt;&gt;"Run",TIE_D,0),0))</f>
        <v>3</v>
      </c>
      <c r="K277" s="34" t="n">
        <f aca="false">IF(J277=0,0,ROUNDUP(J277*7/WD,0))</f>
        <v>4</v>
      </c>
      <c r="L277" s="15" t="s">
        <v>3394</v>
      </c>
      <c r="M277" s="34" t="n">
        <f aca="false">ROUNDUP(K276*LADDER,0)</f>
        <v>3</v>
      </c>
      <c r="N277" s="34" t="n">
        <f aca="false">IF(K277=0,0,FFLAG)</f>
        <v>2</v>
      </c>
      <c r="O277" s="15"/>
      <c r="P277" s="16" t="n">
        <f aca="false">MAX(P276+M277,R266)</f>
        <v>46526</v>
      </c>
      <c r="Q277" s="16" t="n">
        <f aca="false">MAX(P277+K277,Q276+N277)</f>
        <v>46532</v>
      </c>
      <c r="R277" s="16" t="n">
        <f aca="false">IF(K277&gt;0,Q277,R266)</f>
        <v>46532</v>
      </c>
      <c r="S277" s="15" t="s">
        <v>3379</v>
      </c>
    </row>
    <row r="278" customFormat="false" ht="15" hidden="false" customHeight="false" outlineLevel="0" collapsed="false">
      <c r="A278" s="15" t="s">
        <v>3396</v>
      </c>
      <c r="B278" s="15" t="s">
        <v>3385</v>
      </c>
      <c r="C278" s="15" t="s">
        <v>388</v>
      </c>
      <c r="D278" s="15" t="s">
        <v>592</v>
      </c>
      <c r="E278" s="15" t="s">
        <v>595</v>
      </c>
      <c r="F278" s="15" t="s">
        <v>3028</v>
      </c>
      <c r="G278" s="15" t="s">
        <v>3029</v>
      </c>
      <c r="H278" s="33" t="n">
        <f aca="false">Packages!$O$30</f>
        <v>48.09999999922</v>
      </c>
      <c r="I278" s="15" t="s">
        <v>118</v>
      </c>
      <c r="J278" s="34" t="n">
        <f aca="false">TEST_D+ROUNDUP(Packages!$O$30/R_TEST,0)</f>
        <v>3</v>
      </c>
      <c r="K278" s="34" t="n">
        <f aca="false">IF(J278=0,0,ROUNDUP(J278*7/WD,0))</f>
        <v>4</v>
      </c>
      <c r="L278" s="15" t="s">
        <v>3395</v>
      </c>
      <c r="M278" s="34" t="n">
        <f aca="false">ROUNDUP(K277*LADDER,0)</f>
        <v>2</v>
      </c>
      <c r="N278" s="34" t="n">
        <f aca="false">IF(K278=0,0,FFLAG)</f>
        <v>2</v>
      </c>
      <c r="O278" s="15"/>
      <c r="P278" s="16" t="n">
        <f aca="false">MAX(P277+M278)</f>
        <v>46528</v>
      </c>
      <c r="Q278" s="16" t="n">
        <f aca="false">MAX(P278+K278,Q277+N278)</f>
        <v>46534</v>
      </c>
      <c r="R278" s="12"/>
      <c r="S278" s="12"/>
    </row>
    <row r="279" customFormat="false" ht="15" hidden="false" customHeight="false" outlineLevel="0" collapsed="false">
      <c r="A279" s="15" t="s">
        <v>3397</v>
      </c>
      <c r="B279" s="15" t="s">
        <v>3385</v>
      </c>
      <c r="C279" s="15" t="s">
        <v>388</v>
      </c>
      <c r="D279" s="15" t="s">
        <v>592</v>
      </c>
      <c r="E279" s="15" t="s">
        <v>595</v>
      </c>
      <c r="F279" s="15" t="s">
        <v>3031</v>
      </c>
      <c r="G279" s="15" t="s">
        <v>3032</v>
      </c>
      <c r="H279" s="33" t="n">
        <f aca="false">Packages!$AB$30</f>
        <v>1229.41855065104</v>
      </c>
      <c r="I279" s="15" t="s">
        <v>3019</v>
      </c>
      <c r="J279" s="34" t="n">
        <f aca="false">MAX(1,ROUNDUP(Packages!$AB$30/(R_BF*Fronts!$M$6),0))</f>
        <v>2</v>
      </c>
      <c r="K279" s="34" t="n">
        <f aca="false">IF(J279=0,0,ROUNDUP(J279*7/WD,0))</f>
        <v>3</v>
      </c>
      <c r="L279" s="15" t="s">
        <v>3396</v>
      </c>
      <c r="M279" s="34" t="n">
        <f aca="false">ROUNDUP(K278*LADDER,0)</f>
        <v>2</v>
      </c>
      <c r="N279" s="34" t="n">
        <f aca="false">IF(K279=0,0,FFLAG)</f>
        <v>2</v>
      </c>
      <c r="O279" s="15" t="s">
        <v>3398</v>
      </c>
      <c r="P279" s="16" t="n">
        <f aca="false">MAX(P278+M279,R268,Q244,Q310,Q321)</f>
        <v>46581</v>
      </c>
      <c r="Q279" s="16" t="n">
        <f aca="false">MAX(P279+K279,Q278+N279)</f>
        <v>46584</v>
      </c>
      <c r="R279" s="16" t="n">
        <f aca="false">IF(K279&gt;0,Q279,R268)</f>
        <v>46584</v>
      </c>
      <c r="S279" s="15" t="s">
        <v>3381</v>
      </c>
    </row>
    <row r="280" customFormat="false" ht="15" hidden="false" customHeight="false" outlineLevel="0" collapsed="false">
      <c r="A280" s="15" t="s">
        <v>3399</v>
      </c>
      <c r="B280" s="15" t="s">
        <v>3385</v>
      </c>
      <c r="C280" s="15" t="s">
        <v>388</v>
      </c>
      <c r="D280" s="15" t="s">
        <v>592</v>
      </c>
      <c r="E280" s="15" t="s">
        <v>595</v>
      </c>
      <c r="F280" s="15" t="s">
        <v>3034</v>
      </c>
      <c r="G280" s="15" t="s">
        <v>3035</v>
      </c>
      <c r="H280" s="33" t="n">
        <f aca="false">Packages!$AD$30</f>
        <v>0</v>
      </c>
      <c r="I280" s="15" t="s">
        <v>3012</v>
      </c>
      <c r="J280" s="34" t="n">
        <f aca="false">IF(Packages!$AD$30&gt;0,ROUNDUP(Packages!$AD$30/R_EXT,0),0)+IF(Packages!$AG$30&gt;0,1,0)</f>
        <v>1</v>
      </c>
      <c r="K280" s="34" t="n">
        <f aca="false">IF(J280=0,0,ROUNDUP(J280*7/WD,0))</f>
        <v>2</v>
      </c>
      <c r="L280" s="15" t="s">
        <v>3397</v>
      </c>
      <c r="M280" s="34" t="n">
        <f aca="false">ROUNDUP(K279*LADDER,0)</f>
        <v>1</v>
      </c>
      <c r="N280" s="34" t="n">
        <f aca="false">IF(K280=0,0,FFLAG)</f>
        <v>2</v>
      </c>
      <c r="O280" s="15"/>
      <c r="P280" s="16" t="n">
        <f aca="false">MAX(P279+M280)</f>
        <v>46582</v>
      </c>
      <c r="Q280" s="16" t="n">
        <f aca="false">MAX(P280+K280,Q279+N280)</f>
        <v>46586</v>
      </c>
      <c r="R280" s="12"/>
      <c r="S280" s="12"/>
    </row>
    <row r="281" customFormat="false" ht="15" hidden="false" customHeight="false" outlineLevel="0" collapsed="false">
      <c r="A281" s="15" t="s">
        <v>3400</v>
      </c>
      <c r="B281" s="15" t="s">
        <v>3401</v>
      </c>
      <c r="C281" s="15" t="s">
        <v>388</v>
      </c>
      <c r="D281" s="15" t="s">
        <v>642</v>
      </c>
      <c r="E281" s="15" t="s">
        <v>643</v>
      </c>
      <c r="F281" s="15" t="s">
        <v>2998</v>
      </c>
      <c r="G281" s="15" t="s">
        <v>2999</v>
      </c>
      <c r="H281" s="12"/>
      <c r="I281" s="12"/>
      <c r="J281" s="34" t="n">
        <f aca="false">0</f>
        <v>0</v>
      </c>
      <c r="K281" s="34" t="n">
        <f aca="false">IF(J281=0,0,ROUNDUP(J281*7/WD,0))</f>
        <v>0</v>
      </c>
      <c r="L281" s="12"/>
      <c r="M281" s="12"/>
      <c r="N281" s="12"/>
      <c r="O281" s="15" t="s">
        <v>3038</v>
      </c>
      <c r="P281" s="16" t="n">
        <f aca="false">MAX(START,D_DLU,Packages!$I$31,Packages!$K$31)</f>
        <v>46357</v>
      </c>
      <c r="Q281" s="16" t="n">
        <f aca="false">P281+K281</f>
        <v>46357</v>
      </c>
      <c r="R281" s="12"/>
      <c r="S281" s="12"/>
    </row>
    <row r="282" customFormat="false" ht="15" hidden="false" customHeight="false" outlineLevel="0" collapsed="false">
      <c r="A282" s="15" t="s">
        <v>3402</v>
      </c>
      <c r="B282" s="15" t="s">
        <v>3401</v>
      </c>
      <c r="C282" s="15" t="s">
        <v>388</v>
      </c>
      <c r="D282" s="15" t="s">
        <v>642</v>
      </c>
      <c r="E282" s="15" t="s">
        <v>643</v>
      </c>
      <c r="F282" s="15" t="s">
        <v>3002</v>
      </c>
      <c r="G282" s="15" t="s">
        <v>205</v>
      </c>
      <c r="H282" s="33" t="n">
        <f aca="false">Packages!$O$31</f>
        <v>21.1846086731647</v>
      </c>
      <c r="I282" s="15" t="s">
        <v>118</v>
      </c>
      <c r="J282" s="34" t="n">
        <f aca="false">MAX(1,ROUNDUP(Packages!$O$31/R_PLAT,0))</f>
        <v>1</v>
      </c>
      <c r="K282" s="34" t="n">
        <f aca="false">IF(J282=0,0,ROUNDUP(J282*7/WD,0))</f>
        <v>2</v>
      </c>
      <c r="L282" s="15" t="s">
        <v>3400</v>
      </c>
      <c r="M282" s="12"/>
      <c r="N282" s="12"/>
      <c r="O282" s="15" t="s">
        <v>3403</v>
      </c>
      <c r="P282" s="16" t="n">
        <f aca="false">MAX(Q281,P173)</f>
        <v>46358</v>
      </c>
      <c r="Q282" s="16" t="n">
        <f aca="false">P282+K282</f>
        <v>46360</v>
      </c>
      <c r="R282" s="12"/>
      <c r="S282" s="12"/>
    </row>
    <row r="283" customFormat="false" ht="15" hidden="false" customHeight="false" outlineLevel="0" collapsed="false">
      <c r="A283" s="15" t="s">
        <v>3404</v>
      </c>
      <c r="B283" s="15" t="s">
        <v>3401</v>
      </c>
      <c r="C283" s="15" t="s">
        <v>388</v>
      </c>
      <c r="D283" s="15" t="s">
        <v>642</v>
      </c>
      <c r="E283" s="15" t="s">
        <v>643</v>
      </c>
      <c r="F283" s="15" t="s">
        <v>3005</v>
      </c>
      <c r="G283" s="15" t="s">
        <v>3006</v>
      </c>
      <c r="H283" s="33" t="n">
        <f aca="false">Packages!$AC$31</f>
        <v>18</v>
      </c>
      <c r="I283" s="15" t="s">
        <v>3007</v>
      </c>
      <c r="J283" s="34" t="n">
        <f aca="false">IF(Packages!$AC$31=0,0,MAX(1,ROUNDUP(Packages!$AC$31/(R_PILE*Fronts!$H$6),0)))</f>
        <v>2</v>
      </c>
      <c r="K283" s="34" t="n">
        <f aca="false">IF(J283=0,0,ROUNDUP(J283*7/WD,0))</f>
        <v>3</v>
      </c>
      <c r="L283" s="15" t="s">
        <v>3402</v>
      </c>
      <c r="M283" s="34" t="n">
        <f aca="false">ROUNDUP(K282*LADDER,0)</f>
        <v>1</v>
      </c>
      <c r="N283" s="34" t="n">
        <f aca="false">IF(K283=0,0,FFLAG)</f>
        <v>2</v>
      </c>
      <c r="O283" s="15" t="s">
        <v>3008</v>
      </c>
      <c r="P283" s="16" t="n">
        <f aca="false">MAX(P282+M283,D_PILEDES)</f>
        <v>46359</v>
      </c>
      <c r="Q283" s="16" t="n">
        <f aca="false">MAX(P283+K283,Q282+N283)</f>
        <v>46362</v>
      </c>
      <c r="R283" s="16" t="n">
        <f aca="false">IF(K283&gt;0,Q283,0)</f>
        <v>46362</v>
      </c>
      <c r="S283" s="12"/>
    </row>
    <row r="284" customFormat="false" ht="15" hidden="false" customHeight="false" outlineLevel="0" collapsed="false">
      <c r="A284" s="15" t="s">
        <v>3405</v>
      </c>
      <c r="B284" s="15" t="s">
        <v>3401</v>
      </c>
      <c r="C284" s="15" t="s">
        <v>388</v>
      </c>
      <c r="D284" s="15" t="s">
        <v>642</v>
      </c>
      <c r="E284" s="15" t="s">
        <v>643</v>
      </c>
      <c r="F284" s="15" t="s">
        <v>3010</v>
      </c>
      <c r="G284" s="15" t="s">
        <v>3011</v>
      </c>
      <c r="H284" s="33" t="n">
        <f aca="false">Packages!$AD$31</f>
        <v>42.3692173463294</v>
      </c>
      <c r="I284" s="15" t="s">
        <v>3012</v>
      </c>
      <c r="J284" s="34" t="n">
        <f aca="false">IF(Packages!$AD$31=0,0,MAX(1,ROUNDUP(Packages!$AD$31/(R_SHEET*Fronts!$I$6),0)))</f>
        <v>1</v>
      </c>
      <c r="K284" s="34" t="n">
        <f aca="false">IF(J284=0,0,ROUNDUP(J284*7/WD,0))</f>
        <v>2</v>
      </c>
      <c r="L284" s="15" t="s">
        <v>3404</v>
      </c>
      <c r="M284" s="34" t="n">
        <f aca="false">ROUNDUP(K283*LADDER,0)</f>
        <v>1</v>
      </c>
      <c r="N284" s="34" t="n">
        <f aca="false">IF(K284=0,0,FFLAG)</f>
        <v>2</v>
      </c>
      <c r="O284" s="15"/>
      <c r="P284" s="16" t="n">
        <f aca="false">MAX(P283+M284)</f>
        <v>46360</v>
      </c>
      <c r="Q284" s="16" t="n">
        <f aca="false">MAX(P284+K284,Q283+N284)</f>
        <v>46364</v>
      </c>
      <c r="R284" s="16" t="n">
        <f aca="false">IF(K284&gt;0,Q284,0)</f>
        <v>46364</v>
      </c>
      <c r="S284" s="12"/>
    </row>
    <row r="285" customFormat="false" ht="15" hidden="false" customHeight="false" outlineLevel="0" collapsed="false">
      <c r="A285" s="15" t="s">
        <v>3406</v>
      </c>
      <c r="B285" s="15" t="s">
        <v>3401</v>
      </c>
      <c r="C285" s="15" t="s">
        <v>388</v>
      </c>
      <c r="D285" s="15" t="s">
        <v>642</v>
      </c>
      <c r="E285" s="15" t="s">
        <v>643</v>
      </c>
      <c r="F285" s="15" t="s">
        <v>3014</v>
      </c>
      <c r="G285" s="15" t="s">
        <v>3015</v>
      </c>
      <c r="H285" s="33" t="n">
        <f aca="false">Packages!$O$31</f>
        <v>21.1846086731647</v>
      </c>
      <c r="I285" s="15" t="s">
        <v>118</v>
      </c>
      <c r="J285" s="34" t="n">
        <f aca="false">IF(Packages!$AG$31=0,0,ROUNDUP(Packages!$O$31/R_DW,0)+DW_DRAW)</f>
        <v>8</v>
      </c>
      <c r="K285" s="34" t="n">
        <f aca="false">IF(J285=0,0,ROUNDUP(J285*7/WD,0))</f>
        <v>10</v>
      </c>
      <c r="L285" s="15" t="s">
        <v>3405</v>
      </c>
      <c r="M285" s="34" t="n">
        <f aca="false">ROUNDUP(K284*LADDER,0)</f>
        <v>1</v>
      </c>
      <c r="N285" s="34" t="n">
        <f aca="false">IF(K285=0,0,FFLAG)</f>
        <v>2</v>
      </c>
      <c r="O285" s="15"/>
      <c r="P285" s="16" t="n">
        <f aca="false">MAX(P284+M285)</f>
        <v>46361</v>
      </c>
      <c r="Q285" s="16" t="n">
        <f aca="false">MAX(P285+K285,Q284+N285)</f>
        <v>46371</v>
      </c>
      <c r="R285" s="12"/>
      <c r="S285" s="12"/>
    </row>
    <row r="286" customFormat="false" ht="15" hidden="false" customHeight="false" outlineLevel="0" collapsed="false">
      <c r="A286" s="15" t="s">
        <v>3407</v>
      </c>
      <c r="B286" s="15" t="s">
        <v>3401</v>
      </c>
      <c r="C286" s="15" t="s">
        <v>388</v>
      </c>
      <c r="D286" s="15" t="s">
        <v>642</v>
      </c>
      <c r="E286" s="15" t="s">
        <v>643</v>
      </c>
      <c r="F286" s="15" t="s">
        <v>3017</v>
      </c>
      <c r="G286" s="15" t="s">
        <v>3018</v>
      </c>
      <c r="H286" s="33" t="n">
        <f aca="false">Packages!$X$31+Packages!$Y$31</f>
        <v>303.281026422411</v>
      </c>
      <c r="I286" s="15" t="s">
        <v>3019</v>
      </c>
      <c r="J286" s="34" t="n">
        <f aca="false">MAX(1,ROUNDUP((Packages!$X$31/R_EXS+Packages!$Y$31/R_EXO)/Fronts!$J$6,0))</f>
        <v>1</v>
      </c>
      <c r="K286" s="34" t="n">
        <f aca="false">IF(J286=0,0,ROUNDUP(J286*7/WD,0))</f>
        <v>2</v>
      </c>
      <c r="L286" s="15" t="s">
        <v>3406</v>
      </c>
      <c r="M286" s="34" t="n">
        <f aca="false">IF(K285=0,0,ROUNDUP((K285-ROUNDUP(DW_DRAW*7/WD,0))*LADDER,0)+ROUNDUP(DW_DRAW*7/WD,0))</f>
        <v>10</v>
      </c>
      <c r="N286" s="34" t="n">
        <f aca="false">IF(K286=0,0,FFLAG)</f>
        <v>2</v>
      </c>
      <c r="O286" s="15"/>
      <c r="P286" s="16" t="n">
        <f aca="false">MAX(P285+M286)</f>
        <v>46371</v>
      </c>
      <c r="Q286" s="16" t="n">
        <f aca="false">MAX(P286+K286,Q285+N286)</f>
        <v>46373</v>
      </c>
      <c r="R286" s="16" t="n">
        <f aca="false">IF(K286&gt;0,Q286,0)</f>
        <v>46373</v>
      </c>
      <c r="S286" s="12"/>
    </row>
    <row r="287" customFormat="false" ht="15" hidden="false" customHeight="false" outlineLevel="0" collapsed="false">
      <c r="A287" s="15" t="s">
        <v>3408</v>
      </c>
      <c r="B287" s="15" t="s">
        <v>3401</v>
      </c>
      <c r="C287" s="15" t="s">
        <v>388</v>
      </c>
      <c r="D287" s="15" t="s">
        <v>642</v>
      </c>
      <c r="E287" s="15" t="s">
        <v>643</v>
      </c>
      <c r="F287" s="15" t="s">
        <v>3022</v>
      </c>
      <c r="G287" s="15" t="s">
        <v>3023</v>
      </c>
      <c r="H287" s="33" t="n">
        <f aca="false">Packages!$O$31</f>
        <v>21.1846086731647</v>
      </c>
      <c r="I287" s="15" t="s">
        <v>118</v>
      </c>
      <c r="J287" s="34" t="n">
        <f aca="false">MAX(1,ROUNDUP(Packages!$O$31/(R_SLAB*Fronts!$K$6),0))+SLAB_CURE</f>
        <v>4</v>
      </c>
      <c r="K287" s="34" t="n">
        <f aca="false">IF(J287=0,0,ROUNDUP(J287*7/WD,0))</f>
        <v>5</v>
      </c>
      <c r="L287" s="15" t="s">
        <v>3407</v>
      </c>
      <c r="M287" s="34" t="n">
        <f aca="false">ROUNDUP(K286*LADDER,0)</f>
        <v>1</v>
      </c>
      <c r="N287" s="34" t="n">
        <f aca="false">IF(K287=0,0,FFLAG)</f>
        <v>2</v>
      </c>
      <c r="O287" s="15"/>
      <c r="P287" s="16" t="n">
        <f aca="false">MAX(P286+M287)</f>
        <v>46372</v>
      </c>
      <c r="Q287" s="16" t="n">
        <f aca="false">MAX(P287+K287,Q286+N287)</f>
        <v>46377</v>
      </c>
      <c r="R287" s="16" t="n">
        <f aca="false">IF(K287&gt;0,Q287,0)</f>
        <v>46377</v>
      </c>
      <c r="S287" s="12"/>
    </row>
    <row r="288" customFormat="false" ht="15" hidden="false" customHeight="false" outlineLevel="0" collapsed="false">
      <c r="A288" s="15" t="s">
        <v>3409</v>
      </c>
      <c r="B288" s="15" t="s">
        <v>3401</v>
      </c>
      <c r="C288" s="15" t="s">
        <v>388</v>
      </c>
      <c r="D288" s="15" t="s">
        <v>642</v>
      </c>
      <c r="E288" s="15" t="s">
        <v>643</v>
      </c>
      <c r="F288" s="15" t="s">
        <v>3025</v>
      </c>
      <c r="G288" s="15" t="s">
        <v>3026</v>
      </c>
      <c r="H288" s="33" t="n">
        <f aca="false">Packages!$O$31</f>
        <v>21.1846086731647</v>
      </c>
      <c r="I288" s="15" t="s">
        <v>118</v>
      </c>
      <c r="J288" s="34" t="n">
        <f aca="false">MAX(1,ROUNDUP(Packages!$O$31/(IF(Packages!$N$31&gt;=PIPE_T1,R_PIPE_L,IF(Packages!$N$31&gt;=PIPE_T2,R_PIPE_M,R_PIPE_S))*Fronts!$L$6)+Packages!$M$31*FIT_D+IF(Packages!$G$31&lt;&gt;"Run",TIE_D,0),0))</f>
        <v>6</v>
      </c>
      <c r="K288" s="34" t="n">
        <f aca="false">IF(J288=0,0,ROUNDUP(J288*7/WD,0))</f>
        <v>7</v>
      </c>
      <c r="L288" s="15" t="s">
        <v>3408</v>
      </c>
      <c r="M288" s="34" t="n">
        <f aca="false">ROUNDUP(K287*LADDER,0)</f>
        <v>2</v>
      </c>
      <c r="N288" s="34" t="n">
        <f aca="false">IF(K288=0,0,FFLAG)</f>
        <v>2</v>
      </c>
      <c r="O288" s="15" t="s">
        <v>3410</v>
      </c>
      <c r="P288" s="16" t="n">
        <f aca="false">MAX(P287+M288,Q178)</f>
        <v>46380</v>
      </c>
      <c r="Q288" s="16" t="n">
        <f aca="false">MAX(P288+K288,Q287+N288)</f>
        <v>46387</v>
      </c>
      <c r="R288" s="16" t="n">
        <f aca="false">IF(K288&gt;0,Q288,0)</f>
        <v>46387</v>
      </c>
      <c r="S288" s="12"/>
    </row>
    <row r="289" customFormat="false" ht="15" hidden="false" customHeight="false" outlineLevel="0" collapsed="false">
      <c r="A289" s="15" t="s">
        <v>3411</v>
      </c>
      <c r="B289" s="15" t="s">
        <v>3401</v>
      </c>
      <c r="C289" s="15" t="s">
        <v>388</v>
      </c>
      <c r="D289" s="15" t="s">
        <v>642</v>
      </c>
      <c r="E289" s="15" t="s">
        <v>643</v>
      </c>
      <c r="F289" s="15" t="s">
        <v>3028</v>
      </c>
      <c r="G289" s="15" t="s">
        <v>3029</v>
      </c>
      <c r="H289" s="33" t="n">
        <f aca="false">Packages!$O$31</f>
        <v>21.1846086731647</v>
      </c>
      <c r="I289" s="15" t="s">
        <v>118</v>
      </c>
      <c r="J289" s="34" t="n">
        <f aca="false">TEST_D+ROUNDUP(Packages!$O$31/R_TEST,0)</f>
        <v>3</v>
      </c>
      <c r="K289" s="34" t="n">
        <f aca="false">IF(J289=0,0,ROUNDUP(J289*7/WD,0))</f>
        <v>4</v>
      </c>
      <c r="L289" s="15" t="s">
        <v>3409</v>
      </c>
      <c r="M289" s="34" t="n">
        <f aca="false">ROUNDUP(K288*LADDER,0)</f>
        <v>3</v>
      </c>
      <c r="N289" s="34" t="n">
        <f aca="false">IF(K289=0,0,FFLAG)</f>
        <v>2</v>
      </c>
      <c r="O289" s="15"/>
      <c r="P289" s="16" t="n">
        <f aca="false">MAX(P288+M289)</f>
        <v>46383</v>
      </c>
      <c r="Q289" s="16" t="n">
        <f aca="false">MAX(P289+K289,Q288+N289)</f>
        <v>46389</v>
      </c>
      <c r="R289" s="12"/>
      <c r="S289" s="12"/>
    </row>
    <row r="290" customFormat="false" ht="15" hidden="false" customHeight="false" outlineLevel="0" collapsed="false">
      <c r="A290" s="15" t="s">
        <v>3412</v>
      </c>
      <c r="B290" s="15" t="s">
        <v>3401</v>
      </c>
      <c r="C290" s="15" t="s">
        <v>388</v>
      </c>
      <c r="D290" s="15" t="s">
        <v>642</v>
      </c>
      <c r="E290" s="15" t="s">
        <v>643</v>
      </c>
      <c r="F290" s="15" t="s">
        <v>3031</v>
      </c>
      <c r="G290" s="15" t="s">
        <v>3032</v>
      </c>
      <c r="H290" s="33" t="n">
        <f aca="false">Packages!$AB$31</f>
        <v>183.727346240354</v>
      </c>
      <c r="I290" s="15" t="s">
        <v>3019</v>
      </c>
      <c r="J290" s="34" t="n">
        <f aca="false">MAX(1,ROUNDUP(Packages!$AB$31/(R_BF*Fronts!$M$6),0))</f>
        <v>1</v>
      </c>
      <c r="K290" s="34" t="n">
        <f aca="false">IF(J290=0,0,ROUNDUP(J290*7/WD,0))</f>
        <v>2</v>
      </c>
      <c r="L290" s="15" t="s">
        <v>3411</v>
      </c>
      <c r="M290" s="34" t="n">
        <f aca="false">ROUNDUP(K289*LADDER,0)</f>
        <v>2</v>
      </c>
      <c r="N290" s="34" t="n">
        <f aca="false">IF(K290=0,0,FFLAG)</f>
        <v>2</v>
      </c>
      <c r="O290" s="15" t="s">
        <v>3413</v>
      </c>
      <c r="P290" s="16" t="n">
        <f aca="false">MAX(P289+M290,Q299)</f>
        <v>46537</v>
      </c>
      <c r="Q290" s="16" t="n">
        <f aca="false">MAX(P290+K290,Q289+N290)</f>
        <v>46539</v>
      </c>
      <c r="R290" s="16" t="n">
        <f aca="false">IF(K290&gt;0,Q290,0)</f>
        <v>46539</v>
      </c>
      <c r="S290" s="12"/>
    </row>
    <row r="291" customFormat="false" ht="15" hidden="false" customHeight="false" outlineLevel="0" collapsed="false">
      <c r="A291" s="15" t="s">
        <v>3414</v>
      </c>
      <c r="B291" s="15" t="s">
        <v>3401</v>
      </c>
      <c r="C291" s="15" t="s">
        <v>388</v>
      </c>
      <c r="D291" s="15" t="s">
        <v>642</v>
      </c>
      <c r="E291" s="15" t="s">
        <v>643</v>
      </c>
      <c r="F291" s="15" t="s">
        <v>3034</v>
      </c>
      <c r="G291" s="15" t="s">
        <v>3035</v>
      </c>
      <c r="H291" s="33" t="n">
        <f aca="false">Packages!$AD$31</f>
        <v>42.3692173463294</v>
      </c>
      <c r="I291" s="15" t="s">
        <v>3012</v>
      </c>
      <c r="J291" s="34" t="n">
        <f aca="false">IF(Packages!$AD$31&gt;0,ROUNDUP(Packages!$AD$31/R_EXT,0),0)+IF(Packages!$AG$31&gt;0,1,0)</f>
        <v>2</v>
      </c>
      <c r="K291" s="34" t="n">
        <f aca="false">IF(J291=0,0,ROUNDUP(J291*7/WD,0))</f>
        <v>3</v>
      </c>
      <c r="L291" s="15" t="s">
        <v>3412</v>
      </c>
      <c r="M291" s="34" t="n">
        <f aca="false">ROUNDUP(K290*LADDER,0)</f>
        <v>1</v>
      </c>
      <c r="N291" s="34" t="n">
        <f aca="false">IF(K291=0,0,FFLAG)</f>
        <v>2</v>
      </c>
      <c r="O291" s="15"/>
      <c r="P291" s="16" t="n">
        <f aca="false">MAX(P290+M291)</f>
        <v>46538</v>
      </c>
      <c r="Q291" s="16" t="n">
        <f aca="false">MAX(P291+K291,Q290+N291)</f>
        <v>46541</v>
      </c>
      <c r="R291" s="12"/>
      <c r="S291" s="12"/>
    </row>
    <row r="292" customFormat="false" ht="15" hidden="false" customHeight="false" outlineLevel="0" collapsed="false">
      <c r="A292" s="15" t="s">
        <v>3415</v>
      </c>
      <c r="B292" s="15" t="s">
        <v>3416</v>
      </c>
      <c r="C292" s="15" t="s">
        <v>388</v>
      </c>
      <c r="D292" s="15" t="s">
        <v>592</v>
      </c>
      <c r="E292" s="15" t="s">
        <v>593</v>
      </c>
      <c r="F292" s="15" t="s">
        <v>2998</v>
      </c>
      <c r="G292" s="15" t="s">
        <v>2999</v>
      </c>
      <c r="H292" s="12"/>
      <c r="I292" s="12"/>
      <c r="J292" s="34" t="n">
        <f aca="false">0</f>
        <v>0</v>
      </c>
      <c r="K292" s="34" t="n">
        <f aca="false">IF(J292=0,0,ROUNDUP(J292*7/WD,0))</f>
        <v>0</v>
      </c>
      <c r="L292" s="12"/>
      <c r="M292" s="12"/>
      <c r="N292" s="12"/>
      <c r="O292" s="15" t="s">
        <v>3038</v>
      </c>
      <c r="P292" s="16" t="n">
        <f aca="false">MAX(START,D_DLU,Packages!$I$32,Packages!$K$32)</f>
        <v>46357</v>
      </c>
      <c r="Q292" s="16" t="n">
        <f aca="false">P292+K292</f>
        <v>46357</v>
      </c>
      <c r="R292" s="12"/>
      <c r="S292" s="12"/>
    </row>
    <row r="293" customFormat="false" ht="15" hidden="false" customHeight="false" outlineLevel="0" collapsed="false">
      <c r="A293" s="15" t="s">
        <v>3417</v>
      </c>
      <c r="B293" s="15" t="s">
        <v>3416</v>
      </c>
      <c r="C293" s="15" t="s">
        <v>388</v>
      </c>
      <c r="D293" s="15" t="s">
        <v>592</v>
      </c>
      <c r="E293" s="15" t="s">
        <v>593</v>
      </c>
      <c r="F293" s="15" t="s">
        <v>3002</v>
      </c>
      <c r="G293" s="15" t="s">
        <v>205</v>
      </c>
      <c r="H293" s="33" t="n">
        <f aca="false">Packages!$O$32</f>
        <v>5.99999999987172</v>
      </c>
      <c r="I293" s="15" t="s">
        <v>118</v>
      </c>
      <c r="J293" s="34" t="n">
        <f aca="false">MAX(1,ROUNDUP(Packages!$O$32/R_PLAT,0))</f>
        <v>1</v>
      </c>
      <c r="K293" s="34" t="n">
        <f aca="false">IF(J293=0,0,ROUNDUP(J293*7/WD,0))</f>
        <v>2</v>
      </c>
      <c r="L293" s="15" t="s">
        <v>3415</v>
      </c>
      <c r="M293" s="12"/>
      <c r="N293" s="12"/>
      <c r="O293" s="15" t="s">
        <v>3418</v>
      </c>
      <c r="P293" s="16" t="n">
        <f aca="false">MAX(Q292,P272)</f>
        <v>46489</v>
      </c>
      <c r="Q293" s="16" t="n">
        <f aca="false">P293+K293</f>
        <v>46491</v>
      </c>
      <c r="R293" s="12"/>
      <c r="S293" s="12"/>
    </row>
    <row r="294" customFormat="false" ht="15" hidden="false" customHeight="false" outlineLevel="0" collapsed="false">
      <c r="A294" s="15" t="s">
        <v>3419</v>
      </c>
      <c r="B294" s="15" t="s">
        <v>3416</v>
      </c>
      <c r="C294" s="15" t="s">
        <v>388</v>
      </c>
      <c r="D294" s="15" t="s">
        <v>592</v>
      </c>
      <c r="E294" s="15" t="s">
        <v>593</v>
      </c>
      <c r="F294" s="15" t="s">
        <v>3005</v>
      </c>
      <c r="G294" s="15" t="s">
        <v>3006</v>
      </c>
      <c r="H294" s="33" t="n">
        <f aca="false">Packages!$AC$32</f>
        <v>6</v>
      </c>
      <c r="I294" s="15" t="s">
        <v>3007</v>
      </c>
      <c r="J294" s="34" t="n">
        <f aca="false">IF(Packages!$AC$32=0,0,MAX(1,ROUNDUP(Packages!$AC$32/(R_PILE*Fronts!$H$6),0)))</f>
        <v>1</v>
      </c>
      <c r="K294" s="34" t="n">
        <f aca="false">IF(J294=0,0,ROUNDUP(J294*7/WD,0))</f>
        <v>2</v>
      </c>
      <c r="L294" s="15" t="s">
        <v>3417</v>
      </c>
      <c r="M294" s="34" t="n">
        <f aca="false">ROUNDUP(K293*LADDER,0)</f>
        <v>1</v>
      </c>
      <c r="N294" s="34" t="n">
        <f aca="false">IF(K294=0,0,FFLAG)</f>
        <v>2</v>
      </c>
      <c r="O294" s="15" t="s">
        <v>3008</v>
      </c>
      <c r="P294" s="16" t="n">
        <f aca="false">MAX(P293+M294,D_PILEDES)</f>
        <v>46490</v>
      </c>
      <c r="Q294" s="16" t="n">
        <f aca="false">MAX(P294+K294,Q293+N294)</f>
        <v>46493</v>
      </c>
      <c r="R294" s="16" t="n">
        <f aca="false">IF(K294&gt;0,Q294,0)</f>
        <v>46493</v>
      </c>
      <c r="S294" s="12"/>
    </row>
    <row r="295" customFormat="false" ht="15" hidden="false" customHeight="false" outlineLevel="0" collapsed="false">
      <c r="A295" s="15" t="s">
        <v>3420</v>
      </c>
      <c r="B295" s="15" t="s">
        <v>3416</v>
      </c>
      <c r="C295" s="15" t="s">
        <v>388</v>
      </c>
      <c r="D295" s="15" t="s">
        <v>592</v>
      </c>
      <c r="E295" s="15" t="s">
        <v>593</v>
      </c>
      <c r="F295" s="15" t="s">
        <v>3010</v>
      </c>
      <c r="G295" s="15" t="s">
        <v>3011</v>
      </c>
      <c r="H295" s="33" t="n">
        <f aca="false">Packages!$AD$32</f>
        <v>0</v>
      </c>
      <c r="I295" s="15" t="s">
        <v>3012</v>
      </c>
      <c r="J295" s="34" t="n">
        <f aca="false">IF(Packages!$AD$32=0,0,MAX(1,ROUNDUP(Packages!$AD$32/(R_SHEET*Fronts!$I$6),0)))</f>
        <v>0</v>
      </c>
      <c r="K295" s="34" t="n">
        <f aca="false">IF(J295=0,0,ROUNDUP(J295*7/WD,0))</f>
        <v>0</v>
      </c>
      <c r="L295" s="15" t="s">
        <v>3419</v>
      </c>
      <c r="M295" s="34" t="n">
        <f aca="false">ROUNDUP(K294*LADDER,0)</f>
        <v>1</v>
      </c>
      <c r="N295" s="34" t="n">
        <f aca="false">IF(K295=0,0,FFLAG)</f>
        <v>0</v>
      </c>
      <c r="O295" s="15"/>
      <c r="P295" s="16" t="n">
        <f aca="false">MAX(P294+M295)</f>
        <v>46491</v>
      </c>
      <c r="Q295" s="16" t="n">
        <f aca="false">MAX(P295+K295,Q294+N295)</f>
        <v>46493</v>
      </c>
      <c r="R295" s="16" t="n">
        <f aca="false">IF(K295&gt;0,Q295,0)</f>
        <v>0</v>
      </c>
      <c r="S295" s="12"/>
    </row>
    <row r="296" customFormat="false" ht="15" hidden="false" customHeight="false" outlineLevel="0" collapsed="false">
      <c r="A296" s="15" t="s">
        <v>3421</v>
      </c>
      <c r="B296" s="15" t="s">
        <v>3416</v>
      </c>
      <c r="C296" s="15" t="s">
        <v>388</v>
      </c>
      <c r="D296" s="15" t="s">
        <v>592</v>
      </c>
      <c r="E296" s="15" t="s">
        <v>593</v>
      </c>
      <c r="F296" s="15" t="s">
        <v>3014</v>
      </c>
      <c r="G296" s="15" t="s">
        <v>3015</v>
      </c>
      <c r="H296" s="33" t="n">
        <f aca="false">Packages!$O$32</f>
        <v>5.99999999987172</v>
      </c>
      <c r="I296" s="15" t="s">
        <v>118</v>
      </c>
      <c r="J296" s="34" t="n">
        <f aca="false">IF(Packages!$AG$32=0,0,ROUNDUP(Packages!$O$32/R_DW,0)+DW_DRAW)</f>
        <v>8</v>
      </c>
      <c r="K296" s="34" t="n">
        <f aca="false">IF(J296=0,0,ROUNDUP(J296*7/WD,0))</f>
        <v>10</v>
      </c>
      <c r="L296" s="15" t="s">
        <v>3420</v>
      </c>
      <c r="M296" s="34" t="n">
        <f aca="false">ROUNDUP(K295*LADDER,0)</f>
        <v>0</v>
      </c>
      <c r="N296" s="34" t="n">
        <f aca="false">IF(K296=0,0,FFLAG)</f>
        <v>2</v>
      </c>
      <c r="O296" s="15"/>
      <c r="P296" s="16" t="n">
        <f aca="false">MAX(P295+M296)</f>
        <v>46491</v>
      </c>
      <c r="Q296" s="16" t="n">
        <f aca="false">MAX(P296+K296,Q295+N296)</f>
        <v>46501</v>
      </c>
      <c r="R296" s="12"/>
      <c r="S296" s="12"/>
    </row>
    <row r="297" customFormat="false" ht="15" hidden="false" customHeight="false" outlineLevel="0" collapsed="false">
      <c r="A297" s="15" t="s">
        <v>3422</v>
      </c>
      <c r="B297" s="15" t="s">
        <v>3416</v>
      </c>
      <c r="C297" s="15" t="s">
        <v>388</v>
      </c>
      <c r="D297" s="15" t="s">
        <v>592</v>
      </c>
      <c r="E297" s="15" t="s">
        <v>593</v>
      </c>
      <c r="F297" s="15" t="s">
        <v>3017</v>
      </c>
      <c r="G297" s="15" t="s">
        <v>3018</v>
      </c>
      <c r="H297" s="33" t="n">
        <f aca="false">Packages!$X$32+Packages!$Y$32</f>
        <v>178.131965199671</v>
      </c>
      <c r="I297" s="15" t="s">
        <v>3019</v>
      </c>
      <c r="J297" s="34" t="n">
        <f aca="false">MAX(1,ROUNDUP((Packages!$X$32/R_EXS+Packages!$Y$32/R_EXO)/Fronts!$J$6,0))</f>
        <v>1</v>
      </c>
      <c r="K297" s="34" t="n">
        <f aca="false">IF(J297=0,0,ROUNDUP(J297*7/WD,0))</f>
        <v>2</v>
      </c>
      <c r="L297" s="15" t="s">
        <v>3421</v>
      </c>
      <c r="M297" s="34" t="n">
        <f aca="false">IF(K296=0,0,ROUNDUP((K296-ROUNDUP(DW_DRAW*7/WD,0))*LADDER,0)+ROUNDUP(DW_DRAW*7/WD,0))</f>
        <v>10</v>
      </c>
      <c r="N297" s="34" t="n">
        <f aca="false">IF(K297=0,0,FFLAG)</f>
        <v>2</v>
      </c>
      <c r="O297" s="15" t="s">
        <v>3423</v>
      </c>
      <c r="P297" s="16" t="n">
        <f aca="false">MAX(P296+M297,P286)</f>
        <v>46501</v>
      </c>
      <c r="Q297" s="16" t="n">
        <f aca="false">MAX(P297+K297,Q296+N297)</f>
        <v>46503</v>
      </c>
      <c r="R297" s="16" t="n">
        <f aca="false">IF(K297&gt;0,Q297,0)</f>
        <v>46503</v>
      </c>
      <c r="S297" s="12"/>
    </row>
    <row r="298" customFormat="false" ht="15" hidden="false" customHeight="false" outlineLevel="0" collapsed="false">
      <c r="A298" s="15" t="s">
        <v>3424</v>
      </c>
      <c r="B298" s="15" t="s">
        <v>3416</v>
      </c>
      <c r="C298" s="15" t="s">
        <v>388</v>
      </c>
      <c r="D298" s="15" t="s">
        <v>592</v>
      </c>
      <c r="E298" s="15" t="s">
        <v>593</v>
      </c>
      <c r="F298" s="15" t="s">
        <v>3022</v>
      </c>
      <c r="G298" s="15" t="s">
        <v>3023</v>
      </c>
      <c r="H298" s="33" t="n">
        <f aca="false">Packages!$O$32</f>
        <v>5.99999999987172</v>
      </c>
      <c r="I298" s="15" t="s">
        <v>118</v>
      </c>
      <c r="J298" s="34" t="n">
        <f aca="false">MAX(1,ROUNDUP(Packages!$O$32/(R_SLAB*Fronts!$K$6),0))+SLAB_CURE</f>
        <v>4</v>
      </c>
      <c r="K298" s="34" t="n">
        <f aca="false">IF(J298=0,0,ROUNDUP(J298*7/WD,0))</f>
        <v>5</v>
      </c>
      <c r="L298" s="15" t="s">
        <v>3422</v>
      </c>
      <c r="M298" s="34" t="n">
        <f aca="false">ROUNDUP(K297*LADDER,0)</f>
        <v>1</v>
      </c>
      <c r="N298" s="34" t="n">
        <f aca="false">IF(K298=0,0,FFLAG)</f>
        <v>2</v>
      </c>
      <c r="O298" s="15"/>
      <c r="P298" s="16" t="n">
        <f aca="false">MAX(P297+M298)</f>
        <v>46502</v>
      </c>
      <c r="Q298" s="16" t="n">
        <f aca="false">MAX(P298+K298,Q297+N298)</f>
        <v>46507</v>
      </c>
      <c r="R298" s="16" t="n">
        <f aca="false">IF(K298&gt;0,Q298,0)</f>
        <v>46507</v>
      </c>
      <c r="S298" s="12"/>
    </row>
    <row r="299" customFormat="false" ht="15" hidden="false" customHeight="false" outlineLevel="0" collapsed="false">
      <c r="A299" s="15" t="s">
        <v>3425</v>
      </c>
      <c r="B299" s="15" t="s">
        <v>3416</v>
      </c>
      <c r="C299" s="15" t="s">
        <v>388</v>
      </c>
      <c r="D299" s="15" t="s">
        <v>592</v>
      </c>
      <c r="E299" s="15" t="s">
        <v>593</v>
      </c>
      <c r="F299" s="15" t="s">
        <v>3025</v>
      </c>
      <c r="G299" s="15" t="s">
        <v>3026</v>
      </c>
      <c r="H299" s="33" t="n">
        <f aca="false">Packages!$O$32</f>
        <v>5.99999999987172</v>
      </c>
      <c r="I299" s="15" t="s">
        <v>118</v>
      </c>
      <c r="J299" s="34" t="n">
        <f aca="false">MAX(1,ROUNDUP(Packages!$O$32/(IF(Packages!$N$32&gt;=PIPE_T1,R_PIPE_L,IF(Packages!$N$32&gt;=PIPE_T2,R_PIPE_M,R_PIPE_S))*Fronts!$L$6)+Packages!$M$32*FIT_D+IF(Packages!$G$32&lt;&gt;"Run",TIE_D,0),0))</f>
        <v>4</v>
      </c>
      <c r="K299" s="34" t="n">
        <f aca="false">IF(J299=0,0,ROUNDUP(J299*7/WD,0))</f>
        <v>5</v>
      </c>
      <c r="L299" s="15" t="s">
        <v>3424</v>
      </c>
      <c r="M299" s="34" t="n">
        <f aca="false">ROUNDUP(K298*LADDER,0)</f>
        <v>2</v>
      </c>
      <c r="N299" s="34" t="n">
        <f aca="false">IF(K299=0,0,FFLAG)</f>
        <v>2</v>
      </c>
      <c r="O299" s="15" t="s">
        <v>3426</v>
      </c>
      <c r="P299" s="16" t="n">
        <f aca="false">MAX(P298+M299,Q277)</f>
        <v>46532</v>
      </c>
      <c r="Q299" s="16" t="n">
        <f aca="false">MAX(P299+K299,Q298+N299)</f>
        <v>46537</v>
      </c>
      <c r="R299" s="16" t="n">
        <f aca="false">IF(K299&gt;0,Q299,0)</f>
        <v>46537</v>
      </c>
      <c r="S299" s="12"/>
    </row>
    <row r="300" customFormat="false" ht="15" hidden="false" customHeight="false" outlineLevel="0" collapsed="false">
      <c r="A300" s="15" t="s">
        <v>3427</v>
      </c>
      <c r="B300" s="15" t="s">
        <v>3416</v>
      </c>
      <c r="C300" s="15" t="s">
        <v>388</v>
      </c>
      <c r="D300" s="15" t="s">
        <v>592</v>
      </c>
      <c r="E300" s="15" t="s">
        <v>593</v>
      </c>
      <c r="F300" s="15" t="s">
        <v>3028</v>
      </c>
      <c r="G300" s="15" t="s">
        <v>3029</v>
      </c>
      <c r="H300" s="33" t="n">
        <f aca="false">Packages!$O$32</f>
        <v>5.99999999987172</v>
      </c>
      <c r="I300" s="15" t="s">
        <v>118</v>
      </c>
      <c r="J300" s="34" t="n">
        <f aca="false">TEST_D+ROUNDUP(Packages!$O$32/R_TEST,0)</f>
        <v>3</v>
      </c>
      <c r="K300" s="34" t="n">
        <f aca="false">IF(J300=0,0,ROUNDUP(J300*7/WD,0))</f>
        <v>4</v>
      </c>
      <c r="L300" s="15" t="s">
        <v>3425</v>
      </c>
      <c r="M300" s="34" t="n">
        <f aca="false">ROUNDUP(K299*LADDER,0)</f>
        <v>2</v>
      </c>
      <c r="N300" s="34" t="n">
        <f aca="false">IF(K300=0,0,FFLAG)</f>
        <v>2</v>
      </c>
      <c r="O300" s="15"/>
      <c r="P300" s="16" t="n">
        <f aca="false">MAX(P299+M300)</f>
        <v>46534</v>
      </c>
      <c r="Q300" s="16" t="n">
        <f aca="false">MAX(P300+K300,Q299+N300)</f>
        <v>46539</v>
      </c>
      <c r="R300" s="12"/>
      <c r="S300" s="12"/>
    </row>
    <row r="301" customFormat="false" ht="15" hidden="false" customHeight="false" outlineLevel="0" collapsed="false">
      <c r="A301" s="15" t="s">
        <v>3428</v>
      </c>
      <c r="B301" s="15" t="s">
        <v>3416</v>
      </c>
      <c r="C301" s="15" t="s">
        <v>388</v>
      </c>
      <c r="D301" s="15" t="s">
        <v>592</v>
      </c>
      <c r="E301" s="15" t="s">
        <v>593</v>
      </c>
      <c r="F301" s="15" t="s">
        <v>3031</v>
      </c>
      <c r="G301" s="15" t="s">
        <v>3032</v>
      </c>
      <c r="H301" s="33" t="n">
        <f aca="false">Packages!$AB$32</f>
        <v>143.883367806013</v>
      </c>
      <c r="I301" s="15" t="s">
        <v>3019</v>
      </c>
      <c r="J301" s="34" t="n">
        <f aca="false">MAX(1,ROUNDUP(Packages!$AB$32/(R_BF*Fronts!$M$6),0))</f>
        <v>1</v>
      </c>
      <c r="K301" s="34" t="n">
        <f aca="false">IF(J301=0,0,ROUNDUP(J301*7/WD,0))</f>
        <v>2</v>
      </c>
      <c r="L301" s="15" t="s">
        <v>3427</v>
      </c>
      <c r="M301" s="34" t="n">
        <f aca="false">ROUNDUP(K300*LADDER,0)</f>
        <v>2</v>
      </c>
      <c r="N301" s="34" t="n">
        <f aca="false">IF(K301=0,0,FFLAG)</f>
        <v>2</v>
      </c>
      <c r="O301" s="15" t="s">
        <v>3429</v>
      </c>
      <c r="P301" s="16" t="n">
        <f aca="false">MAX(P300+M301,Q288,Q310,Q321)</f>
        <v>46581</v>
      </c>
      <c r="Q301" s="16" t="n">
        <f aca="false">MAX(P301+K301,Q300+N301)</f>
        <v>46583</v>
      </c>
      <c r="R301" s="16" t="n">
        <f aca="false">IF(K301&gt;0,Q301,0)</f>
        <v>46583</v>
      </c>
      <c r="S301" s="12"/>
    </row>
    <row r="302" customFormat="false" ht="15" hidden="false" customHeight="false" outlineLevel="0" collapsed="false">
      <c r="A302" s="15" t="s">
        <v>3430</v>
      </c>
      <c r="B302" s="15" t="s">
        <v>3416</v>
      </c>
      <c r="C302" s="15" t="s">
        <v>388</v>
      </c>
      <c r="D302" s="15" t="s">
        <v>592</v>
      </c>
      <c r="E302" s="15" t="s">
        <v>593</v>
      </c>
      <c r="F302" s="15" t="s">
        <v>3034</v>
      </c>
      <c r="G302" s="15" t="s">
        <v>3035</v>
      </c>
      <c r="H302" s="33" t="n">
        <f aca="false">Packages!$AD$32</f>
        <v>0</v>
      </c>
      <c r="I302" s="15" t="s">
        <v>3012</v>
      </c>
      <c r="J302" s="34" t="n">
        <f aca="false">IF(Packages!$AD$32&gt;0,ROUNDUP(Packages!$AD$32/R_EXT,0),0)+IF(Packages!$AG$32&gt;0,1,0)</f>
        <v>1</v>
      </c>
      <c r="K302" s="34" t="n">
        <f aca="false">IF(J302=0,0,ROUNDUP(J302*7/WD,0))</f>
        <v>2</v>
      </c>
      <c r="L302" s="15" t="s">
        <v>3428</v>
      </c>
      <c r="M302" s="34" t="n">
        <f aca="false">ROUNDUP(K301*LADDER,0)</f>
        <v>1</v>
      </c>
      <c r="N302" s="34" t="n">
        <f aca="false">IF(K302=0,0,FFLAG)</f>
        <v>2</v>
      </c>
      <c r="O302" s="15"/>
      <c r="P302" s="16" t="n">
        <f aca="false">MAX(P301+M302)</f>
        <v>46582</v>
      </c>
      <c r="Q302" s="16" t="n">
        <f aca="false">MAX(P302+K302,Q301+N302)</f>
        <v>46585</v>
      </c>
      <c r="R302" s="12"/>
      <c r="S302" s="12"/>
    </row>
    <row r="303" customFormat="false" ht="15" hidden="false" customHeight="false" outlineLevel="0" collapsed="false">
      <c r="A303" s="15" t="s">
        <v>3431</v>
      </c>
      <c r="B303" s="15" t="s">
        <v>3432</v>
      </c>
      <c r="C303" s="15" t="s">
        <v>388</v>
      </c>
      <c r="D303" s="15" t="s">
        <v>2142</v>
      </c>
      <c r="E303" s="15" t="s">
        <v>2143</v>
      </c>
      <c r="F303" s="15" t="s">
        <v>2998</v>
      </c>
      <c r="G303" s="15" t="s">
        <v>2999</v>
      </c>
      <c r="H303" s="12"/>
      <c r="I303" s="12"/>
      <c r="J303" s="34" t="n">
        <f aca="false">0</f>
        <v>0</v>
      </c>
      <c r="K303" s="34" t="n">
        <f aca="false">IF(J303=0,0,ROUNDUP(J303*7/WD,0))</f>
        <v>0</v>
      </c>
      <c r="L303" s="12"/>
      <c r="M303" s="12"/>
      <c r="N303" s="12"/>
      <c r="O303" s="15" t="s">
        <v>3065</v>
      </c>
      <c r="P303" s="16" t="n">
        <f aca="false">MAX(START,D_DLU,Packages!$I$33,Packages!$K$33)</f>
        <v>46357</v>
      </c>
      <c r="Q303" s="16" t="n">
        <f aca="false">P303+K303</f>
        <v>46357</v>
      </c>
      <c r="R303" s="12"/>
      <c r="S303" s="12"/>
    </row>
    <row r="304" customFormat="false" ht="15" hidden="false" customHeight="false" outlineLevel="0" collapsed="false">
      <c r="A304" s="15" t="s">
        <v>3433</v>
      </c>
      <c r="B304" s="15" t="s">
        <v>3432</v>
      </c>
      <c r="C304" s="15" t="s">
        <v>388</v>
      </c>
      <c r="D304" s="15" t="s">
        <v>2142</v>
      </c>
      <c r="E304" s="15" t="s">
        <v>2143</v>
      </c>
      <c r="F304" s="15" t="s">
        <v>3002</v>
      </c>
      <c r="G304" s="15" t="s">
        <v>205</v>
      </c>
      <c r="H304" s="33" t="n">
        <f aca="false">Packages!$O$33</f>
        <v>123.745504749227</v>
      </c>
      <c r="I304" s="15" t="s">
        <v>118</v>
      </c>
      <c r="J304" s="34" t="n">
        <f aca="false">MAX(1,ROUNDUP(Packages!$O$33/R_PLAT,0))</f>
        <v>2</v>
      </c>
      <c r="K304" s="34" t="n">
        <f aca="false">IF(J304=0,0,ROUNDUP(J304*7/WD,0))</f>
        <v>3</v>
      </c>
      <c r="L304" s="15" t="s">
        <v>3431</v>
      </c>
      <c r="M304" s="12"/>
      <c r="N304" s="12"/>
      <c r="O304" s="15" t="s">
        <v>3434</v>
      </c>
      <c r="P304" s="16" t="n">
        <f aca="false">MAX(Q303,P272)</f>
        <v>46489</v>
      </c>
      <c r="Q304" s="16" t="n">
        <f aca="false">P304+K304</f>
        <v>46492</v>
      </c>
      <c r="R304" s="12"/>
      <c r="S304" s="12"/>
    </row>
    <row r="305" customFormat="false" ht="15" hidden="false" customHeight="false" outlineLevel="0" collapsed="false">
      <c r="A305" s="15" t="s">
        <v>3435</v>
      </c>
      <c r="B305" s="15" t="s">
        <v>3432</v>
      </c>
      <c r="C305" s="15" t="s">
        <v>388</v>
      </c>
      <c r="D305" s="15" t="s">
        <v>2142</v>
      </c>
      <c r="E305" s="15" t="s">
        <v>2143</v>
      </c>
      <c r="F305" s="15" t="s">
        <v>3005</v>
      </c>
      <c r="G305" s="15" t="s">
        <v>3006</v>
      </c>
      <c r="H305" s="33" t="n">
        <f aca="false">Packages!$AC$33</f>
        <v>86</v>
      </c>
      <c r="I305" s="15" t="s">
        <v>3007</v>
      </c>
      <c r="J305" s="34" t="n">
        <f aca="false">IF(Packages!$AC$33=0,0,MAX(1,ROUNDUP(Packages!$AC$33/(R_PILE*Fronts!$H$6),0)))</f>
        <v>9</v>
      </c>
      <c r="K305" s="34" t="n">
        <f aca="false">IF(J305=0,0,ROUNDUP(J305*7/WD,0))</f>
        <v>11</v>
      </c>
      <c r="L305" s="15" t="s">
        <v>3433</v>
      </c>
      <c r="M305" s="34" t="n">
        <f aca="false">ROUNDUP(K304*LADDER,0)</f>
        <v>1</v>
      </c>
      <c r="N305" s="34" t="n">
        <f aca="false">IF(K305=0,0,FFLAG)</f>
        <v>2</v>
      </c>
      <c r="O305" s="15" t="s">
        <v>3008</v>
      </c>
      <c r="P305" s="16" t="n">
        <f aca="false">MAX(P304+M305,D_PILEDES,R272)</f>
        <v>46494</v>
      </c>
      <c r="Q305" s="16" t="n">
        <f aca="false">MAX(P305+K305,Q304+N305)</f>
        <v>46505</v>
      </c>
      <c r="R305" s="16" t="n">
        <f aca="false">IF(K305&gt;0,Q305,R272)</f>
        <v>46505</v>
      </c>
      <c r="S305" s="15" t="s">
        <v>3388</v>
      </c>
    </row>
    <row r="306" customFormat="false" ht="15" hidden="false" customHeight="false" outlineLevel="0" collapsed="false">
      <c r="A306" s="15" t="s">
        <v>3436</v>
      </c>
      <c r="B306" s="15" t="s">
        <v>3432</v>
      </c>
      <c r="C306" s="15" t="s">
        <v>388</v>
      </c>
      <c r="D306" s="15" t="s">
        <v>2142</v>
      </c>
      <c r="E306" s="15" t="s">
        <v>2143</v>
      </c>
      <c r="F306" s="15" t="s">
        <v>3010</v>
      </c>
      <c r="G306" s="15" t="s">
        <v>3011</v>
      </c>
      <c r="H306" s="33" t="n">
        <f aca="false">Packages!$AD$33</f>
        <v>139.999999999855</v>
      </c>
      <c r="I306" s="15" t="s">
        <v>3012</v>
      </c>
      <c r="J306" s="34" t="n">
        <f aca="false">IF(Packages!$AD$33=0,0,MAX(1,ROUNDUP(Packages!$AD$33/(R_SHEET*Fronts!$I$6),0)))</f>
        <v>3</v>
      </c>
      <c r="K306" s="34" t="n">
        <f aca="false">IF(J306=0,0,ROUNDUP(J306*7/WD,0))</f>
        <v>4</v>
      </c>
      <c r="L306" s="15" t="s">
        <v>3435</v>
      </c>
      <c r="M306" s="34" t="n">
        <f aca="false">ROUNDUP(K305*LADDER,0)</f>
        <v>4</v>
      </c>
      <c r="N306" s="34" t="n">
        <f aca="false">IF(K306=0,0,FFLAG)</f>
        <v>2</v>
      </c>
      <c r="O306" s="15"/>
      <c r="P306" s="16" t="n">
        <f aca="false">MAX(P305+M306,R273)</f>
        <v>46498</v>
      </c>
      <c r="Q306" s="16" t="n">
        <f aca="false">MAX(P306+K306,Q305+N306)</f>
        <v>46507</v>
      </c>
      <c r="R306" s="16" t="n">
        <f aca="false">IF(K306&gt;0,Q306,R273)</f>
        <v>46507</v>
      </c>
      <c r="S306" s="15" t="s">
        <v>3389</v>
      </c>
    </row>
    <row r="307" customFormat="false" ht="15" hidden="false" customHeight="false" outlineLevel="0" collapsed="false">
      <c r="A307" s="15" t="s">
        <v>3437</v>
      </c>
      <c r="B307" s="15" t="s">
        <v>3432</v>
      </c>
      <c r="C307" s="15" t="s">
        <v>388</v>
      </c>
      <c r="D307" s="15" t="s">
        <v>2142</v>
      </c>
      <c r="E307" s="15" t="s">
        <v>2143</v>
      </c>
      <c r="F307" s="15" t="s">
        <v>3014</v>
      </c>
      <c r="G307" s="15" t="s">
        <v>3015</v>
      </c>
      <c r="H307" s="33" t="n">
        <f aca="false">Packages!$O$33</f>
        <v>123.745504749227</v>
      </c>
      <c r="I307" s="15" t="s">
        <v>118</v>
      </c>
      <c r="J307" s="34" t="n">
        <f aca="false">IF(Packages!$AG$33=0,0,ROUNDUP(Packages!$O$33/R_DW,0)+DW_DRAW)</f>
        <v>11</v>
      </c>
      <c r="K307" s="34" t="n">
        <f aca="false">IF(J307=0,0,ROUNDUP(J307*7/WD,0))</f>
        <v>13</v>
      </c>
      <c r="L307" s="15" t="s">
        <v>3436</v>
      </c>
      <c r="M307" s="34" t="n">
        <f aca="false">ROUNDUP(K306*LADDER,0)</f>
        <v>2</v>
      </c>
      <c r="N307" s="34" t="n">
        <f aca="false">IF(K307=0,0,FFLAG)</f>
        <v>2</v>
      </c>
      <c r="O307" s="15" t="s">
        <v>3438</v>
      </c>
      <c r="P307" s="16" t="n">
        <f aca="false">MAX(P306+M307,Q275-K307)</f>
        <v>46500</v>
      </c>
      <c r="Q307" s="16" t="n">
        <f aca="false">MAX(P307+K307,Q306+N307)</f>
        <v>46513</v>
      </c>
      <c r="R307" s="12"/>
      <c r="S307" s="12"/>
    </row>
    <row r="308" customFormat="false" ht="15" hidden="false" customHeight="false" outlineLevel="0" collapsed="false">
      <c r="A308" s="15" t="s">
        <v>3439</v>
      </c>
      <c r="B308" s="15" t="s">
        <v>3432</v>
      </c>
      <c r="C308" s="15" t="s">
        <v>388</v>
      </c>
      <c r="D308" s="15" t="s">
        <v>2142</v>
      </c>
      <c r="E308" s="15" t="s">
        <v>2143</v>
      </c>
      <c r="F308" s="15" t="s">
        <v>3017</v>
      </c>
      <c r="G308" s="15" t="s">
        <v>3018</v>
      </c>
      <c r="H308" s="33" t="n">
        <f aca="false">Packages!$X$33+Packages!$Y$33</f>
        <v>1672.35859697414</v>
      </c>
      <c r="I308" s="15" t="s">
        <v>3019</v>
      </c>
      <c r="J308" s="34" t="n">
        <f aca="false">MAX(1,ROUNDUP((Packages!$X$33/R_EXS+Packages!$Y$33/R_EXO)/Fronts!$J$6,0))</f>
        <v>3</v>
      </c>
      <c r="K308" s="34" t="n">
        <f aca="false">IF(J308=0,0,ROUNDUP(J308*7/WD,0))</f>
        <v>4</v>
      </c>
      <c r="L308" s="15" t="s">
        <v>3437</v>
      </c>
      <c r="M308" s="34" t="n">
        <f aca="false">IF(K307=0,0,ROUNDUP((K307-ROUNDUP(DW_DRAW*7/WD,0))*LADDER,0)+ROUNDUP(DW_DRAW*7/WD,0))</f>
        <v>11</v>
      </c>
      <c r="N308" s="34" t="n">
        <f aca="false">IF(K308=0,0,FFLAG)</f>
        <v>2</v>
      </c>
      <c r="O308" s="15" t="s">
        <v>3440</v>
      </c>
      <c r="P308" s="16" t="n">
        <f aca="false">MAX(P307+M308,R275,Q81,Q70,Q92,Q103,Q158,Q114,Q125,Q136,Q147,P297,P275)</f>
        <v>46560</v>
      </c>
      <c r="Q308" s="16" t="n">
        <f aca="false">MAX(P308+K308,Q307+N308)</f>
        <v>46564</v>
      </c>
      <c r="R308" s="16" t="n">
        <f aca="false">IF(K308&gt;0,Q308,R275)</f>
        <v>46564</v>
      </c>
      <c r="S308" s="15" t="s">
        <v>3392</v>
      </c>
    </row>
    <row r="309" customFormat="false" ht="15" hidden="false" customHeight="false" outlineLevel="0" collapsed="false">
      <c r="A309" s="15" t="s">
        <v>3441</v>
      </c>
      <c r="B309" s="15" t="s">
        <v>3432</v>
      </c>
      <c r="C309" s="15" t="s">
        <v>388</v>
      </c>
      <c r="D309" s="15" t="s">
        <v>2142</v>
      </c>
      <c r="E309" s="15" t="s">
        <v>2143</v>
      </c>
      <c r="F309" s="15" t="s">
        <v>3022</v>
      </c>
      <c r="G309" s="15" t="s">
        <v>3023</v>
      </c>
      <c r="H309" s="33" t="n">
        <f aca="false">Packages!$O$33</f>
        <v>123.745504749227</v>
      </c>
      <c r="I309" s="15" t="s">
        <v>118</v>
      </c>
      <c r="J309" s="34" t="n">
        <f aca="false">MAX(1,ROUNDUP(Packages!$O$33/(R_SLAB*Fronts!$K$6),0))+SLAB_CURE</f>
        <v>9</v>
      </c>
      <c r="K309" s="34" t="n">
        <f aca="false">IF(J309=0,0,ROUNDUP(J309*7/WD,0))</f>
        <v>11</v>
      </c>
      <c r="L309" s="15" t="s">
        <v>3439</v>
      </c>
      <c r="M309" s="34" t="n">
        <f aca="false">ROUNDUP(K308*LADDER,0)</f>
        <v>2</v>
      </c>
      <c r="N309" s="34" t="n">
        <f aca="false">IF(K309=0,0,FFLAG)</f>
        <v>2</v>
      </c>
      <c r="O309" s="15"/>
      <c r="P309" s="16" t="n">
        <f aca="false">MAX(P308+M309,R276)</f>
        <v>46562</v>
      </c>
      <c r="Q309" s="16" t="n">
        <f aca="false">MAX(P309+K309,Q308+N309)</f>
        <v>46573</v>
      </c>
      <c r="R309" s="16" t="n">
        <f aca="false">IF(K309&gt;0,Q309,R276)</f>
        <v>46573</v>
      </c>
      <c r="S309" s="15" t="s">
        <v>3394</v>
      </c>
    </row>
    <row r="310" customFormat="false" ht="15" hidden="false" customHeight="false" outlineLevel="0" collapsed="false">
      <c r="A310" s="15" t="s">
        <v>3442</v>
      </c>
      <c r="B310" s="15" t="s">
        <v>3432</v>
      </c>
      <c r="C310" s="15" t="s">
        <v>388</v>
      </c>
      <c r="D310" s="15" t="s">
        <v>2142</v>
      </c>
      <c r="E310" s="15" t="s">
        <v>2143</v>
      </c>
      <c r="F310" s="15" t="s">
        <v>3025</v>
      </c>
      <c r="G310" s="15" t="s">
        <v>3026</v>
      </c>
      <c r="H310" s="33" t="n">
        <f aca="false">Packages!$O$33</f>
        <v>123.745504749227</v>
      </c>
      <c r="I310" s="15" t="s">
        <v>118</v>
      </c>
      <c r="J310" s="34" t="n">
        <f aca="false">MAX(1,ROUNDUP(Packages!$O$33/(IF(Packages!$N$33&gt;=PIPE_T1,R_PIPE_L,IF(Packages!$N$33&gt;=PIPE_T2,R_PIPE_M,R_PIPE_S))*Fronts!$L$6)+Packages!$M$33*FIT_D+IF(Packages!$G$33&lt;&gt;"Run",TIE_D,0),0))</f>
        <v>8</v>
      </c>
      <c r="K310" s="34" t="n">
        <f aca="false">IF(J310=0,0,ROUNDUP(J310*7/WD,0))</f>
        <v>10</v>
      </c>
      <c r="L310" s="15" t="s">
        <v>3441</v>
      </c>
      <c r="M310" s="34" t="n">
        <f aca="false">ROUNDUP(K309*LADDER,0)</f>
        <v>4</v>
      </c>
      <c r="N310" s="34" t="n">
        <f aca="false">IF(K310=0,0,FFLAG)</f>
        <v>2</v>
      </c>
      <c r="O310" s="15"/>
      <c r="P310" s="16" t="n">
        <f aca="false">MAX(P309+M310,R277)</f>
        <v>46566</v>
      </c>
      <c r="Q310" s="16" t="n">
        <f aca="false">MAX(P310+K310,Q309+N310)</f>
        <v>46576</v>
      </c>
      <c r="R310" s="16" t="n">
        <f aca="false">IF(K310&gt;0,Q310,R277)</f>
        <v>46576</v>
      </c>
      <c r="S310" s="15" t="s">
        <v>3395</v>
      </c>
    </row>
    <row r="311" customFormat="false" ht="15" hidden="false" customHeight="false" outlineLevel="0" collapsed="false">
      <c r="A311" s="15" t="s">
        <v>3443</v>
      </c>
      <c r="B311" s="15" t="s">
        <v>3432</v>
      </c>
      <c r="C311" s="15" t="s">
        <v>388</v>
      </c>
      <c r="D311" s="15" t="s">
        <v>2142</v>
      </c>
      <c r="E311" s="15" t="s">
        <v>2143</v>
      </c>
      <c r="F311" s="15" t="s">
        <v>3028</v>
      </c>
      <c r="G311" s="15" t="s">
        <v>3029</v>
      </c>
      <c r="H311" s="33" t="n">
        <f aca="false">Packages!$O$33</f>
        <v>123.745504749227</v>
      </c>
      <c r="I311" s="15" t="s">
        <v>118</v>
      </c>
      <c r="J311" s="34" t="n">
        <f aca="false">TEST_D+ROUNDUP(Packages!$O$33/R_TEST,0)</f>
        <v>3</v>
      </c>
      <c r="K311" s="34" t="n">
        <f aca="false">IF(J311=0,0,ROUNDUP(J311*7/WD,0))</f>
        <v>4</v>
      </c>
      <c r="L311" s="15" t="s">
        <v>3442</v>
      </c>
      <c r="M311" s="34" t="n">
        <f aca="false">ROUNDUP(K310*LADDER,0)</f>
        <v>3</v>
      </c>
      <c r="N311" s="34" t="n">
        <f aca="false">IF(K311=0,0,FFLAG)</f>
        <v>2</v>
      </c>
      <c r="O311" s="15"/>
      <c r="P311" s="16" t="n">
        <f aca="false">MAX(P310+M311)</f>
        <v>46569</v>
      </c>
      <c r="Q311" s="16" t="n">
        <f aca="false">MAX(P311+K311,Q310+N311)</f>
        <v>46578</v>
      </c>
      <c r="R311" s="12"/>
      <c r="S311" s="12"/>
    </row>
    <row r="312" customFormat="false" ht="15" hidden="false" customHeight="false" outlineLevel="0" collapsed="false">
      <c r="A312" s="15" t="s">
        <v>3444</v>
      </c>
      <c r="B312" s="15" t="s">
        <v>3432</v>
      </c>
      <c r="C312" s="15" t="s">
        <v>388</v>
      </c>
      <c r="D312" s="15" t="s">
        <v>2142</v>
      </c>
      <c r="E312" s="15" t="s">
        <v>2143</v>
      </c>
      <c r="F312" s="15" t="s">
        <v>3031</v>
      </c>
      <c r="G312" s="15" t="s">
        <v>3032</v>
      </c>
      <c r="H312" s="33" t="n">
        <f aca="false">Packages!$AB$33</f>
        <v>1098.36656583373</v>
      </c>
      <c r="I312" s="15" t="s">
        <v>3019</v>
      </c>
      <c r="J312" s="34" t="n">
        <f aca="false">MAX(1,ROUNDUP(Packages!$AB$33/(R_BF*Fronts!$M$6),0))</f>
        <v>2</v>
      </c>
      <c r="K312" s="34" t="n">
        <f aca="false">IF(J312=0,0,ROUNDUP(J312*7/WD,0))</f>
        <v>3</v>
      </c>
      <c r="L312" s="15" t="s">
        <v>3443</v>
      </c>
      <c r="M312" s="34" t="n">
        <f aca="false">ROUNDUP(K311*LADDER,0)</f>
        <v>2</v>
      </c>
      <c r="N312" s="34" t="n">
        <f aca="false">IF(K312=0,0,FFLAG)</f>
        <v>2</v>
      </c>
      <c r="O312" s="15" t="s">
        <v>3445</v>
      </c>
      <c r="P312" s="16" t="n">
        <f aca="false">MAX(P311+M312,R279,Q299,Q277)</f>
        <v>46584</v>
      </c>
      <c r="Q312" s="16" t="n">
        <f aca="false">MAX(P312+K312,Q311+N312)</f>
        <v>46587</v>
      </c>
      <c r="R312" s="16" t="n">
        <f aca="false">IF(K312&gt;0,Q312,R279)</f>
        <v>46587</v>
      </c>
      <c r="S312" s="15" t="s">
        <v>3397</v>
      </c>
    </row>
    <row r="313" customFormat="false" ht="15" hidden="false" customHeight="false" outlineLevel="0" collapsed="false">
      <c r="A313" s="15" t="s">
        <v>3446</v>
      </c>
      <c r="B313" s="15" t="s">
        <v>3432</v>
      </c>
      <c r="C313" s="15" t="s">
        <v>388</v>
      </c>
      <c r="D313" s="15" t="s">
        <v>2142</v>
      </c>
      <c r="E313" s="15" t="s">
        <v>2143</v>
      </c>
      <c r="F313" s="15" t="s">
        <v>3034</v>
      </c>
      <c r="G313" s="15" t="s">
        <v>3035</v>
      </c>
      <c r="H313" s="33" t="n">
        <f aca="false">Packages!$AD$33</f>
        <v>139.999999999855</v>
      </c>
      <c r="I313" s="15" t="s">
        <v>3012</v>
      </c>
      <c r="J313" s="34" t="n">
        <f aca="false">IF(Packages!$AD$33&gt;0,ROUNDUP(Packages!$AD$33/R_EXT,0),0)+IF(Packages!$AG$33&gt;0,1,0)</f>
        <v>4</v>
      </c>
      <c r="K313" s="34" t="n">
        <f aca="false">IF(J313=0,0,ROUNDUP(J313*7/WD,0))</f>
        <v>5</v>
      </c>
      <c r="L313" s="15" t="s">
        <v>3444</v>
      </c>
      <c r="M313" s="34" t="n">
        <f aca="false">ROUNDUP(K312*LADDER,0)</f>
        <v>1</v>
      </c>
      <c r="N313" s="34" t="n">
        <f aca="false">IF(K313=0,0,FFLAG)</f>
        <v>2</v>
      </c>
      <c r="O313" s="15"/>
      <c r="P313" s="16" t="n">
        <f aca="false">MAX(P312+M313)</f>
        <v>46585</v>
      </c>
      <c r="Q313" s="16" t="n">
        <f aca="false">MAX(P313+K313,Q312+N313)</f>
        <v>46590</v>
      </c>
      <c r="R313" s="12"/>
      <c r="S313" s="12"/>
    </row>
    <row r="314" customFormat="false" ht="15" hidden="false" customHeight="false" outlineLevel="0" collapsed="false">
      <c r="A314" s="15" t="s">
        <v>3447</v>
      </c>
      <c r="B314" s="15" t="s">
        <v>3448</v>
      </c>
      <c r="C314" s="15" t="s">
        <v>388</v>
      </c>
      <c r="D314" s="15" t="s">
        <v>2142</v>
      </c>
      <c r="E314" s="15" t="s">
        <v>2168</v>
      </c>
      <c r="F314" s="15" t="s">
        <v>2998</v>
      </c>
      <c r="G314" s="15" t="s">
        <v>2999</v>
      </c>
      <c r="H314" s="12"/>
      <c r="I314" s="12"/>
      <c r="J314" s="34" t="n">
        <f aca="false">0</f>
        <v>0</v>
      </c>
      <c r="K314" s="34" t="n">
        <f aca="false">IF(J314=0,0,ROUNDUP(J314*7/WD,0))</f>
        <v>0</v>
      </c>
      <c r="L314" s="12"/>
      <c r="M314" s="12"/>
      <c r="N314" s="12"/>
      <c r="O314" s="15" t="s">
        <v>3038</v>
      </c>
      <c r="P314" s="16" t="n">
        <f aca="false">MAX(START,D_DLU,Packages!$I$34,Packages!$K$34)</f>
        <v>46357</v>
      </c>
      <c r="Q314" s="16" t="n">
        <f aca="false">P314+K314</f>
        <v>46357</v>
      </c>
      <c r="R314" s="12"/>
      <c r="S314" s="12"/>
    </row>
    <row r="315" customFormat="false" ht="15" hidden="false" customHeight="false" outlineLevel="0" collapsed="false">
      <c r="A315" s="15" t="s">
        <v>3449</v>
      </c>
      <c r="B315" s="15" t="s">
        <v>3448</v>
      </c>
      <c r="C315" s="15" t="s">
        <v>388</v>
      </c>
      <c r="D315" s="15" t="s">
        <v>2142</v>
      </c>
      <c r="E315" s="15" t="s">
        <v>2168</v>
      </c>
      <c r="F315" s="15" t="s">
        <v>3002</v>
      </c>
      <c r="G315" s="15" t="s">
        <v>205</v>
      </c>
      <c r="H315" s="33" t="n">
        <f aca="false">Packages!$O$34</f>
        <v>3.08560000077398</v>
      </c>
      <c r="I315" s="15" t="s">
        <v>118</v>
      </c>
      <c r="J315" s="34" t="n">
        <f aca="false">MAX(1,ROUNDUP(Packages!$O$34/R_PLAT,0))</f>
        <v>1</v>
      </c>
      <c r="K315" s="34" t="n">
        <f aca="false">IF(J315=0,0,ROUNDUP(J315*7/WD,0))</f>
        <v>2</v>
      </c>
      <c r="L315" s="15" t="s">
        <v>3447</v>
      </c>
      <c r="M315" s="12"/>
      <c r="N315" s="12"/>
      <c r="O315" s="15" t="s">
        <v>3450</v>
      </c>
      <c r="P315" s="16" t="n">
        <f aca="false">MAX(Q314,P305)</f>
        <v>46494</v>
      </c>
      <c r="Q315" s="16" t="n">
        <f aca="false">P315+K315</f>
        <v>46496</v>
      </c>
      <c r="R315" s="12"/>
      <c r="S315" s="12"/>
    </row>
    <row r="316" customFormat="false" ht="15" hidden="false" customHeight="false" outlineLevel="0" collapsed="false">
      <c r="A316" s="15" t="s">
        <v>3451</v>
      </c>
      <c r="B316" s="15" t="s">
        <v>3448</v>
      </c>
      <c r="C316" s="15" t="s">
        <v>388</v>
      </c>
      <c r="D316" s="15" t="s">
        <v>2142</v>
      </c>
      <c r="E316" s="15" t="s">
        <v>2168</v>
      </c>
      <c r="F316" s="15" t="s">
        <v>3005</v>
      </c>
      <c r="G316" s="15" t="s">
        <v>3006</v>
      </c>
      <c r="H316" s="33" t="n">
        <f aca="false">Packages!$AC$34</f>
        <v>6</v>
      </c>
      <c r="I316" s="15" t="s">
        <v>3007</v>
      </c>
      <c r="J316" s="34" t="n">
        <f aca="false">IF(Packages!$AC$34=0,0,MAX(1,ROUNDUP(Packages!$AC$34/(R_PILE*Fronts!$H$6),0)))</f>
        <v>1</v>
      </c>
      <c r="K316" s="34" t="n">
        <f aca="false">IF(J316=0,0,ROUNDUP(J316*7/WD,0))</f>
        <v>2</v>
      </c>
      <c r="L316" s="15" t="s">
        <v>3449</v>
      </c>
      <c r="M316" s="34" t="n">
        <f aca="false">ROUNDUP(K315*LADDER,0)</f>
        <v>1</v>
      </c>
      <c r="N316" s="34" t="n">
        <f aca="false">IF(K316=0,0,FFLAG)</f>
        <v>2</v>
      </c>
      <c r="O316" s="15" t="s">
        <v>3008</v>
      </c>
      <c r="P316" s="16" t="n">
        <f aca="false">MAX(P315+M316,D_PILEDES)</f>
        <v>46495</v>
      </c>
      <c r="Q316" s="16" t="n">
        <f aca="false">MAX(P316+K316,Q315+N316)</f>
        <v>46498</v>
      </c>
      <c r="R316" s="16" t="n">
        <f aca="false">IF(K316&gt;0,Q316,0)</f>
        <v>46498</v>
      </c>
      <c r="S316" s="12"/>
    </row>
    <row r="317" customFormat="false" ht="15" hidden="false" customHeight="false" outlineLevel="0" collapsed="false">
      <c r="A317" s="15" t="s">
        <v>3452</v>
      </c>
      <c r="B317" s="15" t="s">
        <v>3448</v>
      </c>
      <c r="C317" s="15" t="s">
        <v>388</v>
      </c>
      <c r="D317" s="15" t="s">
        <v>2142</v>
      </c>
      <c r="E317" s="15" t="s">
        <v>2168</v>
      </c>
      <c r="F317" s="15" t="s">
        <v>3010</v>
      </c>
      <c r="G317" s="15" t="s">
        <v>3011</v>
      </c>
      <c r="H317" s="33" t="n">
        <f aca="false">Packages!$AD$34</f>
        <v>0</v>
      </c>
      <c r="I317" s="15" t="s">
        <v>3012</v>
      </c>
      <c r="J317" s="34" t="n">
        <f aca="false">IF(Packages!$AD$34=0,0,MAX(1,ROUNDUP(Packages!$AD$34/(R_SHEET*Fronts!$I$6),0)))</f>
        <v>0</v>
      </c>
      <c r="K317" s="34" t="n">
        <f aca="false">IF(J317=0,0,ROUNDUP(J317*7/WD,0))</f>
        <v>0</v>
      </c>
      <c r="L317" s="15" t="s">
        <v>3451</v>
      </c>
      <c r="M317" s="34" t="n">
        <f aca="false">ROUNDUP(K316*LADDER,0)</f>
        <v>1</v>
      </c>
      <c r="N317" s="34" t="n">
        <f aca="false">IF(K317=0,0,FFLAG)</f>
        <v>0</v>
      </c>
      <c r="O317" s="15"/>
      <c r="P317" s="16" t="n">
        <f aca="false">MAX(P316+M317)</f>
        <v>46496</v>
      </c>
      <c r="Q317" s="16" t="n">
        <f aca="false">MAX(P317+K317,Q316+N317)</f>
        <v>46498</v>
      </c>
      <c r="R317" s="16" t="n">
        <f aca="false">IF(K317&gt;0,Q317,0)</f>
        <v>0</v>
      </c>
      <c r="S317" s="12"/>
    </row>
    <row r="318" customFormat="false" ht="15" hidden="false" customHeight="false" outlineLevel="0" collapsed="false">
      <c r="A318" s="15" t="s">
        <v>3453</v>
      </c>
      <c r="B318" s="15" t="s">
        <v>3448</v>
      </c>
      <c r="C318" s="15" t="s">
        <v>388</v>
      </c>
      <c r="D318" s="15" t="s">
        <v>2142</v>
      </c>
      <c r="E318" s="15" t="s">
        <v>2168</v>
      </c>
      <c r="F318" s="15" t="s">
        <v>3014</v>
      </c>
      <c r="G318" s="15" t="s">
        <v>3015</v>
      </c>
      <c r="H318" s="33" t="n">
        <f aca="false">Packages!$O$34</f>
        <v>3.08560000077398</v>
      </c>
      <c r="I318" s="15" t="s">
        <v>118</v>
      </c>
      <c r="J318" s="34" t="n">
        <f aca="false">IF(Packages!$AG$34=0,0,ROUNDUP(Packages!$O$34/R_DW,0)+DW_DRAW)</f>
        <v>8</v>
      </c>
      <c r="K318" s="34" t="n">
        <f aca="false">IF(J318=0,0,ROUNDUP(J318*7/WD,0))</f>
        <v>10</v>
      </c>
      <c r="L318" s="15" t="s">
        <v>3452</v>
      </c>
      <c r="M318" s="34" t="n">
        <f aca="false">ROUNDUP(K317*LADDER,0)</f>
        <v>0</v>
      </c>
      <c r="N318" s="34" t="n">
        <f aca="false">IF(K318=0,0,FFLAG)</f>
        <v>2</v>
      </c>
      <c r="O318" s="15"/>
      <c r="P318" s="16" t="n">
        <f aca="false">MAX(P317+M318)</f>
        <v>46496</v>
      </c>
      <c r="Q318" s="16" t="n">
        <f aca="false">MAX(P318+K318,Q317+N318)</f>
        <v>46506</v>
      </c>
      <c r="R318" s="12"/>
      <c r="S318" s="12"/>
    </row>
    <row r="319" customFormat="false" ht="15" hidden="false" customHeight="false" outlineLevel="0" collapsed="false">
      <c r="A319" s="15" t="s">
        <v>3454</v>
      </c>
      <c r="B319" s="15" t="s">
        <v>3448</v>
      </c>
      <c r="C319" s="15" t="s">
        <v>388</v>
      </c>
      <c r="D319" s="15" t="s">
        <v>2142</v>
      </c>
      <c r="E319" s="15" t="s">
        <v>2168</v>
      </c>
      <c r="F319" s="15" t="s">
        <v>3017</v>
      </c>
      <c r="G319" s="15" t="s">
        <v>3018</v>
      </c>
      <c r="H319" s="33" t="n">
        <f aca="false">Packages!$X$34+Packages!$Y$34</f>
        <v>61.9719716933194</v>
      </c>
      <c r="I319" s="15" t="s">
        <v>3019</v>
      </c>
      <c r="J319" s="34" t="n">
        <f aca="false">MAX(1,ROUNDUP((Packages!$X$34/R_EXS+Packages!$Y$34/R_EXO)/Fronts!$J$6,0))</f>
        <v>1</v>
      </c>
      <c r="K319" s="34" t="n">
        <f aca="false">IF(J319=0,0,ROUNDUP(J319*7/WD,0))</f>
        <v>2</v>
      </c>
      <c r="L319" s="15" t="s">
        <v>3453</v>
      </c>
      <c r="M319" s="34" t="n">
        <f aca="false">IF(K318=0,0,ROUNDUP((K318-ROUNDUP(DW_DRAW*7/WD,0))*LADDER,0)+ROUNDUP(DW_DRAW*7/WD,0))</f>
        <v>10</v>
      </c>
      <c r="N319" s="34" t="n">
        <f aca="false">IF(K319=0,0,FFLAG)</f>
        <v>2</v>
      </c>
      <c r="O319" s="15" t="s">
        <v>3455</v>
      </c>
      <c r="P319" s="16" t="n">
        <f aca="false">MAX(P318+M319,Q147,P297,P275)</f>
        <v>46533</v>
      </c>
      <c r="Q319" s="16" t="n">
        <f aca="false">MAX(P319+K319,Q318+N319)</f>
        <v>46535</v>
      </c>
      <c r="R319" s="16" t="n">
        <f aca="false">IF(K319&gt;0,Q319,0)</f>
        <v>46535</v>
      </c>
      <c r="S319" s="12"/>
    </row>
    <row r="320" customFormat="false" ht="15" hidden="false" customHeight="false" outlineLevel="0" collapsed="false">
      <c r="A320" s="15" t="s">
        <v>3456</v>
      </c>
      <c r="B320" s="15" t="s">
        <v>3448</v>
      </c>
      <c r="C320" s="15" t="s">
        <v>388</v>
      </c>
      <c r="D320" s="15" t="s">
        <v>2142</v>
      </c>
      <c r="E320" s="15" t="s">
        <v>2168</v>
      </c>
      <c r="F320" s="15" t="s">
        <v>3022</v>
      </c>
      <c r="G320" s="15" t="s">
        <v>3023</v>
      </c>
      <c r="H320" s="33" t="n">
        <f aca="false">Packages!$O$34</f>
        <v>3.08560000077398</v>
      </c>
      <c r="I320" s="15" t="s">
        <v>118</v>
      </c>
      <c r="J320" s="34" t="n">
        <f aca="false">MAX(1,ROUNDUP(Packages!$O$34/(R_SLAB*Fronts!$K$6),0))+SLAB_CURE</f>
        <v>4</v>
      </c>
      <c r="K320" s="34" t="n">
        <f aca="false">IF(J320=0,0,ROUNDUP(J320*7/WD,0))</f>
        <v>5</v>
      </c>
      <c r="L320" s="15" t="s">
        <v>3454</v>
      </c>
      <c r="M320" s="34" t="n">
        <f aca="false">ROUNDUP(K319*LADDER,0)</f>
        <v>1</v>
      </c>
      <c r="N320" s="34" t="n">
        <f aca="false">IF(K320=0,0,FFLAG)</f>
        <v>2</v>
      </c>
      <c r="O320" s="15"/>
      <c r="P320" s="16" t="n">
        <f aca="false">MAX(P319+M320)</f>
        <v>46534</v>
      </c>
      <c r="Q320" s="16" t="n">
        <f aca="false">MAX(P320+K320,Q319+N320)</f>
        <v>46539</v>
      </c>
      <c r="R320" s="16" t="n">
        <f aca="false">IF(K320&gt;0,Q320,0)</f>
        <v>46539</v>
      </c>
      <c r="S320" s="12"/>
    </row>
    <row r="321" customFormat="false" ht="15" hidden="false" customHeight="false" outlineLevel="0" collapsed="false">
      <c r="A321" s="15" t="s">
        <v>3457</v>
      </c>
      <c r="B321" s="15" t="s">
        <v>3448</v>
      </c>
      <c r="C321" s="15" t="s">
        <v>388</v>
      </c>
      <c r="D321" s="15" t="s">
        <v>2142</v>
      </c>
      <c r="E321" s="15" t="s">
        <v>2168</v>
      </c>
      <c r="F321" s="15" t="s">
        <v>3025</v>
      </c>
      <c r="G321" s="15" t="s">
        <v>3026</v>
      </c>
      <c r="H321" s="33" t="n">
        <f aca="false">Packages!$O$34</f>
        <v>3.08560000077398</v>
      </c>
      <c r="I321" s="15" t="s">
        <v>118</v>
      </c>
      <c r="J321" s="34" t="n">
        <f aca="false">MAX(1,ROUNDUP(Packages!$O$34/(IF(Packages!$N$34&gt;=PIPE_T1,R_PIPE_L,IF(Packages!$N$34&gt;=PIPE_T2,R_PIPE_M,R_PIPE_S))*Fronts!$L$6)+Packages!$M$34*FIT_D+IF(Packages!$G$34&lt;&gt;"Run",TIE_D,0),0))</f>
        <v>4</v>
      </c>
      <c r="K321" s="34" t="n">
        <f aca="false">IF(J321=0,0,ROUNDUP(J321*7/WD,0))</f>
        <v>5</v>
      </c>
      <c r="L321" s="15" t="s">
        <v>3456</v>
      </c>
      <c r="M321" s="34" t="n">
        <f aca="false">ROUNDUP(K320*LADDER,0)</f>
        <v>2</v>
      </c>
      <c r="N321" s="34" t="n">
        <f aca="false">IF(K321=0,0,FFLAG)</f>
        <v>2</v>
      </c>
      <c r="O321" s="15" t="s">
        <v>3458</v>
      </c>
      <c r="P321" s="16" t="n">
        <f aca="false">MAX(P320+M321,Q310)</f>
        <v>46576</v>
      </c>
      <c r="Q321" s="16" t="n">
        <f aca="false">MAX(P321+K321,Q320+N321)</f>
        <v>46581</v>
      </c>
      <c r="R321" s="16" t="n">
        <f aca="false">IF(K321&gt;0,Q321,0)</f>
        <v>46581</v>
      </c>
      <c r="S321" s="12"/>
    </row>
    <row r="322" customFormat="false" ht="15" hidden="false" customHeight="false" outlineLevel="0" collapsed="false">
      <c r="A322" s="15" t="s">
        <v>3459</v>
      </c>
      <c r="B322" s="15" t="s">
        <v>3448</v>
      </c>
      <c r="C322" s="15" t="s">
        <v>388</v>
      </c>
      <c r="D322" s="15" t="s">
        <v>2142</v>
      </c>
      <c r="E322" s="15" t="s">
        <v>2168</v>
      </c>
      <c r="F322" s="15" t="s">
        <v>3028</v>
      </c>
      <c r="G322" s="15" t="s">
        <v>3029</v>
      </c>
      <c r="H322" s="33" t="n">
        <f aca="false">Packages!$O$34</f>
        <v>3.08560000077398</v>
      </c>
      <c r="I322" s="15" t="s">
        <v>118</v>
      </c>
      <c r="J322" s="34" t="n">
        <f aca="false">TEST_D+ROUNDUP(Packages!$O$34/R_TEST,0)</f>
        <v>3</v>
      </c>
      <c r="K322" s="34" t="n">
        <f aca="false">IF(J322=0,0,ROUNDUP(J322*7/WD,0))</f>
        <v>4</v>
      </c>
      <c r="L322" s="15" t="s">
        <v>3457</v>
      </c>
      <c r="M322" s="34" t="n">
        <f aca="false">ROUNDUP(K321*LADDER,0)</f>
        <v>2</v>
      </c>
      <c r="N322" s="34" t="n">
        <f aca="false">IF(K322=0,0,FFLAG)</f>
        <v>2</v>
      </c>
      <c r="O322" s="15"/>
      <c r="P322" s="16" t="n">
        <f aca="false">MAX(P321+M322)</f>
        <v>46578</v>
      </c>
      <c r="Q322" s="16" t="n">
        <f aca="false">MAX(P322+K322,Q321+N322)</f>
        <v>46583</v>
      </c>
      <c r="R322" s="12"/>
      <c r="S322" s="12"/>
    </row>
    <row r="323" customFormat="false" ht="15" hidden="false" customHeight="false" outlineLevel="0" collapsed="false">
      <c r="A323" s="15" t="s">
        <v>3460</v>
      </c>
      <c r="B323" s="15" t="s">
        <v>3448</v>
      </c>
      <c r="C323" s="15" t="s">
        <v>388</v>
      </c>
      <c r="D323" s="15" t="s">
        <v>2142</v>
      </c>
      <c r="E323" s="15" t="s">
        <v>2168</v>
      </c>
      <c r="F323" s="15" t="s">
        <v>3031</v>
      </c>
      <c r="G323" s="15" t="s">
        <v>3032</v>
      </c>
      <c r="H323" s="33" t="n">
        <f aca="false">Packages!$AB$34</f>
        <v>46.8561132998474</v>
      </c>
      <c r="I323" s="15" t="s">
        <v>3019</v>
      </c>
      <c r="J323" s="34" t="n">
        <f aca="false">MAX(1,ROUNDUP(Packages!$AB$34/(R_BF*Fronts!$M$6),0))</f>
        <v>1</v>
      </c>
      <c r="K323" s="34" t="n">
        <f aca="false">IF(J323=0,0,ROUNDUP(J323*7/WD,0))</f>
        <v>2</v>
      </c>
      <c r="L323" s="15" t="s">
        <v>3459</v>
      </c>
      <c r="M323" s="34" t="n">
        <f aca="false">ROUNDUP(K322*LADDER,0)</f>
        <v>2</v>
      </c>
      <c r="N323" s="34" t="n">
        <f aca="false">IF(K323=0,0,FFLAG)</f>
        <v>2</v>
      </c>
      <c r="O323" s="15" t="s">
        <v>3445</v>
      </c>
      <c r="P323" s="16" t="n">
        <f aca="false">MAX(P322+M323,Q299,Q277)</f>
        <v>46580</v>
      </c>
      <c r="Q323" s="16" t="n">
        <f aca="false">MAX(P323+K323,Q322+N323)</f>
        <v>46585</v>
      </c>
      <c r="R323" s="16" t="n">
        <f aca="false">IF(K323&gt;0,Q323,0)</f>
        <v>46585</v>
      </c>
      <c r="S323" s="12"/>
    </row>
    <row r="324" customFormat="false" ht="15" hidden="false" customHeight="false" outlineLevel="0" collapsed="false">
      <c r="A324" s="15" t="s">
        <v>3461</v>
      </c>
      <c r="B324" s="15" t="s">
        <v>3448</v>
      </c>
      <c r="C324" s="15" t="s">
        <v>388</v>
      </c>
      <c r="D324" s="15" t="s">
        <v>2142</v>
      </c>
      <c r="E324" s="15" t="s">
        <v>2168</v>
      </c>
      <c r="F324" s="15" t="s">
        <v>3034</v>
      </c>
      <c r="G324" s="15" t="s">
        <v>3035</v>
      </c>
      <c r="H324" s="33" t="n">
        <f aca="false">Packages!$AD$34</f>
        <v>0</v>
      </c>
      <c r="I324" s="15" t="s">
        <v>3012</v>
      </c>
      <c r="J324" s="34" t="n">
        <f aca="false">IF(Packages!$AD$34&gt;0,ROUNDUP(Packages!$AD$34/R_EXT,0),0)+IF(Packages!$AG$34&gt;0,1,0)</f>
        <v>1</v>
      </c>
      <c r="K324" s="34" t="n">
        <f aca="false">IF(J324=0,0,ROUNDUP(J324*7/WD,0))</f>
        <v>2</v>
      </c>
      <c r="L324" s="15" t="s">
        <v>3460</v>
      </c>
      <c r="M324" s="34" t="n">
        <f aca="false">ROUNDUP(K323*LADDER,0)</f>
        <v>1</v>
      </c>
      <c r="N324" s="34" t="n">
        <f aca="false">IF(K324=0,0,FFLAG)</f>
        <v>2</v>
      </c>
      <c r="O324" s="15"/>
      <c r="P324" s="16" t="n">
        <f aca="false">MAX(P323+M324)</f>
        <v>46581</v>
      </c>
      <c r="Q324" s="16" t="n">
        <f aca="false">MAX(P324+K324,Q323+N324)</f>
        <v>46587</v>
      </c>
      <c r="R324" s="12"/>
      <c r="S324" s="12"/>
    </row>
    <row r="325" customFormat="false" ht="15" hidden="false" customHeight="false" outlineLevel="0" collapsed="false">
      <c r="A325" s="15" t="s">
        <v>3462</v>
      </c>
      <c r="B325" s="15" t="s">
        <v>3463</v>
      </c>
      <c r="C325" s="15" t="s">
        <v>391</v>
      </c>
      <c r="D325" s="15" t="s">
        <v>1198</v>
      </c>
      <c r="E325" s="15" t="s">
        <v>1227</v>
      </c>
      <c r="F325" s="15" t="s">
        <v>2998</v>
      </c>
      <c r="G325" s="15" t="s">
        <v>2999</v>
      </c>
      <c r="H325" s="12"/>
      <c r="I325" s="12"/>
      <c r="J325" s="34" t="n">
        <f aca="false">0</f>
        <v>0</v>
      </c>
      <c r="K325" s="34" t="n">
        <f aca="false">IF(J325=0,0,ROUNDUP(J325*7/WD,0))</f>
        <v>0</v>
      </c>
      <c r="L325" s="12"/>
      <c r="M325" s="12"/>
      <c r="N325" s="12"/>
      <c r="O325" s="15" t="s">
        <v>3000</v>
      </c>
      <c r="P325" s="16" t="n">
        <f aca="false">MAX(START,D_DLU,Packages!$I$35,Packages!$K$35)</f>
        <v>46357</v>
      </c>
      <c r="Q325" s="16" t="n">
        <f aca="false">P325+K325</f>
        <v>46357</v>
      </c>
      <c r="R325" s="12"/>
      <c r="S325" s="12"/>
    </row>
    <row r="326" customFormat="false" ht="15" hidden="false" customHeight="false" outlineLevel="0" collapsed="false">
      <c r="A326" s="15" t="s">
        <v>3464</v>
      </c>
      <c r="B326" s="15" t="s">
        <v>3463</v>
      </c>
      <c r="C326" s="15" t="s">
        <v>391</v>
      </c>
      <c r="D326" s="15" t="s">
        <v>1198</v>
      </c>
      <c r="E326" s="15" t="s">
        <v>1227</v>
      </c>
      <c r="F326" s="15" t="s">
        <v>3002</v>
      </c>
      <c r="G326" s="15" t="s">
        <v>205</v>
      </c>
      <c r="H326" s="33" t="n">
        <f aca="false">Packages!$O$35</f>
        <v>53.1990000006288</v>
      </c>
      <c r="I326" s="15" t="s">
        <v>118</v>
      </c>
      <c r="J326" s="34" t="n">
        <f aca="false">MAX(1,ROUNDUP(Packages!$O$35/R_PLAT,0))</f>
        <v>1</v>
      </c>
      <c r="K326" s="34" t="n">
        <f aca="false">IF(J326=0,0,ROUNDUP(J326*7/WD,0))</f>
        <v>2</v>
      </c>
      <c r="L326" s="15" t="s">
        <v>3462</v>
      </c>
      <c r="M326" s="12"/>
      <c r="N326" s="12"/>
      <c r="O326" s="15" t="s">
        <v>3003</v>
      </c>
      <c r="P326" s="16" t="n">
        <f aca="false">MAX(Q325)</f>
        <v>46357</v>
      </c>
      <c r="Q326" s="16" t="n">
        <f aca="false">P326+K326</f>
        <v>46359</v>
      </c>
      <c r="R326" s="12"/>
      <c r="S326" s="12"/>
    </row>
    <row r="327" customFormat="false" ht="15" hidden="false" customHeight="false" outlineLevel="0" collapsed="false">
      <c r="A327" s="15" t="s">
        <v>3465</v>
      </c>
      <c r="B327" s="15" t="s">
        <v>3463</v>
      </c>
      <c r="C327" s="15" t="s">
        <v>391</v>
      </c>
      <c r="D327" s="15" t="s">
        <v>1198</v>
      </c>
      <c r="E327" s="15" t="s">
        <v>1227</v>
      </c>
      <c r="F327" s="15" t="s">
        <v>3005</v>
      </c>
      <c r="G327" s="15" t="s">
        <v>3006</v>
      </c>
      <c r="H327" s="33" t="n">
        <f aca="false">Packages!$AC$35</f>
        <v>38</v>
      </c>
      <c r="I327" s="15" t="s">
        <v>3007</v>
      </c>
      <c r="J327" s="34" t="n">
        <f aca="false">IF(Packages!$AC$35=0,0,MAX(1,ROUNDUP(Packages!$AC$35/(R_PILE*Fronts!$H$7),0)))</f>
        <v>8</v>
      </c>
      <c r="K327" s="34" t="n">
        <f aca="false">IF(J327=0,0,ROUNDUP(J327*7/WD,0))</f>
        <v>10</v>
      </c>
      <c r="L327" s="15" t="s">
        <v>3464</v>
      </c>
      <c r="M327" s="34" t="n">
        <f aca="false">ROUNDUP(K326*LADDER,0)</f>
        <v>1</v>
      </c>
      <c r="N327" s="34" t="n">
        <f aca="false">IF(K327=0,0,FFLAG)</f>
        <v>2</v>
      </c>
      <c r="O327" s="15" t="s">
        <v>3008</v>
      </c>
      <c r="P327" s="16" t="n">
        <f aca="false">MAX(P326+M327,D_PILEDES)</f>
        <v>46358</v>
      </c>
      <c r="Q327" s="16" t="n">
        <f aca="false">MAX(P327+K327,Q326+N327)</f>
        <v>46368</v>
      </c>
      <c r="R327" s="16" t="n">
        <f aca="false">IF(K327&gt;0,Q327,0)</f>
        <v>46368</v>
      </c>
      <c r="S327" s="12"/>
    </row>
    <row r="328" customFormat="false" ht="15" hidden="false" customHeight="false" outlineLevel="0" collapsed="false">
      <c r="A328" s="15" t="s">
        <v>3466</v>
      </c>
      <c r="B328" s="15" t="s">
        <v>3463</v>
      </c>
      <c r="C328" s="15" t="s">
        <v>391</v>
      </c>
      <c r="D328" s="15" t="s">
        <v>1198</v>
      </c>
      <c r="E328" s="15" t="s">
        <v>1227</v>
      </c>
      <c r="F328" s="15" t="s">
        <v>3010</v>
      </c>
      <c r="G328" s="15" t="s">
        <v>3011</v>
      </c>
      <c r="H328" s="33" t="n">
        <f aca="false">Packages!$AD$35</f>
        <v>106.398000001258</v>
      </c>
      <c r="I328" s="15" t="s">
        <v>3012</v>
      </c>
      <c r="J328" s="34" t="n">
        <f aca="false">IF(Packages!$AD$35=0,0,MAX(1,ROUNDUP(Packages!$AD$35/(R_SHEET*Fronts!$I$7),0)))</f>
        <v>5</v>
      </c>
      <c r="K328" s="34" t="n">
        <f aca="false">IF(J328=0,0,ROUNDUP(J328*7/WD,0))</f>
        <v>6</v>
      </c>
      <c r="L328" s="15" t="s">
        <v>3465</v>
      </c>
      <c r="M328" s="34" t="n">
        <f aca="false">ROUNDUP(K327*LADDER,0)</f>
        <v>3</v>
      </c>
      <c r="N328" s="34" t="n">
        <f aca="false">IF(K328=0,0,FFLAG)</f>
        <v>2</v>
      </c>
      <c r="O328" s="15"/>
      <c r="P328" s="16" t="n">
        <f aca="false">MAX(P327+M328)</f>
        <v>46361</v>
      </c>
      <c r="Q328" s="16" t="n">
        <f aca="false">MAX(P328+K328,Q327+N328)</f>
        <v>46370</v>
      </c>
      <c r="R328" s="16" t="n">
        <f aca="false">IF(K328&gt;0,Q328,0)</f>
        <v>46370</v>
      </c>
      <c r="S328" s="12"/>
    </row>
    <row r="329" customFormat="false" ht="15" hidden="false" customHeight="false" outlineLevel="0" collapsed="false">
      <c r="A329" s="15" t="s">
        <v>3467</v>
      </c>
      <c r="B329" s="15" t="s">
        <v>3463</v>
      </c>
      <c r="C329" s="15" t="s">
        <v>391</v>
      </c>
      <c r="D329" s="15" t="s">
        <v>1198</v>
      </c>
      <c r="E329" s="15" t="s">
        <v>1227</v>
      </c>
      <c r="F329" s="15" t="s">
        <v>3014</v>
      </c>
      <c r="G329" s="15" t="s">
        <v>3015</v>
      </c>
      <c r="H329" s="33" t="n">
        <f aca="false">Packages!$O$35</f>
        <v>53.1990000006288</v>
      </c>
      <c r="I329" s="15" t="s">
        <v>118</v>
      </c>
      <c r="J329" s="34" t="n">
        <f aca="false">IF(Packages!$AG$35=0,0,ROUNDUP(Packages!$O$35/R_DW,0)+DW_DRAW)</f>
        <v>9</v>
      </c>
      <c r="K329" s="34" t="n">
        <f aca="false">IF(J329=0,0,ROUNDUP(J329*7/WD,0))</f>
        <v>11</v>
      </c>
      <c r="L329" s="15" t="s">
        <v>3466</v>
      </c>
      <c r="M329" s="34" t="n">
        <f aca="false">ROUNDUP(K328*LADDER,0)</f>
        <v>2</v>
      </c>
      <c r="N329" s="34" t="n">
        <f aca="false">IF(K329=0,0,FFLAG)</f>
        <v>2</v>
      </c>
      <c r="O329" s="15"/>
      <c r="P329" s="16" t="n">
        <f aca="false">MAX(P328+M329)</f>
        <v>46363</v>
      </c>
      <c r="Q329" s="16" t="n">
        <f aca="false">MAX(P329+K329,Q328+N329)</f>
        <v>46374</v>
      </c>
      <c r="R329" s="12"/>
      <c r="S329" s="12"/>
    </row>
    <row r="330" customFormat="false" ht="15" hidden="false" customHeight="false" outlineLevel="0" collapsed="false">
      <c r="A330" s="15" t="s">
        <v>3468</v>
      </c>
      <c r="B330" s="15" t="s">
        <v>3463</v>
      </c>
      <c r="C330" s="15" t="s">
        <v>391</v>
      </c>
      <c r="D330" s="15" t="s">
        <v>1198</v>
      </c>
      <c r="E330" s="15" t="s">
        <v>1227</v>
      </c>
      <c r="F330" s="15" t="s">
        <v>3017</v>
      </c>
      <c r="G330" s="15" t="s">
        <v>3018</v>
      </c>
      <c r="H330" s="33" t="n">
        <f aca="false">Packages!$X$35+Packages!$Y$35</f>
        <v>1038.89368650551</v>
      </c>
      <c r="I330" s="15" t="s">
        <v>3019</v>
      </c>
      <c r="J330" s="34" t="n">
        <f aca="false">MAX(1,ROUNDUP((Packages!$X$35/R_EXS+Packages!$Y$35/R_EXO)/Fronts!$J$7,0))</f>
        <v>5</v>
      </c>
      <c r="K330" s="34" t="n">
        <f aca="false">IF(J330=0,0,ROUNDUP(J330*7/WD,0))</f>
        <v>6</v>
      </c>
      <c r="L330" s="15" t="s">
        <v>3467</v>
      </c>
      <c r="M330" s="34" t="n">
        <f aca="false">IF(K329=0,0,ROUNDUP((K329-ROUNDUP(DW_DRAW*7/WD,0))*LADDER,0)+ROUNDUP(DW_DRAW*7/WD,0))</f>
        <v>10</v>
      </c>
      <c r="N330" s="34" t="n">
        <f aca="false">IF(K330=0,0,FFLAG)</f>
        <v>2</v>
      </c>
      <c r="O330" s="15" t="s">
        <v>3469</v>
      </c>
      <c r="P330" s="16" t="n">
        <f aca="false">MAX(P329+M330,Q719)</f>
        <v>46412</v>
      </c>
      <c r="Q330" s="16" t="n">
        <f aca="false">MAX(P330+K330,Q329+N330)</f>
        <v>46418</v>
      </c>
      <c r="R330" s="16" t="n">
        <f aca="false">IF(K330&gt;0,Q330,0)</f>
        <v>46418</v>
      </c>
      <c r="S330" s="12"/>
    </row>
    <row r="331" customFormat="false" ht="15" hidden="false" customHeight="false" outlineLevel="0" collapsed="false">
      <c r="A331" s="15" t="s">
        <v>3470</v>
      </c>
      <c r="B331" s="15" t="s">
        <v>3463</v>
      </c>
      <c r="C331" s="15" t="s">
        <v>391</v>
      </c>
      <c r="D331" s="15" t="s">
        <v>1198</v>
      </c>
      <c r="E331" s="15" t="s">
        <v>1227</v>
      </c>
      <c r="F331" s="15" t="s">
        <v>3022</v>
      </c>
      <c r="G331" s="15" t="s">
        <v>3023</v>
      </c>
      <c r="H331" s="33" t="n">
        <f aca="false">Packages!$O$35</f>
        <v>53.1990000006288</v>
      </c>
      <c r="I331" s="15" t="s">
        <v>118</v>
      </c>
      <c r="J331" s="34" t="n">
        <f aca="false">MAX(1,ROUNDUP(Packages!$O$35/(R_SLAB*Fronts!$K$7),0))+SLAB_CURE</f>
        <v>8</v>
      </c>
      <c r="K331" s="34" t="n">
        <f aca="false">IF(J331=0,0,ROUNDUP(J331*7/WD,0))</f>
        <v>10</v>
      </c>
      <c r="L331" s="15" t="s">
        <v>3468</v>
      </c>
      <c r="M331" s="34" t="n">
        <f aca="false">ROUNDUP(K330*LADDER,0)</f>
        <v>2</v>
      </c>
      <c r="N331" s="34" t="n">
        <f aca="false">IF(K331=0,0,FFLAG)</f>
        <v>2</v>
      </c>
      <c r="O331" s="15"/>
      <c r="P331" s="16" t="n">
        <f aca="false">MAX(P330+M331)</f>
        <v>46414</v>
      </c>
      <c r="Q331" s="16" t="n">
        <f aca="false">MAX(P331+K331,Q330+N331)</f>
        <v>46424</v>
      </c>
      <c r="R331" s="16" t="n">
        <f aca="false">IF(K331&gt;0,Q331,0)</f>
        <v>46424</v>
      </c>
      <c r="S331" s="12"/>
    </row>
    <row r="332" customFormat="false" ht="15" hidden="false" customHeight="false" outlineLevel="0" collapsed="false">
      <c r="A332" s="15" t="s">
        <v>3471</v>
      </c>
      <c r="B332" s="15" t="s">
        <v>3463</v>
      </c>
      <c r="C332" s="15" t="s">
        <v>391</v>
      </c>
      <c r="D332" s="15" t="s">
        <v>1198</v>
      </c>
      <c r="E332" s="15" t="s">
        <v>1227</v>
      </c>
      <c r="F332" s="15" t="s">
        <v>3025</v>
      </c>
      <c r="G332" s="15" t="s">
        <v>3026</v>
      </c>
      <c r="H332" s="33" t="n">
        <f aca="false">Packages!$O$35</f>
        <v>53.1990000006288</v>
      </c>
      <c r="I332" s="15" t="s">
        <v>118</v>
      </c>
      <c r="J332" s="34" t="n">
        <f aca="false">MAX(1,ROUNDUP(Packages!$O$35/(IF(Packages!$N$35&gt;=PIPE_T1,R_PIPE_L,IF(Packages!$N$35&gt;=PIPE_T2,R_PIPE_M,R_PIPE_S))*Fronts!$L$7)+Packages!$M$35*FIT_D+IF(Packages!$G$35&lt;&gt;"Run",TIE_D,0),0))</f>
        <v>4</v>
      </c>
      <c r="K332" s="34" t="n">
        <f aca="false">IF(J332=0,0,ROUNDUP(J332*7/WD,0))</f>
        <v>5</v>
      </c>
      <c r="L332" s="15" t="s">
        <v>3470</v>
      </c>
      <c r="M332" s="34" t="n">
        <f aca="false">ROUNDUP(K331*LADDER,0)</f>
        <v>3</v>
      </c>
      <c r="N332" s="34" t="n">
        <f aca="false">IF(K332=0,0,FFLAG)</f>
        <v>2</v>
      </c>
      <c r="O332" s="15"/>
      <c r="P332" s="16" t="n">
        <f aca="false">MAX(P331+M332)</f>
        <v>46417</v>
      </c>
      <c r="Q332" s="16" t="n">
        <f aca="false">MAX(P332+K332,Q331+N332)</f>
        <v>46426</v>
      </c>
      <c r="R332" s="16" t="n">
        <f aca="false">IF(K332&gt;0,Q332,0)</f>
        <v>46426</v>
      </c>
      <c r="S332" s="12"/>
    </row>
    <row r="333" customFormat="false" ht="15" hidden="false" customHeight="false" outlineLevel="0" collapsed="false">
      <c r="A333" s="15" t="s">
        <v>3472</v>
      </c>
      <c r="B333" s="15" t="s">
        <v>3463</v>
      </c>
      <c r="C333" s="15" t="s">
        <v>391</v>
      </c>
      <c r="D333" s="15" t="s">
        <v>1198</v>
      </c>
      <c r="E333" s="15" t="s">
        <v>1227</v>
      </c>
      <c r="F333" s="15" t="s">
        <v>3028</v>
      </c>
      <c r="G333" s="15" t="s">
        <v>3029</v>
      </c>
      <c r="H333" s="33" t="n">
        <f aca="false">Packages!$O$35</f>
        <v>53.1990000006288</v>
      </c>
      <c r="I333" s="15" t="s">
        <v>118</v>
      </c>
      <c r="J333" s="34" t="n">
        <f aca="false">TEST_D+ROUNDUP(Packages!$O$35/R_TEST,0)</f>
        <v>3</v>
      </c>
      <c r="K333" s="34" t="n">
        <f aca="false">IF(J333=0,0,ROUNDUP(J333*7/WD,0))</f>
        <v>4</v>
      </c>
      <c r="L333" s="15" t="s">
        <v>3471</v>
      </c>
      <c r="M333" s="34" t="n">
        <f aca="false">ROUNDUP(K332*LADDER,0)</f>
        <v>2</v>
      </c>
      <c r="N333" s="34" t="n">
        <f aca="false">IF(K333=0,0,FFLAG)</f>
        <v>2</v>
      </c>
      <c r="O333" s="15"/>
      <c r="P333" s="16" t="n">
        <f aca="false">MAX(P332+M333)</f>
        <v>46419</v>
      </c>
      <c r="Q333" s="16" t="n">
        <f aca="false">MAX(P333+K333,Q332+N333)</f>
        <v>46428</v>
      </c>
      <c r="R333" s="12"/>
      <c r="S333" s="12"/>
    </row>
    <row r="334" customFormat="false" ht="15" hidden="false" customHeight="false" outlineLevel="0" collapsed="false">
      <c r="A334" s="15" t="s">
        <v>3473</v>
      </c>
      <c r="B334" s="15" t="s">
        <v>3463</v>
      </c>
      <c r="C334" s="15" t="s">
        <v>391</v>
      </c>
      <c r="D334" s="15" t="s">
        <v>1198</v>
      </c>
      <c r="E334" s="15" t="s">
        <v>1227</v>
      </c>
      <c r="F334" s="15" t="s">
        <v>3031</v>
      </c>
      <c r="G334" s="15" t="s">
        <v>3032</v>
      </c>
      <c r="H334" s="33" t="n">
        <f aca="false">Packages!$AB$35</f>
        <v>638.399974131951</v>
      </c>
      <c r="I334" s="15" t="s">
        <v>3019</v>
      </c>
      <c r="J334" s="34" t="n">
        <f aca="false">MAX(1,ROUNDUP(Packages!$AB$35/(R_BF*Fronts!$M$7),0))</f>
        <v>2</v>
      </c>
      <c r="K334" s="34" t="n">
        <f aca="false">IF(J334=0,0,ROUNDUP(J334*7/WD,0))</f>
        <v>3</v>
      </c>
      <c r="L334" s="15" t="s">
        <v>3472</v>
      </c>
      <c r="M334" s="34" t="n">
        <f aca="false">ROUNDUP(K333*LADDER,0)</f>
        <v>2</v>
      </c>
      <c r="N334" s="34" t="n">
        <f aca="false">IF(K334=0,0,FFLAG)</f>
        <v>2</v>
      </c>
      <c r="O334" s="15"/>
      <c r="P334" s="16" t="n">
        <f aca="false">MAX(P333+M334)</f>
        <v>46421</v>
      </c>
      <c r="Q334" s="16" t="n">
        <f aca="false">MAX(P334+K334,Q333+N334)</f>
        <v>46430</v>
      </c>
      <c r="R334" s="16" t="n">
        <f aca="false">IF(K334&gt;0,Q334,0)</f>
        <v>46430</v>
      </c>
      <c r="S334" s="12"/>
    </row>
    <row r="335" customFormat="false" ht="15" hidden="false" customHeight="false" outlineLevel="0" collapsed="false">
      <c r="A335" s="15" t="s">
        <v>3474</v>
      </c>
      <c r="B335" s="15" t="s">
        <v>3463</v>
      </c>
      <c r="C335" s="15" t="s">
        <v>391</v>
      </c>
      <c r="D335" s="15" t="s">
        <v>1198</v>
      </c>
      <c r="E335" s="15" t="s">
        <v>1227</v>
      </c>
      <c r="F335" s="15" t="s">
        <v>3034</v>
      </c>
      <c r="G335" s="15" t="s">
        <v>3035</v>
      </c>
      <c r="H335" s="33" t="n">
        <f aca="false">Packages!$AD$35</f>
        <v>106.398000001258</v>
      </c>
      <c r="I335" s="15" t="s">
        <v>3012</v>
      </c>
      <c r="J335" s="34" t="n">
        <f aca="false">IF(Packages!$AD$35&gt;0,ROUNDUP(Packages!$AD$35/R_EXT,0),0)+IF(Packages!$AG$35&gt;0,1,0)</f>
        <v>4</v>
      </c>
      <c r="K335" s="34" t="n">
        <f aca="false">IF(J335=0,0,ROUNDUP(J335*7/WD,0))</f>
        <v>5</v>
      </c>
      <c r="L335" s="15" t="s">
        <v>3473</v>
      </c>
      <c r="M335" s="34" t="n">
        <f aca="false">ROUNDUP(K334*LADDER,0)</f>
        <v>1</v>
      </c>
      <c r="N335" s="34" t="n">
        <f aca="false">IF(K335=0,0,FFLAG)</f>
        <v>2</v>
      </c>
      <c r="O335" s="15"/>
      <c r="P335" s="16" t="n">
        <f aca="false">MAX(P334+M335)</f>
        <v>46422</v>
      </c>
      <c r="Q335" s="16" t="n">
        <f aca="false">MAX(P335+K335,Q334+N335)</f>
        <v>46432</v>
      </c>
      <c r="R335" s="12"/>
      <c r="S335" s="12"/>
    </row>
    <row r="336" customFormat="false" ht="15" hidden="false" customHeight="false" outlineLevel="0" collapsed="false">
      <c r="A336" s="15" t="s">
        <v>3475</v>
      </c>
      <c r="B336" s="15" t="s">
        <v>3476</v>
      </c>
      <c r="C336" s="15" t="s">
        <v>391</v>
      </c>
      <c r="D336" s="15" t="s">
        <v>1198</v>
      </c>
      <c r="E336" s="15" t="s">
        <v>1237</v>
      </c>
      <c r="F336" s="15" t="s">
        <v>2998</v>
      </c>
      <c r="G336" s="15" t="s">
        <v>2999</v>
      </c>
      <c r="H336" s="12"/>
      <c r="I336" s="12"/>
      <c r="J336" s="34" t="n">
        <f aca="false">0</f>
        <v>0</v>
      </c>
      <c r="K336" s="34" t="n">
        <f aca="false">IF(J336=0,0,ROUNDUP(J336*7/WD,0))</f>
        <v>0</v>
      </c>
      <c r="L336" s="12"/>
      <c r="M336" s="12"/>
      <c r="N336" s="12"/>
      <c r="O336" s="15" t="s">
        <v>3038</v>
      </c>
      <c r="P336" s="16" t="n">
        <f aca="false">MAX(START,D_DLU,Packages!$I$36,Packages!$K$36)</f>
        <v>46357</v>
      </c>
      <c r="Q336" s="16" t="n">
        <f aca="false">P336+K336</f>
        <v>46357</v>
      </c>
      <c r="R336" s="12"/>
      <c r="S336" s="12"/>
    </row>
    <row r="337" customFormat="false" ht="15" hidden="false" customHeight="false" outlineLevel="0" collapsed="false">
      <c r="A337" s="15" t="s">
        <v>3477</v>
      </c>
      <c r="B337" s="15" t="s">
        <v>3476</v>
      </c>
      <c r="C337" s="15" t="s">
        <v>391</v>
      </c>
      <c r="D337" s="15" t="s">
        <v>1198</v>
      </c>
      <c r="E337" s="15" t="s">
        <v>1237</v>
      </c>
      <c r="F337" s="15" t="s">
        <v>3002</v>
      </c>
      <c r="G337" s="15" t="s">
        <v>205</v>
      </c>
      <c r="H337" s="33" t="n">
        <f aca="false">Packages!$O$36</f>
        <v>5.99973128746272</v>
      </c>
      <c r="I337" s="15" t="s">
        <v>118</v>
      </c>
      <c r="J337" s="34" t="n">
        <f aca="false">MAX(1,ROUNDUP(Packages!$O$36/R_PLAT,0))</f>
        <v>1</v>
      </c>
      <c r="K337" s="34" t="n">
        <f aca="false">IF(J337=0,0,ROUNDUP(J337*7/WD,0))</f>
        <v>2</v>
      </c>
      <c r="L337" s="15" t="s">
        <v>3475</v>
      </c>
      <c r="M337" s="12"/>
      <c r="N337" s="12"/>
      <c r="O337" s="15" t="s">
        <v>3478</v>
      </c>
      <c r="P337" s="16" t="n">
        <f aca="false">MAX(Q336,P327)</f>
        <v>46358</v>
      </c>
      <c r="Q337" s="16" t="n">
        <f aca="false">P337+K337</f>
        <v>46360</v>
      </c>
      <c r="R337" s="12"/>
      <c r="S337" s="12"/>
    </row>
    <row r="338" customFormat="false" ht="15" hidden="false" customHeight="false" outlineLevel="0" collapsed="false">
      <c r="A338" s="15" t="s">
        <v>3479</v>
      </c>
      <c r="B338" s="15" t="s">
        <v>3476</v>
      </c>
      <c r="C338" s="15" t="s">
        <v>391</v>
      </c>
      <c r="D338" s="15" t="s">
        <v>1198</v>
      </c>
      <c r="E338" s="15" t="s">
        <v>1237</v>
      </c>
      <c r="F338" s="15" t="s">
        <v>3005</v>
      </c>
      <c r="G338" s="15" t="s">
        <v>3006</v>
      </c>
      <c r="H338" s="33" t="n">
        <f aca="false">Packages!$AC$36</f>
        <v>6</v>
      </c>
      <c r="I338" s="15" t="s">
        <v>3007</v>
      </c>
      <c r="J338" s="34" t="n">
        <f aca="false">IF(Packages!$AC$36=0,0,MAX(1,ROUNDUP(Packages!$AC$36/(R_PILE*Fronts!$H$7),0)))</f>
        <v>2</v>
      </c>
      <c r="K338" s="34" t="n">
        <f aca="false">IF(J338=0,0,ROUNDUP(J338*7/WD,0))</f>
        <v>3</v>
      </c>
      <c r="L338" s="15" t="s">
        <v>3477</v>
      </c>
      <c r="M338" s="34" t="n">
        <f aca="false">ROUNDUP(K337*LADDER,0)</f>
        <v>1</v>
      </c>
      <c r="N338" s="34" t="n">
        <f aca="false">IF(K338=0,0,FFLAG)</f>
        <v>2</v>
      </c>
      <c r="O338" s="15" t="s">
        <v>3008</v>
      </c>
      <c r="P338" s="16" t="n">
        <f aca="false">MAX(P337+M338,D_PILEDES)</f>
        <v>46359</v>
      </c>
      <c r="Q338" s="16" t="n">
        <f aca="false">MAX(P338+K338,Q337+N338)</f>
        <v>46362</v>
      </c>
      <c r="R338" s="16" t="n">
        <f aca="false">IF(K338&gt;0,Q338,0)</f>
        <v>46362</v>
      </c>
      <c r="S338" s="12"/>
    </row>
    <row r="339" customFormat="false" ht="15" hidden="false" customHeight="false" outlineLevel="0" collapsed="false">
      <c r="A339" s="15" t="s">
        <v>3480</v>
      </c>
      <c r="B339" s="15" t="s">
        <v>3476</v>
      </c>
      <c r="C339" s="15" t="s">
        <v>391</v>
      </c>
      <c r="D339" s="15" t="s">
        <v>1198</v>
      </c>
      <c r="E339" s="15" t="s">
        <v>1237</v>
      </c>
      <c r="F339" s="15" t="s">
        <v>3010</v>
      </c>
      <c r="G339" s="15" t="s">
        <v>3011</v>
      </c>
      <c r="H339" s="33" t="n">
        <f aca="false">Packages!$AD$36</f>
        <v>11.9994625749254</v>
      </c>
      <c r="I339" s="15" t="s">
        <v>3012</v>
      </c>
      <c r="J339" s="34" t="n">
        <f aca="false">IF(Packages!$AD$36=0,0,MAX(1,ROUNDUP(Packages!$AD$36/(R_SHEET*Fronts!$I$7),0)))</f>
        <v>1</v>
      </c>
      <c r="K339" s="34" t="n">
        <f aca="false">IF(J339=0,0,ROUNDUP(J339*7/WD,0))</f>
        <v>2</v>
      </c>
      <c r="L339" s="15" t="s">
        <v>3479</v>
      </c>
      <c r="M339" s="34" t="n">
        <f aca="false">ROUNDUP(K338*LADDER,0)</f>
        <v>1</v>
      </c>
      <c r="N339" s="34" t="n">
        <f aca="false">IF(K339=0,0,FFLAG)</f>
        <v>2</v>
      </c>
      <c r="O339" s="15"/>
      <c r="P339" s="16" t="n">
        <f aca="false">MAX(P338+M339)</f>
        <v>46360</v>
      </c>
      <c r="Q339" s="16" t="n">
        <f aca="false">MAX(P339+K339,Q338+N339)</f>
        <v>46364</v>
      </c>
      <c r="R339" s="16" t="n">
        <f aca="false">IF(K339&gt;0,Q339,0)</f>
        <v>46364</v>
      </c>
      <c r="S339" s="12"/>
    </row>
    <row r="340" customFormat="false" ht="15" hidden="false" customHeight="false" outlineLevel="0" collapsed="false">
      <c r="A340" s="15" t="s">
        <v>3481</v>
      </c>
      <c r="B340" s="15" t="s">
        <v>3476</v>
      </c>
      <c r="C340" s="15" t="s">
        <v>391</v>
      </c>
      <c r="D340" s="15" t="s">
        <v>1198</v>
      </c>
      <c r="E340" s="15" t="s">
        <v>1237</v>
      </c>
      <c r="F340" s="15" t="s">
        <v>3014</v>
      </c>
      <c r="G340" s="15" t="s">
        <v>3015</v>
      </c>
      <c r="H340" s="33" t="n">
        <f aca="false">Packages!$O$36</f>
        <v>5.99973128746272</v>
      </c>
      <c r="I340" s="15" t="s">
        <v>118</v>
      </c>
      <c r="J340" s="34" t="n">
        <f aca="false">IF(Packages!$AG$36=0,0,ROUNDUP(Packages!$O$36/R_DW,0)+DW_DRAW)</f>
        <v>8</v>
      </c>
      <c r="K340" s="34" t="n">
        <f aca="false">IF(J340=0,0,ROUNDUP(J340*7/WD,0))</f>
        <v>10</v>
      </c>
      <c r="L340" s="15" t="s">
        <v>3480</v>
      </c>
      <c r="M340" s="34" t="n">
        <f aca="false">ROUNDUP(K339*LADDER,0)</f>
        <v>1</v>
      </c>
      <c r="N340" s="34" t="n">
        <f aca="false">IF(K340=0,0,FFLAG)</f>
        <v>2</v>
      </c>
      <c r="O340" s="15"/>
      <c r="P340" s="16" t="n">
        <f aca="false">MAX(P339+M340)</f>
        <v>46361</v>
      </c>
      <c r="Q340" s="16" t="n">
        <f aca="false">MAX(P340+K340,Q339+N340)</f>
        <v>46371</v>
      </c>
      <c r="R340" s="12"/>
      <c r="S340" s="12"/>
    </row>
    <row r="341" customFormat="false" ht="15" hidden="false" customHeight="false" outlineLevel="0" collapsed="false">
      <c r="A341" s="15" t="s">
        <v>3482</v>
      </c>
      <c r="B341" s="15" t="s">
        <v>3476</v>
      </c>
      <c r="C341" s="15" t="s">
        <v>391</v>
      </c>
      <c r="D341" s="15" t="s">
        <v>1198</v>
      </c>
      <c r="E341" s="15" t="s">
        <v>1237</v>
      </c>
      <c r="F341" s="15" t="s">
        <v>3017</v>
      </c>
      <c r="G341" s="15" t="s">
        <v>3018</v>
      </c>
      <c r="H341" s="33" t="n">
        <f aca="false">Packages!$X$36+Packages!$Y$36</f>
        <v>121.137320256213</v>
      </c>
      <c r="I341" s="15" t="s">
        <v>3019</v>
      </c>
      <c r="J341" s="34" t="n">
        <f aca="false">MAX(1,ROUNDUP((Packages!$X$36/R_EXS+Packages!$Y$36/R_EXO)/Fronts!$J$7,0))</f>
        <v>1</v>
      </c>
      <c r="K341" s="34" t="n">
        <f aca="false">IF(J341=0,0,ROUNDUP(J341*7/WD,0))</f>
        <v>2</v>
      </c>
      <c r="L341" s="15" t="s">
        <v>3481</v>
      </c>
      <c r="M341" s="34" t="n">
        <f aca="false">IF(K340=0,0,ROUNDUP((K340-ROUNDUP(DW_DRAW*7/WD,0))*LADDER,0)+ROUNDUP(DW_DRAW*7/WD,0))</f>
        <v>10</v>
      </c>
      <c r="N341" s="34" t="n">
        <f aca="false">IF(K341=0,0,FFLAG)</f>
        <v>2</v>
      </c>
      <c r="O341" s="15"/>
      <c r="P341" s="16" t="n">
        <f aca="false">MAX(P340+M341)</f>
        <v>46371</v>
      </c>
      <c r="Q341" s="16" t="n">
        <f aca="false">MAX(P341+K341,Q340+N341)</f>
        <v>46373</v>
      </c>
      <c r="R341" s="16" t="n">
        <f aca="false">IF(K341&gt;0,Q341,0)</f>
        <v>46373</v>
      </c>
      <c r="S341" s="12"/>
    </row>
    <row r="342" customFormat="false" ht="15" hidden="false" customHeight="false" outlineLevel="0" collapsed="false">
      <c r="A342" s="15" t="s">
        <v>3483</v>
      </c>
      <c r="B342" s="15" t="s">
        <v>3476</v>
      </c>
      <c r="C342" s="15" t="s">
        <v>391</v>
      </c>
      <c r="D342" s="15" t="s">
        <v>1198</v>
      </c>
      <c r="E342" s="15" t="s">
        <v>1237</v>
      </c>
      <c r="F342" s="15" t="s">
        <v>3022</v>
      </c>
      <c r="G342" s="15" t="s">
        <v>3023</v>
      </c>
      <c r="H342" s="33" t="n">
        <f aca="false">Packages!$O$36</f>
        <v>5.99973128746272</v>
      </c>
      <c r="I342" s="15" t="s">
        <v>118</v>
      </c>
      <c r="J342" s="34" t="n">
        <f aca="false">MAX(1,ROUNDUP(Packages!$O$36/(R_SLAB*Fronts!$K$7),0))+SLAB_CURE</f>
        <v>4</v>
      </c>
      <c r="K342" s="34" t="n">
        <f aca="false">IF(J342=0,0,ROUNDUP(J342*7/WD,0))</f>
        <v>5</v>
      </c>
      <c r="L342" s="15" t="s">
        <v>3482</v>
      </c>
      <c r="M342" s="34" t="n">
        <f aca="false">ROUNDUP(K341*LADDER,0)</f>
        <v>1</v>
      </c>
      <c r="N342" s="34" t="n">
        <f aca="false">IF(K342=0,0,FFLAG)</f>
        <v>2</v>
      </c>
      <c r="O342" s="15"/>
      <c r="P342" s="16" t="n">
        <f aca="false">MAX(P341+M342)</f>
        <v>46372</v>
      </c>
      <c r="Q342" s="16" t="n">
        <f aca="false">MAX(P342+K342,Q341+N342)</f>
        <v>46377</v>
      </c>
      <c r="R342" s="16" t="n">
        <f aca="false">IF(K342&gt;0,Q342,0)</f>
        <v>46377</v>
      </c>
      <c r="S342" s="12"/>
    </row>
    <row r="343" customFormat="false" ht="15" hidden="false" customHeight="false" outlineLevel="0" collapsed="false">
      <c r="A343" s="15" t="s">
        <v>3484</v>
      </c>
      <c r="B343" s="15" t="s">
        <v>3476</v>
      </c>
      <c r="C343" s="15" t="s">
        <v>391</v>
      </c>
      <c r="D343" s="15" t="s">
        <v>1198</v>
      </c>
      <c r="E343" s="15" t="s">
        <v>1237</v>
      </c>
      <c r="F343" s="15" t="s">
        <v>3025</v>
      </c>
      <c r="G343" s="15" t="s">
        <v>3026</v>
      </c>
      <c r="H343" s="33" t="n">
        <f aca="false">Packages!$O$36</f>
        <v>5.99973128746272</v>
      </c>
      <c r="I343" s="15" t="s">
        <v>118</v>
      </c>
      <c r="J343" s="34" t="n">
        <f aca="false">MAX(1,ROUNDUP(Packages!$O$36/(IF(Packages!$N$36&gt;=PIPE_T1,R_PIPE_L,IF(Packages!$N$36&gt;=PIPE_T2,R_PIPE_M,R_PIPE_S))*Fronts!$L$7)+Packages!$M$36*FIT_D+IF(Packages!$G$36&lt;&gt;"Run",TIE_D,0),0))</f>
        <v>4</v>
      </c>
      <c r="K343" s="34" t="n">
        <f aca="false">IF(J343=0,0,ROUNDUP(J343*7/WD,0))</f>
        <v>5</v>
      </c>
      <c r="L343" s="15" t="s">
        <v>3483</v>
      </c>
      <c r="M343" s="34" t="n">
        <f aca="false">ROUNDUP(K342*LADDER,0)</f>
        <v>2</v>
      </c>
      <c r="N343" s="34" t="n">
        <f aca="false">IF(K343=0,0,FFLAG)</f>
        <v>2</v>
      </c>
      <c r="O343" s="15" t="s">
        <v>3485</v>
      </c>
      <c r="P343" s="16" t="n">
        <f aca="false">MAX(P342+M343,Q332)</f>
        <v>46426</v>
      </c>
      <c r="Q343" s="16" t="n">
        <f aca="false">MAX(P343+K343,Q342+N343)</f>
        <v>46431</v>
      </c>
      <c r="R343" s="16" t="n">
        <f aca="false">IF(K343&gt;0,Q343,0)</f>
        <v>46431</v>
      </c>
      <c r="S343" s="12"/>
    </row>
    <row r="344" customFormat="false" ht="15" hidden="false" customHeight="false" outlineLevel="0" collapsed="false">
      <c r="A344" s="15" t="s">
        <v>3486</v>
      </c>
      <c r="B344" s="15" t="s">
        <v>3476</v>
      </c>
      <c r="C344" s="15" t="s">
        <v>391</v>
      </c>
      <c r="D344" s="15" t="s">
        <v>1198</v>
      </c>
      <c r="E344" s="15" t="s">
        <v>1237</v>
      </c>
      <c r="F344" s="15" t="s">
        <v>3028</v>
      </c>
      <c r="G344" s="15" t="s">
        <v>3029</v>
      </c>
      <c r="H344" s="33" t="n">
        <f aca="false">Packages!$O$36</f>
        <v>5.99973128746272</v>
      </c>
      <c r="I344" s="15" t="s">
        <v>118</v>
      </c>
      <c r="J344" s="34" t="n">
        <f aca="false">TEST_D+ROUNDUP(Packages!$O$36/R_TEST,0)</f>
        <v>3</v>
      </c>
      <c r="K344" s="34" t="n">
        <f aca="false">IF(J344=0,0,ROUNDUP(J344*7/WD,0))</f>
        <v>4</v>
      </c>
      <c r="L344" s="15" t="s">
        <v>3484</v>
      </c>
      <c r="M344" s="34" t="n">
        <f aca="false">ROUNDUP(K343*LADDER,0)</f>
        <v>2</v>
      </c>
      <c r="N344" s="34" t="n">
        <f aca="false">IF(K344=0,0,FFLAG)</f>
        <v>2</v>
      </c>
      <c r="O344" s="15"/>
      <c r="P344" s="16" t="n">
        <f aca="false">MAX(P343+M344)</f>
        <v>46428</v>
      </c>
      <c r="Q344" s="16" t="n">
        <f aca="false">MAX(P344+K344,Q343+N344)</f>
        <v>46433</v>
      </c>
      <c r="R344" s="12"/>
      <c r="S344" s="12"/>
    </row>
    <row r="345" customFormat="false" ht="15" hidden="false" customHeight="false" outlineLevel="0" collapsed="false">
      <c r="A345" s="15" t="s">
        <v>3487</v>
      </c>
      <c r="B345" s="15" t="s">
        <v>3476</v>
      </c>
      <c r="C345" s="15" t="s">
        <v>391</v>
      </c>
      <c r="D345" s="15" t="s">
        <v>1198</v>
      </c>
      <c r="E345" s="15" t="s">
        <v>1237</v>
      </c>
      <c r="F345" s="15" t="s">
        <v>3031</v>
      </c>
      <c r="G345" s="15" t="s">
        <v>3032</v>
      </c>
      <c r="H345" s="33" t="n">
        <f aca="false">Packages!$AB$36</f>
        <v>75.969992820055</v>
      </c>
      <c r="I345" s="15" t="s">
        <v>3019</v>
      </c>
      <c r="J345" s="34" t="n">
        <f aca="false">MAX(1,ROUNDUP(Packages!$AB$36/(R_BF*Fronts!$M$7),0))</f>
        <v>1</v>
      </c>
      <c r="K345" s="34" t="n">
        <f aca="false">IF(J345=0,0,ROUNDUP(J345*7/WD,0))</f>
        <v>2</v>
      </c>
      <c r="L345" s="15" t="s">
        <v>3486</v>
      </c>
      <c r="M345" s="34" t="n">
        <f aca="false">ROUNDUP(K344*LADDER,0)</f>
        <v>2</v>
      </c>
      <c r="N345" s="34" t="n">
        <f aca="false">IF(K345=0,0,FFLAG)</f>
        <v>2</v>
      </c>
      <c r="O345" s="15"/>
      <c r="P345" s="16" t="n">
        <f aca="false">MAX(P344+M345)</f>
        <v>46430</v>
      </c>
      <c r="Q345" s="16" t="n">
        <f aca="false">MAX(P345+K345,Q344+N345)</f>
        <v>46435</v>
      </c>
      <c r="R345" s="16" t="n">
        <f aca="false">IF(K345&gt;0,Q345,0)</f>
        <v>46435</v>
      </c>
      <c r="S345" s="12"/>
    </row>
    <row r="346" customFormat="false" ht="15" hidden="false" customHeight="false" outlineLevel="0" collapsed="false">
      <c r="A346" s="15" t="s">
        <v>3488</v>
      </c>
      <c r="B346" s="15" t="s">
        <v>3476</v>
      </c>
      <c r="C346" s="15" t="s">
        <v>391</v>
      </c>
      <c r="D346" s="15" t="s">
        <v>1198</v>
      </c>
      <c r="E346" s="15" t="s">
        <v>1237</v>
      </c>
      <c r="F346" s="15" t="s">
        <v>3034</v>
      </c>
      <c r="G346" s="15" t="s">
        <v>3035</v>
      </c>
      <c r="H346" s="33" t="n">
        <f aca="false">Packages!$AD$36</f>
        <v>11.9994625749254</v>
      </c>
      <c r="I346" s="15" t="s">
        <v>3012</v>
      </c>
      <c r="J346" s="34" t="n">
        <f aca="false">IF(Packages!$AD$36&gt;0,ROUNDUP(Packages!$AD$36/R_EXT,0),0)+IF(Packages!$AG$36&gt;0,1,0)</f>
        <v>2</v>
      </c>
      <c r="K346" s="34" t="n">
        <f aca="false">IF(J346=0,0,ROUNDUP(J346*7/WD,0))</f>
        <v>3</v>
      </c>
      <c r="L346" s="15" t="s">
        <v>3487</v>
      </c>
      <c r="M346" s="34" t="n">
        <f aca="false">ROUNDUP(K345*LADDER,0)</f>
        <v>1</v>
      </c>
      <c r="N346" s="34" t="n">
        <f aca="false">IF(K346=0,0,FFLAG)</f>
        <v>2</v>
      </c>
      <c r="O346" s="15"/>
      <c r="P346" s="16" t="n">
        <f aca="false">MAX(P345+M346)</f>
        <v>46431</v>
      </c>
      <c r="Q346" s="16" t="n">
        <f aca="false">MAX(P346+K346,Q345+N346)</f>
        <v>46437</v>
      </c>
      <c r="R346" s="12"/>
      <c r="S346" s="12"/>
    </row>
    <row r="347" customFormat="false" ht="15" hidden="false" customHeight="false" outlineLevel="0" collapsed="false">
      <c r="A347" s="15" t="s">
        <v>3489</v>
      </c>
      <c r="B347" s="15" t="s">
        <v>3490</v>
      </c>
      <c r="C347" s="15" t="s">
        <v>391</v>
      </c>
      <c r="D347" s="15" t="s">
        <v>1198</v>
      </c>
      <c r="E347" s="15" t="s">
        <v>1219</v>
      </c>
      <c r="F347" s="15" t="s">
        <v>2998</v>
      </c>
      <c r="G347" s="15" t="s">
        <v>2999</v>
      </c>
      <c r="H347" s="12"/>
      <c r="I347" s="12"/>
      <c r="J347" s="34" t="n">
        <f aca="false">0</f>
        <v>0</v>
      </c>
      <c r="K347" s="34" t="n">
        <f aca="false">IF(J347=0,0,ROUNDUP(J347*7/WD,0))</f>
        <v>0</v>
      </c>
      <c r="L347" s="12"/>
      <c r="M347" s="12"/>
      <c r="N347" s="12"/>
      <c r="O347" s="15" t="s">
        <v>3000</v>
      </c>
      <c r="P347" s="16" t="n">
        <f aca="false">MAX(START,D_DLU,Packages!$I$37,Packages!$K$37)</f>
        <v>46357</v>
      </c>
      <c r="Q347" s="16" t="n">
        <f aca="false">P347+K347</f>
        <v>46357</v>
      </c>
      <c r="R347" s="12"/>
      <c r="S347" s="12"/>
    </row>
    <row r="348" customFormat="false" ht="15" hidden="false" customHeight="false" outlineLevel="0" collapsed="false">
      <c r="A348" s="15" t="s">
        <v>3491</v>
      </c>
      <c r="B348" s="15" t="s">
        <v>3490</v>
      </c>
      <c r="C348" s="15" t="s">
        <v>391</v>
      </c>
      <c r="D348" s="15" t="s">
        <v>1198</v>
      </c>
      <c r="E348" s="15" t="s">
        <v>1219</v>
      </c>
      <c r="F348" s="15" t="s">
        <v>3002</v>
      </c>
      <c r="G348" s="15" t="s">
        <v>205</v>
      </c>
      <c r="H348" s="33" t="n">
        <f aca="false">Packages!$O$37</f>
        <v>32.09999999991</v>
      </c>
      <c r="I348" s="15" t="s">
        <v>118</v>
      </c>
      <c r="J348" s="34" t="n">
        <f aca="false">MAX(1,ROUNDUP(Packages!$O$37/R_PLAT,0))</f>
        <v>1</v>
      </c>
      <c r="K348" s="34" t="n">
        <f aca="false">IF(J348=0,0,ROUNDUP(J348*7/WD,0))</f>
        <v>2</v>
      </c>
      <c r="L348" s="15" t="s">
        <v>3489</v>
      </c>
      <c r="M348" s="12"/>
      <c r="N348" s="12"/>
      <c r="O348" s="15" t="s">
        <v>3492</v>
      </c>
      <c r="P348" s="16" t="n">
        <f aca="false">MAX(Q347,P327)</f>
        <v>46358</v>
      </c>
      <c r="Q348" s="16" t="n">
        <f aca="false">P348+K348</f>
        <v>46360</v>
      </c>
      <c r="R348" s="12"/>
      <c r="S348" s="12"/>
    </row>
    <row r="349" customFormat="false" ht="15" hidden="false" customHeight="false" outlineLevel="0" collapsed="false">
      <c r="A349" s="15" t="s">
        <v>3493</v>
      </c>
      <c r="B349" s="15" t="s">
        <v>3490</v>
      </c>
      <c r="C349" s="15" t="s">
        <v>391</v>
      </c>
      <c r="D349" s="15" t="s">
        <v>1198</v>
      </c>
      <c r="E349" s="15" t="s">
        <v>1219</v>
      </c>
      <c r="F349" s="15" t="s">
        <v>3005</v>
      </c>
      <c r="G349" s="15" t="s">
        <v>3006</v>
      </c>
      <c r="H349" s="33" t="n">
        <f aca="false">Packages!$AC$37</f>
        <v>24</v>
      </c>
      <c r="I349" s="15" t="s">
        <v>3007</v>
      </c>
      <c r="J349" s="34" t="n">
        <f aca="false">IF(Packages!$AC$37=0,0,MAX(1,ROUNDUP(Packages!$AC$37/(R_PILE*Fronts!$H$7),0)))</f>
        <v>5</v>
      </c>
      <c r="K349" s="34" t="n">
        <f aca="false">IF(J349=0,0,ROUNDUP(J349*7/WD,0))</f>
        <v>6</v>
      </c>
      <c r="L349" s="15" t="s">
        <v>3491</v>
      </c>
      <c r="M349" s="34" t="n">
        <f aca="false">ROUNDUP(K348*LADDER,0)</f>
        <v>1</v>
      </c>
      <c r="N349" s="34" t="n">
        <f aca="false">IF(K349=0,0,FFLAG)</f>
        <v>2</v>
      </c>
      <c r="O349" s="15" t="s">
        <v>3008</v>
      </c>
      <c r="P349" s="16" t="n">
        <f aca="false">MAX(P348+M349,D_PILEDES,R327)</f>
        <v>46368</v>
      </c>
      <c r="Q349" s="16" t="n">
        <f aca="false">MAX(P349+K349,Q348+N349)</f>
        <v>46374</v>
      </c>
      <c r="R349" s="16" t="n">
        <f aca="false">IF(K349&gt;0,Q349,R327)</f>
        <v>46374</v>
      </c>
      <c r="S349" s="15" t="s">
        <v>3465</v>
      </c>
    </row>
    <row r="350" customFormat="false" ht="15" hidden="false" customHeight="false" outlineLevel="0" collapsed="false">
      <c r="A350" s="15" t="s">
        <v>3494</v>
      </c>
      <c r="B350" s="15" t="s">
        <v>3490</v>
      </c>
      <c r="C350" s="15" t="s">
        <v>391</v>
      </c>
      <c r="D350" s="15" t="s">
        <v>1198</v>
      </c>
      <c r="E350" s="15" t="s">
        <v>1219</v>
      </c>
      <c r="F350" s="15" t="s">
        <v>3010</v>
      </c>
      <c r="G350" s="15" t="s">
        <v>3011</v>
      </c>
      <c r="H350" s="33" t="n">
        <f aca="false">Packages!$AD$37</f>
        <v>31.3999999998402</v>
      </c>
      <c r="I350" s="15" t="s">
        <v>3012</v>
      </c>
      <c r="J350" s="34" t="n">
        <f aca="false">IF(Packages!$AD$37=0,0,MAX(1,ROUNDUP(Packages!$AD$37/(R_SHEET*Fronts!$I$7),0)))</f>
        <v>2</v>
      </c>
      <c r="K350" s="34" t="n">
        <f aca="false">IF(J350=0,0,ROUNDUP(J350*7/WD,0))</f>
        <v>3</v>
      </c>
      <c r="L350" s="15" t="s">
        <v>3493</v>
      </c>
      <c r="M350" s="34" t="n">
        <f aca="false">ROUNDUP(K349*LADDER,0)</f>
        <v>2</v>
      </c>
      <c r="N350" s="34" t="n">
        <f aca="false">IF(K350=0,0,FFLAG)</f>
        <v>2</v>
      </c>
      <c r="O350" s="15"/>
      <c r="P350" s="16" t="n">
        <f aca="false">MAX(P349+M350,R328)</f>
        <v>46370</v>
      </c>
      <c r="Q350" s="16" t="n">
        <f aca="false">MAX(P350+K350,Q349+N350)</f>
        <v>46376</v>
      </c>
      <c r="R350" s="16" t="n">
        <f aca="false">IF(K350&gt;0,Q350,R328)</f>
        <v>46376</v>
      </c>
      <c r="S350" s="15" t="s">
        <v>3466</v>
      </c>
    </row>
    <row r="351" customFormat="false" ht="15" hidden="false" customHeight="false" outlineLevel="0" collapsed="false">
      <c r="A351" s="15" t="s">
        <v>3495</v>
      </c>
      <c r="B351" s="15" t="s">
        <v>3490</v>
      </c>
      <c r="C351" s="15" t="s">
        <v>391</v>
      </c>
      <c r="D351" s="15" t="s">
        <v>1198</v>
      </c>
      <c r="E351" s="15" t="s">
        <v>1219</v>
      </c>
      <c r="F351" s="15" t="s">
        <v>3014</v>
      </c>
      <c r="G351" s="15" t="s">
        <v>3015</v>
      </c>
      <c r="H351" s="33" t="n">
        <f aca="false">Packages!$O$37</f>
        <v>32.09999999991</v>
      </c>
      <c r="I351" s="15" t="s">
        <v>118</v>
      </c>
      <c r="J351" s="34" t="n">
        <f aca="false">IF(Packages!$AG$37=0,0,ROUNDUP(Packages!$O$37/R_DW,0)+DW_DRAW)</f>
        <v>8</v>
      </c>
      <c r="K351" s="34" t="n">
        <f aca="false">IF(J351=0,0,ROUNDUP(J351*7/WD,0))</f>
        <v>10</v>
      </c>
      <c r="L351" s="15" t="s">
        <v>3494</v>
      </c>
      <c r="M351" s="34" t="n">
        <f aca="false">ROUNDUP(K350*LADDER,0)</f>
        <v>1</v>
      </c>
      <c r="N351" s="34" t="n">
        <f aca="false">IF(K351=0,0,FFLAG)</f>
        <v>2</v>
      </c>
      <c r="O351" s="15" t="s">
        <v>3496</v>
      </c>
      <c r="P351" s="16" t="n">
        <f aca="false">MAX(P350+M351,Q330-K351)</f>
        <v>46408</v>
      </c>
      <c r="Q351" s="16" t="n">
        <f aca="false">MAX(P351+K351,Q350+N351)</f>
        <v>46418</v>
      </c>
      <c r="R351" s="12"/>
      <c r="S351" s="12"/>
    </row>
    <row r="352" customFormat="false" ht="15" hidden="false" customHeight="false" outlineLevel="0" collapsed="false">
      <c r="A352" s="15" t="s">
        <v>3497</v>
      </c>
      <c r="B352" s="15" t="s">
        <v>3490</v>
      </c>
      <c r="C352" s="15" t="s">
        <v>391</v>
      </c>
      <c r="D352" s="15" t="s">
        <v>1198</v>
      </c>
      <c r="E352" s="15" t="s">
        <v>1219</v>
      </c>
      <c r="F352" s="15" t="s">
        <v>3017</v>
      </c>
      <c r="G352" s="15" t="s">
        <v>3018</v>
      </c>
      <c r="H352" s="33" t="n">
        <f aca="false">Packages!$X$37+Packages!$Y$37</f>
        <v>661.657773172191</v>
      </c>
      <c r="I352" s="15" t="s">
        <v>3019</v>
      </c>
      <c r="J352" s="34" t="n">
        <f aca="false">MAX(1,ROUNDUP((Packages!$X$37/R_EXS+Packages!$Y$37/R_EXO)/Fronts!$J$7,0))</f>
        <v>2</v>
      </c>
      <c r="K352" s="34" t="n">
        <f aca="false">IF(J352=0,0,ROUNDUP(J352*7/WD,0))</f>
        <v>3</v>
      </c>
      <c r="L352" s="15" t="s">
        <v>3495</v>
      </c>
      <c r="M352" s="34" t="n">
        <f aca="false">IF(K351=0,0,ROUNDUP((K351-ROUNDUP(DW_DRAW*7/WD,0))*LADDER,0)+ROUNDUP(DW_DRAW*7/WD,0))</f>
        <v>10</v>
      </c>
      <c r="N352" s="34" t="n">
        <f aca="false">IF(K352=0,0,FFLAG)</f>
        <v>2</v>
      </c>
      <c r="O352" s="15" t="s">
        <v>3498</v>
      </c>
      <c r="P352" s="16" t="n">
        <f aca="false">MAX(P351+M352,R330,Q719,Q708,Q1940,Q1951,Q1962)</f>
        <v>46418</v>
      </c>
      <c r="Q352" s="16" t="n">
        <f aca="false">MAX(P352+K352,Q351+N352)</f>
        <v>46421</v>
      </c>
      <c r="R352" s="16" t="n">
        <f aca="false">IF(K352&gt;0,Q352,R330)</f>
        <v>46421</v>
      </c>
      <c r="S352" s="15" t="s">
        <v>3468</v>
      </c>
    </row>
    <row r="353" customFormat="false" ht="15" hidden="false" customHeight="false" outlineLevel="0" collapsed="false">
      <c r="A353" s="15" t="s">
        <v>3499</v>
      </c>
      <c r="B353" s="15" t="s">
        <v>3490</v>
      </c>
      <c r="C353" s="15" t="s">
        <v>391</v>
      </c>
      <c r="D353" s="15" t="s">
        <v>1198</v>
      </c>
      <c r="E353" s="15" t="s">
        <v>1219</v>
      </c>
      <c r="F353" s="15" t="s">
        <v>3022</v>
      </c>
      <c r="G353" s="15" t="s">
        <v>3023</v>
      </c>
      <c r="H353" s="33" t="n">
        <f aca="false">Packages!$O$37</f>
        <v>32.09999999991</v>
      </c>
      <c r="I353" s="15" t="s">
        <v>118</v>
      </c>
      <c r="J353" s="34" t="n">
        <f aca="false">MAX(1,ROUNDUP(Packages!$O$37/(R_SLAB*Fronts!$K$7),0))+SLAB_CURE</f>
        <v>6</v>
      </c>
      <c r="K353" s="34" t="n">
        <f aca="false">IF(J353=0,0,ROUNDUP(J353*7/WD,0))</f>
        <v>7</v>
      </c>
      <c r="L353" s="15" t="s">
        <v>3497</v>
      </c>
      <c r="M353" s="34" t="n">
        <f aca="false">ROUNDUP(K352*LADDER,0)</f>
        <v>1</v>
      </c>
      <c r="N353" s="34" t="n">
        <f aca="false">IF(K353=0,0,FFLAG)</f>
        <v>2</v>
      </c>
      <c r="O353" s="15"/>
      <c r="P353" s="16" t="n">
        <f aca="false">MAX(P352+M353,R331)</f>
        <v>46424</v>
      </c>
      <c r="Q353" s="16" t="n">
        <f aca="false">MAX(P353+K353,Q352+N353)</f>
        <v>46431</v>
      </c>
      <c r="R353" s="16" t="n">
        <f aca="false">IF(K353&gt;0,Q353,R331)</f>
        <v>46431</v>
      </c>
      <c r="S353" s="15" t="s">
        <v>3470</v>
      </c>
    </row>
    <row r="354" customFormat="false" ht="15" hidden="false" customHeight="false" outlineLevel="0" collapsed="false">
      <c r="A354" s="15" t="s">
        <v>3500</v>
      </c>
      <c r="B354" s="15" t="s">
        <v>3490</v>
      </c>
      <c r="C354" s="15" t="s">
        <v>391</v>
      </c>
      <c r="D354" s="15" t="s">
        <v>1198</v>
      </c>
      <c r="E354" s="15" t="s">
        <v>1219</v>
      </c>
      <c r="F354" s="15" t="s">
        <v>3025</v>
      </c>
      <c r="G354" s="15" t="s">
        <v>3026</v>
      </c>
      <c r="H354" s="33" t="n">
        <f aca="false">Packages!$O$37</f>
        <v>32.09999999991</v>
      </c>
      <c r="I354" s="15" t="s">
        <v>118</v>
      </c>
      <c r="J354" s="34" t="n">
        <f aca="false">MAX(1,ROUNDUP(Packages!$O$37/(IF(Packages!$N$37&gt;=PIPE_T1,R_PIPE_L,IF(Packages!$N$37&gt;=PIPE_T2,R_PIPE_M,R_PIPE_S))*Fronts!$L$7)+Packages!$M$37*FIT_D+IF(Packages!$G$37&lt;&gt;"Run",TIE_D,0),0))</f>
        <v>3</v>
      </c>
      <c r="K354" s="34" t="n">
        <f aca="false">IF(J354=0,0,ROUNDUP(J354*7/WD,0))</f>
        <v>4</v>
      </c>
      <c r="L354" s="15" t="s">
        <v>3499</v>
      </c>
      <c r="M354" s="34" t="n">
        <f aca="false">ROUNDUP(K353*LADDER,0)</f>
        <v>3</v>
      </c>
      <c r="N354" s="34" t="n">
        <f aca="false">IF(K354=0,0,FFLAG)</f>
        <v>2</v>
      </c>
      <c r="O354" s="15"/>
      <c r="P354" s="16" t="n">
        <f aca="false">MAX(P353+M354,R332)</f>
        <v>46427</v>
      </c>
      <c r="Q354" s="16" t="n">
        <f aca="false">MAX(P354+K354,Q353+N354)</f>
        <v>46433</v>
      </c>
      <c r="R354" s="16" t="n">
        <f aca="false">IF(K354&gt;0,Q354,R332)</f>
        <v>46433</v>
      </c>
      <c r="S354" s="15" t="s">
        <v>3471</v>
      </c>
    </row>
    <row r="355" customFormat="false" ht="15" hidden="false" customHeight="false" outlineLevel="0" collapsed="false">
      <c r="A355" s="15" t="s">
        <v>3501</v>
      </c>
      <c r="B355" s="15" t="s">
        <v>3490</v>
      </c>
      <c r="C355" s="15" t="s">
        <v>391</v>
      </c>
      <c r="D355" s="15" t="s">
        <v>1198</v>
      </c>
      <c r="E355" s="15" t="s">
        <v>1219</v>
      </c>
      <c r="F355" s="15" t="s">
        <v>3028</v>
      </c>
      <c r="G355" s="15" t="s">
        <v>3029</v>
      </c>
      <c r="H355" s="33" t="n">
        <f aca="false">Packages!$O$37</f>
        <v>32.09999999991</v>
      </c>
      <c r="I355" s="15" t="s">
        <v>118</v>
      </c>
      <c r="J355" s="34" t="n">
        <f aca="false">TEST_D+ROUNDUP(Packages!$O$37/R_TEST,0)</f>
        <v>3</v>
      </c>
      <c r="K355" s="34" t="n">
        <f aca="false">IF(J355=0,0,ROUNDUP(J355*7/WD,0))</f>
        <v>4</v>
      </c>
      <c r="L355" s="15" t="s">
        <v>3500</v>
      </c>
      <c r="M355" s="34" t="n">
        <f aca="false">ROUNDUP(K354*LADDER,0)</f>
        <v>2</v>
      </c>
      <c r="N355" s="34" t="n">
        <f aca="false">IF(K355=0,0,FFLAG)</f>
        <v>2</v>
      </c>
      <c r="O355" s="15"/>
      <c r="P355" s="16" t="n">
        <f aca="false">MAX(P354+M355)</f>
        <v>46429</v>
      </c>
      <c r="Q355" s="16" t="n">
        <f aca="false">MAX(P355+K355,Q354+N355)</f>
        <v>46435</v>
      </c>
      <c r="R355" s="12"/>
      <c r="S355" s="12"/>
    </row>
    <row r="356" customFormat="false" ht="15" hidden="false" customHeight="false" outlineLevel="0" collapsed="false">
      <c r="A356" s="15" t="s">
        <v>3502</v>
      </c>
      <c r="B356" s="15" t="s">
        <v>3490</v>
      </c>
      <c r="C356" s="15" t="s">
        <v>391</v>
      </c>
      <c r="D356" s="15" t="s">
        <v>1198</v>
      </c>
      <c r="E356" s="15" t="s">
        <v>1219</v>
      </c>
      <c r="F356" s="15" t="s">
        <v>3031</v>
      </c>
      <c r="G356" s="15" t="s">
        <v>3032</v>
      </c>
      <c r="H356" s="33" t="n">
        <f aca="false">Packages!$AB$37</f>
        <v>424.210625837348</v>
      </c>
      <c r="I356" s="15" t="s">
        <v>3019</v>
      </c>
      <c r="J356" s="34" t="n">
        <f aca="false">MAX(1,ROUNDUP(Packages!$AB$37/(R_BF*Fronts!$M$7),0))</f>
        <v>2</v>
      </c>
      <c r="K356" s="34" t="n">
        <f aca="false">IF(J356=0,0,ROUNDUP(J356*7/WD,0))</f>
        <v>3</v>
      </c>
      <c r="L356" s="15" t="s">
        <v>3501</v>
      </c>
      <c r="M356" s="34" t="n">
        <f aca="false">ROUNDUP(K355*LADDER,0)</f>
        <v>2</v>
      </c>
      <c r="N356" s="34" t="n">
        <f aca="false">IF(K356=0,0,FFLAG)</f>
        <v>2</v>
      </c>
      <c r="O356" s="15"/>
      <c r="P356" s="16" t="n">
        <f aca="false">MAX(P355+M356,R334)</f>
        <v>46431</v>
      </c>
      <c r="Q356" s="16" t="n">
        <f aca="false">MAX(P356+K356,Q355+N356)</f>
        <v>46437</v>
      </c>
      <c r="R356" s="16" t="n">
        <f aca="false">IF(K356&gt;0,Q356,R334)</f>
        <v>46437</v>
      </c>
      <c r="S356" s="15" t="s">
        <v>3473</v>
      </c>
    </row>
    <row r="357" customFormat="false" ht="15" hidden="false" customHeight="false" outlineLevel="0" collapsed="false">
      <c r="A357" s="15" t="s">
        <v>3503</v>
      </c>
      <c r="B357" s="15" t="s">
        <v>3490</v>
      </c>
      <c r="C357" s="15" t="s">
        <v>391</v>
      </c>
      <c r="D357" s="15" t="s">
        <v>1198</v>
      </c>
      <c r="E357" s="15" t="s">
        <v>1219</v>
      </c>
      <c r="F357" s="15" t="s">
        <v>3034</v>
      </c>
      <c r="G357" s="15" t="s">
        <v>3035</v>
      </c>
      <c r="H357" s="33" t="n">
        <f aca="false">Packages!$AD$37</f>
        <v>31.3999999998402</v>
      </c>
      <c r="I357" s="15" t="s">
        <v>3012</v>
      </c>
      <c r="J357" s="34" t="n">
        <f aca="false">IF(Packages!$AD$37&gt;0,ROUNDUP(Packages!$AD$37/R_EXT,0),0)+IF(Packages!$AG$37&gt;0,1,0)</f>
        <v>2</v>
      </c>
      <c r="K357" s="34" t="n">
        <f aca="false">IF(J357=0,0,ROUNDUP(J357*7/WD,0))</f>
        <v>3</v>
      </c>
      <c r="L357" s="15" t="s">
        <v>3502</v>
      </c>
      <c r="M357" s="34" t="n">
        <f aca="false">ROUNDUP(K356*LADDER,0)</f>
        <v>1</v>
      </c>
      <c r="N357" s="34" t="n">
        <f aca="false">IF(K357=0,0,FFLAG)</f>
        <v>2</v>
      </c>
      <c r="O357" s="15"/>
      <c r="P357" s="16" t="n">
        <f aca="false">MAX(P356+M357)</f>
        <v>46432</v>
      </c>
      <c r="Q357" s="16" t="n">
        <f aca="false">MAX(P357+K357,Q356+N357)</f>
        <v>46439</v>
      </c>
      <c r="R357" s="12"/>
      <c r="S357" s="12"/>
    </row>
    <row r="358" customFormat="false" ht="15" hidden="false" customHeight="false" outlineLevel="0" collapsed="false">
      <c r="A358" s="15" t="s">
        <v>3504</v>
      </c>
      <c r="B358" s="15" t="s">
        <v>3505</v>
      </c>
      <c r="C358" s="15" t="s">
        <v>391</v>
      </c>
      <c r="D358" s="15" t="s">
        <v>1198</v>
      </c>
      <c r="E358" s="15" t="s">
        <v>1203</v>
      </c>
      <c r="F358" s="15" t="s">
        <v>2998</v>
      </c>
      <c r="G358" s="15" t="s">
        <v>2999</v>
      </c>
      <c r="H358" s="12"/>
      <c r="I358" s="12"/>
      <c r="J358" s="34" t="n">
        <f aca="false">0</f>
        <v>0</v>
      </c>
      <c r="K358" s="34" t="n">
        <f aca="false">IF(J358=0,0,ROUNDUP(J358*7/WD,0))</f>
        <v>0</v>
      </c>
      <c r="L358" s="12"/>
      <c r="M358" s="12"/>
      <c r="N358" s="12"/>
      <c r="O358" s="15" t="s">
        <v>3065</v>
      </c>
      <c r="P358" s="16" t="n">
        <f aca="false">MAX(START,D_DLU,Packages!$I$38,Packages!$K$38)</f>
        <v>46357</v>
      </c>
      <c r="Q358" s="16" t="n">
        <f aca="false">P358+K358</f>
        <v>46357</v>
      </c>
      <c r="R358" s="12"/>
      <c r="S358" s="12"/>
    </row>
    <row r="359" customFormat="false" ht="15" hidden="false" customHeight="false" outlineLevel="0" collapsed="false">
      <c r="A359" s="15" t="s">
        <v>3506</v>
      </c>
      <c r="B359" s="15" t="s">
        <v>3505</v>
      </c>
      <c r="C359" s="15" t="s">
        <v>391</v>
      </c>
      <c r="D359" s="15" t="s">
        <v>1198</v>
      </c>
      <c r="E359" s="15" t="s">
        <v>1203</v>
      </c>
      <c r="F359" s="15" t="s">
        <v>3002</v>
      </c>
      <c r="G359" s="15" t="s">
        <v>205</v>
      </c>
      <c r="H359" s="33" t="n">
        <f aca="false">Packages!$O$38</f>
        <v>106.855922199026</v>
      </c>
      <c r="I359" s="15" t="s">
        <v>118</v>
      </c>
      <c r="J359" s="34" t="n">
        <f aca="false">MAX(1,ROUNDUP(Packages!$O$38/R_PLAT,0))</f>
        <v>2</v>
      </c>
      <c r="K359" s="34" t="n">
        <f aca="false">IF(J359=0,0,ROUNDUP(J359*7/WD,0))</f>
        <v>3</v>
      </c>
      <c r="L359" s="15" t="s">
        <v>3504</v>
      </c>
      <c r="M359" s="12"/>
      <c r="N359" s="12"/>
      <c r="O359" s="15" t="s">
        <v>3507</v>
      </c>
      <c r="P359" s="16" t="n">
        <f aca="false">MAX(Q358,P349)</f>
        <v>46368</v>
      </c>
      <c r="Q359" s="16" t="n">
        <f aca="false">P359+K359</f>
        <v>46371</v>
      </c>
      <c r="R359" s="12"/>
      <c r="S359" s="12"/>
    </row>
    <row r="360" customFormat="false" ht="15" hidden="false" customHeight="false" outlineLevel="0" collapsed="false">
      <c r="A360" s="15" t="s">
        <v>3508</v>
      </c>
      <c r="B360" s="15" t="s">
        <v>3505</v>
      </c>
      <c r="C360" s="15" t="s">
        <v>391</v>
      </c>
      <c r="D360" s="15" t="s">
        <v>1198</v>
      </c>
      <c r="E360" s="15" t="s">
        <v>1203</v>
      </c>
      <c r="F360" s="15" t="s">
        <v>3005</v>
      </c>
      <c r="G360" s="15" t="s">
        <v>3006</v>
      </c>
      <c r="H360" s="33" t="n">
        <f aca="false">Packages!$AC$38</f>
        <v>74</v>
      </c>
      <c r="I360" s="15" t="s">
        <v>3007</v>
      </c>
      <c r="J360" s="34" t="n">
        <f aca="false">IF(Packages!$AC$38=0,0,MAX(1,ROUNDUP(Packages!$AC$38/(R_PILE*Fronts!$H$7),0)))</f>
        <v>15</v>
      </c>
      <c r="K360" s="34" t="n">
        <f aca="false">IF(J360=0,0,ROUNDUP(J360*7/WD,0))</f>
        <v>18</v>
      </c>
      <c r="L360" s="15" t="s">
        <v>3506</v>
      </c>
      <c r="M360" s="34" t="n">
        <f aca="false">ROUNDUP(K359*LADDER,0)</f>
        <v>1</v>
      </c>
      <c r="N360" s="34" t="n">
        <f aca="false">IF(K360=0,0,FFLAG)</f>
        <v>2</v>
      </c>
      <c r="O360" s="15" t="s">
        <v>3008</v>
      </c>
      <c r="P360" s="16" t="n">
        <f aca="false">MAX(P359+M360,D_PILEDES,R349)</f>
        <v>46374</v>
      </c>
      <c r="Q360" s="16" t="n">
        <f aca="false">MAX(P360+K360,Q359+N360)</f>
        <v>46392</v>
      </c>
      <c r="R360" s="16" t="n">
        <f aca="false">IF(K360&gt;0,Q360,R349)</f>
        <v>46392</v>
      </c>
      <c r="S360" s="15" t="s">
        <v>3493</v>
      </c>
    </row>
    <row r="361" customFormat="false" ht="15" hidden="false" customHeight="false" outlineLevel="0" collapsed="false">
      <c r="A361" s="15" t="s">
        <v>3509</v>
      </c>
      <c r="B361" s="15" t="s">
        <v>3505</v>
      </c>
      <c r="C361" s="15" t="s">
        <v>391</v>
      </c>
      <c r="D361" s="15" t="s">
        <v>1198</v>
      </c>
      <c r="E361" s="15" t="s">
        <v>1203</v>
      </c>
      <c r="F361" s="15" t="s">
        <v>3010</v>
      </c>
      <c r="G361" s="15" t="s">
        <v>3011</v>
      </c>
      <c r="H361" s="33" t="n">
        <f aca="false">Packages!$AD$38</f>
        <v>213.711844398051</v>
      </c>
      <c r="I361" s="15" t="s">
        <v>3012</v>
      </c>
      <c r="J361" s="34" t="n">
        <f aca="false">IF(Packages!$AD$38=0,0,MAX(1,ROUNDUP(Packages!$AD$38/(R_SHEET*Fronts!$I$7),0)))</f>
        <v>9</v>
      </c>
      <c r="K361" s="34" t="n">
        <f aca="false">IF(J361=0,0,ROUNDUP(J361*7/WD,0))</f>
        <v>11</v>
      </c>
      <c r="L361" s="15" t="s">
        <v>3508</v>
      </c>
      <c r="M361" s="34" t="n">
        <f aca="false">ROUNDUP(K360*LADDER,0)</f>
        <v>6</v>
      </c>
      <c r="N361" s="34" t="n">
        <f aca="false">IF(K361=0,0,FFLAG)</f>
        <v>2</v>
      </c>
      <c r="O361" s="15"/>
      <c r="P361" s="16" t="n">
        <f aca="false">MAX(P360+M361,R350)</f>
        <v>46380</v>
      </c>
      <c r="Q361" s="16" t="n">
        <f aca="false">MAX(P361+K361,Q360+N361)</f>
        <v>46394</v>
      </c>
      <c r="R361" s="16" t="n">
        <f aca="false">IF(K361&gt;0,Q361,R350)</f>
        <v>46394</v>
      </c>
      <c r="S361" s="15" t="s">
        <v>3494</v>
      </c>
    </row>
    <row r="362" customFormat="false" ht="15" hidden="false" customHeight="false" outlineLevel="0" collapsed="false">
      <c r="A362" s="15" t="s">
        <v>3510</v>
      </c>
      <c r="B362" s="15" t="s">
        <v>3505</v>
      </c>
      <c r="C362" s="15" t="s">
        <v>391</v>
      </c>
      <c r="D362" s="15" t="s">
        <v>1198</v>
      </c>
      <c r="E362" s="15" t="s">
        <v>1203</v>
      </c>
      <c r="F362" s="15" t="s">
        <v>3014</v>
      </c>
      <c r="G362" s="15" t="s">
        <v>3015</v>
      </c>
      <c r="H362" s="33" t="n">
        <f aca="false">Packages!$O$38</f>
        <v>106.855922199026</v>
      </c>
      <c r="I362" s="15" t="s">
        <v>118</v>
      </c>
      <c r="J362" s="34" t="n">
        <f aca="false">IF(Packages!$AG$38=0,0,ROUNDUP(Packages!$O$38/R_DW,0)+DW_DRAW)</f>
        <v>10</v>
      </c>
      <c r="K362" s="34" t="n">
        <f aca="false">IF(J362=0,0,ROUNDUP(J362*7/WD,0))</f>
        <v>12</v>
      </c>
      <c r="L362" s="15" t="s">
        <v>3509</v>
      </c>
      <c r="M362" s="34" t="n">
        <f aca="false">ROUNDUP(K361*LADDER,0)</f>
        <v>4</v>
      </c>
      <c r="N362" s="34" t="n">
        <f aca="false">IF(K362=0,0,FFLAG)</f>
        <v>2</v>
      </c>
      <c r="O362" s="15" t="s">
        <v>3511</v>
      </c>
      <c r="P362" s="16" t="n">
        <f aca="false">MAX(P361+M362,Q352-K362)</f>
        <v>46409</v>
      </c>
      <c r="Q362" s="16" t="n">
        <f aca="false">MAX(P362+K362,Q361+N362)</f>
        <v>46421</v>
      </c>
      <c r="R362" s="12"/>
      <c r="S362" s="12"/>
    </row>
    <row r="363" customFormat="false" ht="15" hidden="false" customHeight="false" outlineLevel="0" collapsed="false">
      <c r="A363" s="15" t="s">
        <v>3512</v>
      </c>
      <c r="B363" s="15" t="s">
        <v>3505</v>
      </c>
      <c r="C363" s="15" t="s">
        <v>391</v>
      </c>
      <c r="D363" s="15" t="s">
        <v>1198</v>
      </c>
      <c r="E363" s="15" t="s">
        <v>1203</v>
      </c>
      <c r="F363" s="15" t="s">
        <v>3017</v>
      </c>
      <c r="G363" s="15" t="s">
        <v>3018</v>
      </c>
      <c r="H363" s="33" t="n">
        <f aca="false">Packages!$X$38+Packages!$Y$38</f>
        <v>1252.60375059631</v>
      </c>
      <c r="I363" s="15" t="s">
        <v>3019</v>
      </c>
      <c r="J363" s="34" t="n">
        <f aca="false">MAX(1,ROUNDUP((Packages!$X$38/R_EXS+Packages!$Y$38/R_EXO)/Fronts!$J$7,0))</f>
        <v>6</v>
      </c>
      <c r="K363" s="34" t="n">
        <f aca="false">IF(J363=0,0,ROUNDUP(J363*7/WD,0))</f>
        <v>7</v>
      </c>
      <c r="L363" s="15" t="s">
        <v>3510</v>
      </c>
      <c r="M363" s="34" t="n">
        <f aca="false">IF(K362=0,0,ROUNDUP((K362-ROUNDUP(DW_DRAW*7/WD,0))*LADDER,0)+ROUNDUP(DW_DRAW*7/WD,0))</f>
        <v>10</v>
      </c>
      <c r="N363" s="34" t="n">
        <f aca="false">IF(K363=0,0,FFLAG)</f>
        <v>2</v>
      </c>
      <c r="O363" s="15" t="s">
        <v>3513</v>
      </c>
      <c r="P363" s="16" t="n">
        <f aca="false">MAX(P362+M363,R352,Q1940,Q1951,Q1962)</f>
        <v>46421</v>
      </c>
      <c r="Q363" s="16" t="n">
        <f aca="false">MAX(P363+K363,Q362+N363)</f>
        <v>46428</v>
      </c>
      <c r="R363" s="16" t="n">
        <f aca="false">IF(K363&gt;0,Q363,R352)</f>
        <v>46428</v>
      </c>
      <c r="S363" s="15" t="s">
        <v>3497</v>
      </c>
    </row>
    <row r="364" customFormat="false" ht="15" hidden="false" customHeight="false" outlineLevel="0" collapsed="false">
      <c r="A364" s="15" t="s">
        <v>3514</v>
      </c>
      <c r="B364" s="15" t="s">
        <v>3505</v>
      </c>
      <c r="C364" s="15" t="s">
        <v>391</v>
      </c>
      <c r="D364" s="15" t="s">
        <v>1198</v>
      </c>
      <c r="E364" s="15" t="s">
        <v>1203</v>
      </c>
      <c r="F364" s="15" t="s">
        <v>3022</v>
      </c>
      <c r="G364" s="15" t="s">
        <v>3023</v>
      </c>
      <c r="H364" s="33" t="n">
        <f aca="false">Packages!$O$38</f>
        <v>106.855922199026</v>
      </c>
      <c r="I364" s="15" t="s">
        <v>118</v>
      </c>
      <c r="J364" s="34" t="n">
        <f aca="false">MAX(1,ROUNDUP(Packages!$O$38/(R_SLAB*Fronts!$K$7),0))+SLAB_CURE</f>
        <v>12</v>
      </c>
      <c r="K364" s="34" t="n">
        <f aca="false">IF(J364=0,0,ROUNDUP(J364*7/WD,0))</f>
        <v>14</v>
      </c>
      <c r="L364" s="15" t="s">
        <v>3512</v>
      </c>
      <c r="M364" s="34" t="n">
        <f aca="false">ROUNDUP(K363*LADDER,0)</f>
        <v>3</v>
      </c>
      <c r="N364" s="34" t="n">
        <f aca="false">IF(K364=0,0,FFLAG)</f>
        <v>2</v>
      </c>
      <c r="O364" s="15"/>
      <c r="P364" s="16" t="n">
        <f aca="false">MAX(P363+M364,R353)</f>
        <v>46431</v>
      </c>
      <c r="Q364" s="16" t="n">
        <f aca="false">MAX(P364+K364,Q363+N364)</f>
        <v>46445</v>
      </c>
      <c r="R364" s="16" t="n">
        <f aca="false">IF(K364&gt;0,Q364,R353)</f>
        <v>46445</v>
      </c>
      <c r="S364" s="15" t="s">
        <v>3499</v>
      </c>
    </row>
    <row r="365" customFormat="false" ht="15" hidden="false" customHeight="false" outlineLevel="0" collapsed="false">
      <c r="A365" s="15" t="s">
        <v>3515</v>
      </c>
      <c r="B365" s="15" t="s">
        <v>3505</v>
      </c>
      <c r="C365" s="15" t="s">
        <v>391</v>
      </c>
      <c r="D365" s="15" t="s">
        <v>1198</v>
      </c>
      <c r="E365" s="15" t="s">
        <v>1203</v>
      </c>
      <c r="F365" s="15" t="s">
        <v>3025</v>
      </c>
      <c r="G365" s="15" t="s">
        <v>3026</v>
      </c>
      <c r="H365" s="33" t="n">
        <f aca="false">Packages!$O$38</f>
        <v>106.855922199026</v>
      </c>
      <c r="I365" s="15" t="s">
        <v>118</v>
      </c>
      <c r="J365" s="34" t="n">
        <f aca="false">MAX(1,ROUNDUP(Packages!$O$38/(IF(Packages!$N$38&gt;=PIPE_T1,R_PIPE_L,IF(Packages!$N$38&gt;=PIPE_T2,R_PIPE_M,R_PIPE_S))*Fronts!$L$7)+Packages!$M$38*FIT_D+IF(Packages!$G$38&lt;&gt;"Run",TIE_D,0),0))</f>
        <v>7</v>
      </c>
      <c r="K365" s="34" t="n">
        <f aca="false">IF(J365=0,0,ROUNDUP(J365*7/WD,0))</f>
        <v>9</v>
      </c>
      <c r="L365" s="15" t="s">
        <v>3514</v>
      </c>
      <c r="M365" s="34" t="n">
        <f aca="false">ROUNDUP(K364*LADDER,0)</f>
        <v>5</v>
      </c>
      <c r="N365" s="34" t="n">
        <f aca="false">IF(K365=0,0,FFLAG)</f>
        <v>2</v>
      </c>
      <c r="O365" s="15"/>
      <c r="P365" s="16" t="n">
        <f aca="false">MAX(P364+M365,R354)</f>
        <v>46436</v>
      </c>
      <c r="Q365" s="16" t="n">
        <f aca="false">MAX(P365+K365,Q364+N365)</f>
        <v>46447</v>
      </c>
      <c r="R365" s="16" t="n">
        <f aca="false">IF(K365&gt;0,Q365,R354)</f>
        <v>46447</v>
      </c>
      <c r="S365" s="15" t="s">
        <v>3500</v>
      </c>
    </row>
    <row r="366" customFormat="false" ht="15" hidden="false" customHeight="false" outlineLevel="0" collapsed="false">
      <c r="A366" s="15" t="s">
        <v>3516</v>
      </c>
      <c r="B366" s="15" t="s">
        <v>3505</v>
      </c>
      <c r="C366" s="15" t="s">
        <v>391</v>
      </c>
      <c r="D366" s="15" t="s">
        <v>1198</v>
      </c>
      <c r="E366" s="15" t="s">
        <v>1203</v>
      </c>
      <c r="F366" s="15" t="s">
        <v>3028</v>
      </c>
      <c r="G366" s="15" t="s">
        <v>3029</v>
      </c>
      <c r="H366" s="33" t="n">
        <f aca="false">Packages!$O$38</f>
        <v>106.855922199026</v>
      </c>
      <c r="I366" s="15" t="s">
        <v>118</v>
      </c>
      <c r="J366" s="34" t="n">
        <f aca="false">TEST_D+ROUNDUP(Packages!$O$38/R_TEST,0)</f>
        <v>3</v>
      </c>
      <c r="K366" s="34" t="n">
        <f aca="false">IF(J366=0,0,ROUNDUP(J366*7/WD,0))</f>
        <v>4</v>
      </c>
      <c r="L366" s="15" t="s">
        <v>3515</v>
      </c>
      <c r="M366" s="34" t="n">
        <f aca="false">ROUNDUP(K365*LADDER,0)</f>
        <v>3</v>
      </c>
      <c r="N366" s="34" t="n">
        <f aca="false">IF(K366=0,0,FFLAG)</f>
        <v>2</v>
      </c>
      <c r="O366" s="15"/>
      <c r="P366" s="16" t="n">
        <f aca="false">MAX(P365+M366)</f>
        <v>46439</v>
      </c>
      <c r="Q366" s="16" t="n">
        <f aca="false">MAX(P366+K366,Q365+N366)</f>
        <v>46449</v>
      </c>
      <c r="R366" s="12"/>
      <c r="S366" s="12"/>
    </row>
    <row r="367" customFormat="false" ht="15" hidden="false" customHeight="false" outlineLevel="0" collapsed="false">
      <c r="A367" s="15" t="s">
        <v>3517</v>
      </c>
      <c r="B367" s="15" t="s">
        <v>3505</v>
      </c>
      <c r="C367" s="15" t="s">
        <v>391</v>
      </c>
      <c r="D367" s="15" t="s">
        <v>1198</v>
      </c>
      <c r="E367" s="15" t="s">
        <v>1203</v>
      </c>
      <c r="F367" s="15" t="s">
        <v>3031</v>
      </c>
      <c r="G367" s="15" t="s">
        <v>3032</v>
      </c>
      <c r="H367" s="33" t="n">
        <f aca="false">Packages!$AB$38</f>
        <v>464.742852884135</v>
      </c>
      <c r="I367" s="15" t="s">
        <v>3019</v>
      </c>
      <c r="J367" s="34" t="n">
        <f aca="false">MAX(1,ROUNDUP(Packages!$AB$38/(R_BF*Fronts!$M$7),0))</f>
        <v>2</v>
      </c>
      <c r="K367" s="34" t="n">
        <f aca="false">IF(J367=0,0,ROUNDUP(J367*7/WD,0))</f>
        <v>3</v>
      </c>
      <c r="L367" s="15" t="s">
        <v>3516</v>
      </c>
      <c r="M367" s="34" t="n">
        <f aca="false">ROUNDUP(K366*LADDER,0)</f>
        <v>2</v>
      </c>
      <c r="N367" s="34" t="n">
        <f aca="false">IF(K367=0,0,FFLAG)</f>
        <v>2</v>
      </c>
      <c r="O367" s="15"/>
      <c r="P367" s="16" t="n">
        <f aca="false">MAX(P366+M367,R356)</f>
        <v>46441</v>
      </c>
      <c r="Q367" s="16" t="n">
        <f aca="false">MAX(P367+K367,Q366+N367)</f>
        <v>46451</v>
      </c>
      <c r="R367" s="16" t="n">
        <f aca="false">IF(K367&gt;0,Q367,R356)</f>
        <v>46451</v>
      </c>
      <c r="S367" s="15" t="s">
        <v>3502</v>
      </c>
    </row>
    <row r="368" customFormat="false" ht="15" hidden="false" customHeight="false" outlineLevel="0" collapsed="false">
      <c r="A368" s="15" t="s">
        <v>3518</v>
      </c>
      <c r="B368" s="15" t="s">
        <v>3505</v>
      </c>
      <c r="C368" s="15" t="s">
        <v>391</v>
      </c>
      <c r="D368" s="15" t="s">
        <v>1198</v>
      </c>
      <c r="E368" s="15" t="s">
        <v>1203</v>
      </c>
      <c r="F368" s="15" t="s">
        <v>3034</v>
      </c>
      <c r="G368" s="15" t="s">
        <v>3035</v>
      </c>
      <c r="H368" s="33" t="n">
        <f aca="false">Packages!$AD$38</f>
        <v>213.711844398051</v>
      </c>
      <c r="I368" s="15" t="s">
        <v>3012</v>
      </c>
      <c r="J368" s="34" t="n">
        <f aca="false">IF(Packages!$AD$38&gt;0,ROUNDUP(Packages!$AD$38/R_EXT,0),0)+IF(Packages!$AG$38&gt;0,1,0)</f>
        <v>6</v>
      </c>
      <c r="K368" s="34" t="n">
        <f aca="false">IF(J368=0,0,ROUNDUP(J368*7/WD,0))</f>
        <v>7</v>
      </c>
      <c r="L368" s="15" t="s">
        <v>3517</v>
      </c>
      <c r="M368" s="34" t="n">
        <f aca="false">ROUNDUP(K367*LADDER,0)</f>
        <v>1</v>
      </c>
      <c r="N368" s="34" t="n">
        <f aca="false">IF(K368=0,0,FFLAG)</f>
        <v>2</v>
      </c>
      <c r="O368" s="15"/>
      <c r="P368" s="16" t="n">
        <f aca="false">MAX(P367+M368)</f>
        <v>46442</v>
      </c>
      <c r="Q368" s="16" t="n">
        <f aca="false">MAX(P368+K368,Q367+N368)</f>
        <v>46453</v>
      </c>
      <c r="R368" s="12"/>
      <c r="S368" s="12"/>
    </row>
    <row r="369" customFormat="false" ht="15" hidden="false" customHeight="false" outlineLevel="0" collapsed="false">
      <c r="A369" s="15" t="s">
        <v>3519</v>
      </c>
      <c r="B369" s="15" t="s">
        <v>3520</v>
      </c>
      <c r="C369" s="15" t="s">
        <v>391</v>
      </c>
      <c r="D369" s="15" t="s">
        <v>1198</v>
      </c>
      <c r="E369" s="15" t="s">
        <v>1199</v>
      </c>
      <c r="F369" s="15" t="s">
        <v>2998</v>
      </c>
      <c r="G369" s="15" t="s">
        <v>2999</v>
      </c>
      <c r="H369" s="12"/>
      <c r="I369" s="12"/>
      <c r="J369" s="34" t="n">
        <f aca="false">0</f>
        <v>0</v>
      </c>
      <c r="K369" s="34" t="n">
        <f aca="false">IF(J369=0,0,ROUNDUP(J369*7/WD,0))</f>
        <v>0</v>
      </c>
      <c r="L369" s="12"/>
      <c r="M369" s="12"/>
      <c r="N369" s="12"/>
      <c r="O369" s="15" t="s">
        <v>3096</v>
      </c>
      <c r="P369" s="16" t="n">
        <f aca="false">MAX(START,D_DLU,Packages!$I$39,Packages!$K$39)</f>
        <v>46357</v>
      </c>
      <c r="Q369" s="16" t="n">
        <f aca="false">P369+K369</f>
        <v>46357</v>
      </c>
      <c r="R369" s="12"/>
      <c r="S369" s="12"/>
    </row>
    <row r="370" customFormat="false" ht="15" hidden="false" customHeight="false" outlineLevel="0" collapsed="false">
      <c r="A370" s="15" t="s">
        <v>3521</v>
      </c>
      <c r="B370" s="15" t="s">
        <v>3520</v>
      </c>
      <c r="C370" s="15" t="s">
        <v>391</v>
      </c>
      <c r="D370" s="15" t="s">
        <v>1198</v>
      </c>
      <c r="E370" s="15" t="s">
        <v>1199</v>
      </c>
      <c r="F370" s="15" t="s">
        <v>3002</v>
      </c>
      <c r="G370" s="15" t="s">
        <v>205</v>
      </c>
      <c r="H370" s="33" t="n">
        <f aca="false">Packages!$O$39</f>
        <v>7.4440778008973</v>
      </c>
      <c r="I370" s="15" t="s">
        <v>118</v>
      </c>
      <c r="J370" s="34" t="n">
        <f aca="false">MAX(1,ROUNDUP(Packages!$O$39/R_PLAT,0))</f>
        <v>1</v>
      </c>
      <c r="K370" s="34" t="n">
        <f aca="false">IF(J370=0,0,ROUNDUP(J370*7/WD,0))</f>
        <v>2</v>
      </c>
      <c r="L370" s="15" t="s">
        <v>3519</v>
      </c>
      <c r="M370" s="12"/>
      <c r="N370" s="12"/>
      <c r="O370" s="15" t="s">
        <v>3522</v>
      </c>
      <c r="P370" s="16" t="n">
        <f aca="false">MAX(Q369,P360)</f>
        <v>46374</v>
      </c>
      <c r="Q370" s="16" t="n">
        <f aca="false">P370+K370</f>
        <v>46376</v>
      </c>
      <c r="R370" s="12"/>
      <c r="S370" s="12"/>
    </row>
    <row r="371" customFormat="false" ht="15" hidden="false" customHeight="false" outlineLevel="0" collapsed="false">
      <c r="A371" s="15" t="s">
        <v>3523</v>
      </c>
      <c r="B371" s="15" t="s">
        <v>3520</v>
      </c>
      <c r="C371" s="15" t="s">
        <v>391</v>
      </c>
      <c r="D371" s="15" t="s">
        <v>1198</v>
      </c>
      <c r="E371" s="15" t="s">
        <v>1199</v>
      </c>
      <c r="F371" s="15" t="s">
        <v>3005</v>
      </c>
      <c r="G371" s="15" t="s">
        <v>3006</v>
      </c>
      <c r="H371" s="33" t="n">
        <f aca="false">Packages!$AC$39</f>
        <v>8</v>
      </c>
      <c r="I371" s="15" t="s">
        <v>3007</v>
      </c>
      <c r="J371" s="34" t="n">
        <f aca="false">IF(Packages!$AC$39=0,0,MAX(1,ROUNDUP(Packages!$AC$39/(R_PILE*Fronts!$H$7),0)))</f>
        <v>2</v>
      </c>
      <c r="K371" s="34" t="n">
        <f aca="false">IF(J371=0,0,ROUNDUP(J371*7/WD,0))</f>
        <v>3</v>
      </c>
      <c r="L371" s="15" t="s">
        <v>3521</v>
      </c>
      <c r="M371" s="34" t="n">
        <f aca="false">ROUNDUP(K370*LADDER,0)</f>
        <v>1</v>
      </c>
      <c r="N371" s="34" t="n">
        <f aca="false">IF(K371=0,0,FFLAG)</f>
        <v>2</v>
      </c>
      <c r="O371" s="15" t="s">
        <v>3008</v>
      </c>
      <c r="P371" s="16" t="n">
        <f aca="false">MAX(P370+M371,D_PILEDES)</f>
        <v>46375</v>
      </c>
      <c r="Q371" s="16" t="n">
        <f aca="false">MAX(P371+K371,Q370+N371)</f>
        <v>46378</v>
      </c>
      <c r="R371" s="16" t="n">
        <f aca="false">IF(K371&gt;0,Q371,0)</f>
        <v>46378</v>
      </c>
      <c r="S371" s="12"/>
    </row>
    <row r="372" customFormat="false" ht="15" hidden="false" customHeight="false" outlineLevel="0" collapsed="false">
      <c r="A372" s="15" t="s">
        <v>3524</v>
      </c>
      <c r="B372" s="15" t="s">
        <v>3520</v>
      </c>
      <c r="C372" s="15" t="s">
        <v>391</v>
      </c>
      <c r="D372" s="15" t="s">
        <v>1198</v>
      </c>
      <c r="E372" s="15" t="s">
        <v>1199</v>
      </c>
      <c r="F372" s="15" t="s">
        <v>3010</v>
      </c>
      <c r="G372" s="15" t="s">
        <v>3011</v>
      </c>
      <c r="H372" s="33" t="n">
        <f aca="false">Packages!$AD$39</f>
        <v>10.3999956028205</v>
      </c>
      <c r="I372" s="15" t="s">
        <v>3012</v>
      </c>
      <c r="J372" s="34" t="n">
        <f aca="false">IF(Packages!$AD$39=0,0,MAX(1,ROUNDUP(Packages!$AD$39/(R_SHEET*Fronts!$I$7),0)))</f>
        <v>1</v>
      </c>
      <c r="K372" s="34" t="n">
        <f aca="false">IF(J372=0,0,ROUNDUP(J372*7/WD,0))</f>
        <v>2</v>
      </c>
      <c r="L372" s="15" t="s">
        <v>3523</v>
      </c>
      <c r="M372" s="34" t="n">
        <f aca="false">ROUNDUP(K371*LADDER,0)</f>
        <v>1</v>
      </c>
      <c r="N372" s="34" t="n">
        <f aca="false">IF(K372=0,0,FFLAG)</f>
        <v>2</v>
      </c>
      <c r="O372" s="15"/>
      <c r="P372" s="16" t="n">
        <f aca="false">MAX(P371+M372)</f>
        <v>46376</v>
      </c>
      <c r="Q372" s="16" t="n">
        <f aca="false">MAX(P372+K372,Q371+N372)</f>
        <v>46380</v>
      </c>
      <c r="R372" s="16" t="n">
        <f aca="false">IF(K372&gt;0,Q372,0)</f>
        <v>46380</v>
      </c>
      <c r="S372" s="12"/>
    </row>
    <row r="373" customFormat="false" ht="15" hidden="false" customHeight="false" outlineLevel="0" collapsed="false">
      <c r="A373" s="15" t="s">
        <v>3525</v>
      </c>
      <c r="B373" s="15" t="s">
        <v>3520</v>
      </c>
      <c r="C373" s="15" t="s">
        <v>391</v>
      </c>
      <c r="D373" s="15" t="s">
        <v>1198</v>
      </c>
      <c r="E373" s="15" t="s">
        <v>1199</v>
      </c>
      <c r="F373" s="15" t="s">
        <v>3014</v>
      </c>
      <c r="G373" s="15" t="s">
        <v>3015</v>
      </c>
      <c r="H373" s="33" t="n">
        <f aca="false">Packages!$O$39</f>
        <v>7.4440778008973</v>
      </c>
      <c r="I373" s="15" t="s">
        <v>118</v>
      </c>
      <c r="J373" s="34" t="n">
        <f aca="false">IF(Packages!$AG$39=0,0,ROUNDUP(Packages!$O$39/R_DW,0)+DW_DRAW)</f>
        <v>8</v>
      </c>
      <c r="K373" s="34" t="n">
        <f aca="false">IF(J373=0,0,ROUNDUP(J373*7/WD,0))</f>
        <v>10</v>
      </c>
      <c r="L373" s="15" t="s">
        <v>3524</v>
      </c>
      <c r="M373" s="34" t="n">
        <f aca="false">ROUNDUP(K372*LADDER,0)</f>
        <v>1</v>
      </c>
      <c r="N373" s="34" t="n">
        <f aca="false">IF(K373=0,0,FFLAG)</f>
        <v>2</v>
      </c>
      <c r="O373" s="15"/>
      <c r="P373" s="16" t="n">
        <f aca="false">MAX(P372+M373)</f>
        <v>46377</v>
      </c>
      <c r="Q373" s="16" t="n">
        <f aca="false">MAX(P373+K373,Q372+N373)</f>
        <v>46387</v>
      </c>
      <c r="R373" s="12"/>
      <c r="S373" s="12"/>
    </row>
    <row r="374" customFormat="false" ht="15" hidden="false" customHeight="false" outlineLevel="0" collapsed="false">
      <c r="A374" s="15" t="s">
        <v>3526</v>
      </c>
      <c r="B374" s="15" t="s">
        <v>3520</v>
      </c>
      <c r="C374" s="15" t="s">
        <v>391</v>
      </c>
      <c r="D374" s="15" t="s">
        <v>1198</v>
      </c>
      <c r="E374" s="15" t="s">
        <v>1199</v>
      </c>
      <c r="F374" s="15" t="s">
        <v>3017</v>
      </c>
      <c r="G374" s="15" t="s">
        <v>3018</v>
      </c>
      <c r="H374" s="33" t="n">
        <f aca="false">Packages!$X$39+Packages!$Y$39</f>
        <v>114.486678309008</v>
      </c>
      <c r="I374" s="15" t="s">
        <v>3019</v>
      </c>
      <c r="J374" s="34" t="n">
        <f aca="false">MAX(1,ROUNDUP((Packages!$X$39/R_EXS+Packages!$Y$39/R_EXO)/Fronts!$J$7,0))</f>
        <v>1</v>
      </c>
      <c r="K374" s="34" t="n">
        <f aca="false">IF(J374=0,0,ROUNDUP(J374*7/WD,0))</f>
        <v>2</v>
      </c>
      <c r="L374" s="15" t="s">
        <v>3525</v>
      </c>
      <c r="M374" s="34" t="n">
        <f aca="false">IF(K373=0,0,ROUNDUP((K373-ROUNDUP(DW_DRAW*7/WD,0))*LADDER,0)+ROUNDUP(DW_DRAW*7/WD,0))</f>
        <v>10</v>
      </c>
      <c r="N374" s="34" t="n">
        <f aca="false">IF(K374=0,0,FFLAG)</f>
        <v>2</v>
      </c>
      <c r="O374" s="15"/>
      <c r="P374" s="16" t="n">
        <f aca="false">MAX(P373+M374)</f>
        <v>46387</v>
      </c>
      <c r="Q374" s="16" t="n">
        <f aca="false">MAX(P374+K374,Q373+N374)</f>
        <v>46389</v>
      </c>
      <c r="R374" s="16" t="n">
        <f aca="false">IF(K374&gt;0,Q374,0)</f>
        <v>46389</v>
      </c>
      <c r="S374" s="12"/>
    </row>
    <row r="375" customFormat="false" ht="15" hidden="false" customHeight="false" outlineLevel="0" collapsed="false">
      <c r="A375" s="15" t="s">
        <v>3527</v>
      </c>
      <c r="B375" s="15" t="s">
        <v>3520</v>
      </c>
      <c r="C375" s="15" t="s">
        <v>391</v>
      </c>
      <c r="D375" s="15" t="s">
        <v>1198</v>
      </c>
      <c r="E375" s="15" t="s">
        <v>1199</v>
      </c>
      <c r="F375" s="15" t="s">
        <v>3022</v>
      </c>
      <c r="G375" s="15" t="s">
        <v>3023</v>
      </c>
      <c r="H375" s="33" t="n">
        <f aca="false">Packages!$O$39</f>
        <v>7.4440778008973</v>
      </c>
      <c r="I375" s="15" t="s">
        <v>118</v>
      </c>
      <c r="J375" s="34" t="n">
        <f aca="false">MAX(1,ROUNDUP(Packages!$O$39/(R_SLAB*Fronts!$K$7),0))+SLAB_CURE</f>
        <v>4</v>
      </c>
      <c r="K375" s="34" t="n">
        <f aca="false">IF(J375=0,0,ROUNDUP(J375*7/WD,0))</f>
        <v>5</v>
      </c>
      <c r="L375" s="15" t="s">
        <v>3526</v>
      </c>
      <c r="M375" s="34" t="n">
        <f aca="false">ROUNDUP(K374*LADDER,0)</f>
        <v>1</v>
      </c>
      <c r="N375" s="34" t="n">
        <f aca="false">IF(K375=0,0,FFLAG)</f>
        <v>2</v>
      </c>
      <c r="O375" s="15"/>
      <c r="P375" s="16" t="n">
        <f aca="false">MAX(P374+M375)</f>
        <v>46388</v>
      </c>
      <c r="Q375" s="16" t="n">
        <f aca="false">MAX(P375+K375,Q374+N375)</f>
        <v>46393</v>
      </c>
      <c r="R375" s="16" t="n">
        <f aca="false">IF(K375&gt;0,Q375,0)</f>
        <v>46393</v>
      </c>
      <c r="S375" s="12"/>
    </row>
    <row r="376" customFormat="false" ht="15" hidden="false" customHeight="false" outlineLevel="0" collapsed="false">
      <c r="A376" s="15" t="s">
        <v>3528</v>
      </c>
      <c r="B376" s="15" t="s">
        <v>3520</v>
      </c>
      <c r="C376" s="15" t="s">
        <v>391</v>
      </c>
      <c r="D376" s="15" t="s">
        <v>1198</v>
      </c>
      <c r="E376" s="15" t="s">
        <v>1199</v>
      </c>
      <c r="F376" s="15" t="s">
        <v>3025</v>
      </c>
      <c r="G376" s="15" t="s">
        <v>3026</v>
      </c>
      <c r="H376" s="33" t="n">
        <f aca="false">Packages!$O$39</f>
        <v>7.4440778008973</v>
      </c>
      <c r="I376" s="15" t="s">
        <v>118</v>
      </c>
      <c r="J376" s="34" t="n">
        <f aca="false">MAX(1,ROUNDUP(Packages!$O$39/(IF(Packages!$N$39&gt;=PIPE_T1,R_PIPE_L,IF(Packages!$N$39&gt;=PIPE_T2,R_PIPE_M,R_PIPE_S))*Fronts!$L$7)+Packages!$M$39*FIT_D+IF(Packages!$G$39&lt;&gt;"Run",TIE_D,0),0))</f>
        <v>5</v>
      </c>
      <c r="K376" s="34" t="n">
        <f aca="false">IF(J376=0,0,ROUNDUP(J376*7/WD,0))</f>
        <v>6</v>
      </c>
      <c r="L376" s="15" t="s">
        <v>3527</v>
      </c>
      <c r="M376" s="34" t="n">
        <f aca="false">ROUNDUP(K375*LADDER,0)</f>
        <v>2</v>
      </c>
      <c r="N376" s="34" t="n">
        <f aca="false">IF(K376=0,0,FFLAG)</f>
        <v>2</v>
      </c>
      <c r="O376" s="15" t="s">
        <v>3529</v>
      </c>
      <c r="P376" s="16" t="n">
        <f aca="false">MAX(P375+M376,Q365)</f>
        <v>46447</v>
      </c>
      <c r="Q376" s="16" t="n">
        <f aca="false">MAX(P376+K376,Q375+N376)</f>
        <v>46453</v>
      </c>
      <c r="R376" s="16" t="n">
        <f aca="false">IF(K376&gt;0,Q376,0)</f>
        <v>46453</v>
      </c>
      <c r="S376" s="12"/>
    </row>
    <row r="377" customFormat="false" ht="15" hidden="false" customHeight="false" outlineLevel="0" collapsed="false">
      <c r="A377" s="15" t="s">
        <v>3530</v>
      </c>
      <c r="B377" s="15" t="s">
        <v>3520</v>
      </c>
      <c r="C377" s="15" t="s">
        <v>391</v>
      </c>
      <c r="D377" s="15" t="s">
        <v>1198</v>
      </c>
      <c r="E377" s="15" t="s">
        <v>1199</v>
      </c>
      <c r="F377" s="15" t="s">
        <v>3028</v>
      </c>
      <c r="G377" s="15" t="s">
        <v>3029</v>
      </c>
      <c r="H377" s="33" t="n">
        <f aca="false">Packages!$O$39</f>
        <v>7.4440778008973</v>
      </c>
      <c r="I377" s="15" t="s">
        <v>118</v>
      </c>
      <c r="J377" s="34" t="n">
        <f aca="false">TEST_D+ROUNDUP(Packages!$O$39/R_TEST,0)</f>
        <v>3</v>
      </c>
      <c r="K377" s="34" t="n">
        <f aca="false">IF(J377=0,0,ROUNDUP(J377*7/WD,0))</f>
        <v>4</v>
      </c>
      <c r="L377" s="15" t="s">
        <v>3528</v>
      </c>
      <c r="M377" s="34" t="n">
        <f aca="false">ROUNDUP(K376*LADDER,0)</f>
        <v>2</v>
      </c>
      <c r="N377" s="34" t="n">
        <f aca="false">IF(K377=0,0,FFLAG)</f>
        <v>2</v>
      </c>
      <c r="O377" s="15"/>
      <c r="P377" s="16" t="n">
        <f aca="false">MAX(P376+M377)</f>
        <v>46449</v>
      </c>
      <c r="Q377" s="16" t="n">
        <f aca="false">MAX(P377+K377,Q376+N377)</f>
        <v>46455</v>
      </c>
      <c r="R377" s="12"/>
      <c r="S377" s="12"/>
    </row>
    <row r="378" customFormat="false" ht="15" hidden="false" customHeight="false" outlineLevel="0" collapsed="false">
      <c r="A378" s="15" t="s">
        <v>3531</v>
      </c>
      <c r="B378" s="15" t="s">
        <v>3520</v>
      </c>
      <c r="C378" s="15" t="s">
        <v>391</v>
      </c>
      <c r="D378" s="15" t="s">
        <v>1198</v>
      </c>
      <c r="E378" s="15" t="s">
        <v>1199</v>
      </c>
      <c r="F378" s="15" t="s">
        <v>3031</v>
      </c>
      <c r="G378" s="15" t="s">
        <v>3032</v>
      </c>
      <c r="H378" s="33" t="n">
        <f aca="false">Packages!$AB$39</f>
        <v>58.8493906634761</v>
      </c>
      <c r="I378" s="15" t="s">
        <v>3019</v>
      </c>
      <c r="J378" s="34" t="n">
        <f aca="false">MAX(1,ROUNDUP(Packages!$AB$39/(R_BF*Fronts!$M$7),0))</f>
        <v>1</v>
      </c>
      <c r="K378" s="34" t="n">
        <f aca="false">IF(J378=0,0,ROUNDUP(J378*7/WD,0))</f>
        <v>2</v>
      </c>
      <c r="L378" s="15" t="s">
        <v>3530</v>
      </c>
      <c r="M378" s="34" t="n">
        <f aca="false">ROUNDUP(K377*LADDER,0)</f>
        <v>2</v>
      </c>
      <c r="N378" s="34" t="n">
        <f aca="false">IF(K378=0,0,FFLAG)</f>
        <v>2</v>
      </c>
      <c r="O378" s="15"/>
      <c r="P378" s="16" t="n">
        <f aca="false">MAX(P377+M378)</f>
        <v>46451</v>
      </c>
      <c r="Q378" s="16" t="n">
        <f aca="false">MAX(P378+K378,Q377+N378)</f>
        <v>46457</v>
      </c>
      <c r="R378" s="16" t="n">
        <f aca="false">IF(K378&gt;0,Q378,0)</f>
        <v>46457</v>
      </c>
      <c r="S378" s="12"/>
    </row>
    <row r="379" customFormat="false" ht="15" hidden="false" customHeight="false" outlineLevel="0" collapsed="false">
      <c r="A379" s="15" t="s">
        <v>3532</v>
      </c>
      <c r="B379" s="15" t="s">
        <v>3520</v>
      </c>
      <c r="C379" s="15" t="s">
        <v>391</v>
      </c>
      <c r="D379" s="15" t="s">
        <v>1198</v>
      </c>
      <c r="E379" s="15" t="s">
        <v>1199</v>
      </c>
      <c r="F379" s="15" t="s">
        <v>3034</v>
      </c>
      <c r="G379" s="15" t="s">
        <v>3035</v>
      </c>
      <c r="H379" s="33" t="n">
        <f aca="false">Packages!$AD$39</f>
        <v>10.3999956028205</v>
      </c>
      <c r="I379" s="15" t="s">
        <v>3012</v>
      </c>
      <c r="J379" s="34" t="n">
        <f aca="false">IF(Packages!$AD$39&gt;0,ROUNDUP(Packages!$AD$39/R_EXT,0),0)+IF(Packages!$AG$39&gt;0,1,0)</f>
        <v>2</v>
      </c>
      <c r="K379" s="34" t="n">
        <f aca="false">IF(J379=0,0,ROUNDUP(J379*7/WD,0))</f>
        <v>3</v>
      </c>
      <c r="L379" s="15" t="s">
        <v>3531</v>
      </c>
      <c r="M379" s="34" t="n">
        <f aca="false">ROUNDUP(K378*LADDER,0)</f>
        <v>1</v>
      </c>
      <c r="N379" s="34" t="n">
        <f aca="false">IF(K379=0,0,FFLAG)</f>
        <v>2</v>
      </c>
      <c r="O379" s="15"/>
      <c r="P379" s="16" t="n">
        <f aca="false">MAX(P378+M379)</f>
        <v>46452</v>
      </c>
      <c r="Q379" s="16" t="n">
        <f aca="false">MAX(P379+K379,Q378+N379)</f>
        <v>46459</v>
      </c>
      <c r="R379" s="12"/>
      <c r="S379" s="12"/>
    </row>
    <row r="380" customFormat="false" ht="15" hidden="false" customHeight="false" outlineLevel="0" collapsed="false">
      <c r="A380" s="15" t="s">
        <v>3533</v>
      </c>
      <c r="B380" s="15" t="s">
        <v>3534</v>
      </c>
      <c r="C380" s="15" t="s">
        <v>391</v>
      </c>
      <c r="D380" s="15" t="s">
        <v>1075</v>
      </c>
      <c r="E380" s="15" t="s">
        <v>1125</v>
      </c>
      <c r="F380" s="15" t="s">
        <v>2998</v>
      </c>
      <c r="G380" s="15" t="s">
        <v>2999</v>
      </c>
      <c r="H380" s="12"/>
      <c r="I380" s="12"/>
      <c r="J380" s="34" t="n">
        <f aca="false">0</f>
        <v>0</v>
      </c>
      <c r="K380" s="34" t="n">
        <f aca="false">IF(J380=0,0,ROUNDUP(J380*7/WD,0))</f>
        <v>0</v>
      </c>
      <c r="L380" s="12"/>
      <c r="M380" s="12"/>
      <c r="N380" s="12"/>
      <c r="O380" s="15" t="s">
        <v>3000</v>
      </c>
      <c r="P380" s="16" t="n">
        <f aca="false">MAX(START,D_DLU,Packages!$I$40,Packages!$K$40)</f>
        <v>46357</v>
      </c>
      <c r="Q380" s="16" t="n">
        <f aca="false">P380+K380</f>
        <v>46357</v>
      </c>
      <c r="R380" s="12"/>
      <c r="S380" s="12"/>
    </row>
    <row r="381" customFormat="false" ht="15" hidden="false" customHeight="false" outlineLevel="0" collapsed="false">
      <c r="A381" s="15" t="s">
        <v>3535</v>
      </c>
      <c r="B381" s="15" t="s">
        <v>3534</v>
      </c>
      <c r="C381" s="15" t="s">
        <v>391</v>
      </c>
      <c r="D381" s="15" t="s">
        <v>1075</v>
      </c>
      <c r="E381" s="15" t="s">
        <v>1125</v>
      </c>
      <c r="F381" s="15" t="s">
        <v>3002</v>
      </c>
      <c r="G381" s="15" t="s">
        <v>205</v>
      </c>
      <c r="H381" s="33" t="n">
        <f aca="false">Packages!$O$40</f>
        <v>53.013999999569</v>
      </c>
      <c r="I381" s="15" t="s">
        <v>118</v>
      </c>
      <c r="J381" s="34" t="n">
        <f aca="false">MAX(1,ROUNDUP(Packages!$O$40/R_PLAT,0))</f>
        <v>1</v>
      </c>
      <c r="K381" s="34" t="n">
        <f aca="false">IF(J381=0,0,ROUNDUP(J381*7/WD,0))</f>
        <v>2</v>
      </c>
      <c r="L381" s="15" t="s">
        <v>3533</v>
      </c>
      <c r="M381" s="12"/>
      <c r="N381" s="12"/>
      <c r="O381" s="15" t="s">
        <v>3536</v>
      </c>
      <c r="P381" s="16" t="n">
        <f aca="false">MAX(Q380,P360)</f>
        <v>46374</v>
      </c>
      <c r="Q381" s="16" t="n">
        <f aca="false">P381+K381</f>
        <v>46376</v>
      </c>
      <c r="R381" s="12"/>
      <c r="S381" s="12"/>
    </row>
    <row r="382" customFormat="false" ht="15" hidden="false" customHeight="false" outlineLevel="0" collapsed="false">
      <c r="A382" s="15" t="s">
        <v>3537</v>
      </c>
      <c r="B382" s="15" t="s">
        <v>3534</v>
      </c>
      <c r="C382" s="15" t="s">
        <v>391</v>
      </c>
      <c r="D382" s="15" t="s">
        <v>1075</v>
      </c>
      <c r="E382" s="15" t="s">
        <v>1125</v>
      </c>
      <c r="F382" s="15" t="s">
        <v>3005</v>
      </c>
      <c r="G382" s="15" t="s">
        <v>3006</v>
      </c>
      <c r="H382" s="33" t="n">
        <f aca="false">Packages!$AC$40</f>
        <v>38</v>
      </c>
      <c r="I382" s="15" t="s">
        <v>3007</v>
      </c>
      <c r="J382" s="34" t="n">
        <f aca="false">IF(Packages!$AC$40=0,0,MAX(1,ROUNDUP(Packages!$AC$40/(R_PILE*Fronts!$H$7),0)))</f>
        <v>8</v>
      </c>
      <c r="K382" s="34" t="n">
        <f aca="false">IF(J382=0,0,ROUNDUP(J382*7/WD,0))</f>
        <v>10</v>
      </c>
      <c r="L382" s="15" t="s">
        <v>3535</v>
      </c>
      <c r="M382" s="34" t="n">
        <f aca="false">ROUNDUP(K381*LADDER,0)</f>
        <v>1</v>
      </c>
      <c r="N382" s="34" t="n">
        <f aca="false">IF(K382=0,0,FFLAG)</f>
        <v>2</v>
      </c>
      <c r="O382" s="15" t="s">
        <v>3008</v>
      </c>
      <c r="P382" s="16" t="n">
        <f aca="false">MAX(P381+M382,D_PILEDES,R360)</f>
        <v>46392</v>
      </c>
      <c r="Q382" s="16" t="n">
        <f aca="false">MAX(P382+K382,Q381+N382)</f>
        <v>46402</v>
      </c>
      <c r="R382" s="16" t="n">
        <f aca="false">IF(K382&gt;0,Q382,R360)</f>
        <v>46402</v>
      </c>
      <c r="S382" s="15" t="s">
        <v>3508</v>
      </c>
    </row>
    <row r="383" customFormat="false" ht="15" hidden="false" customHeight="false" outlineLevel="0" collapsed="false">
      <c r="A383" s="15" t="s">
        <v>3538</v>
      </c>
      <c r="B383" s="15" t="s">
        <v>3534</v>
      </c>
      <c r="C383" s="15" t="s">
        <v>391</v>
      </c>
      <c r="D383" s="15" t="s">
        <v>1075</v>
      </c>
      <c r="E383" s="15" t="s">
        <v>1125</v>
      </c>
      <c r="F383" s="15" t="s">
        <v>3010</v>
      </c>
      <c r="G383" s="15" t="s">
        <v>3011</v>
      </c>
      <c r="H383" s="33" t="n">
        <f aca="false">Packages!$AD$40</f>
        <v>106.027999999138</v>
      </c>
      <c r="I383" s="15" t="s">
        <v>3012</v>
      </c>
      <c r="J383" s="34" t="n">
        <f aca="false">IF(Packages!$AD$40=0,0,MAX(1,ROUNDUP(Packages!$AD$40/(R_SHEET*Fronts!$I$7),0)))</f>
        <v>5</v>
      </c>
      <c r="K383" s="34" t="n">
        <f aca="false">IF(J383=0,0,ROUNDUP(J383*7/WD,0))</f>
        <v>6</v>
      </c>
      <c r="L383" s="15" t="s">
        <v>3537</v>
      </c>
      <c r="M383" s="34" t="n">
        <f aca="false">ROUNDUP(K382*LADDER,0)</f>
        <v>3</v>
      </c>
      <c r="N383" s="34" t="n">
        <f aca="false">IF(K383=0,0,FFLAG)</f>
        <v>2</v>
      </c>
      <c r="O383" s="15"/>
      <c r="P383" s="16" t="n">
        <f aca="false">MAX(P382+M383,R361)</f>
        <v>46395</v>
      </c>
      <c r="Q383" s="16" t="n">
        <f aca="false">MAX(P383+K383,Q382+N383)</f>
        <v>46404</v>
      </c>
      <c r="R383" s="16" t="n">
        <f aca="false">IF(K383&gt;0,Q383,R361)</f>
        <v>46404</v>
      </c>
      <c r="S383" s="15" t="s">
        <v>3509</v>
      </c>
    </row>
    <row r="384" customFormat="false" ht="15" hidden="false" customHeight="false" outlineLevel="0" collapsed="false">
      <c r="A384" s="15" t="s">
        <v>3539</v>
      </c>
      <c r="B384" s="15" t="s">
        <v>3534</v>
      </c>
      <c r="C384" s="15" t="s">
        <v>391</v>
      </c>
      <c r="D384" s="15" t="s">
        <v>1075</v>
      </c>
      <c r="E384" s="15" t="s">
        <v>1125</v>
      </c>
      <c r="F384" s="15" t="s">
        <v>3014</v>
      </c>
      <c r="G384" s="15" t="s">
        <v>3015</v>
      </c>
      <c r="H384" s="33" t="n">
        <f aca="false">Packages!$O$40</f>
        <v>53.013999999569</v>
      </c>
      <c r="I384" s="15" t="s">
        <v>118</v>
      </c>
      <c r="J384" s="34" t="n">
        <f aca="false">IF(Packages!$AG$40=0,0,ROUNDUP(Packages!$O$40/R_DW,0)+DW_DRAW)</f>
        <v>9</v>
      </c>
      <c r="K384" s="34" t="n">
        <f aca="false">IF(J384=0,0,ROUNDUP(J384*7/WD,0))</f>
        <v>11</v>
      </c>
      <c r="L384" s="15" t="s">
        <v>3538</v>
      </c>
      <c r="M384" s="34" t="n">
        <f aca="false">ROUNDUP(K383*LADDER,0)</f>
        <v>2</v>
      </c>
      <c r="N384" s="34" t="n">
        <f aca="false">IF(K384=0,0,FFLAG)</f>
        <v>2</v>
      </c>
      <c r="O384" s="15" t="s">
        <v>3540</v>
      </c>
      <c r="P384" s="16" t="n">
        <f aca="false">MAX(P383+M384,Q363-K384)</f>
        <v>46417</v>
      </c>
      <c r="Q384" s="16" t="n">
        <f aca="false">MAX(P384+K384,Q383+N384)</f>
        <v>46428</v>
      </c>
      <c r="R384" s="12"/>
      <c r="S384" s="12"/>
    </row>
    <row r="385" customFormat="false" ht="15" hidden="false" customHeight="false" outlineLevel="0" collapsed="false">
      <c r="A385" s="15" t="s">
        <v>3541</v>
      </c>
      <c r="B385" s="15" t="s">
        <v>3534</v>
      </c>
      <c r="C385" s="15" t="s">
        <v>391</v>
      </c>
      <c r="D385" s="15" t="s">
        <v>1075</v>
      </c>
      <c r="E385" s="15" t="s">
        <v>1125</v>
      </c>
      <c r="F385" s="15" t="s">
        <v>3017</v>
      </c>
      <c r="G385" s="15" t="s">
        <v>3018</v>
      </c>
      <c r="H385" s="33" t="n">
        <f aca="false">Packages!$X$40+Packages!$Y$40</f>
        <v>1058.77119728141</v>
      </c>
      <c r="I385" s="15" t="s">
        <v>3019</v>
      </c>
      <c r="J385" s="34" t="n">
        <f aca="false">MAX(1,ROUNDUP((Packages!$X$40/R_EXS+Packages!$Y$40/R_EXO)/Fronts!$J$7,0))</f>
        <v>5</v>
      </c>
      <c r="K385" s="34" t="n">
        <f aca="false">IF(J385=0,0,ROUNDUP(J385*7/WD,0))</f>
        <v>6</v>
      </c>
      <c r="L385" s="15" t="s">
        <v>3539</v>
      </c>
      <c r="M385" s="34" t="n">
        <f aca="false">IF(K384=0,0,ROUNDUP((K384-ROUNDUP(DW_DRAW*7/WD,0))*LADDER,0)+ROUNDUP(DW_DRAW*7/WD,0))</f>
        <v>10</v>
      </c>
      <c r="N385" s="34" t="n">
        <f aca="false">IF(K385=0,0,FFLAG)</f>
        <v>2</v>
      </c>
      <c r="O385" s="15"/>
      <c r="P385" s="16" t="n">
        <f aca="false">MAX(P384+M385,R363)</f>
        <v>46428</v>
      </c>
      <c r="Q385" s="16" t="n">
        <f aca="false">MAX(P385+K385,Q384+N385)</f>
        <v>46434</v>
      </c>
      <c r="R385" s="16" t="n">
        <f aca="false">IF(K385&gt;0,Q385,R363)</f>
        <v>46434</v>
      </c>
      <c r="S385" s="15" t="s">
        <v>3512</v>
      </c>
    </row>
    <row r="386" customFormat="false" ht="15" hidden="false" customHeight="false" outlineLevel="0" collapsed="false">
      <c r="A386" s="15" t="s">
        <v>3542</v>
      </c>
      <c r="B386" s="15" t="s">
        <v>3534</v>
      </c>
      <c r="C386" s="15" t="s">
        <v>391</v>
      </c>
      <c r="D386" s="15" t="s">
        <v>1075</v>
      </c>
      <c r="E386" s="15" t="s">
        <v>1125</v>
      </c>
      <c r="F386" s="15" t="s">
        <v>3022</v>
      </c>
      <c r="G386" s="15" t="s">
        <v>3023</v>
      </c>
      <c r="H386" s="33" t="n">
        <f aca="false">Packages!$O$40</f>
        <v>53.013999999569</v>
      </c>
      <c r="I386" s="15" t="s">
        <v>118</v>
      </c>
      <c r="J386" s="34" t="n">
        <f aca="false">MAX(1,ROUNDUP(Packages!$O$40/(R_SLAB*Fronts!$K$7),0))+SLAB_CURE</f>
        <v>8</v>
      </c>
      <c r="K386" s="34" t="n">
        <f aca="false">IF(J386=0,0,ROUNDUP(J386*7/WD,0))</f>
        <v>10</v>
      </c>
      <c r="L386" s="15" t="s">
        <v>3541</v>
      </c>
      <c r="M386" s="34" t="n">
        <f aca="false">ROUNDUP(K385*LADDER,0)</f>
        <v>2</v>
      </c>
      <c r="N386" s="34" t="n">
        <f aca="false">IF(K386=0,0,FFLAG)</f>
        <v>2</v>
      </c>
      <c r="O386" s="15"/>
      <c r="P386" s="16" t="n">
        <f aca="false">MAX(P385+M386,R364)</f>
        <v>46445</v>
      </c>
      <c r="Q386" s="16" t="n">
        <f aca="false">MAX(P386+K386,Q385+N386)</f>
        <v>46455</v>
      </c>
      <c r="R386" s="16" t="n">
        <f aca="false">IF(K386&gt;0,Q386,R364)</f>
        <v>46455</v>
      </c>
      <c r="S386" s="15" t="s">
        <v>3514</v>
      </c>
    </row>
    <row r="387" customFormat="false" ht="15" hidden="false" customHeight="false" outlineLevel="0" collapsed="false">
      <c r="A387" s="15" t="s">
        <v>3543</v>
      </c>
      <c r="B387" s="15" t="s">
        <v>3534</v>
      </c>
      <c r="C387" s="15" t="s">
        <v>391</v>
      </c>
      <c r="D387" s="15" t="s">
        <v>1075</v>
      </c>
      <c r="E387" s="15" t="s">
        <v>1125</v>
      </c>
      <c r="F387" s="15" t="s">
        <v>3025</v>
      </c>
      <c r="G387" s="15" t="s">
        <v>3026</v>
      </c>
      <c r="H387" s="33" t="n">
        <f aca="false">Packages!$O$40</f>
        <v>53.013999999569</v>
      </c>
      <c r="I387" s="15" t="s">
        <v>118</v>
      </c>
      <c r="J387" s="34" t="n">
        <f aca="false">MAX(1,ROUNDUP(Packages!$O$40/(IF(Packages!$N$40&gt;=PIPE_T1,R_PIPE_L,IF(Packages!$N$40&gt;=PIPE_T2,R_PIPE_M,R_PIPE_S))*Fronts!$L$7)+Packages!$M$40*FIT_D+IF(Packages!$G$40&lt;&gt;"Run",TIE_D,0),0))</f>
        <v>3</v>
      </c>
      <c r="K387" s="34" t="n">
        <f aca="false">IF(J387=0,0,ROUNDUP(J387*7/WD,0))</f>
        <v>4</v>
      </c>
      <c r="L387" s="15" t="s">
        <v>3542</v>
      </c>
      <c r="M387" s="34" t="n">
        <f aca="false">ROUNDUP(K386*LADDER,0)</f>
        <v>3</v>
      </c>
      <c r="N387" s="34" t="n">
        <f aca="false">IF(K387=0,0,FFLAG)</f>
        <v>2</v>
      </c>
      <c r="O387" s="15"/>
      <c r="P387" s="16" t="n">
        <f aca="false">MAX(P386+M387,R365)</f>
        <v>46448</v>
      </c>
      <c r="Q387" s="16" t="n">
        <f aca="false">MAX(P387+K387,Q386+N387)</f>
        <v>46457</v>
      </c>
      <c r="R387" s="16" t="n">
        <f aca="false">IF(K387&gt;0,Q387,R365)</f>
        <v>46457</v>
      </c>
      <c r="S387" s="15" t="s">
        <v>3515</v>
      </c>
    </row>
    <row r="388" customFormat="false" ht="15" hidden="false" customHeight="false" outlineLevel="0" collapsed="false">
      <c r="A388" s="15" t="s">
        <v>3544</v>
      </c>
      <c r="B388" s="15" t="s">
        <v>3534</v>
      </c>
      <c r="C388" s="15" t="s">
        <v>391</v>
      </c>
      <c r="D388" s="15" t="s">
        <v>1075</v>
      </c>
      <c r="E388" s="15" t="s">
        <v>1125</v>
      </c>
      <c r="F388" s="15" t="s">
        <v>3028</v>
      </c>
      <c r="G388" s="15" t="s">
        <v>3029</v>
      </c>
      <c r="H388" s="33" t="n">
        <f aca="false">Packages!$O$40</f>
        <v>53.013999999569</v>
      </c>
      <c r="I388" s="15" t="s">
        <v>118</v>
      </c>
      <c r="J388" s="34" t="n">
        <f aca="false">TEST_D+ROUNDUP(Packages!$O$40/R_TEST,0)</f>
        <v>3</v>
      </c>
      <c r="K388" s="34" t="n">
        <f aca="false">IF(J388=0,0,ROUNDUP(J388*7/WD,0))</f>
        <v>4</v>
      </c>
      <c r="L388" s="15" t="s">
        <v>3543</v>
      </c>
      <c r="M388" s="34" t="n">
        <f aca="false">ROUNDUP(K387*LADDER,0)</f>
        <v>2</v>
      </c>
      <c r="N388" s="34" t="n">
        <f aca="false">IF(K388=0,0,FFLAG)</f>
        <v>2</v>
      </c>
      <c r="O388" s="15"/>
      <c r="P388" s="16" t="n">
        <f aca="false">MAX(P387+M388)</f>
        <v>46450</v>
      </c>
      <c r="Q388" s="16" t="n">
        <f aca="false">MAX(P388+K388,Q387+N388)</f>
        <v>46459</v>
      </c>
      <c r="R388" s="12"/>
      <c r="S388" s="12"/>
    </row>
    <row r="389" customFormat="false" ht="15" hidden="false" customHeight="false" outlineLevel="0" collapsed="false">
      <c r="A389" s="15" t="s">
        <v>3545</v>
      </c>
      <c r="B389" s="15" t="s">
        <v>3534</v>
      </c>
      <c r="C389" s="15" t="s">
        <v>391</v>
      </c>
      <c r="D389" s="15" t="s">
        <v>1075</v>
      </c>
      <c r="E389" s="15" t="s">
        <v>1125</v>
      </c>
      <c r="F389" s="15" t="s">
        <v>3031</v>
      </c>
      <c r="G389" s="15" t="s">
        <v>3032</v>
      </c>
      <c r="H389" s="33" t="n">
        <f aca="false">Packages!$AB$40</f>
        <v>667.891985011206</v>
      </c>
      <c r="I389" s="15" t="s">
        <v>3019</v>
      </c>
      <c r="J389" s="34" t="n">
        <f aca="false">MAX(1,ROUNDUP(Packages!$AB$40/(R_BF*Fronts!$M$7),0))</f>
        <v>2</v>
      </c>
      <c r="K389" s="34" t="n">
        <f aca="false">IF(J389=0,0,ROUNDUP(J389*7/WD,0))</f>
        <v>3</v>
      </c>
      <c r="L389" s="15" t="s">
        <v>3544</v>
      </c>
      <c r="M389" s="34" t="n">
        <f aca="false">ROUNDUP(K388*LADDER,0)</f>
        <v>2</v>
      </c>
      <c r="N389" s="34" t="n">
        <f aca="false">IF(K389=0,0,FFLAG)</f>
        <v>2</v>
      </c>
      <c r="O389" s="15" t="s">
        <v>3546</v>
      </c>
      <c r="P389" s="16" t="n">
        <f aca="false">MAX(P388+M389,R367,Q420)</f>
        <v>46528</v>
      </c>
      <c r="Q389" s="16" t="n">
        <f aca="false">MAX(P389+K389,Q388+N389)</f>
        <v>46531</v>
      </c>
      <c r="R389" s="16" t="n">
        <f aca="false">IF(K389&gt;0,Q389,R367)</f>
        <v>46531</v>
      </c>
      <c r="S389" s="15" t="s">
        <v>3517</v>
      </c>
    </row>
    <row r="390" customFormat="false" ht="15" hidden="false" customHeight="false" outlineLevel="0" collapsed="false">
      <c r="A390" s="15" t="s">
        <v>3547</v>
      </c>
      <c r="B390" s="15" t="s">
        <v>3534</v>
      </c>
      <c r="C390" s="15" t="s">
        <v>391</v>
      </c>
      <c r="D390" s="15" t="s">
        <v>1075</v>
      </c>
      <c r="E390" s="15" t="s">
        <v>1125</v>
      </c>
      <c r="F390" s="15" t="s">
        <v>3034</v>
      </c>
      <c r="G390" s="15" t="s">
        <v>3035</v>
      </c>
      <c r="H390" s="33" t="n">
        <f aca="false">Packages!$AD$40</f>
        <v>106.027999999138</v>
      </c>
      <c r="I390" s="15" t="s">
        <v>3012</v>
      </c>
      <c r="J390" s="34" t="n">
        <f aca="false">IF(Packages!$AD$40&gt;0,ROUNDUP(Packages!$AD$40/R_EXT,0),0)+IF(Packages!$AG$40&gt;0,1,0)</f>
        <v>4</v>
      </c>
      <c r="K390" s="34" t="n">
        <f aca="false">IF(J390=0,0,ROUNDUP(J390*7/WD,0))</f>
        <v>5</v>
      </c>
      <c r="L390" s="15" t="s">
        <v>3545</v>
      </c>
      <c r="M390" s="34" t="n">
        <f aca="false">ROUNDUP(K389*LADDER,0)</f>
        <v>1</v>
      </c>
      <c r="N390" s="34" t="n">
        <f aca="false">IF(K390=0,0,FFLAG)</f>
        <v>2</v>
      </c>
      <c r="O390" s="15"/>
      <c r="P390" s="16" t="n">
        <f aca="false">MAX(P389+M390)</f>
        <v>46529</v>
      </c>
      <c r="Q390" s="16" t="n">
        <f aca="false">MAX(P390+K390,Q389+N390)</f>
        <v>46534</v>
      </c>
      <c r="R390" s="12"/>
      <c r="S390" s="12"/>
    </row>
    <row r="391" customFormat="false" ht="15" hidden="false" customHeight="false" outlineLevel="0" collapsed="false">
      <c r="A391" s="15" t="s">
        <v>3548</v>
      </c>
      <c r="B391" s="15" t="s">
        <v>3549</v>
      </c>
      <c r="C391" s="15" t="s">
        <v>391</v>
      </c>
      <c r="D391" s="15" t="s">
        <v>1136</v>
      </c>
      <c r="E391" s="15" t="s">
        <v>1189</v>
      </c>
      <c r="F391" s="15" t="s">
        <v>2998</v>
      </c>
      <c r="G391" s="15" t="s">
        <v>2999</v>
      </c>
      <c r="H391" s="12"/>
      <c r="I391" s="12"/>
      <c r="J391" s="34" t="n">
        <f aca="false">0</f>
        <v>0</v>
      </c>
      <c r="K391" s="34" t="n">
        <f aca="false">IF(J391=0,0,ROUNDUP(J391*7/WD,0))</f>
        <v>0</v>
      </c>
      <c r="L391" s="12"/>
      <c r="M391" s="12"/>
      <c r="N391" s="12"/>
      <c r="O391" s="15" t="s">
        <v>3000</v>
      </c>
      <c r="P391" s="16" t="n">
        <f aca="false">MAX(START,D_DLU,Packages!$I$41,Packages!$K$41)</f>
        <v>46357</v>
      </c>
      <c r="Q391" s="16" t="n">
        <f aca="false">P391+K391</f>
        <v>46357</v>
      </c>
      <c r="R391" s="12"/>
      <c r="S391" s="12"/>
    </row>
    <row r="392" customFormat="false" ht="15" hidden="false" customHeight="false" outlineLevel="0" collapsed="false">
      <c r="A392" s="15" t="s">
        <v>3550</v>
      </c>
      <c r="B392" s="15" t="s">
        <v>3549</v>
      </c>
      <c r="C392" s="15" t="s">
        <v>391</v>
      </c>
      <c r="D392" s="15" t="s">
        <v>1136</v>
      </c>
      <c r="E392" s="15" t="s">
        <v>1189</v>
      </c>
      <c r="F392" s="15" t="s">
        <v>3002</v>
      </c>
      <c r="G392" s="15" t="s">
        <v>205</v>
      </c>
      <c r="H392" s="33" t="n">
        <f aca="false">Packages!$O$41</f>
        <v>51.1818527164358</v>
      </c>
      <c r="I392" s="15" t="s">
        <v>118</v>
      </c>
      <c r="J392" s="34" t="n">
        <f aca="false">MAX(1,ROUNDUP(Packages!$O$41/R_PLAT,0))</f>
        <v>1</v>
      </c>
      <c r="K392" s="34" t="n">
        <f aca="false">IF(J392=0,0,ROUNDUP(J392*7/WD,0))</f>
        <v>2</v>
      </c>
      <c r="L392" s="15" t="s">
        <v>3548</v>
      </c>
      <c r="M392" s="12"/>
      <c r="N392" s="12"/>
      <c r="O392" s="15" t="s">
        <v>3551</v>
      </c>
      <c r="P392" s="16" t="n">
        <f aca="false">MAX(Q391,P382)</f>
        <v>46392</v>
      </c>
      <c r="Q392" s="16" t="n">
        <f aca="false">P392+K392</f>
        <v>46394</v>
      </c>
      <c r="R392" s="12"/>
      <c r="S392" s="12"/>
    </row>
    <row r="393" customFormat="false" ht="15" hidden="false" customHeight="false" outlineLevel="0" collapsed="false">
      <c r="A393" s="15" t="s">
        <v>3552</v>
      </c>
      <c r="B393" s="15" t="s">
        <v>3549</v>
      </c>
      <c r="C393" s="15" t="s">
        <v>391</v>
      </c>
      <c r="D393" s="15" t="s">
        <v>1136</v>
      </c>
      <c r="E393" s="15" t="s">
        <v>1189</v>
      </c>
      <c r="F393" s="15" t="s">
        <v>3005</v>
      </c>
      <c r="G393" s="15" t="s">
        <v>3006</v>
      </c>
      <c r="H393" s="33" t="n">
        <f aca="false">Packages!$AC$41</f>
        <v>38</v>
      </c>
      <c r="I393" s="15" t="s">
        <v>3007</v>
      </c>
      <c r="J393" s="34" t="n">
        <f aca="false">IF(Packages!$AC$41=0,0,MAX(1,ROUNDUP(Packages!$AC$41/(R_PILE*Fronts!$H$7),0)))</f>
        <v>8</v>
      </c>
      <c r="K393" s="34" t="n">
        <f aca="false">IF(J393=0,0,ROUNDUP(J393*7/WD,0))</f>
        <v>10</v>
      </c>
      <c r="L393" s="15" t="s">
        <v>3550</v>
      </c>
      <c r="M393" s="34" t="n">
        <f aca="false">ROUNDUP(K392*LADDER,0)</f>
        <v>1</v>
      </c>
      <c r="N393" s="34" t="n">
        <f aca="false">IF(K393=0,0,FFLAG)</f>
        <v>2</v>
      </c>
      <c r="O393" s="15" t="s">
        <v>3008</v>
      </c>
      <c r="P393" s="16" t="n">
        <f aca="false">MAX(P392+M393,D_PILEDES,R382)</f>
        <v>46402</v>
      </c>
      <c r="Q393" s="16" t="n">
        <f aca="false">MAX(P393+K393,Q392+N393)</f>
        <v>46412</v>
      </c>
      <c r="R393" s="16" t="n">
        <f aca="false">IF(K393&gt;0,Q393,R382)</f>
        <v>46412</v>
      </c>
      <c r="S393" s="15" t="s">
        <v>3537</v>
      </c>
    </row>
    <row r="394" customFormat="false" ht="15" hidden="false" customHeight="false" outlineLevel="0" collapsed="false">
      <c r="A394" s="15" t="s">
        <v>3553</v>
      </c>
      <c r="B394" s="15" t="s">
        <v>3549</v>
      </c>
      <c r="C394" s="15" t="s">
        <v>391</v>
      </c>
      <c r="D394" s="15" t="s">
        <v>1136</v>
      </c>
      <c r="E394" s="15" t="s">
        <v>1189</v>
      </c>
      <c r="F394" s="15" t="s">
        <v>3010</v>
      </c>
      <c r="G394" s="15" t="s">
        <v>3011</v>
      </c>
      <c r="H394" s="33" t="n">
        <f aca="false">Packages!$AD$41</f>
        <v>102.363705432872</v>
      </c>
      <c r="I394" s="15" t="s">
        <v>3012</v>
      </c>
      <c r="J394" s="34" t="n">
        <f aca="false">IF(Packages!$AD$41=0,0,MAX(1,ROUNDUP(Packages!$AD$41/(R_SHEET*Fronts!$I$7),0)))</f>
        <v>5</v>
      </c>
      <c r="K394" s="34" t="n">
        <f aca="false">IF(J394=0,0,ROUNDUP(J394*7/WD,0))</f>
        <v>6</v>
      </c>
      <c r="L394" s="15" t="s">
        <v>3552</v>
      </c>
      <c r="M394" s="34" t="n">
        <f aca="false">ROUNDUP(K393*LADDER,0)</f>
        <v>3</v>
      </c>
      <c r="N394" s="34" t="n">
        <f aca="false">IF(K394=0,0,FFLAG)</f>
        <v>2</v>
      </c>
      <c r="O394" s="15"/>
      <c r="P394" s="16" t="n">
        <f aca="false">MAX(P393+M394,R383)</f>
        <v>46405</v>
      </c>
      <c r="Q394" s="16" t="n">
        <f aca="false">MAX(P394+K394,Q393+N394)</f>
        <v>46414</v>
      </c>
      <c r="R394" s="16" t="n">
        <f aca="false">IF(K394&gt;0,Q394,R383)</f>
        <v>46414</v>
      </c>
      <c r="S394" s="15" t="s">
        <v>3538</v>
      </c>
    </row>
    <row r="395" customFormat="false" ht="15" hidden="false" customHeight="false" outlineLevel="0" collapsed="false">
      <c r="A395" s="15" t="s">
        <v>3554</v>
      </c>
      <c r="B395" s="15" t="s">
        <v>3549</v>
      </c>
      <c r="C395" s="15" t="s">
        <v>391</v>
      </c>
      <c r="D395" s="15" t="s">
        <v>1136</v>
      </c>
      <c r="E395" s="15" t="s">
        <v>1189</v>
      </c>
      <c r="F395" s="15" t="s">
        <v>3014</v>
      </c>
      <c r="G395" s="15" t="s">
        <v>3015</v>
      </c>
      <c r="H395" s="33" t="n">
        <f aca="false">Packages!$O$41</f>
        <v>51.1818527164358</v>
      </c>
      <c r="I395" s="15" t="s">
        <v>118</v>
      </c>
      <c r="J395" s="34" t="n">
        <f aca="false">IF(Packages!$AG$41=0,0,ROUNDUP(Packages!$O$41/R_DW,0)+DW_DRAW)</f>
        <v>9</v>
      </c>
      <c r="K395" s="34" t="n">
        <f aca="false">IF(J395=0,0,ROUNDUP(J395*7/WD,0))</f>
        <v>11</v>
      </c>
      <c r="L395" s="15" t="s">
        <v>3553</v>
      </c>
      <c r="M395" s="34" t="n">
        <f aca="false">ROUNDUP(K394*LADDER,0)</f>
        <v>2</v>
      </c>
      <c r="N395" s="34" t="n">
        <f aca="false">IF(K395=0,0,FFLAG)</f>
        <v>2</v>
      </c>
      <c r="O395" s="15" t="s">
        <v>3555</v>
      </c>
      <c r="P395" s="16" t="n">
        <f aca="false">MAX(P394+M395,Q385-K395)</f>
        <v>46423</v>
      </c>
      <c r="Q395" s="16" t="n">
        <f aca="false">MAX(P395+K395,Q394+N395)</f>
        <v>46434</v>
      </c>
      <c r="R395" s="12"/>
      <c r="S395" s="12"/>
    </row>
    <row r="396" customFormat="false" ht="15" hidden="false" customHeight="false" outlineLevel="0" collapsed="false">
      <c r="A396" s="15" t="s">
        <v>3556</v>
      </c>
      <c r="B396" s="15" t="s">
        <v>3549</v>
      </c>
      <c r="C396" s="15" t="s">
        <v>391</v>
      </c>
      <c r="D396" s="15" t="s">
        <v>1136</v>
      </c>
      <c r="E396" s="15" t="s">
        <v>1189</v>
      </c>
      <c r="F396" s="15" t="s">
        <v>3017</v>
      </c>
      <c r="G396" s="15" t="s">
        <v>3018</v>
      </c>
      <c r="H396" s="33" t="n">
        <f aca="false">Packages!$X$41+Packages!$Y$41</f>
        <v>1019.79508998605</v>
      </c>
      <c r="I396" s="15" t="s">
        <v>3019</v>
      </c>
      <c r="J396" s="34" t="n">
        <f aca="false">MAX(1,ROUNDUP((Packages!$X$41/R_EXS+Packages!$Y$41/R_EXO)/Fronts!$J$7,0))</f>
        <v>5</v>
      </c>
      <c r="K396" s="34" t="n">
        <f aca="false">IF(J396=0,0,ROUNDUP(J396*7/WD,0))</f>
        <v>6</v>
      </c>
      <c r="L396" s="15" t="s">
        <v>3554</v>
      </c>
      <c r="M396" s="34" t="n">
        <f aca="false">IF(K395=0,0,ROUNDUP((K395-ROUNDUP(DW_DRAW*7/WD,0))*LADDER,0)+ROUNDUP(DW_DRAW*7/WD,0))</f>
        <v>10</v>
      </c>
      <c r="N396" s="34" t="n">
        <f aca="false">IF(K396=0,0,FFLAG)</f>
        <v>2</v>
      </c>
      <c r="O396" s="15"/>
      <c r="P396" s="16" t="n">
        <f aca="false">MAX(P395+M396,R385)</f>
        <v>46434</v>
      </c>
      <c r="Q396" s="16" t="n">
        <f aca="false">MAX(P396+K396,Q395+N396)</f>
        <v>46440</v>
      </c>
      <c r="R396" s="16" t="n">
        <f aca="false">IF(K396&gt;0,Q396,R385)</f>
        <v>46440</v>
      </c>
      <c r="S396" s="15" t="s">
        <v>3541</v>
      </c>
    </row>
    <row r="397" customFormat="false" ht="15" hidden="false" customHeight="false" outlineLevel="0" collapsed="false">
      <c r="A397" s="15" t="s">
        <v>3557</v>
      </c>
      <c r="B397" s="15" t="s">
        <v>3549</v>
      </c>
      <c r="C397" s="15" t="s">
        <v>391</v>
      </c>
      <c r="D397" s="15" t="s">
        <v>1136</v>
      </c>
      <c r="E397" s="15" t="s">
        <v>1189</v>
      </c>
      <c r="F397" s="15" t="s">
        <v>3022</v>
      </c>
      <c r="G397" s="15" t="s">
        <v>3023</v>
      </c>
      <c r="H397" s="33" t="n">
        <f aca="false">Packages!$O$41</f>
        <v>51.1818527164358</v>
      </c>
      <c r="I397" s="15" t="s">
        <v>118</v>
      </c>
      <c r="J397" s="34" t="n">
        <f aca="false">MAX(1,ROUNDUP(Packages!$O$41/(R_SLAB*Fronts!$K$7),0))+SLAB_CURE</f>
        <v>8</v>
      </c>
      <c r="K397" s="34" t="n">
        <f aca="false">IF(J397=0,0,ROUNDUP(J397*7/WD,0))</f>
        <v>10</v>
      </c>
      <c r="L397" s="15" t="s">
        <v>3556</v>
      </c>
      <c r="M397" s="34" t="n">
        <f aca="false">ROUNDUP(K396*LADDER,0)</f>
        <v>2</v>
      </c>
      <c r="N397" s="34" t="n">
        <f aca="false">IF(K397=0,0,FFLAG)</f>
        <v>2</v>
      </c>
      <c r="O397" s="15"/>
      <c r="P397" s="16" t="n">
        <f aca="false">MAX(P396+M397,R386)</f>
        <v>46455</v>
      </c>
      <c r="Q397" s="16" t="n">
        <f aca="false">MAX(P397+K397,Q396+N397)</f>
        <v>46465</v>
      </c>
      <c r="R397" s="16" t="n">
        <f aca="false">IF(K397&gt;0,Q397,R386)</f>
        <v>46465</v>
      </c>
      <c r="S397" s="15" t="s">
        <v>3542</v>
      </c>
    </row>
    <row r="398" customFormat="false" ht="15" hidden="false" customHeight="false" outlineLevel="0" collapsed="false">
      <c r="A398" s="15" t="s">
        <v>3558</v>
      </c>
      <c r="B398" s="15" t="s">
        <v>3549</v>
      </c>
      <c r="C398" s="15" t="s">
        <v>391</v>
      </c>
      <c r="D398" s="15" t="s">
        <v>1136</v>
      </c>
      <c r="E398" s="15" t="s">
        <v>1189</v>
      </c>
      <c r="F398" s="15" t="s">
        <v>3025</v>
      </c>
      <c r="G398" s="15" t="s">
        <v>3026</v>
      </c>
      <c r="H398" s="33" t="n">
        <f aca="false">Packages!$O$41</f>
        <v>51.1818527164358</v>
      </c>
      <c r="I398" s="15" t="s">
        <v>118</v>
      </c>
      <c r="J398" s="34" t="n">
        <f aca="false">MAX(1,ROUNDUP(Packages!$O$41/(IF(Packages!$N$41&gt;=PIPE_T1,R_PIPE_L,IF(Packages!$N$41&gt;=PIPE_T2,R_PIPE_M,R_PIPE_S))*Fronts!$L$7)+Packages!$M$41*FIT_D+IF(Packages!$G$41&lt;&gt;"Run",TIE_D,0),0))</f>
        <v>3</v>
      </c>
      <c r="K398" s="34" t="n">
        <f aca="false">IF(J398=0,0,ROUNDUP(J398*7/WD,0))</f>
        <v>4</v>
      </c>
      <c r="L398" s="15" t="s">
        <v>3557</v>
      </c>
      <c r="M398" s="34" t="n">
        <f aca="false">ROUNDUP(K397*LADDER,0)</f>
        <v>3</v>
      </c>
      <c r="N398" s="34" t="n">
        <f aca="false">IF(K398=0,0,FFLAG)</f>
        <v>2</v>
      </c>
      <c r="O398" s="15"/>
      <c r="P398" s="16" t="n">
        <f aca="false">MAX(P397+M398,R387)</f>
        <v>46458</v>
      </c>
      <c r="Q398" s="16" t="n">
        <f aca="false">MAX(P398+K398,Q397+N398)</f>
        <v>46467</v>
      </c>
      <c r="R398" s="16" t="n">
        <f aca="false">IF(K398&gt;0,Q398,R387)</f>
        <v>46467</v>
      </c>
      <c r="S398" s="15" t="s">
        <v>3543</v>
      </c>
    </row>
    <row r="399" customFormat="false" ht="15" hidden="false" customHeight="false" outlineLevel="0" collapsed="false">
      <c r="A399" s="15" t="s">
        <v>3559</v>
      </c>
      <c r="B399" s="15" t="s">
        <v>3549</v>
      </c>
      <c r="C399" s="15" t="s">
        <v>391</v>
      </c>
      <c r="D399" s="15" t="s">
        <v>1136</v>
      </c>
      <c r="E399" s="15" t="s">
        <v>1189</v>
      </c>
      <c r="F399" s="15" t="s">
        <v>3028</v>
      </c>
      <c r="G399" s="15" t="s">
        <v>3029</v>
      </c>
      <c r="H399" s="33" t="n">
        <f aca="false">Packages!$O$41</f>
        <v>51.1818527164358</v>
      </c>
      <c r="I399" s="15" t="s">
        <v>118</v>
      </c>
      <c r="J399" s="34" t="n">
        <f aca="false">TEST_D+ROUNDUP(Packages!$O$41/R_TEST,0)</f>
        <v>3</v>
      </c>
      <c r="K399" s="34" t="n">
        <f aca="false">IF(J399=0,0,ROUNDUP(J399*7/WD,0))</f>
        <v>4</v>
      </c>
      <c r="L399" s="15" t="s">
        <v>3558</v>
      </c>
      <c r="M399" s="34" t="n">
        <f aca="false">ROUNDUP(K398*LADDER,0)</f>
        <v>2</v>
      </c>
      <c r="N399" s="34" t="n">
        <f aca="false">IF(K399=0,0,FFLAG)</f>
        <v>2</v>
      </c>
      <c r="O399" s="15"/>
      <c r="P399" s="16" t="n">
        <f aca="false">MAX(P398+M399)</f>
        <v>46460</v>
      </c>
      <c r="Q399" s="16" t="n">
        <f aca="false">MAX(P399+K399,Q398+N399)</f>
        <v>46469</v>
      </c>
      <c r="R399" s="12"/>
      <c r="S399" s="12"/>
    </row>
    <row r="400" customFormat="false" ht="15" hidden="false" customHeight="false" outlineLevel="0" collapsed="false">
      <c r="A400" s="15" t="s">
        <v>3560</v>
      </c>
      <c r="B400" s="15" t="s">
        <v>3549</v>
      </c>
      <c r="C400" s="15" t="s">
        <v>391</v>
      </c>
      <c r="D400" s="15" t="s">
        <v>1136</v>
      </c>
      <c r="E400" s="15" t="s">
        <v>1189</v>
      </c>
      <c r="F400" s="15" t="s">
        <v>3031</v>
      </c>
      <c r="G400" s="15" t="s">
        <v>3032</v>
      </c>
      <c r="H400" s="33" t="n">
        <f aca="false">Packages!$AB$41</f>
        <v>642.425791060429</v>
      </c>
      <c r="I400" s="15" t="s">
        <v>3019</v>
      </c>
      <c r="J400" s="34" t="n">
        <f aca="false">MAX(1,ROUNDUP(Packages!$AB$41/(R_BF*Fronts!$M$7),0))</f>
        <v>2</v>
      </c>
      <c r="K400" s="34" t="n">
        <f aca="false">IF(J400=0,0,ROUNDUP(J400*7/WD,0))</f>
        <v>3</v>
      </c>
      <c r="L400" s="15" t="s">
        <v>3559</v>
      </c>
      <c r="M400" s="34" t="n">
        <f aca="false">ROUNDUP(K399*LADDER,0)</f>
        <v>2</v>
      </c>
      <c r="N400" s="34" t="n">
        <f aca="false">IF(K400=0,0,FFLAG)</f>
        <v>2</v>
      </c>
      <c r="O400" s="15" t="s">
        <v>3561</v>
      </c>
      <c r="P400" s="16" t="n">
        <f aca="false">MAX(P399+M400,R389,Q409)</f>
        <v>46531</v>
      </c>
      <c r="Q400" s="16" t="n">
        <f aca="false">MAX(P400+K400,Q399+N400)</f>
        <v>46534</v>
      </c>
      <c r="R400" s="16" t="n">
        <f aca="false">IF(K400&gt;0,Q400,R389)</f>
        <v>46534</v>
      </c>
      <c r="S400" s="15" t="s">
        <v>3545</v>
      </c>
    </row>
    <row r="401" customFormat="false" ht="15" hidden="false" customHeight="false" outlineLevel="0" collapsed="false">
      <c r="A401" s="15" t="s">
        <v>3562</v>
      </c>
      <c r="B401" s="15" t="s">
        <v>3549</v>
      </c>
      <c r="C401" s="15" t="s">
        <v>391</v>
      </c>
      <c r="D401" s="15" t="s">
        <v>1136</v>
      </c>
      <c r="E401" s="15" t="s">
        <v>1189</v>
      </c>
      <c r="F401" s="15" t="s">
        <v>3034</v>
      </c>
      <c r="G401" s="15" t="s">
        <v>3035</v>
      </c>
      <c r="H401" s="33" t="n">
        <f aca="false">Packages!$AD$41</f>
        <v>102.363705432872</v>
      </c>
      <c r="I401" s="15" t="s">
        <v>3012</v>
      </c>
      <c r="J401" s="34" t="n">
        <f aca="false">IF(Packages!$AD$41&gt;0,ROUNDUP(Packages!$AD$41/R_EXT,0),0)+IF(Packages!$AG$41&gt;0,1,0)</f>
        <v>4</v>
      </c>
      <c r="K401" s="34" t="n">
        <f aca="false">IF(J401=0,0,ROUNDUP(J401*7/WD,0))</f>
        <v>5</v>
      </c>
      <c r="L401" s="15" t="s">
        <v>3560</v>
      </c>
      <c r="M401" s="34" t="n">
        <f aca="false">ROUNDUP(K400*LADDER,0)</f>
        <v>1</v>
      </c>
      <c r="N401" s="34" t="n">
        <f aca="false">IF(K401=0,0,FFLAG)</f>
        <v>2</v>
      </c>
      <c r="O401" s="15"/>
      <c r="P401" s="16" t="n">
        <f aca="false">MAX(P400+M401)</f>
        <v>46532</v>
      </c>
      <c r="Q401" s="16" t="n">
        <f aca="false">MAX(P401+K401,Q400+N401)</f>
        <v>46537</v>
      </c>
      <c r="R401" s="12"/>
      <c r="S401" s="12"/>
    </row>
    <row r="402" customFormat="false" ht="15" hidden="false" customHeight="false" outlineLevel="0" collapsed="false">
      <c r="A402" s="15" t="s">
        <v>3563</v>
      </c>
      <c r="B402" s="15" t="s">
        <v>3564</v>
      </c>
      <c r="C402" s="15" t="s">
        <v>391</v>
      </c>
      <c r="D402" s="15" t="s">
        <v>1075</v>
      </c>
      <c r="E402" s="15" t="s">
        <v>1101</v>
      </c>
      <c r="F402" s="15" t="s">
        <v>2998</v>
      </c>
      <c r="G402" s="15" t="s">
        <v>2999</v>
      </c>
      <c r="H402" s="12"/>
      <c r="I402" s="12"/>
      <c r="J402" s="34" t="n">
        <f aca="false">0</f>
        <v>0</v>
      </c>
      <c r="K402" s="34" t="n">
        <f aca="false">IF(J402=0,0,ROUNDUP(J402*7/WD,0))</f>
        <v>0</v>
      </c>
      <c r="L402" s="12"/>
      <c r="M402" s="12"/>
      <c r="N402" s="12"/>
      <c r="O402" s="15" t="s">
        <v>3000</v>
      </c>
      <c r="P402" s="16" t="n">
        <f aca="false">MAX(START,D_DLU,Packages!$I$42,Packages!$K$42)</f>
        <v>46357</v>
      </c>
      <c r="Q402" s="16" t="n">
        <f aca="false">P402+K402</f>
        <v>46357</v>
      </c>
      <c r="R402" s="12"/>
      <c r="S402" s="12"/>
    </row>
    <row r="403" customFormat="false" ht="15" hidden="false" customHeight="false" outlineLevel="0" collapsed="false">
      <c r="A403" s="15" t="s">
        <v>3565</v>
      </c>
      <c r="B403" s="15" t="s">
        <v>3564</v>
      </c>
      <c r="C403" s="15" t="s">
        <v>391</v>
      </c>
      <c r="D403" s="15" t="s">
        <v>1075</v>
      </c>
      <c r="E403" s="15" t="s">
        <v>1101</v>
      </c>
      <c r="F403" s="15" t="s">
        <v>3002</v>
      </c>
      <c r="G403" s="15" t="s">
        <v>205</v>
      </c>
      <c r="H403" s="33" t="n">
        <f aca="false">Packages!$O$42</f>
        <v>116.100000000298</v>
      </c>
      <c r="I403" s="15" t="s">
        <v>118</v>
      </c>
      <c r="J403" s="34" t="n">
        <f aca="false">MAX(1,ROUNDUP(Packages!$O$42/R_PLAT,0))</f>
        <v>2</v>
      </c>
      <c r="K403" s="34" t="n">
        <f aca="false">IF(J403=0,0,ROUNDUP(J403*7/WD,0))</f>
        <v>3</v>
      </c>
      <c r="L403" s="15" t="s">
        <v>3563</v>
      </c>
      <c r="M403" s="12"/>
      <c r="N403" s="12"/>
      <c r="O403" s="15" t="s">
        <v>3566</v>
      </c>
      <c r="P403" s="16" t="n">
        <f aca="false">MAX(Q402,P393)</f>
        <v>46402</v>
      </c>
      <c r="Q403" s="16" t="n">
        <f aca="false">P403+K403</f>
        <v>46405</v>
      </c>
      <c r="R403" s="12"/>
      <c r="S403" s="12"/>
    </row>
    <row r="404" customFormat="false" ht="15" hidden="false" customHeight="false" outlineLevel="0" collapsed="false">
      <c r="A404" s="15" t="s">
        <v>3567</v>
      </c>
      <c r="B404" s="15" t="s">
        <v>3564</v>
      </c>
      <c r="C404" s="15" t="s">
        <v>391</v>
      </c>
      <c r="D404" s="15" t="s">
        <v>1075</v>
      </c>
      <c r="E404" s="15" t="s">
        <v>1101</v>
      </c>
      <c r="F404" s="15" t="s">
        <v>3005</v>
      </c>
      <c r="G404" s="15" t="s">
        <v>3006</v>
      </c>
      <c r="H404" s="33" t="n">
        <f aca="false">Packages!$AC$42</f>
        <v>80</v>
      </c>
      <c r="I404" s="15" t="s">
        <v>3007</v>
      </c>
      <c r="J404" s="34" t="n">
        <f aca="false">IF(Packages!$AC$42=0,0,MAX(1,ROUNDUP(Packages!$AC$42/(R_PILE*Fronts!$H$7),0)))</f>
        <v>16</v>
      </c>
      <c r="K404" s="34" t="n">
        <f aca="false">IF(J404=0,0,ROUNDUP(J404*7/WD,0))</f>
        <v>19</v>
      </c>
      <c r="L404" s="15" t="s">
        <v>3565</v>
      </c>
      <c r="M404" s="34" t="n">
        <f aca="false">ROUNDUP(K403*LADDER,0)</f>
        <v>1</v>
      </c>
      <c r="N404" s="34" t="n">
        <f aca="false">IF(K404=0,0,FFLAG)</f>
        <v>2</v>
      </c>
      <c r="O404" s="15" t="s">
        <v>3008</v>
      </c>
      <c r="P404" s="16" t="n">
        <f aca="false">MAX(P403+M404,D_PILEDES,R393)</f>
        <v>46412</v>
      </c>
      <c r="Q404" s="16" t="n">
        <f aca="false">MAX(P404+K404,Q403+N404)</f>
        <v>46431</v>
      </c>
      <c r="R404" s="16" t="n">
        <f aca="false">IF(K404&gt;0,Q404,R393)</f>
        <v>46431</v>
      </c>
      <c r="S404" s="15" t="s">
        <v>3552</v>
      </c>
    </row>
    <row r="405" customFormat="false" ht="15" hidden="false" customHeight="false" outlineLevel="0" collapsed="false">
      <c r="A405" s="15" t="s">
        <v>3568</v>
      </c>
      <c r="B405" s="15" t="s">
        <v>3564</v>
      </c>
      <c r="C405" s="15" t="s">
        <v>391</v>
      </c>
      <c r="D405" s="15" t="s">
        <v>1075</v>
      </c>
      <c r="E405" s="15" t="s">
        <v>1101</v>
      </c>
      <c r="F405" s="15" t="s">
        <v>3010</v>
      </c>
      <c r="G405" s="15" t="s">
        <v>3011</v>
      </c>
      <c r="H405" s="33" t="n">
        <f aca="false">Packages!$AD$42</f>
        <v>108.200000000364</v>
      </c>
      <c r="I405" s="15" t="s">
        <v>3012</v>
      </c>
      <c r="J405" s="34" t="n">
        <f aca="false">IF(Packages!$AD$42=0,0,MAX(1,ROUNDUP(Packages!$AD$42/(R_SHEET*Fronts!$I$7),0)))</f>
        <v>5</v>
      </c>
      <c r="K405" s="34" t="n">
        <f aca="false">IF(J405=0,0,ROUNDUP(J405*7/WD,0))</f>
        <v>6</v>
      </c>
      <c r="L405" s="15" t="s">
        <v>3567</v>
      </c>
      <c r="M405" s="34" t="n">
        <f aca="false">ROUNDUP(K404*LADDER,0)</f>
        <v>6</v>
      </c>
      <c r="N405" s="34" t="n">
        <f aca="false">IF(K405=0,0,FFLAG)</f>
        <v>2</v>
      </c>
      <c r="O405" s="15"/>
      <c r="P405" s="16" t="n">
        <f aca="false">MAX(P404+M405,R394)</f>
        <v>46418</v>
      </c>
      <c r="Q405" s="16" t="n">
        <f aca="false">MAX(P405+K405,Q404+N405)</f>
        <v>46433</v>
      </c>
      <c r="R405" s="16" t="n">
        <f aca="false">IF(K405&gt;0,Q405,R394)</f>
        <v>46433</v>
      </c>
      <c r="S405" s="15" t="s">
        <v>3553</v>
      </c>
    </row>
    <row r="406" customFormat="false" ht="15" hidden="false" customHeight="false" outlineLevel="0" collapsed="false">
      <c r="A406" s="15" t="s">
        <v>3569</v>
      </c>
      <c r="B406" s="15" t="s">
        <v>3564</v>
      </c>
      <c r="C406" s="15" t="s">
        <v>391</v>
      </c>
      <c r="D406" s="15" t="s">
        <v>1075</v>
      </c>
      <c r="E406" s="15" t="s">
        <v>1101</v>
      </c>
      <c r="F406" s="15" t="s">
        <v>3014</v>
      </c>
      <c r="G406" s="15" t="s">
        <v>3015</v>
      </c>
      <c r="H406" s="33" t="n">
        <f aca="false">Packages!$O$42</f>
        <v>116.100000000298</v>
      </c>
      <c r="I406" s="15" t="s">
        <v>118</v>
      </c>
      <c r="J406" s="34" t="n">
        <f aca="false">IF(Packages!$AG$42=0,0,ROUNDUP(Packages!$O$42/R_DW,0)+DW_DRAW)</f>
        <v>10</v>
      </c>
      <c r="K406" s="34" t="n">
        <f aca="false">IF(J406=0,0,ROUNDUP(J406*7/WD,0))</f>
        <v>12</v>
      </c>
      <c r="L406" s="15" t="s">
        <v>3568</v>
      </c>
      <c r="M406" s="34" t="n">
        <f aca="false">ROUNDUP(K405*LADDER,0)</f>
        <v>2</v>
      </c>
      <c r="N406" s="34" t="n">
        <f aca="false">IF(K406=0,0,FFLAG)</f>
        <v>2</v>
      </c>
      <c r="O406" s="15" t="s">
        <v>3570</v>
      </c>
      <c r="P406" s="16" t="n">
        <f aca="false">MAX(P405+M406,Q396-K406)</f>
        <v>46428</v>
      </c>
      <c r="Q406" s="16" t="n">
        <f aca="false">MAX(P406+K406,Q405+N406)</f>
        <v>46440</v>
      </c>
      <c r="R406" s="12"/>
      <c r="S406" s="12"/>
    </row>
    <row r="407" customFormat="false" ht="15" hidden="false" customHeight="false" outlineLevel="0" collapsed="false">
      <c r="A407" s="15" t="s">
        <v>3571</v>
      </c>
      <c r="B407" s="15" t="s">
        <v>3564</v>
      </c>
      <c r="C407" s="15" t="s">
        <v>391</v>
      </c>
      <c r="D407" s="15" t="s">
        <v>1075</v>
      </c>
      <c r="E407" s="15" t="s">
        <v>1101</v>
      </c>
      <c r="F407" s="15" t="s">
        <v>3017</v>
      </c>
      <c r="G407" s="15" t="s">
        <v>3018</v>
      </c>
      <c r="H407" s="33" t="n">
        <f aca="false">Packages!$X$42+Packages!$Y$42</f>
        <v>2361.15954969475</v>
      </c>
      <c r="I407" s="15" t="s">
        <v>3019</v>
      </c>
      <c r="J407" s="34" t="n">
        <f aca="false">MAX(1,ROUNDUP((Packages!$X$42/R_EXS+Packages!$Y$42/R_EXO)/Fronts!$J$7,0))</f>
        <v>7</v>
      </c>
      <c r="K407" s="34" t="n">
        <f aca="false">IF(J407=0,0,ROUNDUP(J407*7/WD,0))</f>
        <v>9</v>
      </c>
      <c r="L407" s="15" t="s">
        <v>3569</v>
      </c>
      <c r="M407" s="34" t="n">
        <f aca="false">IF(K406=0,0,ROUNDUP((K406-ROUNDUP(DW_DRAW*7/WD,0))*LADDER,0)+ROUNDUP(DW_DRAW*7/WD,0))</f>
        <v>10</v>
      </c>
      <c r="N407" s="34" t="n">
        <f aca="false">IF(K407=0,0,FFLAG)</f>
        <v>2</v>
      </c>
      <c r="O407" s="15" t="s">
        <v>3572</v>
      </c>
      <c r="P407" s="16" t="n">
        <f aca="false">MAX(P406+M407,R396,Q1566,Q1544,Q1577,P396)</f>
        <v>46459</v>
      </c>
      <c r="Q407" s="16" t="n">
        <f aca="false">MAX(P407+K407,Q406+N407)</f>
        <v>46468</v>
      </c>
      <c r="R407" s="16" t="n">
        <f aca="false">IF(K407&gt;0,Q407,R396)</f>
        <v>46468</v>
      </c>
      <c r="S407" s="15" t="s">
        <v>3556</v>
      </c>
    </row>
    <row r="408" customFormat="false" ht="15" hidden="false" customHeight="false" outlineLevel="0" collapsed="false">
      <c r="A408" s="15" t="s">
        <v>3573</v>
      </c>
      <c r="B408" s="15" t="s">
        <v>3564</v>
      </c>
      <c r="C408" s="15" t="s">
        <v>391</v>
      </c>
      <c r="D408" s="15" t="s">
        <v>1075</v>
      </c>
      <c r="E408" s="15" t="s">
        <v>1101</v>
      </c>
      <c r="F408" s="15" t="s">
        <v>3022</v>
      </c>
      <c r="G408" s="15" t="s">
        <v>3023</v>
      </c>
      <c r="H408" s="33" t="n">
        <f aca="false">Packages!$O$42</f>
        <v>116.100000000298</v>
      </c>
      <c r="I408" s="15" t="s">
        <v>118</v>
      </c>
      <c r="J408" s="34" t="n">
        <f aca="false">MAX(1,ROUNDUP(Packages!$O$42/(R_SLAB*Fronts!$K$7),0))+SLAB_CURE</f>
        <v>13</v>
      </c>
      <c r="K408" s="34" t="n">
        <f aca="false">IF(J408=0,0,ROUNDUP(J408*7/WD,0))</f>
        <v>16</v>
      </c>
      <c r="L408" s="15" t="s">
        <v>3571</v>
      </c>
      <c r="M408" s="34" t="n">
        <f aca="false">ROUNDUP(K407*LADDER,0)</f>
        <v>3</v>
      </c>
      <c r="N408" s="34" t="n">
        <f aca="false">IF(K408=0,0,FFLAG)</f>
        <v>2</v>
      </c>
      <c r="O408" s="15"/>
      <c r="P408" s="16" t="n">
        <f aca="false">MAX(P407+M408,R397)</f>
        <v>46465</v>
      </c>
      <c r="Q408" s="16" t="n">
        <f aca="false">MAX(P408+K408,Q407+N408)</f>
        <v>46481</v>
      </c>
      <c r="R408" s="16" t="n">
        <f aca="false">IF(K408&gt;0,Q408,R397)</f>
        <v>46481</v>
      </c>
      <c r="S408" s="15" t="s">
        <v>3557</v>
      </c>
    </row>
    <row r="409" customFormat="false" ht="15" hidden="false" customHeight="false" outlineLevel="0" collapsed="false">
      <c r="A409" s="15" t="s">
        <v>3574</v>
      </c>
      <c r="B409" s="15" t="s">
        <v>3564</v>
      </c>
      <c r="C409" s="15" t="s">
        <v>391</v>
      </c>
      <c r="D409" s="15" t="s">
        <v>1075</v>
      </c>
      <c r="E409" s="15" t="s">
        <v>1101</v>
      </c>
      <c r="F409" s="15" t="s">
        <v>3025</v>
      </c>
      <c r="G409" s="15" t="s">
        <v>3026</v>
      </c>
      <c r="H409" s="33" t="n">
        <f aca="false">Packages!$O$42</f>
        <v>116.100000000298</v>
      </c>
      <c r="I409" s="15" t="s">
        <v>118</v>
      </c>
      <c r="J409" s="34" t="n">
        <f aca="false">MAX(1,ROUNDUP(Packages!$O$42/(IF(Packages!$N$42&gt;=PIPE_T1,R_PIPE_L,IF(Packages!$N$42&gt;=PIPE_T2,R_PIPE_M,R_PIPE_S))*Fronts!$L$7)+Packages!$M$42*FIT_D+IF(Packages!$G$42&lt;&gt;"Run",TIE_D,0),0))</f>
        <v>10</v>
      </c>
      <c r="K409" s="34" t="n">
        <f aca="false">IF(J409=0,0,ROUNDUP(J409*7/WD,0))</f>
        <v>12</v>
      </c>
      <c r="L409" s="15" t="s">
        <v>3573</v>
      </c>
      <c r="M409" s="34" t="n">
        <f aca="false">ROUNDUP(K408*LADDER,0)</f>
        <v>5</v>
      </c>
      <c r="N409" s="34" t="n">
        <f aca="false">IF(K409=0,0,FFLAG)</f>
        <v>2</v>
      </c>
      <c r="O409" s="15"/>
      <c r="P409" s="16" t="n">
        <f aca="false">MAX(P408+M409,R398)</f>
        <v>46470</v>
      </c>
      <c r="Q409" s="16" t="n">
        <f aca="false">MAX(P409+K409,Q408+N409)</f>
        <v>46483</v>
      </c>
      <c r="R409" s="16" t="n">
        <f aca="false">IF(K409&gt;0,Q409,R398)</f>
        <v>46483</v>
      </c>
      <c r="S409" s="15" t="s">
        <v>3558</v>
      </c>
    </row>
    <row r="410" customFormat="false" ht="15" hidden="false" customHeight="false" outlineLevel="0" collapsed="false">
      <c r="A410" s="15" t="s">
        <v>3575</v>
      </c>
      <c r="B410" s="15" t="s">
        <v>3564</v>
      </c>
      <c r="C410" s="15" t="s">
        <v>391</v>
      </c>
      <c r="D410" s="15" t="s">
        <v>1075</v>
      </c>
      <c r="E410" s="15" t="s">
        <v>1101</v>
      </c>
      <c r="F410" s="15" t="s">
        <v>3028</v>
      </c>
      <c r="G410" s="15" t="s">
        <v>3029</v>
      </c>
      <c r="H410" s="33" t="n">
        <f aca="false">Packages!$O$42</f>
        <v>116.100000000298</v>
      </c>
      <c r="I410" s="15" t="s">
        <v>118</v>
      </c>
      <c r="J410" s="34" t="n">
        <f aca="false">TEST_D+ROUNDUP(Packages!$O$42/R_TEST,0)</f>
        <v>3</v>
      </c>
      <c r="K410" s="34" t="n">
        <f aca="false">IF(J410=0,0,ROUNDUP(J410*7/WD,0))</f>
        <v>4</v>
      </c>
      <c r="L410" s="15" t="s">
        <v>3574</v>
      </c>
      <c r="M410" s="34" t="n">
        <f aca="false">ROUNDUP(K409*LADDER,0)</f>
        <v>4</v>
      </c>
      <c r="N410" s="34" t="n">
        <f aca="false">IF(K410=0,0,FFLAG)</f>
        <v>2</v>
      </c>
      <c r="O410" s="15"/>
      <c r="P410" s="16" t="n">
        <f aca="false">MAX(P409+M410)</f>
        <v>46474</v>
      </c>
      <c r="Q410" s="16" t="n">
        <f aca="false">MAX(P410+K410,Q409+N410)</f>
        <v>46485</v>
      </c>
      <c r="R410" s="12"/>
      <c r="S410" s="12"/>
    </row>
    <row r="411" customFormat="false" ht="15" hidden="false" customHeight="false" outlineLevel="0" collapsed="false">
      <c r="A411" s="15" t="s">
        <v>3576</v>
      </c>
      <c r="B411" s="15" t="s">
        <v>3564</v>
      </c>
      <c r="C411" s="15" t="s">
        <v>391</v>
      </c>
      <c r="D411" s="15" t="s">
        <v>1075</v>
      </c>
      <c r="E411" s="15" t="s">
        <v>1101</v>
      </c>
      <c r="F411" s="15" t="s">
        <v>3031</v>
      </c>
      <c r="G411" s="15" t="s">
        <v>3032</v>
      </c>
      <c r="H411" s="33" t="n">
        <f aca="false">Packages!$AB$42</f>
        <v>1498.43001359929</v>
      </c>
      <c r="I411" s="15" t="s">
        <v>3019</v>
      </c>
      <c r="J411" s="34" t="n">
        <f aca="false">MAX(1,ROUNDUP(Packages!$AB$42/(R_BF*Fronts!$M$7),0))</f>
        <v>5</v>
      </c>
      <c r="K411" s="34" t="n">
        <f aca="false">IF(J411=0,0,ROUNDUP(J411*7/WD,0))</f>
        <v>6</v>
      </c>
      <c r="L411" s="15" t="s">
        <v>3575</v>
      </c>
      <c r="M411" s="34" t="n">
        <f aca="false">ROUNDUP(K410*LADDER,0)</f>
        <v>2</v>
      </c>
      <c r="N411" s="34" t="n">
        <f aca="false">IF(K411=0,0,FFLAG)</f>
        <v>2</v>
      </c>
      <c r="O411" s="15" t="s">
        <v>3577</v>
      </c>
      <c r="P411" s="16" t="n">
        <f aca="false">MAX(P410+M411,R400,Q453,Q431,Q420,Q398)</f>
        <v>46555</v>
      </c>
      <c r="Q411" s="16" t="n">
        <f aca="false">MAX(P411+K411,Q410+N411)</f>
        <v>46561</v>
      </c>
      <c r="R411" s="16" t="n">
        <f aca="false">IF(K411&gt;0,Q411,R400)</f>
        <v>46561</v>
      </c>
      <c r="S411" s="15" t="s">
        <v>3560</v>
      </c>
    </row>
    <row r="412" customFormat="false" ht="15" hidden="false" customHeight="false" outlineLevel="0" collapsed="false">
      <c r="A412" s="15" t="s">
        <v>3578</v>
      </c>
      <c r="B412" s="15" t="s">
        <v>3564</v>
      </c>
      <c r="C412" s="15" t="s">
        <v>391</v>
      </c>
      <c r="D412" s="15" t="s">
        <v>1075</v>
      </c>
      <c r="E412" s="15" t="s">
        <v>1101</v>
      </c>
      <c r="F412" s="15" t="s">
        <v>3034</v>
      </c>
      <c r="G412" s="15" t="s">
        <v>3035</v>
      </c>
      <c r="H412" s="33" t="n">
        <f aca="false">Packages!$AD$42</f>
        <v>108.200000000364</v>
      </c>
      <c r="I412" s="15" t="s">
        <v>3012</v>
      </c>
      <c r="J412" s="34" t="n">
        <f aca="false">IF(Packages!$AD$42&gt;0,ROUNDUP(Packages!$AD$42/R_EXT,0),0)+IF(Packages!$AG$42&gt;0,1,0)</f>
        <v>4</v>
      </c>
      <c r="K412" s="34" t="n">
        <f aca="false">IF(J412=0,0,ROUNDUP(J412*7/WD,0))</f>
        <v>5</v>
      </c>
      <c r="L412" s="15" t="s">
        <v>3576</v>
      </c>
      <c r="M412" s="34" t="n">
        <f aca="false">ROUNDUP(K411*LADDER,0)</f>
        <v>2</v>
      </c>
      <c r="N412" s="34" t="n">
        <f aca="false">IF(K412=0,0,FFLAG)</f>
        <v>2</v>
      </c>
      <c r="O412" s="15"/>
      <c r="P412" s="16" t="n">
        <f aca="false">MAX(P411+M412)</f>
        <v>46557</v>
      </c>
      <c r="Q412" s="16" t="n">
        <f aca="false">MAX(P412+K412,Q411+N412)</f>
        <v>46563</v>
      </c>
      <c r="R412" s="12"/>
      <c r="S412" s="12"/>
    </row>
    <row r="413" customFormat="false" ht="15" hidden="false" customHeight="false" outlineLevel="0" collapsed="false">
      <c r="A413" s="15" t="s">
        <v>3579</v>
      </c>
      <c r="B413" s="15" t="s">
        <v>3580</v>
      </c>
      <c r="C413" s="15" t="s">
        <v>391</v>
      </c>
      <c r="D413" s="15" t="s">
        <v>1136</v>
      </c>
      <c r="E413" s="15" t="s">
        <v>1178</v>
      </c>
      <c r="F413" s="15" t="s">
        <v>2998</v>
      </c>
      <c r="G413" s="15" t="s">
        <v>2999</v>
      </c>
      <c r="H413" s="12"/>
      <c r="I413" s="12"/>
      <c r="J413" s="34" t="n">
        <f aca="false">0</f>
        <v>0</v>
      </c>
      <c r="K413" s="34" t="n">
        <f aca="false">IF(J413=0,0,ROUNDUP(J413*7/WD,0))</f>
        <v>0</v>
      </c>
      <c r="L413" s="12"/>
      <c r="M413" s="12"/>
      <c r="N413" s="12"/>
      <c r="O413" s="15" t="s">
        <v>3000</v>
      </c>
      <c r="P413" s="16" t="n">
        <f aca="false">MAX(START,D_DLU,Packages!$I$43,Packages!$K$43)</f>
        <v>46357</v>
      </c>
      <c r="Q413" s="16" t="n">
        <f aca="false">P413+K413</f>
        <v>46357</v>
      </c>
      <c r="R413" s="12"/>
      <c r="S413" s="12"/>
    </row>
    <row r="414" customFormat="false" ht="15" hidden="false" customHeight="false" outlineLevel="0" collapsed="false">
      <c r="A414" s="15" t="s">
        <v>3581</v>
      </c>
      <c r="B414" s="15" t="s">
        <v>3580</v>
      </c>
      <c r="C414" s="15" t="s">
        <v>391</v>
      </c>
      <c r="D414" s="15" t="s">
        <v>1136</v>
      </c>
      <c r="E414" s="15" t="s">
        <v>1178</v>
      </c>
      <c r="F414" s="15" t="s">
        <v>3002</v>
      </c>
      <c r="G414" s="15" t="s">
        <v>205</v>
      </c>
      <c r="H414" s="33" t="n">
        <f aca="false">Packages!$O$43</f>
        <v>62.1171472829751</v>
      </c>
      <c r="I414" s="15" t="s">
        <v>118</v>
      </c>
      <c r="J414" s="34" t="n">
        <f aca="false">MAX(1,ROUNDUP(Packages!$O$43/R_PLAT,0))</f>
        <v>1</v>
      </c>
      <c r="K414" s="34" t="n">
        <f aca="false">IF(J414=0,0,ROUNDUP(J414*7/WD,0))</f>
        <v>2</v>
      </c>
      <c r="L414" s="15" t="s">
        <v>3579</v>
      </c>
      <c r="M414" s="12"/>
      <c r="N414" s="12"/>
      <c r="O414" s="15" t="s">
        <v>3582</v>
      </c>
      <c r="P414" s="16" t="n">
        <f aca="false">MAX(Q413,P404)</f>
        <v>46412</v>
      </c>
      <c r="Q414" s="16" t="n">
        <f aca="false">P414+K414</f>
        <v>46414</v>
      </c>
      <c r="R414" s="12"/>
      <c r="S414" s="12"/>
    </row>
    <row r="415" customFormat="false" ht="15" hidden="false" customHeight="false" outlineLevel="0" collapsed="false">
      <c r="A415" s="15" t="s">
        <v>3583</v>
      </c>
      <c r="B415" s="15" t="s">
        <v>3580</v>
      </c>
      <c r="C415" s="15" t="s">
        <v>391</v>
      </c>
      <c r="D415" s="15" t="s">
        <v>1136</v>
      </c>
      <c r="E415" s="15" t="s">
        <v>1178</v>
      </c>
      <c r="F415" s="15" t="s">
        <v>3005</v>
      </c>
      <c r="G415" s="15" t="s">
        <v>3006</v>
      </c>
      <c r="H415" s="33" t="n">
        <f aca="false">Packages!$AC$43</f>
        <v>44</v>
      </c>
      <c r="I415" s="15" t="s">
        <v>3007</v>
      </c>
      <c r="J415" s="34" t="n">
        <f aca="false">IF(Packages!$AC$43=0,0,MAX(1,ROUNDUP(Packages!$AC$43/(R_PILE*Fronts!$H$7),0)))</f>
        <v>9</v>
      </c>
      <c r="K415" s="34" t="n">
        <f aca="false">IF(J415=0,0,ROUNDUP(J415*7/WD,0))</f>
        <v>11</v>
      </c>
      <c r="L415" s="15" t="s">
        <v>3581</v>
      </c>
      <c r="M415" s="34" t="n">
        <f aca="false">ROUNDUP(K414*LADDER,0)</f>
        <v>1</v>
      </c>
      <c r="N415" s="34" t="n">
        <f aca="false">IF(K415=0,0,FFLAG)</f>
        <v>2</v>
      </c>
      <c r="O415" s="15" t="s">
        <v>3008</v>
      </c>
      <c r="P415" s="16" t="n">
        <f aca="false">MAX(P414+M415,D_PILEDES,R404)</f>
        <v>46431</v>
      </c>
      <c r="Q415" s="16" t="n">
        <f aca="false">MAX(P415+K415,Q414+N415)</f>
        <v>46442</v>
      </c>
      <c r="R415" s="16" t="n">
        <f aca="false">IF(K415&gt;0,Q415,R404)</f>
        <v>46442</v>
      </c>
      <c r="S415" s="15" t="s">
        <v>3567</v>
      </c>
    </row>
    <row r="416" customFormat="false" ht="15" hidden="false" customHeight="false" outlineLevel="0" collapsed="false">
      <c r="A416" s="15" t="s">
        <v>3584</v>
      </c>
      <c r="B416" s="15" t="s">
        <v>3580</v>
      </c>
      <c r="C416" s="15" t="s">
        <v>391</v>
      </c>
      <c r="D416" s="15" t="s">
        <v>1136</v>
      </c>
      <c r="E416" s="15" t="s">
        <v>1178</v>
      </c>
      <c r="F416" s="15" t="s">
        <v>3010</v>
      </c>
      <c r="G416" s="15" t="s">
        <v>3011</v>
      </c>
      <c r="H416" s="33" t="n">
        <f aca="false">Packages!$AD$43</f>
        <v>121.234294566245</v>
      </c>
      <c r="I416" s="15" t="s">
        <v>3012</v>
      </c>
      <c r="J416" s="34" t="n">
        <f aca="false">IF(Packages!$AD$43=0,0,MAX(1,ROUNDUP(Packages!$AD$43/(R_SHEET*Fronts!$I$7),0)))</f>
        <v>5</v>
      </c>
      <c r="K416" s="34" t="n">
        <f aca="false">IF(J416=0,0,ROUNDUP(J416*7/WD,0))</f>
        <v>6</v>
      </c>
      <c r="L416" s="15" t="s">
        <v>3583</v>
      </c>
      <c r="M416" s="34" t="n">
        <f aca="false">ROUNDUP(K415*LADDER,0)</f>
        <v>4</v>
      </c>
      <c r="N416" s="34" t="n">
        <f aca="false">IF(K416=0,0,FFLAG)</f>
        <v>2</v>
      </c>
      <c r="O416" s="15"/>
      <c r="P416" s="16" t="n">
        <f aca="false">MAX(P415+M416,R405)</f>
        <v>46435</v>
      </c>
      <c r="Q416" s="16" t="n">
        <f aca="false">MAX(P416+K416,Q415+N416)</f>
        <v>46444</v>
      </c>
      <c r="R416" s="16" t="n">
        <f aca="false">IF(K416&gt;0,Q416,R405)</f>
        <v>46444</v>
      </c>
      <c r="S416" s="15" t="s">
        <v>3568</v>
      </c>
    </row>
    <row r="417" customFormat="false" ht="15" hidden="false" customHeight="false" outlineLevel="0" collapsed="false">
      <c r="A417" s="15" t="s">
        <v>3585</v>
      </c>
      <c r="B417" s="15" t="s">
        <v>3580</v>
      </c>
      <c r="C417" s="15" t="s">
        <v>391</v>
      </c>
      <c r="D417" s="15" t="s">
        <v>1136</v>
      </c>
      <c r="E417" s="15" t="s">
        <v>1178</v>
      </c>
      <c r="F417" s="15" t="s">
        <v>3014</v>
      </c>
      <c r="G417" s="15" t="s">
        <v>3015</v>
      </c>
      <c r="H417" s="33" t="n">
        <f aca="false">Packages!$O$43</f>
        <v>62.1171472829751</v>
      </c>
      <c r="I417" s="15" t="s">
        <v>118</v>
      </c>
      <c r="J417" s="34" t="n">
        <f aca="false">IF(Packages!$AG$43=0,0,ROUNDUP(Packages!$O$43/R_DW,0)+DW_DRAW)</f>
        <v>9</v>
      </c>
      <c r="K417" s="34" t="n">
        <f aca="false">IF(J417=0,0,ROUNDUP(J417*7/WD,0))</f>
        <v>11</v>
      </c>
      <c r="L417" s="15" t="s">
        <v>3584</v>
      </c>
      <c r="M417" s="34" t="n">
        <f aca="false">ROUNDUP(K416*LADDER,0)</f>
        <v>2</v>
      </c>
      <c r="N417" s="34" t="n">
        <f aca="false">IF(K417=0,0,FFLAG)</f>
        <v>2</v>
      </c>
      <c r="O417" s="15" t="s">
        <v>3586</v>
      </c>
      <c r="P417" s="16" t="n">
        <f aca="false">MAX(P416+M417,Q407-K417)</f>
        <v>46457</v>
      </c>
      <c r="Q417" s="16" t="n">
        <f aca="false">MAX(P417+K417,Q416+N417)</f>
        <v>46468</v>
      </c>
      <c r="R417" s="12"/>
      <c r="S417" s="12"/>
    </row>
    <row r="418" customFormat="false" ht="15" hidden="false" customHeight="false" outlineLevel="0" collapsed="false">
      <c r="A418" s="15" t="s">
        <v>3587</v>
      </c>
      <c r="B418" s="15" t="s">
        <v>3580</v>
      </c>
      <c r="C418" s="15" t="s">
        <v>391</v>
      </c>
      <c r="D418" s="15" t="s">
        <v>1136</v>
      </c>
      <c r="E418" s="15" t="s">
        <v>1178</v>
      </c>
      <c r="F418" s="15" t="s">
        <v>3017</v>
      </c>
      <c r="G418" s="15" t="s">
        <v>3018</v>
      </c>
      <c r="H418" s="33" t="n">
        <f aca="false">Packages!$X$43+Packages!$Y$43</f>
        <v>1014.73747830496</v>
      </c>
      <c r="I418" s="15" t="s">
        <v>3019</v>
      </c>
      <c r="J418" s="34" t="n">
        <f aca="false">MAX(1,ROUNDUP((Packages!$X$43/R_EXS+Packages!$Y$43/R_EXO)/Fronts!$J$7,0))</f>
        <v>4</v>
      </c>
      <c r="K418" s="34" t="n">
        <f aca="false">IF(J418=0,0,ROUNDUP(J418*7/WD,0))</f>
        <v>5</v>
      </c>
      <c r="L418" s="15" t="s">
        <v>3585</v>
      </c>
      <c r="M418" s="34" t="n">
        <f aca="false">IF(K417=0,0,ROUNDUP((K417-ROUNDUP(DW_DRAW*7/WD,0))*LADDER,0)+ROUNDUP(DW_DRAW*7/WD,0))</f>
        <v>10</v>
      </c>
      <c r="N418" s="34" t="n">
        <f aca="false">IF(K418=0,0,FFLAG)</f>
        <v>2</v>
      </c>
      <c r="O418" s="15" t="s">
        <v>3588</v>
      </c>
      <c r="P418" s="16" t="n">
        <f aca="false">MAX(P417+M418,R407,Q1698,P407,P385)</f>
        <v>46513</v>
      </c>
      <c r="Q418" s="16" t="n">
        <f aca="false">MAX(P418+K418,Q417+N418)</f>
        <v>46518</v>
      </c>
      <c r="R418" s="16" t="n">
        <f aca="false">IF(K418&gt;0,Q418,R407)</f>
        <v>46518</v>
      </c>
      <c r="S418" s="15" t="s">
        <v>3571</v>
      </c>
    </row>
    <row r="419" customFormat="false" ht="15" hidden="false" customHeight="false" outlineLevel="0" collapsed="false">
      <c r="A419" s="15" t="s">
        <v>3589</v>
      </c>
      <c r="B419" s="15" t="s">
        <v>3580</v>
      </c>
      <c r="C419" s="15" t="s">
        <v>391</v>
      </c>
      <c r="D419" s="15" t="s">
        <v>1136</v>
      </c>
      <c r="E419" s="15" t="s">
        <v>1178</v>
      </c>
      <c r="F419" s="15" t="s">
        <v>3022</v>
      </c>
      <c r="G419" s="15" t="s">
        <v>3023</v>
      </c>
      <c r="H419" s="33" t="n">
        <f aca="false">Packages!$O$43</f>
        <v>62.1171472829751</v>
      </c>
      <c r="I419" s="15" t="s">
        <v>118</v>
      </c>
      <c r="J419" s="34" t="n">
        <f aca="false">MAX(1,ROUNDUP(Packages!$O$43/(R_SLAB*Fronts!$K$7),0))+SLAB_CURE</f>
        <v>9</v>
      </c>
      <c r="K419" s="34" t="n">
        <f aca="false">IF(J419=0,0,ROUNDUP(J419*7/WD,0))</f>
        <v>11</v>
      </c>
      <c r="L419" s="15" t="s">
        <v>3587</v>
      </c>
      <c r="M419" s="34" t="n">
        <f aca="false">ROUNDUP(K418*LADDER,0)</f>
        <v>2</v>
      </c>
      <c r="N419" s="34" t="n">
        <f aca="false">IF(K419=0,0,FFLAG)</f>
        <v>2</v>
      </c>
      <c r="O419" s="15"/>
      <c r="P419" s="16" t="n">
        <f aca="false">MAX(P418+M419,R408)</f>
        <v>46515</v>
      </c>
      <c r="Q419" s="16" t="n">
        <f aca="false">MAX(P419+K419,Q418+N419)</f>
        <v>46526</v>
      </c>
      <c r="R419" s="16" t="n">
        <f aca="false">IF(K419&gt;0,Q419,R408)</f>
        <v>46526</v>
      </c>
      <c r="S419" s="15" t="s">
        <v>3573</v>
      </c>
    </row>
    <row r="420" customFormat="false" ht="15" hidden="false" customHeight="false" outlineLevel="0" collapsed="false">
      <c r="A420" s="15" t="s">
        <v>3590</v>
      </c>
      <c r="B420" s="15" t="s">
        <v>3580</v>
      </c>
      <c r="C420" s="15" t="s">
        <v>391</v>
      </c>
      <c r="D420" s="15" t="s">
        <v>1136</v>
      </c>
      <c r="E420" s="15" t="s">
        <v>1178</v>
      </c>
      <c r="F420" s="15" t="s">
        <v>3025</v>
      </c>
      <c r="G420" s="15" t="s">
        <v>3026</v>
      </c>
      <c r="H420" s="33" t="n">
        <f aca="false">Packages!$O$43</f>
        <v>62.1171472829751</v>
      </c>
      <c r="I420" s="15" t="s">
        <v>118</v>
      </c>
      <c r="J420" s="34" t="n">
        <f aca="false">MAX(1,ROUNDUP(Packages!$O$43/(IF(Packages!$N$43&gt;=PIPE_T1,R_PIPE_L,IF(Packages!$N$43&gt;=PIPE_T2,R_PIPE_M,R_PIPE_S))*Fronts!$L$7)+Packages!$M$43*FIT_D+IF(Packages!$G$43&lt;&gt;"Run",TIE_D,0),0))</f>
        <v>5</v>
      </c>
      <c r="K420" s="34" t="n">
        <f aca="false">IF(J420=0,0,ROUNDUP(J420*7/WD,0))</f>
        <v>6</v>
      </c>
      <c r="L420" s="15" t="s">
        <v>3589</v>
      </c>
      <c r="M420" s="34" t="n">
        <f aca="false">ROUNDUP(K419*LADDER,0)</f>
        <v>4</v>
      </c>
      <c r="N420" s="34" t="n">
        <f aca="false">IF(K420=0,0,FFLAG)</f>
        <v>2</v>
      </c>
      <c r="O420" s="15"/>
      <c r="P420" s="16" t="n">
        <f aca="false">MAX(P419+M420,R409)</f>
        <v>46519</v>
      </c>
      <c r="Q420" s="16" t="n">
        <f aca="false">MAX(P420+K420,Q419+N420)</f>
        <v>46528</v>
      </c>
      <c r="R420" s="16" t="n">
        <f aca="false">IF(K420&gt;0,Q420,R409)</f>
        <v>46528</v>
      </c>
      <c r="S420" s="15" t="s">
        <v>3574</v>
      </c>
    </row>
    <row r="421" customFormat="false" ht="15" hidden="false" customHeight="false" outlineLevel="0" collapsed="false">
      <c r="A421" s="15" t="s">
        <v>3591</v>
      </c>
      <c r="B421" s="15" t="s">
        <v>3580</v>
      </c>
      <c r="C421" s="15" t="s">
        <v>391</v>
      </c>
      <c r="D421" s="15" t="s">
        <v>1136</v>
      </c>
      <c r="E421" s="15" t="s">
        <v>1178</v>
      </c>
      <c r="F421" s="15" t="s">
        <v>3028</v>
      </c>
      <c r="G421" s="15" t="s">
        <v>3029</v>
      </c>
      <c r="H421" s="33" t="n">
        <f aca="false">Packages!$O$43</f>
        <v>62.1171472829751</v>
      </c>
      <c r="I421" s="15" t="s">
        <v>118</v>
      </c>
      <c r="J421" s="34" t="n">
        <f aca="false">TEST_D+ROUNDUP(Packages!$O$43/R_TEST,0)</f>
        <v>3</v>
      </c>
      <c r="K421" s="34" t="n">
        <f aca="false">IF(J421=0,0,ROUNDUP(J421*7/WD,0))</f>
        <v>4</v>
      </c>
      <c r="L421" s="15" t="s">
        <v>3590</v>
      </c>
      <c r="M421" s="34" t="n">
        <f aca="false">ROUNDUP(K420*LADDER,0)</f>
        <v>2</v>
      </c>
      <c r="N421" s="34" t="n">
        <f aca="false">IF(K421=0,0,FFLAG)</f>
        <v>2</v>
      </c>
      <c r="O421" s="15"/>
      <c r="P421" s="16" t="n">
        <f aca="false">MAX(P420+M421)</f>
        <v>46521</v>
      </c>
      <c r="Q421" s="16" t="n">
        <f aca="false">MAX(P421+K421,Q420+N421)</f>
        <v>46530</v>
      </c>
      <c r="R421" s="12"/>
      <c r="S421" s="12"/>
    </row>
    <row r="422" customFormat="false" ht="15" hidden="false" customHeight="false" outlineLevel="0" collapsed="false">
      <c r="A422" s="15" t="s">
        <v>3592</v>
      </c>
      <c r="B422" s="15" t="s">
        <v>3580</v>
      </c>
      <c r="C422" s="15" t="s">
        <v>391</v>
      </c>
      <c r="D422" s="15" t="s">
        <v>1136</v>
      </c>
      <c r="E422" s="15" t="s">
        <v>1178</v>
      </c>
      <c r="F422" s="15" t="s">
        <v>3031</v>
      </c>
      <c r="G422" s="15" t="s">
        <v>3032</v>
      </c>
      <c r="H422" s="33" t="n">
        <f aca="false">Packages!$AB$43</f>
        <v>556.740065392937</v>
      </c>
      <c r="I422" s="15" t="s">
        <v>3019</v>
      </c>
      <c r="J422" s="34" t="n">
        <f aca="false">MAX(1,ROUNDUP(Packages!$AB$43/(R_BF*Fronts!$M$7),0))</f>
        <v>2</v>
      </c>
      <c r="K422" s="34" t="n">
        <f aca="false">IF(J422=0,0,ROUNDUP(J422*7/WD,0))</f>
        <v>3</v>
      </c>
      <c r="L422" s="15" t="s">
        <v>3591</v>
      </c>
      <c r="M422" s="34" t="n">
        <f aca="false">ROUNDUP(K421*LADDER,0)</f>
        <v>2</v>
      </c>
      <c r="N422" s="34" t="n">
        <f aca="false">IF(K422=0,0,FFLAG)</f>
        <v>2</v>
      </c>
      <c r="O422" s="15" t="s">
        <v>3593</v>
      </c>
      <c r="P422" s="16" t="n">
        <f aca="false">MAX(P421+M422,R411,Q409,Q387)</f>
        <v>46561</v>
      </c>
      <c r="Q422" s="16" t="n">
        <f aca="false">MAX(P422+K422,Q421+N422)</f>
        <v>46564</v>
      </c>
      <c r="R422" s="16" t="n">
        <f aca="false">IF(K422&gt;0,Q422,R411)</f>
        <v>46564</v>
      </c>
      <c r="S422" s="15" t="s">
        <v>3576</v>
      </c>
    </row>
    <row r="423" customFormat="false" ht="15" hidden="false" customHeight="false" outlineLevel="0" collapsed="false">
      <c r="A423" s="15" t="s">
        <v>3594</v>
      </c>
      <c r="B423" s="15" t="s">
        <v>3580</v>
      </c>
      <c r="C423" s="15" t="s">
        <v>391</v>
      </c>
      <c r="D423" s="15" t="s">
        <v>1136</v>
      </c>
      <c r="E423" s="15" t="s">
        <v>1178</v>
      </c>
      <c r="F423" s="15" t="s">
        <v>3034</v>
      </c>
      <c r="G423" s="15" t="s">
        <v>3035</v>
      </c>
      <c r="H423" s="33" t="n">
        <f aca="false">Packages!$AD$43</f>
        <v>121.234294566245</v>
      </c>
      <c r="I423" s="15" t="s">
        <v>3012</v>
      </c>
      <c r="J423" s="34" t="n">
        <f aca="false">IF(Packages!$AD$43&gt;0,ROUNDUP(Packages!$AD$43/R_EXT,0),0)+IF(Packages!$AG$43&gt;0,1,0)</f>
        <v>4</v>
      </c>
      <c r="K423" s="34" t="n">
        <f aca="false">IF(J423=0,0,ROUNDUP(J423*7/WD,0))</f>
        <v>5</v>
      </c>
      <c r="L423" s="15" t="s">
        <v>3592</v>
      </c>
      <c r="M423" s="34" t="n">
        <f aca="false">ROUNDUP(K422*LADDER,0)</f>
        <v>1</v>
      </c>
      <c r="N423" s="34" t="n">
        <f aca="false">IF(K423=0,0,FFLAG)</f>
        <v>2</v>
      </c>
      <c r="O423" s="15"/>
      <c r="P423" s="16" t="n">
        <f aca="false">MAX(P422+M423)</f>
        <v>46562</v>
      </c>
      <c r="Q423" s="16" t="n">
        <f aca="false">MAX(P423+K423,Q422+N423)</f>
        <v>46567</v>
      </c>
      <c r="R423" s="12"/>
      <c r="S423" s="12"/>
    </row>
    <row r="424" customFormat="false" ht="15" hidden="false" customHeight="false" outlineLevel="0" collapsed="false">
      <c r="A424" s="15" t="s">
        <v>3595</v>
      </c>
      <c r="B424" s="15" t="s">
        <v>3596</v>
      </c>
      <c r="C424" s="15" t="s">
        <v>391</v>
      </c>
      <c r="D424" s="15" t="s">
        <v>1136</v>
      </c>
      <c r="E424" s="15" t="s">
        <v>1168</v>
      </c>
      <c r="F424" s="15" t="s">
        <v>2998</v>
      </c>
      <c r="G424" s="15" t="s">
        <v>2999</v>
      </c>
      <c r="H424" s="12"/>
      <c r="I424" s="12"/>
      <c r="J424" s="34" t="n">
        <f aca="false">0</f>
        <v>0</v>
      </c>
      <c r="K424" s="34" t="n">
        <f aca="false">IF(J424=0,0,ROUNDUP(J424*7/WD,0))</f>
        <v>0</v>
      </c>
      <c r="L424" s="12"/>
      <c r="M424" s="12"/>
      <c r="N424" s="12"/>
      <c r="O424" s="15" t="s">
        <v>3000</v>
      </c>
      <c r="P424" s="16" t="n">
        <f aca="false">MAX(START,D_DLU,Packages!$I$44,Packages!$K$44)</f>
        <v>46357</v>
      </c>
      <c r="Q424" s="16" t="n">
        <f aca="false">P424+K424</f>
        <v>46357</v>
      </c>
      <c r="R424" s="12"/>
      <c r="S424" s="12"/>
    </row>
    <row r="425" customFormat="false" ht="15" hidden="false" customHeight="false" outlineLevel="0" collapsed="false">
      <c r="A425" s="15" t="s">
        <v>3597</v>
      </c>
      <c r="B425" s="15" t="s">
        <v>3596</v>
      </c>
      <c r="C425" s="15" t="s">
        <v>391</v>
      </c>
      <c r="D425" s="15" t="s">
        <v>1136</v>
      </c>
      <c r="E425" s="15" t="s">
        <v>1168</v>
      </c>
      <c r="F425" s="15" t="s">
        <v>3002</v>
      </c>
      <c r="G425" s="15" t="s">
        <v>205</v>
      </c>
      <c r="H425" s="33" t="n">
        <f aca="false">Packages!$O$44</f>
        <v>18.1000000004934</v>
      </c>
      <c r="I425" s="15" t="s">
        <v>118</v>
      </c>
      <c r="J425" s="34" t="n">
        <f aca="false">MAX(1,ROUNDUP(Packages!$O$44/R_PLAT,0))</f>
        <v>1</v>
      </c>
      <c r="K425" s="34" t="n">
        <f aca="false">IF(J425=0,0,ROUNDUP(J425*7/WD,0))</f>
        <v>2</v>
      </c>
      <c r="L425" s="15" t="s">
        <v>3595</v>
      </c>
      <c r="M425" s="12"/>
      <c r="N425" s="12"/>
      <c r="O425" s="15" t="s">
        <v>3598</v>
      </c>
      <c r="P425" s="16" t="n">
        <f aca="false">MAX(Q424,P415)</f>
        <v>46431</v>
      </c>
      <c r="Q425" s="16" t="n">
        <f aca="false">P425+K425</f>
        <v>46433</v>
      </c>
      <c r="R425" s="12"/>
      <c r="S425" s="12"/>
    </row>
    <row r="426" customFormat="false" ht="15" hidden="false" customHeight="false" outlineLevel="0" collapsed="false">
      <c r="A426" s="15" t="s">
        <v>3599</v>
      </c>
      <c r="B426" s="15" t="s">
        <v>3596</v>
      </c>
      <c r="C426" s="15" t="s">
        <v>391</v>
      </c>
      <c r="D426" s="15" t="s">
        <v>1136</v>
      </c>
      <c r="E426" s="15" t="s">
        <v>1168</v>
      </c>
      <c r="F426" s="15" t="s">
        <v>3005</v>
      </c>
      <c r="G426" s="15" t="s">
        <v>3006</v>
      </c>
      <c r="H426" s="33" t="n">
        <f aca="false">Packages!$AC$44</f>
        <v>16</v>
      </c>
      <c r="I426" s="15" t="s">
        <v>3007</v>
      </c>
      <c r="J426" s="34" t="n">
        <f aca="false">IF(Packages!$AC$44=0,0,MAX(1,ROUNDUP(Packages!$AC$44/(R_PILE*Fronts!$H$7),0)))</f>
        <v>4</v>
      </c>
      <c r="K426" s="34" t="n">
        <f aca="false">IF(J426=0,0,ROUNDUP(J426*7/WD,0))</f>
        <v>5</v>
      </c>
      <c r="L426" s="15" t="s">
        <v>3597</v>
      </c>
      <c r="M426" s="34" t="n">
        <f aca="false">ROUNDUP(K425*LADDER,0)</f>
        <v>1</v>
      </c>
      <c r="N426" s="34" t="n">
        <f aca="false">IF(K426=0,0,FFLAG)</f>
        <v>2</v>
      </c>
      <c r="O426" s="15" t="s">
        <v>3008</v>
      </c>
      <c r="P426" s="16" t="n">
        <f aca="false">MAX(P425+M426,D_PILEDES,R415)</f>
        <v>46442</v>
      </c>
      <c r="Q426" s="16" t="n">
        <f aca="false">MAX(P426+K426,Q425+N426)</f>
        <v>46447</v>
      </c>
      <c r="R426" s="16" t="n">
        <f aca="false">IF(K426&gt;0,Q426,R415)</f>
        <v>46447</v>
      </c>
      <c r="S426" s="15" t="s">
        <v>3583</v>
      </c>
    </row>
    <row r="427" customFormat="false" ht="15" hidden="false" customHeight="false" outlineLevel="0" collapsed="false">
      <c r="A427" s="15" t="s">
        <v>3600</v>
      </c>
      <c r="B427" s="15" t="s">
        <v>3596</v>
      </c>
      <c r="C427" s="15" t="s">
        <v>391</v>
      </c>
      <c r="D427" s="15" t="s">
        <v>1136</v>
      </c>
      <c r="E427" s="15" t="s">
        <v>1168</v>
      </c>
      <c r="F427" s="15" t="s">
        <v>3010</v>
      </c>
      <c r="G427" s="15" t="s">
        <v>3011</v>
      </c>
      <c r="H427" s="33" t="n">
        <f aca="false">Packages!$AD$44</f>
        <v>0</v>
      </c>
      <c r="I427" s="15" t="s">
        <v>3012</v>
      </c>
      <c r="J427" s="34" t="n">
        <f aca="false">IF(Packages!$AD$44=0,0,MAX(1,ROUNDUP(Packages!$AD$44/(R_SHEET*Fronts!$I$7),0)))</f>
        <v>0</v>
      </c>
      <c r="K427" s="34" t="n">
        <f aca="false">IF(J427=0,0,ROUNDUP(J427*7/WD,0))</f>
        <v>0</v>
      </c>
      <c r="L427" s="15" t="s">
        <v>3599</v>
      </c>
      <c r="M427" s="34" t="n">
        <f aca="false">ROUNDUP(K426*LADDER,0)</f>
        <v>2</v>
      </c>
      <c r="N427" s="34" t="n">
        <f aca="false">IF(K427=0,0,FFLAG)</f>
        <v>0</v>
      </c>
      <c r="O427" s="15"/>
      <c r="P427" s="16" t="n">
        <f aca="false">MAX(P426+M427,R416)</f>
        <v>46444</v>
      </c>
      <c r="Q427" s="16" t="n">
        <f aca="false">MAX(P427+K427,Q426+N427)</f>
        <v>46447</v>
      </c>
      <c r="R427" s="16" t="n">
        <f aca="false">IF(K427&gt;0,Q427,R416)</f>
        <v>46444</v>
      </c>
      <c r="S427" s="15" t="s">
        <v>3584</v>
      </c>
    </row>
    <row r="428" customFormat="false" ht="15" hidden="false" customHeight="false" outlineLevel="0" collapsed="false">
      <c r="A428" s="15" t="s">
        <v>3601</v>
      </c>
      <c r="B428" s="15" t="s">
        <v>3596</v>
      </c>
      <c r="C428" s="15" t="s">
        <v>391</v>
      </c>
      <c r="D428" s="15" t="s">
        <v>1136</v>
      </c>
      <c r="E428" s="15" t="s">
        <v>1168</v>
      </c>
      <c r="F428" s="15" t="s">
        <v>3014</v>
      </c>
      <c r="G428" s="15" t="s">
        <v>3015</v>
      </c>
      <c r="H428" s="33" t="n">
        <f aca="false">Packages!$O$44</f>
        <v>18.1000000004934</v>
      </c>
      <c r="I428" s="15" t="s">
        <v>118</v>
      </c>
      <c r="J428" s="34" t="n">
        <f aca="false">IF(Packages!$AG$44=0,0,ROUNDUP(Packages!$O$44/R_DW,0)+DW_DRAW)</f>
        <v>8</v>
      </c>
      <c r="K428" s="34" t="n">
        <f aca="false">IF(J428=0,0,ROUNDUP(J428*7/WD,0))</f>
        <v>10</v>
      </c>
      <c r="L428" s="15" t="s">
        <v>3600</v>
      </c>
      <c r="M428" s="34" t="n">
        <f aca="false">ROUNDUP(K427*LADDER,0)</f>
        <v>0</v>
      </c>
      <c r="N428" s="34" t="n">
        <f aca="false">IF(K428=0,0,FFLAG)</f>
        <v>2</v>
      </c>
      <c r="O428" s="15" t="s">
        <v>3602</v>
      </c>
      <c r="P428" s="16" t="n">
        <f aca="false">MAX(P427+M428,Q418-K428)</f>
        <v>46508</v>
      </c>
      <c r="Q428" s="16" t="n">
        <f aca="false">MAX(P428+K428,Q427+N428)</f>
        <v>46518</v>
      </c>
      <c r="R428" s="12"/>
      <c r="S428" s="12"/>
    </row>
    <row r="429" customFormat="false" ht="15" hidden="false" customHeight="false" outlineLevel="0" collapsed="false">
      <c r="A429" s="15" t="s">
        <v>3603</v>
      </c>
      <c r="B429" s="15" t="s">
        <v>3596</v>
      </c>
      <c r="C429" s="15" t="s">
        <v>391</v>
      </c>
      <c r="D429" s="15" t="s">
        <v>1136</v>
      </c>
      <c r="E429" s="15" t="s">
        <v>1168</v>
      </c>
      <c r="F429" s="15" t="s">
        <v>3017</v>
      </c>
      <c r="G429" s="15" t="s">
        <v>3018</v>
      </c>
      <c r="H429" s="33" t="n">
        <f aca="false">Packages!$X$44+Packages!$Y$44</f>
        <v>430.344239261063</v>
      </c>
      <c r="I429" s="15" t="s">
        <v>3019</v>
      </c>
      <c r="J429" s="34" t="n">
        <f aca="false">MAX(1,ROUNDUP((Packages!$X$44/R_EXS+Packages!$Y$44/R_EXO)/Fronts!$J$7,0))</f>
        <v>1</v>
      </c>
      <c r="K429" s="34" t="n">
        <f aca="false">IF(J429=0,0,ROUNDUP(J429*7/WD,0))</f>
        <v>2</v>
      </c>
      <c r="L429" s="15" t="s">
        <v>3601</v>
      </c>
      <c r="M429" s="34" t="n">
        <f aca="false">IF(K428=0,0,ROUNDUP((K428-ROUNDUP(DW_DRAW*7/WD,0))*LADDER,0)+ROUNDUP(DW_DRAW*7/WD,0))</f>
        <v>10</v>
      </c>
      <c r="N429" s="34" t="n">
        <f aca="false">IF(K429=0,0,FFLAG)</f>
        <v>2</v>
      </c>
      <c r="O429" s="15" t="s">
        <v>3604</v>
      </c>
      <c r="P429" s="16" t="n">
        <f aca="false">MAX(P428+M429,R418,Q1566,Q1588,Q1698,Q1676,Q1577,P407)</f>
        <v>46518</v>
      </c>
      <c r="Q429" s="16" t="n">
        <f aca="false">MAX(P429+K429,Q428+N429)</f>
        <v>46520</v>
      </c>
      <c r="R429" s="16" t="n">
        <f aca="false">IF(K429&gt;0,Q429,R418)</f>
        <v>46520</v>
      </c>
      <c r="S429" s="15" t="s">
        <v>3587</v>
      </c>
    </row>
    <row r="430" customFormat="false" ht="15" hidden="false" customHeight="false" outlineLevel="0" collapsed="false">
      <c r="A430" s="15" t="s">
        <v>3605</v>
      </c>
      <c r="B430" s="15" t="s">
        <v>3596</v>
      </c>
      <c r="C430" s="15" t="s">
        <v>391</v>
      </c>
      <c r="D430" s="15" t="s">
        <v>1136</v>
      </c>
      <c r="E430" s="15" t="s">
        <v>1168</v>
      </c>
      <c r="F430" s="15" t="s">
        <v>3022</v>
      </c>
      <c r="G430" s="15" t="s">
        <v>3023</v>
      </c>
      <c r="H430" s="33" t="n">
        <f aca="false">Packages!$O$44</f>
        <v>18.1000000004934</v>
      </c>
      <c r="I430" s="15" t="s">
        <v>118</v>
      </c>
      <c r="J430" s="34" t="n">
        <f aca="false">MAX(1,ROUNDUP(Packages!$O$44/(R_SLAB*Fronts!$K$7),0))+SLAB_CURE</f>
        <v>5</v>
      </c>
      <c r="K430" s="34" t="n">
        <f aca="false">IF(J430=0,0,ROUNDUP(J430*7/WD,0))</f>
        <v>6</v>
      </c>
      <c r="L430" s="15" t="s">
        <v>3603</v>
      </c>
      <c r="M430" s="34" t="n">
        <f aca="false">ROUNDUP(K429*LADDER,0)</f>
        <v>1</v>
      </c>
      <c r="N430" s="34" t="n">
        <f aca="false">IF(K430=0,0,FFLAG)</f>
        <v>2</v>
      </c>
      <c r="O430" s="15"/>
      <c r="P430" s="16" t="n">
        <f aca="false">MAX(P429+M430,R419)</f>
        <v>46526</v>
      </c>
      <c r="Q430" s="16" t="n">
        <f aca="false">MAX(P430+K430,Q429+N430)</f>
        <v>46532</v>
      </c>
      <c r="R430" s="16" t="n">
        <f aca="false">IF(K430&gt;0,Q430,R419)</f>
        <v>46532</v>
      </c>
      <c r="S430" s="15" t="s">
        <v>3589</v>
      </c>
    </row>
    <row r="431" customFormat="false" ht="15" hidden="false" customHeight="false" outlineLevel="0" collapsed="false">
      <c r="A431" s="15" t="s">
        <v>3606</v>
      </c>
      <c r="B431" s="15" t="s">
        <v>3596</v>
      </c>
      <c r="C431" s="15" t="s">
        <v>391</v>
      </c>
      <c r="D431" s="15" t="s">
        <v>1136</v>
      </c>
      <c r="E431" s="15" t="s">
        <v>1168</v>
      </c>
      <c r="F431" s="15" t="s">
        <v>3025</v>
      </c>
      <c r="G431" s="15" t="s">
        <v>3026</v>
      </c>
      <c r="H431" s="33" t="n">
        <f aca="false">Packages!$O$44</f>
        <v>18.1000000004934</v>
      </c>
      <c r="I431" s="15" t="s">
        <v>118</v>
      </c>
      <c r="J431" s="34" t="n">
        <f aca="false">MAX(1,ROUNDUP(Packages!$O$44/(IF(Packages!$N$44&gt;=PIPE_T1,R_PIPE_L,IF(Packages!$N$44&gt;=PIPE_T2,R_PIPE_M,R_PIPE_S))*Fronts!$L$7)+Packages!$M$44*FIT_D+IF(Packages!$G$44&lt;&gt;"Run",TIE_D,0),0))</f>
        <v>4</v>
      </c>
      <c r="K431" s="34" t="n">
        <f aca="false">IF(J431=0,0,ROUNDUP(J431*7/WD,0))</f>
        <v>5</v>
      </c>
      <c r="L431" s="15" t="s">
        <v>3605</v>
      </c>
      <c r="M431" s="34" t="n">
        <f aca="false">ROUNDUP(K430*LADDER,0)</f>
        <v>2</v>
      </c>
      <c r="N431" s="34" t="n">
        <f aca="false">IF(K431=0,0,FFLAG)</f>
        <v>2</v>
      </c>
      <c r="O431" s="15"/>
      <c r="P431" s="16" t="n">
        <f aca="false">MAX(P430+M431,R420)</f>
        <v>46528</v>
      </c>
      <c r="Q431" s="16" t="n">
        <f aca="false">MAX(P431+K431,Q430+N431)</f>
        <v>46534</v>
      </c>
      <c r="R431" s="16" t="n">
        <f aca="false">IF(K431&gt;0,Q431,R420)</f>
        <v>46534</v>
      </c>
      <c r="S431" s="15" t="s">
        <v>3590</v>
      </c>
    </row>
    <row r="432" customFormat="false" ht="15" hidden="false" customHeight="false" outlineLevel="0" collapsed="false">
      <c r="A432" s="15" t="s">
        <v>3607</v>
      </c>
      <c r="B432" s="15" t="s">
        <v>3596</v>
      </c>
      <c r="C432" s="15" t="s">
        <v>391</v>
      </c>
      <c r="D432" s="15" t="s">
        <v>1136</v>
      </c>
      <c r="E432" s="15" t="s">
        <v>1168</v>
      </c>
      <c r="F432" s="15" t="s">
        <v>3028</v>
      </c>
      <c r="G432" s="15" t="s">
        <v>3029</v>
      </c>
      <c r="H432" s="33" t="n">
        <f aca="false">Packages!$O$44</f>
        <v>18.1000000004934</v>
      </c>
      <c r="I432" s="15" t="s">
        <v>118</v>
      </c>
      <c r="J432" s="34" t="n">
        <f aca="false">TEST_D+ROUNDUP(Packages!$O$44/R_TEST,0)</f>
        <v>3</v>
      </c>
      <c r="K432" s="34" t="n">
        <f aca="false">IF(J432=0,0,ROUNDUP(J432*7/WD,0))</f>
        <v>4</v>
      </c>
      <c r="L432" s="15" t="s">
        <v>3606</v>
      </c>
      <c r="M432" s="34" t="n">
        <f aca="false">ROUNDUP(K431*LADDER,0)</f>
        <v>2</v>
      </c>
      <c r="N432" s="34" t="n">
        <f aca="false">IF(K432=0,0,FFLAG)</f>
        <v>2</v>
      </c>
      <c r="O432" s="15"/>
      <c r="P432" s="16" t="n">
        <f aca="false">MAX(P431+M432)</f>
        <v>46530</v>
      </c>
      <c r="Q432" s="16" t="n">
        <f aca="false">MAX(P432+K432,Q431+N432)</f>
        <v>46536</v>
      </c>
      <c r="R432" s="12"/>
      <c r="S432" s="12"/>
    </row>
    <row r="433" customFormat="false" ht="15" hidden="false" customHeight="false" outlineLevel="0" collapsed="false">
      <c r="A433" s="15" t="s">
        <v>3608</v>
      </c>
      <c r="B433" s="15" t="s">
        <v>3596</v>
      </c>
      <c r="C433" s="15" t="s">
        <v>391</v>
      </c>
      <c r="D433" s="15" t="s">
        <v>1136</v>
      </c>
      <c r="E433" s="15" t="s">
        <v>1168</v>
      </c>
      <c r="F433" s="15" t="s">
        <v>3031</v>
      </c>
      <c r="G433" s="15" t="s">
        <v>3032</v>
      </c>
      <c r="H433" s="33" t="n">
        <f aca="false">Packages!$AB$44</f>
        <v>296.46447822652</v>
      </c>
      <c r="I433" s="15" t="s">
        <v>3019</v>
      </c>
      <c r="J433" s="34" t="n">
        <f aca="false">MAX(1,ROUNDUP(Packages!$AB$44/(R_BF*Fronts!$M$7),0))</f>
        <v>1</v>
      </c>
      <c r="K433" s="34" t="n">
        <f aca="false">IF(J433=0,0,ROUNDUP(J433*7/WD,0))</f>
        <v>2</v>
      </c>
      <c r="L433" s="15" t="s">
        <v>3607</v>
      </c>
      <c r="M433" s="34" t="n">
        <f aca="false">ROUNDUP(K432*LADDER,0)</f>
        <v>2</v>
      </c>
      <c r="N433" s="34" t="n">
        <f aca="false">IF(K433=0,0,FFLAG)</f>
        <v>2</v>
      </c>
      <c r="O433" s="15" t="s">
        <v>3561</v>
      </c>
      <c r="P433" s="16" t="n">
        <f aca="false">MAX(P432+M433,R422,Q409)</f>
        <v>46564</v>
      </c>
      <c r="Q433" s="16" t="n">
        <f aca="false">MAX(P433+K433,Q432+N433)</f>
        <v>46566</v>
      </c>
      <c r="R433" s="16" t="n">
        <f aca="false">IF(K433&gt;0,Q433,R422)</f>
        <v>46566</v>
      </c>
      <c r="S433" s="15" t="s">
        <v>3592</v>
      </c>
    </row>
    <row r="434" customFormat="false" ht="15" hidden="false" customHeight="false" outlineLevel="0" collapsed="false">
      <c r="A434" s="15" t="s">
        <v>3609</v>
      </c>
      <c r="B434" s="15" t="s">
        <v>3596</v>
      </c>
      <c r="C434" s="15" t="s">
        <v>391</v>
      </c>
      <c r="D434" s="15" t="s">
        <v>1136</v>
      </c>
      <c r="E434" s="15" t="s">
        <v>1168</v>
      </c>
      <c r="F434" s="15" t="s">
        <v>3034</v>
      </c>
      <c r="G434" s="15" t="s">
        <v>3035</v>
      </c>
      <c r="H434" s="33" t="n">
        <f aca="false">Packages!$AD$44</f>
        <v>0</v>
      </c>
      <c r="I434" s="15" t="s">
        <v>3012</v>
      </c>
      <c r="J434" s="34" t="n">
        <f aca="false">IF(Packages!$AD$44&gt;0,ROUNDUP(Packages!$AD$44/R_EXT,0),0)+IF(Packages!$AG$44&gt;0,1,0)</f>
        <v>1</v>
      </c>
      <c r="K434" s="34" t="n">
        <f aca="false">IF(J434=0,0,ROUNDUP(J434*7/WD,0))</f>
        <v>2</v>
      </c>
      <c r="L434" s="15" t="s">
        <v>3608</v>
      </c>
      <c r="M434" s="34" t="n">
        <f aca="false">ROUNDUP(K433*LADDER,0)</f>
        <v>1</v>
      </c>
      <c r="N434" s="34" t="n">
        <f aca="false">IF(K434=0,0,FFLAG)</f>
        <v>2</v>
      </c>
      <c r="O434" s="15"/>
      <c r="P434" s="16" t="n">
        <f aca="false">MAX(P433+M434)</f>
        <v>46565</v>
      </c>
      <c r="Q434" s="16" t="n">
        <f aca="false">MAX(P434+K434,Q433+N434)</f>
        <v>46568</v>
      </c>
      <c r="R434" s="12"/>
      <c r="S434" s="12"/>
    </row>
    <row r="435" customFormat="false" ht="15" hidden="false" customHeight="false" outlineLevel="0" collapsed="false">
      <c r="A435" s="15" t="s">
        <v>3610</v>
      </c>
      <c r="B435" s="15" t="s">
        <v>3611</v>
      </c>
      <c r="C435" s="15" t="s">
        <v>391</v>
      </c>
      <c r="D435" s="15" t="s">
        <v>1075</v>
      </c>
      <c r="E435" s="15" t="s">
        <v>1091</v>
      </c>
      <c r="F435" s="15" t="s">
        <v>2998</v>
      </c>
      <c r="G435" s="15" t="s">
        <v>2999</v>
      </c>
      <c r="H435" s="12"/>
      <c r="I435" s="12"/>
      <c r="J435" s="34" t="n">
        <f aca="false">0</f>
        <v>0</v>
      </c>
      <c r="K435" s="34" t="n">
        <f aca="false">IF(J435=0,0,ROUNDUP(J435*7/WD,0))</f>
        <v>0</v>
      </c>
      <c r="L435" s="12"/>
      <c r="M435" s="12"/>
      <c r="N435" s="12"/>
      <c r="O435" s="15" t="s">
        <v>3000</v>
      </c>
      <c r="P435" s="16" t="n">
        <f aca="false">MAX(START,D_DLU,Packages!$I$45,Packages!$K$45)</f>
        <v>46357</v>
      </c>
      <c r="Q435" s="16" t="n">
        <f aca="false">P435+K435</f>
        <v>46357</v>
      </c>
      <c r="R435" s="12"/>
      <c r="S435" s="12"/>
    </row>
    <row r="436" customFormat="false" ht="15" hidden="false" customHeight="false" outlineLevel="0" collapsed="false">
      <c r="A436" s="15" t="s">
        <v>3612</v>
      </c>
      <c r="B436" s="15" t="s">
        <v>3611</v>
      </c>
      <c r="C436" s="15" t="s">
        <v>391</v>
      </c>
      <c r="D436" s="15" t="s">
        <v>1075</v>
      </c>
      <c r="E436" s="15" t="s">
        <v>1091</v>
      </c>
      <c r="F436" s="15" t="s">
        <v>3002</v>
      </c>
      <c r="G436" s="15" t="s">
        <v>205</v>
      </c>
      <c r="H436" s="33" t="n">
        <f aca="false">Packages!$O$45</f>
        <v>48.0000000000572</v>
      </c>
      <c r="I436" s="15" t="s">
        <v>118</v>
      </c>
      <c r="J436" s="34" t="n">
        <f aca="false">MAX(1,ROUNDUP(Packages!$O$45/R_PLAT,0))</f>
        <v>1</v>
      </c>
      <c r="K436" s="34" t="n">
        <f aca="false">IF(J436=0,0,ROUNDUP(J436*7/WD,0))</f>
        <v>2</v>
      </c>
      <c r="L436" s="15" t="s">
        <v>3610</v>
      </c>
      <c r="M436" s="12"/>
      <c r="N436" s="12"/>
      <c r="O436" s="15" t="s">
        <v>3613</v>
      </c>
      <c r="P436" s="16" t="n">
        <f aca="false">MAX(Q435,P426)</f>
        <v>46442</v>
      </c>
      <c r="Q436" s="16" t="n">
        <f aca="false">P436+K436</f>
        <v>46444</v>
      </c>
      <c r="R436" s="12"/>
      <c r="S436" s="12"/>
    </row>
    <row r="437" customFormat="false" ht="15" hidden="false" customHeight="false" outlineLevel="0" collapsed="false">
      <c r="A437" s="15" t="s">
        <v>3614</v>
      </c>
      <c r="B437" s="15" t="s">
        <v>3611</v>
      </c>
      <c r="C437" s="15" t="s">
        <v>391</v>
      </c>
      <c r="D437" s="15" t="s">
        <v>1075</v>
      </c>
      <c r="E437" s="15" t="s">
        <v>1091</v>
      </c>
      <c r="F437" s="15" t="s">
        <v>3005</v>
      </c>
      <c r="G437" s="15" t="s">
        <v>3006</v>
      </c>
      <c r="H437" s="33" t="n">
        <f aca="false">Packages!$AC$45</f>
        <v>34</v>
      </c>
      <c r="I437" s="15" t="s">
        <v>3007</v>
      </c>
      <c r="J437" s="34" t="n">
        <f aca="false">IF(Packages!$AC$45=0,0,MAX(1,ROUNDUP(Packages!$AC$45/(R_PILE*Fronts!$H$7),0)))</f>
        <v>7</v>
      </c>
      <c r="K437" s="34" t="n">
        <f aca="false">IF(J437=0,0,ROUNDUP(J437*7/WD,0))</f>
        <v>9</v>
      </c>
      <c r="L437" s="15" t="s">
        <v>3612</v>
      </c>
      <c r="M437" s="34" t="n">
        <f aca="false">ROUNDUP(K436*LADDER,0)</f>
        <v>1</v>
      </c>
      <c r="N437" s="34" t="n">
        <f aca="false">IF(K437=0,0,FFLAG)</f>
        <v>2</v>
      </c>
      <c r="O437" s="15" t="s">
        <v>3008</v>
      </c>
      <c r="P437" s="16" t="n">
        <f aca="false">MAX(P436+M437,D_PILEDES,R426)</f>
        <v>46447</v>
      </c>
      <c r="Q437" s="16" t="n">
        <f aca="false">MAX(P437+K437,Q436+N437)</f>
        <v>46456</v>
      </c>
      <c r="R437" s="16" t="n">
        <f aca="false">IF(K437&gt;0,Q437,R426)</f>
        <v>46456</v>
      </c>
      <c r="S437" s="15" t="s">
        <v>3599</v>
      </c>
    </row>
    <row r="438" customFormat="false" ht="15" hidden="false" customHeight="false" outlineLevel="0" collapsed="false">
      <c r="A438" s="15" t="s">
        <v>3615</v>
      </c>
      <c r="B438" s="15" t="s">
        <v>3611</v>
      </c>
      <c r="C438" s="15" t="s">
        <v>391</v>
      </c>
      <c r="D438" s="15" t="s">
        <v>1075</v>
      </c>
      <c r="E438" s="15" t="s">
        <v>1091</v>
      </c>
      <c r="F438" s="15" t="s">
        <v>3010</v>
      </c>
      <c r="G438" s="15" t="s">
        <v>3011</v>
      </c>
      <c r="H438" s="33" t="n">
        <f aca="false">Packages!$AD$45</f>
        <v>0</v>
      </c>
      <c r="I438" s="15" t="s">
        <v>3012</v>
      </c>
      <c r="J438" s="34" t="n">
        <f aca="false">IF(Packages!$AD$45=0,0,MAX(1,ROUNDUP(Packages!$AD$45/(R_SHEET*Fronts!$I$7),0)))</f>
        <v>0</v>
      </c>
      <c r="K438" s="34" t="n">
        <f aca="false">IF(J438=0,0,ROUNDUP(J438*7/WD,0))</f>
        <v>0</v>
      </c>
      <c r="L438" s="15" t="s">
        <v>3614</v>
      </c>
      <c r="M438" s="34" t="n">
        <f aca="false">ROUNDUP(K437*LADDER,0)</f>
        <v>3</v>
      </c>
      <c r="N438" s="34" t="n">
        <f aca="false">IF(K438=0,0,FFLAG)</f>
        <v>0</v>
      </c>
      <c r="O438" s="15"/>
      <c r="P438" s="16" t="n">
        <f aca="false">MAX(P437+M438,R427)</f>
        <v>46450</v>
      </c>
      <c r="Q438" s="16" t="n">
        <f aca="false">MAX(P438+K438,Q437+N438)</f>
        <v>46456</v>
      </c>
      <c r="R438" s="16" t="n">
        <f aca="false">IF(K438&gt;0,Q438,R427)</f>
        <v>46444</v>
      </c>
      <c r="S438" s="15" t="s">
        <v>3600</v>
      </c>
    </row>
    <row r="439" customFormat="false" ht="15" hidden="false" customHeight="false" outlineLevel="0" collapsed="false">
      <c r="A439" s="15" t="s">
        <v>3616</v>
      </c>
      <c r="B439" s="15" t="s">
        <v>3611</v>
      </c>
      <c r="C439" s="15" t="s">
        <v>391</v>
      </c>
      <c r="D439" s="15" t="s">
        <v>1075</v>
      </c>
      <c r="E439" s="15" t="s">
        <v>1091</v>
      </c>
      <c r="F439" s="15" t="s">
        <v>3014</v>
      </c>
      <c r="G439" s="15" t="s">
        <v>3015</v>
      </c>
      <c r="H439" s="33" t="n">
        <f aca="false">Packages!$O$45</f>
        <v>48.0000000000572</v>
      </c>
      <c r="I439" s="15" t="s">
        <v>118</v>
      </c>
      <c r="J439" s="34" t="n">
        <f aca="false">IF(Packages!$AG$45=0,0,ROUNDUP(Packages!$O$45/R_DW,0)+DW_DRAW)</f>
        <v>9</v>
      </c>
      <c r="K439" s="34" t="n">
        <f aca="false">IF(J439=0,0,ROUNDUP(J439*7/WD,0))</f>
        <v>11</v>
      </c>
      <c r="L439" s="15" t="s">
        <v>3615</v>
      </c>
      <c r="M439" s="34" t="n">
        <f aca="false">ROUNDUP(K438*LADDER,0)</f>
        <v>0</v>
      </c>
      <c r="N439" s="34" t="n">
        <f aca="false">IF(K439=0,0,FFLAG)</f>
        <v>2</v>
      </c>
      <c r="O439" s="15" t="s">
        <v>3617</v>
      </c>
      <c r="P439" s="16" t="n">
        <f aca="false">MAX(P438+M439,Q429-K439)</f>
        <v>46509</v>
      </c>
      <c r="Q439" s="16" t="n">
        <f aca="false">MAX(P439+K439,Q438+N439)</f>
        <v>46520</v>
      </c>
      <c r="R439" s="12"/>
      <c r="S439" s="12"/>
    </row>
    <row r="440" customFormat="false" ht="15" hidden="false" customHeight="false" outlineLevel="0" collapsed="false">
      <c r="A440" s="15" t="s">
        <v>3618</v>
      </c>
      <c r="B440" s="15" t="s">
        <v>3611</v>
      </c>
      <c r="C440" s="15" t="s">
        <v>391</v>
      </c>
      <c r="D440" s="15" t="s">
        <v>1075</v>
      </c>
      <c r="E440" s="15" t="s">
        <v>1091</v>
      </c>
      <c r="F440" s="15" t="s">
        <v>3017</v>
      </c>
      <c r="G440" s="15" t="s">
        <v>3018</v>
      </c>
      <c r="H440" s="33" t="n">
        <f aca="false">Packages!$X$45+Packages!$Y$45</f>
        <v>1129.87082388328</v>
      </c>
      <c r="I440" s="15" t="s">
        <v>3019</v>
      </c>
      <c r="J440" s="34" t="n">
        <f aca="false">MAX(1,ROUNDUP((Packages!$X$45/R_EXS+Packages!$Y$45/R_EXO)/Fronts!$J$7,0))</f>
        <v>3</v>
      </c>
      <c r="K440" s="34" t="n">
        <f aca="false">IF(J440=0,0,ROUNDUP(J440*7/WD,0))</f>
        <v>4</v>
      </c>
      <c r="L440" s="15" t="s">
        <v>3616</v>
      </c>
      <c r="M440" s="34" t="n">
        <f aca="false">IF(K439=0,0,ROUNDUP((K439-ROUNDUP(DW_DRAW*7/WD,0))*LADDER,0)+ROUNDUP(DW_DRAW*7/WD,0))</f>
        <v>10</v>
      </c>
      <c r="N440" s="34" t="n">
        <f aca="false">IF(K440=0,0,FFLAG)</f>
        <v>2</v>
      </c>
      <c r="O440" s="15" t="s">
        <v>3619</v>
      </c>
      <c r="P440" s="16" t="n">
        <f aca="false">MAX(P439+M440,R429,Q1203,Q1192,Q1632,Q1654,Q1643,Q1280)</f>
        <v>46520</v>
      </c>
      <c r="Q440" s="16" t="n">
        <f aca="false">MAX(P440+K440,Q439+N440)</f>
        <v>46524</v>
      </c>
      <c r="R440" s="16" t="n">
        <f aca="false">IF(K440&gt;0,Q440,R429)</f>
        <v>46524</v>
      </c>
      <c r="S440" s="15" t="s">
        <v>3603</v>
      </c>
    </row>
    <row r="441" customFormat="false" ht="15" hidden="false" customHeight="false" outlineLevel="0" collapsed="false">
      <c r="A441" s="15" t="s">
        <v>3620</v>
      </c>
      <c r="B441" s="15" t="s">
        <v>3611</v>
      </c>
      <c r="C441" s="15" t="s">
        <v>391</v>
      </c>
      <c r="D441" s="15" t="s">
        <v>1075</v>
      </c>
      <c r="E441" s="15" t="s">
        <v>1091</v>
      </c>
      <c r="F441" s="15" t="s">
        <v>3022</v>
      </c>
      <c r="G441" s="15" t="s">
        <v>3023</v>
      </c>
      <c r="H441" s="33" t="n">
        <f aca="false">Packages!$O$45</f>
        <v>48.0000000000572</v>
      </c>
      <c r="I441" s="15" t="s">
        <v>118</v>
      </c>
      <c r="J441" s="34" t="n">
        <f aca="false">MAX(1,ROUNDUP(Packages!$O$45/(R_SLAB*Fronts!$K$7),0))+SLAB_CURE</f>
        <v>7</v>
      </c>
      <c r="K441" s="34" t="n">
        <f aca="false">IF(J441=0,0,ROUNDUP(J441*7/WD,0))</f>
        <v>9</v>
      </c>
      <c r="L441" s="15" t="s">
        <v>3618</v>
      </c>
      <c r="M441" s="34" t="n">
        <f aca="false">ROUNDUP(K440*LADDER,0)</f>
        <v>2</v>
      </c>
      <c r="N441" s="34" t="n">
        <f aca="false">IF(K441=0,0,FFLAG)</f>
        <v>2</v>
      </c>
      <c r="O441" s="15"/>
      <c r="P441" s="16" t="n">
        <f aca="false">MAX(P440+M441,R430)</f>
        <v>46532</v>
      </c>
      <c r="Q441" s="16" t="n">
        <f aca="false">MAX(P441+K441,Q440+N441)</f>
        <v>46541</v>
      </c>
      <c r="R441" s="16" t="n">
        <f aca="false">IF(K441&gt;0,Q441,R430)</f>
        <v>46541</v>
      </c>
      <c r="S441" s="15" t="s">
        <v>3605</v>
      </c>
    </row>
    <row r="442" customFormat="false" ht="15" hidden="false" customHeight="false" outlineLevel="0" collapsed="false">
      <c r="A442" s="15" t="s">
        <v>3621</v>
      </c>
      <c r="B442" s="15" t="s">
        <v>3611</v>
      </c>
      <c r="C442" s="15" t="s">
        <v>391</v>
      </c>
      <c r="D442" s="15" t="s">
        <v>1075</v>
      </c>
      <c r="E442" s="15" t="s">
        <v>1091</v>
      </c>
      <c r="F442" s="15" t="s">
        <v>3025</v>
      </c>
      <c r="G442" s="15" t="s">
        <v>3026</v>
      </c>
      <c r="H442" s="33" t="n">
        <f aca="false">Packages!$O$45</f>
        <v>48.0000000000572</v>
      </c>
      <c r="I442" s="15" t="s">
        <v>118</v>
      </c>
      <c r="J442" s="34" t="n">
        <f aca="false">MAX(1,ROUNDUP(Packages!$O$45/(IF(Packages!$N$45&gt;=PIPE_T1,R_PIPE_L,IF(Packages!$N$45&gt;=PIPE_T2,R_PIPE_M,R_PIPE_S))*Fronts!$L$7)+Packages!$M$45*FIT_D+IF(Packages!$G$45&lt;&gt;"Run",TIE_D,0),0))</f>
        <v>4</v>
      </c>
      <c r="K442" s="34" t="n">
        <f aca="false">IF(J442=0,0,ROUNDUP(J442*7/WD,0))</f>
        <v>5</v>
      </c>
      <c r="L442" s="15" t="s">
        <v>3620</v>
      </c>
      <c r="M442" s="34" t="n">
        <f aca="false">ROUNDUP(K441*LADDER,0)</f>
        <v>3</v>
      </c>
      <c r="N442" s="34" t="n">
        <f aca="false">IF(K442=0,0,FFLAG)</f>
        <v>2</v>
      </c>
      <c r="O442" s="15"/>
      <c r="P442" s="16" t="n">
        <f aca="false">MAX(P441+M442,R431)</f>
        <v>46535</v>
      </c>
      <c r="Q442" s="16" t="n">
        <f aca="false">MAX(P442+K442,Q441+N442)</f>
        <v>46543</v>
      </c>
      <c r="R442" s="16" t="n">
        <f aca="false">IF(K442&gt;0,Q442,R431)</f>
        <v>46543</v>
      </c>
      <c r="S442" s="15" t="s">
        <v>3606</v>
      </c>
    </row>
    <row r="443" customFormat="false" ht="15" hidden="false" customHeight="false" outlineLevel="0" collapsed="false">
      <c r="A443" s="15" t="s">
        <v>3622</v>
      </c>
      <c r="B443" s="15" t="s">
        <v>3611</v>
      </c>
      <c r="C443" s="15" t="s">
        <v>391</v>
      </c>
      <c r="D443" s="15" t="s">
        <v>1075</v>
      </c>
      <c r="E443" s="15" t="s">
        <v>1091</v>
      </c>
      <c r="F443" s="15" t="s">
        <v>3028</v>
      </c>
      <c r="G443" s="15" t="s">
        <v>3029</v>
      </c>
      <c r="H443" s="33" t="n">
        <f aca="false">Packages!$O$45</f>
        <v>48.0000000000572</v>
      </c>
      <c r="I443" s="15" t="s">
        <v>118</v>
      </c>
      <c r="J443" s="34" t="n">
        <f aca="false">TEST_D+ROUNDUP(Packages!$O$45/R_TEST,0)</f>
        <v>3</v>
      </c>
      <c r="K443" s="34" t="n">
        <f aca="false">IF(J443=0,0,ROUNDUP(J443*7/WD,0))</f>
        <v>4</v>
      </c>
      <c r="L443" s="15" t="s">
        <v>3621</v>
      </c>
      <c r="M443" s="34" t="n">
        <f aca="false">ROUNDUP(K442*LADDER,0)</f>
        <v>2</v>
      </c>
      <c r="N443" s="34" t="n">
        <f aca="false">IF(K443=0,0,FFLAG)</f>
        <v>2</v>
      </c>
      <c r="O443" s="15"/>
      <c r="P443" s="16" t="n">
        <f aca="false">MAX(P442+M443)</f>
        <v>46537</v>
      </c>
      <c r="Q443" s="16" t="n">
        <f aca="false">MAX(P443+K443,Q442+N443)</f>
        <v>46545</v>
      </c>
      <c r="R443" s="12"/>
      <c r="S443" s="12"/>
    </row>
    <row r="444" customFormat="false" ht="15" hidden="false" customHeight="false" outlineLevel="0" collapsed="false">
      <c r="A444" s="15" t="s">
        <v>3623</v>
      </c>
      <c r="B444" s="15" t="s">
        <v>3611</v>
      </c>
      <c r="C444" s="15" t="s">
        <v>391</v>
      </c>
      <c r="D444" s="15" t="s">
        <v>1075</v>
      </c>
      <c r="E444" s="15" t="s">
        <v>1091</v>
      </c>
      <c r="F444" s="15" t="s">
        <v>3031</v>
      </c>
      <c r="G444" s="15" t="s">
        <v>3032</v>
      </c>
      <c r="H444" s="33" t="n">
        <f aca="false">Packages!$AB$45</f>
        <v>768.516849526093</v>
      </c>
      <c r="I444" s="15" t="s">
        <v>3019</v>
      </c>
      <c r="J444" s="34" t="n">
        <f aca="false">MAX(1,ROUNDUP(Packages!$AB$45/(R_BF*Fronts!$M$7),0))</f>
        <v>3</v>
      </c>
      <c r="K444" s="34" t="n">
        <f aca="false">IF(J444=0,0,ROUNDUP(J444*7/WD,0))</f>
        <v>4</v>
      </c>
      <c r="L444" s="15" t="s">
        <v>3622</v>
      </c>
      <c r="M444" s="34" t="n">
        <f aca="false">ROUNDUP(K443*LADDER,0)</f>
        <v>2</v>
      </c>
      <c r="N444" s="34" t="n">
        <f aca="false">IF(K444=0,0,FFLAG)</f>
        <v>2</v>
      </c>
      <c r="O444" s="15" t="s">
        <v>3624</v>
      </c>
      <c r="P444" s="16" t="n">
        <f aca="false">MAX(P443+M444,R433,Q486,Q453)</f>
        <v>46573</v>
      </c>
      <c r="Q444" s="16" t="n">
        <f aca="false">MAX(P444+K444,Q443+N444)</f>
        <v>46577</v>
      </c>
      <c r="R444" s="16" t="n">
        <f aca="false">IF(K444&gt;0,Q444,R433)</f>
        <v>46577</v>
      </c>
      <c r="S444" s="15" t="s">
        <v>3608</v>
      </c>
    </row>
    <row r="445" customFormat="false" ht="15" hidden="false" customHeight="false" outlineLevel="0" collapsed="false">
      <c r="A445" s="15" t="s">
        <v>3625</v>
      </c>
      <c r="B445" s="15" t="s">
        <v>3611</v>
      </c>
      <c r="C445" s="15" t="s">
        <v>391</v>
      </c>
      <c r="D445" s="15" t="s">
        <v>1075</v>
      </c>
      <c r="E445" s="15" t="s">
        <v>1091</v>
      </c>
      <c r="F445" s="15" t="s">
        <v>3034</v>
      </c>
      <c r="G445" s="15" t="s">
        <v>3035</v>
      </c>
      <c r="H445" s="33" t="n">
        <f aca="false">Packages!$AD$45</f>
        <v>0</v>
      </c>
      <c r="I445" s="15" t="s">
        <v>3012</v>
      </c>
      <c r="J445" s="34" t="n">
        <f aca="false">IF(Packages!$AD$45&gt;0,ROUNDUP(Packages!$AD$45/R_EXT,0),0)+IF(Packages!$AG$45&gt;0,1,0)</f>
        <v>1</v>
      </c>
      <c r="K445" s="34" t="n">
        <f aca="false">IF(J445=0,0,ROUNDUP(J445*7/WD,0))</f>
        <v>2</v>
      </c>
      <c r="L445" s="15" t="s">
        <v>3623</v>
      </c>
      <c r="M445" s="34" t="n">
        <f aca="false">ROUNDUP(K444*LADDER,0)</f>
        <v>2</v>
      </c>
      <c r="N445" s="34" t="n">
        <f aca="false">IF(K445=0,0,FFLAG)</f>
        <v>2</v>
      </c>
      <c r="O445" s="15"/>
      <c r="P445" s="16" t="n">
        <f aca="false">MAX(P444+M445)</f>
        <v>46575</v>
      </c>
      <c r="Q445" s="16" t="n">
        <f aca="false">MAX(P445+K445,Q444+N445)</f>
        <v>46579</v>
      </c>
      <c r="R445" s="12"/>
      <c r="S445" s="12"/>
    </row>
    <row r="446" customFormat="false" ht="15" hidden="false" customHeight="false" outlineLevel="0" collapsed="false">
      <c r="A446" s="15" t="s">
        <v>3626</v>
      </c>
      <c r="B446" s="15" t="s">
        <v>3627</v>
      </c>
      <c r="C446" s="15" t="s">
        <v>391</v>
      </c>
      <c r="D446" s="15" t="s">
        <v>1136</v>
      </c>
      <c r="E446" s="15" t="s">
        <v>1152</v>
      </c>
      <c r="F446" s="15" t="s">
        <v>2998</v>
      </c>
      <c r="G446" s="15" t="s">
        <v>2999</v>
      </c>
      <c r="H446" s="12"/>
      <c r="I446" s="12"/>
      <c r="J446" s="34" t="n">
        <f aca="false">0</f>
        <v>0</v>
      </c>
      <c r="K446" s="34" t="n">
        <f aca="false">IF(J446=0,0,ROUNDUP(J446*7/WD,0))</f>
        <v>0</v>
      </c>
      <c r="L446" s="12"/>
      <c r="M446" s="12"/>
      <c r="N446" s="12"/>
      <c r="O446" s="15" t="s">
        <v>3000</v>
      </c>
      <c r="P446" s="16" t="n">
        <f aca="false">MAX(START,D_DLU,Packages!$I$46,Packages!$K$46)</f>
        <v>46357</v>
      </c>
      <c r="Q446" s="16" t="n">
        <f aca="false">P446+K446</f>
        <v>46357</v>
      </c>
      <c r="R446" s="12"/>
      <c r="S446" s="12"/>
    </row>
    <row r="447" customFormat="false" ht="15" hidden="false" customHeight="false" outlineLevel="0" collapsed="false">
      <c r="A447" s="15" t="s">
        <v>3628</v>
      </c>
      <c r="B447" s="15" t="s">
        <v>3627</v>
      </c>
      <c r="C447" s="15" t="s">
        <v>391</v>
      </c>
      <c r="D447" s="15" t="s">
        <v>1136</v>
      </c>
      <c r="E447" s="15" t="s">
        <v>1152</v>
      </c>
      <c r="F447" s="15" t="s">
        <v>3002</v>
      </c>
      <c r="G447" s="15" t="s">
        <v>205</v>
      </c>
      <c r="H447" s="33" t="n">
        <f aca="false">Packages!$O$46</f>
        <v>83.2000000001375</v>
      </c>
      <c r="I447" s="15" t="s">
        <v>118</v>
      </c>
      <c r="J447" s="34" t="n">
        <f aca="false">MAX(1,ROUNDUP(Packages!$O$46/R_PLAT,0))</f>
        <v>2</v>
      </c>
      <c r="K447" s="34" t="n">
        <f aca="false">IF(J447=0,0,ROUNDUP(J447*7/WD,0))</f>
        <v>3</v>
      </c>
      <c r="L447" s="15" t="s">
        <v>3626</v>
      </c>
      <c r="M447" s="12"/>
      <c r="N447" s="12"/>
      <c r="O447" s="15" t="s">
        <v>3629</v>
      </c>
      <c r="P447" s="16" t="n">
        <f aca="false">MAX(Q446,P437)</f>
        <v>46447</v>
      </c>
      <c r="Q447" s="16" t="n">
        <f aca="false">P447+K447</f>
        <v>46450</v>
      </c>
      <c r="R447" s="12"/>
      <c r="S447" s="12"/>
    </row>
    <row r="448" customFormat="false" ht="15" hidden="false" customHeight="false" outlineLevel="0" collapsed="false">
      <c r="A448" s="15" t="s">
        <v>3630</v>
      </c>
      <c r="B448" s="15" t="s">
        <v>3627</v>
      </c>
      <c r="C448" s="15" t="s">
        <v>391</v>
      </c>
      <c r="D448" s="15" t="s">
        <v>1136</v>
      </c>
      <c r="E448" s="15" t="s">
        <v>1152</v>
      </c>
      <c r="F448" s="15" t="s">
        <v>3005</v>
      </c>
      <c r="G448" s="15" t="s">
        <v>3006</v>
      </c>
      <c r="H448" s="33" t="n">
        <f aca="false">Packages!$AC$46</f>
        <v>58</v>
      </c>
      <c r="I448" s="15" t="s">
        <v>3007</v>
      </c>
      <c r="J448" s="34" t="n">
        <f aca="false">IF(Packages!$AC$46=0,0,MAX(1,ROUNDUP(Packages!$AC$46/(R_PILE*Fronts!$H$7),0)))</f>
        <v>12</v>
      </c>
      <c r="K448" s="34" t="n">
        <f aca="false">IF(J448=0,0,ROUNDUP(J448*7/WD,0))</f>
        <v>14</v>
      </c>
      <c r="L448" s="15" t="s">
        <v>3628</v>
      </c>
      <c r="M448" s="34" t="n">
        <f aca="false">ROUNDUP(K447*LADDER,0)</f>
        <v>1</v>
      </c>
      <c r="N448" s="34" t="n">
        <f aca="false">IF(K448=0,0,FFLAG)</f>
        <v>2</v>
      </c>
      <c r="O448" s="15" t="s">
        <v>3008</v>
      </c>
      <c r="P448" s="16" t="n">
        <f aca="false">MAX(P447+M448,D_PILEDES,R437)</f>
        <v>46456</v>
      </c>
      <c r="Q448" s="16" t="n">
        <f aca="false">MAX(P448+K448,Q447+N448)</f>
        <v>46470</v>
      </c>
      <c r="R448" s="16" t="n">
        <f aca="false">IF(K448&gt;0,Q448,R437)</f>
        <v>46470</v>
      </c>
      <c r="S448" s="15" t="s">
        <v>3614</v>
      </c>
    </row>
    <row r="449" customFormat="false" ht="15" hidden="false" customHeight="false" outlineLevel="0" collapsed="false">
      <c r="A449" s="15" t="s">
        <v>3631</v>
      </c>
      <c r="B449" s="15" t="s">
        <v>3627</v>
      </c>
      <c r="C449" s="15" t="s">
        <v>391</v>
      </c>
      <c r="D449" s="15" t="s">
        <v>1136</v>
      </c>
      <c r="E449" s="15" t="s">
        <v>1152</v>
      </c>
      <c r="F449" s="15" t="s">
        <v>3010</v>
      </c>
      <c r="G449" s="15" t="s">
        <v>3011</v>
      </c>
      <c r="H449" s="33" t="n">
        <f aca="false">Packages!$AD$46</f>
        <v>0</v>
      </c>
      <c r="I449" s="15" t="s">
        <v>3012</v>
      </c>
      <c r="J449" s="34" t="n">
        <f aca="false">IF(Packages!$AD$46=0,0,MAX(1,ROUNDUP(Packages!$AD$46/(R_SHEET*Fronts!$I$7),0)))</f>
        <v>0</v>
      </c>
      <c r="K449" s="34" t="n">
        <f aca="false">IF(J449=0,0,ROUNDUP(J449*7/WD,0))</f>
        <v>0</v>
      </c>
      <c r="L449" s="15" t="s">
        <v>3630</v>
      </c>
      <c r="M449" s="34" t="n">
        <f aca="false">ROUNDUP(K448*LADDER,0)</f>
        <v>5</v>
      </c>
      <c r="N449" s="34" t="n">
        <f aca="false">IF(K449=0,0,FFLAG)</f>
        <v>0</v>
      </c>
      <c r="O449" s="15"/>
      <c r="P449" s="16" t="n">
        <f aca="false">MAX(P448+M449,R438)</f>
        <v>46461</v>
      </c>
      <c r="Q449" s="16" t="n">
        <f aca="false">MAX(P449+K449,Q448+N449)</f>
        <v>46470</v>
      </c>
      <c r="R449" s="16" t="n">
        <f aca="false">IF(K449&gt;0,Q449,R438)</f>
        <v>46444</v>
      </c>
      <c r="S449" s="15" t="s">
        <v>3615</v>
      </c>
    </row>
    <row r="450" customFormat="false" ht="15" hidden="false" customHeight="false" outlineLevel="0" collapsed="false">
      <c r="A450" s="15" t="s">
        <v>3632</v>
      </c>
      <c r="B450" s="15" t="s">
        <v>3627</v>
      </c>
      <c r="C450" s="15" t="s">
        <v>391</v>
      </c>
      <c r="D450" s="15" t="s">
        <v>1136</v>
      </c>
      <c r="E450" s="15" t="s">
        <v>1152</v>
      </c>
      <c r="F450" s="15" t="s">
        <v>3014</v>
      </c>
      <c r="G450" s="15" t="s">
        <v>3015</v>
      </c>
      <c r="H450" s="33" t="n">
        <f aca="false">Packages!$O$46</f>
        <v>83.2000000001375</v>
      </c>
      <c r="I450" s="15" t="s">
        <v>118</v>
      </c>
      <c r="J450" s="34" t="n">
        <f aca="false">IF(Packages!$AG$46=0,0,ROUNDUP(Packages!$O$46/R_DW,0)+DW_DRAW)</f>
        <v>10</v>
      </c>
      <c r="K450" s="34" t="n">
        <f aca="false">IF(J450=0,0,ROUNDUP(J450*7/WD,0))</f>
        <v>12</v>
      </c>
      <c r="L450" s="15" t="s">
        <v>3631</v>
      </c>
      <c r="M450" s="34" t="n">
        <f aca="false">ROUNDUP(K449*LADDER,0)</f>
        <v>0</v>
      </c>
      <c r="N450" s="34" t="n">
        <f aca="false">IF(K450=0,0,FFLAG)</f>
        <v>2</v>
      </c>
      <c r="O450" s="15" t="s">
        <v>3633</v>
      </c>
      <c r="P450" s="16" t="n">
        <f aca="false">MAX(P449+M450,Q440-K450)</f>
        <v>46512</v>
      </c>
      <c r="Q450" s="16" t="n">
        <f aca="false">MAX(P450+K450,Q449+N450)</f>
        <v>46524</v>
      </c>
      <c r="R450" s="12"/>
      <c r="S450" s="12"/>
    </row>
    <row r="451" customFormat="false" ht="15" hidden="false" customHeight="false" outlineLevel="0" collapsed="false">
      <c r="A451" s="15" t="s">
        <v>3634</v>
      </c>
      <c r="B451" s="15" t="s">
        <v>3627</v>
      </c>
      <c r="C451" s="15" t="s">
        <v>391</v>
      </c>
      <c r="D451" s="15" t="s">
        <v>1136</v>
      </c>
      <c r="E451" s="15" t="s">
        <v>1152</v>
      </c>
      <c r="F451" s="15" t="s">
        <v>3017</v>
      </c>
      <c r="G451" s="15" t="s">
        <v>3018</v>
      </c>
      <c r="H451" s="33" t="n">
        <f aca="false">Packages!$X$46+Packages!$Y$46</f>
        <v>1958.30799914825</v>
      </c>
      <c r="I451" s="15" t="s">
        <v>3019</v>
      </c>
      <c r="J451" s="34" t="n">
        <f aca="false">MAX(1,ROUNDUP((Packages!$X$46/R_EXS+Packages!$Y$46/R_EXO)/Fronts!$J$7,0))</f>
        <v>5</v>
      </c>
      <c r="K451" s="34" t="n">
        <f aca="false">IF(J451=0,0,ROUNDUP(J451*7/WD,0))</f>
        <v>6</v>
      </c>
      <c r="L451" s="15" t="s">
        <v>3632</v>
      </c>
      <c r="M451" s="34" t="n">
        <f aca="false">IF(K450=0,0,ROUNDUP((K450-ROUNDUP(DW_DRAW*7/WD,0))*LADDER,0)+ROUNDUP(DW_DRAW*7/WD,0))</f>
        <v>10</v>
      </c>
      <c r="N451" s="34" t="n">
        <f aca="false">IF(K451=0,0,FFLAG)</f>
        <v>2</v>
      </c>
      <c r="O451" s="15" t="s">
        <v>3635</v>
      </c>
      <c r="P451" s="16" t="n">
        <f aca="false">MAX(P450+M451,R440,Q1566,Q1588,Q1698,Q1577,Q1643,Q1280,P440,P407)</f>
        <v>46524</v>
      </c>
      <c r="Q451" s="16" t="n">
        <f aca="false">MAX(P451+K451,Q450+N451)</f>
        <v>46530</v>
      </c>
      <c r="R451" s="16" t="n">
        <f aca="false">IF(K451&gt;0,Q451,R440)</f>
        <v>46530</v>
      </c>
      <c r="S451" s="15" t="s">
        <v>3618</v>
      </c>
    </row>
    <row r="452" customFormat="false" ht="15" hidden="false" customHeight="false" outlineLevel="0" collapsed="false">
      <c r="A452" s="15" t="s">
        <v>3636</v>
      </c>
      <c r="B452" s="15" t="s">
        <v>3627</v>
      </c>
      <c r="C452" s="15" t="s">
        <v>391</v>
      </c>
      <c r="D452" s="15" t="s">
        <v>1136</v>
      </c>
      <c r="E452" s="15" t="s">
        <v>1152</v>
      </c>
      <c r="F452" s="15" t="s">
        <v>3022</v>
      </c>
      <c r="G452" s="15" t="s">
        <v>3023</v>
      </c>
      <c r="H452" s="33" t="n">
        <f aca="false">Packages!$O$46</f>
        <v>83.2000000001375</v>
      </c>
      <c r="I452" s="15" t="s">
        <v>118</v>
      </c>
      <c r="J452" s="34" t="n">
        <f aca="false">MAX(1,ROUNDUP(Packages!$O$46/(R_SLAB*Fronts!$K$7),0))+SLAB_CURE</f>
        <v>10</v>
      </c>
      <c r="K452" s="34" t="n">
        <f aca="false">IF(J452=0,0,ROUNDUP(J452*7/WD,0))</f>
        <v>12</v>
      </c>
      <c r="L452" s="15" t="s">
        <v>3634</v>
      </c>
      <c r="M452" s="34" t="n">
        <f aca="false">ROUNDUP(K451*LADDER,0)</f>
        <v>2</v>
      </c>
      <c r="N452" s="34" t="n">
        <f aca="false">IF(K452=0,0,FFLAG)</f>
        <v>2</v>
      </c>
      <c r="O452" s="15"/>
      <c r="P452" s="16" t="n">
        <f aca="false">MAX(P451+M452,R441)</f>
        <v>46541</v>
      </c>
      <c r="Q452" s="16" t="n">
        <f aca="false">MAX(P452+K452,Q451+N452)</f>
        <v>46553</v>
      </c>
      <c r="R452" s="16" t="n">
        <f aca="false">IF(K452&gt;0,Q452,R441)</f>
        <v>46553</v>
      </c>
      <c r="S452" s="15" t="s">
        <v>3620</v>
      </c>
    </row>
    <row r="453" customFormat="false" ht="15" hidden="false" customHeight="false" outlineLevel="0" collapsed="false">
      <c r="A453" s="15" t="s">
        <v>3637</v>
      </c>
      <c r="B453" s="15" t="s">
        <v>3627</v>
      </c>
      <c r="C453" s="15" t="s">
        <v>391</v>
      </c>
      <c r="D453" s="15" t="s">
        <v>1136</v>
      </c>
      <c r="E453" s="15" t="s">
        <v>1152</v>
      </c>
      <c r="F453" s="15" t="s">
        <v>3025</v>
      </c>
      <c r="G453" s="15" t="s">
        <v>3026</v>
      </c>
      <c r="H453" s="33" t="n">
        <f aca="false">Packages!$O$46</f>
        <v>83.2000000001375</v>
      </c>
      <c r="I453" s="15" t="s">
        <v>118</v>
      </c>
      <c r="J453" s="34" t="n">
        <f aca="false">MAX(1,ROUNDUP(Packages!$O$46/(IF(Packages!$N$46&gt;=PIPE_T1,R_PIPE_L,IF(Packages!$N$46&gt;=PIPE_T2,R_PIPE_M,R_PIPE_S))*Fronts!$L$7)+Packages!$M$46*FIT_D+IF(Packages!$G$46&lt;&gt;"Run",TIE_D,0),0))</f>
        <v>7</v>
      </c>
      <c r="K453" s="34" t="n">
        <f aca="false">IF(J453=0,0,ROUNDUP(J453*7/WD,0))</f>
        <v>9</v>
      </c>
      <c r="L453" s="15" t="s">
        <v>3636</v>
      </c>
      <c r="M453" s="34" t="n">
        <f aca="false">ROUNDUP(K452*LADDER,0)</f>
        <v>4</v>
      </c>
      <c r="N453" s="34" t="n">
        <f aca="false">IF(K453=0,0,FFLAG)</f>
        <v>2</v>
      </c>
      <c r="O453" s="15"/>
      <c r="P453" s="16" t="n">
        <f aca="false">MAX(P452+M453,R442)</f>
        <v>46545</v>
      </c>
      <c r="Q453" s="16" t="n">
        <f aca="false">MAX(P453+K453,Q452+N453)</f>
        <v>46555</v>
      </c>
      <c r="R453" s="16" t="n">
        <f aca="false">IF(K453&gt;0,Q453,R442)</f>
        <v>46555</v>
      </c>
      <c r="S453" s="15" t="s">
        <v>3621</v>
      </c>
    </row>
    <row r="454" customFormat="false" ht="15" hidden="false" customHeight="false" outlineLevel="0" collapsed="false">
      <c r="A454" s="15" t="s">
        <v>3638</v>
      </c>
      <c r="B454" s="15" t="s">
        <v>3627</v>
      </c>
      <c r="C454" s="15" t="s">
        <v>391</v>
      </c>
      <c r="D454" s="15" t="s">
        <v>1136</v>
      </c>
      <c r="E454" s="15" t="s">
        <v>1152</v>
      </c>
      <c r="F454" s="15" t="s">
        <v>3028</v>
      </c>
      <c r="G454" s="15" t="s">
        <v>3029</v>
      </c>
      <c r="H454" s="33" t="n">
        <f aca="false">Packages!$O$46</f>
        <v>83.2000000001375</v>
      </c>
      <c r="I454" s="15" t="s">
        <v>118</v>
      </c>
      <c r="J454" s="34" t="n">
        <f aca="false">TEST_D+ROUNDUP(Packages!$O$46/R_TEST,0)</f>
        <v>3</v>
      </c>
      <c r="K454" s="34" t="n">
        <f aca="false">IF(J454=0,0,ROUNDUP(J454*7/WD,0))</f>
        <v>4</v>
      </c>
      <c r="L454" s="15" t="s">
        <v>3637</v>
      </c>
      <c r="M454" s="34" t="n">
        <f aca="false">ROUNDUP(K453*LADDER,0)</f>
        <v>3</v>
      </c>
      <c r="N454" s="34" t="n">
        <f aca="false">IF(K454=0,0,FFLAG)</f>
        <v>2</v>
      </c>
      <c r="O454" s="15"/>
      <c r="P454" s="16" t="n">
        <f aca="false">MAX(P453+M454)</f>
        <v>46548</v>
      </c>
      <c r="Q454" s="16" t="n">
        <f aca="false">MAX(P454+K454,Q453+N454)</f>
        <v>46557</v>
      </c>
      <c r="R454" s="12"/>
      <c r="S454" s="12"/>
    </row>
    <row r="455" customFormat="false" ht="15" hidden="false" customHeight="false" outlineLevel="0" collapsed="false">
      <c r="A455" s="15" t="s">
        <v>3639</v>
      </c>
      <c r="B455" s="15" t="s">
        <v>3627</v>
      </c>
      <c r="C455" s="15" t="s">
        <v>391</v>
      </c>
      <c r="D455" s="15" t="s">
        <v>1136</v>
      </c>
      <c r="E455" s="15" t="s">
        <v>1152</v>
      </c>
      <c r="F455" s="15" t="s">
        <v>3031</v>
      </c>
      <c r="G455" s="15" t="s">
        <v>3032</v>
      </c>
      <c r="H455" s="33" t="n">
        <f aca="false">Packages!$AB$46</f>
        <v>1332.02615714204</v>
      </c>
      <c r="I455" s="15" t="s">
        <v>3019</v>
      </c>
      <c r="J455" s="34" t="n">
        <f aca="false">MAX(1,ROUNDUP(Packages!$AB$46/(R_BF*Fronts!$M$7),0))</f>
        <v>4</v>
      </c>
      <c r="K455" s="34" t="n">
        <f aca="false">IF(J455=0,0,ROUNDUP(J455*7/WD,0))</f>
        <v>5</v>
      </c>
      <c r="L455" s="15" t="s">
        <v>3638</v>
      </c>
      <c r="M455" s="34" t="n">
        <f aca="false">ROUNDUP(K454*LADDER,0)</f>
        <v>2</v>
      </c>
      <c r="N455" s="34" t="n">
        <f aca="false">IF(K455=0,0,FFLAG)</f>
        <v>2</v>
      </c>
      <c r="O455" s="15" t="s">
        <v>3640</v>
      </c>
      <c r="P455" s="16" t="n">
        <f aca="false">MAX(P454+M455,R444,Q464,Q442,Q409)</f>
        <v>46577</v>
      </c>
      <c r="Q455" s="16" t="n">
        <f aca="false">MAX(P455+K455,Q454+N455)</f>
        <v>46582</v>
      </c>
      <c r="R455" s="16" t="n">
        <f aca="false">IF(K455&gt;0,Q455,R444)</f>
        <v>46582</v>
      </c>
      <c r="S455" s="15" t="s">
        <v>3623</v>
      </c>
    </row>
    <row r="456" customFormat="false" ht="15" hidden="false" customHeight="false" outlineLevel="0" collapsed="false">
      <c r="A456" s="15" t="s">
        <v>3641</v>
      </c>
      <c r="B456" s="15" t="s">
        <v>3627</v>
      </c>
      <c r="C456" s="15" t="s">
        <v>391</v>
      </c>
      <c r="D456" s="15" t="s">
        <v>1136</v>
      </c>
      <c r="E456" s="15" t="s">
        <v>1152</v>
      </c>
      <c r="F456" s="15" t="s">
        <v>3034</v>
      </c>
      <c r="G456" s="15" t="s">
        <v>3035</v>
      </c>
      <c r="H456" s="33" t="n">
        <f aca="false">Packages!$AD$46</f>
        <v>0</v>
      </c>
      <c r="I456" s="15" t="s">
        <v>3012</v>
      </c>
      <c r="J456" s="34" t="n">
        <f aca="false">IF(Packages!$AD$46&gt;0,ROUNDUP(Packages!$AD$46/R_EXT,0),0)+IF(Packages!$AG$46&gt;0,1,0)</f>
        <v>1</v>
      </c>
      <c r="K456" s="34" t="n">
        <f aca="false">IF(J456=0,0,ROUNDUP(J456*7/WD,0))</f>
        <v>2</v>
      </c>
      <c r="L456" s="15" t="s">
        <v>3639</v>
      </c>
      <c r="M456" s="34" t="n">
        <f aca="false">ROUNDUP(K455*LADDER,0)</f>
        <v>2</v>
      </c>
      <c r="N456" s="34" t="n">
        <f aca="false">IF(K456=0,0,FFLAG)</f>
        <v>2</v>
      </c>
      <c r="O456" s="15"/>
      <c r="P456" s="16" t="n">
        <f aca="false">MAX(P455+M456)</f>
        <v>46579</v>
      </c>
      <c r="Q456" s="16" t="n">
        <f aca="false">MAX(P456+K456,Q455+N456)</f>
        <v>46584</v>
      </c>
      <c r="R456" s="12"/>
      <c r="S456" s="12"/>
    </row>
    <row r="457" customFormat="false" ht="15" hidden="false" customHeight="false" outlineLevel="0" collapsed="false">
      <c r="A457" s="15" t="s">
        <v>3642</v>
      </c>
      <c r="B457" s="15" t="s">
        <v>3643</v>
      </c>
      <c r="C457" s="15" t="s">
        <v>391</v>
      </c>
      <c r="D457" s="15" t="s">
        <v>1075</v>
      </c>
      <c r="E457" s="15" t="s">
        <v>1085</v>
      </c>
      <c r="F457" s="15" t="s">
        <v>2998</v>
      </c>
      <c r="G457" s="15" t="s">
        <v>2999</v>
      </c>
      <c r="H457" s="12"/>
      <c r="I457" s="12"/>
      <c r="J457" s="34" t="n">
        <f aca="false">0</f>
        <v>0</v>
      </c>
      <c r="K457" s="34" t="n">
        <f aca="false">IF(J457=0,0,ROUNDUP(J457*7/WD,0))</f>
        <v>0</v>
      </c>
      <c r="L457" s="12"/>
      <c r="M457" s="12"/>
      <c r="N457" s="12"/>
      <c r="O457" s="15" t="s">
        <v>3000</v>
      </c>
      <c r="P457" s="16" t="n">
        <f aca="false">MAX(START,D_DLU,Packages!$I$47,Packages!$K$47)</f>
        <v>46357</v>
      </c>
      <c r="Q457" s="16" t="n">
        <f aca="false">P457+K457</f>
        <v>46357</v>
      </c>
      <c r="R457" s="12"/>
      <c r="S457" s="12"/>
    </row>
    <row r="458" customFormat="false" ht="15" hidden="false" customHeight="false" outlineLevel="0" collapsed="false">
      <c r="A458" s="15" t="s">
        <v>3644</v>
      </c>
      <c r="B458" s="15" t="s">
        <v>3643</v>
      </c>
      <c r="C458" s="15" t="s">
        <v>391</v>
      </c>
      <c r="D458" s="15" t="s">
        <v>1075</v>
      </c>
      <c r="E458" s="15" t="s">
        <v>1085</v>
      </c>
      <c r="F458" s="15" t="s">
        <v>3002</v>
      </c>
      <c r="G458" s="15" t="s">
        <v>205</v>
      </c>
      <c r="H458" s="33" t="n">
        <f aca="false">Packages!$O$47</f>
        <v>21.9999999999885</v>
      </c>
      <c r="I458" s="15" t="s">
        <v>118</v>
      </c>
      <c r="J458" s="34" t="n">
        <f aca="false">MAX(1,ROUNDUP(Packages!$O$47/R_PLAT,0))</f>
        <v>1</v>
      </c>
      <c r="K458" s="34" t="n">
        <f aca="false">IF(J458=0,0,ROUNDUP(J458*7/WD,0))</f>
        <v>2</v>
      </c>
      <c r="L458" s="15" t="s">
        <v>3642</v>
      </c>
      <c r="M458" s="12"/>
      <c r="N458" s="12"/>
      <c r="O458" s="15" t="s">
        <v>3645</v>
      </c>
      <c r="P458" s="16" t="n">
        <f aca="false">MAX(Q457,P448)</f>
        <v>46456</v>
      </c>
      <c r="Q458" s="16" t="n">
        <f aca="false">P458+K458</f>
        <v>46458</v>
      </c>
      <c r="R458" s="12"/>
      <c r="S458" s="12"/>
    </row>
    <row r="459" customFormat="false" ht="15" hidden="false" customHeight="false" outlineLevel="0" collapsed="false">
      <c r="A459" s="15" t="s">
        <v>3646</v>
      </c>
      <c r="B459" s="15" t="s">
        <v>3643</v>
      </c>
      <c r="C459" s="15" t="s">
        <v>391</v>
      </c>
      <c r="D459" s="15" t="s">
        <v>1075</v>
      </c>
      <c r="E459" s="15" t="s">
        <v>1085</v>
      </c>
      <c r="F459" s="15" t="s">
        <v>3005</v>
      </c>
      <c r="G459" s="15" t="s">
        <v>3006</v>
      </c>
      <c r="H459" s="33" t="n">
        <f aca="false">Packages!$AC$47</f>
        <v>18</v>
      </c>
      <c r="I459" s="15" t="s">
        <v>3007</v>
      </c>
      <c r="J459" s="34" t="n">
        <f aca="false">IF(Packages!$AC$47=0,0,MAX(1,ROUNDUP(Packages!$AC$47/(R_PILE*Fronts!$H$7),0)))</f>
        <v>4</v>
      </c>
      <c r="K459" s="34" t="n">
        <f aca="false">IF(J459=0,0,ROUNDUP(J459*7/WD,0))</f>
        <v>5</v>
      </c>
      <c r="L459" s="15" t="s">
        <v>3644</v>
      </c>
      <c r="M459" s="34" t="n">
        <f aca="false">ROUNDUP(K458*LADDER,0)</f>
        <v>1</v>
      </c>
      <c r="N459" s="34" t="n">
        <f aca="false">IF(K459=0,0,FFLAG)</f>
        <v>2</v>
      </c>
      <c r="O459" s="15" t="s">
        <v>3008</v>
      </c>
      <c r="P459" s="16" t="n">
        <f aca="false">MAX(P458+M459,D_PILEDES,R448)</f>
        <v>46470</v>
      </c>
      <c r="Q459" s="16" t="n">
        <f aca="false">MAX(P459+K459,Q458+N459)</f>
        <v>46475</v>
      </c>
      <c r="R459" s="16" t="n">
        <f aca="false">IF(K459&gt;0,Q459,R448)</f>
        <v>46475</v>
      </c>
      <c r="S459" s="15" t="s">
        <v>3630</v>
      </c>
    </row>
    <row r="460" customFormat="false" ht="15" hidden="false" customHeight="false" outlineLevel="0" collapsed="false">
      <c r="A460" s="15" t="s">
        <v>3647</v>
      </c>
      <c r="B460" s="15" t="s">
        <v>3643</v>
      </c>
      <c r="C460" s="15" t="s">
        <v>391</v>
      </c>
      <c r="D460" s="15" t="s">
        <v>1075</v>
      </c>
      <c r="E460" s="15" t="s">
        <v>1085</v>
      </c>
      <c r="F460" s="15" t="s">
        <v>3010</v>
      </c>
      <c r="G460" s="15" t="s">
        <v>3011</v>
      </c>
      <c r="H460" s="33" t="n">
        <f aca="false">Packages!$AD$47</f>
        <v>37.8160731644416</v>
      </c>
      <c r="I460" s="15" t="s">
        <v>3012</v>
      </c>
      <c r="J460" s="34" t="n">
        <f aca="false">IF(Packages!$AD$47=0,0,MAX(1,ROUNDUP(Packages!$AD$47/(R_SHEET*Fronts!$I$7),0)))</f>
        <v>2</v>
      </c>
      <c r="K460" s="34" t="n">
        <f aca="false">IF(J460=0,0,ROUNDUP(J460*7/WD,0))</f>
        <v>3</v>
      </c>
      <c r="L460" s="15" t="s">
        <v>3646</v>
      </c>
      <c r="M460" s="34" t="n">
        <f aca="false">ROUNDUP(K459*LADDER,0)</f>
        <v>2</v>
      </c>
      <c r="N460" s="34" t="n">
        <f aca="false">IF(K460=0,0,FFLAG)</f>
        <v>2</v>
      </c>
      <c r="O460" s="15"/>
      <c r="P460" s="16" t="n">
        <f aca="false">MAX(P459+M460,R449)</f>
        <v>46472</v>
      </c>
      <c r="Q460" s="16" t="n">
        <f aca="false">MAX(P460+K460,Q459+N460)</f>
        <v>46477</v>
      </c>
      <c r="R460" s="16" t="n">
        <f aca="false">IF(K460&gt;0,Q460,R449)</f>
        <v>46477</v>
      </c>
      <c r="S460" s="15" t="s">
        <v>3631</v>
      </c>
    </row>
    <row r="461" customFormat="false" ht="15" hidden="false" customHeight="false" outlineLevel="0" collapsed="false">
      <c r="A461" s="15" t="s">
        <v>3648</v>
      </c>
      <c r="B461" s="15" t="s">
        <v>3643</v>
      </c>
      <c r="C461" s="15" t="s">
        <v>391</v>
      </c>
      <c r="D461" s="15" t="s">
        <v>1075</v>
      </c>
      <c r="E461" s="15" t="s">
        <v>1085</v>
      </c>
      <c r="F461" s="15" t="s">
        <v>3014</v>
      </c>
      <c r="G461" s="15" t="s">
        <v>3015</v>
      </c>
      <c r="H461" s="33" t="n">
        <f aca="false">Packages!$O$47</f>
        <v>21.9999999999885</v>
      </c>
      <c r="I461" s="15" t="s">
        <v>118</v>
      </c>
      <c r="J461" s="34" t="n">
        <f aca="false">IF(Packages!$AG$47=0,0,ROUNDUP(Packages!$O$47/R_DW,0)+DW_DRAW)</f>
        <v>8</v>
      </c>
      <c r="K461" s="34" t="n">
        <f aca="false">IF(J461=0,0,ROUNDUP(J461*7/WD,0))</f>
        <v>10</v>
      </c>
      <c r="L461" s="15" t="s">
        <v>3647</v>
      </c>
      <c r="M461" s="34" t="n">
        <f aca="false">ROUNDUP(K460*LADDER,0)</f>
        <v>1</v>
      </c>
      <c r="N461" s="34" t="n">
        <f aca="false">IF(K461=0,0,FFLAG)</f>
        <v>2</v>
      </c>
      <c r="O461" s="15" t="s">
        <v>3649</v>
      </c>
      <c r="P461" s="16" t="n">
        <f aca="false">MAX(P460+M461,Q451-K461)</f>
        <v>46520</v>
      </c>
      <c r="Q461" s="16" t="n">
        <f aca="false">MAX(P461+K461,Q460+N461)</f>
        <v>46530</v>
      </c>
      <c r="R461" s="12"/>
      <c r="S461" s="12"/>
    </row>
    <row r="462" customFormat="false" ht="15" hidden="false" customHeight="false" outlineLevel="0" collapsed="false">
      <c r="A462" s="15" t="s">
        <v>3650</v>
      </c>
      <c r="B462" s="15" t="s">
        <v>3643</v>
      </c>
      <c r="C462" s="15" t="s">
        <v>391</v>
      </c>
      <c r="D462" s="15" t="s">
        <v>1075</v>
      </c>
      <c r="E462" s="15" t="s">
        <v>1085</v>
      </c>
      <c r="F462" s="15" t="s">
        <v>3017</v>
      </c>
      <c r="G462" s="15" t="s">
        <v>3018</v>
      </c>
      <c r="H462" s="33" t="n">
        <f aca="false">Packages!$X$47+Packages!$Y$47</f>
        <v>288.428521065828</v>
      </c>
      <c r="I462" s="15" t="s">
        <v>3019</v>
      </c>
      <c r="J462" s="34" t="n">
        <f aca="false">MAX(1,ROUNDUP((Packages!$X$47/R_EXS+Packages!$Y$47/R_EXO)/Fronts!$J$7,0))</f>
        <v>2</v>
      </c>
      <c r="K462" s="34" t="n">
        <f aca="false">IF(J462=0,0,ROUNDUP(J462*7/WD,0))</f>
        <v>3</v>
      </c>
      <c r="L462" s="15" t="s">
        <v>3648</v>
      </c>
      <c r="M462" s="34" t="n">
        <f aca="false">IF(K461=0,0,ROUNDUP((K461-ROUNDUP(DW_DRAW*7/WD,0))*LADDER,0)+ROUNDUP(DW_DRAW*7/WD,0))</f>
        <v>10</v>
      </c>
      <c r="N462" s="34" t="n">
        <f aca="false">IF(K462=0,0,FFLAG)</f>
        <v>2</v>
      </c>
      <c r="O462" s="15" t="s">
        <v>3651</v>
      </c>
      <c r="P462" s="16" t="n">
        <f aca="false">MAX(P461+M462,R451,Q1203,Q1192,Q1643,Q1280,Q1269,P451)</f>
        <v>46530</v>
      </c>
      <c r="Q462" s="16" t="n">
        <f aca="false">MAX(P462+K462,Q461+N462)</f>
        <v>46533</v>
      </c>
      <c r="R462" s="16" t="n">
        <f aca="false">IF(K462&gt;0,Q462,R451)</f>
        <v>46533</v>
      </c>
      <c r="S462" s="15" t="s">
        <v>3634</v>
      </c>
    </row>
    <row r="463" customFormat="false" ht="15" hidden="false" customHeight="false" outlineLevel="0" collapsed="false">
      <c r="A463" s="15" t="s">
        <v>3652</v>
      </c>
      <c r="B463" s="15" t="s">
        <v>3643</v>
      </c>
      <c r="C463" s="15" t="s">
        <v>391</v>
      </c>
      <c r="D463" s="15" t="s">
        <v>1075</v>
      </c>
      <c r="E463" s="15" t="s">
        <v>1085</v>
      </c>
      <c r="F463" s="15" t="s">
        <v>3022</v>
      </c>
      <c r="G463" s="15" t="s">
        <v>3023</v>
      </c>
      <c r="H463" s="33" t="n">
        <f aca="false">Packages!$O$47</f>
        <v>21.9999999999885</v>
      </c>
      <c r="I463" s="15" t="s">
        <v>118</v>
      </c>
      <c r="J463" s="34" t="n">
        <f aca="false">MAX(1,ROUNDUP(Packages!$O$47/(R_SLAB*Fronts!$K$7),0))+SLAB_CURE</f>
        <v>5</v>
      </c>
      <c r="K463" s="34" t="n">
        <f aca="false">IF(J463=0,0,ROUNDUP(J463*7/WD,0))</f>
        <v>6</v>
      </c>
      <c r="L463" s="15" t="s">
        <v>3650</v>
      </c>
      <c r="M463" s="34" t="n">
        <f aca="false">ROUNDUP(K462*LADDER,0)</f>
        <v>1</v>
      </c>
      <c r="N463" s="34" t="n">
        <f aca="false">IF(K463=0,0,FFLAG)</f>
        <v>2</v>
      </c>
      <c r="O463" s="15"/>
      <c r="P463" s="16" t="n">
        <f aca="false">MAX(P462+M463,R452)</f>
        <v>46553</v>
      </c>
      <c r="Q463" s="16" t="n">
        <f aca="false">MAX(P463+K463,Q462+N463)</f>
        <v>46559</v>
      </c>
      <c r="R463" s="16" t="n">
        <f aca="false">IF(K463&gt;0,Q463,R452)</f>
        <v>46559</v>
      </c>
      <c r="S463" s="15" t="s">
        <v>3636</v>
      </c>
    </row>
    <row r="464" customFormat="false" ht="15" hidden="false" customHeight="false" outlineLevel="0" collapsed="false">
      <c r="A464" s="15" t="s">
        <v>3653</v>
      </c>
      <c r="B464" s="15" t="s">
        <v>3643</v>
      </c>
      <c r="C464" s="15" t="s">
        <v>391</v>
      </c>
      <c r="D464" s="15" t="s">
        <v>1075</v>
      </c>
      <c r="E464" s="15" t="s">
        <v>1085</v>
      </c>
      <c r="F464" s="15" t="s">
        <v>3025</v>
      </c>
      <c r="G464" s="15" t="s">
        <v>3026</v>
      </c>
      <c r="H464" s="33" t="n">
        <f aca="false">Packages!$O$47</f>
        <v>21.9999999999885</v>
      </c>
      <c r="I464" s="15" t="s">
        <v>118</v>
      </c>
      <c r="J464" s="34" t="n">
        <f aca="false">MAX(1,ROUNDUP(Packages!$O$47/(IF(Packages!$N$47&gt;=PIPE_T1,R_PIPE_L,IF(Packages!$N$47&gt;=PIPE_T2,R_PIPE_M,R_PIPE_S))*Fronts!$L$7)+Packages!$M$47*FIT_D+IF(Packages!$G$47&lt;&gt;"Run",TIE_D,0),0))</f>
        <v>3</v>
      </c>
      <c r="K464" s="34" t="n">
        <f aca="false">IF(J464=0,0,ROUNDUP(J464*7/WD,0))</f>
        <v>4</v>
      </c>
      <c r="L464" s="15" t="s">
        <v>3652</v>
      </c>
      <c r="M464" s="34" t="n">
        <f aca="false">ROUNDUP(K463*LADDER,0)</f>
        <v>2</v>
      </c>
      <c r="N464" s="34" t="n">
        <f aca="false">IF(K464=0,0,FFLAG)</f>
        <v>2</v>
      </c>
      <c r="O464" s="15"/>
      <c r="P464" s="16" t="n">
        <f aca="false">MAX(P463+M464,R453)</f>
        <v>46555</v>
      </c>
      <c r="Q464" s="16" t="n">
        <f aca="false">MAX(P464+K464,Q463+N464)</f>
        <v>46561</v>
      </c>
      <c r="R464" s="16" t="n">
        <f aca="false">IF(K464&gt;0,Q464,R453)</f>
        <v>46561</v>
      </c>
      <c r="S464" s="15" t="s">
        <v>3637</v>
      </c>
    </row>
    <row r="465" customFormat="false" ht="15" hidden="false" customHeight="false" outlineLevel="0" collapsed="false">
      <c r="A465" s="15" t="s">
        <v>3654</v>
      </c>
      <c r="B465" s="15" t="s">
        <v>3643</v>
      </c>
      <c r="C465" s="15" t="s">
        <v>391</v>
      </c>
      <c r="D465" s="15" t="s">
        <v>1075</v>
      </c>
      <c r="E465" s="15" t="s">
        <v>1085</v>
      </c>
      <c r="F465" s="15" t="s">
        <v>3028</v>
      </c>
      <c r="G465" s="15" t="s">
        <v>3029</v>
      </c>
      <c r="H465" s="33" t="n">
        <f aca="false">Packages!$O$47</f>
        <v>21.9999999999885</v>
      </c>
      <c r="I465" s="15" t="s">
        <v>118</v>
      </c>
      <c r="J465" s="34" t="n">
        <f aca="false">TEST_D+ROUNDUP(Packages!$O$47/R_TEST,0)</f>
        <v>3</v>
      </c>
      <c r="K465" s="34" t="n">
        <f aca="false">IF(J465=0,0,ROUNDUP(J465*7/WD,0))</f>
        <v>4</v>
      </c>
      <c r="L465" s="15" t="s">
        <v>3653</v>
      </c>
      <c r="M465" s="34" t="n">
        <f aca="false">ROUNDUP(K464*LADDER,0)</f>
        <v>2</v>
      </c>
      <c r="N465" s="34" t="n">
        <f aca="false">IF(K465=0,0,FFLAG)</f>
        <v>2</v>
      </c>
      <c r="O465" s="15"/>
      <c r="P465" s="16" t="n">
        <f aca="false">MAX(P464+M465)</f>
        <v>46557</v>
      </c>
      <c r="Q465" s="16" t="n">
        <f aca="false">MAX(P465+K465,Q464+N465)</f>
        <v>46563</v>
      </c>
      <c r="R465" s="12"/>
      <c r="S465" s="12"/>
    </row>
    <row r="466" customFormat="false" ht="15" hidden="false" customHeight="false" outlineLevel="0" collapsed="false">
      <c r="A466" s="15" t="s">
        <v>3655</v>
      </c>
      <c r="B466" s="15" t="s">
        <v>3643</v>
      </c>
      <c r="C466" s="15" t="s">
        <v>391</v>
      </c>
      <c r="D466" s="15" t="s">
        <v>1075</v>
      </c>
      <c r="E466" s="15" t="s">
        <v>1085</v>
      </c>
      <c r="F466" s="15" t="s">
        <v>3031</v>
      </c>
      <c r="G466" s="15" t="s">
        <v>3032</v>
      </c>
      <c r="H466" s="33" t="n">
        <f aca="false">Packages!$AB$47</f>
        <v>126.143498989692</v>
      </c>
      <c r="I466" s="15" t="s">
        <v>3019</v>
      </c>
      <c r="J466" s="34" t="n">
        <f aca="false">MAX(1,ROUNDUP(Packages!$AB$47/(R_BF*Fronts!$M$7),0))</f>
        <v>1</v>
      </c>
      <c r="K466" s="34" t="n">
        <f aca="false">IF(J466=0,0,ROUNDUP(J466*7/WD,0))</f>
        <v>2</v>
      </c>
      <c r="L466" s="15" t="s">
        <v>3654</v>
      </c>
      <c r="M466" s="34" t="n">
        <f aca="false">ROUNDUP(K465*LADDER,0)</f>
        <v>2</v>
      </c>
      <c r="N466" s="34" t="n">
        <f aca="false">IF(K466=0,0,FFLAG)</f>
        <v>2</v>
      </c>
      <c r="O466" s="15" t="s">
        <v>3656</v>
      </c>
      <c r="P466" s="16" t="n">
        <f aca="false">MAX(P465+M466,R455,Q508,Q486,Q453)</f>
        <v>46582</v>
      </c>
      <c r="Q466" s="16" t="n">
        <f aca="false">MAX(P466+K466,Q465+N466)</f>
        <v>46584</v>
      </c>
      <c r="R466" s="16" t="n">
        <f aca="false">IF(K466&gt;0,Q466,R455)</f>
        <v>46584</v>
      </c>
      <c r="S466" s="15" t="s">
        <v>3639</v>
      </c>
    </row>
    <row r="467" customFormat="false" ht="15" hidden="false" customHeight="false" outlineLevel="0" collapsed="false">
      <c r="A467" s="15" t="s">
        <v>3657</v>
      </c>
      <c r="B467" s="15" t="s">
        <v>3643</v>
      </c>
      <c r="C467" s="15" t="s">
        <v>391</v>
      </c>
      <c r="D467" s="15" t="s">
        <v>1075</v>
      </c>
      <c r="E467" s="15" t="s">
        <v>1085</v>
      </c>
      <c r="F467" s="15" t="s">
        <v>3034</v>
      </c>
      <c r="G467" s="15" t="s">
        <v>3035</v>
      </c>
      <c r="H467" s="33" t="n">
        <f aca="false">Packages!$AD$47</f>
        <v>37.8160731644416</v>
      </c>
      <c r="I467" s="15" t="s">
        <v>3012</v>
      </c>
      <c r="J467" s="34" t="n">
        <f aca="false">IF(Packages!$AD$47&gt;0,ROUNDUP(Packages!$AD$47/R_EXT,0),0)+IF(Packages!$AG$47&gt;0,1,0)</f>
        <v>2</v>
      </c>
      <c r="K467" s="34" t="n">
        <f aca="false">IF(J467=0,0,ROUNDUP(J467*7/WD,0))</f>
        <v>3</v>
      </c>
      <c r="L467" s="15" t="s">
        <v>3655</v>
      </c>
      <c r="M467" s="34" t="n">
        <f aca="false">ROUNDUP(K466*LADDER,0)</f>
        <v>1</v>
      </c>
      <c r="N467" s="34" t="n">
        <f aca="false">IF(K467=0,0,FFLAG)</f>
        <v>2</v>
      </c>
      <c r="O467" s="15"/>
      <c r="P467" s="16" t="n">
        <f aca="false">MAX(P466+M467)</f>
        <v>46583</v>
      </c>
      <c r="Q467" s="16" t="n">
        <f aca="false">MAX(P467+K467,Q466+N467)</f>
        <v>46586</v>
      </c>
      <c r="R467" s="12"/>
      <c r="S467" s="12"/>
    </row>
    <row r="468" customFormat="false" ht="15" hidden="false" customHeight="false" outlineLevel="0" collapsed="false">
      <c r="A468" s="15" t="s">
        <v>3658</v>
      </c>
      <c r="B468" s="15" t="s">
        <v>3659</v>
      </c>
      <c r="C468" s="15" t="s">
        <v>391</v>
      </c>
      <c r="D468" s="15" t="s">
        <v>1075</v>
      </c>
      <c r="E468" s="15" t="s">
        <v>1082</v>
      </c>
      <c r="F468" s="15" t="s">
        <v>2998</v>
      </c>
      <c r="G468" s="15" t="s">
        <v>2999</v>
      </c>
      <c r="H468" s="12"/>
      <c r="I468" s="12"/>
      <c r="J468" s="34" t="n">
        <f aca="false">0</f>
        <v>0</v>
      </c>
      <c r="K468" s="34" t="n">
        <f aca="false">IF(J468=0,0,ROUNDUP(J468*7/WD,0))</f>
        <v>0</v>
      </c>
      <c r="L468" s="12"/>
      <c r="M468" s="12"/>
      <c r="N468" s="12"/>
      <c r="O468" s="15" t="s">
        <v>3000</v>
      </c>
      <c r="P468" s="16" t="n">
        <f aca="false">MAX(START,D_DLU,Packages!$I$48,Packages!$K$48)</f>
        <v>46357</v>
      </c>
      <c r="Q468" s="16" t="n">
        <f aca="false">P468+K468</f>
        <v>46357</v>
      </c>
      <c r="R468" s="12"/>
      <c r="S468" s="12"/>
    </row>
    <row r="469" customFormat="false" ht="15" hidden="false" customHeight="false" outlineLevel="0" collapsed="false">
      <c r="A469" s="15" t="s">
        <v>3660</v>
      </c>
      <c r="B469" s="15" t="s">
        <v>3659</v>
      </c>
      <c r="C469" s="15" t="s">
        <v>391</v>
      </c>
      <c r="D469" s="15" t="s">
        <v>1075</v>
      </c>
      <c r="E469" s="15" t="s">
        <v>1082</v>
      </c>
      <c r="F469" s="15" t="s">
        <v>3002</v>
      </c>
      <c r="G469" s="15" t="s">
        <v>205</v>
      </c>
      <c r="H469" s="33" t="n">
        <f aca="false">Packages!$O$48</f>
        <v>17.4789034181319</v>
      </c>
      <c r="I469" s="15" t="s">
        <v>118</v>
      </c>
      <c r="J469" s="34" t="n">
        <f aca="false">MAX(1,ROUNDUP(Packages!$O$48/R_PLAT,0))</f>
        <v>1</v>
      </c>
      <c r="K469" s="34" t="n">
        <f aca="false">IF(J469=0,0,ROUNDUP(J469*7/WD,0))</f>
        <v>2</v>
      </c>
      <c r="L469" s="15" t="s">
        <v>3658</v>
      </c>
      <c r="M469" s="12"/>
      <c r="N469" s="12"/>
      <c r="O469" s="15" t="s">
        <v>3661</v>
      </c>
      <c r="P469" s="16" t="n">
        <f aca="false">MAX(Q468,P459)</f>
        <v>46470</v>
      </c>
      <c r="Q469" s="16" t="n">
        <f aca="false">P469+K469</f>
        <v>46472</v>
      </c>
      <c r="R469" s="12"/>
      <c r="S469" s="12"/>
    </row>
    <row r="470" customFormat="false" ht="15" hidden="false" customHeight="false" outlineLevel="0" collapsed="false">
      <c r="A470" s="15" t="s">
        <v>3662</v>
      </c>
      <c r="B470" s="15" t="s">
        <v>3659</v>
      </c>
      <c r="C470" s="15" t="s">
        <v>391</v>
      </c>
      <c r="D470" s="15" t="s">
        <v>1075</v>
      </c>
      <c r="E470" s="15" t="s">
        <v>1082</v>
      </c>
      <c r="F470" s="15" t="s">
        <v>3005</v>
      </c>
      <c r="G470" s="15" t="s">
        <v>3006</v>
      </c>
      <c r="H470" s="33" t="n">
        <f aca="false">Packages!$AC$48</f>
        <v>14</v>
      </c>
      <c r="I470" s="15" t="s">
        <v>3007</v>
      </c>
      <c r="J470" s="34" t="n">
        <f aca="false">IF(Packages!$AC$48=0,0,MAX(1,ROUNDUP(Packages!$AC$48/(R_PILE*Fronts!$H$7),0)))</f>
        <v>3</v>
      </c>
      <c r="K470" s="34" t="n">
        <f aca="false">IF(J470=0,0,ROUNDUP(J470*7/WD,0))</f>
        <v>4</v>
      </c>
      <c r="L470" s="15" t="s">
        <v>3660</v>
      </c>
      <c r="M470" s="34" t="n">
        <f aca="false">ROUNDUP(K469*LADDER,0)</f>
        <v>1</v>
      </c>
      <c r="N470" s="34" t="n">
        <f aca="false">IF(K470=0,0,FFLAG)</f>
        <v>2</v>
      </c>
      <c r="O470" s="15" t="s">
        <v>3008</v>
      </c>
      <c r="P470" s="16" t="n">
        <f aca="false">MAX(P469+M470,D_PILEDES,R459)</f>
        <v>46475</v>
      </c>
      <c r="Q470" s="16" t="n">
        <f aca="false">MAX(P470+K470,Q469+N470)</f>
        <v>46479</v>
      </c>
      <c r="R470" s="16" t="n">
        <f aca="false">IF(K470&gt;0,Q470,R459)</f>
        <v>46479</v>
      </c>
      <c r="S470" s="15" t="s">
        <v>3646</v>
      </c>
    </row>
    <row r="471" customFormat="false" ht="15" hidden="false" customHeight="false" outlineLevel="0" collapsed="false">
      <c r="A471" s="15" t="s">
        <v>3663</v>
      </c>
      <c r="B471" s="15" t="s">
        <v>3659</v>
      </c>
      <c r="C471" s="15" t="s">
        <v>391</v>
      </c>
      <c r="D471" s="15" t="s">
        <v>1075</v>
      </c>
      <c r="E471" s="15" t="s">
        <v>1082</v>
      </c>
      <c r="F471" s="15" t="s">
        <v>3010</v>
      </c>
      <c r="G471" s="15" t="s">
        <v>3011</v>
      </c>
      <c r="H471" s="33" t="n">
        <f aca="false">Packages!$AD$48</f>
        <v>34.9578068362638</v>
      </c>
      <c r="I471" s="15" t="s">
        <v>3012</v>
      </c>
      <c r="J471" s="34" t="n">
        <f aca="false">IF(Packages!$AD$48=0,0,MAX(1,ROUNDUP(Packages!$AD$48/(R_SHEET*Fronts!$I$7),0)))</f>
        <v>2</v>
      </c>
      <c r="K471" s="34" t="n">
        <f aca="false">IF(J471=0,0,ROUNDUP(J471*7/WD,0))</f>
        <v>3</v>
      </c>
      <c r="L471" s="15" t="s">
        <v>3662</v>
      </c>
      <c r="M471" s="34" t="n">
        <f aca="false">ROUNDUP(K470*LADDER,0)</f>
        <v>2</v>
      </c>
      <c r="N471" s="34" t="n">
        <f aca="false">IF(K471=0,0,FFLAG)</f>
        <v>2</v>
      </c>
      <c r="O471" s="15"/>
      <c r="P471" s="16" t="n">
        <f aca="false">MAX(P470+M471,R460)</f>
        <v>46477</v>
      </c>
      <c r="Q471" s="16" t="n">
        <f aca="false">MAX(P471+K471,Q470+N471)</f>
        <v>46481</v>
      </c>
      <c r="R471" s="16" t="n">
        <f aca="false">IF(K471&gt;0,Q471,R460)</f>
        <v>46481</v>
      </c>
      <c r="S471" s="15" t="s">
        <v>3647</v>
      </c>
    </row>
    <row r="472" customFormat="false" ht="15" hidden="false" customHeight="false" outlineLevel="0" collapsed="false">
      <c r="A472" s="15" t="s">
        <v>3664</v>
      </c>
      <c r="B472" s="15" t="s">
        <v>3659</v>
      </c>
      <c r="C472" s="15" t="s">
        <v>391</v>
      </c>
      <c r="D472" s="15" t="s">
        <v>1075</v>
      </c>
      <c r="E472" s="15" t="s">
        <v>1082</v>
      </c>
      <c r="F472" s="15" t="s">
        <v>3014</v>
      </c>
      <c r="G472" s="15" t="s">
        <v>3015</v>
      </c>
      <c r="H472" s="33" t="n">
        <f aca="false">Packages!$O$48</f>
        <v>17.4789034181319</v>
      </c>
      <c r="I472" s="15" t="s">
        <v>118</v>
      </c>
      <c r="J472" s="34" t="n">
        <f aca="false">IF(Packages!$AG$48=0,0,ROUNDUP(Packages!$O$48/R_DW,0)+DW_DRAW)</f>
        <v>8</v>
      </c>
      <c r="K472" s="34" t="n">
        <f aca="false">IF(J472=0,0,ROUNDUP(J472*7/WD,0))</f>
        <v>10</v>
      </c>
      <c r="L472" s="15" t="s">
        <v>3663</v>
      </c>
      <c r="M472" s="34" t="n">
        <f aca="false">ROUNDUP(K471*LADDER,0)</f>
        <v>1</v>
      </c>
      <c r="N472" s="34" t="n">
        <f aca="false">IF(K472=0,0,FFLAG)</f>
        <v>2</v>
      </c>
      <c r="O472" s="15" t="s">
        <v>3665</v>
      </c>
      <c r="P472" s="16" t="n">
        <f aca="false">MAX(P471+M472,Q462-K472)</f>
        <v>46523</v>
      </c>
      <c r="Q472" s="16" t="n">
        <f aca="false">MAX(P472+K472,Q471+N472)</f>
        <v>46533</v>
      </c>
      <c r="R472" s="12"/>
      <c r="S472" s="12"/>
    </row>
    <row r="473" customFormat="false" ht="15" hidden="false" customHeight="false" outlineLevel="0" collapsed="false">
      <c r="A473" s="15" t="s">
        <v>3666</v>
      </c>
      <c r="B473" s="15" t="s">
        <v>3659</v>
      </c>
      <c r="C473" s="15" t="s">
        <v>391</v>
      </c>
      <c r="D473" s="15" t="s">
        <v>1075</v>
      </c>
      <c r="E473" s="15" t="s">
        <v>1082</v>
      </c>
      <c r="F473" s="15" t="s">
        <v>3017</v>
      </c>
      <c r="G473" s="15" t="s">
        <v>3018</v>
      </c>
      <c r="H473" s="33" t="n">
        <f aca="false">Packages!$X$48+Packages!$Y$48</f>
        <v>200.119878436926</v>
      </c>
      <c r="I473" s="15" t="s">
        <v>3019</v>
      </c>
      <c r="J473" s="34" t="n">
        <f aca="false">MAX(1,ROUNDUP((Packages!$X$48/R_EXS+Packages!$Y$48/R_EXO)/Fronts!$J$7,0))</f>
        <v>1</v>
      </c>
      <c r="K473" s="34" t="n">
        <f aca="false">IF(J473=0,0,ROUNDUP(J473*7/WD,0))</f>
        <v>2</v>
      </c>
      <c r="L473" s="15" t="s">
        <v>3664</v>
      </c>
      <c r="M473" s="34" t="n">
        <f aca="false">IF(K472=0,0,ROUNDUP((K472-ROUNDUP(DW_DRAW*7/WD,0))*LADDER,0)+ROUNDUP(DW_DRAW*7/WD,0))</f>
        <v>10</v>
      </c>
      <c r="N473" s="34" t="n">
        <f aca="false">IF(K473=0,0,FFLAG)</f>
        <v>2</v>
      </c>
      <c r="O473" s="15" t="s">
        <v>3667</v>
      </c>
      <c r="P473" s="16" t="n">
        <f aca="false">MAX(P472+M473,R462,Q1192,Q1280,Q1269)</f>
        <v>46533</v>
      </c>
      <c r="Q473" s="16" t="n">
        <f aca="false">MAX(P473+K473,Q472+N473)</f>
        <v>46535</v>
      </c>
      <c r="R473" s="16" t="n">
        <f aca="false">IF(K473&gt;0,Q473,R462)</f>
        <v>46535</v>
      </c>
      <c r="S473" s="15" t="s">
        <v>3650</v>
      </c>
    </row>
    <row r="474" customFormat="false" ht="15" hidden="false" customHeight="false" outlineLevel="0" collapsed="false">
      <c r="A474" s="15" t="s">
        <v>3668</v>
      </c>
      <c r="B474" s="15" t="s">
        <v>3659</v>
      </c>
      <c r="C474" s="15" t="s">
        <v>391</v>
      </c>
      <c r="D474" s="15" t="s">
        <v>1075</v>
      </c>
      <c r="E474" s="15" t="s">
        <v>1082</v>
      </c>
      <c r="F474" s="15" t="s">
        <v>3022</v>
      </c>
      <c r="G474" s="15" t="s">
        <v>3023</v>
      </c>
      <c r="H474" s="33" t="n">
        <f aca="false">Packages!$O$48</f>
        <v>17.4789034181319</v>
      </c>
      <c r="I474" s="15" t="s">
        <v>118</v>
      </c>
      <c r="J474" s="34" t="n">
        <f aca="false">MAX(1,ROUNDUP(Packages!$O$48/(R_SLAB*Fronts!$K$7),0))+SLAB_CURE</f>
        <v>5</v>
      </c>
      <c r="K474" s="34" t="n">
        <f aca="false">IF(J474=0,0,ROUNDUP(J474*7/WD,0))</f>
        <v>6</v>
      </c>
      <c r="L474" s="15" t="s">
        <v>3666</v>
      </c>
      <c r="M474" s="34" t="n">
        <f aca="false">ROUNDUP(K473*LADDER,0)</f>
        <v>1</v>
      </c>
      <c r="N474" s="34" t="n">
        <f aca="false">IF(K474=0,0,FFLAG)</f>
        <v>2</v>
      </c>
      <c r="O474" s="15"/>
      <c r="P474" s="16" t="n">
        <f aca="false">MAX(P473+M474,R463)</f>
        <v>46559</v>
      </c>
      <c r="Q474" s="16" t="n">
        <f aca="false">MAX(P474+K474,Q473+N474)</f>
        <v>46565</v>
      </c>
      <c r="R474" s="16" t="n">
        <f aca="false">IF(K474&gt;0,Q474,R463)</f>
        <v>46565</v>
      </c>
      <c r="S474" s="15" t="s">
        <v>3652</v>
      </c>
    </row>
    <row r="475" customFormat="false" ht="15" hidden="false" customHeight="false" outlineLevel="0" collapsed="false">
      <c r="A475" s="15" t="s">
        <v>3669</v>
      </c>
      <c r="B475" s="15" t="s">
        <v>3659</v>
      </c>
      <c r="C475" s="15" t="s">
        <v>391</v>
      </c>
      <c r="D475" s="15" t="s">
        <v>1075</v>
      </c>
      <c r="E475" s="15" t="s">
        <v>1082</v>
      </c>
      <c r="F475" s="15" t="s">
        <v>3025</v>
      </c>
      <c r="G475" s="15" t="s">
        <v>3026</v>
      </c>
      <c r="H475" s="33" t="n">
        <f aca="false">Packages!$O$48</f>
        <v>17.4789034181319</v>
      </c>
      <c r="I475" s="15" t="s">
        <v>118</v>
      </c>
      <c r="J475" s="34" t="n">
        <f aca="false">MAX(1,ROUNDUP(Packages!$O$48/(IF(Packages!$N$48&gt;=PIPE_T1,R_PIPE_L,IF(Packages!$N$48&gt;=PIPE_T2,R_PIPE_M,R_PIPE_S))*Fronts!$L$7)+Packages!$M$48*FIT_D+IF(Packages!$G$48&lt;&gt;"Run",TIE_D,0),0))</f>
        <v>1</v>
      </c>
      <c r="K475" s="34" t="n">
        <f aca="false">IF(J475=0,0,ROUNDUP(J475*7/WD,0))</f>
        <v>2</v>
      </c>
      <c r="L475" s="15" t="s">
        <v>3668</v>
      </c>
      <c r="M475" s="34" t="n">
        <f aca="false">ROUNDUP(K474*LADDER,0)</f>
        <v>2</v>
      </c>
      <c r="N475" s="34" t="n">
        <f aca="false">IF(K475=0,0,FFLAG)</f>
        <v>2</v>
      </c>
      <c r="O475" s="15"/>
      <c r="P475" s="16" t="n">
        <f aca="false">MAX(P474+M475,R464)</f>
        <v>46561</v>
      </c>
      <c r="Q475" s="16" t="n">
        <f aca="false">MAX(P475+K475,Q474+N475)</f>
        <v>46567</v>
      </c>
      <c r="R475" s="16" t="n">
        <f aca="false">IF(K475&gt;0,Q475,R464)</f>
        <v>46567</v>
      </c>
      <c r="S475" s="15" t="s">
        <v>3653</v>
      </c>
    </row>
    <row r="476" customFormat="false" ht="15" hidden="false" customHeight="false" outlineLevel="0" collapsed="false">
      <c r="A476" s="15" t="s">
        <v>3670</v>
      </c>
      <c r="B476" s="15" t="s">
        <v>3659</v>
      </c>
      <c r="C476" s="15" t="s">
        <v>391</v>
      </c>
      <c r="D476" s="15" t="s">
        <v>1075</v>
      </c>
      <c r="E476" s="15" t="s">
        <v>1082</v>
      </c>
      <c r="F476" s="15" t="s">
        <v>3028</v>
      </c>
      <c r="G476" s="15" t="s">
        <v>3029</v>
      </c>
      <c r="H476" s="33" t="n">
        <f aca="false">Packages!$O$48</f>
        <v>17.4789034181319</v>
      </c>
      <c r="I476" s="15" t="s">
        <v>118</v>
      </c>
      <c r="J476" s="34" t="n">
        <f aca="false">TEST_D+ROUNDUP(Packages!$O$48/R_TEST,0)</f>
        <v>3</v>
      </c>
      <c r="K476" s="34" t="n">
        <f aca="false">IF(J476=0,0,ROUNDUP(J476*7/WD,0))</f>
        <v>4</v>
      </c>
      <c r="L476" s="15" t="s">
        <v>3669</v>
      </c>
      <c r="M476" s="34" t="n">
        <f aca="false">ROUNDUP(K475*LADDER,0)</f>
        <v>1</v>
      </c>
      <c r="N476" s="34" t="n">
        <f aca="false">IF(K476=0,0,FFLAG)</f>
        <v>2</v>
      </c>
      <c r="O476" s="15"/>
      <c r="P476" s="16" t="n">
        <f aca="false">MAX(P475+M476)</f>
        <v>46562</v>
      </c>
      <c r="Q476" s="16" t="n">
        <f aca="false">MAX(P476+K476,Q475+N476)</f>
        <v>46569</v>
      </c>
      <c r="R476" s="12"/>
      <c r="S476" s="12"/>
    </row>
    <row r="477" customFormat="false" ht="15" hidden="false" customHeight="false" outlineLevel="0" collapsed="false">
      <c r="A477" s="15" t="s">
        <v>3671</v>
      </c>
      <c r="B477" s="15" t="s">
        <v>3659</v>
      </c>
      <c r="C477" s="15" t="s">
        <v>391</v>
      </c>
      <c r="D477" s="15" t="s">
        <v>1075</v>
      </c>
      <c r="E477" s="15" t="s">
        <v>1082</v>
      </c>
      <c r="F477" s="15" t="s">
        <v>3031</v>
      </c>
      <c r="G477" s="15" t="s">
        <v>3032</v>
      </c>
      <c r="H477" s="33" t="n">
        <f aca="false">Packages!$AB$48</f>
        <v>71.24573881472</v>
      </c>
      <c r="I477" s="15" t="s">
        <v>3019</v>
      </c>
      <c r="J477" s="34" t="n">
        <f aca="false">MAX(1,ROUNDUP(Packages!$AB$48/(R_BF*Fronts!$M$7),0))</f>
        <v>1</v>
      </c>
      <c r="K477" s="34" t="n">
        <f aca="false">IF(J477=0,0,ROUNDUP(J477*7/WD,0))</f>
        <v>2</v>
      </c>
      <c r="L477" s="15" t="s">
        <v>3670</v>
      </c>
      <c r="M477" s="34" t="n">
        <f aca="false">ROUNDUP(K476*LADDER,0)</f>
        <v>2</v>
      </c>
      <c r="N477" s="34" t="n">
        <f aca="false">IF(K477=0,0,FFLAG)</f>
        <v>2</v>
      </c>
      <c r="O477" s="15" t="s">
        <v>3672</v>
      </c>
      <c r="P477" s="16" t="n">
        <f aca="false">MAX(P476+M477,R466,Q519,Q508,Q486)</f>
        <v>46586</v>
      </c>
      <c r="Q477" s="16" t="n">
        <f aca="false">MAX(P477+K477,Q476+N477)</f>
        <v>46588</v>
      </c>
      <c r="R477" s="16" t="n">
        <f aca="false">IF(K477&gt;0,Q477,R466)</f>
        <v>46588</v>
      </c>
      <c r="S477" s="15" t="s">
        <v>3655</v>
      </c>
    </row>
    <row r="478" customFormat="false" ht="15" hidden="false" customHeight="false" outlineLevel="0" collapsed="false">
      <c r="A478" s="15" t="s">
        <v>3673</v>
      </c>
      <c r="B478" s="15" t="s">
        <v>3659</v>
      </c>
      <c r="C478" s="15" t="s">
        <v>391</v>
      </c>
      <c r="D478" s="15" t="s">
        <v>1075</v>
      </c>
      <c r="E478" s="15" t="s">
        <v>1082</v>
      </c>
      <c r="F478" s="15" t="s">
        <v>3034</v>
      </c>
      <c r="G478" s="15" t="s">
        <v>3035</v>
      </c>
      <c r="H478" s="33" t="n">
        <f aca="false">Packages!$AD$48</f>
        <v>34.9578068362638</v>
      </c>
      <c r="I478" s="15" t="s">
        <v>3012</v>
      </c>
      <c r="J478" s="34" t="n">
        <f aca="false">IF(Packages!$AD$48&gt;0,ROUNDUP(Packages!$AD$48/R_EXT,0),0)+IF(Packages!$AG$48&gt;0,1,0)</f>
        <v>2</v>
      </c>
      <c r="K478" s="34" t="n">
        <f aca="false">IF(J478=0,0,ROUNDUP(J478*7/WD,0))</f>
        <v>3</v>
      </c>
      <c r="L478" s="15" t="s">
        <v>3671</v>
      </c>
      <c r="M478" s="34" t="n">
        <f aca="false">ROUNDUP(K477*LADDER,0)</f>
        <v>1</v>
      </c>
      <c r="N478" s="34" t="n">
        <f aca="false">IF(K478=0,0,FFLAG)</f>
        <v>2</v>
      </c>
      <c r="O478" s="15"/>
      <c r="P478" s="16" t="n">
        <f aca="false">MAX(P477+M478)</f>
        <v>46587</v>
      </c>
      <c r="Q478" s="16" t="n">
        <f aca="false">MAX(P478+K478,Q477+N478)</f>
        <v>46590</v>
      </c>
      <c r="R478" s="12"/>
      <c r="S478" s="12"/>
    </row>
    <row r="479" customFormat="false" ht="15" hidden="false" customHeight="false" outlineLevel="0" collapsed="false">
      <c r="A479" s="15" t="s">
        <v>3674</v>
      </c>
      <c r="B479" s="15" t="s">
        <v>3675</v>
      </c>
      <c r="C479" s="15" t="s">
        <v>391</v>
      </c>
      <c r="D479" s="15" t="s">
        <v>1136</v>
      </c>
      <c r="E479" s="15" t="s">
        <v>1147</v>
      </c>
      <c r="F479" s="15" t="s">
        <v>2998</v>
      </c>
      <c r="G479" s="15" t="s">
        <v>2999</v>
      </c>
      <c r="H479" s="12"/>
      <c r="I479" s="12"/>
      <c r="J479" s="34" t="n">
        <f aca="false">0</f>
        <v>0</v>
      </c>
      <c r="K479" s="34" t="n">
        <f aca="false">IF(J479=0,0,ROUNDUP(J479*7/WD,0))</f>
        <v>0</v>
      </c>
      <c r="L479" s="12"/>
      <c r="M479" s="12"/>
      <c r="N479" s="12"/>
      <c r="O479" s="15" t="s">
        <v>3000</v>
      </c>
      <c r="P479" s="16" t="n">
        <f aca="false">MAX(START,D_DLU,Packages!$I$49,Packages!$K$49)</f>
        <v>46357</v>
      </c>
      <c r="Q479" s="16" t="n">
        <f aca="false">P479+K479</f>
        <v>46357</v>
      </c>
      <c r="R479" s="12"/>
      <c r="S479" s="12"/>
    </row>
    <row r="480" customFormat="false" ht="15" hidden="false" customHeight="false" outlineLevel="0" collapsed="false">
      <c r="A480" s="15" t="s">
        <v>3676</v>
      </c>
      <c r="B480" s="15" t="s">
        <v>3675</v>
      </c>
      <c r="C480" s="15" t="s">
        <v>391</v>
      </c>
      <c r="D480" s="15" t="s">
        <v>1136</v>
      </c>
      <c r="E480" s="15" t="s">
        <v>1147</v>
      </c>
      <c r="F480" s="15" t="s">
        <v>3002</v>
      </c>
      <c r="G480" s="15" t="s">
        <v>205</v>
      </c>
      <c r="H480" s="33" t="n">
        <f aca="false">Packages!$O$49</f>
        <v>23.1000000001454</v>
      </c>
      <c r="I480" s="15" t="s">
        <v>118</v>
      </c>
      <c r="J480" s="34" t="n">
        <f aca="false">MAX(1,ROUNDUP(Packages!$O$49/R_PLAT,0))</f>
        <v>1</v>
      </c>
      <c r="K480" s="34" t="n">
        <f aca="false">IF(J480=0,0,ROUNDUP(J480*7/WD,0))</f>
        <v>2</v>
      </c>
      <c r="L480" s="15" t="s">
        <v>3674</v>
      </c>
      <c r="M480" s="12"/>
      <c r="N480" s="12"/>
      <c r="O480" s="15" t="s">
        <v>3677</v>
      </c>
      <c r="P480" s="16" t="n">
        <f aca="false">MAX(Q479,P470)</f>
        <v>46475</v>
      </c>
      <c r="Q480" s="16" t="n">
        <f aca="false">P480+K480</f>
        <v>46477</v>
      </c>
      <c r="R480" s="12"/>
      <c r="S480" s="12"/>
    </row>
    <row r="481" customFormat="false" ht="15" hidden="false" customHeight="false" outlineLevel="0" collapsed="false">
      <c r="A481" s="15" t="s">
        <v>3678</v>
      </c>
      <c r="B481" s="15" t="s">
        <v>3675</v>
      </c>
      <c r="C481" s="15" t="s">
        <v>391</v>
      </c>
      <c r="D481" s="15" t="s">
        <v>1136</v>
      </c>
      <c r="E481" s="15" t="s">
        <v>1147</v>
      </c>
      <c r="F481" s="15" t="s">
        <v>3005</v>
      </c>
      <c r="G481" s="15" t="s">
        <v>3006</v>
      </c>
      <c r="H481" s="33" t="n">
        <f aca="false">Packages!$AC$49</f>
        <v>18</v>
      </c>
      <c r="I481" s="15" t="s">
        <v>3007</v>
      </c>
      <c r="J481" s="34" t="n">
        <f aca="false">IF(Packages!$AC$49=0,0,MAX(1,ROUNDUP(Packages!$AC$49/(R_PILE*Fronts!$H$7),0)))</f>
        <v>4</v>
      </c>
      <c r="K481" s="34" t="n">
        <f aca="false">IF(J481=0,0,ROUNDUP(J481*7/WD,0))</f>
        <v>5</v>
      </c>
      <c r="L481" s="15" t="s">
        <v>3676</v>
      </c>
      <c r="M481" s="34" t="n">
        <f aca="false">ROUNDUP(K480*LADDER,0)</f>
        <v>1</v>
      </c>
      <c r="N481" s="34" t="n">
        <f aca="false">IF(K481=0,0,FFLAG)</f>
        <v>2</v>
      </c>
      <c r="O481" s="15" t="s">
        <v>3008</v>
      </c>
      <c r="P481" s="16" t="n">
        <f aca="false">MAX(P480+M481,D_PILEDES,R470)</f>
        <v>46479</v>
      </c>
      <c r="Q481" s="16" t="n">
        <f aca="false">MAX(P481+K481,Q480+N481)</f>
        <v>46484</v>
      </c>
      <c r="R481" s="16" t="n">
        <f aca="false">IF(K481&gt;0,Q481,R470)</f>
        <v>46484</v>
      </c>
      <c r="S481" s="15" t="s">
        <v>3662</v>
      </c>
    </row>
    <row r="482" customFormat="false" ht="15" hidden="false" customHeight="false" outlineLevel="0" collapsed="false">
      <c r="A482" s="15" t="s">
        <v>3679</v>
      </c>
      <c r="B482" s="15" t="s">
        <v>3675</v>
      </c>
      <c r="C482" s="15" t="s">
        <v>391</v>
      </c>
      <c r="D482" s="15" t="s">
        <v>1136</v>
      </c>
      <c r="E482" s="15" t="s">
        <v>1147</v>
      </c>
      <c r="F482" s="15" t="s">
        <v>3010</v>
      </c>
      <c r="G482" s="15" t="s">
        <v>3011</v>
      </c>
      <c r="H482" s="33" t="n">
        <f aca="false">Packages!$AD$49</f>
        <v>11.8000000003869</v>
      </c>
      <c r="I482" s="15" t="s">
        <v>3012</v>
      </c>
      <c r="J482" s="34" t="n">
        <f aca="false">IF(Packages!$AD$49=0,0,MAX(1,ROUNDUP(Packages!$AD$49/(R_SHEET*Fronts!$I$7),0)))</f>
        <v>1</v>
      </c>
      <c r="K482" s="34" t="n">
        <f aca="false">IF(J482=0,0,ROUNDUP(J482*7/WD,0))</f>
        <v>2</v>
      </c>
      <c r="L482" s="15" t="s">
        <v>3678</v>
      </c>
      <c r="M482" s="34" t="n">
        <f aca="false">ROUNDUP(K481*LADDER,0)</f>
        <v>2</v>
      </c>
      <c r="N482" s="34" t="n">
        <f aca="false">IF(K482=0,0,FFLAG)</f>
        <v>2</v>
      </c>
      <c r="O482" s="15"/>
      <c r="P482" s="16" t="n">
        <f aca="false">MAX(P481+M482,R471)</f>
        <v>46481</v>
      </c>
      <c r="Q482" s="16" t="n">
        <f aca="false">MAX(P482+K482,Q481+N482)</f>
        <v>46486</v>
      </c>
      <c r="R482" s="16" t="n">
        <f aca="false">IF(K482&gt;0,Q482,R471)</f>
        <v>46486</v>
      </c>
      <c r="S482" s="15" t="s">
        <v>3663</v>
      </c>
    </row>
    <row r="483" customFormat="false" ht="15" hidden="false" customHeight="false" outlineLevel="0" collapsed="false">
      <c r="A483" s="15" t="s">
        <v>3680</v>
      </c>
      <c r="B483" s="15" t="s">
        <v>3675</v>
      </c>
      <c r="C483" s="15" t="s">
        <v>391</v>
      </c>
      <c r="D483" s="15" t="s">
        <v>1136</v>
      </c>
      <c r="E483" s="15" t="s">
        <v>1147</v>
      </c>
      <c r="F483" s="15" t="s">
        <v>3014</v>
      </c>
      <c r="G483" s="15" t="s">
        <v>3015</v>
      </c>
      <c r="H483" s="33" t="n">
        <f aca="false">Packages!$O$49</f>
        <v>23.1000000001454</v>
      </c>
      <c r="I483" s="15" t="s">
        <v>118</v>
      </c>
      <c r="J483" s="34" t="n">
        <f aca="false">IF(Packages!$AG$49=0,0,ROUNDUP(Packages!$O$49/R_DW,0)+DW_DRAW)</f>
        <v>8</v>
      </c>
      <c r="K483" s="34" t="n">
        <f aca="false">IF(J483=0,0,ROUNDUP(J483*7/WD,0))</f>
        <v>10</v>
      </c>
      <c r="L483" s="15" t="s">
        <v>3679</v>
      </c>
      <c r="M483" s="34" t="n">
        <f aca="false">ROUNDUP(K482*LADDER,0)</f>
        <v>1</v>
      </c>
      <c r="N483" s="34" t="n">
        <f aca="false">IF(K483=0,0,FFLAG)</f>
        <v>2</v>
      </c>
      <c r="O483" s="15" t="s">
        <v>3681</v>
      </c>
      <c r="P483" s="16" t="n">
        <f aca="false">MAX(P482+M483,Q473-K483)</f>
        <v>46525</v>
      </c>
      <c r="Q483" s="16" t="n">
        <f aca="false">MAX(P483+K483,Q482+N483)</f>
        <v>46535</v>
      </c>
      <c r="R483" s="12"/>
      <c r="S483" s="12"/>
    </row>
    <row r="484" customFormat="false" ht="15" hidden="false" customHeight="false" outlineLevel="0" collapsed="false">
      <c r="A484" s="15" t="s">
        <v>3682</v>
      </c>
      <c r="B484" s="15" t="s">
        <v>3675</v>
      </c>
      <c r="C484" s="15" t="s">
        <v>391</v>
      </c>
      <c r="D484" s="15" t="s">
        <v>1136</v>
      </c>
      <c r="E484" s="15" t="s">
        <v>1147</v>
      </c>
      <c r="F484" s="15" t="s">
        <v>3017</v>
      </c>
      <c r="G484" s="15" t="s">
        <v>3018</v>
      </c>
      <c r="H484" s="33" t="n">
        <f aca="false">Packages!$X$49+Packages!$Y$49</f>
        <v>466.89384494384</v>
      </c>
      <c r="I484" s="15" t="s">
        <v>3019</v>
      </c>
      <c r="J484" s="34" t="n">
        <f aca="false">MAX(1,ROUNDUP((Packages!$X$49/R_EXS+Packages!$Y$49/R_EXO)/Fronts!$J$7,0))</f>
        <v>2</v>
      </c>
      <c r="K484" s="34" t="n">
        <f aca="false">IF(J484=0,0,ROUNDUP(J484*7/WD,0))</f>
        <v>3</v>
      </c>
      <c r="L484" s="15" t="s">
        <v>3680</v>
      </c>
      <c r="M484" s="34" t="n">
        <f aca="false">IF(K483=0,0,ROUNDUP((K483-ROUNDUP(DW_DRAW*7/WD,0))*LADDER,0)+ROUNDUP(DW_DRAW*7/WD,0))</f>
        <v>10</v>
      </c>
      <c r="N484" s="34" t="n">
        <f aca="false">IF(K484=0,0,FFLAG)</f>
        <v>2</v>
      </c>
      <c r="O484" s="15" t="s">
        <v>3683</v>
      </c>
      <c r="P484" s="16" t="n">
        <f aca="false">MAX(P483+M484,R473,Q1192,Q1181,Q1643,Q1280,Q1269,P473,P462,P440)</f>
        <v>46535</v>
      </c>
      <c r="Q484" s="16" t="n">
        <f aca="false">MAX(P484+K484,Q483+N484)</f>
        <v>46538</v>
      </c>
      <c r="R484" s="16" t="n">
        <f aca="false">IF(K484&gt;0,Q484,R473)</f>
        <v>46538</v>
      </c>
      <c r="S484" s="15" t="s">
        <v>3666</v>
      </c>
    </row>
    <row r="485" customFormat="false" ht="15" hidden="false" customHeight="false" outlineLevel="0" collapsed="false">
      <c r="A485" s="15" t="s">
        <v>3684</v>
      </c>
      <c r="B485" s="15" t="s">
        <v>3675</v>
      </c>
      <c r="C485" s="15" t="s">
        <v>391</v>
      </c>
      <c r="D485" s="15" t="s">
        <v>1136</v>
      </c>
      <c r="E485" s="15" t="s">
        <v>1147</v>
      </c>
      <c r="F485" s="15" t="s">
        <v>3022</v>
      </c>
      <c r="G485" s="15" t="s">
        <v>3023</v>
      </c>
      <c r="H485" s="33" t="n">
        <f aca="false">Packages!$O$49</f>
        <v>23.1000000001454</v>
      </c>
      <c r="I485" s="15" t="s">
        <v>118</v>
      </c>
      <c r="J485" s="34" t="n">
        <f aca="false">MAX(1,ROUNDUP(Packages!$O$49/(R_SLAB*Fronts!$K$7),0))+SLAB_CURE</f>
        <v>5</v>
      </c>
      <c r="K485" s="34" t="n">
        <f aca="false">IF(J485=0,0,ROUNDUP(J485*7/WD,0))</f>
        <v>6</v>
      </c>
      <c r="L485" s="15" t="s">
        <v>3682</v>
      </c>
      <c r="M485" s="34" t="n">
        <f aca="false">ROUNDUP(K484*LADDER,0)</f>
        <v>1</v>
      </c>
      <c r="N485" s="34" t="n">
        <f aca="false">IF(K485=0,0,FFLAG)</f>
        <v>2</v>
      </c>
      <c r="O485" s="15"/>
      <c r="P485" s="16" t="n">
        <f aca="false">MAX(P484+M485,R474)</f>
        <v>46565</v>
      </c>
      <c r="Q485" s="16" t="n">
        <f aca="false">MAX(P485+K485,Q484+N485)</f>
        <v>46571</v>
      </c>
      <c r="R485" s="16" t="n">
        <f aca="false">IF(K485&gt;0,Q485,R474)</f>
        <v>46571</v>
      </c>
      <c r="S485" s="15" t="s">
        <v>3668</v>
      </c>
    </row>
    <row r="486" customFormat="false" ht="15" hidden="false" customHeight="false" outlineLevel="0" collapsed="false">
      <c r="A486" s="15" t="s">
        <v>3685</v>
      </c>
      <c r="B486" s="15" t="s">
        <v>3675</v>
      </c>
      <c r="C486" s="15" t="s">
        <v>391</v>
      </c>
      <c r="D486" s="15" t="s">
        <v>1136</v>
      </c>
      <c r="E486" s="15" t="s">
        <v>1147</v>
      </c>
      <c r="F486" s="15" t="s">
        <v>3025</v>
      </c>
      <c r="G486" s="15" t="s">
        <v>3026</v>
      </c>
      <c r="H486" s="33" t="n">
        <f aca="false">Packages!$O$49</f>
        <v>23.1000000001454</v>
      </c>
      <c r="I486" s="15" t="s">
        <v>118</v>
      </c>
      <c r="J486" s="34" t="n">
        <f aca="false">MAX(1,ROUNDUP(Packages!$O$49/(IF(Packages!$N$49&gt;=PIPE_T1,R_PIPE_L,IF(Packages!$N$49&gt;=PIPE_T2,R_PIPE_M,R_PIPE_S))*Fronts!$L$7)+Packages!$M$49*FIT_D+IF(Packages!$G$49&lt;&gt;"Run",TIE_D,0),0))</f>
        <v>2</v>
      </c>
      <c r="K486" s="34" t="n">
        <f aca="false">IF(J486=0,0,ROUNDUP(J486*7/WD,0))</f>
        <v>3</v>
      </c>
      <c r="L486" s="15" t="s">
        <v>3684</v>
      </c>
      <c r="M486" s="34" t="n">
        <f aca="false">ROUNDUP(K485*LADDER,0)</f>
        <v>2</v>
      </c>
      <c r="N486" s="34" t="n">
        <f aca="false">IF(K486=0,0,FFLAG)</f>
        <v>2</v>
      </c>
      <c r="O486" s="15"/>
      <c r="P486" s="16" t="n">
        <f aca="false">MAX(P485+M486,R475)</f>
        <v>46567</v>
      </c>
      <c r="Q486" s="16" t="n">
        <f aca="false">MAX(P486+K486,Q485+N486)</f>
        <v>46573</v>
      </c>
      <c r="R486" s="16" t="n">
        <f aca="false">IF(K486&gt;0,Q486,R475)</f>
        <v>46573</v>
      </c>
      <c r="S486" s="15" t="s">
        <v>3669</v>
      </c>
    </row>
    <row r="487" customFormat="false" ht="15" hidden="false" customHeight="false" outlineLevel="0" collapsed="false">
      <c r="A487" s="15" t="s">
        <v>3686</v>
      </c>
      <c r="B487" s="15" t="s">
        <v>3675</v>
      </c>
      <c r="C487" s="15" t="s">
        <v>391</v>
      </c>
      <c r="D487" s="15" t="s">
        <v>1136</v>
      </c>
      <c r="E487" s="15" t="s">
        <v>1147</v>
      </c>
      <c r="F487" s="15" t="s">
        <v>3028</v>
      </c>
      <c r="G487" s="15" t="s">
        <v>3029</v>
      </c>
      <c r="H487" s="33" t="n">
        <f aca="false">Packages!$O$49</f>
        <v>23.1000000001454</v>
      </c>
      <c r="I487" s="15" t="s">
        <v>118</v>
      </c>
      <c r="J487" s="34" t="n">
        <f aca="false">TEST_D+ROUNDUP(Packages!$O$49/R_TEST,0)</f>
        <v>3</v>
      </c>
      <c r="K487" s="34" t="n">
        <f aca="false">IF(J487=0,0,ROUNDUP(J487*7/WD,0))</f>
        <v>4</v>
      </c>
      <c r="L487" s="15" t="s">
        <v>3685</v>
      </c>
      <c r="M487" s="34" t="n">
        <f aca="false">ROUNDUP(K486*LADDER,0)</f>
        <v>1</v>
      </c>
      <c r="N487" s="34" t="n">
        <f aca="false">IF(K487=0,0,FFLAG)</f>
        <v>2</v>
      </c>
      <c r="O487" s="15"/>
      <c r="P487" s="16" t="n">
        <f aca="false">MAX(P486+M487)</f>
        <v>46568</v>
      </c>
      <c r="Q487" s="16" t="n">
        <f aca="false">MAX(P487+K487,Q486+N487)</f>
        <v>46575</v>
      </c>
      <c r="R487" s="12"/>
      <c r="S487" s="12"/>
    </row>
    <row r="488" customFormat="false" ht="15" hidden="false" customHeight="false" outlineLevel="0" collapsed="false">
      <c r="A488" s="15" t="s">
        <v>3687</v>
      </c>
      <c r="B488" s="15" t="s">
        <v>3675</v>
      </c>
      <c r="C488" s="15" t="s">
        <v>391</v>
      </c>
      <c r="D488" s="15" t="s">
        <v>1136</v>
      </c>
      <c r="E488" s="15" t="s">
        <v>1147</v>
      </c>
      <c r="F488" s="15" t="s">
        <v>3031</v>
      </c>
      <c r="G488" s="15" t="s">
        <v>3032</v>
      </c>
      <c r="H488" s="33" t="n">
        <f aca="false">Packages!$AB$49</f>
        <v>296.574815031297</v>
      </c>
      <c r="I488" s="15" t="s">
        <v>3019</v>
      </c>
      <c r="J488" s="34" t="n">
        <f aca="false">MAX(1,ROUNDUP(Packages!$AB$49/(R_BF*Fronts!$M$7),0))</f>
        <v>1</v>
      </c>
      <c r="K488" s="34" t="n">
        <f aca="false">IF(J488=0,0,ROUNDUP(J488*7/WD,0))</f>
        <v>2</v>
      </c>
      <c r="L488" s="15" t="s">
        <v>3686</v>
      </c>
      <c r="M488" s="34" t="n">
        <f aca="false">ROUNDUP(K487*LADDER,0)</f>
        <v>2</v>
      </c>
      <c r="N488" s="34" t="n">
        <f aca="false">IF(K488=0,0,FFLAG)</f>
        <v>2</v>
      </c>
      <c r="O488" s="15" t="s">
        <v>3688</v>
      </c>
      <c r="P488" s="16" t="n">
        <f aca="false">MAX(P487+M488,R477,Q475,Q464,Q442)</f>
        <v>46588</v>
      </c>
      <c r="Q488" s="16" t="n">
        <f aca="false">MAX(P488+K488,Q487+N488)</f>
        <v>46590</v>
      </c>
      <c r="R488" s="16" t="n">
        <f aca="false">IF(K488&gt;0,Q488,R477)</f>
        <v>46590</v>
      </c>
      <c r="S488" s="15" t="s">
        <v>3671</v>
      </c>
    </row>
    <row r="489" customFormat="false" ht="15" hidden="false" customHeight="false" outlineLevel="0" collapsed="false">
      <c r="A489" s="15" t="s">
        <v>3689</v>
      </c>
      <c r="B489" s="15" t="s">
        <v>3675</v>
      </c>
      <c r="C489" s="15" t="s">
        <v>391</v>
      </c>
      <c r="D489" s="15" t="s">
        <v>1136</v>
      </c>
      <c r="E489" s="15" t="s">
        <v>1147</v>
      </c>
      <c r="F489" s="15" t="s">
        <v>3034</v>
      </c>
      <c r="G489" s="15" t="s">
        <v>3035</v>
      </c>
      <c r="H489" s="33" t="n">
        <f aca="false">Packages!$AD$49</f>
        <v>11.8000000003869</v>
      </c>
      <c r="I489" s="15" t="s">
        <v>3012</v>
      </c>
      <c r="J489" s="34" t="n">
        <f aca="false">IF(Packages!$AD$49&gt;0,ROUNDUP(Packages!$AD$49/R_EXT,0),0)+IF(Packages!$AG$49&gt;0,1,0)</f>
        <v>2</v>
      </c>
      <c r="K489" s="34" t="n">
        <f aca="false">IF(J489=0,0,ROUNDUP(J489*7/WD,0))</f>
        <v>3</v>
      </c>
      <c r="L489" s="15" t="s">
        <v>3687</v>
      </c>
      <c r="M489" s="34" t="n">
        <f aca="false">ROUNDUP(K488*LADDER,0)</f>
        <v>1</v>
      </c>
      <c r="N489" s="34" t="n">
        <f aca="false">IF(K489=0,0,FFLAG)</f>
        <v>2</v>
      </c>
      <c r="O489" s="15"/>
      <c r="P489" s="16" t="n">
        <f aca="false">MAX(P488+M489)</f>
        <v>46589</v>
      </c>
      <c r="Q489" s="16" t="n">
        <f aca="false">MAX(P489+K489,Q488+N489)</f>
        <v>46592</v>
      </c>
      <c r="R489" s="12"/>
      <c r="S489" s="12"/>
    </row>
    <row r="490" customFormat="false" ht="15" hidden="false" customHeight="false" outlineLevel="0" collapsed="false">
      <c r="A490" s="15" t="s">
        <v>3690</v>
      </c>
      <c r="B490" s="15" t="s">
        <v>3691</v>
      </c>
      <c r="C490" s="15" t="s">
        <v>391</v>
      </c>
      <c r="D490" s="15" t="s">
        <v>1075</v>
      </c>
      <c r="E490" s="15" t="s">
        <v>1076</v>
      </c>
      <c r="F490" s="15" t="s">
        <v>2998</v>
      </c>
      <c r="G490" s="15" t="s">
        <v>2999</v>
      </c>
      <c r="H490" s="12"/>
      <c r="I490" s="12"/>
      <c r="J490" s="34" t="n">
        <f aca="false">0</f>
        <v>0</v>
      </c>
      <c r="K490" s="34" t="n">
        <f aca="false">IF(J490=0,0,ROUNDUP(J490*7/WD,0))</f>
        <v>0</v>
      </c>
      <c r="L490" s="12"/>
      <c r="M490" s="12"/>
      <c r="N490" s="12"/>
      <c r="O490" s="15" t="s">
        <v>3038</v>
      </c>
      <c r="P490" s="16" t="n">
        <f aca="false">MAX(START,D_DLU,Packages!$I$50,Packages!$K$50)</f>
        <v>46357</v>
      </c>
      <c r="Q490" s="16" t="n">
        <f aca="false">P490+K490</f>
        <v>46357</v>
      </c>
      <c r="R490" s="12"/>
      <c r="S490" s="12"/>
    </row>
    <row r="491" customFormat="false" ht="15" hidden="false" customHeight="false" outlineLevel="0" collapsed="false">
      <c r="A491" s="15" t="s">
        <v>3692</v>
      </c>
      <c r="B491" s="15" t="s">
        <v>3691</v>
      </c>
      <c r="C491" s="15" t="s">
        <v>391</v>
      </c>
      <c r="D491" s="15" t="s">
        <v>1075</v>
      </c>
      <c r="E491" s="15" t="s">
        <v>1076</v>
      </c>
      <c r="F491" s="15" t="s">
        <v>3002</v>
      </c>
      <c r="G491" s="15" t="s">
        <v>205</v>
      </c>
      <c r="H491" s="33" t="n">
        <f aca="false">Packages!$O$50</f>
        <v>20.5210965823392</v>
      </c>
      <c r="I491" s="15" t="s">
        <v>118</v>
      </c>
      <c r="J491" s="34" t="n">
        <f aca="false">MAX(1,ROUNDUP(Packages!$O$50/R_PLAT,0))</f>
        <v>1</v>
      </c>
      <c r="K491" s="34" t="n">
        <f aca="false">IF(J491=0,0,ROUNDUP(J491*7/WD,0))</f>
        <v>2</v>
      </c>
      <c r="L491" s="15" t="s">
        <v>3690</v>
      </c>
      <c r="M491" s="12"/>
      <c r="N491" s="12"/>
      <c r="O491" s="15" t="s">
        <v>3693</v>
      </c>
      <c r="P491" s="16" t="n">
        <f aca="false">MAX(Q490,P470)</f>
        <v>46475</v>
      </c>
      <c r="Q491" s="16" t="n">
        <f aca="false">P491+K491</f>
        <v>46477</v>
      </c>
      <c r="R491" s="12"/>
      <c r="S491" s="12"/>
    </row>
    <row r="492" customFormat="false" ht="15" hidden="false" customHeight="false" outlineLevel="0" collapsed="false">
      <c r="A492" s="15" t="s">
        <v>3694</v>
      </c>
      <c r="B492" s="15" t="s">
        <v>3691</v>
      </c>
      <c r="C492" s="15" t="s">
        <v>391</v>
      </c>
      <c r="D492" s="15" t="s">
        <v>1075</v>
      </c>
      <c r="E492" s="15" t="s">
        <v>1076</v>
      </c>
      <c r="F492" s="15" t="s">
        <v>3005</v>
      </c>
      <c r="G492" s="15" t="s">
        <v>3006</v>
      </c>
      <c r="H492" s="33" t="n">
        <f aca="false">Packages!$AC$50</f>
        <v>16</v>
      </c>
      <c r="I492" s="15" t="s">
        <v>3007</v>
      </c>
      <c r="J492" s="34" t="n">
        <f aca="false">IF(Packages!$AC$50=0,0,MAX(1,ROUNDUP(Packages!$AC$50/(R_PILE*Fronts!$H$7),0)))</f>
        <v>4</v>
      </c>
      <c r="K492" s="34" t="n">
        <f aca="false">IF(J492=0,0,ROUNDUP(J492*7/WD,0))</f>
        <v>5</v>
      </c>
      <c r="L492" s="15" t="s">
        <v>3692</v>
      </c>
      <c r="M492" s="34" t="n">
        <f aca="false">ROUNDUP(K491*LADDER,0)</f>
        <v>1</v>
      </c>
      <c r="N492" s="34" t="n">
        <f aca="false">IF(K492=0,0,FFLAG)</f>
        <v>2</v>
      </c>
      <c r="O492" s="15" t="s">
        <v>3008</v>
      </c>
      <c r="P492" s="16" t="n">
        <f aca="false">MAX(P491+M492,D_PILEDES)</f>
        <v>46476</v>
      </c>
      <c r="Q492" s="16" t="n">
        <f aca="false">MAX(P492+K492,Q491+N492)</f>
        <v>46481</v>
      </c>
      <c r="R492" s="16" t="n">
        <f aca="false">IF(K492&gt;0,Q492,0)</f>
        <v>46481</v>
      </c>
      <c r="S492" s="12"/>
    </row>
    <row r="493" customFormat="false" ht="15" hidden="false" customHeight="false" outlineLevel="0" collapsed="false">
      <c r="A493" s="15" t="s">
        <v>3695</v>
      </c>
      <c r="B493" s="15" t="s">
        <v>3691</v>
      </c>
      <c r="C493" s="15" t="s">
        <v>391</v>
      </c>
      <c r="D493" s="15" t="s">
        <v>1075</v>
      </c>
      <c r="E493" s="15" t="s">
        <v>1076</v>
      </c>
      <c r="F493" s="15" t="s">
        <v>3010</v>
      </c>
      <c r="G493" s="15" t="s">
        <v>3011</v>
      </c>
      <c r="H493" s="33" t="n">
        <f aca="false">Packages!$AD$50</f>
        <v>0</v>
      </c>
      <c r="I493" s="15" t="s">
        <v>3012</v>
      </c>
      <c r="J493" s="34" t="n">
        <f aca="false">IF(Packages!$AD$50=0,0,MAX(1,ROUNDUP(Packages!$AD$50/(R_SHEET*Fronts!$I$7),0)))</f>
        <v>0</v>
      </c>
      <c r="K493" s="34" t="n">
        <f aca="false">IF(J493=0,0,ROUNDUP(J493*7/WD,0))</f>
        <v>0</v>
      </c>
      <c r="L493" s="15" t="s">
        <v>3694</v>
      </c>
      <c r="M493" s="34" t="n">
        <f aca="false">ROUNDUP(K492*LADDER,0)</f>
        <v>2</v>
      </c>
      <c r="N493" s="34" t="n">
        <f aca="false">IF(K493=0,0,FFLAG)</f>
        <v>0</v>
      </c>
      <c r="O493" s="15"/>
      <c r="P493" s="16" t="n">
        <f aca="false">MAX(P492+M493)</f>
        <v>46478</v>
      </c>
      <c r="Q493" s="16" t="n">
        <f aca="false">MAX(P493+K493,Q492+N493)</f>
        <v>46481</v>
      </c>
      <c r="R493" s="16" t="n">
        <f aca="false">IF(K493&gt;0,Q493,0)</f>
        <v>0</v>
      </c>
      <c r="S493" s="12"/>
    </row>
    <row r="494" customFormat="false" ht="15" hidden="false" customHeight="false" outlineLevel="0" collapsed="false">
      <c r="A494" s="15" t="s">
        <v>3696</v>
      </c>
      <c r="B494" s="15" t="s">
        <v>3691</v>
      </c>
      <c r="C494" s="15" t="s">
        <v>391</v>
      </c>
      <c r="D494" s="15" t="s">
        <v>1075</v>
      </c>
      <c r="E494" s="15" t="s">
        <v>1076</v>
      </c>
      <c r="F494" s="15" t="s">
        <v>3014</v>
      </c>
      <c r="G494" s="15" t="s">
        <v>3015</v>
      </c>
      <c r="H494" s="33" t="n">
        <f aca="false">Packages!$O$50</f>
        <v>20.5210965823392</v>
      </c>
      <c r="I494" s="15" t="s">
        <v>118</v>
      </c>
      <c r="J494" s="34" t="n">
        <f aca="false">IF(Packages!$AG$50=0,0,ROUNDUP(Packages!$O$50/R_DW,0)+DW_DRAW)</f>
        <v>8</v>
      </c>
      <c r="K494" s="34" t="n">
        <f aca="false">IF(J494=0,0,ROUNDUP(J494*7/WD,0))</f>
        <v>10</v>
      </c>
      <c r="L494" s="15" t="s">
        <v>3695</v>
      </c>
      <c r="M494" s="34" t="n">
        <f aca="false">ROUNDUP(K493*LADDER,0)</f>
        <v>0</v>
      </c>
      <c r="N494" s="34" t="n">
        <f aca="false">IF(K494=0,0,FFLAG)</f>
        <v>2</v>
      </c>
      <c r="O494" s="15"/>
      <c r="P494" s="16" t="n">
        <f aca="false">MAX(P493+M494)</f>
        <v>46478</v>
      </c>
      <c r="Q494" s="16" t="n">
        <f aca="false">MAX(P494+K494,Q493+N494)</f>
        <v>46488</v>
      </c>
      <c r="R494" s="12"/>
      <c r="S494" s="12"/>
    </row>
    <row r="495" customFormat="false" ht="15" hidden="false" customHeight="false" outlineLevel="0" collapsed="false">
      <c r="A495" s="15" t="s">
        <v>3697</v>
      </c>
      <c r="B495" s="15" t="s">
        <v>3691</v>
      </c>
      <c r="C495" s="15" t="s">
        <v>391</v>
      </c>
      <c r="D495" s="15" t="s">
        <v>1075</v>
      </c>
      <c r="E495" s="15" t="s">
        <v>1076</v>
      </c>
      <c r="F495" s="15" t="s">
        <v>3017</v>
      </c>
      <c r="G495" s="15" t="s">
        <v>3018</v>
      </c>
      <c r="H495" s="33" t="n">
        <f aca="false">Packages!$X$50+Packages!$Y$50</f>
        <v>482.209441585664</v>
      </c>
      <c r="I495" s="15" t="s">
        <v>3019</v>
      </c>
      <c r="J495" s="34" t="n">
        <f aca="false">MAX(1,ROUNDUP((Packages!$X$50/R_EXS+Packages!$Y$50/R_EXO)/Fronts!$J$7,0))</f>
        <v>2</v>
      </c>
      <c r="K495" s="34" t="n">
        <f aca="false">IF(J495=0,0,ROUNDUP(J495*7/WD,0))</f>
        <v>3</v>
      </c>
      <c r="L495" s="15" t="s">
        <v>3696</v>
      </c>
      <c r="M495" s="34" t="n">
        <f aca="false">IF(K494=0,0,ROUNDUP((K494-ROUNDUP(DW_DRAW*7/WD,0))*LADDER,0)+ROUNDUP(DW_DRAW*7/WD,0))</f>
        <v>10</v>
      </c>
      <c r="N495" s="34" t="n">
        <f aca="false">IF(K495=0,0,FFLAG)</f>
        <v>2</v>
      </c>
      <c r="O495" s="15" t="s">
        <v>3698</v>
      </c>
      <c r="P495" s="16" t="n">
        <f aca="false">MAX(P494+M495,Q1269,P517)</f>
        <v>46533</v>
      </c>
      <c r="Q495" s="16" t="n">
        <f aca="false">MAX(P495+K495,Q494+N495)</f>
        <v>46536</v>
      </c>
      <c r="R495" s="16" t="n">
        <f aca="false">IF(K495&gt;0,Q495,0)</f>
        <v>46536</v>
      </c>
      <c r="S495" s="12"/>
    </row>
    <row r="496" customFormat="false" ht="15" hidden="false" customHeight="false" outlineLevel="0" collapsed="false">
      <c r="A496" s="15" t="s">
        <v>3699</v>
      </c>
      <c r="B496" s="15" t="s">
        <v>3691</v>
      </c>
      <c r="C496" s="15" t="s">
        <v>391</v>
      </c>
      <c r="D496" s="15" t="s">
        <v>1075</v>
      </c>
      <c r="E496" s="15" t="s">
        <v>1076</v>
      </c>
      <c r="F496" s="15" t="s">
        <v>3022</v>
      </c>
      <c r="G496" s="15" t="s">
        <v>3023</v>
      </c>
      <c r="H496" s="33" t="n">
        <f aca="false">Packages!$O$50</f>
        <v>20.5210965823392</v>
      </c>
      <c r="I496" s="15" t="s">
        <v>118</v>
      </c>
      <c r="J496" s="34" t="n">
        <f aca="false">MAX(1,ROUNDUP(Packages!$O$50/(R_SLAB*Fronts!$K$7),0))+SLAB_CURE</f>
        <v>5</v>
      </c>
      <c r="K496" s="34" t="n">
        <f aca="false">IF(J496=0,0,ROUNDUP(J496*7/WD,0))</f>
        <v>6</v>
      </c>
      <c r="L496" s="15" t="s">
        <v>3697</v>
      </c>
      <c r="M496" s="34" t="n">
        <f aca="false">ROUNDUP(K495*LADDER,0)</f>
        <v>1</v>
      </c>
      <c r="N496" s="34" t="n">
        <f aca="false">IF(K496=0,0,FFLAG)</f>
        <v>2</v>
      </c>
      <c r="O496" s="15"/>
      <c r="P496" s="16" t="n">
        <f aca="false">MAX(P495+M496)</f>
        <v>46534</v>
      </c>
      <c r="Q496" s="16" t="n">
        <f aca="false">MAX(P496+K496,Q495+N496)</f>
        <v>46540</v>
      </c>
      <c r="R496" s="16" t="n">
        <f aca="false">IF(K496&gt;0,Q496,0)</f>
        <v>46540</v>
      </c>
      <c r="S496" s="12"/>
    </row>
    <row r="497" customFormat="false" ht="15" hidden="false" customHeight="false" outlineLevel="0" collapsed="false">
      <c r="A497" s="15" t="s">
        <v>3700</v>
      </c>
      <c r="B497" s="15" t="s">
        <v>3691</v>
      </c>
      <c r="C497" s="15" t="s">
        <v>391</v>
      </c>
      <c r="D497" s="15" t="s">
        <v>1075</v>
      </c>
      <c r="E497" s="15" t="s">
        <v>1076</v>
      </c>
      <c r="F497" s="15" t="s">
        <v>3025</v>
      </c>
      <c r="G497" s="15" t="s">
        <v>3026</v>
      </c>
      <c r="H497" s="33" t="n">
        <f aca="false">Packages!$O$50</f>
        <v>20.5210965823392</v>
      </c>
      <c r="I497" s="15" t="s">
        <v>118</v>
      </c>
      <c r="J497" s="34" t="n">
        <f aca="false">MAX(1,ROUNDUP(Packages!$O$50/(IF(Packages!$N$50&gt;=PIPE_T1,R_PIPE_L,IF(Packages!$N$50&gt;=PIPE_T2,R_PIPE_M,R_PIPE_S))*Fronts!$L$7)+Packages!$M$50*FIT_D+IF(Packages!$G$50&lt;&gt;"Run",TIE_D,0),0))</f>
        <v>6</v>
      </c>
      <c r="K497" s="34" t="n">
        <f aca="false">IF(J497=0,0,ROUNDUP(J497*7/WD,0))</f>
        <v>7</v>
      </c>
      <c r="L497" s="15" t="s">
        <v>3699</v>
      </c>
      <c r="M497" s="34" t="n">
        <f aca="false">ROUNDUP(K496*LADDER,0)</f>
        <v>2</v>
      </c>
      <c r="N497" s="34" t="n">
        <f aca="false">IF(K497=0,0,FFLAG)</f>
        <v>2</v>
      </c>
      <c r="O497" s="15" t="s">
        <v>3701</v>
      </c>
      <c r="P497" s="16" t="n">
        <f aca="false">MAX(P496+M497,Q475)</f>
        <v>46567</v>
      </c>
      <c r="Q497" s="16" t="n">
        <f aca="false">MAX(P497+K497,Q496+N497)</f>
        <v>46574</v>
      </c>
      <c r="R497" s="16" t="n">
        <f aca="false">IF(K497&gt;0,Q497,0)</f>
        <v>46574</v>
      </c>
      <c r="S497" s="12"/>
    </row>
    <row r="498" customFormat="false" ht="15" hidden="false" customHeight="false" outlineLevel="0" collapsed="false">
      <c r="A498" s="15" t="s">
        <v>3702</v>
      </c>
      <c r="B498" s="15" t="s">
        <v>3691</v>
      </c>
      <c r="C498" s="15" t="s">
        <v>391</v>
      </c>
      <c r="D498" s="15" t="s">
        <v>1075</v>
      </c>
      <c r="E498" s="15" t="s">
        <v>1076</v>
      </c>
      <c r="F498" s="15" t="s">
        <v>3028</v>
      </c>
      <c r="G498" s="15" t="s">
        <v>3029</v>
      </c>
      <c r="H498" s="33" t="n">
        <f aca="false">Packages!$O$50</f>
        <v>20.5210965823392</v>
      </c>
      <c r="I498" s="15" t="s">
        <v>118</v>
      </c>
      <c r="J498" s="34" t="n">
        <f aca="false">TEST_D+ROUNDUP(Packages!$O$50/R_TEST,0)</f>
        <v>3</v>
      </c>
      <c r="K498" s="34" t="n">
        <f aca="false">IF(J498=0,0,ROUNDUP(J498*7/WD,0))</f>
        <v>4</v>
      </c>
      <c r="L498" s="15" t="s">
        <v>3700</v>
      </c>
      <c r="M498" s="34" t="n">
        <f aca="false">ROUNDUP(K497*LADDER,0)</f>
        <v>3</v>
      </c>
      <c r="N498" s="34" t="n">
        <f aca="false">IF(K498=0,0,FFLAG)</f>
        <v>2</v>
      </c>
      <c r="O498" s="15"/>
      <c r="P498" s="16" t="n">
        <f aca="false">MAX(P497+M498)</f>
        <v>46570</v>
      </c>
      <c r="Q498" s="16" t="n">
        <f aca="false">MAX(P498+K498,Q497+N498)</f>
        <v>46576</v>
      </c>
      <c r="R498" s="12"/>
      <c r="S498" s="12"/>
    </row>
    <row r="499" customFormat="false" ht="15" hidden="false" customHeight="false" outlineLevel="0" collapsed="false">
      <c r="A499" s="15" t="s">
        <v>3703</v>
      </c>
      <c r="B499" s="15" t="s">
        <v>3691</v>
      </c>
      <c r="C499" s="15" t="s">
        <v>391</v>
      </c>
      <c r="D499" s="15" t="s">
        <v>1075</v>
      </c>
      <c r="E499" s="15" t="s">
        <v>1076</v>
      </c>
      <c r="F499" s="15" t="s">
        <v>3031</v>
      </c>
      <c r="G499" s="15" t="s">
        <v>3032</v>
      </c>
      <c r="H499" s="33" t="n">
        <f aca="false">Packages!$AB$50</f>
        <v>328.125926360605</v>
      </c>
      <c r="I499" s="15" t="s">
        <v>3019</v>
      </c>
      <c r="J499" s="34" t="n">
        <f aca="false">MAX(1,ROUNDUP(Packages!$AB$50/(R_BF*Fronts!$M$7),0))</f>
        <v>1</v>
      </c>
      <c r="K499" s="34" t="n">
        <f aca="false">IF(J499=0,0,ROUNDUP(J499*7/WD,0))</f>
        <v>2</v>
      </c>
      <c r="L499" s="15" t="s">
        <v>3702</v>
      </c>
      <c r="M499" s="34" t="n">
        <f aca="false">ROUNDUP(K498*LADDER,0)</f>
        <v>2</v>
      </c>
      <c r="N499" s="34" t="n">
        <f aca="false">IF(K499=0,0,FFLAG)</f>
        <v>2</v>
      </c>
      <c r="O499" s="15" t="s">
        <v>3704</v>
      </c>
      <c r="P499" s="16" t="n">
        <f aca="false">MAX(P498+M499,Q519,Q508)</f>
        <v>46586</v>
      </c>
      <c r="Q499" s="16" t="n">
        <f aca="false">MAX(P499+K499,Q498+N499)</f>
        <v>46588</v>
      </c>
      <c r="R499" s="16" t="n">
        <f aca="false">IF(K499&gt;0,Q499,0)</f>
        <v>46588</v>
      </c>
      <c r="S499" s="12"/>
    </row>
    <row r="500" customFormat="false" ht="15" hidden="false" customHeight="false" outlineLevel="0" collapsed="false">
      <c r="A500" s="15" t="s">
        <v>3705</v>
      </c>
      <c r="B500" s="15" t="s">
        <v>3691</v>
      </c>
      <c r="C500" s="15" t="s">
        <v>391</v>
      </c>
      <c r="D500" s="15" t="s">
        <v>1075</v>
      </c>
      <c r="E500" s="15" t="s">
        <v>1076</v>
      </c>
      <c r="F500" s="15" t="s">
        <v>3034</v>
      </c>
      <c r="G500" s="15" t="s">
        <v>3035</v>
      </c>
      <c r="H500" s="33" t="n">
        <f aca="false">Packages!$AD$50</f>
        <v>0</v>
      </c>
      <c r="I500" s="15" t="s">
        <v>3012</v>
      </c>
      <c r="J500" s="34" t="n">
        <f aca="false">IF(Packages!$AD$50&gt;0,ROUNDUP(Packages!$AD$50/R_EXT,0),0)+IF(Packages!$AG$50&gt;0,1,0)</f>
        <v>1</v>
      </c>
      <c r="K500" s="34" t="n">
        <f aca="false">IF(J500=0,0,ROUNDUP(J500*7/WD,0))</f>
        <v>2</v>
      </c>
      <c r="L500" s="15" t="s">
        <v>3703</v>
      </c>
      <c r="M500" s="34" t="n">
        <f aca="false">ROUNDUP(K499*LADDER,0)</f>
        <v>1</v>
      </c>
      <c r="N500" s="34" t="n">
        <f aca="false">IF(K500=0,0,FFLAG)</f>
        <v>2</v>
      </c>
      <c r="O500" s="15"/>
      <c r="P500" s="16" t="n">
        <f aca="false">MAX(P499+M500)</f>
        <v>46587</v>
      </c>
      <c r="Q500" s="16" t="n">
        <f aca="false">MAX(P500+K500,Q499+N500)</f>
        <v>46590</v>
      </c>
      <c r="R500" s="12"/>
      <c r="S500" s="12"/>
    </row>
    <row r="501" customFormat="false" ht="15" hidden="false" customHeight="false" outlineLevel="0" collapsed="false">
      <c r="A501" s="15" t="s">
        <v>3706</v>
      </c>
      <c r="B501" s="15" t="s">
        <v>3707</v>
      </c>
      <c r="C501" s="15" t="s">
        <v>391</v>
      </c>
      <c r="D501" s="15" t="s">
        <v>1136</v>
      </c>
      <c r="E501" s="15" t="s">
        <v>1143</v>
      </c>
      <c r="F501" s="15" t="s">
        <v>2998</v>
      </c>
      <c r="G501" s="15" t="s">
        <v>2999</v>
      </c>
      <c r="H501" s="12"/>
      <c r="I501" s="12"/>
      <c r="J501" s="34" t="n">
        <f aca="false">0</f>
        <v>0</v>
      </c>
      <c r="K501" s="34" t="n">
        <f aca="false">IF(J501=0,0,ROUNDUP(J501*7/WD,0))</f>
        <v>0</v>
      </c>
      <c r="L501" s="12"/>
      <c r="M501" s="12"/>
      <c r="N501" s="12"/>
      <c r="O501" s="15" t="s">
        <v>3000</v>
      </c>
      <c r="P501" s="16" t="n">
        <f aca="false">MAX(START,D_DLU,Packages!$I$51,Packages!$K$51)</f>
        <v>46357</v>
      </c>
      <c r="Q501" s="16" t="n">
        <f aca="false">P501+K501</f>
        <v>46357</v>
      </c>
      <c r="R501" s="12"/>
      <c r="S501" s="12"/>
    </row>
    <row r="502" customFormat="false" ht="15" hidden="false" customHeight="false" outlineLevel="0" collapsed="false">
      <c r="A502" s="15" t="s">
        <v>3708</v>
      </c>
      <c r="B502" s="15" t="s">
        <v>3707</v>
      </c>
      <c r="C502" s="15" t="s">
        <v>391</v>
      </c>
      <c r="D502" s="15" t="s">
        <v>1136</v>
      </c>
      <c r="E502" s="15" t="s">
        <v>1143</v>
      </c>
      <c r="F502" s="15" t="s">
        <v>3002</v>
      </c>
      <c r="G502" s="15" t="s">
        <v>205</v>
      </c>
      <c r="H502" s="33" t="n">
        <f aca="false">Packages!$O$51</f>
        <v>20.2371217176385</v>
      </c>
      <c r="I502" s="15" t="s">
        <v>118</v>
      </c>
      <c r="J502" s="34" t="n">
        <f aca="false">MAX(1,ROUNDUP(Packages!$O$51/R_PLAT,0))</f>
        <v>1</v>
      </c>
      <c r="K502" s="34" t="n">
        <f aca="false">IF(J502=0,0,ROUNDUP(J502*7/WD,0))</f>
        <v>2</v>
      </c>
      <c r="L502" s="15" t="s">
        <v>3706</v>
      </c>
      <c r="M502" s="12"/>
      <c r="N502" s="12"/>
      <c r="O502" s="15" t="s">
        <v>3709</v>
      </c>
      <c r="P502" s="16" t="n">
        <f aca="false">MAX(Q501,P481)</f>
        <v>46479</v>
      </c>
      <c r="Q502" s="16" t="n">
        <f aca="false">P502+K502</f>
        <v>46481</v>
      </c>
      <c r="R502" s="12"/>
      <c r="S502" s="12"/>
    </row>
    <row r="503" customFormat="false" ht="15" hidden="false" customHeight="false" outlineLevel="0" collapsed="false">
      <c r="A503" s="15" t="s">
        <v>3710</v>
      </c>
      <c r="B503" s="15" t="s">
        <v>3707</v>
      </c>
      <c r="C503" s="15" t="s">
        <v>391</v>
      </c>
      <c r="D503" s="15" t="s">
        <v>1136</v>
      </c>
      <c r="E503" s="15" t="s">
        <v>1143</v>
      </c>
      <c r="F503" s="15" t="s">
        <v>3005</v>
      </c>
      <c r="G503" s="15" t="s">
        <v>3006</v>
      </c>
      <c r="H503" s="33" t="n">
        <f aca="false">Packages!$AC$51</f>
        <v>16</v>
      </c>
      <c r="I503" s="15" t="s">
        <v>3007</v>
      </c>
      <c r="J503" s="34" t="n">
        <f aca="false">IF(Packages!$AC$51=0,0,MAX(1,ROUNDUP(Packages!$AC$51/(R_PILE*Fronts!$H$7),0)))</f>
        <v>4</v>
      </c>
      <c r="K503" s="34" t="n">
        <f aca="false">IF(J503=0,0,ROUNDUP(J503*7/WD,0))</f>
        <v>5</v>
      </c>
      <c r="L503" s="15" t="s">
        <v>3708</v>
      </c>
      <c r="M503" s="34" t="n">
        <f aca="false">ROUNDUP(K502*LADDER,0)</f>
        <v>1</v>
      </c>
      <c r="N503" s="34" t="n">
        <f aca="false">IF(K503=0,0,FFLAG)</f>
        <v>2</v>
      </c>
      <c r="O503" s="15" t="s">
        <v>3008</v>
      </c>
      <c r="P503" s="16" t="n">
        <f aca="false">MAX(P502+M503,D_PILEDES,R481)</f>
        <v>46484</v>
      </c>
      <c r="Q503" s="16" t="n">
        <f aca="false">MAX(P503+K503,Q502+N503)</f>
        <v>46489</v>
      </c>
      <c r="R503" s="16" t="n">
        <f aca="false">IF(K503&gt;0,Q503,R481)</f>
        <v>46489</v>
      </c>
      <c r="S503" s="15" t="s">
        <v>3678</v>
      </c>
    </row>
    <row r="504" customFormat="false" ht="15" hidden="false" customHeight="false" outlineLevel="0" collapsed="false">
      <c r="A504" s="15" t="s">
        <v>3711</v>
      </c>
      <c r="B504" s="15" t="s">
        <v>3707</v>
      </c>
      <c r="C504" s="15" t="s">
        <v>391</v>
      </c>
      <c r="D504" s="15" t="s">
        <v>1136</v>
      </c>
      <c r="E504" s="15" t="s">
        <v>1143</v>
      </c>
      <c r="F504" s="15" t="s">
        <v>3010</v>
      </c>
      <c r="G504" s="15" t="s">
        <v>3011</v>
      </c>
      <c r="H504" s="33" t="n">
        <f aca="false">Packages!$AD$51</f>
        <v>28.1999999986962</v>
      </c>
      <c r="I504" s="15" t="s">
        <v>3012</v>
      </c>
      <c r="J504" s="34" t="n">
        <f aca="false">IF(Packages!$AD$51=0,0,MAX(1,ROUNDUP(Packages!$AD$51/(R_SHEET*Fronts!$I$7),0)))</f>
        <v>2</v>
      </c>
      <c r="K504" s="34" t="n">
        <f aca="false">IF(J504=0,0,ROUNDUP(J504*7/WD,0))</f>
        <v>3</v>
      </c>
      <c r="L504" s="15" t="s">
        <v>3710</v>
      </c>
      <c r="M504" s="34" t="n">
        <f aca="false">ROUNDUP(K503*LADDER,0)</f>
        <v>2</v>
      </c>
      <c r="N504" s="34" t="n">
        <f aca="false">IF(K504=0,0,FFLAG)</f>
        <v>2</v>
      </c>
      <c r="O504" s="15"/>
      <c r="P504" s="16" t="n">
        <f aca="false">MAX(P503+M504,R482)</f>
        <v>46486</v>
      </c>
      <c r="Q504" s="16" t="n">
        <f aca="false">MAX(P504+K504,Q503+N504)</f>
        <v>46491</v>
      </c>
      <c r="R504" s="16" t="n">
        <f aca="false">IF(K504&gt;0,Q504,R482)</f>
        <v>46491</v>
      </c>
      <c r="S504" s="15" t="s">
        <v>3679</v>
      </c>
    </row>
    <row r="505" customFormat="false" ht="15" hidden="false" customHeight="false" outlineLevel="0" collapsed="false">
      <c r="A505" s="15" t="s">
        <v>3712</v>
      </c>
      <c r="B505" s="15" t="s">
        <v>3707</v>
      </c>
      <c r="C505" s="15" t="s">
        <v>391</v>
      </c>
      <c r="D505" s="15" t="s">
        <v>1136</v>
      </c>
      <c r="E505" s="15" t="s">
        <v>1143</v>
      </c>
      <c r="F505" s="15" t="s">
        <v>3014</v>
      </c>
      <c r="G505" s="15" t="s">
        <v>3015</v>
      </c>
      <c r="H505" s="33" t="n">
        <f aca="false">Packages!$O$51</f>
        <v>20.2371217176385</v>
      </c>
      <c r="I505" s="15" t="s">
        <v>118</v>
      </c>
      <c r="J505" s="34" t="n">
        <f aca="false">IF(Packages!$AG$51=0,0,ROUNDUP(Packages!$O$51/R_DW,0)+DW_DRAW)</f>
        <v>8</v>
      </c>
      <c r="K505" s="34" t="n">
        <f aca="false">IF(J505=0,0,ROUNDUP(J505*7/WD,0))</f>
        <v>10</v>
      </c>
      <c r="L505" s="15" t="s">
        <v>3711</v>
      </c>
      <c r="M505" s="34" t="n">
        <f aca="false">ROUNDUP(K504*LADDER,0)</f>
        <v>1</v>
      </c>
      <c r="N505" s="34" t="n">
        <f aca="false">IF(K505=0,0,FFLAG)</f>
        <v>2</v>
      </c>
      <c r="O505" s="15" t="s">
        <v>3713</v>
      </c>
      <c r="P505" s="16" t="n">
        <f aca="false">MAX(P504+M505,Q484-K505)</f>
        <v>46528</v>
      </c>
      <c r="Q505" s="16" t="n">
        <f aca="false">MAX(P505+K505,Q504+N505)</f>
        <v>46538</v>
      </c>
      <c r="R505" s="12"/>
      <c r="S505" s="12"/>
    </row>
    <row r="506" customFormat="false" ht="15" hidden="false" customHeight="false" outlineLevel="0" collapsed="false">
      <c r="A506" s="15" t="s">
        <v>3714</v>
      </c>
      <c r="B506" s="15" t="s">
        <v>3707</v>
      </c>
      <c r="C506" s="15" t="s">
        <v>391</v>
      </c>
      <c r="D506" s="15" t="s">
        <v>1136</v>
      </c>
      <c r="E506" s="15" t="s">
        <v>1143</v>
      </c>
      <c r="F506" s="15" t="s">
        <v>3017</v>
      </c>
      <c r="G506" s="15" t="s">
        <v>3018</v>
      </c>
      <c r="H506" s="33" t="n">
        <f aca="false">Packages!$X$51+Packages!$Y$51</f>
        <v>303.923461422726</v>
      </c>
      <c r="I506" s="15" t="s">
        <v>3019</v>
      </c>
      <c r="J506" s="34" t="n">
        <f aca="false">MAX(1,ROUNDUP((Packages!$X$51/R_EXS+Packages!$Y$51/R_EXO)/Fronts!$J$7,0))</f>
        <v>1</v>
      </c>
      <c r="K506" s="34" t="n">
        <f aca="false">IF(J506=0,0,ROUNDUP(J506*7/WD,0))</f>
        <v>2</v>
      </c>
      <c r="L506" s="15" t="s">
        <v>3712</v>
      </c>
      <c r="M506" s="34" t="n">
        <f aca="false">IF(K505=0,0,ROUNDUP((K505-ROUNDUP(DW_DRAW*7/WD,0))*LADDER,0)+ROUNDUP(DW_DRAW*7/WD,0))</f>
        <v>10</v>
      </c>
      <c r="N506" s="34" t="n">
        <f aca="false">IF(K506=0,0,FFLAG)</f>
        <v>2</v>
      </c>
      <c r="O506" s="15" t="s">
        <v>3715</v>
      </c>
      <c r="P506" s="16" t="n">
        <f aca="false">MAX(P505+M506,R484,Q1280,Q1269,P495,P473,P462)</f>
        <v>46538</v>
      </c>
      <c r="Q506" s="16" t="n">
        <f aca="false">MAX(P506+K506,Q505+N506)</f>
        <v>46540</v>
      </c>
      <c r="R506" s="16" t="n">
        <f aca="false">IF(K506&gt;0,Q506,R484)</f>
        <v>46540</v>
      </c>
      <c r="S506" s="15" t="s">
        <v>3682</v>
      </c>
    </row>
    <row r="507" customFormat="false" ht="15" hidden="false" customHeight="false" outlineLevel="0" collapsed="false">
      <c r="A507" s="15" t="s">
        <v>3716</v>
      </c>
      <c r="B507" s="15" t="s">
        <v>3707</v>
      </c>
      <c r="C507" s="15" t="s">
        <v>391</v>
      </c>
      <c r="D507" s="15" t="s">
        <v>1136</v>
      </c>
      <c r="E507" s="15" t="s">
        <v>1143</v>
      </c>
      <c r="F507" s="15" t="s">
        <v>3022</v>
      </c>
      <c r="G507" s="15" t="s">
        <v>3023</v>
      </c>
      <c r="H507" s="33" t="n">
        <f aca="false">Packages!$O$51</f>
        <v>20.2371217176385</v>
      </c>
      <c r="I507" s="15" t="s">
        <v>118</v>
      </c>
      <c r="J507" s="34" t="n">
        <f aca="false">MAX(1,ROUNDUP(Packages!$O$51/(R_SLAB*Fronts!$K$7),0))+SLAB_CURE</f>
        <v>5</v>
      </c>
      <c r="K507" s="34" t="n">
        <f aca="false">IF(J507=0,0,ROUNDUP(J507*7/WD,0))</f>
        <v>6</v>
      </c>
      <c r="L507" s="15" t="s">
        <v>3714</v>
      </c>
      <c r="M507" s="34" t="n">
        <f aca="false">ROUNDUP(K506*LADDER,0)</f>
        <v>1</v>
      </c>
      <c r="N507" s="34" t="n">
        <f aca="false">IF(K507=0,0,FFLAG)</f>
        <v>2</v>
      </c>
      <c r="O507" s="15"/>
      <c r="P507" s="16" t="n">
        <f aca="false">MAX(P506+M507,R485)</f>
        <v>46571</v>
      </c>
      <c r="Q507" s="16" t="n">
        <f aca="false">MAX(P507+K507,Q506+N507)</f>
        <v>46577</v>
      </c>
      <c r="R507" s="16" t="n">
        <f aca="false">IF(K507&gt;0,Q507,R485)</f>
        <v>46577</v>
      </c>
      <c r="S507" s="15" t="s">
        <v>3684</v>
      </c>
    </row>
    <row r="508" customFormat="false" ht="15" hidden="false" customHeight="false" outlineLevel="0" collapsed="false">
      <c r="A508" s="15" t="s">
        <v>3717</v>
      </c>
      <c r="B508" s="15" t="s">
        <v>3707</v>
      </c>
      <c r="C508" s="15" t="s">
        <v>391</v>
      </c>
      <c r="D508" s="15" t="s">
        <v>1136</v>
      </c>
      <c r="E508" s="15" t="s">
        <v>1143</v>
      </c>
      <c r="F508" s="15" t="s">
        <v>3025</v>
      </c>
      <c r="G508" s="15" t="s">
        <v>3026</v>
      </c>
      <c r="H508" s="33" t="n">
        <f aca="false">Packages!$O$51</f>
        <v>20.2371217176385</v>
      </c>
      <c r="I508" s="15" t="s">
        <v>118</v>
      </c>
      <c r="J508" s="34" t="n">
        <f aca="false">MAX(1,ROUNDUP(Packages!$O$51/(IF(Packages!$N$51&gt;=PIPE_T1,R_PIPE_L,IF(Packages!$N$51&gt;=PIPE_T2,R_PIPE_M,R_PIPE_S))*Fronts!$L$7)+Packages!$M$51*FIT_D+IF(Packages!$G$51&lt;&gt;"Run",TIE_D,0),0))</f>
        <v>2</v>
      </c>
      <c r="K508" s="34" t="n">
        <f aca="false">IF(J508=0,0,ROUNDUP(J508*7/WD,0))</f>
        <v>3</v>
      </c>
      <c r="L508" s="15" t="s">
        <v>3716</v>
      </c>
      <c r="M508" s="34" t="n">
        <f aca="false">ROUNDUP(K507*LADDER,0)</f>
        <v>2</v>
      </c>
      <c r="N508" s="34" t="n">
        <f aca="false">IF(K508=0,0,FFLAG)</f>
        <v>2</v>
      </c>
      <c r="O508" s="15"/>
      <c r="P508" s="16" t="n">
        <f aca="false">MAX(P507+M508,R486)</f>
        <v>46573</v>
      </c>
      <c r="Q508" s="16" t="n">
        <f aca="false">MAX(P508+K508,Q507+N508)</f>
        <v>46579</v>
      </c>
      <c r="R508" s="16" t="n">
        <f aca="false">IF(K508&gt;0,Q508,R486)</f>
        <v>46579</v>
      </c>
      <c r="S508" s="15" t="s">
        <v>3685</v>
      </c>
    </row>
    <row r="509" customFormat="false" ht="15" hidden="false" customHeight="false" outlineLevel="0" collapsed="false">
      <c r="A509" s="15" t="s">
        <v>3718</v>
      </c>
      <c r="B509" s="15" t="s">
        <v>3707</v>
      </c>
      <c r="C509" s="15" t="s">
        <v>391</v>
      </c>
      <c r="D509" s="15" t="s">
        <v>1136</v>
      </c>
      <c r="E509" s="15" t="s">
        <v>1143</v>
      </c>
      <c r="F509" s="15" t="s">
        <v>3028</v>
      </c>
      <c r="G509" s="15" t="s">
        <v>3029</v>
      </c>
      <c r="H509" s="33" t="n">
        <f aca="false">Packages!$O$51</f>
        <v>20.2371217176385</v>
      </c>
      <c r="I509" s="15" t="s">
        <v>118</v>
      </c>
      <c r="J509" s="34" t="n">
        <f aca="false">TEST_D+ROUNDUP(Packages!$O$51/R_TEST,0)</f>
        <v>3</v>
      </c>
      <c r="K509" s="34" t="n">
        <f aca="false">IF(J509=0,0,ROUNDUP(J509*7/WD,0))</f>
        <v>4</v>
      </c>
      <c r="L509" s="15" t="s">
        <v>3717</v>
      </c>
      <c r="M509" s="34" t="n">
        <f aca="false">ROUNDUP(K508*LADDER,0)</f>
        <v>1</v>
      </c>
      <c r="N509" s="34" t="n">
        <f aca="false">IF(K509=0,0,FFLAG)</f>
        <v>2</v>
      </c>
      <c r="O509" s="15"/>
      <c r="P509" s="16" t="n">
        <f aca="false">MAX(P508+M509)</f>
        <v>46574</v>
      </c>
      <c r="Q509" s="16" t="n">
        <f aca="false">MAX(P509+K509,Q508+N509)</f>
        <v>46581</v>
      </c>
      <c r="R509" s="12"/>
      <c r="S509" s="12"/>
    </row>
    <row r="510" customFormat="false" ht="15" hidden="false" customHeight="false" outlineLevel="0" collapsed="false">
      <c r="A510" s="15" t="s">
        <v>3719</v>
      </c>
      <c r="B510" s="15" t="s">
        <v>3707</v>
      </c>
      <c r="C510" s="15" t="s">
        <v>391</v>
      </c>
      <c r="D510" s="15" t="s">
        <v>1136</v>
      </c>
      <c r="E510" s="15" t="s">
        <v>1143</v>
      </c>
      <c r="F510" s="15" t="s">
        <v>3031</v>
      </c>
      <c r="G510" s="15" t="s">
        <v>3032</v>
      </c>
      <c r="H510" s="33" t="n">
        <f aca="false">Packages!$AB$51</f>
        <v>154.712771416295</v>
      </c>
      <c r="I510" s="15" t="s">
        <v>3019</v>
      </c>
      <c r="J510" s="34" t="n">
        <f aca="false">MAX(1,ROUNDUP(Packages!$AB$51/(R_BF*Fronts!$M$7),0))</f>
        <v>1</v>
      </c>
      <c r="K510" s="34" t="n">
        <f aca="false">IF(J510=0,0,ROUNDUP(J510*7/WD,0))</f>
        <v>2</v>
      </c>
      <c r="L510" s="15" t="s">
        <v>3718</v>
      </c>
      <c r="M510" s="34" t="n">
        <f aca="false">ROUNDUP(K509*LADDER,0)</f>
        <v>2</v>
      </c>
      <c r="N510" s="34" t="n">
        <f aca="false">IF(K510=0,0,FFLAG)</f>
        <v>2</v>
      </c>
      <c r="O510" s="15" t="s">
        <v>3720</v>
      </c>
      <c r="P510" s="16" t="n">
        <f aca="false">MAX(P509+M510,R488,Q497,Q475,Q464)</f>
        <v>46590</v>
      </c>
      <c r="Q510" s="16" t="n">
        <f aca="false">MAX(P510+K510,Q509+N510)</f>
        <v>46592</v>
      </c>
      <c r="R510" s="16" t="n">
        <f aca="false">IF(K510&gt;0,Q510,R488)</f>
        <v>46592</v>
      </c>
      <c r="S510" s="15" t="s">
        <v>3687</v>
      </c>
    </row>
    <row r="511" customFormat="false" ht="15" hidden="false" customHeight="false" outlineLevel="0" collapsed="false">
      <c r="A511" s="15" t="s">
        <v>3721</v>
      </c>
      <c r="B511" s="15" t="s">
        <v>3707</v>
      </c>
      <c r="C511" s="15" t="s">
        <v>391</v>
      </c>
      <c r="D511" s="15" t="s">
        <v>1136</v>
      </c>
      <c r="E511" s="15" t="s">
        <v>1143</v>
      </c>
      <c r="F511" s="15" t="s">
        <v>3034</v>
      </c>
      <c r="G511" s="15" t="s">
        <v>3035</v>
      </c>
      <c r="H511" s="33" t="n">
        <f aca="false">Packages!$AD$51</f>
        <v>28.1999999986962</v>
      </c>
      <c r="I511" s="15" t="s">
        <v>3012</v>
      </c>
      <c r="J511" s="34" t="n">
        <f aca="false">IF(Packages!$AD$51&gt;0,ROUNDUP(Packages!$AD$51/R_EXT,0),0)+IF(Packages!$AG$51&gt;0,1,0)</f>
        <v>2</v>
      </c>
      <c r="K511" s="34" t="n">
        <f aca="false">IF(J511=0,0,ROUNDUP(J511*7/WD,0))</f>
        <v>3</v>
      </c>
      <c r="L511" s="15" t="s">
        <v>3719</v>
      </c>
      <c r="M511" s="34" t="n">
        <f aca="false">ROUNDUP(K510*LADDER,0)</f>
        <v>1</v>
      </c>
      <c r="N511" s="34" t="n">
        <f aca="false">IF(K511=0,0,FFLAG)</f>
        <v>2</v>
      </c>
      <c r="O511" s="15"/>
      <c r="P511" s="16" t="n">
        <f aca="false">MAX(P510+M511)</f>
        <v>46591</v>
      </c>
      <c r="Q511" s="16" t="n">
        <f aca="false">MAX(P511+K511,Q510+N511)</f>
        <v>46594</v>
      </c>
      <c r="R511" s="12"/>
      <c r="S511" s="12"/>
    </row>
    <row r="512" customFormat="false" ht="15" hidden="false" customHeight="false" outlineLevel="0" collapsed="false">
      <c r="A512" s="15" t="s">
        <v>3722</v>
      </c>
      <c r="B512" s="15" t="s">
        <v>3723</v>
      </c>
      <c r="C512" s="15" t="s">
        <v>391</v>
      </c>
      <c r="D512" s="15" t="s">
        <v>1136</v>
      </c>
      <c r="E512" s="15" t="s">
        <v>1137</v>
      </c>
      <c r="F512" s="15" t="s">
        <v>2998</v>
      </c>
      <c r="G512" s="15" t="s">
        <v>2999</v>
      </c>
      <c r="H512" s="12"/>
      <c r="I512" s="12"/>
      <c r="J512" s="34" t="n">
        <f aca="false">0</f>
        <v>0</v>
      </c>
      <c r="K512" s="34" t="n">
        <f aca="false">IF(J512=0,0,ROUNDUP(J512*7/WD,0))</f>
        <v>0</v>
      </c>
      <c r="L512" s="12"/>
      <c r="M512" s="12"/>
      <c r="N512" s="12"/>
      <c r="O512" s="15" t="s">
        <v>3038</v>
      </c>
      <c r="P512" s="16" t="n">
        <f aca="false">MAX(START,D_DLU,Packages!$I$52,Packages!$K$52)</f>
        <v>46357</v>
      </c>
      <c r="Q512" s="16" t="n">
        <f aca="false">P512+K512</f>
        <v>46357</v>
      </c>
      <c r="R512" s="12"/>
      <c r="S512" s="12"/>
    </row>
    <row r="513" customFormat="false" ht="15" hidden="false" customHeight="false" outlineLevel="0" collapsed="false">
      <c r="A513" s="15" t="s">
        <v>3724</v>
      </c>
      <c r="B513" s="15" t="s">
        <v>3723</v>
      </c>
      <c r="C513" s="15" t="s">
        <v>391</v>
      </c>
      <c r="D513" s="15" t="s">
        <v>1136</v>
      </c>
      <c r="E513" s="15" t="s">
        <v>1137</v>
      </c>
      <c r="F513" s="15" t="s">
        <v>3002</v>
      </c>
      <c r="G513" s="15" t="s">
        <v>205</v>
      </c>
      <c r="H513" s="33" t="n">
        <f aca="false">Packages!$O$52</f>
        <v>23.8628782815891</v>
      </c>
      <c r="I513" s="15" t="s">
        <v>118</v>
      </c>
      <c r="J513" s="34" t="n">
        <f aca="false">MAX(1,ROUNDUP(Packages!$O$52/R_PLAT,0))</f>
        <v>1</v>
      </c>
      <c r="K513" s="34" t="n">
        <f aca="false">IF(J513=0,0,ROUNDUP(J513*7/WD,0))</f>
        <v>2</v>
      </c>
      <c r="L513" s="15" t="s">
        <v>3722</v>
      </c>
      <c r="M513" s="12"/>
      <c r="N513" s="12"/>
      <c r="O513" s="15" t="s">
        <v>3725</v>
      </c>
      <c r="P513" s="16" t="n">
        <f aca="false">MAX(Q512,P503)</f>
        <v>46484</v>
      </c>
      <c r="Q513" s="16" t="n">
        <f aca="false">P513+K513</f>
        <v>46486</v>
      </c>
      <c r="R513" s="12"/>
      <c r="S513" s="12"/>
    </row>
    <row r="514" customFormat="false" ht="15" hidden="false" customHeight="false" outlineLevel="0" collapsed="false">
      <c r="A514" s="15" t="s">
        <v>3726</v>
      </c>
      <c r="B514" s="15" t="s">
        <v>3723</v>
      </c>
      <c r="C514" s="15" t="s">
        <v>391</v>
      </c>
      <c r="D514" s="15" t="s">
        <v>1136</v>
      </c>
      <c r="E514" s="15" t="s">
        <v>1137</v>
      </c>
      <c r="F514" s="15" t="s">
        <v>3005</v>
      </c>
      <c r="G514" s="15" t="s">
        <v>3006</v>
      </c>
      <c r="H514" s="33" t="n">
        <f aca="false">Packages!$AC$52</f>
        <v>18</v>
      </c>
      <c r="I514" s="15" t="s">
        <v>3007</v>
      </c>
      <c r="J514" s="34" t="n">
        <f aca="false">IF(Packages!$AC$52=0,0,MAX(1,ROUNDUP(Packages!$AC$52/(R_PILE*Fronts!$H$7),0)))</f>
        <v>4</v>
      </c>
      <c r="K514" s="34" t="n">
        <f aca="false">IF(J514=0,0,ROUNDUP(J514*7/WD,0))</f>
        <v>5</v>
      </c>
      <c r="L514" s="15" t="s">
        <v>3724</v>
      </c>
      <c r="M514" s="34" t="n">
        <f aca="false">ROUNDUP(K513*LADDER,0)</f>
        <v>1</v>
      </c>
      <c r="N514" s="34" t="n">
        <f aca="false">IF(K514=0,0,FFLAG)</f>
        <v>2</v>
      </c>
      <c r="O514" s="15" t="s">
        <v>3008</v>
      </c>
      <c r="P514" s="16" t="n">
        <f aca="false">MAX(P513+M514,D_PILEDES)</f>
        <v>46485</v>
      </c>
      <c r="Q514" s="16" t="n">
        <f aca="false">MAX(P514+K514,Q513+N514)</f>
        <v>46490</v>
      </c>
      <c r="R514" s="16" t="n">
        <f aca="false">IF(K514&gt;0,Q514,0)</f>
        <v>46490</v>
      </c>
      <c r="S514" s="12"/>
    </row>
    <row r="515" customFormat="false" ht="15" hidden="false" customHeight="false" outlineLevel="0" collapsed="false">
      <c r="A515" s="15" t="s">
        <v>3727</v>
      </c>
      <c r="B515" s="15" t="s">
        <v>3723</v>
      </c>
      <c r="C515" s="15" t="s">
        <v>391</v>
      </c>
      <c r="D515" s="15" t="s">
        <v>1136</v>
      </c>
      <c r="E515" s="15" t="s">
        <v>1137</v>
      </c>
      <c r="F515" s="15" t="s">
        <v>3010</v>
      </c>
      <c r="G515" s="15" t="s">
        <v>3011</v>
      </c>
      <c r="H515" s="33" t="n">
        <f aca="false">Packages!$AD$52</f>
        <v>0</v>
      </c>
      <c r="I515" s="15" t="s">
        <v>3012</v>
      </c>
      <c r="J515" s="34" t="n">
        <f aca="false">IF(Packages!$AD$52=0,0,MAX(1,ROUNDUP(Packages!$AD$52/(R_SHEET*Fronts!$I$7),0)))</f>
        <v>0</v>
      </c>
      <c r="K515" s="34" t="n">
        <f aca="false">IF(J515=0,0,ROUNDUP(J515*7/WD,0))</f>
        <v>0</v>
      </c>
      <c r="L515" s="15" t="s">
        <v>3726</v>
      </c>
      <c r="M515" s="34" t="n">
        <f aca="false">ROUNDUP(K514*LADDER,0)</f>
        <v>2</v>
      </c>
      <c r="N515" s="34" t="n">
        <f aca="false">IF(K515=0,0,FFLAG)</f>
        <v>0</v>
      </c>
      <c r="O515" s="15"/>
      <c r="P515" s="16" t="n">
        <f aca="false">MAX(P514+M515)</f>
        <v>46487</v>
      </c>
      <c r="Q515" s="16" t="n">
        <f aca="false">MAX(P515+K515,Q514+N515)</f>
        <v>46490</v>
      </c>
      <c r="R515" s="16" t="n">
        <f aca="false">IF(K515&gt;0,Q515,0)</f>
        <v>0</v>
      </c>
      <c r="S515" s="12"/>
    </row>
    <row r="516" customFormat="false" ht="15" hidden="false" customHeight="false" outlineLevel="0" collapsed="false">
      <c r="A516" s="15" t="s">
        <v>3728</v>
      </c>
      <c r="B516" s="15" t="s">
        <v>3723</v>
      </c>
      <c r="C516" s="15" t="s">
        <v>391</v>
      </c>
      <c r="D516" s="15" t="s">
        <v>1136</v>
      </c>
      <c r="E516" s="15" t="s">
        <v>1137</v>
      </c>
      <c r="F516" s="15" t="s">
        <v>3014</v>
      </c>
      <c r="G516" s="15" t="s">
        <v>3015</v>
      </c>
      <c r="H516" s="33" t="n">
        <f aca="false">Packages!$O$52</f>
        <v>23.8628782815891</v>
      </c>
      <c r="I516" s="15" t="s">
        <v>118</v>
      </c>
      <c r="J516" s="34" t="n">
        <f aca="false">IF(Packages!$AG$52=0,0,ROUNDUP(Packages!$O$52/R_DW,0)+DW_DRAW)</f>
        <v>8</v>
      </c>
      <c r="K516" s="34" t="n">
        <f aca="false">IF(J516=0,0,ROUNDUP(J516*7/WD,0))</f>
        <v>10</v>
      </c>
      <c r="L516" s="15" t="s">
        <v>3727</v>
      </c>
      <c r="M516" s="34" t="n">
        <f aca="false">ROUNDUP(K515*LADDER,0)</f>
        <v>0</v>
      </c>
      <c r="N516" s="34" t="n">
        <f aca="false">IF(K516=0,0,FFLAG)</f>
        <v>2</v>
      </c>
      <c r="O516" s="15"/>
      <c r="P516" s="16" t="n">
        <f aca="false">MAX(P515+M516)</f>
        <v>46487</v>
      </c>
      <c r="Q516" s="16" t="n">
        <f aca="false">MAX(P516+K516,Q515+N516)</f>
        <v>46497</v>
      </c>
      <c r="R516" s="12"/>
      <c r="S516" s="12"/>
    </row>
    <row r="517" customFormat="false" ht="15" hidden="false" customHeight="false" outlineLevel="0" collapsed="false">
      <c r="A517" s="15" t="s">
        <v>3729</v>
      </c>
      <c r="B517" s="15" t="s">
        <v>3723</v>
      </c>
      <c r="C517" s="15" t="s">
        <v>391</v>
      </c>
      <c r="D517" s="15" t="s">
        <v>1136</v>
      </c>
      <c r="E517" s="15" t="s">
        <v>1137</v>
      </c>
      <c r="F517" s="15" t="s">
        <v>3017</v>
      </c>
      <c r="G517" s="15" t="s">
        <v>3018</v>
      </c>
      <c r="H517" s="33" t="n">
        <f aca="false">Packages!$X$52+Packages!$Y$52</f>
        <v>560.874234674013</v>
      </c>
      <c r="I517" s="15" t="s">
        <v>3019</v>
      </c>
      <c r="J517" s="34" t="n">
        <f aca="false">MAX(1,ROUNDUP((Packages!$X$52/R_EXS+Packages!$Y$52/R_EXO)/Fronts!$J$7,0))</f>
        <v>2</v>
      </c>
      <c r="K517" s="34" t="n">
        <f aca="false">IF(J517=0,0,ROUNDUP(J517*7/WD,0))</f>
        <v>3</v>
      </c>
      <c r="L517" s="15" t="s">
        <v>3728</v>
      </c>
      <c r="M517" s="34" t="n">
        <f aca="false">IF(K516=0,0,ROUNDUP((K516-ROUNDUP(DW_DRAW*7/WD,0))*LADDER,0)+ROUNDUP(DW_DRAW*7/WD,0))</f>
        <v>10</v>
      </c>
      <c r="N517" s="34" t="n">
        <f aca="false">IF(K517=0,0,FFLAG)</f>
        <v>2</v>
      </c>
      <c r="O517" s="15" t="s">
        <v>3730</v>
      </c>
      <c r="P517" s="16" t="n">
        <f aca="false">MAX(P516+M517,Q1269,P473)</f>
        <v>46533</v>
      </c>
      <c r="Q517" s="16" t="n">
        <f aca="false">MAX(P517+K517,Q516+N517)</f>
        <v>46536</v>
      </c>
      <c r="R517" s="16" t="n">
        <f aca="false">IF(K517&gt;0,Q517,0)</f>
        <v>46536</v>
      </c>
      <c r="S517" s="12"/>
    </row>
    <row r="518" customFormat="false" ht="15" hidden="false" customHeight="false" outlineLevel="0" collapsed="false">
      <c r="A518" s="15" t="s">
        <v>3731</v>
      </c>
      <c r="B518" s="15" t="s">
        <v>3723</v>
      </c>
      <c r="C518" s="15" t="s">
        <v>391</v>
      </c>
      <c r="D518" s="15" t="s">
        <v>1136</v>
      </c>
      <c r="E518" s="15" t="s">
        <v>1137</v>
      </c>
      <c r="F518" s="15" t="s">
        <v>3022</v>
      </c>
      <c r="G518" s="15" t="s">
        <v>3023</v>
      </c>
      <c r="H518" s="33" t="n">
        <f aca="false">Packages!$O$52</f>
        <v>23.8628782815891</v>
      </c>
      <c r="I518" s="15" t="s">
        <v>118</v>
      </c>
      <c r="J518" s="34" t="n">
        <f aca="false">MAX(1,ROUNDUP(Packages!$O$52/(R_SLAB*Fronts!$K$7),0))+SLAB_CURE</f>
        <v>5</v>
      </c>
      <c r="K518" s="34" t="n">
        <f aca="false">IF(J518=0,0,ROUNDUP(J518*7/WD,0))</f>
        <v>6</v>
      </c>
      <c r="L518" s="15" t="s">
        <v>3729</v>
      </c>
      <c r="M518" s="34" t="n">
        <f aca="false">ROUNDUP(K517*LADDER,0)</f>
        <v>1</v>
      </c>
      <c r="N518" s="34" t="n">
        <f aca="false">IF(K518=0,0,FFLAG)</f>
        <v>2</v>
      </c>
      <c r="O518" s="15"/>
      <c r="P518" s="16" t="n">
        <f aca="false">MAX(P517+M518)</f>
        <v>46534</v>
      </c>
      <c r="Q518" s="16" t="n">
        <f aca="false">MAX(P518+K518,Q517+N518)</f>
        <v>46540</v>
      </c>
      <c r="R518" s="16" t="n">
        <f aca="false">IF(K518&gt;0,Q518,0)</f>
        <v>46540</v>
      </c>
      <c r="S518" s="12"/>
    </row>
    <row r="519" customFormat="false" ht="15" hidden="false" customHeight="false" outlineLevel="0" collapsed="false">
      <c r="A519" s="15" t="s">
        <v>3732</v>
      </c>
      <c r="B519" s="15" t="s">
        <v>3723</v>
      </c>
      <c r="C519" s="15" t="s">
        <v>391</v>
      </c>
      <c r="D519" s="15" t="s">
        <v>1136</v>
      </c>
      <c r="E519" s="15" t="s">
        <v>1137</v>
      </c>
      <c r="F519" s="15" t="s">
        <v>3025</v>
      </c>
      <c r="G519" s="15" t="s">
        <v>3026</v>
      </c>
      <c r="H519" s="33" t="n">
        <f aca="false">Packages!$O$52</f>
        <v>23.8628782815891</v>
      </c>
      <c r="I519" s="15" t="s">
        <v>118</v>
      </c>
      <c r="J519" s="34" t="n">
        <f aca="false">MAX(1,ROUNDUP(Packages!$O$52/(IF(Packages!$N$52&gt;=PIPE_T1,R_PIPE_L,IF(Packages!$N$52&gt;=PIPE_T2,R_PIPE_M,R_PIPE_S))*Fronts!$L$7)+Packages!$M$52*FIT_D+IF(Packages!$G$52&lt;&gt;"Run",TIE_D,0),0))</f>
        <v>6</v>
      </c>
      <c r="K519" s="34" t="n">
        <f aca="false">IF(J519=0,0,ROUNDUP(J519*7/WD,0))</f>
        <v>7</v>
      </c>
      <c r="L519" s="15" t="s">
        <v>3731</v>
      </c>
      <c r="M519" s="34" t="n">
        <f aca="false">ROUNDUP(K518*LADDER,0)</f>
        <v>2</v>
      </c>
      <c r="N519" s="34" t="n">
        <f aca="false">IF(K519=0,0,FFLAG)</f>
        <v>2</v>
      </c>
      <c r="O519" s="15" t="s">
        <v>3733</v>
      </c>
      <c r="P519" s="16" t="n">
        <f aca="false">MAX(P518+M519,Q508)</f>
        <v>46579</v>
      </c>
      <c r="Q519" s="16" t="n">
        <f aca="false">MAX(P519+K519,Q518+N519)</f>
        <v>46586</v>
      </c>
      <c r="R519" s="16" t="n">
        <f aca="false">IF(K519&gt;0,Q519,0)</f>
        <v>46586</v>
      </c>
      <c r="S519" s="12"/>
    </row>
    <row r="520" customFormat="false" ht="15" hidden="false" customHeight="false" outlineLevel="0" collapsed="false">
      <c r="A520" s="15" t="s">
        <v>3734</v>
      </c>
      <c r="B520" s="15" t="s">
        <v>3723</v>
      </c>
      <c r="C520" s="15" t="s">
        <v>391</v>
      </c>
      <c r="D520" s="15" t="s">
        <v>1136</v>
      </c>
      <c r="E520" s="15" t="s">
        <v>1137</v>
      </c>
      <c r="F520" s="15" t="s">
        <v>3028</v>
      </c>
      <c r="G520" s="15" t="s">
        <v>3029</v>
      </c>
      <c r="H520" s="33" t="n">
        <f aca="false">Packages!$O$52</f>
        <v>23.8628782815891</v>
      </c>
      <c r="I520" s="15" t="s">
        <v>118</v>
      </c>
      <c r="J520" s="34" t="n">
        <f aca="false">TEST_D+ROUNDUP(Packages!$O$52/R_TEST,0)</f>
        <v>3</v>
      </c>
      <c r="K520" s="34" t="n">
        <f aca="false">IF(J520=0,0,ROUNDUP(J520*7/WD,0))</f>
        <v>4</v>
      </c>
      <c r="L520" s="15" t="s">
        <v>3732</v>
      </c>
      <c r="M520" s="34" t="n">
        <f aca="false">ROUNDUP(K519*LADDER,0)</f>
        <v>3</v>
      </c>
      <c r="N520" s="34" t="n">
        <f aca="false">IF(K520=0,0,FFLAG)</f>
        <v>2</v>
      </c>
      <c r="O520" s="15"/>
      <c r="P520" s="16" t="n">
        <f aca="false">MAX(P519+M520)</f>
        <v>46582</v>
      </c>
      <c r="Q520" s="16" t="n">
        <f aca="false">MAX(P520+K520,Q519+N520)</f>
        <v>46588</v>
      </c>
      <c r="R520" s="12"/>
      <c r="S520" s="12"/>
    </row>
    <row r="521" customFormat="false" ht="15" hidden="false" customHeight="false" outlineLevel="0" collapsed="false">
      <c r="A521" s="15" t="s">
        <v>3735</v>
      </c>
      <c r="B521" s="15" t="s">
        <v>3723</v>
      </c>
      <c r="C521" s="15" t="s">
        <v>391</v>
      </c>
      <c r="D521" s="15" t="s">
        <v>1136</v>
      </c>
      <c r="E521" s="15" t="s">
        <v>1137</v>
      </c>
      <c r="F521" s="15" t="s">
        <v>3031</v>
      </c>
      <c r="G521" s="15" t="s">
        <v>3032</v>
      </c>
      <c r="H521" s="33" t="n">
        <f aca="false">Packages!$AB$52</f>
        <v>381.631798246657</v>
      </c>
      <c r="I521" s="15" t="s">
        <v>3019</v>
      </c>
      <c r="J521" s="34" t="n">
        <f aca="false">MAX(1,ROUNDUP(Packages!$AB$52/(R_BF*Fronts!$M$7),0))</f>
        <v>2</v>
      </c>
      <c r="K521" s="34" t="n">
        <f aca="false">IF(J521=0,0,ROUNDUP(J521*7/WD,0))</f>
        <v>3</v>
      </c>
      <c r="L521" s="15" t="s">
        <v>3734</v>
      </c>
      <c r="M521" s="34" t="n">
        <f aca="false">ROUNDUP(K520*LADDER,0)</f>
        <v>2</v>
      </c>
      <c r="N521" s="34" t="n">
        <f aca="false">IF(K521=0,0,FFLAG)</f>
        <v>2</v>
      </c>
      <c r="O521" s="15" t="s">
        <v>3736</v>
      </c>
      <c r="P521" s="16" t="n">
        <f aca="false">MAX(P520+M521,Q497,Q475)</f>
        <v>46584</v>
      </c>
      <c r="Q521" s="16" t="n">
        <f aca="false">MAX(P521+K521,Q520+N521)</f>
        <v>46590</v>
      </c>
      <c r="R521" s="16" t="n">
        <f aca="false">IF(K521&gt;0,Q521,0)</f>
        <v>46590</v>
      </c>
      <c r="S521" s="12"/>
    </row>
    <row r="522" customFormat="false" ht="15" hidden="false" customHeight="false" outlineLevel="0" collapsed="false">
      <c r="A522" s="15" t="s">
        <v>3737</v>
      </c>
      <c r="B522" s="15" t="s">
        <v>3723</v>
      </c>
      <c r="C522" s="15" t="s">
        <v>391</v>
      </c>
      <c r="D522" s="15" t="s">
        <v>1136</v>
      </c>
      <c r="E522" s="15" t="s">
        <v>1137</v>
      </c>
      <c r="F522" s="15" t="s">
        <v>3034</v>
      </c>
      <c r="G522" s="15" t="s">
        <v>3035</v>
      </c>
      <c r="H522" s="33" t="n">
        <f aca="false">Packages!$AD$52</f>
        <v>0</v>
      </c>
      <c r="I522" s="15" t="s">
        <v>3012</v>
      </c>
      <c r="J522" s="34" t="n">
        <f aca="false">IF(Packages!$AD$52&gt;0,ROUNDUP(Packages!$AD$52/R_EXT,0),0)+IF(Packages!$AG$52&gt;0,1,0)</f>
        <v>1</v>
      </c>
      <c r="K522" s="34" t="n">
        <f aca="false">IF(J522=0,0,ROUNDUP(J522*7/WD,0))</f>
        <v>2</v>
      </c>
      <c r="L522" s="15" t="s">
        <v>3735</v>
      </c>
      <c r="M522" s="34" t="n">
        <f aca="false">ROUNDUP(K521*LADDER,0)</f>
        <v>1</v>
      </c>
      <c r="N522" s="34" t="n">
        <f aca="false">IF(K522=0,0,FFLAG)</f>
        <v>2</v>
      </c>
      <c r="O522" s="15"/>
      <c r="P522" s="16" t="n">
        <f aca="false">MAX(P521+M522)</f>
        <v>46585</v>
      </c>
      <c r="Q522" s="16" t="n">
        <f aca="false">MAX(P522+K522,Q521+N522)</f>
        <v>46592</v>
      </c>
      <c r="R522" s="12"/>
      <c r="S522" s="12"/>
    </row>
    <row r="523" customFormat="false" ht="15" hidden="false" customHeight="false" outlineLevel="0" collapsed="false">
      <c r="A523" s="15" t="s">
        <v>3738</v>
      </c>
      <c r="B523" s="15" t="s">
        <v>3739</v>
      </c>
      <c r="C523" s="15" t="s">
        <v>391</v>
      </c>
      <c r="D523" s="15" t="s">
        <v>1075</v>
      </c>
      <c r="E523" s="15" t="s">
        <v>1132</v>
      </c>
      <c r="F523" s="15" t="s">
        <v>2998</v>
      </c>
      <c r="G523" s="15" t="s">
        <v>2999</v>
      </c>
      <c r="H523" s="12"/>
      <c r="I523" s="12"/>
      <c r="J523" s="34" t="n">
        <f aca="false">0</f>
        <v>0</v>
      </c>
      <c r="K523" s="34" t="n">
        <f aca="false">IF(J523=0,0,ROUNDUP(J523*7/WD,0))</f>
        <v>0</v>
      </c>
      <c r="L523" s="12"/>
      <c r="M523" s="12"/>
      <c r="N523" s="12"/>
      <c r="O523" s="15" t="s">
        <v>3038</v>
      </c>
      <c r="P523" s="16" t="n">
        <f aca="false">MAX(START,D_DLU,Packages!$I$53,Packages!$K$53)</f>
        <v>46357</v>
      </c>
      <c r="Q523" s="16" t="n">
        <f aca="false">P523+K523</f>
        <v>46357</v>
      </c>
      <c r="R523" s="12"/>
      <c r="S523" s="12"/>
    </row>
    <row r="524" customFormat="false" ht="15" hidden="false" customHeight="false" outlineLevel="0" collapsed="false">
      <c r="A524" s="15" t="s">
        <v>3740</v>
      </c>
      <c r="B524" s="15" t="s">
        <v>3739</v>
      </c>
      <c r="C524" s="15" t="s">
        <v>391</v>
      </c>
      <c r="D524" s="15" t="s">
        <v>1075</v>
      </c>
      <c r="E524" s="15" t="s">
        <v>1132</v>
      </c>
      <c r="F524" s="15" t="s">
        <v>3002</v>
      </c>
      <c r="G524" s="15" t="s">
        <v>205</v>
      </c>
      <c r="H524" s="33" t="n">
        <f aca="false">Packages!$O$53</f>
        <v>5.99994133227277</v>
      </c>
      <c r="I524" s="15" t="s">
        <v>118</v>
      </c>
      <c r="J524" s="34" t="n">
        <f aca="false">MAX(1,ROUNDUP(Packages!$O$53/R_PLAT,0))</f>
        <v>1</v>
      </c>
      <c r="K524" s="34" t="n">
        <f aca="false">IF(J524=0,0,ROUNDUP(J524*7/WD,0))</f>
        <v>2</v>
      </c>
      <c r="L524" s="15" t="s">
        <v>3738</v>
      </c>
      <c r="M524" s="12"/>
      <c r="N524" s="12"/>
      <c r="O524" s="15" t="s">
        <v>3741</v>
      </c>
      <c r="P524" s="16" t="n">
        <f aca="false">MAX(Q523,P382)</f>
        <v>46392</v>
      </c>
      <c r="Q524" s="16" t="n">
        <f aca="false">P524+K524</f>
        <v>46394</v>
      </c>
      <c r="R524" s="12"/>
      <c r="S524" s="12"/>
    </row>
    <row r="525" customFormat="false" ht="15" hidden="false" customHeight="false" outlineLevel="0" collapsed="false">
      <c r="A525" s="15" t="s">
        <v>3742</v>
      </c>
      <c r="B525" s="15" t="s">
        <v>3739</v>
      </c>
      <c r="C525" s="15" t="s">
        <v>391</v>
      </c>
      <c r="D525" s="15" t="s">
        <v>1075</v>
      </c>
      <c r="E525" s="15" t="s">
        <v>1132</v>
      </c>
      <c r="F525" s="15" t="s">
        <v>3005</v>
      </c>
      <c r="G525" s="15" t="s">
        <v>3006</v>
      </c>
      <c r="H525" s="33" t="n">
        <f aca="false">Packages!$AC$53</f>
        <v>6</v>
      </c>
      <c r="I525" s="15" t="s">
        <v>3007</v>
      </c>
      <c r="J525" s="34" t="n">
        <f aca="false">IF(Packages!$AC$53=0,0,MAX(1,ROUNDUP(Packages!$AC$53/(R_PILE*Fronts!$H$7),0)))</f>
        <v>2</v>
      </c>
      <c r="K525" s="34" t="n">
        <f aca="false">IF(J525=0,0,ROUNDUP(J525*7/WD,0))</f>
        <v>3</v>
      </c>
      <c r="L525" s="15" t="s">
        <v>3740</v>
      </c>
      <c r="M525" s="34" t="n">
        <f aca="false">ROUNDUP(K524*LADDER,0)</f>
        <v>1</v>
      </c>
      <c r="N525" s="34" t="n">
        <f aca="false">IF(K525=0,0,FFLAG)</f>
        <v>2</v>
      </c>
      <c r="O525" s="15" t="s">
        <v>3008</v>
      </c>
      <c r="P525" s="16" t="n">
        <f aca="false">MAX(P524+M525,D_PILEDES)</f>
        <v>46393</v>
      </c>
      <c r="Q525" s="16" t="n">
        <f aca="false">MAX(P525+K525,Q524+N525)</f>
        <v>46396</v>
      </c>
      <c r="R525" s="16" t="n">
        <f aca="false">IF(K525&gt;0,Q525,0)</f>
        <v>46396</v>
      </c>
      <c r="S525" s="12"/>
    </row>
    <row r="526" customFormat="false" ht="15" hidden="false" customHeight="false" outlineLevel="0" collapsed="false">
      <c r="A526" s="15" t="s">
        <v>3743</v>
      </c>
      <c r="B526" s="15" t="s">
        <v>3739</v>
      </c>
      <c r="C526" s="15" t="s">
        <v>391</v>
      </c>
      <c r="D526" s="15" t="s">
        <v>1075</v>
      </c>
      <c r="E526" s="15" t="s">
        <v>1132</v>
      </c>
      <c r="F526" s="15" t="s">
        <v>3010</v>
      </c>
      <c r="G526" s="15" t="s">
        <v>3011</v>
      </c>
      <c r="H526" s="33" t="n">
        <f aca="false">Packages!$AD$53</f>
        <v>11.9998826645455</v>
      </c>
      <c r="I526" s="15" t="s">
        <v>3012</v>
      </c>
      <c r="J526" s="34" t="n">
        <f aca="false">IF(Packages!$AD$53=0,0,MAX(1,ROUNDUP(Packages!$AD$53/(R_SHEET*Fronts!$I$7),0)))</f>
        <v>1</v>
      </c>
      <c r="K526" s="34" t="n">
        <f aca="false">IF(J526=0,0,ROUNDUP(J526*7/WD,0))</f>
        <v>2</v>
      </c>
      <c r="L526" s="15" t="s">
        <v>3742</v>
      </c>
      <c r="M526" s="34" t="n">
        <f aca="false">ROUNDUP(K525*LADDER,0)</f>
        <v>1</v>
      </c>
      <c r="N526" s="34" t="n">
        <f aca="false">IF(K526=0,0,FFLAG)</f>
        <v>2</v>
      </c>
      <c r="O526" s="15"/>
      <c r="P526" s="16" t="n">
        <f aca="false">MAX(P525+M526)</f>
        <v>46394</v>
      </c>
      <c r="Q526" s="16" t="n">
        <f aca="false">MAX(P526+K526,Q525+N526)</f>
        <v>46398</v>
      </c>
      <c r="R526" s="16" t="n">
        <f aca="false">IF(K526&gt;0,Q526,0)</f>
        <v>46398</v>
      </c>
      <c r="S526" s="12"/>
    </row>
    <row r="527" customFormat="false" ht="15" hidden="false" customHeight="false" outlineLevel="0" collapsed="false">
      <c r="A527" s="15" t="s">
        <v>3744</v>
      </c>
      <c r="B527" s="15" t="s">
        <v>3739</v>
      </c>
      <c r="C527" s="15" t="s">
        <v>391</v>
      </c>
      <c r="D527" s="15" t="s">
        <v>1075</v>
      </c>
      <c r="E527" s="15" t="s">
        <v>1132</v>
      </c>
      <c r="F527" s="15" t="s">
        <v>3014</v>
      </c>
      <c r="G527" s="15" t="s">
        <v>3015</v>
      </c>
      <c r="H527" s="33" t="n">
        <f aca="false">Packages!$O$53</f>
        <v>5.99994133227277</v>
      </c>
      <c r="I527" s="15" t="s">
        <v>118</v>
      </c>
      <c r="J527" s="34" t="n">
        <f aca="false">IF(Packages!$AG$53=0,0,ROUNDUP(Packages!$O$53/R_DW,0)+DW_DRAW)</f>
        <v>8</v>
      </c>
      <c r="K527" s="34" t="n">
        <f aca="false">IF(J527=0,0,ROUNDUP(J527*7/WD,0))</f>
        <v>10</v>
      </c>
      <c r="L527" s="15" t="s">
        <v>3743</v>
      </c>
      <c r="M527" s="34" t="n">
        <f aca="false">ROUNDUP(K526*LADDER,0)</f>
        <v>1</v>
      </c>
      <c r="N527" s="34" t="n">
        <f aca="false">IF(K527=0,0,FFLAG)</f>
        <v>2</v>
      </c>
      <c r="O527" s="15"/>
      <c r="P527" s="16" t="n">
        <f aca="false">MAX(P526+M527)</f>
        <v>46395</v>
      </c>
      <c r="Q527" s="16" t="n">
        <f aca="false">MAX(P527+K527,Q526+N527)</f>
        <v>46405</v>
      </c>
      <c r="R527" s="12"/>
      <c r="S527" s="12"/>
    </row>
    <row r="528" customFormat="false" ht="15" hidden="false" customHeight="false" outlineLevel="0" collapsed="false">
      <c r="A528" s="15" t="s">
        <v>3745</v>
      </c>
      <c r="B528" s="15" t="s">
        <v>3739</v>
      </c>
      <c r="C528" s="15" t="s">
        <v>391</v>
      </c>
      <c r="D528" s="15" t="s">
        <v>1075</v>
      </c>
      <c r="E528" s="15" t="s">
        <v>1132</v>
      </c>
      <c r="F528" s="15" t="s">
        <v>3017</v>
      </c>
      <c r="G528" s="15" t="s">
        <v>3018</v>
      </c>
      <c r="H528" s="33" t="n">
        <f aca="false">Packages!$X$53+Packages!$Y$53</f>
        <v>119.827979351793</v>
      </c>
      <c r="I528" s="15" t="s">
        <v>3019</v>
      </c>
      <c r="J528" s="34" t="n">
        <f aca="false">MAX(1,ROUNDUP((Packages!$X$53/R_EXS+Packages!$Y$53/R_EXO)/Fronts!$J$7,0))</f>
        <v>1</v>
      </c>
      <c r="K528" s="34" t="n">
        <f aca="false">IF(J528=0,0,ROUNDUP(J528*7/WD,0))</f>
        <v>2</v>
      </c>
      <c r="L528" s="15" t="s">
        <v>3744</v>
      </c>
      <c r="M528" s="34" t="n">
        <f aca="false">IF(K527=0,0,ROUNDUP((K527-ROUNDUP(DW_DRAW*7/WD,0))*LADDER,0)+ROUNDUP(DW_DRAW*7/WD,0))</f>
        <v>10</v>
      </c>
      <c r="N528" s="34" t="n">
        <f aca="false">IF(K528=0,0,FFLAG)</f>
        <v>2</v>
      </c>
      <c r="O528" s="15"/>
      <c r="P528" s="16" t="n">
        <f aca="false">MAX(P527+M528)</f>
        <v>46405</v>
      </c>
      <c r="Q528" s="16" t="n">
        <f aca="false">MAX(P528+K528,Q527+N528)</f>
        <v>46407</v>
      </c>
      <c r="R528" s="16" t="n">
        <f aca="false">IF(K528&gt;0,Q528,0)</f>
        <v>46407</v>
      </c>
      <c r="S528" s="12"/>
    </row>
    <row r="529" customFormat="false" ht="15" hidden="false" customHeight="false" outlineLevel="0" collapsed="false">
      <c r="A529" s="15" t="s">
        <v>3746</v>
      </c>
      <c r="B529" s="15" t="s">
        <v>3739</v>
      </c>
      <c r="C529" s="15" t="s">
        <v>391</v>
      </c>
      <c r="D529" s="15" t="s">
        <v>1075</v>
      </c>
      <c r="E529" s="15" t="s">
        <v>1132</v>
      </c>
      <c r="F529" s="15" t="s">
        <v>3022</v>
      </c>
      <c r="G529" s="15" t="s">
        <v>3023</v>
      </c>
      <c r="H529" s="33" t="n">
        <f aca="false">Packages!$O$53</f>
        <v>5.99994133227277</v>
      </c>
      <c r="I529" s="15" t="s">
        <v>118</v>
      </c>
      <c r="J529" s="34" t="n">
        <f aca="false">MAX(1,ROUNDUP(Packages!$O$53/(R_SLAB*Fronts!$K$7),0))+SLAB_CURE</f>
        <v>4</v>
      </c>
      <c r="K529" s="34" t="n">
        <f aca="false">IF(J529=0,0,ROUNDUP(J529*7/WD,0))</f>
        <v>5</v>
      </c>
      <c r="L529" s="15" t="s">
        <v>3745</v>
      </c>
      <c r="M529" s="34" t="n">
        <f aca="false">ROUNDUP(K528*LADDER,0)</f>
        <v>1</v>
      </c>
      <c r="N529" s="34" t="n">
        <f aca="false">IF(K529=0,0,FFLAG)</f>
        <v>2</v>
      </c>
      <c r="O529" s="15"/>
      <c r="P529" s="16" t="n">
        <f aca="false">MAX(P528+M529)</f>
        <v>46406</v>
      </c>
      <c r="Q529" s="16" t="n">
        <f aca="false">MAX(P529+K529,Q528+N529)</f>
        <v>46411</v>
      </c>
      <c r="R529" s="16" t="n">
        <f aca="false">IF(K529&gt;0,Q529,0)</f>
        <v>46411</v>
      </c>
      <c r="S529" s="12"/>
    </row>
    <row r="530" customFormat="false" ht="15" hidden="false" customHeight="false" outlineLevel="0" collapsed="false">
      <c r="A530" s="15" t="s">
        <v>3747</v>
      </c>
      <c r="B530" s="15" t="s">
        <v>3739</v>
      </c>
      <c r="C530" s="15" t="s">
        <v>391</v>
      </c>
      <c r="D530" s="15" t="s">
        <v>1075</v>
      </c>
      <c r="E530" s="15" t="s">
        <v>1132</v>
      </c>
      <c r="F530" s="15" t="s">
        <v>3025</v>
      </c>
      <c r="G530" s="15" t="s">
        <v>3026</v>
      </c>
      <c r="H530" s="33" t="n">
        <f aca="false">Packages!$O$53</f>
        <v>5.99994133227277</v>
      </c>
      <c r="I530" s="15" t="s">
        <v>118</v>
      </c>
      <c r="J530" s="34" t="n">
        <f aca="false">MAX(1,ROUNDUP(Packages!$O$53/(IF(Packages!$N$53&gt;=PIPE_T1,R_PIPE_L,IF(Packages!$N$53&gt;=PIPE_T2,R_PIPE_M,R_PIPE_S))*Fronts!$L$7)+Packages!$M$53*FIT_D+IF(Packages!$G$53&lt;&gt;"Run",TIE_D,0),0))</f>
        <v>4</v>
      </c>
      <c r="K530" s="34" t="n">
        <f aca="false">IF(J530=0,0,ROUNDUP(J530*7/WD,0))</f>
        <v>5</v>
      </c>
      <c r="L530" s="15" t="s">
        <v>3746</v>
      </c>
      <c r="M530" s="34" t="n">
        <f aca="false">ROUNDUP(K529*LADDER,0)</f>
        <v>2</v>
      </c>
      <c r="N530" s="34" t="n">
        <f aca="false">IF(K530=0,0,FFLAG)</f>
        <v>2</v>
      </c>
      <c r="O530" s="15" t="s">
        <v>3748</v>
      </c>
      <c r="P530" s="16" t="n">
        <f aca="false">MAX(P529+M530,Q387)</f>
        <v>46457</v>
      </c>
      <c r="Q530" s="16" t="n">
        <f aca="false">MAX(P530+K530,Q529+N530)</f>
        <v>46462</v>
      </c>
      <c r="R530" s="16" t="n">
        <f aca="false">IF(K530&gt;0,Q530,0)</f>
        <v>46462</v>
      </c>
      <c r="S530" s="12"/>
    </row>
    <row r="531" customFormat="false" ht="15" hidden="false" customHeight="false" outlineLevel="0" collapsed="false">
      <c r="A531" s="15" t="s">
        <v>3749</v>
      </c>
      <c r="B531" s="15" t="s">
        <v>3739</v>
      </c>
      <c r="C531" s="15" t="s">
        <v>391</v>
      </c>
      <c r="D531" s="15" t="s">
        <v>1075</v>
      </c>
      <c r="E531" s="15" t="s">
        <v>1132</v>
      </c>
      <c r="F531" s="15" t="s">
        <v>3028</v>
      </c>
      <c r="G531" s="15" t="s">
        <v>3029</v>
      </c>
      <c r="H531" s="33" t="n">
        <f aca="false">Packages!$O$53</f>
        <v>5.99994133227277</v>
      </c>
      <c r="I531" s="15" t="s">
        <v>118</v>
      </c>
      <c r="J531" s="34" t="n">
        <f aca="false">TEST_D+ROUNDUP(Packages!$O$53/R_TEST,0)</f>
        <v>3</v>
      </c>
      <c r="K531" s="34" t="n">
        <f aca="false">IF(J531=0,0,ROUNDUP(J531*7/WD,0))</f>
        <v>4</v>
      </c>
      <c r="L531" s="15" t="s">
        <v>3747</v>
      </c>
      <c r="M531" s="34" t="n">
        <f aca="false">ROUNDUP(K530*LADDER,0)</f>
        <v>2</v>
      </c>
      <c r="N531" s="34" t="n">
        <f aca="false">IF(K531=0,0,FFLAG)</f>
        <v>2</v>
      </c>
      <c r="O531" s="15"/>
      <c r="P531" s="16" t="n">
        <f aca="false">MAX(P530+M531)</f>
        <v>46459</v>
      </c>
      <c r="Q531" s="16" t="n">
        <f aca="false">MAX(P531+K531,Q530+N531)</f>
        <v>46464</v>
      </c>
      <c r="R531" s="12"/>
      <c r="S531" s="12"/>
    </row>
    <row r="532" customFormat="false" ht="15" hidden="false" customHeight="false" outlineLevel="0" collapsed="false">
      <c r="A532" s="15" t="s">
        <v>3750</v>
      </c>
      <c r="B532" s="15" t="s">
        <v>3739</v>
      </c>
      <c r="C532" s="15" t="s">
        <v>391</v>
      </c>
      <c r="D532" s="15" t="s">
        <v>1075</v>
      </c>
      <c r="E532" s="15" t="s">
        <v>1132</v>
      </c>
      <c r="F532" s="15" t="s">
        <v>3031</v>
      </c>
      <c r="G532" s="15" t="s">
        <v>3032</v>
      </c>
      <c r="H532" s="33" t="n">
        <f aca="false">Packages!$AB$53</f>
        <v>75.5896816689173</v>
      </c>
      <c r="I532" s="15" t="s">
        <v>3019</v>
      </c>
      <c r="J532" s="34" t="n">
        <f aca="false">MAX(1,ROUNDUP(Packages!$AB$53/(R_BF*Fronts!$M$7),0))</f>
        <v>1</v>
      </c>
      <c r="K532" s="34" t="n">
        <f aca="false">IF(J532=0,0,ROUNDUP(J532*7/WD,0))</f>
        <v>2</v>
      </c>
      <c r="L532" s="15" t="s">
        <v>3749</v>
      </c>
      <c r="M532" s="34" t="n">
        <f aca="false">ROUNDUP(K531*LADDER,0)</f>
        <v>2</v>
      </c>
      <c r="N532" s="34" t="n">
        <f aca="false">IF(K532=0,0,FFLAG)</f>
        <v>2</v>
      </c>
      <c r="O532" s="15"/>
      <c r="P532" s="16" t="n">
        <f aca="false">MAX(P531+M532)</f>
        <v>46461</v>
      </c>
      <c r="Q532" s="16" t="n">
        <f aca="false">MAX(P532+K532,Q531+N532)</f>
        <v>46466</v>
      </c>
      <c r="R532" s="16" t="n">
        <f aca="false">IF(K532&gt;0,Q532,0)</f>
        <v>46466</v>
      </c>
      <c r="S532" s="12"/>
    </row>
    <row r="533" customFormat="false" ht="15" hidden="false" customHeight="false" outlineLevel="0" collapsed="false">
      <c r="A533" s="15" t="s">
        <v>3751</v>
      </c>
      <c r="B533" s="15" t="s">
        <v>3739</v>
      </c>
      <c r="C533" s="15" t="s">
        <v>391</v>
      </c>
      <c r="D533" s="15" t="s">
        <v>1075</v>
      </c>
      <c r="E533" s="15" t="s">
        <v>1132</v>
      </c>
      <c r="F533" s="15" t="s">
        <v>3034</v>
      </c>
      <c r="G533" s="15" t="s">
        <v>3035</v>
      </c>
      <c r="H533" s="33" t="n">
        <f aca="false">Packages!$AD$53</f>
        <v>11.9998826645455</v>
      </c>
      <c r="I533" s="15" t="s">
        <v>3012</v>
      </c>
      <c r="J533" s="34" t="n">
        <f aca="false">IF(Packages!$AD$53&gt;0,ROUNDUP(Packages!$AD$53/R_EXT,0),0)+IF(Packages!$AG$53&gt;0,1,0)</f>
        <v>2</v>
      </c>
      <c r="K533" s="34" t="n">
        <f aca="false">IF(J533=0,0,ROUNDUP(J533*7/WD,0))</f>
        <v>3</v>
      </c>
      <c r="L533" s="15" t="s">
        <v>3750</v>
      </c>
      <c r="M533" s="34" t="n">
        <f aca="false">ROUNDUP(K532*LADDER,0)</f>
        <v>1</v>
      </c>
      <c r="N533" s="34" t="n">
        <f aca="false">IF(K533=0,0,FFLAG)</f>
        <v>2</v>
      </c>
      <c r="O533" s="15"/>
      <c r="P533" s="16" t="n">
        <f aca="false">MAX(P532+M533)</f>
        <v>46462</v>
      </c>
      <c r="Q533" s="16" t="n">
        <f aca="false">MAX(P533+K533,Q532+N533)</f>
        <v>46468</v>
      </c>
      <c r="R533" s="12"/>
      <c r="S533" s="12"/>
    </row>
    <row r="534" customFormat="false" ht="15" hidden="false" customHeight="false" outlineLevel="0" collapsed="false">
      <c r="A534" s="15" t="s">
        <v>3752</v>
      </c>
      <c r="B534" s="15" t="s">
        <v>3753</v>
      </c>
      <c r="C534" s="15" t="s">
        <v>391</v>
      </c>
      <c r="D534" s="15" t="s">
        <v>1502</v>
      </c>
      <c r="E534" s="15" t="s">
        <v>1564</v>
      </c>
      <c r="F534" s="15" t="s">
        <v>2998</v>
      </c>
      <c r="G534" s="15" t="s">
        <v>2999</v>
      </c>
      <c r="H534" s="12"/>
      <c r="I534" s="12"/>
      <c r="J534" s="34" t="n">
        <f aca="false">0</f>
        <v>0</v>
      </c>
      <c r="K534" s="34" t="n">
        <f aca="false">IF(J534=0,0,ROUNDUP(J534*7/WD,0))</f>
        <v>0</v>
      </c>
      <c r="L534" s="12"/>
      <c r="M534" s="12"/>
      <c r="N534" s="12"/>
      <c r="O534" s="15" t="s">
        <v>3038</v>
      </c>
      <c r="P534" s="16" t="n">
        <f aca="false">MAX(START,D_DLU,Packages!$I$54,Packages!$K$54)</f>
        <v>46357</v>
      </c>
      <c r="Q534" s="16" t="n">
        <f aca="false">P534+K534</f>
        <v>46357</v>
      </c>
      <c r="R534" s="12"/>
      <c r="S534" s="12"/>
    </row>
    <row r="535" customFormat="false" ht="15" hidden="false" customHeight="false" outlineLevel="0" collapsed="false">
      <c r="A535" s="15" t="s">
        <v>3754</v>
      </c>
      <c r="B535" s="15" t="s">
        <v>3753</v>
      </c>
      <c r="C535" s="15" t="s">
        <v>391</v>
      </c>
      <c r="D535" s="15" t="s">
        <v>1502</v>
      </c>
      <c r="E535" s="15" t="s">
        <v>1564</v>
      </c>
      <c r="F535" s="15" t="s">
        <v>3002</v>
      </c>
      <c r="G535" s="15" t="s">
        <v>205</v>
      </c>
      <c r="H535" s="33" t="n">
        <f aca="false">Packages!$O$54</f>
        <v>30.3665462773059</v>
      </c>
      <c r="I535" s="15" t="s">
        <v>118</v>
      </c>
      <c r="J535" s="34" t="n">
        <f aca="false">MAX(1,ROUNDUP(Packages!$O$54/R_PLAT,0))</f>
        <v>1</v>
      </c>
      <c r="K535" s="34" t="n">
        <f aca="false">IF(J535=0,0,ROUNDUP(J535*7/WD,0))</f>
        <v>2</v>
      </c>
      <c r="L535" s="15" t="s">
        <v>3752</v>
      </c>
      <c r="M535" s="12"/>
      <c r="N535" s="12"/>
      <c r="O535" s="15" t="s">
        <v>3755</v>
      </c>
      <c r="P535" s="16" t="n">
        <f aca="false">MAX(Q534,P1878)</f>
        <v>46483</v>
      </c>
      <c r="Q535" s="16" t="n">
        <f aca="false">P535+K535</f>
        <v>46485</v>
      </c>
      <c r="R535" s="12"/>
      <c r="S535" s="12"/>
    </row>
    <row r="536" customFormat="false" ht="15" hidden="false" customHeight="false" outlineLevel="0" collapsed="false">
      <c r="A536" s="15" t="s">
        <v>3756</v>
      </c>
      <c r="B536" s="15" t="s">
        <v>3753</v>
      </c>
      <c r="C536" s="15" t="s">
        <v>391</v>
      </c>
      <c r="D536" s="15" t="s">
        <v>1502</v>
      </c>
      <c r="E536" s="15" t="s">
        <v>1564</v>
      </c>
      <c r="F536" s="15" t="s">
        <v>3005</v>
      </c>
      <c r="G536" s="15" t="s">
        <v>3006</v>
      </c>
      <c r="H536" s="33" t="n">
        <f aca="false">Packages!$AC$54</f>
        <v>12</v>
      </c>
      <c r="I536" s="15" t="s">
        <v>3007</v>
      </c>
      <c r="J536" s="34" t="n">
        <f aca="false">IF(Packages!$AC$54=0,0,MAX(1,ROUNDUP(Packages!$AC$54/(R_PILE*Fronts!$H$7),0)))</f>
        <v>3</v>
      </c>
      <c r="K536" s="34" t="n">
        <f aca="false">IF(J536=0,0,ROUNDUP(J536*7/WD,0))</f>
        <v>4</v>
      </c>
      <c r="L536" s="15" t="s">
        <v>3754</v>
      </c>
      <c r="M536" s="34" t="n">
        <f aca="false">ROUNDUP(K535*LADDER,0)</f>
        <v>1</v>
      </c>
      <c r="N536" s="34" t="n">
        <f aca="false">IF(K536=0,0,FFLAG)</f>
        <v>2</v>
      </c>
      <c r="O536" s="15" t="s">
        <v>3008</v>
      </c>
      <c r="P536" s="16" t="n">
        <f aca="false">MAX(P535+M536,D_PILEDES)</f>
        <v>46484</v>
      </c>
      <c r="Q536" s="16" t="n">
        <f aca="false">MAX(P536+K536,Q535+N536)</f>
        <v>46488</v>
      </c>
      <c r="R536" s="16" t="n">
        <f aca="false">IF(K536&gt;0,Q536,0)</f>
        <v>46488</v>
      </c>
      <c r="S536" s="12"/>
    </row>
    <row r="537" customFormat="false" ht="15" hidden="false" customHeight="false" outlineLevel="0" collapsed="false">
      <c r="A537" s="15" t="s">
        <v>3757</v>
      </c>
      <c r="B537" s="15" t="s">
        <v>3753</v>
      </c>
      <c r="C537" s="15" t="s">
        <v>391</v>
      </c>
      <c r="D537" s="15" t="s">
        <v>1502</v>
      </c>
      <c r="E537" s="15" t="s">
        <v>1564</v>
      </c>
      <c r="F537" s="15" t="s">
        <v>3010</v>
      </c>
      <c r="G537" s="15" t="s">
        <v>3011</v>
      </c>
      <c r="H537" s="33" t="n">
        <f aca="false">Packages!$AD$54</f>
        <v>60.7330925546117</v>
      </c>
      <c r="I537" s="15" t="s">
        <v>3012</v>
      </c>
      <c r="J537" s="34" t="n">
        <f aca="false">IF(Packages!$AD$54=0,0,MAX(1,ROUNDUP(Packages!$AD$54/(R_SHEET*Fronts!$I$7),0)))</f>
        <v>3</v>
      </c>
      <c r="K537" s="34" t="n">
        <f aca="false">IF(J537=0,0,ROUNDUP(J537*7/WD,0))</f>
        <v>4</v>
      </c>
      <c r="L537" s="15" t="s">
        <v>3756</v>
      </c>
      <c r="M537" s="34" t="n">
        <f aca="false">ROUNDUP(K536*LADDER,0)</f>
        <v>2</v>
      </c>
      <c r="N537" s="34" t="n">
        <f aca="false">IF(K537=0,0,FFLAG)</f>
        <v>2</v>
      </c>
      <c r="O537" s="15"/>
      <c r="P537" s="16" t="n">
        <f aca="false">MAX(P536+M537)</f>
        <v>46486</v>
      </c>
      <c r="Q537" s="16" t="n">
        <f aca="false">MAX(P537+K537,Q536+N537)</f>
        <v>46490</v>
      </c>
      <c r="R537" s="16" t="n">
        <f aca="false">IF(K537&gt;0,Q537,0)</f>
        <v>46490</v>
      </c>
      <c r="S537" s="12"/>
    </row>
    <row r="538" customFormat="false" ht="15" hidden="false" customHeight="false" outlineLevel="0" collapsed="false">
      <c r="A538" s="15" t="s">
        <v>3758</v>
      </c>
      <c r="B538" s="15" t="s">
        <v>3753</v>
      </c>
      <c r="C538" s="15" t="s">
        <v>391</v>
      </c>
      <c r="D538" s="15" t="s">
        <v>1502</v>
      </c>
      <c r="E538" s="15" t="s">
        <v>1564</v>
      </c>
      <c r="F538" s="15" t="s">
        <v>3014</v>
      </c>
      <c r="G538" s="15" t="s">
        <v>3015</v>
      </c>
      <c r="H538" s="33" t="n">
        <f aca="false">Packages!$O$54</f>
        <v>30.3665462773059</v>
      </c>
      <c r="I538" s="15" t="s">
        <v>118</v>
      </c>
      <c r="J538" s="34" t="n">
        <f aca="false">IF(Packages!$AG$54=0,0,ROUNDUP(Packages!$O$54/R_DW,0)+DW_DRAW)</f>
        <v>8</v>
      </c>
      <c r="K538" s="34" t="n">
        <f aca="false">IF(J538=0,0,ROUNDUP(J538*7/WD,0))</f>
        <v>10</v>
      </c>
      <c r="L538" s="15" t="s">
        <v>3757</v>
      </c>
      <c r="M538" s="34" t="n">
        <f aca="false">ROUNDUP(K537*LADDER,0)</f>
        <v>2</v>
      </c>
      <c r="N538" s="34" t="n">
        <f aca="false">IF(K538=0,0,FFLAG)</f>
        <v>2</v>
      </c>
      <c r="O538" s="15"/>
      <c r="P538" s="16" t="n">
        <f aca="false">MAX(P537+M538)</f>
        <v>46488</v>
      </c>
      <c r="Q538" s="16" t="n">
        <f aca="false">MAX(P538+K538,Q537+N538)</f>
        <v>46498</v>
      </c>
      <c r="R538" s="12"/>
      <c r="S538" s="12"/>
    </row>
    <row r="539" customFormat="false" ht="15" hidden="false" customHeight="false" outlineLevel="0" collapsed="false">
      <c r="A539" s="15" t="s">
        <v>3759</v>
      </c>
      <c r="B539" s="15" t="s">
        <v>3753</v>
      </c>
      <c r="C539" s="15" t="s">
        <v>391</v>
      </c>
      <c r="D539" s="15" t="s">
        <v>1502</v>
      </c>
      <c r="E539" s="15" t="s">
        <v>1564</v>
      </c>
      <c r="F539" s="15" t="s">
        <v>3017</v>
      </c>
      <c r="G539" s="15" t="s">
        <v>3018</v>
      </c>
      <c r="H539" s="33" t="n">
        <f aca="false">Packages!$X$54+Packages!$Y$54</f>
        <v>309.738522322029</v>
      </c>
      <c r="I539" s="15" t="s">
        <v>3019</v>
      </c>
      <c r="J539" s="34" t="n">
        <f aca="false">MAX(1,ROUNDUP((Packages!$X$54/R_EXS+Packages!$Y$54/R_EXO)/Fronts!$J$7,0))</f>
        <v>2</v>
      </c>
      <c r="K539" s="34" t="n">
        <f aca="false">IF(J539=0,0,ROUNDUP(J539*7/WD,0))</f>
        <v>3</v>
      </c>
      <c r="L539" s="15" t="s">
        <v>3758</v>
      </c>
      <c r="M539" s="34" t="n">
        <f aca="false">IF(K538=0,0,ROUNDUP((K538-ROUNDUP(DW_DRAW*7/WD,0))*LADDER,0)+ROUNDUP(DW_DRAW*7/WD,0))</f>
        <v>10</v>
      </c>
      <c r="N539" s="34" t="n">
        <f aca="false">IF(K539=0,0,FFLAG)</f>
        <v>2</v>
      </c>
      <c r="O539" s="15"/>
      <c r="P539" s="16" t="n">
        <f aca="false">MAX(P538+M539)</f>
        <v>46498</v>
      </c>
      <c r="Q539" s="16" t="n">
        <f aca="false">MAX(P539+K539,Q538+N539)</f>
        <v>46501</v>
      </c>
      <c r="R539" s="16" t="n">
        <f aca="false">IF(K539&gt;0,Q539,0)</f>
        <v>46501</v>
      </c>
      <c r="S539" s="12"/>
    </row>
    <row r="540" customFormat="false" ht="15" hidden="false" customHeight="false" outlineLevel="0" collapsed="false">
      <c r="A540" s="15" t="s">
        <v>3760</v>
      </c>
      <c r="B540" s="15" t="s">
        <v>3753</v>
      </c>
      <c r="C540" s="15" t="s">
        <v>391</v>
      </c>
      <c r="D540" s="15" t="s">
        <v>1502</v>
      </c>
      <c r="E540" s="15" t="s">
        <v>1564</v>
      </c>
      <c r="F540" s="15" t="s">
        <v>3022</v>
      </c>
      <c r="G540" s="15" t="s">
        <v>3023</v>
      </c>
      <c r="H540" s="33" t="n">
        <f aca="false">Packages!$O$54</f>
        <v>30.3665462773059</v>
      </c>
      <c r="I540" s="15" t="s">
        <v>118</v>
      </c>
      <c r="J540" s="34" t="n">
        <f aca="false">MAX(1,ROUNDUP(Packages!$O$54/(R_SLAB*Fronts!$K$7),0))+SLAB_CURE</f>
        <v>6</v>
      </c>
      <c r="K540" s="34" t="n">
        <f aca="false">IF(J540=0,0,ROUNDUP(J540*7/WD,0))</f>
        <v>7</v>
      </c>
      <c r="L540" s="15" t="s">
        <v>3759</v>
      </c>
      <c r="M540" s="34" t="n">
        <f aca="false">ROUNDUP(K539*LADDER,0)</f>
        <v>1</v>
      </c>
      <c r="N540" s="34" t="n">
        <f aca="false">IF(K540=0,0,FFLAG)</f>
        <v>2</v>
      </c>
      <c r="O540" s="15"/>
      <c r="P540" s="16" t="n">
        <f aca="false">MAX(P539+M540)</f>
        <v>46499</v>
      </c>
      <c r="Q540" s="16" t="n">
        <f aca="false">MAX(P540+K540,Q539+N540)</f>
        <v>46506</v>
      </c>
      <c r="R540" s="16" t="n">
        <f aca="false">IF(K540&gt;0,Q540,0)</f>
        <v>46506</v>
      </c>
      <c r="S540" s="12"/>
    </row>
    <row r="541" customFormat="false" ht="15" hidden="false" customHeight="false" outlineLevel="0" collapsed="false">
      <c r="A541" s="15" t="s">
        <v>3761</v>
      </c>
      <c r="B541" s="15" t="s">
        <v>3753</v>
      </c>
      <c r="C541" s="15" t="s">
        <v>391</v>
      </c>
      <c r="D541" s="15" t="s">
        <v>1502</v>
      </c>
      <c r="E541" s="15" t="s">
        <v>1564</v>
      </c>
      <c r="F541" s="15" t="s">
        <v>3025</v>
      </c>
      <c r="G541" s="15" t="s">
        <v>3026</v>
      </c>
      <c r="H541" s="33" t="n">
        <f aca="false">Packages!$O$54</f>
        <v>30.3665462773059</v>
      </c>
      <c r="I541" s="15" t="s">
        <v>118</v>
      </c>
      <c r="J541" s="34" t="n">
        <f aca="false">MAX(1,ROUNDUP(Packages!$O$54/(IF(Packages!$N$54&gt;=PIPE_T1,R_PIPE_L,IF(Packages!$N$54&gt;=PIPE_T2,R_PIPE_M,R_PIPE_S))*Fronts!$L$7)+Packages!$M$54*FIT_D+IF(Packages!$G$54&lt;&gt;"Run",TIE_D,0),0))</f>
        <v>5</v>
      </c>
      <c r="K541" s="34" t="n">
        <f aca="false">IF(J541=0,0,ROUNDUP(J541*7/WD,0))</f>
        <v>6</v>
      </c>
      <c r="L541" s="15" t="s">
        <v>3760</v>
      </c>
      <c r="M541" s="34" t="n">
        <f aca="false">ROUNDUP(K540*LADDER,0)</f>
        <v>3</v>
      </c>
      <c r="N541" s="34" t="n">
        <f aca="false">IF(K541=0,0,FFLAG)</f>
        <v>2</v>
      </c>
      <c r="O541" s="15" t="s">
        <v>3762</v>
      </c>
      <c r="P541" s="16" t="n">
        <f aca="false">MAX(P540+M541,Q1883)</f>
        <v>46580</v>
      </c>
      <c r="Q541" s="16" t="n">
        <f aca="false">MAX(P541+K541,Q540+N541)</f>
        <v>46586</v>
      </c>
      <c r="R541" s="16" t="n">
        <f aca="false">IF(K541&gt;0,Q541,0)</f>
        <v>46586</v>
      </c>
      <c r="S541" s="12"/>
    </row>
    <row r="542" customFormat="false" ht="15" hidden="false" customHeight="false" outlineLevel="0" collapsed="false">
      <c r="A542" s="15" t="s">
        <v>3763</v>
      </c>
      <c r="B542" s="15" t="s">
        <v>3753</v>
      </c>
      <c r="C542" s="15" t="s">
        <v>391</v>
      </c>
      <c r="D542" s="15" t="s">
        <v>1502</v>
      </c>
      <c r="E542" s="15" t="s">
        <v>1564</v>
      </c>
      <c r="F542" s="15" t="s">
        <v>3028</v>
      </c>
      <c r="G542" s="15" t="s">
        <v>3029</v>
      </c>
      <c r="H542" s="33" t="n">
        <f aca="false">Packages!$O$54</f>
        <v>30.3665462773059</v>
      </c>
      <c r="I542" s="15" t="s">
        <v>118</v>
      </c>
      <c r="J542" s="34" t="n">
        <f aca="false">TEST_D+ROUNDUP(Packages!$O$54/R_TEST,0)</f>
        <v>3</v>
      </c>
      <c r="K542" s="34" t="n">
        <f aca="false">IF(J542=0,0,ROUNDUP(J542*7/WD,0))</f>
        <v>4</v>
      </c>
      <c r="L542" s="15" t="s">
        <v>3761</v>
      </c>
      <c r="M542" s="34" t="n">
        <f aca="false">ROUNDUP(K541*LADDER,0)</f>
        <v>2</v>
      </c>
      <c r="N542" s="34" t="n">
        <f aca="false">IF(K542=0,0,FFLAG)</f>
        <v>2</v>
      </c>
      <c r="O542" s="15"/>
      <c r="P542" s="16" t="n">
        <f aca="false">MAX(P541+M542)</f>
        <v>46582</v>
      </c>
      <c r="Q542" s="16" t="n">
        <f aca="false">MAX(P542+K542,Q541+N542)</f>
        <v>46588</v>
      </c>
      <c r="R542" s="12"/>
      <c r="S542" s="12"/>
    </row>
    <row r="543" customFormat="false" ht="15" hidden="false" customHeight="false" outlineLevel="0" collapsed="false">
      <c r="A543" s="15" t="s">
        <v>3764</v>
      </c>
      <c r="B543" s="15" t="s">
        <v>3753</v>
      </c>
      <c r="C543" s="15" t="s">
        <v>391</v>
      </c>
      <c r="D543" s="15" t="s">
        <v>1502</v>
      </c>
      <c r="E543" s="15" t="s">
        <v>1564</v>
      </c>
      <c r="F543" s="15" t="s">
        <v>3031</v>
      </c>
      <c r="G543" s="15" t="s">
        <v>3032</v>
      </c>
      <c r="H543" s="33" t="n">
        <f aca="false">Packages!$AB$54</f>
        <v>255.522251898577</v>
      </c>
      <c r="I543" s="15" t="s">
        <v>3019</v>
      </c>
      <c r="J543" s="34" t="n">
        <f aca="false">MAX(1,ROUNDUP(Packages!$AB$54/(R_BF*Fronts!$M$7),0))</f>
        <v>1</v>
      </c>
      <c r="K543" s="34" t="n">
        <f aca="false">IF(J543=0,0,ROUNDUP(J543*7/WD,0))</f>
        <v>2</v>
      </c>
      <c r="L543" s="15" t="s">
        <v>3763</v>
      </c>
      <c r="M543" s="34" t="n">
        <f aca="false">ROUNDUP(K542*LADDER,0)</f>
        <v>2</v>
      </c>
      <c r="N543" s="34" t="n">
        <f aca="false">IF(K543=0,0,FFLAG)</f>
        <v>2</v>
      </c>
      <c r="O543" s="15" t="s">
        <v>3765</v>
      </c>
      <c r="P543" s="16" t="n">
        <f aca="false">MAX(P542+M543,Q552)</f>
        <v>46584</v>
      </c>
      <c r="Q543" s="16" t="n">
        <f aca="false">MAX(P543+K543,Q542+N543)</f>
        <v>46590</v>
      </c>
      <c r="R543" s="16" t="n">
        <f aca="false">IF(K543&gt;0,Q543,0)</f>
        <v>46590</v>
      </c>
      <c r="S543" s="12"/>
    </row>
    <row r="544" customFormat="false" ht="15" hidden="false" customHeight="false" outlineLevel="0" collapsed="false">
      <c r="A544" s="15" t="s">
        <v>3766</v>
      </c>
      <c r="B544" s="15" t="s">
        <v>3753</v>
      </c>
      <c r="C544" s="15" t="s">
        <v>391</v>
      </c>
      <c r="D544" s="15" t="s">
        <v>1502</v>
      </c>
      <c r="E544" s="15" t="s">
        <v>1564</v>
      </c>
      <c r="F544" s="15" t="s">
        <v>3034</v>
      </c>
      <c r="G544" s="15" t="s">
        <v>3035</v>
      </c>
      <c r="H544" s="33" t="n">
        <f aca="false">Packages!$AD$54</f>
        <v>60.7330925546117</v>
      </c>
      <c r="I544" s="15" t="s">
        <v>3012</v>
      </c>
      <c r="J544" s="34" t="n">
        <f aca="false">IF(Packages!$AD$54&gt;0,ROUNDUP(Packages!$AD$54/R_EXT,0),0)+IF(Packages!$AG$54&gt;0,1,0)</f>
        <v>3</v>
      </c>
      <c r="K544" s="34" t="n">
        <f aca="false">IF(J544=0,0,ROUNDUP(J544*7/WD,0))</f>
        <v>4</v>
      </c>
      <c r="L544" s="15" t="s">
        <v>3764</v>
      </c>
      <c r="M544" s="34" t="n">
        <f aca="false">ROUNDUP(K543*LADDER,0)</f>
        <v>1</v>
      </c>
      <c r="N544" s="34" t="n">
        <f aca="false">IF(K544=0,0,FFLAG)</f>
        <v>2</v>
      </c>
      <c r="O544" s="15"/>
      <c r="P544" s="16" t="n">
        <f aca="false">MAX(P543+M544)</f>
        <v>46585</v>
      </c>
      <c r="Q544" s="16" t="n">
        <f aca="false">MAX(P544+K544,Q543+N544)</f>
        <v>46592</v>
      </c>
      <c r="R544" s="12"/>
      <c r="S544" s="12"/>
    </row>
    <row r="545" customFormat="false" ht="15" hidden="false" customHeight="false" outlineLevel="0" collapsed="false">
      <c r="A545" s="15" t="s">
        <v>3767</v>
      </c>
      <c r="B545" s="15" t="s">
        <v>3768</v>
      </c>
      <c r="C545" s="15" t="s">
        <v>391</v>
      </c>
      <c r="D545" s="15" t="s">
        <v>1840</v>
      </c>
      <c r="E545" s="15" t="s">
        <v>1841</v>
      </c>
      <c r="F545" s="15" t="s">
        <v>2998</v>
      </c>
      <c r="G545" s="15" t="s">
        <v>2999</v>
      </c>
      <c r="H545" s="12"/>
      <c r="I545" s="12"/>
      <c r="J545" s="34" t="n">
        <f aca="false">0</f>
        <v>0</v>
      </c>
      <c r="K545" s="34" t="n">
        <f aca="false">IF(J545=0,0,ROUNDUP(J545*7/WD,0))</f>
        <v>0</v>
      </c>
      <c r="L545" s="12"/>
      <c r="M545" s="12"/>
      <c r="N545" s="12"/>
      <c r="O545" s="15" t="s">
        <v>3038</v>
      </c>
      <c r="P545" s="16" t="n">
        <f aca="false">MAX(START,D_DLU,Packages!$I$55,Packages!$K$55)</f>
        <v>46357</v>
      </c>
      <c r="Q545" s="16" t="n">
        <f aca="false">P545+K545</f>
        <v>46357</v>
      </c>
      <c r="R545" s="12"/>
      <c r="S545" s="12"/>
    </row>
    <row r="546" customFormat="false" ht="15" hidden="false" customHeight="false" outlineLevel="0" collapsed="false">
      <c r="A546" s="15" t="s">
        <v>3769</v>
      </c>
      <c r="B546" s="15" t="s">
        <v>3768</v>
      </c>
      <c r="C546" s="15" t="s">
        <v>391</v>
      </c>
      <c r="D546" s="15" t="s">
        <v>1840</v>
      </c>
      <c r="E546" s="15" t="s">
        <v>1841</v>
      </c>
      <c r="F546" s="15" t="s">
        <v>3002</v>
      </c>
      <c r="G546" s="15" t="s">
        <v>205</v>
      </c>
      <c r="H546" s="33" t="n">
        <f aca="false">Packages!$O$55</f>
        <v>37.7243673381659</v>
      </c>
      <c r="I546" s="15" t="s">
        <v>118</v>
      </c>
      <c r="J546" s="34" t="n">
        <f aca="false">MAX(1,ROUNDUP(Packages!$O$55/R_PLAT,0))</f>
        <v>1</v>
      </c>
      <c r="K546" s="34" t="n">
        <f aca="false">IF(J546=0,0,ROUNDUP(J546*7/WD,0))</f>
        <v>2</v>
      </c>
      <c r="L546" s="15" t="s">
        <v>3767</v>
      </c>
      <c r="M546" s="12"/>
      <c r="N546" s="12"/>
      <c r="O546" s="15" t="s">
        <v>3003</v>
      </c>
      <c r="P546" s="16" t="n">
        <f aca="false">MAX(Q545)</f>
        <v>46357</v>
      </c>
      <c r="Q546" s="16" t="n">
        <f aca="false">P546+K546</f>
        <v>46359</v>
      </c>
      <c r="R546" s="12"/>
      <c r="S546" s="12"/>
    </row>
    <row r="547" customFormat="false" ht="15" hidden="false" customHeight="false" outlineLevel="0" collapsed="false">
      <c r="A547" s="15" t="s">
        <v>3770</v>
      </c>
      <c r="B547" s="15" t="s">
        <v>3768</v>
      </c>
      <c r="C547" s="15" t="s">
        <v>391</v>
      </c>
      <c r="D547" s="15" t="s">
        <v>1840</v>
      </c>
      <c r="E547" s="15" t="s">
        <v>1841</v>
      </c>
      <c r="F547" s="15" t="s">
        <v>3005</v>
      </c>
      <c r="G547" s="15" t="s">
        <v>3006</v>
      </c>
      <c r="H547" s="33" t="n">
        <f aca="false">Packages!$AC$55</f>
        <v>28</v>
      </c>
      <c r="I547" s="15" t="s">
        <v>3007</v>
      </c>
      <c r="J547" s="34" t="n">
        <f aca="false">IF(Packages!$AC$55=0,0,MAX(1,ROUNDUP(Packages!$AC$55/(R_PILE*Fronts!$H$7),0)))</f>
        <v>6</v>
      </c>
      <c r="K547" s="34" t="n">
        <f aca="false">IF(J547=0,0,ROUNDUP(J547*7/WD,0))</f>
        <v>7</v>
      </c>
      <c r="L547" s="15" t="s">
        <v>3769</v>
      </c>
      <c r="M547" s="34" t="n">
        <f aca="false">ROUNDUP(K546*LADDER,0)</f>
        <v>1</v>
      </c>
      <c r="N547" s="34" t="n">
        <f aca="false">IF(K547=0,0,FFLAG)</f>
        <v>2</v>
      </c>
      <c r="O547" s="15" t="s">
        <v>3008</v>
      </c>
      <c r="P547" s="16" t="n">
        <f aca="false">MAX(P546+M547,D_PILEDES)</f>
        <v>46358</v>
      </c>
      <c r="Q547" s="16" t="n">
        <f aca="false">MAX(P547+K547,Q546+N547)</f>
        <v>46365</v>
      </c>
      <c r="R547" s="16" t="n">
        <f aca="false">IF(K547&gt;0,Q547,0)</f>
        <v>46365</v>
      </c>
      <c r="S547" s="12"/>
    </row>
    <row r="548" customFormat="false" ht="15" hidden="false" customHeight="false" outlineLevel="0" collapsed="false">
      <c r="A548" s="15" t="s">
        <v>3771</v>
      </c>
      <c r="B548" s="15" t="s">
        <v>3768</v>
      </c>
      <c r="C548" s="15" t="s">
        <v>391</v>
      </c>
      <c r="D548" s="15" t="s">
        <v>1840</v>
      </c>
      <c r="E548" s="15" t="s">
        <v>1841</v>
      </c>
      <c r="F548" s="15" t="s">
        <v>3010</v>
      </c>
      <c r="G548" s="15" t="s">
        <v>3011</v>
      </c>
      <c r="H548" s="33" t="n">
        <f aca="false">Packages!$AD$55</f>
        <v>55.4487346740858</v>
      </c>
      <c r="I548" s="15" t="s">
        <v>3012</v>
      </c>
      <c r="J548" s="34" t="n">
        <f aca="false">IF(Packages!$AD$55=0,0,MAX(1,ROUNDUP(Packages!$AD$55/(R_SHEET*Fronts!$I$7),0)))</f>
        <v>3</v>
      </c>
      <c r="K548" s="34" t="n">
        <f aca="false">IF(J548=0,0,ROUNDUP(J548*7/WD,0))</f>
        <v>4</v>
      </c>
      <c r="L548" s="15" t="s">
        <v>3770</v>
      </c>
      <c r="M548" s="34" t="n">
        <f aca="false">ROUNDUP(K547*LADDER,0)</f>
        <v>3</v>
      </c>
      <c r="N548" s="34" t="n">
        <f aca="false">IF(K548=0,0,FFLAG)</f>
        <v>2</v>
      </c>
      <c r="O548" s="15"/>
      <c r="P548" s="16" t="n">
        <f aca="false">MAX(P547+M548)</f>
        <v>46361</v>
      </c>
      <c r="Q548" s="16" t="n">
        <f aca="false">MAX(P548+K548,Q547+N548)</f>
        <v>46367</v>
      </c>
      <c r="R548" s="16" t="n">
        <f aca="false">IF(K548&gt;0,Q548,0)</f>
        <v>46367</v>
      </c>
      <c r="S548" s="12"/>
    </row>
    <row r="549" customFormat="false" ht="15" hidden="false" customHeight="false" outlineLevel="0" collapsed="false">
      <c r="A549" s="15" t="s">
        <v>3772</v>
      </c>
      <c r="B549" s="15" t="s">
        <v>3768</v>
      </c>
      <c r="C549" s="15" t="s">
        <v>391</v>
      </c>
      <c r="D549" s="15" t="s">
        <v>1840</v>
      </c>
      <c r="E549" s="15" t="s">
        <v>1841</v>
      </c>
      <c r="F549" s="15" t="s">
        <v>3014</v>
      </c>
      <c r="G549" s="15" t="s">
        <v>3015</v>
      </c>
      <c r="H549" s="33" t="n">
        <f aca="false">Packages!$O$55</f>
        <v>37.7243673381659</v>
      </c>
      <c r="I549" s="15" t="s">
        <v>118</v>
      </c>
      <c r="J549" s="34" t="n">
        <f aca="false">IF(Packages!$AG$55=0,0,ROUNDUP(Packages!$O$55/R_DW,0)+DW_DRAW)</f>
        <v>8</v>
      </c>
      <c r="K549" s="34" t="n">
        <f aca="false">IF(J549=0,0,ROUNDUP(J549*7/WD,0))</f>
        <v>10</v>
      </c>
      <c r="L549" s="15" t="s">
        <v>3771</v>
      </c>
      <c r="M549" s="34" t="n">
        <f aca="false">ROUNDUP(K548*LADDER,0)</f>
        <v>2</v>
      </c>
      <c r="N549" s="34" t="n">
        <f aca="false">IF(K549=0,0,FFLAG)</f>
        <v>2</v>
      </c>
      <c r="O549" s="15"/>
      <c r="P549" s="16" t="n">
        <f aca="false">MAX(P548+M549)</f>
        <v>46363</v>
      </c>
      <c r="Q549" s="16" t="n">
        <f aca="false">MAX(P549+K549,Q548+N549)</f>
        <v>46373</v>
      </c>
      <c r="R549" s="12"/>
      <c r="S549" s="12"/>
    </row>
    <row r="550" customFormat="false" ht="15" hidden="false" customHeight="false" outlineLevel="0" collapsed="false">
      <c r="A550" s="15" t="s">
        <v>3773</v>
      </c>
      <c r="B550" s="15" t="s">
        <v>3768</v>
      </c>
      <c r="C550" s="15" t="s">
        <v>391</v>
      </c>
      <c r="D550" s="15" t="s">
        <v>1840</v>
      </c>
      <c r="E550" s="15" t="s">
        <v>1841</v>
      </c>
      <c r="F550" s="15" t="s">
        <v>3017</v>
      </c>
      <c r="G550" s="15" t="s">
        <v>3018</v>
      </c>
      <c r="H550" s="33" t="n">
        <f aca="false">Packages!$X$55+Packages!$Y$55</f>
        <v>390.929280902757</v>
      </c>
      <c r="I550" s="15" t="s">
        <v>3019</v>
      </c>
      <c r="J550" s="34" t="n">
        <f aca="false">MAX(1,ROUNDUP((Packages!$X$55/R_EXS+Packages!$Y$55/R_EXO)/Fronts!$J$7,0))</f>
        <v>2</v>
      </c>
      <c r="K550" s="34" t="n">
        <f aca="false">IF(J550=0,0,ROUNDUP(J550*7/WD,0))</f>
        <v>3</v>
      </c>
      <c r="L550" s="15" t="s">
        <v>3772</v>
      </c>
      <c r="M550" s="34" t="n">
        <f aca="false">IF(K549=0,0,ROUNDUP((K549-ROUNDUP(DW_DRAW*7/WD,0))*LADDER,0)+ROUNDUP(DW_DRAW*7/WD,0))</f>
        <v>10</v>
      </c>
      <c r="N550" s="34" t="n">
        <f aca="false">IF(K550=0,0,FFLAG)</f>
        <v>2</v>
      </c>
      <c r="O550" s="15" t="s">
        <v>3774</v>
      </c>
      <c r="P550" s="16" t="n">
        <f aca="false">MAX(P549+M550,Q532,P539)</f>
        <v>46498</v>
      </c>
      <c r="Q550" s="16" t="n">
        <f aca="false">MAX(P550+K550,Q549+N550)</f>
        <v>46501</v>
      </c>
      <c r="R550" s="16" t="n">
        <f aca="false">IF(K550&gt;0,Q550,0)</f>
        <v>46501</v>
      </c>
      <c r="S550" s="12"/>
    </row>
    <row r="551" customFormat="false" ht="15" hidden="false" customHeight="false" outlineLevel="0" collapsed="false">
      <c r="A551" s="15" t="s">
        <v>3775</v>
      </c>
      <c r="B551" s="15" t="s">
        <v>3768</v>
      </c>
      <c r="C551" s="15" t="s">
        <v>391</v>
      </c>
      <c r="D551" s="15" t="s">
        <v>1840</v>
      </c>
      <c r="E551" s="15" t="s">
        <v>1841</v>
      </c>
      <c r="F551" s="15" t="s">
        <v>3022</v>
      </c>
      <c r="G551" s="15" t="s">
        <v>3023</v>
      </c>
      <c r="H551" s="33" t="n">
        <f aca="false">Packages!$O$55</f>
        <v>37.7243673381659</v>
      </c>
      <c r="I551" s="15" t="s">
        <v>118</v>
      </c>
      <c r="J551" s="34" t="n">
        <f aca="false">MAX(1,ROUNDUP(Packages!$O$55/(R_SLAB*Fronts!$K$7),0))+SLAB_CURE</f>
        <v>7</v>
      </c>
      <c r="K551" s="34" t="n">
        <f aca="false">IF(J551=0,0,ROUNDUP(J551*7/WD,0))</f>
        <v>9</v>
      </c>
      <c r="L551" s="15" t="s">
        <v>3773</v>
      </c>
      <c r="M551" s="34" t="n">
        <f aca="false">ROUNDUP(K550*LADDER,0)</f>
        <v>1</v>
      </c>
      <c r="N551" s="34" t="n">
        <f aca="false">IF(K551=0,0,FFLAG)</f>
        <v>2</v>
      </c>
      <c r="O551" s="15"/>
      <c r="P551" s="16" t="n">
        <f aca="false">MAX(P550+M551)</f>
        <v>46499</v>
      </c>
      <c r="Q551" s="16" t="n">
        <f aca="false">MAX(P551+K551,Q550+N551)</f>
        <v>46508</v>
      </c>
      <c r="R551" s="16" t="n">
        <f aca="false">IF(K551&gt;0,Q551,0)</f>
        <v>46508</v>
      </c>
      <c r="S551" s="12"/>
    </row>
    <row r="552" customFormat="false" ht="15" hidden="false" customHeight="false" outlineLevel="0" collapsed="false">
      <c r="A552" s="15" t="s">
        <v>3776</v>
      </c>
      <c r="B552" s="15" t="s">
        <v>3768</v>
      </c>
      <c r="C552" s="15" t="s">
        <v>391</v>
      </c>
      <c r="D552" s="15" t="s">
        <v>1840</v>
      </c>
      <c r="E552" s="15" t="s">
        <v>1841</v>
      </c>
      <c r="F552" s="15" t="s">
        <v>3025</v>
      </c>
      <c r="G552" s="15" t="s">
        <v>3026</v>
      </c>
      <c r="H552" s="33" t="n">
        <f aca="false">Packages!$O$55</f>
        <v>37.7243673381659</v>
      </c>
      <c r="I552" s="15" t="s">
        <v>118</v>
      </c>
      <c r="J552" s="34" t="n">
        <f aca="false">MAX(1,ROUNDUP(Packages!$O$55/(IF(Packages!$N$55&gt;=PIPE_T1,R_PIPE_L,IF(Packages!$N$55&gt;=PIPE_T2,R_PIPE_M,R_PIPE_S))*Fronts!$L$7)+Packages!$M$55*FIT_D+IF(Packages!$G$55&lt;&gt;"Run",TIE_D,0),0))</f>
        <v>9</v>
      </c>
      <c r="K552" s="34" t="n">
        <f aca="false">IF(J552=0,0,ROUNDUP(J552*7/WD,0))</f>
        <v>11</v>
      </c>
      <c r="L552" s="15" t="s">
        <v>3775</v>
      </c>
      <c r="M552" s="34" t="n">
        <f aca="false">ROUNDUP(K551*LADDER,0)</f>
        <v>3</v>
      </c>
      <c r="N552" s="34" t="n">
        <f aca="false">IF(K552=0,0,FFLAG)</f>
        <v>2</v>
      </c>
      <c r="O552" s="15"/>
      <c r="P552" s="16" t="n">
        <f aca="false">MAX(P551+M552)</f>
        <v>46502</v>
      </c>
      <c r="Q552" s="16" t="n">
        <f aca="false">MAX(P552+K552,Q551+N552)</f>
        <v>46513</v>
      </c>
      <c r="R552" s="16" t="n">
        <f aca="false">IF(K552&gt;0,Q552,0)</f>
        <v>46513</v>
      </c>
      <c r="S552" s="12"/>
    </row>
    <row r="553" customFormat="false" ht="15" hidden="false" customHeight="false" outlineLevel="0" collapsed="false">
      <c r="A553" s="15" t="s">
        <v>3777</v>
      </c>
      <c r="B553" s="15" t="s">
        <v>3768</v>
      </c>
      <c r="C553" s="15" t="s">
        <v>391</v>
      </c>
      <c r="D553" s="15" t="s">
        <v>1840</v>
      </c>
      <c r="E553" s="15" t="s">
        <v>1841</v>
      </c>
      <c r="F553" s="15" t="s">
        <v>3028</v>
      </c>
      <c r="G553" s="15" t="s">
        <v>3029</v>
      </c>
      <c r="H553" s="33" t="n">
        <f aca="false">Packages!$O$55</f>
        <v>37.7243673381659</v>
      </c>
      <c r="I553" s="15" t="s">
        <v>118</v>
      </c>
      <c r="J553" s="34" t="n">
        <f aca="false">TEST_D+ROUNDUP(Packages!$O$55/R_TEST,0)</f>
        <v>3</v>
      </c>
      <c r="K553" s="34" t="n">
        <f aca="false">IF(J553=0,0,ROUNDUP(J553*7/WD,0))</f>
        <v>4</v>
      </c>
      <c r="L553" s="15" t="s">
        <v>3776</v>
      </c>
      <c r="M553" s="34" t="n">
        <f aca="false">ROUNDUP(K552*LADDER,0)</f>
        <v>4</v>
      </c>
      <c r="N553" s="34" t="n">
        <f aca="false">IF(K553=0,0,FFLAG)</f>
        <v>2</v>
      </c>
      <c r="O553" s="15"/>
      <c r="P553" s="16" t="n">
        <f aca="false">MAX(P552+M553)</f>
        <v>46506</v>
      </c>
      <c r="Q553" s="16" t="n">
        <f aca="false">MAX(P553+K553,Q552+N553)</f>
        <v>46515</v>
      </c>
      <c r="R553" s="12"/>
      <c r="S553" s="12"/>
    </row>
    <row r="554" customFormat="false" ht="15" hidden="false" customHeight="false" outlineLevel="0" collapsed="false">
      <c r="A554" s="15" t="s">
        <v>3778</v>
      </c>
      <c r="B554" s="15" t="s">
        <v>3768</v>
      </c>
      <c r="C554" s="15" t="s">
        <v>391</v>
      </c>
      <c r="D554" s="15" t="s">
        <v>1840</v>
      </c>
      <c r="E554" s="15" t="s">
        <v>1841</v>
      </c>
      <c r="F554" s="15" t="s">
        <v>3031</v>
      </c>
      <c r="G554" s="15" t="s">
        <v>3032</v>
      </c>
      <c r="H554" s="33" t="n">
        <f aca="false">Packages!$AB$55</f>
        <v>276.250604213522</v>
      </c>
      <c r="I554" s="15" t="s">
        <v>3019</v>
      </c>
      <c r="J554" s="34" t="n">
        <f aca="false">MAX(1,ROUNDUP(Packages!$AB$55/(R_BF*Fronts!$M$7),0))</f>
        <v>1</v>
      </c>
      <c r="K554" s="34" t="n">
        <f aca="false">IF(J554=0,0,ROUNDUP(J554*7/WD,0))</f>
        <v>2</v>
      </c>
      <c r="L554" s="15" t="s">
        <v>3777</v>
      </c>
      <c r="M554" s="34" t="n">
        <f aca="false">ROUNDUP(K553*LADDER,0)</f>
        <v>2</v>
      </c>
      <c r="N554" s="34" t="n">
        <f aca="false">IF(K554=0,0,FFLAG)</f>
        <v>2</v>
      </c>
      <c r="O554" s="15" t="s">
        <v>3779</v>
      </c>
      <c r="P554" s="16" t="n">
        <f aca="false">MAX(P553+M554,Q541)</f>
        <v>46586</v>
      </c>
      <c r="Q554" s="16" t="n">
        <f aca="false">MAX(P554+K554,Q553+N554)</f>
        <v>46588</v>
      </c>
      <c r="R554" s="16" t="n">
        <f aca="false">IF(K554&gt;0,Q554,0)</f>
        <v>46588</v>
      </c>
      <c r="S554" s="12"/>
    </row>
    <row r="555" customFormat="false" ht="15" hidden="false" customHeight="false" outlineLevel="0" collapsed="false">
      <c r="A555" s="15" t="s">
        <v>3780</v>
      </c>
      <c r="B555" s="15" t="s">
        <v>3768</v>
      </c>
      <c r="C555" s="15" t="s">
        <v>391</v>
      </c>
      <c r="D555" s="15" t="s">
        <v>1840</v>
      </c>
      <c r="E555" s="15" t="s">
        <v>1841</v>
      </c>
      <c r="F555" s="15" t="s">
        <v>3034</v>
      </c>
      <c r="G555" s="15" t="s">
        <v>3035</v>
      </c>
      <c r="H555" s="33" t="n">
        <f aca="false">Packages!$AD$55</f>
        <v>55.4487346740858</v>
      </c>
      <c r="I555" s="15" t="s">
        <v>3012</v>
      </c>
      <c r="J555" s="34" t="n">
        <f aca="false">IF(Packages!$AD$55&gt;0,ROUNDUP(Packages!$AD$55/R_EXT,0),0)+IF(Packages!$AG$55&gt;0,1,0)</f>
        <v>3</v>
      </c>
      <c r="K555" s="34" t="n">
        <f aca="false">IF(J555=0,0,ROUNDUP(J555*7/WD,0))</f>
        <v>4</v>
      </c>
      <c r="L555" s="15" t="s">
        <v>3778</v>
      </c>
      <c r="M555" s="34" t="n">
        <f aca="false">ROUNDUP(K554*LADDER,0)</f>
        <v>1</v>
      </c>
      <c r="N555" s="34" t="n">
        <f aca="false">IF(K555=0,0,FFLAG)</f>
        <v>2</v>
      </c>
      <c r="O555" s="15"/>
      <c r="P555" s="16" t="n">
        <f aca="false">MAX(P554+M555)</f>
        <v>46587</v>
      </c>
      <c r="Q555" s="16" t="n">
        <f aca="false">MAX(P555+K555,Q554+N555)</f>
        <v>46591</v>
      </c>
      <c r="R555" s="12"/>
      <c r="S555" s="12"/>
    </row>
    <row r="556" customFormat="false" ht="15" hidden="false" customHeight="false" outlineLevel="0" collapsed="false">
      <c r="A556" s="15" t="s">
        <v>3781</v>
      </c>
      <c r="B556" s="15" t="s">
        <v>3782</v>
      </c>
      <c r="C556" s="15" t="s">
        <v>391</v>
      </c>
      <c r="D556" s="15" t="s">
        <v>1136</v>
      </c>
      <c r="E556" s="15" t="s">
        <v>1196</v>
      </c>
      <c r="F556" s="15" t="s">
        <v>2998</v>
      </c>
      <c r="G556" s="15" t="s">
        <v>2999</v>
      </c>
      <c r="H556" s="12"/>
      <c r="I556" s="12"/>
      <c r="J556" s="34" t="n">
        <f aca="false">0</f>
        <v>0</v>
      </c>
      <c r="K556" s="34" t="n">
        <f aca="false">IF(J556=0,0,ROUNDUP(J556*7/WD,0))</f>
        <v>0</v>
      </c>
      <c r="L556" s="12"/>
      <c r="M556" s="12"/>
      <c r="N556" s="12"/>
      <c r="O556" s="15" t="s">
        <v>3038</v>
      </c>
      <c r="P556" s="16" t="n">
        <f aca="false">MAX(START,D_DLU,Packages!$I$56,Packages!$K$56)</f>
        <v>46357</v>
      </c>
      <c r="Q556" s="16" t="n">
        <f aca="false">P556+K556</f>
        <v>46357</v>
      </c>
      <c r="R556" s="12"/>
      <c r="S556" s="12"/>
    </row>
    <row r="557" customFormat="false" ht="15" hidden="false" customHeight="false" outlineLevel="0" collapsed="false">
      <c r="A557" s="15" t="s">
        <v>3783</v>
      </c>
      <c r="B557" s="15" t="s">
        <v>3782</v>
      </c>
      <c r="C557" s="15" t="s">
        <v>391</v>
      </c>
      <c r="D557" s="15" t="s">
        <v>1136</v>
      </c>
      <c r="E557" s="15" t="s">
        <v>1196</v>
      </c>
      <c r="F557" s="15" t="s">
        <v>3002</v>
      </c>
      <c r="G557" s="15" t="s">
        <v>205</v>
      </c>
      <c r="H557" s="33" t="n">
        <f aca="false">Packages!$O$56</f>
        <v>5.99997728332391</v>
      </c>
      <c r="I557" s="15" t="s">
        <v>118</v>
      </c>
      <c r="J557" s="34" t="n">
        <f aca="false">MAX(1,ROUNDUP(Packages!$O$56/R_PLAT,0))</f>
        <v>1</v>
      </c>
      <c r="K557" s="34" t="n">
        <f aca="false">IF(J557=0,0,ROUNDUP(J557*7/WD,0))</f>
        <v>2</v>
      </c>
      <c r="L557" s="15" t="s">
        <v>3781</v>
      </c>
      <c r="M557" s="12"/>
      <c r="N557" s="12"/>
      <c r="O557" s="15" t="s">
        <v>3784</v>
      </c>
      <c r="P557" s="16" t="n">
        <f aca="false">MAX(Q556,P393)</f>
        <v>46402</v>
      </c>
      <c r="Q557" s="16" t="n">
        <f aca="false">P557+K557</f>
        <v>46404</v>
      </c>
      <c r="R557" s="12"/>
      <c r="S557" s="12"/>
    </row>
    <row r="558" customFormat="false" ht="15" hidden="false" customHeight="false" outlineLevel="0" collapsed="false">
      <c r="A558" s="15" t="s">
        <v>3785</v>
      </c>
      <c r="B558" s="15" t="s">
        <v>3782</v>
      </c>
      <c r="C558" s="15" t="s">
        <v>391</v>
      </c>
      <c r="D558" s="15" t="s">
        <v>1136</v>
      </c>
      <c r="E558" s="15" t="s">
        <v>1196</v>
      </c>
      <c r="F558" s="15" t="s">
        <v>3005</v>
      </c>
      <c r="G558" s="15" t="s">
        <v>3006</v>
      </c>
      <c r="H558" s="33" t="n">
        <f aca="false">Packages!$AC$56</f>
        <v>6</v>
      </c>
      <c r="I558" s="15" t="s">
        <v>3007</v>
      </c>
      <c r="J558" s="34" t="n">
        <f aca="false">IF(Packages!$AC$56=0,0,MAX(1,ROUNDUP(Packages!$AC$56/(R_PILE*Fronts!$H$7),0)))</f>
        <v>2</v>
      </c>
      <c r="K558" s="34" t="n">
        <f aca="false">IF(J558=0,0,ROUNDUP(J558*7/WD,0))</f>
        <v>3</v>
      </c>
      <c r="L558" s="15" t="s">
        <v>3783</v>
      </c>
      <c r="M558" s="34" t="n">
        <f aca="false">ROUNDUP(K557*LADDER,0)</f>
        <v>1</v>
      </c>
      <c r="N558" s="34" t="n">
        <f aca="false">IF(K558=0,0,FFLAG)</f>
        <v>2</v>
      </c>
      <c r="O558" s="15" t="s">
        <v>3008</v>
      </c>
      <c r="P558" s="16" t="n">
        <f aca="false">MAX(P557+M558,D_PILEDES)</f>
        <v>46403</v>
      </c>
      <c r="Q558" s="16" t="n">
        <f aca="false">MAX(P558+K558,Q557+N558)</f>
        <v>46406</v>
      </c>
      <c r="R558" s="16" t="n">
        <f aca="false">IF(K558&gt;0,Q558,0)</f>
        <v>46406</v>
      </c>
      <c r="S558" s="12"/>
    </row>
    <row r="559" customFormat="false" ht="15" hidden="false" customHeight="false" outlineLevel="0" collapsed="false">
      <c r="A559" s="15" t="s">
        <v>3786</v>
      </c>
      <c r="B559" s="15" t="s">
        <v>3782</v>
      </c>
      <c r="C559" s="15" t="s">
        <v>391</v>
      </c>
      <c r="D559" s="15" t="s">
        <v>1136</v>
      </c>
      <c r="E559" s="15" t="s">
        <v>1196</v>
      </c>
      <c r="F559" s="15" t="s">
        <v>3010</v>
      </c>
      <c r="G559" s="15" t="s">
        <v>3011</v>
      </c>
      <c r="H559" s="33" t="n">
        <f aca="false">Packages!$AD$56</f>
        <v>11.9999545666478</v>
      </c>
      <c r="I559" s="15" t="s">
        <v>3012</v>
      </c>
      <c r="J559" s="34" t="n">
        <f aca="false">IF(Packages!$AD$56=0,0,MAX(1,ROUNDUP(Packages!$AD$56/(R_SHEET*Fronts!$I$7),0)))</f>
        <v>1</v>
      </c>
      <c r="K559" s="34" t="n">
        <f aca="false">IF(J559=0,0,ROUNDUP(J559*7/WD,0))</f>
        <v>2</v>
      </c>
      <c r="L559" s="15" t="s">
        <v>3785</v>
      </c>
      <c r="M559" s="34" t="n">
        <f aca="false">ROUNDUP(K558*LADDER,0)</f>
        <v>1</v>
      </c>
      <c r="N559" s="34" t="n">
        <f aca="false">IF(K559=0,0,FFLAG)</f>
        <v>2</v>
      </c>
      <c r="O559" s="15"/>
      <c r="P559" s="16" t="n">
        <f aca="false">MAX(P558+M559)</f>
        <v>46404</v>
      </c>
      <c r="Q559" s="16" t="n">
        <f aca="false">MAX(P559+K559,Q558+N559)</f>
        <v>46408</v>
      </c>
      <c r="R559" s="16" t="n">
        <f aca="false">IF(K559&gt;0,Q559,0)</f>
        <v>46408</v>
      </c>
      <c r="S559" s="12"/>
    </row>
    <row r="560" customFormat="false" ht="15" hidden="false" customHeight="false" outlineLevel="0" collapsed="false">
      <c r="A560" s="15" t="s">
        <v>3787</v>
      </c>
      <c r="B560" s="15" t="s">
        <v>3782</v>
      </c>
      <c r="C560" s="15" t="s">
        <v>391</v>
      </c>
      <c r="D560" s="15" t="s">
        <v>1136</v>
      </c>
      <c r="E560" s="15" t="s">
        <v>1196</v>
      </c>
      <c r="F560" s="15" t="s">
        <v>3014</v>
      </c>
      <c r="G560" s="15" t="s">
        <v>3015</v>
      </c>
      <c r="H560" s="33" t="n">
        <f aca="false">Packages!$O$56</f>
        <v>5.99997728332391</v>
      </c>
      <c r="I560" s="15" t="s">
        <v>118</v>
      </c>
      <c r="J560" s="34" t="n">
        <f aca="false">IF(Packages!$AG$56=0,0,ROUNDUP(Packages!$O$56/R_DW,0)+DW_DRAW)</f>
        <v>8</v>
      </c>
      <c r="K560" s="34" t="n">
        <f aca="false">IF(J560=0,0,ROUNDUP(J560*7/WD,0))</f>
        <v>10</v>
      </c>
      <c r="L560" s="15" t="s">
        <v>3786</v>
      </c>
      <c r="M560" s="34" t="n">
        <f aca="false">ROUNDUP(K559*LADDER,0)</f>
        <v>1</v>
      </c>
      <c r="N560" s="34" t="n">
        <f aca="false">IF(K560=0,0,FFLAG)</f>
        <v>2</v>
      </c>
      <c r="O560" s="15"/>
      <c r="P560" s="16" t="n">
        <f aca="false">MAX(P559+M560)</f>
        <v>46405</v>
      </c>
      <c r="Q560" s="16" t="n">
        <f aca="false">MAX(P560+K560,Q559+N560)</f>
        <v>46415</v>
      </c>
      <c r="R560" s="12"/>
      <c r="S560" s="12"/>
    </row>
    <row r="561" customFormat="false" ht="15" hidden="false" customHeight="false" outlineLevel="0" collapsed="false">
      <c r="A561" s="15" t="s">
        <v>3788</v>
      </c>
      <c r="B561" s="15" t="s">
        <v>3782</v>
      </c>
      <c r="C561" s="15" t="s">
        <v>391</v>
      </c>
      <c r="D561" s="15" t="s">
        <v>1136</v>
      </c>
      <c r="E561" s="15" t="s">
        <v>1196</v>
      </c>
      <c r="F561" s="15" t="s">
        <v>3017</v>
      </c>
      <c r="G561" s="15" t="s">
        <v>3018</v>
      </c>
      <c r="H561" s="33" t="n">
        <f aca="false">Packages!$X$56+Packages!$Y$56</f>
        <v>119.549157539517</v>
      </c>
      <c r="I561" s="15" t="s">
        <v>3019</v>
      </c>
      <c r="J561" s="34" t="n">
        <f aca="false">MAX(1,ROUNDUP((Packages!$X$56/R_EXS+Packages!$Y$56/R_EXO)/Fronts!$J$7,0))</f>
        <v>1</v>
      </c>
      <c r="K561" s="34" t="n">
        <f aca="false">IF(J561=0,0,ROUNDUP(J561*7/WD,0))</f>
        <v>2</v>
      </c>
      <c r="L561" s="15" t="s">
        <v>3787</v>
      </c>
      <c r="M561" s="34" t="n">
        <f aca="false">IF(K560=0,0,ROUNDUP((K560-ROUNDUP(DW_DRAW*7/WD,0))*LADDER,0)+ROUNDUP(DW_DRAW*7/WD,0))</f>
        <v>10</v>
      </c>
      <c r="N561" s="34" t="n">
        <f aca="false">IF(K561=0,0,FFLAG)</f>
        <v>2</v>
      </c>
      <c r="O561" s="15"/>
      <c r="P561" s="16" t="n">
        <f aca="false">MAX(P560+M561)</f>
        <v>46415</v>
      </c>
      <c r="Q561" s="16" t="n">
        <f aca="false">MAX(P561+K561,Q560+N561)</f>
        <v>46417</v>
      </c>
      <c r="R561" s="16" t="n">
        <f aca="false">IF(K561&gt;0,Q561,0)</f>
        <v>46417</v>
      </c>
      <c r="S561" s="12"/>
    </row>
    <row r="562" customFormat="false" ht="15" hidden="false" customHeight="false" outlineLevel="0" collapsed="false">
      <c r="A562" s="15" t="s">
        <v>3789</v>
      </c>
      <c r="B562" s="15" t="s">
        <v>3782</v>
      </c>
      <c r="C562" s="15" t="s">
        <v>391</v>
      </c>
      <c r="D562" s="15" t="s">
        <v>1136</v>
      </c>
      <c r="E562" s="15" t="s">
        <v>1196</v>
      </c>
      <c r="F562" s="15" t="s">
        <v>3022</v>
      </c>
      <c r="G562" s="15" t="s">
        <v>3023</v>
      </c>
      <c r="H562" s="33" t="n">
        <f aca="false">Packages!$O$56</f>
        <v>5.99997728332391</v>
      </c>
      <c r="I562" s="15" t="s">
        <v>118</v>
      </c>
      <c r="J562" s="34" t="n">
        <f aca="false">MAX(1,ROUNDUP(Packages!$O$56/(R_SLAB*Fronts!$K$7),0))+SLAB_CURE</f>
        <v>4</v>
      </c>
      <c r="K562" s="34" t="n">
        <f aca="false">IF(J562=0,0,ROUNDUP(J562*7/WD,0))</f>
        <v>5</v>
      </c>
      <c r="L562" s="15" t="s">
        <v>3788</v>
      </c>
      <c r="M562" s="34" t="n">
        <f aca="false">ROUNDUP(K561*LADDER,0)</f>
        <v>1</v>
      </c>
      <c r="N562" s="34" t="n">
        <f aca="false">IF(K562=0,0,FFLAG)</f>
        <v>2</v>
      </c>
      <c r="O562" s="15"/>
      <c r="P562" s="16" t="n">
        <f aca="false">MAX(P561+M562)</f>
        <v>46416</v>
      </c>
      <c r="Q562" s="16" t="n">
        <f aca="false">MAX(P562+K562,Q561+N562)</f>
        <v>46421</v>
      </c>
      <c r="R562" s="16" t="n">
        <f aca="false">IF(K562&gt;0,Q562,0)</f>
        <v>46421</v>
      </c>
      <c r="S562" s="12"/>
    </row>
    <row r="563" customFormat="false" ht="15" hidden="false" customHeight="false" outlineLevel="0" collapsed="false">
      <c r="A563" s="15" t="s">
        <v>3790</v>
      </c>
      <c r="B563" s="15" t="s">
        <v>3782</v>
      </c>
      <c r="C563" s="15" t="s">
        <v>391</v>
      </c>
      <c r="D563" s="15" t="s">
        <v>1136</v>
      </c>
      <c r="E563" s="15" t="s">
        <v>1196</v>
      </c>
      <c r="F563" s="15" t="s">
        <v>3025</v>
      </c>
      <c r="G563" s="15" t="s">
        <v>3026</v>
      </c>
      <c r="H563" s="33" t="n">
        <f aca="false">Packages!$O$56</f>
        <v>5.99997728332391</v>
      </c>
      <c r="I563" s="15" t="s">
        <v>118</v>
      </c>
      <c r="J563" s="34" t="n">
        <f aca="false">MAX(1,ROUNDUP(Packages!$O$56/(IF(Packages!$N$56&gt;=PIPE_T1,R_PIPE_L,IF(Packages!$N$56&gt;=PIPE_T2,R_PIPE_M,R_PIPE_S))*Fronts!$L$7)+Packages!$M$56*FIT_D+IF(Packages!$G$56&lt;&gt;"Run",TIE_D,0),0))</f>
        <v>4</v>
      </c>
      <c r="K563" s="34" t="n">
        <f aca="false">IF(J563=0,0,ROUNDUP(J563*7/WD,0))</f>
        <v>5</v>
      </c>
      <c r="L563" s="15" t="s">
        <v>3789</v>
      </c>
      <c r="M563" s="34" t="n">
        <f aca="false">ROUNDUP(K562*LADDER,0)</f>
        <v>2</v>
      </c>
      <c r="N563" s="34" t="n">
        <f aca="false">IF(K563=0,0,FFLAG)</f>
        <v>2</v>
      </c>
      <c r="O563" s="15" t="s">
        <v>3791</v>
      </c>
      <c r="P563" s="16" t="n">
        <f aca="false">MAX(P562+M563,Q398)</f>
        <v>46467</v>
      </c>
      <c r="Q563" s="16" t="n">
        <f aca="false">MAX(P563+K563,Q562+N563)</f>
        <v>46472</v>
      </c>
      <c r="R563" s="16" t="n">
        <f aca="false">IF(K563&gt;0,Q563,0)</f>
        <v>46472</v>
      </c>
      <c r="S563" s="12"/>
    </row>
    <row r="564" customFormat="false" ht="15" hidden="false" customHeight="false" outlineLevel="0" collapsed="false">
      <c r="A564" s="15" t="s">
        <v>3792</v>
      </c>
      <c r="B564" s="15" t="s">
        <v>3782</v>
      </c>
      <c r="C564" s="15" t="s">
        <v>391</v>
      </c>
      <c r="D564" s="15" t="s">
        <v>1136</v>
      </c>
      <c r="E564" s="15" t="s">
        <v>1196</v>
      </c>
      <c r="F564" s="15" t="s">
        <v>3028</v>
      </c>
      <c r="G564" s="15" t="s">
        <v>3029</v>
      </c>
      <c r="H564" s="33" t="n">
        <f aca="false">Packages!$O$56</f>
        <v>5.99997728332391</v>
      </c>
      <c r="I564" s="15" t="s">
        <v>118</v>
      </c>
      <c r="J564" s="34" t="n">
        <f aca="false">TEST_D+ROUNDUP(Packages!$O$56/R_TEST,0)</f>
        <v>3</v>
      </c>
      <c r="K564" s="34" t="n">
        <f aca="false">IF(J564=0,0,ROUNDUP(J564*7/WD,0))</f>
        <v>4</v>
      </c>
      <c r="L564" s="15" t="s">
        <v>3790</v>
      </c>
      <c r="M564" s="34" t="n">
        <f aca="false">ROUNDUP(K563*LADDER,0)</f>
        <v>2</v>
      </c>
      <c r="N564" s="34" t="n">
        <f aca="false">IF(K564=0,0,FFLAG)</f>
        <v>2</v>
      </c>
      <c r="O564" s="15"/>
      <c r="P564" s="16" t="n">
        <f aca="false">MAX(P563+M564)</f>
        <v>46469</v>
      </c>
      <c r="Q564" s="16" t="n">
        <f aca="false">MAX(P564+K564,Q563+N564)</f>
        <v>46474</v>
      </c>
      <c r="R564" s="12"/>
      <c r="S564" s="12"/>
    </row>
    <row r="565" customFormat="false" ht="15" hidden="false" customHeight="false" outlineLevel="0" collapsed="false">
      <c r="A565" s="15" t="s">
        <v>3793</v>
      </c>
      <c r="B565" s="15" t="s">
        <v>3782</v>
      </c>
      <c r="C565" s="15" t="s">
        <v>391</v>
      </c>
      <c r="D565" s="15" t="s">
        <v>1136</v>
      </c>
      <c r="E565" s="15" t="s">
        <v>1196</v>
      </c>
      <c r="F565" s="15" t="s">
        <v>3031</v>
      </c>
      <c r="G565" s="15" t="s">
        <v>3032</v>
      </c>
      <c r="H565" s="33" t="n">
        <f aca="false">Packages!$AB$56</f>
        <v>75.310680407358</v>
      </c>
      <c r="I565" s="15" t="s">
        <v>3019</v>
      </c>
      <c r="J565" s="34" t="n">
        <f aca="false">MAX(1,ROUNDUP(Packages!$AB$56/(R_BF*Fronts!$M$7),0))</f>
        <v>1</v>
      </c>
      <c r="K565" s="34" t="n">
        <f aca="false">IF(J565=0,0,ROUNDUP(J565*7/WD,0))</f>
        <v>2</v>
      </c>
      <c r="L565" s="15" t="s">
        <v>3792</v>
      </c>
      <c r="M565" s="34" t="n">
        <f aca="false">ROUNDUP(K564*LADDER,0)</f>
        <v>2</v>
      </c>
      <c r="N565" s="34" t="n">
        <f aca="false">IF(K565=0,0,FFLAG)</f>
        <v>2</v>
      </c>
      <c r="O565" s="15"/>
      <c r="P565" s="16" t="n">
        <f aca="false">MAX(P564+M565)</f>
        <v>46471</v>
      </c>
      <c r="Q565" s="16" t="n">
        <f aca="false">MAX(P565+K565,Q564+N565)</f>
        <v>46476</v>
      </c>
      <c r="R565" s="16" t="n">
        <f aca="false">IF(K565&gt;0,Q565,0)</f>
        <v>46476</v>
      </c>
      <c r="S565" s="12"/>
    </row>
    <row r="566" customFormat="false" ht="15" hidden="false" customHeight="false" outlineLevel="0" collapsed="false">
      <c r="A566" s="15" t="s">
        <v>3794</v>
      </c>
      <c r="B566" s="15" t="s">
        <v>3782</v>
      </c>
      <c r="C566" s="15" t="s">
        <v>391</v>
      </c>
      <c r="D566" s="15" t="s">
        <v>1136</v>
      </c>
      <c r="E566" s="15" t="s">
        <v>1196</v>
      </c>
      <c r="F566" s="15" t="s">
        <v>3034</v>
      </c>
      <c r="G566" s="15" t="s">
        <v>3035</v>
      </c>
      <c r="H566" s="33" t="n">
        <f aca="false">Packages!$AD$56</f>
        <v>11.9999545666478</v>
      </c>
      <c r="I566" s="15" t="s">
        <v>3012</v>
      </c>
      <c r="J566" s="34" t="n">
        <f aca="false">IF(Packages!$AD$56&gt;0,ROUNDUP(Packages!$AD$56/R_EXT,0),0)+IF(Packages!$AG$56&gt;0,1,0)</f>
        <v>2</v>
      </c>
      <c r="K566" s="34" t="n">
        <f aca="false">IF(J566=0,0,ROUNDUP(J566*7/WD,0))</f>
        <v>3</v>
      </c>
      <c r="L566" s="15" t="s">
        <v>3793</v>
      </c>
      <c r="M566" s="34" t="n">
        <f aca="false">ROUNDUP(K565*LADDER,0)</f>
        <v>1</v>
      </c>
      <c r="N566" s="34" t="n">
        <f aca="false">IF(K566=0,0,FFLAG)</f>
        <v>2</v>
      </c>
      <c r="O566" s="15"/>
      <c r="P566" s="16" t="n">
        <f aca="false">MAX(P565+M566)</f>
        <v>46472</v>
      </c>
      <c r="Q566" s="16" t="n">
        <f aca="false">MAX(P566+K566,Q565+N566)</f>
        <v>46478</v>
      </c>
      <c r="R566" s="12"/>
      <c r="S566" s="12"/>
    </row>
    <row r="567" customFormat="false" ht="15" hidden="false" customHeight="false" outlineLevel="0" collapsed="false">
      <c r="A567" s="15" t="s">
        <v>3795</v>
      </c>
      <c r="B567" s="15" t="s">
        <v>3796</v>
      </c>
      <c r="C567" s="15" t="s">
        <v>391</v>
      </c>
      <c r="D567" s="15" t="s">
        <v>1594</v>
      </c>
      <c r="E567" s="15" t="s">
        <v>1595</v>
      </c>
      <c r="F567" s="15" t="s">
        <v>2998</v>
      </c>
      <c r="G567" s="15" t="s">
        <v>2999</v>
      </c>
      <c r="H567" s="12"/>
      <c r="I567" s="12"/>
      <c r="J567" s="34" t="n">
        <f aca="false">0</f>
        <v>0</v>
      </c>
      <c r="K567" s="34" t="n">
        <f aca="false">IF(J567=0,0,ROUNDUP(J567*7/WD,0))</f>
        <v>0</v>
      </c>
      <c r="L567" s="12"/>
      <c r="M567" s="12"/>
      <c r="N567" s="12"/>
      <c r="O567" s="15" t="s">
        <v>3038</v>
      </c>
      <c r="P567" s="16" t="n">
        <f aca="false">MAX(START,D_DLU,Packages!$I$57,Packages!$K$57)</f>
        <v>46357</v>
      </c>
      <c r="Q567" s="16" t="n">
        <f aca="false">P567+K567</f>
        <v>46357</v>
      </c>
      <c r="R567" s="12"/>
      <c r="S567" s="12"/>
    </row>
    <row r="568" customFormat="false" ht="15" hidden="false" customHeight="false" outlineLevel="0" collapsed="false">
      <c r="A568" s="15" t="s">
        <v>3797</v>
      </c>
      <c r="B568" s="15" t="s">
        <v>3796</v>
      </c>
      <c r="C568" s="15" t="s">
        <v>391</v>
      </c>
      <c r="D568" s="15" t="s">
        <v>1594</v>
      </c>
      <c r="E568" s="15" t="s">
        <v>1595</v>
      </c>
      <c r="F568" s="15" t="s">
        <v>3002</v>
      </c>
      <c r="G568" s="15" t="s">
        <v>205</v>
      </c>
      <c r="H568" s="33" t="n">
        <f aca="false">Packages!$O$57</f>
        <v>30.7431758732464</v>
      </c>
      <c r="I568" s="15" t="s">
        <v>118</v>
      </c>
      <c r="J568" s="34" t="n">
        <f aca="false">MAX(1,ROUNDUP(Packages!$O$57/R_PLAT,0))</f>
        <v>1</v>
      </c>
      <c r="K568" s="34" t="n">
        <f aca="false">IF(J568=0,0,ROUNDUP(J568*7/WD,0))</f>
        <v>2</v>
      </c>
      <c r="L568" s="15" t="s">
        <v>3795</v>
      </c>
      <c r="M568" s="12"/>
      <c r="N568" s="12"/>
      <c r="O568" s="15" t="s">
        <v>3798</v>
      </c>
      <c r="P568" s="16" t="n">
        <f aca="false">MAX(Q567,P1724)</f>
        <v>46446</v>
      </c>
      <c r="Q568" s="16" t="n">
        <f aca="false">P568+K568</f>
        <v>46448</v>
      </c>
      <c r="R568" s="12"/>
      <c r="S568" s="12"/>
    </row>
    <row r="569" customFormat="false" ht="15" hidden="false" customHeight="false" outlineLevel="0" collapsed="false">
      <c r="A569" s="15" t="s">
        <v>3799</v>
      </c>
      <c r="B569" s="15" t="s">
        <v>3796</v>
      </c>
      <c r="C569" s="15" t="s">
        <v>391</v>
      </c>
      <c r="D569" s="15" t="s">
        <v>1594</v>
      </c>
      <c r="E569" s="15" t="s">
        <v>1595</v>
      </c>
      <c r="F569" s="15" t="s">
        <v>3005</v>
      </c>
      <c r="G569" s="15" t="s">
        <v>3006</v>
      </c>
      <c r="H569" s="33" t="n">
        <f aca="false">Packages!$AC$57</f>
        <v>24</v>
      </c>
      <c r="I569" s="15" t="s">
        <v>3007</v>
      </c>
      <c r="J569" s="34" t="n">
        <f aca="false">IF(Packages!$AC$57=0,0,MAX(1,ROUNDUP(Packages!$AC$57/(R_PILE*Fronts!$H$7),0)))</f>
        <v>5</v>
      </c>
      <c r="K569" s="34" t="n">
        <f aca="false">IF(J569=0,0,ROUNDUP(J569*7/WD,0))</f>
        <v>6</v>
      </c>
      <c r="L569" s="15" t="s">
        <v>3797</v>
      </c>
      <c r="M569" s="34" t="n">
        <f aca="false">ROUNDUP(K568*LADDER,0)</f>
        <v>1</v>
      </c>
      <c r="N569" s="34" t="n">
        <f aca="false">IF(K569=0,0,FFLAG)</f>
        <v>2</v>
      </c>
      <c r="O569" s="15" t="s">
        <v>3008</v>
      </c>
      <c r="P569" s="16" t="n">
        <f aca="false">MAX(P568+M569,D_PILEDES)</f>
        <v>46447</v>
      </c>
      <c r="Q569" s="16" t="n">
        <f aca="false">MAX(P569+K569,Q568+N569)</f>
        <v>46453</v>
      </c>
      <c r="R569" s="16" t="n">
        <f aca="false">IF(K569&gt;0,Q569,0)</f>
        <v>46453</v>
      </c>
      <c r="S569" s="12"/>
    </row>
    <row r="570" customFormat="false" ht="15" hidden="false" customHeight="false" outlineLevel="0" collapsed="false">
      <c r="A570" s="15" t="s">
        <v>3800</v>
      </c>
      <c r="B570" s="15" t="s">
        <v>3796</v>
      </c>
      <c r="C570" s="15" t="s">
        <v>391</v>
      </c>
      <c r="D570" s="15" t="s">
        <v>1594</v>
      </c>
      <c r="E570" s="15" t="s">
        <v>1595</v>
      </c>
      <c r="F570" s="15" t="s">
        <v>3010</v>
      </c>
      <c r="G570" s="15" t="s">
        <v>3011</v>
      </c>
      <c r="H570" s="33" t="n">
        <f aca="false">Packages!$AD$57</f>
        <v>61.4863517464929</v>
      </c>
      <c r="I570" s="15" t="s">
        <v>3012</v>
      </c>
      <c r="J570" s="34" t="n">
        <f aca="false">IF(Packages!$AD$57=0,0,MAX(1,ROUNDUP(Packages!$AD$57/(R_SHEET*Fronts!$I$7),0)))</f>
        <v>3</v>
      </c>
      <c r="K570" s="34" t="n">
        <f aca="false">IF(J570=0,0,ROUNDUP(J570*7/WD,0))</f>
        <v>4</v>
      </c>
      <c r="L570" s="15" t="s">
        <v>3799</v>
      </c>
      <c r="M570" s="34" t="n">
        <f aca="false">ROUNDUP(K569*LADDER,0)</f>
        <v>2</v>
      </c>
      <c r="N570" s="34" t="n">
        <f aca="false">IF(K570=0,0,FFLAG)</f>
        <v>2</v>
      </c>
      <c r="O570" s="15"/>
      <c r="P570" s="16" t="n">
        <f aca="false">MAX(P569+M570)</f>
        <v>46449</v>
      </c>
      <c r="Q570" s="16" t="n">
        <f aca="false">MAX(P570+K570,Q569+N570)</f>
        <v>46455</v>
      </c>
      <c r="R570" s="16" t="n">
        <f aca="false">IF(K570&gt;0,Q570,0)</f>
        <v>46455</v>
      </c>
      <c r="S570" s="12"/>
    </row>
    <row r="571" customFormat="false" ht="15" hidden="false" customHeight="false" outlineLevel="0" collapsed="false">
      <c r="A571" s="15" t="s">
        <v>3801</v>
      </c>
      <c r="B571" s="15" t="s">
        <v>3796</v>
      </c>
      <c r="C571" s="15" t="s">
        <v>391</v>
      </c>
      <c r="D571" s="15" t="s">
        <v>1594</v>
      </c>
      <c r="E571" s="15" t="s">
        <v>1595</v>
      </c>
      <c r="F571" s="15" t="s">
        <v>3014</v>
      </c>
      <c r="G571" s="15" t="s">
        <v>3015</v>
      </c>
      <c r="H571" s="33" t="n">
        <f aca="false">Packages!$O$57</f>
        <v>30.7431758732464</v>
      </c>
      <c r="I571" s="15" t="s">
        <v>118</v>
      </c>
      <c r="J571" s="34" t="n">
        <f aca="false">IF(Packages!$AG$57=0,0,ROUNDUP(Packages!$O$57/R_DW,0)+DW_DRAW)</f>
        <v>8</v>
      </c>
      <c r="K571" s="34" t="n">
        <f aca="false">IF(J571=0,0,ROUNDUP(J571*7/WD,0))</f>
        <v>10</v>
      </c>
      <c r="L571" s="15" t="s">
        <v>3800</v>
      </c>
      <c r="M571" s="34" t="n">
        <f aca="false">ROUNDUP(K570*LADDER,0)</f>
        <v>2</v>
      </c>
      <c r="N571" s="34" t="n">
        <f aca="false">IF(K571=0,0,FFLAG)</f>
        <v>2</v>
      </c>
      <c r="O571" s="15"/>
      <c r="P571" s="16" t="n">
        <f aca="false">MAX(P570+M571)</f>
        <v>46451</v>
      </c>
      <c r="Q571" s="16" t="n">
        <f aca="false">MAX(P571+K571,Q570+N571)</f>
        <v>46461</v>
      </c>
      <c r="R571" s="12"/>
      <c r="S571" s="12"/>
    </row>
    <row r="572" customFormat="false" ht="15" hidden="false" customHeight="false" outlineLevel="0" collapsed="false">
      <c r="A572" s="15" t="s">
        <v>3802</v>
      </c>
      <c r="B572" s="15" t="s">
        <v>3796</v>
      </c>
      <c r="C572" s="15" t="s">
        <v>391</v>
      </c>
      <c r="D572" s="15" t="s">
        <v>1594</v>
      </c>
      <c r="E572" s="15" t="s">
        <v>1595</v>
      </c>
      <c r="F572" s="15" t="s">
        <v>3017</v>
      </c>
      <c r="G572" s="15" t="s">
        <v>3018</v>
      </c>
      <c r="H572" s="33" t="n">
        <f aca="false">Packages!$X$57+Packages!$Y$57</f>
        <v>313.579567488226</v>
      </c>
      <c r="I572" s="15" t="s">
        <v>3019</v>
      </c>
      <c r="J572" s="34" t="n">
        <f aca="false">MAX(1,ROUNDUP((Packages!$X$57/R_EXS+Packages!$Y$57/R_EXO)/Fronts!$J$7,0))</f>
        <v>2</v>
      </c>
      <c r="K572" s="34" t="n">
        <f aca="false">IF(J572=0,0,ROUNDUP(J572*7/WD,0))</f>
        <v>3</v>
      </c>
      <c r="L572" s="15" t="s">
        <v>3801</v>
      </c>
      <c r="M572" s="34" t="n">
        <f aca="false">IF(K571=0,0,ROUNDUP((K571-ROUNDUP(DW_DRAW*7/WD,0))*LADDER,0)+ROUNDUP(DW_DRAW*7/WD,0))</f>
        <v>10</v>
      </c>
      <c r="N572" s="34" t="n">
        <f aca="false">IF(K572=0,0,FFLAG)</f>
        <v>2</v>
      </c>
      <c r="O572" s="15"/>
      <c r="P572" s="16" t="n">
        <f aca="false">MAX(P571+M572)</f>
        <v>46461</v>
      </c>
      <c r="Q572" s="16" t="n">
        <f aca="false">MAX(P572+K572,Q571+N572)</f>
        <v>46464</v>
      </c>
      <c r="R572" s="16" t="n">
        <f aca="false">IF(K572&gt;0,Q572,0)</f>
        <v>46464</v>
      </c>
      <c r="S572" s="12"/>
    </row>
    <row r="573" customFormat="false" ht="15" hidden="false" customHeight="false" outlineLevel="0" collapsed="false">
      <c r="A573" s="15" t="s">
        <v>3803</v>
      </c>
      <c r="B573" s="15" t="s">
        <v>3796</v>
      </c>
      <c r="C573" s="15" t="s">
        <v>391</v>
      </c>
      <c r="D573" s="15" t="s">
        <v>1594</v>
      </c>
      <c r="E573" s="15" t="s">
        <v>1595</v>
      </c>
      <c r="F573" s="15" t="s">
        <v>3022</v>
      </c>
      <c r="G573" s="15" t="s">
        <v>3023</v>
      </c>
      <c r="H573" s="33" t="n">
        <f aca="false">Packages!$O$57</f>
        <v>30.7431758732464</v>
      </c>
      <c r="I573" s="15" t="s">
        <v>118</v>
      </c>
      <c r="J573" s="34" t="n">
        <f aca="false">MAX(1,ROUNDUP(Packages!$O$57/(R_SLAB*Fronts!$K$7),0))+SLAB_CURE</f>
        <v>6</v>
      </c>
      <c r="K573" s="34" t="n">
        <f aca="false">IF(J573=0,0,ROUNDUP(J573*7/WD,0))</f>
        <v>7</v>
      </c>
      <c r="L573" s="15" t="s">
        <v>3802</v>
      </c>
      <c r="M573" s="34" t="n">
        <f aca="false">ROUNDUP(K572*LADDER,0)</f>
        <v>1</v>
      </c>
      <c r="N573" s="34" t="n">
        <f aca="false">IF(K573=0,0,FFLAG)</f>
        <v>2</v>
      </c>
      <c r="O573" s="15"/>
      <c r="P573" s="16" t="n">
        <f aca="false">MAX(P572+M573)</f>
        <v>46462</v>
      </c>
      <c r="Q573" s="16" t="n">
        <f aca="false">MAX(P573+K573,Q572+N573)</f>
        <v>46469</v>
      </c>
      <c r="R573" s="16" t="n">
        <f aca="false">IF(K573&gt;0,Q573,0)</f>
        <v>46469</v>
      </c>
      <c r="S573" s="12"/>
    </row>
    <row r="574" customFormat="false" ht="15" hidden="false" customHeight="false" outlineLevel="0" collapsed="false">
      <c r="A574" s="15" t="s">
        <v>3804</v>
      </c>
      <c r="B574" s="15" t="s">
        <v>3796</v>
      </c>
      <c r="C574" s="15" t="s">
        <v>391</v>
      </c>
      <c r="D574" s="15" t="s">
        <v>1594</v>
      </c>
      <c r="E574" s="15" t="s">
        <v>1595</v>
      </c>
      <c r="F574" s="15" t="s">
        <v>3025</v>
      </c>
      <c r="G574" s="15" t="s">
        <v>3026</v>
      </c>
      <c r="H574" s="33" t="n">
        <f aca="false">Packages!$O$57</f>
        <v>30.7431758732464</v>
      </c>
      <c r="I574" s="15" t="s">
        <v>118</v>
      </c>
      <c r="J574" s="34" t="n">
        <f aca="false">MAX(1,ROUNDUP(Packages!$O$57/(IF(Packages!$N$57&gt;=PIPE_T1,R_PIPE_L,IF(Packages!$N$57&gt;=PIPE_T2,R_PIPE_M,R_PIPE_S))*Fronts!$L$7)+Packages!$M$57*FIT_D+IF(Packages!$G$57&lt;&gt;"Run",TIE_D,0),0))</f>
        <v>5</v>
      </c>
      <c r="K574" s="34" t="n">
        <f aca="false">IF(J574=0,0,ROUNDUP(J574*7/WD,0))</f>
        <v>6</v>
      </c>
      <c r="L574" s="15" t="s">
        <v>3803</v>
      </c>
      <c r="M574" s="34" t="n">
        <f aca="false">ROUNDUP(K573*LADDER,0)</f>
        <v>3</v>
      </c>
      <c r="N574" s="34" t="n">
        <f aca="false">IF(K574=0,0,FFLAG)</f>
        <v>2</v>
      </c>
      <c r="O574" s="15" t="s">
        <v>3805</v>
      </c>
      <c r="P574" s="16" t="n">
        <f aca="false">MAX(P573+M574,Q1729)</f>
        <v>46527</v>
      </c>
      <c r="Q574" s="16" t="n">
        <f aca="false">MAX(P574+K574,Q573+N574)</f>
        <v>46533</v>
      </c>
      <c r="R574" s="16" t="n">
        <f aca="false">IF(K574&gt;0,Q574,0)</f>
        <v>46533</v>
      </c>
      <c r="S574" s="12"/>
    </row>
    <row r="575" customFormat="false" ht="15" hidden="false" customHeight="false" outlineLevel="0" collapsed="false">
      <c r="A575" s="15" t="s">
        <v>3806</v>
      </c>
      <c r="B575" s="15" t="s">
        <v>3796</v>
      </c>
      <c r="C575" s="15" t="s">
        <v>391</v>
      </c>
      <c r="D575" s="15" t="s">
        <v>1594</v>
      </c>
      <c r="E575" s="15" t="s">
        <v>1595</v>
      </c>
      <c r="F575" s="15" t="s">
        <v>3028</v>
      </c>
      <c r="G575" s="15" t="s">
        <v>3029</v>
      </c>
      <c r="H575" s="33" t="n">
        <f aca="false">Packages!$O$57</f>
        <v>30.7431758732464</v>
      </c>
      <c r="I575" s="15" t="s">
        <v>118</v>
      </c>
      <c r="J575" s="34" t="n">
        <f aca="false">TEST_D+ROUNDUP(Packages!$O$57/R_TEST,0)</f>
        <v>3</v>
      </c>
      <c r="K575" s="34" t="n">
        <f aca="false">IF(J575=0,0,ROUNDUP(J575*7/WD,0))</f>
        <v>4</v>
      </c>
      <c r="L575" s="15" t="s">
        <v>3804</v>
      </c>
      <c r="M575" s="34" t="n">
        <f aca="false">ROUNDUP(K574*LADDER,0)</f>
        <v>2</v>
      </c>
      <c r="N575" s="34" t="n">
        <f aca="false">IF(K575=0,0,FFLAG)</f>
        <v>2</v>
      </c>
      <c r="O575" s="15"/>
      <c r="P575" s="16" t="n">
        <f aca="false">MAX(P574+M575)</f>
        <v>46529</v>
      </c>
      <c r="Q575" s="16" t="n">
        <f aca="false">MAX(P575+K575,Q574+N575)</f>
        <v>46535</v>
      </c>
      <c r="R575" s="12"/>
      <c r="S575" s="12"/>
    </row>
    <row r="576" customFormat="false" ht="15" hidden="false" customHeight="false" outlineLevel="0" collapsed="false">
      <c r="A576" s="15" t="s">
        <v>3807</v>
      </c>
      <c r="B576" s="15" t="s">
        <v>3796</v>
      </c>
      <c r="C576" s="15" t="s">
        <v>391</v>
      </c>
      <c r="D576" s="15" t="s">
        <v>1594</v>
      </c>
      <c r="E576" s="15" t="s">
        <v>1595</v>
      </c>
      <c r="F576" s="15" t="s">
        <v>3031</v>
      </c>
      <c r="G576" s="15" t="s">
        <v>3032</v>
      </c>
      <c r="H576" s="33" t="n">
        <f aca="false">Packages!$AB$57</f>
        <v>258.691107000703</v>
      </c>
      <c r="I576" s="15" t="s">
        <v>3019</v>
      </c>
      <c r="J576" s="34" t="n">
        <f aca="false">MAX(1,ROUNDUP(Packages!$AB$57/(R_BF*Fronts!$M$7),0))</f>
        <v>1</v>
      </c>
      <c r="K576" s="34" t="n">
        <f aca="false">IF(J576=0,0,ROUNDUP(J576*7/WD,0))</f>
        <v>2</v>
      </c>
      <c r="L576" s="15" t="s">
        <v>3806</v>
      </c>
      <c r="M576" s="34" t="n">
        <f aca="false">ROUNDUP(K575*LADDER,0)</f>
        <v>2</v>
      </c>
      <c r="N576" s="34" t="n">
        <f aca="false">IF(K576=0,0,FFLAG)</f>
        <v>2</v>
      </c>
      <c r="O576" s="15" t="s">
        <v>3808</v>
      </c>
      <c r="P576" s="16" t="n">
        <f aca="false">MAX(P575+M576,Q585)</f>
        <v>46531</v>
      </c>
      <c r="Q576" s="16" t="n">
        <f aca="false">MAX(P576+K576,Q575+N576)</f>
        <v>46537</v>
      </c>
      <c r="R576" s="16" t="n">
        <f aca="false">IF(K576&gt;0,Q576,0)</f>
        <v>46537</v>
      </c>
      <c r="S576" s="12"/>
    </row>
    <row r="577" customFormat="false" ht="15" hidden="false" customHeight="false" outlineLevel="0" collapsed="false">
      <c r="A577" s="15" t="s">
        <v>3809</v>
      </c>
      <c r="B577" s="15" t="s">
        <v>3796</v>
      </c>
      <c r="C577" s="15" t="s">
        <v>391</v>
      </c>
      <c r="D577" s="15" t="s">
        <v>1594</v>
      </c>
      <c r="E577" s="15" t="s">
        <v>1595</v>
      </c>
      <c r="F577" s="15" t="s">
        <v>3034</v>
      </c>
      <c r="G577" s="15" t="s">
        <v>3035</v>
      </c>
      <c r="H577" s="33" t="n">
        <f aca="false">Packages!$AD$57</f>
        <v>61.4863517464929</v>
      </c>
      <c r="I577" s="15" t="s">
        <v>3012</v>
      </c>
      <c r="J577" s="34" t="n">
        <f aca="false">IF(Packages!$AD$57&gt;0,ROUNDUP(Packages!$AD$57/R_EXT,0),0)+IF(Packages!$AG$57&gt;0,1,0)</f>
        <v>3</v>
      </c>
      <c r="K577" s="34" t="n">
        <f aca="false">IF(J577=0,0,ROUNDUP(J577*7/WD,0))</f>
        <v>4</v>
      </c>
      <c r="L577" s="15" t="s">
        <v>3807</v>
      </c>
      <c r="M577" s="34" t="n">
        <f aca="false">ROUNDUP(K576*LADDER,0)</f>
        <v>1</v>
      </c>
      <c r="N577" s="34" t="n">
        <f aca="false">IF(K577=0,0,FFLAG)</f>
        <v>2</v>
      </c>
      <c r="O577" s="15"/>
      <c r="P577" s="16" t="n">
        <f aca="false">MAX(P576+M577)</f>
        <v>46532</v>
      </c>
      <c r="Q577" s="16" t="n">
        <f aca="false">MAX(P577+K577,Q576+N577)</f>
        <v>46539</v>
      </c>
      <c r="R577" s="12"/>
      <c r="S577" s="12"/>
    </row>
    <row r="578" customFormat="false" ht="15" hidden="false" customHeight="false" outlineLevel="0" collapsed="false">
      <c r="A578" s="15" t="s">
        <v>3810</v>
      </c>
      <c r="B578" s="15" t="s">
        <v>3811</v>
      </c>
      <c r="C578" s="15" t="s">
        <v>391</v>
      </c>
      <c r="D578" s="15" t="s">
        <v>1683</v>
      </c>
      <c r="E578" s="15" t="s">
        <v>1684</v>
      </c>
      <c r="F578" s="15" t="s">
        <v>2998</v>
      </c>
      <c r="G578" s="15" t="s">
        <v>2999</v>
      </c>
      <c r="H578" s="12"/>
      <c r="I578" s="12"/>
      <c r="J578" s="34" t="n">
        <f aca="false">0</f>
        <v>0</v>
      </c>
      <c r="K578" s="34" t="n">
        <f aca="false">IF(J578=0,0,ROUNDUP(J578*7/WD,0))</f>
        <v>0</v>
      </c>
      <c r="L578" s="12"/>
      <c r="M578" s="12"/>
      <c r="N578" s="12"/>
      <c r="O578" s="15" t="s">
        <v>3038</v>
      </c>
      <c r="P578" s="16" t="n">
        <f aca="false">MAX(START,D_DLU,Packages!$I$58,Packages!$K$58)</f>
        <v>46357</v>
      </c>
      <c r="Q578" s="16" t="n">
        <f aca="false">P578+K578</f>
        <v>46357</v>
      </c>
      <c r="R578" s="12"/>
      <c r="S578" s="12"/>
    </row>
    <row r="579" customFormat="false" ht="15" hidden="false" customHeight="false" outlineLevel="0" collapsed="false">
      <c r="A579" s="15" t="s">
        <v>3812</v>
      </c>
      <c r="B579" s="15" t="s">
        <v>3811</v>
      </c>
      <c r="C579" s="15" t="s">
        <v>391</v>
      </c>
      <c r="D579" s="15" t="s">
        <v>1683</v>
      </c>
      <c r="E579" s="15" t="s">
        <v>1684</v>
      </c>
      <c r="F579" s="15" t="s">
        <v>3002</v>
      </c>
      <c r="G579" s="15" t="s">
        <v>205</v>
      </c>
      <c r="H579" s="33" t="n">
        <f aca="false">Packages!$O$58</f>
        <v>37.5875732857337</v>
      </c>
      <c r="I579" s="15" t="s">
        <v>118</v>
      </c>
      <c r="J579" s="34" t="n">
        <f aca="false">MAX(1,ROUNDUP(Packages!$O$58/R_PLAT,0))</f>
        <v>1</v>
      </c>
      <c r="K579" s="34" t="n">
        <f aca="false">IF(J579=0,0,ROUNDUP(J579*7/WD,0))</f>
        <v>2</v>
      </c>
      <c r="L579" s="15" t="s">
        <v>3810</v>
      </c>
      <c r="M579" s="12"/>
      <c r="N579" s="12"/>
      <c r="O579" s="15" t="s">
        <v>3003</v>
      </c>
      <c r="P579" s="16" t="n">
        <f aca="false">MAX(Q578)</f>
        <v>46357</v>
      </c>
      <c r="Q579" s="16" t="n">
        <f aca="false">P579+K579</f>
        <v>46359</v>
      </c>
      <c r="R579" s="12"/>
      <c r="S579" s="12"/>
    </row>
    <row r="580" customFormat="false" ht="15" hidden="false" customHeight="false" outlineLevel="0" collapsed="false">
      <c r="A580" s="15" t="s">
        <v>3813</v>
      </c>
      <c r="B580" s="15" t="s">
        <v>3811</v>
      </c>
      <c r="C580" s="15" t="s">
        <v>391</v>
      </c>
      <c r="D580" s="15" t="s">
        <v>1683</v>
      </c>
      <c r="E580" s="15" t="s">
        <v>1684</v>
      </c>
      <c r="F580" s="15" t="s">
        <v>3005</v>
      </c>
      <c r="G580" s="15" t="s">
        <v>3006</v>
      </c>
      <c r="H580" s="33" t="n">
        <f aca="false">Packages!$AC$58</f>
        <v>28</v>
      </c>
      <c r="I580" s="15" t="s">
        <v>3007</v>
      </c>
      <c r="J580" s="34" t="n">
        <f aca="false">IF(Packages!$AC$58=0,0,MAX(1,ROUNDUP(Packages!$AC$58/(R_PILE*Fronts!$H$7),0)))</f>
        <v>6</v>
      </c>
      <c r="K580" s="34" t="n">
        <f aca="false">IF(J580=0,0,ROUNDUP(J580*7/WD,0))</f>
        <v>7</v>
      </c>
      <c r="L580" s="15" t="s">
        <v>3812</v>
      </c>
      <c r="M580" s="34" t="n">
        <f aca="false">ROUNDUP(K579*LADDER,0)</f>
        <v>1</v>
      </c>
      <c r="N580" s="34" t="n">
        <f aca="false">IF(K580=0,0,FFLAG)</f>
        <v>2</v>
      </c>
      <c r="O580" s="15" t="s">
        <v>3008</v>
      </c>
      <c r="P580" s="16" t="n">
        <f aca="false">MAX(P579+M580,D_PILEDES)</f>
        <v>46358</v>
      </c>
      <c r="Q580" s="16" t="n">
        <f aca="false">MAX(P580+K580,Q579+N580)</f>
        <v>46365</v>
      </c>
      <c r="R580" s="16" t="n">
        <f aca="false">IF(K580&gt;0,Q580,0)</f>
        <v>46365</v>
      </c>
      <c r="S580" s="12"/>
    </row>
    <row r="581" customFormat="false" ht="15" hidden="false" customHeight="false" outlineLevel="0" collapsed="false">
      <c r="A581" s="15" t="s">
        <v>3814</v>
      </c>
      <c r="B581" s="15" t="s">
        <v>3811</v>
      </c>
      <c r="C581" s="15" t="s">
        <v>391</v>
      </c>
      <c r="D581" s="15" t="s">
        <v>1683</v>
      </c>
      <c r="E581" s="15" t="s">
        <v>1684</v>
      </c>
      <c r="F581" s="15" t="s">
        <v>3010</v>
      </c>
      <c r="G581" s="15" t="s">
        <v>3011</v>
      </c>
      <c r="H581" s="33" t="n">
        <f aca="false">Packages!$AD$58</f>
        <v>0</v>
      </c>
      <c r="I581" s="15" t="s">
        <v>3012</v>
      </c>
      <c r="J581" s="34" t="n">
        <f aca="false">IF(Packages!$AD$58=0,0,MAX(1,ROUNDUP(Packages!$AD$58/(R_SHEET*Fronts!$I$7),0)))</f>
        <v>0</v>
      </c>
      <c r="K581" s="34" t="n">
        <f aca="false">IF(J581=0,0,ROUNDUP(J581*7/WD,0))</f>
        <v>0</v>
      </c>
      <c r="L581" s="15" t="s">
        <v>3813</v>
      </c>
      <c r="M581" s="34" t="n">
        <f aca="false">ROUNDUP(K580*LADDER,0)</f>
        <v>3</v>
      </c>
      <c r="N581" s="34" t="n">
        <f aca="false">IF(K581=0,0,FFLAG)</f>
        <v>0</v>
      </c>
      <c r="O581" s="15"/>
      <c r="P581" s="16" t="n">
        <f aca="false">MAX(P580+M581)</f>
        <v>46361</v>
      </c>
      <c r="Q581" s="16" t="n">
        <f aca="false">MAX(P581+K581,Q580+N581)</f>
        <v>46365</v>
      </c>
      <c r="R581" s="16" t="n">
        <f aca="false">IF(K581&gt;0,Q581,0)</f>
        <v>0</v>
      </c>
      <c r="S581" s="12"/>
    </row>
    <row r="582" customFormat="false" ht="15" hidden="false" customHeight="false" outlineLevel="0" collapsed="false">
      <c r="A582" s="15" t="s">
        <v>3815</v>
      </c>
      <c r="B582" s="15" t="s">
        <v>3811</v>
      </c>
      <c r="C582" s="15" t="s">
        <v>391</v>
      </c>
      <c r="D582" s="15" t="s">
        <v>1683</v>
      </c>
      <c r="E582" s="15" t="s">
        <v>1684</v>
      </c>
      <c r="F582" s="15" t="s">
        <v>3014</v>
      </c>
      <c r="G582" s="15" t="s">
        <v>3015</v>
      </c>
      <c r="H582" s="33" t="n">
        <f aca="false">Packages!$O$58</f>
        <v>37.5875732857337</v>
      </c>
      <c r="I582" s="15" t="s">
        <v>118</v>
      </c>
      <c r="J582" s="34" t="n">
        <f aca="false">IF(Packages!$AG$58=0,0,ROUNDUP(Packages!$O$58/R_DW,0)+DW_DRAW)</f>
        <v>8</v>
      </c>
      <c r="K582" s="34" t="n">
        <f aca="false">IF(J582=0,0,ROUNDUP(J582*7/WD,0))</f>
        <v>10</v>
      </c>
      <c r="L582" s="15" t="s">
        <v>3814</v>
      </c>
      <c r="M582" s="34" t="n">
        <f aca="false">ROUNDUP(K581*LADDER,0)</f>
        <v>0</v>
      </c>
      <c r="N582" s="34" t="n">
        <f aca="false">IF(K582=0,0,FFLAG)</f>
        <v>2</v>
      </c>
      <c r="O582" s="15"/>
      <c r="P582" s="16" t="n">
        <f aca="false">MAX(P581+M582)</f>
        <v>46361</v>
      </c>
      <c r="Q582" s="16" t="n">
        <f aca="false">MAX(P582+K582,Q581+N582)</f>
        <v>46371</v>
      </c>
      <c r="R582" s="12"/>
      <c r="S582" s="12"/>
    </row>
    <row r="583" customFormat="false" ht="15" hidden="false" customHeight="false" outlineLevel="0" collapsed="false">
      <c r="A583" s="15" t="s">
        <v>3816</v>
      </c>
      <c r="B583" s="15" t="s">
        <v>3811</v>
      </c>
      <c r="C583" s="15" t="s">
        <v>391</v>
      </c>
      <c r="D583" s="15" t="s">
        <v>1683</v>
      </c>
      <c r="E583" s="15" t="s">
        <v>1684</v>
      </c>
      <c r="F583" s="15" t="s">
        <v>3017</v>
      </c>
      <c r="G583" s="15" t="s">
        <v>3018</v>
      </c>
      <c r="H583" s="33" t="n">
        <f aca="false">Packages!$X$58+Packages!$Y$58</f>
        <v>1001.06762151733</v>
      </c>
      <c r="I583" s="15" t="s">
        <v>3019</v>
      </c>
      <c r="J583" s="34" t="n">
        <f aca="false">MAX(1,ROUNDUP((Packages!$X$58/R_EXS+Packages!$Y$58/R_EXO)/Fronts!$J$7,0))</f>
        <v>3</v>
      </c>
      <c r="K583" s="34" t="n">
        <f aca="false">IF(J583=0,0,ROUNDUP(J583*7/WD,0))</f>
        <v>4</v>
      </c>
      <c r="L583" s="15" t="s">
        <v>3815</v>
      </c>
      <c r="M583" s="34" t="n">
        <f aca="false">IF(K582=0,0,ROUNDUP((K582-ROUNDUP(DW_DRAW*7/WD,0))*LADDER,0)+ROUNDUP(DW_DRAW*7/WD,0))</f>
        <v>10</v>
      </c>
      <c r="N583" s="34" t="n">
        <f aca="false">IF(K583=0,0,FFLAG)</f>
        <v>2</v>
      </c>
      <c r="O583" s="15" t="s">
        <v>3817</v>
      </c>
      <c r="P583" s="16" t="n">
        <f aca="false">MAX(P582+M583,Q565,P572)</f>
        <v>46476</v>
      </c>
      <c r="Q583" s="16" t="n">
        <f aca="false">MAX(P583+K583,Q582+N583)</f>
        <v>46480</v>
      </c>
      <c r="R583" s="16" t="n">
        <f aca="false">IF(K583&gt;0,Q583,0)</f>
        <v>46480</v>
      </c>
      <c r="S583" s="12"/>
    </row>
    <row r="584" customFormat="false" ht="15" hidden="false" customHeight="false" outlineLevel="0" collapsed="false">
      <c r="A584" s="15" t="s">
        <v>3818</v>
      </c>
      <c r="B584" s="15" t="s">
        <v>3811</v>
      </c>
      <c r="C584" s="15" t="s">
        <v>391</v>
      </c>
      <c r="D584" s="15" t="s">
        <v>1683</v>
      </c>
      <c r="E584" s="15" t="s">
        <v>1684</v>
      </c>
      <c r="F584" s="15" t="s">
        <v>3022</v>
      </c>
      <c r="G584" s="15" t="s">
        <v>3023</v>
      </c>
      <c r="H584" s="33" t="n">
        <f aca="false">Packages!$O$58</f>
        <v>37.5875732857337</v>
      </c>
      <c r="I584" s="15" t="s">
        <v>118</v>
      </c>
      <c r="J584" s="34" t="n">
        <f aca="false">MAX(1,ROUNDUP(Packages!$O$58/(R_SLAB*Fronts!$K$7),0))+SLAB_CURE</f>
        <v>7</v>
      </c>
      <c r="K584" s="34" t="n">
        <f aca="false">IF(J584=0,0,ROUNDUP(J584*7/WD,0))</f>
        <v>9</v>
      </c>
      <c r="L584" s="15" t="s">
        <v>3816</v>
      </c>
      <c r="M584" s="34" t="n">
        <f aca="false">ROUNDUP(K583*LADDER,0)</f>
        <v>2</v>
      </c>
      <c r="N584" s="34" t="n">
        <f aca="false">IF(K584=0,0,FFLAG)</f>
        <v>2</v>
      </c>
      <c r="O584" s="15"/>
      <c r="P584" s="16" t="n">
        <f aca="false">MAX(P583+M584)</f>
        <v>46478</v>
      </c>
      <c r="Q584" s="16" t="n">
        <f aca="false">MAX(P584+K584,Q583+N584)</f>
        <v>46487</v>
      </c>
      <c r="R584" s="16" t="n">
        <f aca="false">IF(K584&gt;0,Q584,0)</f>
        <v>46487</v>
      </c>
      <c r="S584" s="12"/>
    </row>
    <row r="585" customFormat="false" ht="15" hidden="false" customHeight="false" outlineLevel="0" collapsed="false">
      <c r="A585" s="15" t="s">
        <v>3819</v>
      </c>
      <c r="B585" s="15" t="s">
        <v>3811</v>
      </c>
      <c r="C585" s="15" t="s">
        <v>391</v>
      </c>
      <c r="D585" s="15" t="s">
        <v>1683</v>
      </c>
      <c r="E585" s="15" t="s">
        <v>1684</v>
      </c>
      <c r="F585" s="15" t="s">
        <v>3025</v>
      </c>
      <c r="G585" s="15" t="s">
        <v>3026</v>
      </c>
      <c r="H585" s="33" t="n">
        <f aca="false">Packages!$O$58</f>
        <v>37.5875732857337</v>
      </c>
      <c r="I585" s="15" t="s">
        <v>118</v>
      </c>
      <c r="J585" s="34" t="n">
        <f aca="false">MAX(1,ROUNDUP(Packages!$O$58/(IF(Packages!$N$58&gt;=PIPE_T1,R_PIPE_L,IF(Packages!$N$58&gt;=PIPE_T2,R_PIPE_M,R_PIPE_S))*Fronts!$L$7)+Packages!$M$58*FIT_D+IF(Packages!$G$58&lt;&gt;"Run",TIE_D,0),0))</f>
        <v>9</v>
      </c>
      <c r="K585" s="34" t="n">
        <f aca="false">IF(J585=0,0,ROUNDUP(J585*7/WD,0))</f>
        <v>11</v>
      </c>
      <c r="L585" s="15" t="s">
        <v>3818</v>
      </c>
      <c r="M585" s="34" t="n">
        <f aca="false">ROUNDUP(K584*LADDER,0)</f>
        <v>3</v>
      </c>
      <c r="N585" s="34" t="n">
        <f aca="false">IF(K585=0,0,FFLAG)</f>
        <v>2</v>
      </c>
      <c r="O585" s="15"/>
      <c r="P585" s="16" t="n">
        <f aca="false">MAX(P584+M585)</f>
        <v>46481</v>
      </c>
      <c r="Q585" s="16" t="n">
        <f aca="false">MAX(P585+K585,Q584+N585)</f>
        <v>46492</v>
      </c>
      <c r="R585" s="16" t="n">
        <f aca="false">IF(K585&gt;0,Q585,0)</f>
        <v>46492</v>
      </c>
      <c r="S585" s="12"/>
    </row>
    <row r="586" customFormat="false" ht="15" hidden="false" customHeight="false" outlineLevel="0" collapsed="false">
      <c r="A586" s="15" t="s">
        <v>3820</v>
      </c>
      <c r="B586" s="15" t="s">
        <v>3811</v>
      </c>
      <c r="C586" s="15" t="s">
        <v>391</v>
      </c>
      <c r="D586" s="15" t="s">
        <v>1683</v>
      </c>
      <c r="E586" s="15" t="s">
        <v>1684</v>
      </c>
      <c r="F586" s="15" t="s">
        <v>3028</v>
      </c>
      <c r="G586" s="15" t="s">
        <v>3029</v>
      </c>
      <c r="H586" s="33" t="n">
        <f aca="false">Packages!$O$58</f>
        <v>37.5875732857337</v>
      </c>
      <c r="I586" s="15" t="s">
        <v>118</v>
      </c>
      <c r="J586" s="34" t="n">
        <f aca="false">TEST_D+ROUNDUP(Packages!$O$58/R_TEST,0)</f>
        <v>3</v>
      </c>
      <c r="K586" s="34" t="n">
        <f aca="false">IF(J586=0,0,ROUNDUP(J586*7/WD,0))</f>
        <v>4</v>
      </c>
      <c r="L586" s="15" t="s">
        <v>3819</v>
      </c>
      <c r="M586" s="34" t="n">
        <f aca="false">ROUNDUP(K585*LADDER,0)</f>
        <v>4</v>
      </c>
      <c r="N586" s="34" t="n">
        <f aca="false">IF(K586=0,0,FFLAG)</f>
        <v>2</v>
      </c>
      <c r="O586" s="15"/>
      <c r="P586" s="16" t="n">
        <f aca="false">MAX(P585+M586)</f>
        <v>46485</v>
      </c>
      <c r="Q586" s="16" t="n">
        <f aca="false">MAX(P586+K586,Q585+N586)</f>
        <v>46494</v>
      </c>
      <c r="R586" s="12"/>
      <c r="S586" s="12"/>
    </row>
    <row r="587" customFormat="false" ht="15" hidden="false" customHeight="false" outlineLevel="0" collapsed="false">
      <c r="A587" s="15" t="s">
        <v>3821</v>
      </c>
      <c r="B587" s="15" t="s">
        <v>3811</v>
      </c>
      <c r="C587" s="15" t="s">
        <v>391</v>
      </c>
      <c r="D587" s="15" t="s">
        <v>1683</v>
      </c>
      <c r="E587" s="15" t="s">
        <v>1684</v>
      </c>
      <c r="F587" s="15" t="s">
        <v>3031</v>
      </c>
      <c r="G587" s="15" t="s">
        <v>3032</v>
      </c>
      <c r="H587" s="33" t="n">
        <f aca="false">Packages!$AB$58</f>
        <v>887.165777440982</v>
      </c>
      <c r="I587" s="15" t="s">
        <v>3019</v>
      </c>
      <c r="J587" s="34" t="n">
        <f aca="false">MAX(1,ROUNDUP(Packages!$AB$58/(R_BF*Fronts!$M$7),0))</f>
        <v>3</v>
      </c>
      <c r="K587" s="34" t="n">
        <f aca="false">IF(J587=0,0,ROUNDUP(J587*7/WD,0))</f>
        <v>4</v>
      </c>
      <c r="L587" s="15" t="s">
        <v>3820</v>
      </c>
      <c r="M587" s="34" t="n">
        <f aca="false">ROUNDUP(K586*LADDER,0)</f>
        <v>2</v>
      </c>
      <c r="N587" s="34" t="n">
        <f aca="false">IF(K587=0,0,FFLAG)</f>
        <v>2</v>
      </c>
      <c r="O587" s="15" t="s">
        <v>3822</v>
      </c>
      <c r="P587" s="16" t="n">
        <f aca="false">MAX(P586+M587,Q574)</f>
        <v>46533</v>
      </c>
      <c r="Q587" s="16" t="n">
        <f aca="false">MAX(P587+K587,Q586+N587)</f>
        <v>46537</v>
      </c>
      <c r="R587" s="16" t="n">
        <f aca="false">IF(K587&gt;0,Q587,0)</f>
        <v>46537</v>
      </c>
      <c r="S587" s="12"/>
    </row>
    <row r="588" customFormat="false" ht="15" hidden="false" customHeight="false" outlineLevel="0" collapsed="false">
      <c r="A588" s="15" t="s">
        <v>3823</v>
      </c>
      <c r="B588" s="15" t="s">
        <v>3811</v>
      </c>
      <c r="C588" s="15" t="s">
        <v>391</v>
      </c>
      <c r="D588" s="15" t="s">
        <v>1683</v>
      </c>
      <c r="E588" s="15" t="s">
        <v>1684</v>
      </c>
      <c r="F588" s="15" t="s">
        <v>3034</v>
      </c>
      <c r="G588" s="15" t="s">
        <v>3035</v>
      </c>
      <c r="H588" s="33" t="n">
        <f aca="false">Packages!$AD$58</f>
        <v>0</v>
      </c>
      <c r="I588" s="15" t="s">
        <v>3012</v>
      </c>
      <c r="J588" s="34" t="n">
        <f aca="false">IF(Packages!$AD$58&gt;0,ROUNDUP(Packages!$AD$58/R_EXT,0),0)+IF(Packages!$AG$58&gt;0,1,0)</f>
        <v>1</v>
      </c>
      <c r="K588" s="34" t="n">
        <f aca="false">IF(J588=0,0,ROUNDUP(J588*7/WD,0))</f>
        <v>2</v>
      </c>
      <c r="L588" s="15" t="s">
        <v>3821</v>
      </c>
      <c r="M588" s="34" t="n">
        <f aca="false">ROUNDUP(K587*LADDER,0)</f>
        <v>2</v>
      </c>
      <c r="N588" s="34" t="n">
        <f aca="false">IF(K588=0,0,FFLAG)</f>
        <v>2</v>
      </c>
      <c r="O588" s="15"/>
      <c r="P588" s="16" t="n">
        <f aca="false">MAX(P587+M588)</f>
        <v>46535</v>
      </c>
      <c r="Q588" s="16" t="n">
        <f aca="false">MAX(P588+K588,Q587+N588)</f>
        <v>46539</v>
      </c>
      <c r="R588" s="12"/>
      <c r="S588" s="12"/>
    </row>
    <row r="589" customFormat="false" ht="15" hidden="false" customHeight="false" outlineLevel="0" collapsed="false">
      <c r="A589" s="15" t="s">
        <v>3824</v>
      </c>
      <c r="B589" s="15" t="s">
        <v>3825</v>
      </c>
      <c r="C589" s="15" t="s">
        <v>391</v>
      </c>
      <c r="D589" s="15" t="s">
        <v>1341</v>
      </c>
      <c r="E589" s="15" t="s">
        <v>1425</v>
      </c>
      <c r="F589" s="15" t="s">
        <v>2998</v>
      </c>
      <c r="G589" s="15" t="s">
        <v>2999</v>
      </c>
      <c r="H589" s="12"/>
      <c r="I589" s="12"/>
      <c r="J589" s="34" t="n">
        <f aca="false">0</f>
        <v>0</v>
      </c>
      <c r="K589" s="34" t="n">
        <f aca="false">IF(J589=0,0,ROUNDUP(J589*7/WD,0))</f>
        <v>0</v>
      </c>
      <c r="L589" s="12"/>
      <c r="M589" s="12"/>
      <c r="N589" s="12"/>
      <c r="O589" s="15" t="s">
        <v>3038</v>
      </c>
      <c r="P589" s="16" t="n">
        <f aca="false">MAX(START,D_DLU,Packages!$I$59,Packages!$K$59)</f>
        <v>46357</v>
      </c>
      <c r="Q589" s="16" t="n">
        <f aca="false">P589+K589</f>
        <v>46357</v>
      </c>
      <c r="R589" s="12"/>
      <c r="S589" s="12"/>
    </row>
    <row r="590" customFormat="false" ht="15" hidden="false" customHeight="false" outlineLevel="0" collapsed="false">
      <c r="A590" s="15" t="s">
        <v>3826</v>
      </c>
      <c r="B590" s="15" t="s">
        <v>3825</v>
      </c>
      <c r="C590" s="15" t="s">
        <v>391</v>
      </c>
      <c r="D590" s="15" t="s">
        <v>1341</v>
      </c>
      <c r="E590" s="15" t="s">
        <v>1425</v>
      </c>
      <c r="F590" s="15" t="s">
        <v>3002</v>
      </c>
      <c r="G590" s="15" t="s">
        <v>205</v>
      </c>
      <c r="H590" s="33" t="n">
        <f aca="false">Packages!$O$59</f>
        <v>29.4570400000048</v>
      </c>
      <c r="I590" s="15" t="s">
        <v>118</v>
      </c>
      <c r="J590" s="34" t="n">
        <f aca="false">MAX(1,ROUNDUP(Packages!$O$59/R_PLAT,0))</f>
        <v>1</v>
      </c>
      <c r="K590" s="34" t="n">
        <f aca="false">IF(J590=0,0,ROUNDUP(J590*7/WD,0))</f>
        <v>2</v>
      </c>
      <c r="L590" s="15" t="s">
        <v>3824</v>
      </c>
      <c r="M590" s="12"/>
      <c r="N590" s="12"/>
      <c r="O590" s="15" t="s">
        <v>3827</v>
      </c>
      <c r="P590" s="16" t="n">
        <f aca="false">MAX(Q589,P1284)</f>
        <v>46425</v>
      </c>
      <c r="Q590" s="16" t="n">
        <f aca="false">P590+K590</f>
        <v>46427</v>
      </c>
      <c r="R590" s="12"/>
      <c r="S590" s="12"/>
    </row>
    <row r="591" customFormat="false" ht="15" hidden="false" customHeight="false" outlineLevel="0" collapsed="false">
      <c r="A591" s="15" t="s">
        <v>3828</v>
      </c>
      <c r="B591" s="15" t="s">
        <v>3825</v>
      </c>
      <c r="C591" s="15" t="s">
        <v>391</v>
      </c>
      <c r="D591" s="15" t="s">
        <v>1341</v>
      </c>
      <c r="E591" s="15" t="s">
        <v>1425</v>
      </c>
      <c r="F591" s="15" t="s">
        <v>3005</v>
      </c>
      <c r="G591" s="15" t="s">
        <v>3006</v>
      </c>
      <c r="H591" s="33" t="n">
        <f aca="false">Packages!$AC$59</f>
        <v>22</v>
      </c>
      <c r="I591" s="15" t="s">
        <v>3007</v>
      </c>
      <c r="J591" s="34" t="n">
        <f aca="false">IF(Packages!$AC$59=0,0,MAX(1,ROUNDUP(Packages!$AC$59/(R_PILE*Fronts!$H$7),0)))</f>
        <v>5</v>
      </c>
      <c r="K591" s="34" t="n">
        <f aca="false">IF(J591=0,0,ROUNDUP(J591*7/WD,0))</f>
        <v>6</v>
      </c>
      <c r="L591" s="15" t="s">
        <v>3826</v>
      </c>
      <c r="M591" s="34" t="n">
        <f aca="false">ROUNDUP(K590*LADDER,0)</f>
        <v>1</v>
      </c>
      <c r="N591" s="34" t="n">
        <f aca="false">IF(K591=0,0,FFLAG)</f>
        <v>2</v>
      </c>
      <c r="O591" s="15" t="s">
        <v>3008</v>
      </c>
      <c r="P591" s="16" t="n">
        <f aca="false">MAX(P590+M591,D_PILEDES)</f>
        <v>46426</v>
      </c>
      <c r="Q591" s="16" t="n">
        <f aca="false">MAX(P591+K591,Q590+N591)</f>
        <v>46432</v>
      </c>
      <c r="R591" s="16" t="n">
        <f aca="false">IF(K591&gt;0,Q591,0)</f>
        <v>46432</v>
      </c>
      <c r="S591" s="12"/>
    </row>
    <row r="592" customFormat="false" ht="15" hidden="false" customHeight="false" outlineLevel="0" collapsed="false">
      <c r="A592" s="15" t="s">
        <v>3829</v>
      </c>
      <c r="B592" s="15" t="s">
        <v>3825</v>
      </c>
      <c r="C592" s="15" t="s">
        <v>391</v>
      </c>
      <c r="D592" s="15" t="s">
        <v>1341</v>
      </c>
      <c r="E592" s="15" t="s">
        <v>1425</v>
      </c>
      <c r="F592" s="15" t="s">
        <v>3010</v>
      </c>
      <c r="G592" s="15" t="s">
        <v>3011</v>
      </c>
      <c r="H592" s="33" t="n">
        <f aca="false">Packages!$AD$59</f>
        <v>58.9140800000096</v>
      </c>
      <c r="I592" s="15" t="s">
        <v>3012</v>
      </c>
      <c r="J592" s="34" t="n">
        <f aca="false">IF(Packages!$AD$59=0,0,MAX(1,ROUNDUP(Packages!$AD$59/(R_SHEET*Fronts!$I$7),0)))</f>
        <v>3</v>
      </c>
      <c r="K592" s="34" t="n">
        <f aca="false">IF(J592=0,0,ROUNDUP(J592*7/WD,0))</f>
        <v>4</v>
      </c>
      <c r="L592" s="15" t="s">
        <v>3828</v>
      </c>
      <c r="M592" s="34" t="n">
        <f aca="false">ROUNDUP(K591*LADDER,0)</f>
        <v>2</v>
      </c>
      <c r="N592" s="34" t="n">
        <f aca="false">IF(K592=0,0,FFLAG)</f>
        <v>2</v>
      </c>
      <c r="O592" s="15"/>
      <c r="P592" s="16" t="n">
        <f aca="false">MAX(P591+M592)</f>
        <v>46428</v>
      </c>
      <c r="Q592" s="16" t="n">
        <f aca="false">MAX(P592+K592,Q591+N592)</f>
        <v>46434</v>
      </c>
      <c r="R592" s="16" t="n">
        <f aca="false">IF(K592&gt;0,Q592,0)</f>
        <v>46434</v>
      </c>
      <c r="S592" s="12"/>
    </row>
    <row r="593" customFormat="false" ht="15" hidden="false" customHeight="false" outlineLevel="0" collapsed="false">
      <c r="A593" s="15" t="s">
        <v>3830</v>
      </c>
      <c r="B593" s="15" t="s">
        <v>3825</v>
      </c>
      <c r="C593" s="15" t="s">
        <v>391</v>
      </c>
      <c r="D593" s="15" t="s">
        <v>1341</v>
      </c>
      <c r="E593" s="15" t="s">
        <v>1425</v>
      </c>
      <c r="F593" s="15" t="s">
        <v>3014</v>
      </c>
      <c r="G593" s="15" t="s">
        <v>3015</v>
      </c>
      <c r="H593" s="33" t="n">
        <f aca="false">Packages!$O$59</f>
        <v>29.4570400000048</v>
      </c>
      <c r="I593" s="15" t="s">
        <v>118</v>
      </c>
      <c r="J593" s="34" t="n">
        <f aca="false">IF(Packages!$AG$59=0,0,ROUNDUP(Packages!$O$59/R_DW,0)+DW_DRAW)</f>
        <v>8</v>
      </c>
      <c r="K593" s="34" t="n">
        <f aca="false">IF(J593=0,0,ROUNDUP(J593*7/WD,0))</f>
        <v>10</v>
      </c>
      <c r="L593" s="15" t="s">
        <v>3829</v>
      </c>
      <c r="M593" s="34" t="n">
        <f aca="false">ROUNDUP(K592*LADDER,0)</f>
        <v>2</v>
      </c>
      <c r="N593" s="34" t="n">
        <f aca="false">IF(K593=0,0,FFLAG)</f>
        <v>2</v>
      </c>
      <c r="O593" s="15"/>
      <c r="P593" s="16" t="n">
        <f aca="false">MAX(P592+M593)</f>
        <v>46430</v>
      </c>
      <c r="Q593" s="16" t="n">
        <f aca="false">MAX(P593+K593,Q592+N593)</f>
        <v>46440</v>
      </c>
      <c r="R593" s="12"/>
      <c r="S593" s="12"/>
    </row>
    <row r="594" customFormat="false" ht="15" hidden="false" customHeight="false" outlineLevel="0" collapsed="false">
      <c r="A594" s="15" t="s">
        <v>3831</v>
      </c>
      <c r="B594" s="15" t="s">
        <v>3825</v>
      </c>
      <c r="C594" s="15" t="s">
        <v>391</v>
      </c>
      <c r="D594" s="15" t="s">
        <v>1341</v>
      </c>
      <c r="E594" s="15" t="s">
        <v>1425</v>
      </c>
      <c r="F594" s="15" t="s">
        <v>3017</v>
      </c>
      <c r="G594" s="15" t="s">
        <v>3018</v>
      </c>
      <c r="H594" s="33" t="n">
        <f aca="false">Packages!$X$59+Packages!$Y$59</f>
        <v>300.462256025713</v>
      </c>
      <c r="I594" s="15" t="s">
        <v>3019</v>
      </c>
      <c r="J594" s="34" t="n">
        <f aca="false">MAX(1,ROUNDUP((Packages!$X$59/R_EXS+Packages!$Y$59/R_EXO)/Fronts!$J$7,0))</f>
        <v>2</v>
      </c>
      <c r="K594" s="34" t="n">
        <f aca="false">IF(J594=0,0,ROUNDUP(J594*7/WD,0))</f>
        <v>3</v>
      </c>
      <c r="L594" s="15" t="s">
        <v>3830</v>
      </c>
      <c r="M594" s="34" t="n">
        <f aca="false">IF(K593=0,0,ROUNDUP((K593-ROUNDUP(DW_DRAW*7/WD,0))*LADDER,0)+ROUNDUP(DW_DRAW*7/WD,0))</f>
        <v>10</v>
      </c>
      <c r="N594" s="34" t="n">
        <f aca="false">IF(K594=0,0,FFLAG)</f>
        <v>2</v>
      </c>
      <c r="O594" s="15"/>
      <c r="P594" s="16" t="n">
        <f aca="false">MAX(P593+M594)</f>
        <v>46440</v>
      </c>
      <c r="Q594" s="16" t="n">
        <f aca="false">MAX(P594+K594,Q593+N594)</f>
        <v>46443</v>
      </c>
      <c r="R594" s="16" t="n">
        <f aca="false">IF(K594&gt;0,Q594,0)</f>
        <v>46443</v>
      </c>
      <c r="S594" s="12"/>
    </row>
    <row r="595" customFormat="false" ht="15" hidden="false" customHeight="false" outlineLevel="0" collapsed="false">
      <c r="A595" s="15" t="s">
        <v>3832</v>
      </c>
      <c r="B595" s="15" t="s">
        <v>3825</v>
      </c>
      <c r="C595" s="15" t="s">
        <v>391</v>
      </c>
      <c r="D595" s="15" t="s">
        <v>1341</v>
      </c>
      <c r="E595" s="15" t="s">
        <v>1425</v>
      </c>
      <c r="F595" s="15" t="s">
        <v>3022</v>
      </c>
      <c r="G595" s="15" t="s">
        <v>3023</v>
      </c>
      <c r="H595" s="33" t="n">
        <f aca="false">Packages!$O$59</f>
        <v>29.4570400000048</v>
      </c>
      <c r="I595" s="15" t="s">
        <v>118</v>
      </c>
      <c r="J595" s="34" t="n">
        <f aca="false">MAX(1,ROUNDUP(Packages!$O$59/(R_SLAB*Fronts!$K$7),0))+SLAB_CURE</f>
        <v>6</v>
      </c>
      <c r="K595" s="34" t="n">
        <f aca="false">IF(J595=0,0,ROUNDUP(J595*7/WD,0))</f>
        <v>7</v>
      </c>
      <c r="L595" s="15" t="s">
        <v>3831</v>
      </c>
      <c r="M595" s="34" t="n">
        <f aca="false">ROUNDUP(K594*LADDER,0)</f>
        <v>1</v>
      </c>
      <c r="N595" s="34" t="n">
        <f aca="false">IF(K595=0,0,FFLAG)</f>
        <v>2</v>
      </c>
      <c r="O595" s="15"/>
      <c r="P595" s="16" t="n">
        <f aca="false">MAX(P594+M595)</f>
        <v>46441</v>
      </c>
      <c r="Q595" s="16" t="n">
        <f aca="false">MAX(P595+K595,Q594+N595)</f>
        <v>46448</v>
      </c>
      <c r="R595" s="16" t="n">
        <f aca="false">IF(K595&gt;0,Q595,0)</f>
        <v>46448</v>
      </c>
      <c r="S595" s="12"/>
    </row>
    <row r="596" customFormat="false" ht="15" hidden="false" customHeight="false" outlineLevel="0" collapsed="false">
      <c r="A596" s="15" t="s">
        <v>3833</v>
      </c>
      <c r="B596" s="15" t="s">
        <v>3825</v>
      </c>
      <c r="C596" s="15" t="s">
        <v>391</v>
      </c>
      <c r="D596" s="15" t="s">
        <v>1341</v>
      </c>
      <c r="E596" s="15" t="s">
        <v>1425</v>
      </c>
      <c r="F596" s="15" t="s">
        <v>3025</v>
      </c>
      <c r="G596" s="15" t="s">
        <v>3026</v>
      </c>
      <c r="H596" s="33" t="n">
        <f aca="false">Packages!$O$59</f>
        <v>29.4570400000048</v>
      </c>
      <c r="I596" s="15" t="s">
        <v>118</v>
      </c>
      <c r="J596" s="34" t="n">
        <f aca="false">MAX(1,ROUNDUP(Packages!$O$59/(IF(Packages!$N$59&gt;=PIPE_T1,R_PIPE_L,IF(Packages!$N$59&gt;=PIPE_T2,R_PIPE_M,R_PIPE_S))*Fronts!$L$7)+Packages!$M$59*FIT_D+IF(Packages!$G$59&lt;&gt;"Run",TIE_D,0),0))</f>
        <v>4</v>
      </c>
      <c r="K596" s="34" t="n">
        <f aca="false">IF(J596=0,0,ROUNDUP(J596*7/WD,0))</f>
        <v>5</v>
      </c>
      <c r="L596" s="15" t="s">
        <v>3832</v>
      </c>
      <c r="M596" s="34" t="n">
        <f aca="false">ROUNDUP(K595*LADDER,0)</f>
        <v>3</v>
      </c>
      <c r="N596" s="34" t="n">
        <f aca="false">IF(K596=0,0,FFLAG)</f>
        <v>2</v>
      </c>
      <c r="O596" s="15" t="s">
        <v>3834</v>
      </c>
      <c r="P596" s="16" t="n">
        <f aca="false">MAX(P595+M596,Q1289)</f>
        <v>46508</v>
      </c>
      <c r="Q596" s="16" t="n">
        <f aca="false">MAX(P596+K596,Q595+N596)</f>
        <v>46513</v>
      </c>
      <c r="R596" s="16" t="n">
        <f aca="false">IF(K596&gt;0,Q596,0)</f>
        <v>46513</v>
      </c>
      <c r="S596" s="12"/>
    </row>
    <row r="597" customFormat="false" ht="15" hidden="false" customHeight="false" outlineLevel="0" collapsed="false">
      <c r="A597" s="15" t="s">
        <v>3835</v>
      </c>
      <c r="B597" s="15" t="s">
        <v>3825</v>
      </c>
      <c r="C597" s="15" t="s">
        <v>391</v>
      </c>
      <c r="D597" s="15" t="s">
        <v>1341</v>
      </c>
      <c r="E597" s="15" t="s">
        <v>1425</v>
      </c>
      <c r="F597" s="15" t="s">
        <v>3028</v>
      </c>
      <c r="G597" s="15" t="s">
        <v>3029</v>
      </c>
      <c r="H597" s="33" t="n">
        <f aca="false">Packages!$O$59</f>
        <v>29.4570400000048</v>
      </c>
      <c r="I597" s="15" t="s">
        <v>118</v>
      </c>
      <c r="J597" s="34" t="n">
        <f aca="false">TEST_D+ROUNDUP(Packages!$O$59/R_TEST,0)</f>
        <v>3</v>
      </c>
      <c r="K597" s="34" t="n">
        <f aca="false">IF(J597=0,0,ROUNDUP(J597*7/WD,0))</f>
        <v>4</v>
      </c>
      <c r="L597" s="15" t="s">
        <v>3833</v>
      </c>
      <c r="M597" s="34" t="n">
        <f aca="false">ROUNDUP(K596*LADDER,0)</f>
        <v>2</v>
      </c>
      <c r="N597" s="34" t="n">
        <f aca="false">IF(K597=0,0,FFLAG)</f>
        <v>2</v>
      </c>
      <c r="O597" s="15"/>
      <c r="P597" s="16" t="n">
        <f aca="false">MAX(P596+M597)</f>
        <v>46510</v>
      </c>
      <c r="Q597" s="16" t="n">
        <f aca="false">MAX(P597+K597,Q596+N597)</f>
        <v>46515</v>
      </c>
      <c r="R597" s="12"/>
      <c r="S597" s="12"/>
    </row>
    <row r="598" customFormat="false" ht="15" hidden="false" customHeight="false" outlineLevel="0" collapsed="false">
      <c r="A598" s="15" t="s">
        <v>3836</v>
      </c>
      <c r="B598" s="15" t="s">
        <v>3825</v>
      </c>
      <c r="C598" s="15" t="s">
        <v>391</v>
      </c>
      <c r="D598" s="15" t="s">
        <v>1341</v>
      </c>
      <c r="E598" s="15" t="s">
        <v>1425</v>
      </c>
      <c r="F598" s="15" t="s">
        <v>3031</v>
      </c>
      <c r="G598" s="15" t="s">
        <v>3032</v>
      </c>
      <c r="H598" s="33" t="n">
        <f aca="false">Packages!$AB$59</f>
        <v>247.869521569621</v>
      </c>
      <c r="I598" s="15" t="s">
        <v>3019</v>
      </c>
      <c r="J598" s="34" t="n">
        <f aca="false">MAX(1,ROUNDUP(Packages!$AB$59/(R_BF*Fronts!$M$7),0))</f>
        <v>1</v>
      </c>
      <c r="K598" s="34" t="n">
        <f aca="false">IF(J598=0,0,ROUNDUP(J598*7/WD,0))</f>
        <v>2</v>
      </c>
      <c r="L598" s="15" t="s">
        <v>3835</v>
      </c>
      <c r="M598" s="34" t="n">
        <f aca="false">ROUNDUP(K597*LADDER,0)</f>
        <v>2</v>
      </c>
      <c r="N598" s="34" t="n">
        <f aca="false">IF(K598=0,0,FFLAG)</f>
        <v>2</v>
      </c>
      <c r="O598" s="15" t="s">
        <v>3837</v>
      </c>
      <c r="P598" s="16" t="n">
        <f aca="false">MAX(P597+M598,Q607)</f>
        <v>46512</v>
      </c>
      <c r="Q598" s="16" t="n">
        <f aca="false">MAX(P598+K598,Q597+N598)</f>
        <v>46517</v>
      </c>
      <c r="R598" s="16" t="n">
        <f aca="false">IF(K598&gt;0,Q598,0)</f>
        <v>46517</v>
      </c>
      <c r="S598" s="12"/>
    </row>
    <row r="599" customFormat="false" ht="15" hidden="false" customHeight="false" outlineLevel="0" collapsed="false">
      <c r="A599" s="15" t="s">
        <v>3838</v>
      </c>
      <c r="B599" s="15" t="s">
        <v>3825</v>
      </c>
      <c r="C599" s="15" t="s">
        <v>391</v>
      </c>
      <c r="D599" s="15" t="s">
        <v>1341</v>
      </c>
      <c r="E599" s="15" t="s">
        <v>1425</v>
      </c>
      <c r="F599" s="15" t="s">
        <v>3034</v>
      </c>
      <c r="G599" s="15" t="s">
        <v>3035</v>
      </c>
      <c r="H599" s="33" t="n">
        <f aca="false">Packages!$AD$59</f>
        <v>58.9140800000096</v>
      </c>
      <c r="I599" s="15" t="s">
        <v>3012</v>
      </c>
      <c r="J599" s="34" t="n">
        <f aca="false">IF(Packages!$AD$59&gt;0,ROUNDUP(Packages!$AD$59/R_EXT,0),0)+IF(Packages!$AG$59&gt;0,1,0)</f>
        <v>3</v>
      </c>
      <c r="K599" s="34" t="n">
        <f aca="false">IF(J599=0,0,ROUNDUP(J599*7/WD,0))</f>
        <v>4</v>
      </c>
      <c r="L599" s="15" t="s">
        <v>3836</v>
      </c>
      <c r="M599" s="34" t="n">
        <f aca="false">ROUNDUP(K598*LADDER,0)</f>
        <v>1</v>
      </c>
      <c r="N599" s="34" t="n">
        <f aca="false">IF(K599=0,0,FFLAG)</f>
        <v>2</v>
      </c>
      <c r="O599" s="15"/>
      <c r="P599" s="16" t="n">
        <f aca="false">MAX(P598+M599)</f>
        <v>46513</v>
      </c>
      <c r="Q599" s="16" t="n">
        <f aca="false">MAX(P599+K599,Q598+N599)</f>
        <v>46519</v>
      </c>
      <c r="R599" s="12"/>
      <c r="S599" s="12"/>
    </row>
    <row r="600" customFormat="false" ht="15" hidden="false" customHeight="false" outlineLevel="0" collapsed="false">
      <c r="A600" s="15" t="s">
        <v>3839</v>
      </c>
      <c r="B600" s="15" t="s">
        <v>3840</v>
      </c>
      <c r="C600" s="15" t="s">
        <v>391</v>
      </c>
      <c r="D600" s="15" t="s">
        <v>1763</v>
      </c>
      <c r="E600" s="15" t="s">
        <v>1764</v>
      </c>
      <c r="F600" s="15" t="s">
        <v>2998</v>
      </c>
      <c r="G600" s="15" t="s">
        <v>2999</v>
      </c>
      <c r="H600" s="12"/>
      <c r="I600" s="12"/>
      <c r="J600" s="34" t="n">
        <f aca="false">0</f>
        <v>0</v>
      </c>
      <c r="K600" s="34" t="n">
        <f aca="false">IF(J600=0,0,ROUNDUP(J600*7/WD,0))</f>
        <v>0</v>
      </c>
      <c r="L600" s="12"/>
      <c r="M600" s="12"/>
      <c r="N600" s="12"/>
      <c r="O600" s="15" t="s">
        <v>3038</v>
      </c>
      <c r="P600" s="16" t="n">
        <f aca="false">MAX(START,D_DLU,Packages!$I$60,Packages!$K$60)</f>
        <v>46357</v>
      </c>
      <c r="Q600" s="16" t="n">
        <f aca="false">P600+K600</f>
        <v>46357</v>
      </c>
      <c r="R600" s="12"/>
      <c r="S600" s="12"/>
    </row>
    <row r="601" customFormat="false" ht="15" hidden="false" customHeight="false" outlineLevel="0" collapsed="false">
      <c r="A601" s="15" t="s">
        <v>3841</v>
      </c>
      <c r="B601" s="15" t="s">
        <v>3840</v>
      </c>
      <c r="C601" s="15" t="s">
        <v>391</v>
      </c>
      <c r="D601" s="15" t="s">
        <v>1763</v>
      </c>
      <c r="E601" s="15" t="s">
        <v>1764</v>
      </c>
      <c r="F601" s="15" t="s">
        <v>3002</v>
      </c>
      <c r="G601" s="15" t="s">
        <v>205</v>
      </c>
      <c r="H601" s="33" t="n">
        <f aca="false">Packages!$O$60</f>
        <v>38.1234150651088</v>
      </c>
      <c r="I601" s="15" t="s">
        <v>118</v>
      </c>
      <c r="J601" s="34" t="n">
        <f aca="false">MAX(1,ROUNDUP(Packages!$O$60/R_PLAT,0))</f>
        <v>1</v>
      </c>
      <c r="K601" s="34" t="n">
        <f aca="false">IF(J601=0,0,ROUNDUP(J601*7/WD,0))</f>
        <v>2</v>
      </c>
      <c r="L601" s="15" t="s">
        <v>3839</v>
      </c>
      <c r="M601" s="12"/>
      <c r="N601" s="12"/>
      <c r="O601" s="15" t="s">
        <v>3003</v>
      </c>
      <c r="P601" s="16" t="n">
        <f aca="false">MAX(Q600)</f>
        <v>46357</v>
      </c>
      <c r="Q601" s="16" t="n">
        <f aca="false">P601+K601</f>
        <v>46359</v>
      </c>
      <c r="R601" s="12"/>
      <c r="S601" s="12"/>
    </row>
    <row r="602" customFormat="false" ht="15" hidden="false" customHeight="false" outlineLevel="0" collapsed="false">
      <c r="A602" s="15" t="s">
        <v>3842</v>
      </c>
      <c r="B602" s="15" t="s">
        <v>3840</v>
      </c>
      <c r="C602" s="15" t="s">
        <v>391</v>
      </c>
      <c r="D602" s="15" t="s">
        <v>1763</v>
      </c>
      <c r="E602" s="15" t="s">
        <v>1764</v>
      </c>
      <c r="F602" s="15" t="s">
        <v>3005</v>
      </c>
      <c r="G602" s="15" t="s">
        <v>3006</v>
      </c>
      <c r="H602" s="33" t="n">
        <f aca="false">Packages!$AC$60</f>
        <v>28</v>
      </c>
      <c r="I602" s="15" t="s">
        <v>3007</v>
      </c>
      <c r="J602" s="34" t="n">
        <f aca="false">IF(Packages!$AC$60=0,0,MAX(1,ROUNDUP(Packages!$AC$60/(R_PILE*Fronts!$H$7),0)))</f>
        <v>6</v>
      </c>
      <c r="K602" s="34" t="n">
        <f aca="false">IF(J602=0,0,ROUNDUP(J602*7/WD,0))</f>
        <v>7</v>
      </c>
      <c r="L602" s="15" t="s">
        <v>3841</v>
      </c>
      <c r="M602" s="34" t="n">
        <f aca="false">ROUNDUP(K601*LADDER,0)</f>
        <v>1</v>
      </c>
      <c r="N602" s="34" t="n">
        <f aca="false">IF(K602=0,0,FFLAG)</f>
        <v>2</v>
      </c>
      <c r="O602" s="15" t="s">
        <v>3008</v>
      </c>
      <c r="P602" s="16" t="n">
        <f aca="false">MAX(P601+M602,D_PILEDES)</f>
        <v>46358</v>
      </c>
      <c r="Q602" s="16" t="n">
        <f aca="false">MAX(P602+K602,Q601+N602)</f>
        <v>46365</v>
      </c>
      <c r="R602" s="16" t="n">
        <f aca="false">IF(K602&gt;0,Q602,0)</f>
        <v>46365</v>
      </c>
      <c r="S602" s="12"/>
    </row>
    <row r="603" customFormat="false" ht="15" hidden="false" customHeight="false" outlineLevel="0" collapsed="false">
      <c r="A603" s="15" t="s">
        <v>3843</v>
      </c>
      <c r="B603" s="15" t="s">
        <v>3840</v>
      </c>
      <c r="C603" s="15" t="s">
        <v>391</v>
      </c>
      <c r="D603" s="15" t="s">
        <v>1763</v>
      </c>
      <c r="E603" s="15" t="s">
        <v>1764</v>
      </c>
      <c r="F603" s="15" t="s">
        <v>3010</v>
      </c>
      <c r="G603" s="15" t="s">
        <v>3011</v>
      </c>
      <c r="H603" s="33" t="n">
        <f aca="false">Packages!$AD$60</f>
        <v>56.0080000001104</v>
      </c>
      <c r="I603" s="15" t="s">
        <v>3012</v>
      </c>
      <c r="J603" s="34" t="n">
        <f aca="false">IF(Packages!$AD$60=0,0,MAX(1,ROUNDUP(Packages!$AD$60/(R_SHEET*Fronts!$I$7),0)))</f>
        <v>3</v>
      </c>
      <c r="K603" s="34" t="n">
        <f aca="false">IF(J603=0,0,ROUNDUP(J603*7/WD,0))</f>
        <v>4</v>
      </c>
      <c r="L603" s="15" t="s">
        <v>3842</v>
      </c>
      <c r="M603" s="34" t="n">
        <f aca="false">ROUNDUP(K602*LADDER,0)</f>
        <v>3</v>
      </c>
      <c r="N603" s="34" t="n">
        <f aca="false">IF(K603=0,0,FFLAG)</f>
        <v>2</v>
      </c>
      <c r="O603" s="15"/>
      <c r="P603" s="16" t="n">
        <f aca="false">MAX(P602+M603)</f>
        <v>46361</v>
      </c>
      <c r="Q603" s="16" t="n">
        <f aca="false">MAX(P603+K603,Q602+N603)</f>
        <v>46367</v>
      </c>
      <c r="R603" s="16" t="n">
        <f aca="false">IF(K603&gt;0,Q603,0)</f>
        <v>46367</v>
      </c>
      <c r="S603" s="12"/>
    </row>
    <row r="604" customFormat="false" ht="15" hidden="false" customHeight="false" outlineLevel="0" collapsed="false">
      <c r="A604" s="15" t="s">
        <v>3844</v>
      </c>
      <c r="B604" s="15" t="s">
        <v>3840</v>
      </c>
      <c r="C604" s="15" t="s">
        <v>391</v>
      </c>
      <c r="D604" s="15" t="s">
        <v>1763</v>
      </c>
      <c r="E604" s="15" t="s">
        <v>1764</v>
      </c>
      <c r="F604" s="15" t="s">
        <v>3014</v>
      </c>
      <c r="G604" s="15" t="s">
        <v>3015</v>
      </c>
      <c r="H604" s="33" t="n">
        <f aca="false">Packages!$O$60</f>
        <v>38.1234150651088</v>
      </c>
      <c r="I604" s="15" t="s">
        <v>118</v>
      </c>
      <c r="J604" s="34" t="n">
        <f aca="false">IF(Packages!$AG$60=0,0,ROUNDUP(Packages!$O$60/R_DW,0)+DW_DRAW)</f>
        <v>8</v>
      </c>
      <c r="K604" s="34" t="n">
        <f aca="false">IF(J604=0,0,ROUNDUP(J604*7/WD,0))</f>
        <v>10</v>
      </c>
      <c r="L604" s="15" t="s">
        <v>3843</v>
      </c>
      <c r="M604" s="34" t="n">
        <f aca="false">ROUNDUP(K603*LADDER,0)</f>
        <v>2</v>
      </c>
      <c r="N604" s="34" t="n">
        <f aca="false">IF(K604=0,0,FFLAG)</f>
        <v>2</v>
      </c>
      <c r="O604" s="15"/>
      <c r="P604" s="16" t="n">
        <f aca="false">MAX(P603+M604)</f>
        <v>46363</v>
      </c>
      <c r="Q604" s="16" t="n">
        <f aca="false">MAX(P604+K604,Q603+N604)</f>
        <v>46373</v>
      </c>
      <c r="R604" s="12"/>
      <c r="S604" s="12"/>
    </row>
    <row r="605" customFormat="false" ht="15" hidden="false" customHeight="false" outlineLevel="0" collapsed="false">
      <c r="A605" s="15" t="s">
        <v>3845</v>
      </c>
      <c r="B605" s="15" t="s">
        <v>3840</v>
      </c>
      <c r="C605" s="15" t="s">
        <v>391</v>
      </c>
      <c r="D605" s="15" t="s">
        <v>1763</v>
      </c>
      <c r="E605" s="15" t="s">
        <v>1764</v>
      </c>
      <c r="F605" s="15" t="s">
        <v>3017</v>
      </c>
      <c r="G605" s="15" t="s">
        <v>3018</v>
      </c>
      <c r="H605" s="33" t="n">
        <f aca="false">Packages!$X$60+Packages!$Y$60</f>
        <v>399.963870588136</v>
      </c>
      <c r="I605" s="15" t="s">
        <v>3019</v>
      </c>
      <c r="J605" s="34" t="n">
        <f aca="false">MAX(1,ROUNDUP((Packages!$X$60/R_EXS+Packages!$Y$60/R_EXO)/Fronts!$J$7,0))</f>
        <v>2</v>
      </c>
      <c r="K605" s="34" t="n">
        <f aca="false">IF(J605=0,0,ROUNDUP(J605*7/WD,0))</f>
        <v>3</v>
      </c>
      <c r="L605" s="15" t="s">
        <v>3844</v>
      </c>
      <c r="M605" s="34" t="n">
        <f aca="false">IF(K604=0,0,ROUNDUP((K604-ROUNDUP(DW_DRAW*7/WD,0))*LADDER,0)+ROUNDUP(DW_DRAW*7/WD,0))</f>
        <v>10</v>
      </c>
      <c r="N605" s="34" t="n">
        <f aca="false">IF(K605=0,0,FFLAG)</f>
        <v>2</v>
      </c>
      <c r="O605" s="15" t="s">
        <v>3846</v>
      </c>
      <c r="P605" s="16" t="n">
        <f aca="false">MAX(P604+M605,Q345,P594)</f>
        <v>46440</v>
      </c>
      <c r="Q605" s="16" t="n">
        <f aca="false">MAX(P605+K605,Q604+N605)</f>
        <v>46443</v>
      </c>
      <c r="R605" s="16" t="n">
        <f aca="false">IF(K605&gt;0,Q605,0)</f>
        <v>46443</v>
      </c>
      <c r="S605" s="12"/>
    </row>
    <row r="606" customFormat="false" ht="15" hidden="false" customHeight="false" outlineLevel="0" collapsed="false">
      <c r="A606" s="15" t="s">
        <v>3847</v>
      </c>
      <c r="B606" s="15" t="s">
        <v>3840</v>
      </c>
      <c r="C606" s="15" t="s">
        <v>391</v>
      </c>
      <c r="D606" s="15" t="s">
        <v>1763</v>
      </c>
      <c r="E606" s="15" t="s">
        <v>1764</v>
      </c>
      <c r="F606" s="15" t="s">
        <v>3022</v>
      </c>
      <c r="G606" s="15" t="s">
        <v>3023</v>
      </c>
      <c r="H606" s="33" t="n">
        <f aca="false">Packages!$O$60</f>
        <v>38.1234150651088</v>
      </c>
      <c r="I606" s="15" t="s">
        <v>118</v>
      </c>
      <c r="J606" s="34" t="n">
        <f aca="false">MAX(1,ROUNDUP(Packages!$O$60/(R_SLAB*Fronts!$K$7),0))+SLAB_CURE</f>
        <v>7</v>
      </c>
      <c r="K606" s="34" t="n">
        <f aca="false">IF(J606=0,0,ROUNDUP(J606*7/WD,0))</f>
        <v>9</v>
      </c>
      <c r="L606" s="15" t="s">
        <v>3845</v>
      </c>
      <c r="M606" s="34" t="n">
        <f aca="false">ROUNDUP(K605*LADDER,0)</f>
        <v>1</v>
      </c>
      <c r="N606" s="34" t="n">
        <f aca="false">IF(K606=0,0,FFLAG)</f>
        <v>2</v>
      </c>
      <c r="O606" s="15"/>
      <c r="P606" s="16" t="n">
        <f aca="false">MAX(P605+M606)</f>
        <v>46441</v>
      </c>
      <c r="Q606" s="16" t="n">
        <f aca="false">MAX(P606+K606,Q605+N606)</f>
        <v>46450</v>
      </c>
      <c r="R606" s="16" t="n">
        <f aca="false">IF(K606&gt;0,Q606,0)</f>
        <v>46450</v>
      </c>
      <c r="S606" s="12"/>
    </row>
    <row r="607" customFormat="false" ht="15" hidden="false" customHeight="false" outlineLevel="0" collapsed="false">
      <c r="A607" s="15" t="s">
        <v>3848</v>
      </c>
      <c r="B607" s="15" t="s">
        <v>3840</v>
      </c>
      <c r="C607" s="15" t="s">
        <v>391</v>
      </c>
      <c r="D607" s="15" t="s">
        <v>1763</v>
      </c>
      <c r="E607" s="15" t="s">
        <v>1764</v>
      </c>
      <c r="F607" s="15" t="s">
        <v>3025</v>
      </c>
      <c r="G607" s="15" t="s">
        <v>3026</v>
      </c>
      <c r="H607" s="33" t="n">
        <f aca="false">Packages!$O$60</f>
        <v>38.1234150651088</v>
      </c>
      <c r="I607" s="15" t="s">
        <v>118</v>
      </c>
      <c r="J607" s="34" t="n">
        <f aca="false">MAX(1,ROUNDUP(Packages!$O$60/(IF(Packages!$N$60&gt;=PIPE_T1,R_PIPE_L,IF(Packages!$N$60&gt;=PIPE_T2,R_PIPE_M,R_PIPE_S))*Fronts!$L$7)+Packages!$M$60*FIT_D+IF(Packages!$G$60&lt;&gt;"Run",TIE_D,0),0))</f>
        <v>9</v>
      </c>
      <c r="K607" s="34" t="n">
        <f aca="false">IF(J607=0,0,ROUNDUP(J607*7/WD,0))</f>
        <v>11</v>
      </c>
      <c r="L607" s="15" t="s">
        <v>3847</v>
      </c>
      <c r="M607" s="34" t="n">
        <f aca="false">ROUNDUP(K606*LADDER,0)</f>
        <v>3</v>
      </c>
      <c r="N607" s="34" t="n">
        <f aca="false">IF(K607=0,0,FFLAG)</f>
        <v>2</v>
      </c>
      <c r="O607" s="15"/>
      <c r="P607" s="16" t="n">
        <f aca="false">MAX(P606+M607)</f>
        <v>46444</v>
      </c>
      <c r="Q607" s="16" t="n">
        <f aca="false">MAX(P607+K607,Q606+N607)</f>
        <v>46455</v>
      </c>
      <c r="R607" s="16" t="n">
        <f aca="false">IF(K607&gt;0,Q607,0)</f>
        <v>46455</v>
      </c>
      <c r="S607" s="12"/>
    </row>
    <row r="608" customFormat="false" ht="15" hidden="false" customHeight="false" outlineLevel="0" collapsed="false">
      <c r="A608" s="15" t="s">
        <v>3849</v>
      </c>
      <c r="B608" s="15" t="s">
        <v>3840</v>
      </c>
      <c r="C608" s="15" t="s">
        <v>391</v>
      </c>
      <c r="D608" s="15" t="s">
        <v>1763</v>
      </c>
      <c r="E608" s="15" t="s">
        <v>1764</v>
      </c>
      <c r="F608" s="15" t="s">
        <v>3028</v>
      </c>
      <c r="G608" s="15" t="s">
        <v>3029</v>
      </c>
      <c r="H608" s="33" t="n">
        <f aca="false">Packages!$O$60</f>
        <v>38.1234150651088</v>
      </c>
      <c r="I608" s="15" t="s">
        <v>118</v>
      </c>
      <c r="J608" s="34" t="n">
        <f aca="false">TEST_D+ROUNDUP(Packages!$O$60/R_TEST,0)</f>
        <v>3</v>
      </c>
      <c r="K608" s="34" t="n">
        <f aca="false">IF(J608=0,0,ROUNDUP(J608*7/WD,0))</f>
        <v>4</v>
      </c>
      <c r="L608" s="15" t="s">
        <v>3848</v>
      </c>
      <c r="M608" s="34" t="n">
        <f aca="false">ROUNDUP(K607*LADDER,0)</f>
        <v>4</v>
      </c>
      <c r="N608" s="34" t="n">
        <f aca="false">IF(K608=0,0,FFLAG)</f>
        <v>2</v>
      </c>
      <c r="O608" s="15"/>
      <c r="P608" s="16" t="n">
        <f aca="false">MAX(P607+M608)</f>
        <v>46448</v>
      </c>
      <c r="Q608" s="16" t="n">
        <f aca="false">MAX(P608+K608,Q607+N608)</f>
        <v>46457</v>
      </c>
      <c r="R608" s="12"/>
      <c r="S608" s="12"/>
    </row>
    <row r="609" customFormat="false" ht="15" hidden="false" customHeight="false" outlineLevel="0" collapsed="false">
      <c r="A609" s="15" t="s">
        <v>3850</v>
      </c>
      <c r="B609" s="15" t="s">
        <v>3840</v>
      </c>
      <c r="C609" s="15" t="s">
        <v>391</v>
      </c>
      <c r="D609" s="15" t="s">
        <v>1763</v>
      </c>
      <c r="E609" s="15" t="s">
        <v>1764</v>
      </c>
      <c r="F609" s="15" t="s">
        <v>3031</v>
      </c>
      <c r="G609" s="15" t="s">
        <v>3032</v>
      </c>
      <c r="H609" s="33" t="n">
        <f aca="false">Packages!$AB$60</f>
        <v>285.276066346138</v>
      </c>
      <c r="I609" s="15" t="s">
        <v>3019</v>
      </c>
      <c r="J609" s="34" t="n">
        <f aca="false">MAX(1,ROUNDUP(Packages!$AB$60/(R_BF*Fronts!$M$7),0))</f>
        <v>1</v>
      </c>
      <c r="K609" s="34" t="n">
        <f aca="false">IF(J609=0,0,ROUNDUP(J609*7/WD,0))</f>
        <v>2</v>
      </c>
      <c r="L609" s="15" t="s">
        <v>3849</v>
      </c>
      <c r="M609" s="34" t="n">
        <f aca="false">ROUNDUP(K608*LADDER,0)</f>
        <v>2</v>
      </c>
      <c r="N609" s="34" t="n">
        <f aca="false">IF(K609=0,0,FFLAG)</f>
        <v>2</v>
      </c>
      <c r="O609" s="15" t="s">
        <v>3851</v>
      </c>
      <c r="P609" s="16" t="n">
        <f aca="false">MAX(P608+M609,Q596)</f>
        <v>46513</v>
      </c>
      <c r="Q609" s="16" t="n">
        <f aca="false">MAX(P609+K609,Q608+N609)</f>
        <v>46515</v>
      </c>
      <c r="R609" s="16" t="n">
        <f aca="false">IF(K609&gt;0,Q609,0)</f>
        <v>46515</v>
      </c>
      <c r="S609" s="12"/>
    </row>
    <row r="610" customFormat="false" ht="15" hidden="false" customHeight="false" outlineLevel="0" collapsed="false">
      <c r="A610" s="15" t="s">
        <v>3852</v>
      </c>
      <c r="B610" s="15" t="s">
        <v>3840</v>
      </c>
      <c r="C610" s="15" t="s">
        <v>391</v>
      </c>
      <c r="D610" s="15" t="s">
        <v>1763</v>
      </c>
      <c r="E610" s="15" t="s">
        <v>1764</v>
      </c>
      <c r="F610" s="15" t="s">
        <v>3034</v>
      </c>
      <c r="G610" s="15" t="s">
        <v>3035</v>
      </c>
      <c r="H610" s="33" t="n">
        <f aca="false">Packages!$AD$60</f>
        <v>56.0080000001104</v>
      </c>
      <c r="I610" s="15" t="s">
        <v>3012</v>
      </c>
      <c r="J610" s="34" t="n">
        <f aca="false">IF(Packages!$AD$60&gt;0,ROUNDUP(Packages!$AD$60/R_EXT,0),0)+IF(Packages!$AG$60&gt;0,1,0)</f>
        <v>3</v>
      </c>
      <c r="K610" s="34" t="n">
        <f aca="false">IF(J610=0,0,ROUNDUP(J610*7/WD,0))</f>
        <v>4</v>
      </c>
      <c r="L610" s="15" t="s">
        <v>3850</v>
      </c>
      <c r="M610" s="34" t="n">
        <f aca="false">ROUNDUP(K609*LADDER,0)</f>
        <v>1</v>
      </c>
      <c r="N610" s="34" t="n">
        <f aca="false">IF(K610=0,0,FFLAG)</f>
        <v>2</v>
      </c>
      <c r="O610" s="15"/>
      <c r="P610" s="16" t="n">
        <f aca="false">MAX(P609+M610)</f>
        <v>46514</v>
      </c>
      <c r="Q610" s="16" t="n">
        <f aca="false">MAX(P610+K610,Q609+N610)</f>
        <v>46518</v>
      </c>
      <c r="R610" s="12"/>
      <c r="S610" s="12"/>
    </row>
    <row r="611" customFormat="false" ht="15" hidden="false" customHeight="false" outlineLevel="0" collapsed="false">
      <c r="A611" s="15" t="s">
        <v>3853</v>
      </c>
      <c r="B611" s="15" t="s">
        <v>3854</v>
      </c>
      <c r="C611" s="15" t="s">
        <v>391</v>
      </c>
      <c r="D611" s="15" t="s">
        <v>1699</v>
      </c>
      <c r="E611" s="15" t="s">
        <v>1700</v>
      </c>
      <c r="F611" s="15" t="s">
        <v>2998</v>
      </c>
      <c r="G611" s="15" t="s">
        <v>2999</v>
      </c>
      <c r="H611" s="12"/>
      <c r="I611" s="12"/>
      <c r="J611" s="34" t="n">
        <f aca="false">0</f>
        <v>0</v>
      </c>
      <c r="K611" s="34" t="n">
        <f aca="false">IF(J611=0,0,ROUNDUP(J611*7/WD,0))</f>
        <v>0</v>
      </c>
      <c r="L611" s="12"/>
      <c r="M611" s="12"/>
      <c r="N611" s="12"/>
      <c r="O611" s="15" t="s">
        <v>3038</v>
      </c>
      <c r="P611" s="16" t="n">
        <f aca="false">MAX(START,D_DLU,Packages!$I$61,Packages!$K$61)</f>
        <v>46357</v>
      </c>
      <c r="Q611" s="16" t="n">
        <f aca="false">P611+K611</f>
        <v>46357</v>
      </c>
      <c r="R611" s="12"/>
      <c r="S611" s="12"/>
    </row>
    <row r="612" customFormat="false" ht="15" hidden="false" customHeight="false" outlineLevel="0" collapsed="false">
      <c r="A612" s="15" t="s">
        <v>3855</v>
      </c>
      <c r="B612" s="15" t="s">
        <v>3854</v>
      </c>
      <c r="C612" s="15" t="s">
        <v>391</v>
      </c>
      <c r="D612" s="15" t="s">
        <v>1699</v>
      </c>
      <c r="E612" s="15" t="s">
        <v>1700</v>
      </c>
      <c r="F612" s="15" t="s">
        <v>3002</v>
      </c>
      <c r="G612" s="15" t="s">
        <v>205</v>
      </c>
      <c r="H612" s="33" t="n">
        <f aca="false">Packages!$O$61</f>
        <v>38.0884809423306</v>
      </c>
      <c r="I612" s="15" t="s">
        <v>118</v>
      </c>
      <c r="J612" s="34" t="n">
        <f aca="false">MAX(1,ROUNDUP(Packages!$O$61/R_PLAT,0))</f>
        <v>1</v>
      </c>
      <c r="K612" s="34" t="n">
        <f aca="false">IF(J612=0,0,ROUNDUP(J612*7/WD,0))</f>
        <v>2</v>
      </c>
      <c r="L612" s="15" t="s">
        <v>3853</v>
      </c>
      <c r="M612" s="12"/>
      <c r="N612" s="12"/>
      <c r="O612" s="15" t="s">
        <v>3003</v>
      </c>
      <c r="P612" s="16" t="n">
        <f aca="false">MAX(Q611)</f>
        <v>46357</v>
      </c>
      <c r="Q612" s="16" t="n">
        <f aca="false">P612+K612</f>
        <v>46359</v>
      </c>
      <c r="R612" s="12"/>
      <c r="S612" s="12"/>
    </row>
    <row r="613" customFormat="false" ht="15" hidden="false" customHeight="false" outlineLevel="0" collapsed="false">
      <c r="A613" s="15" t="s">
        <v>3856</v>
      </c>
      <c r="B613" s="15" t="s">
        <v>3854</v>
      </c>
      <c r="C613" s="15" t="s">
        <v>391</v>
      </c>
      <c r="D613" s="15" t="s">
        <v>1699</v>
      </c>
      <c r="E613" s="15" t="s">
        <v>1700</v>
      </c>
      <c r="F613" s="15" t="s">
        <v>3005</v>
      </c>
      <c r="G613" s="15" t="s">
        <v>3006</v>
      </c>
      <c r="H613" s="33" t="n">
        <f aca="false">Packages!$AC$61</f>
        <v>28</v>
      </c>
      <c r="I613" s="15" t="s">
        <v>3007</v>
      </c>
      <c r="J613" s="34" t="n">
        <f aca="false">IF(Packages!$AC$61=0,0,MAX(1,ROUNDUP(Packages!$AC$61/(R_PILE*Fronts!$H$7),0)))</f>
        <v>6</v>
      </c>
      <c r="K613" s="34" t="n">
        <f aca="false">IF(J613=0,0,ROUNDUP(J613*7/WD,0))</f>
        <v>7</v>
      </c>
      <c r="L613" s="15" t="s">
        <v>3855</v>
      </c>
      <c r="M613" s="34" t="n">
        <f aca="false">ROUNDUP(K612*LADDER,0)</f>
        <v>1</v>
      </c>
      <c r="N613" s="34" t="n">
        <f aca="false">IF(K613=0,0,FFLAG)</f>
        <v>2</v>
      </c>
      <c r="O613" s="15" t="s">
        <v>3008</v>
      </c>
      <c r="P613" s="16" t="n">
        <f aca="false">MAX(P612+M613,D_PILEDES)</f>
        <v>46358</v>
      </c>
      <c r="Q613" s="16" t="n">
        <f aca="false">MAX(P613+K613,Q612+N613)</f>
        <v>46365</v>
      </c>
      <c r="R613" s="16" t="n">
        <f aca="false">IF(K613&gt;0,Q613,0)</f>
        <v>46365</v>
      </c>
      <c r="S613" s="12"/>
    </row>
    <row r="614" customFormat="false" ht="15" hidden="false" customHeight="false" outlineLevel="0" collapsed="false">
      <c r="A614" s="15" t="s">
        <v>3857</v>
      </c>
      <c r="B614" s="15" t="s">
        <v>3854</v>
      </c>
      <c r="C614" s="15" t="s">
        <v>391</v>
      </c>
      <c r="D614" s="15" t="s">
        <v>1699</v>
      </c>
      <c r="E614" s="15" t="s">
        <v>1700</v>
      </c>
      <c r="F614" s="15" t="s">
        <v>3010</v>
      </c>
      <c r="G614" s="15" t="s">
        <v>3011</v>
      </c>
      <c r="H614" s="33" t="n">
        <f aca="false">Packages!$AD$61</f>
        <v>56.0750000003391</v>
      </c>
      <c r="I614" s="15" t="s">
        <v>3012</v>
      </c>
      <c r="J614" s="34" t="n">
        <f aca="false">IF(Packages!$AD$61=0,0,MAX(1,ROUNDUP(Packages!$AD$61/(R_SHEET*Fronts!$I$7),0)))</f>
        <v>3</v>
      </c>
      <c r="K614" s="34" t="n">
        <f aca="false">IF(J614=0,0,ROUNDUP(J614*7/WD,0))</f>
        <v>4</v>
      </c>
      <c r="L614" s="15" t="s">
        <v>3856</v>
      </c>
      <c r="M614" s="34" t="n">
        <f aca="false">ROUNDUP(K613*LADDER,0)</f>
        <v>3</v>
      </c>
      <c r="N614" s="34" t="n">
        <f aca="false">IF(K614=0,0,FFLAG)</f>
        <v>2</v>
      </c>
      <c r="O614" s="15"/>
      <c r="P614" s="16" t="n">
        <f aca="false">MAX(P613+M614)</f>
        <v>46361</v>
      </c>
      <c r="Q614" s="16" t="n">
        <f aca="false">MAX(P614+K614,Q613+N614)</f>
        <v>46367</v>
      </c>
      <c r="R614" s="16" t="n">
        <f aca="false">IF(K614&gt;0,Q614,0)</f>
        <v>46367</v>
      </c>
      <c r="S614" s="12"/>
    </row>
    <row r="615" customFormat="false" ht="15" hidden="false" customHeight="false" outlineLevel="0" collapsed="false">
      <c r="A615" s="15" t="s">
        <v>3858</v>
      </c>
      <c r="B615" s="15" t="s">
        <v>3854</v>
      </c>
      <c r="C615" s="15" t="s">
        <v>391</v>
      </c>
      <c r="D615" s="15" t="s">
        <v>1699</v>
      </c>
      <c r="E615" s="15" t="s">
        <v>1700</v>
      </c>
      <c r="F615" s="15" t="s">
        <v>3014</v>
      </c>
      <c r="G615" s="15" t="s">
        <v>3015</v>
      </c>
      <c r="H615" s="33" t="n">
        <f aca="false">Packages!$O$61</f>
        <v>38.0884809423306</v>
      </c>
      <c r="I615" s="15" t="s">
        <v>118</v>
      </c>
      <c r="J615" s="34" t="n">
        <f aca="false">IF(Packages!$AG$61=0,0,ROUNDUP(Packages!$O$61/R_DW,0)+DW_DRAW)</f>
        <v>8</v>
      </c>
      <c r="K615" s="34" t="n">
        <f aca="false">IF(J615=0,0,ROUNDUP(J615*7/WD,0))</f>
        <v>10</v>
      </c>
      <c r="L615" s="15" t="s">
        <v>3857</v>
      </c>
      <c r="M615" s="34" t="n">
        <f aca="false">ROUNDUP(K614*LADDER,0)</f>
        <v>2</v>
      </c>
      <c r="N615" s="34" t="n">
        <f aca="false">IF(K615=0,0,FFLAG)</f>
        <v>2</v>
      </c>
      <c r="O615" s="15"/>
      <c r="P615" s="16" t="n">
        <f aca="false">MAX(P614+M615)</f>
        <v>46363</v>
      </c>
      <c r="Q615" s="16" t="n">
        <f aca="false">MAX(P615+K615,Q614+N615)</f>
        <v>46373</v>
      </c>
      <c r="R615" s="12"/>
      <c r="S615" s="12"/>
    </row>
    <row r="616" customFormat="false" ht="15" hidden="false" customHeight="false" outlineLevel="0" collapsed="false">
      <c r="A616" s="15" t="s">
        <v>3859</v>
      </c>
      <c r="B616" s="15" t="s">
        <v>3854</v>
      </c>
      <c r="C616" s="15" t="s">
        <v>391</v>
      </c>
      <c r="D616" s="15" t="s">
        <v>1699</v>
      </c>
      <c r="E616" s="15" t="s">
        <v>1700</v>
      </c>
      <c r="F616" s="15" t="s">
        <v>3017</v>
      </c>
      <c r="G616" s="15" t="s">
        <v>3018</v>
      </c>
      <c r="H616" s="33" t="n">
        <f aca="false">Packages!$X$61+Packages!$Y$61</f>
        <v>417.586381472718</v>
      </c>
      <c r="I616" s="15" t="s">
        <v>3019</v>
      </c>
      <c r="J616" s="34" t="n">
        <f aca="false">MAX(1,ROUNDUP((Packages!$X$61/R_EXS+Packages!$Y$61/R_EXO)/Fronts!$J$7,0))</f>
        <v>2</v>
      </c>
      <c r="K616" s="34" t="n">
        <f aca="false">IF(J616=0,0,ROUNDUP(J616*7/WD,0))</f>
        <v>3</v>
      </c>
      <c r="L616" s="15" t="s">
        <v>3858</v>
      </c>
      <c r="M616" s="34" t="n">
        <f aca="false">IF(K615=0,0,ROUNDUP((K615-ROUNDUP(DW_DRAW*7/WD,0))*LADDER,0)+ROUNDUP(DW_DRAW*7/WD,0))</f>
        <v>10</v>
      </c>
      <c r="N616" s="34" t="n">
        <f aca="false">IF(K616=0,0,FFLAG)</f>
        <v>2</v>
      </c>
      <c r="O616" s="15" t="s">
        <v>3860</v>
      </c>
      <c r="P616" s="16" t="n">
        <f aca="false">MAX(P615+M616,Q565,Q1676,Q1687)</f>
        <v>46511</v>
      </c>
      <c r="Q616" s="16" t="n">
        <f aca="false">MAX(P616+K616,Q615+N616)</f>
        <v>46514</v>
      </c>
      <c r="R616" s="16" t="n">
        <f aca="false">IF(K616&gt;0,Q616,0)</f>
        <v>46514</v>
      </c>
      <c r="S616" s="12"/>
    </row>
    <row r="617" customFormat="false" ht="15" hidden="false" customHeight="false" outlineLevel="0" collapsed="false">
      <c r="A617" s="15" t="s">
        <v>3861</v>
      </c>
      <c r="B617" s="15" t="s">
        <v>3854</v>
      </c>
      <c r="C617" s="15" t="s">
        <v>391</v>
      </c>
      <c r="D617" s="15" t="s">
        <v>1699</v>
      </c>
      <c r="E617" s="15" t="s">
        <v>1700</v>
      </c>
      <c r="F617" s="15" t="s">
        <v>3022</v>
      </c>
      <c r="G617" s="15" t="s">
        <v>3023</v>
      </c>
      <c r="H617" s="33" t="n">
        <f aca="false">Packages!$O$61</f>
        <v>38.0884809423306</v>
      </c>
      <c r="I617" s="15" t="s">
        <v>118</v>
      </c>
      <c r="J617" s="34" t="n">
        <f aca="false">MAX(1,ROUNDUP(Packages!$O$61/(R_SLAB*Fronts!$K$7),0))+SLAB_CURE</f>
        <v>7</v>
      </c>
      <c r="K617" s="34" t="n">
        <f aca="false">IF(J617=0,0,ROUNDUP(J617*7/WD,0))</f>
        <v>9</v>
      </c>
      <c r="L617" s="15" t="s">
        <v>3859</v>
      </c>
      <c r="M617" s="34" t="n">
        <f aca="false">ROUNDUP(K616*LADDER,0)</f>
        <v>1</v>
      </c>
      <c r="N617" s="34" t="n">
        <f aca="false">IF(K617=0,0,FFLAG)</f>
        <v>2</v>
      </c>
      <c r="O617" s="15"/>
      <c r="P617" s="16" t="n">
        <f aca="false">MAX(P616+M617)</f>
        <v>46512</v>
      </c>
      <c r="Q617" s="16" t="n">
        <f aca="false">MAX(P617+K617,Q616+N617)</f>
        <v>46521</v>
      </c>
      <c r="R617" s="16" t="n">
        <f aca="false">IF(K617&gt;0,Q617,0)</f>
        <v>46521</v>
      </c>
      <c r="S617" s="12"/>
    </row>
    <row r="618" customFormat="false" ht="15" hidden="false" customHeight="false" outlineLevel="0" collapsed="false">
      <c r="A618" s="15" t="s">
        <v>3862</v>
      </c>
      <c r="B618" s="15" t="s">
        <v>3854</v>
      </c>
      <c r="C618" s="15" t="s">
        <v>391</v>
      </c>
      <c r="D618" s="15" t="s">
        <v>1699</v>
      </c>
      <c r="E618" s="15" t="s">
        <v>1700</v>
      </c>
      <c r="F618" s="15" t="s">
        <v>3025</v>
      </c>
      <c r="G618" s="15" t="s">
        <v>3026</v>
      </c>
      <c r="H618" s="33" t="n">
        <f aca="false">Packages!$O$61</f>
        <v>38.0884809423306</v>
      </c>
      <c r="I618" s="15" t="s">
        <v>118</v>
      </c>
      <c r="J618" s="34" t="n">
        <f aca="false">MAX(1,ROUNDUP(Packages!$O$61/(IF(Packages!$N$61&gt;=PIPE_T1,R_PIPE_L,IF(Packages!$N$61&gt;=PIPE_T2,R_PIPE_M,R_PIPE_S))*Fronts!$L$7)+Packages!$M$61*FIT_D+IF(Packages!$G$61&lt;&gt;"Run",TIE_D,0),0))</f>
        <v>9</v>
      </c>
      <c r="K618" s="34" t="n">
        <f aca="false">IF(J618=0,0,ROUNDUP(J618*7/WD,0))</f>
        <v>11</v>
      </c>
      <c r="L618" s="15" t="s">
        <v>3861</v>
      </c>
      <c r="M618" s="34" t="n">
        <f aca="false">ROUNDUP(K617*LADDER,0)</f>
        <v>3</v>
      </c>
      <c r="N618" s="34" t="n">
        <f aca="false">IF(K618=0,0,FFLAG)</f>
        <v>2</v>
      </c>
      <c r="O618" s="15"/>
      <c r="P618" s="16" t="n">
        <f aca="false">MAX(P617+M618)</f>
        <v>46515</v>
      </c>
      <c r="Q618" s="16" t="n">
        <f aca="false">MAX(P618+K618,Q617+N618)</f>
        <v>46526</v>
      </c>
      <c r="R618" s="16" t="n">
        <f aca="false">IF(K618&gt;0,Q618,0)</f>
        <v>46526</v>
      </c>
      <c r="S618" s="12"/>
    </row>
    <row r="619" customFormat="false" ht="15" hidden="false" customHeight="false" outlineLevel="0" collapsed="false">
      <c r="A619" s="15" t="s">
        <v>3863</v>
      </c>
      <c r="B619" s="15" t="s">
        <v>3854</v>
      </c>
      <c r="C619" s="15" t="s">
        <v>391</v>
      </c>
      <c r="D619" s="15" t="s">
        <v>1699</v>
      </c>
      <c r="E619" s="15" t="s">
        <v>1700</v>
      </c>
      <c r="F619" s="15" t="s">
        <v>3028</v>
      </c>
      <c r="G619" s="15" t="s">
        <v>3029</v>
      </c>
      <c r="H619" s="33" t="n">
        <f aca="false">Packages!$O$61</f>
        <v>38.0884809423306</v>
      </c>
      <c r="I619" s="15" t="s">
        <v>118</v>
      </c>
      <c r="J619" s="34" t="n">
        <f aca="false">TEST_D+ROUNDUP(Packages!$O$61/R_TEST,0)</f>
        <v>3</v>
      </c>
      <c r="K619" s="34" t="n">
        <f aca="false">IF(J619=0,0,ROUNDUP(J619*7/WD,0))</f>
        <v>4</v>
      </c>
      <c r="L619" s="15" t="s">
        <v>3862</v>
      </c>
      <c r="M619" s="34" t="n">
        <f aca="false">ROUNDUP(K618*LADDER,0)</f>
        <v>4</v>
      </c>
      <c r="N619" s="34" t="n">
        <f aca="false">IF(K619=0,0,FFLAG)</f>
        <v>2</v>
      </c>
      <c r="O619" s="15"/>
      <c r="P619" s="16" t="n">
        <f aca="false">MAX(P618+M619)</f>
        <v>46519</v>
      </c>
      <c r="Q619" s="16" t="n">
        <f aca="false">MAX(P619+K619,Q618+N619)</f>
        <v>46528</v>
      </c>
      <c r="R619" s="12"/>
      <c r="S619" s="12"/>
    </row>
    <row r="620" customFormat="false" ht="15" hidden="false" customHeight="false" outlineLevel="0" collapsed="false">
      <c r="A620" s="15" t="s">
        <v>3864</v>
      </c>
      <c r="B620" s="15" t="s">
        <v>3854</v>
      </c>
      <c r="C620" s="15" t="s">
        <v>391</v>
      </c>
      <c r="D620" s="15" t="s">
        <v>1699</v>
      </c>
      <c r="E620" s="15" t="s">
        <v>1700</v>
      </c>
      <c r="F620" s="15" t="s">
        <v>3031</v>
      </c>
      <c r="G620" s="15" t="s">
        <v>3032</v>
      </c>
      <c r="H620" s="33" t="n">
        <f aca="false">Packages!$AB$61</f>
        <v>302.69690915332</v>
      </c>
      <c r="I620" s="15" t="s">
        <v>3019</v>
      </c>
      <c r="J620" s="34" t="n">
        <f aca="false">MAX(1,ROUNDUP(Packages!$AB$61/(R_BF*Fronts!$M$7),0))</f>
        <v>1</v>
      </c>
      <c r="K620" s="34" t="n">
        <f aca="false">IF(J620=0,0,ROUNDUP(J620*7/WD,0))</f>
        <v>2</v>
      </c>
      <c r="L620" s="15" t="s">
        <v>3863</v>
      </c>
      <c r="M620" s="34" t="n">
        <f aca="false">ROUNDUP(K619*LADDER,0)</f>
        <v>2</v>
      </c>
      <c r="N620" s="34" t="n">
        <f aca="false">IF(K620=0,0,FFLAG)</f>
        <v>2</v>
      </c>
      <c r="O620" s="15"/>
      <c r="P620" s="16" t="n">
        <f aca="false">MAX(P619+M620)</f>
        <v>46521</v>
      </c>
      <c r="Q620" s="16" t="n">
        <f aca="false">MAX(P620+K620,Q619+N620)</f>
        <v>46530</v>
      </c>
      <c r="R620" s="16" t="n">
        <f aca="false">IF(K620&gt;0,Q620,0)</f>
        <v>46530</v>
      </c>
      <c r="S620" s="12"/>
    </row>
    <row r="621" customFormat="false" ht="15" hidden="false" customHeight="false" outlineLevel="0" collapsed="false">
      <c r="A621" s="15" t="s">
        <v>3865</v>
      </c>
      <c r="B621" s="15" t="s">
        <v>3854</v>
      </c>
      <c r="C621" s="15" t="s">
        <v>391</v>
      </c>
      <c r="D621" s="15" t="s">
        <v>1699</v>
      </c>
      <c r="E621" s="15" t="s">
        <v>1700</v>
      </c>
      <c r="F621" s="15" t="s">
        <v>3034</v>
      </c>
      <c r="G621" s="15" t="s">
        <v>3035</v>
      </c>
      <c r="H621" s="33" t="n">
        <f aca="false">Packages!$AD$61</f>
        <v>56.0750000003391</v>
      </c>
      <c r="I621" s="15" t="s">
        <v>3012</v>
      </c>
      <c r="J621" s="34" t="n">
        <f aca="false">IF(Packages!$AD$61&gt;0,ROUNDUP(Packages!$AD$61/R_EXT,0),0)+IF(Packages!$AG$61&gt;0,1,0)</f>
        <v>3</v>
      </c>
      <c r="K621" s="34" t="n">
        <f aca="false">IF(J621=0,0,ROUNDUP(J621*7/WD,0))</f>
        <v>4</v>
      </c>
      <c r="L621" s="15" t="s">
        <v>3864</v>
      </c>
      <c r="M621" s="34" t="n">
        <f aca="false">ROUNDUP(K620*LADDER,0)</f>
        <v>1</v>
      </c>
      <c r="N621" s="34" t="n">
        <f aca="false">IF(K621=0,0,FFLAG)</f>
        <v>2</v>
      </c>
      <c r="O621" s="15"/>
      <c r="P621" s="16" t="n">
        <f aca="false">MAX(P620+M621)</f>
        <v>46522</v>
      </c>
      <c r="Q621" s="16" t="n">
        <f aca="false">MAX(P621+K621,Q620+N621)</f>
        <v>46532</v>
      </c>
      <c r="R621" s="12"/>
      <c r="S621" s="12"/>
    </row>
    <row r="622" customFormat="false" ht="15" hidden="false" customHeight="false" outlineLevel="0" collapsed="false">
      <c r="A622" s="15" t="s">
        <v>3866</v>
      </c>
      <c r="B622" s="15" t="s">
        <v>3867</v>
      </c>
      <c r="C622" s="15" t="s">
        <v>391</v>
      </c>
      <c r="D622" s="15" t="s">
        <v>1823</v>
      </c>
      <c r="E622" s="15" t="s">
        <v>1836</v>
      </c>
      <c r="F622" s="15" t="s">
        <v>2998</v>
      </c>
      <c r="G622" s="15" t="s">
        <v>2999</v>
      </c>
      <c r="H622" s="12"/>
      <c r="I622" s="12"/>
      <c r="J622" s="34" t="n">
        <f aca="false">0</f>
        <v>0</v>
      </c>
      <c r="K622" s="34" t="n">
        <f aca="false">IF(J622=0,0,ROUNDUP(J622*7/WD,0))</f>
        <v>0</v>
      </c>
      <c r="L622" s="12"/>
      <c r="M622" s="12"/>
      <c r="N622" s="12"/>
      <c r="O622" s="15" t="s">
        <v>3038</v>
      </c>
      <c r="P622" s="16" t="n">
        <f aca="false">MAX(START,D_DLU,Packages!$I$62,Packages!$K$62)</f>
        <v>46357</v>
      </c>
      <c r="Q622" s="16" t="n">
        <f aca="false">P622+K622</f>
        <v>46357</v>
      </c>
      <c r="R622" s="12"/>
      <c r="S622" s="12"/>
    </row>
    <row r="623" customFormat="false" ht="15" hidden="false" customHeight="false" outlineLevel="0" collapsed="false">
      <c r="A623" s="15" t="s">
        <v>3868</v>
      </c>
      <c r="B623" s="15" t="s">
        <v>3867</v>
      </c>
      <c r="C623" s="15" t="s">
        <v>391</v>
      </c>
      <c r="D623" s="15" t="s">
        <v>1823</v>
      </c>
      <c r="E623" s="15" t="s">
        <v>1836</v>
      </c>
      <c r="F623" s="15" t="s">
        <v>3002</v>
      </c>
      <c r="G623" s="15" t="s">
        <v>205</v>
      </c>
      <c r="H623" s="33" t="n">
        <f aca="false">Packages!$O$62</f>
        <v>22.0645608888882</v>
      </c>
      <c r="I623" s="15" t="s">
        <v>118</v>
      </c>
      <c r="J623" s="34" t="n">
        <f aca="false">MAX(1,ROUNDUP(Packages!$O$62/R_PLAT,0))</f>
        <v>1</v>
      </c>
      <c r="K623" s="34" t="n">
        <f aca="false">IF(J623=0,0,ROUNDUP(J623*7/WD,0))</f>
        <v>2</v>
      </c>
      <c r="L623" s="15" t="s">
        <v>3866</v>
      </c>
      <c r="M623" s="12"/>
      <c r="N623" s="12"/>
      <c r="O623" s="15" t="s">
        <v>3003</v>
      </c>
      <c r="P623" s="16" t="n">
        <f aca="false">MAX(Q622)</f>
        <v>46357</v>
      </c>
      <c r="Q623" s="16" t="n">
        <f aca="false">P623+K623</f>
        <v>46359</v>
      </c>
      <c r="R623" s="12"/>
      <c r="S623" s="12"/>
    </row>
    <row r="624" customFormat="false" ht="15" hidden="false" customHeight="false" outlineLevel="0" collapsed="false">
      <c r="A624" s="15" t="s">
        <v>3869</v>
      </c>
      <c r="B624" s="15" t="s">
        <v>3867</v>
      </c>
      <c r="C624" s="15" t="s">
        <v>391</v>
      </c>
      <c r="D624" s="15" t="s">
        <v>1823</v>
      </c>
      <c r="E624" s="15" t="s">
        <v>1836</v>
      </c>
      <c r="F624" s="15" t="s">
        <v>3005</v>
      </c>
      <c r="G624" s="15" t="s">
        <v>3006</v>
      </c>
      <c r="H624" s="33" t="n">
        <f aca="false">Packages!$AC$62</f>
        <v>18</v>
      </c>
      <c r="I624" s="15" t="s">
        <v>3007</v>
      </c>
      <c r="J624" s="34" t="n">
        <f aca="false">IF(Packages!$AC$62=0,0,MAX(1,ROUNDUP(Packages!$AC$62/(R_PILE*Fronts!$H$7),0)))</f>
        <v>4</v>
      </c>
      <c r="K624" s="34" t="n">
        <f aca="false">IF(J624=0,0,ROUNDUP(J624*7/WD,0))</f>
        <v>5</v>
      </c>
      <c r="L624" s="15" t="s">
        <v>3868</v>
      </c>
      <c r="M624" s="34" t="n">
        <f aca="false">ROUNDUP(K623*LADDER,0)</f>
        <v>1</v>
      </c>
      <c r="N624" s="34" t="n">
        <f aca="false">IF(K624=0,0,FFLAG)</f>
        <v>2</v>
      </c>
      <c r="O624" s="15" t="s">
        <v>3008</v>
      </c>
      <c r="P624" s="16" t="n">
        <f aca="false">MAX(P623+M624,D_PILEDES)</f>
        <v>46358</v>
      </c>
      <c r="Q624" s="16" t="n">
        <f aca="false">MAX(P624+K624,Q623+N624)</f>
        <v>46363</v>
      </c>
      <c r="R624" s="16" t="n">
        <f aca="false">IF(K624&gt;0,Q624,0)</f>
        <v>46363</v>
      </c>
      <c r="S624" s="12"/>
    </row>
    <row r="625" customFormat="false" ht="15" hidden="false" customHeight="false" outlineLevel="0" collapsed="false">
      <c r="A625" s="15" t="s">
        <v>3870</v>
      </c>
      <c r="B625" s="15" t="s">
        <v>3867</v>
      </c>
      <c r="C625" s="15" t="s">
        <v>391</v>
      </c>
      <c r="D625" s="15" t="s">
        <v>1823</v>
      </c>
      <c r="E625" s="15" t="s">
        <v>1836</v>
      </c>
      <c r="F625" s="15" t="s">
        <v>3010</v>
      </c>
      <c r="G625" s="15" t="s">
        <v>3011</v>
      </c>
      <c r="H625" s="33" t="n">
        <f aca="false">Packages!$AD$62</f>
        <v>0</v>
      </c>
      <c r="I625" s="15" t="s">
        <v>3012</v>
      </c>
      <c r="J625" s="34" t="n">
        <f aca="false">IF(Packages!$AD$62=0,0,MAX(1,ROUNDUP(Packages!$AD$62/(R_SHEET*Fronts!$I$7),0)))</f>
        <v>0</v>
      </c>
      <c r="K625" s="34" t="n">
        <f aca="false">IF(J625=0,0,ROUNDUP(J625*7/WD,0))</f>
        <v>0</v>
      </c>
      <c r="L625" s="15" t="s">
        <v>3869</v>
      </c>
      <c r="M625" s="34" t="n">
        <f aca="false">ROUNDUP(K624*LADDER,0)</f>
        <v>2</v>
      </c>
      <c r="N625" s="34" t="n">
        <f aca="false">IF(K625=0,0,FFLAG)</f>
        <v>0</v>
      </c>
      <c r="O625" s="15"/>
      <c r="P625" s="16" t="n">
        <f aca="false">MAX(P624+M625)</f>
        <v>46360</v>
      </c>
      <c r="Q625" s="16" t="n">
        <f aca="false">MAX(P625+K625,Q624+N625)</f>
        <v>46363</v>
      </c>
      <c r="R625" s="16" t="n">
        <f aca="false">IF(K625&gt;0,Q625,0)</f>
        <v>0</v>
      </c>
      <c r="S625" s="12"/>
    </row>
    <row r="626" customFormat="false" ht="15" hidden="false" customHeight="false" outlineLevel="0" collapsed="false">
      <c r="A626" s="15" t="s">
        <v>3871</v>
      </c>
      <c r="B626" s="15" t="s">
        <v>3867</v>
      </c>
      <c r="C626" s="15" t="s">
        <v>391</v>
      </c>
      <c r="D626" s="15" t="s">
        <v>1823</v>
      </c>
      <c r="E626" s="15" t="s">
        <v>1836</v>
      </c>
      <c r="F626" s="15" t="s">
        <v>3014</v>
      </c>
      <c r="G626" s="15" t="s">
        <v>3015</v>
      </c>
      <c r="H626" s="33" t="n">
        <f aca="false">Packages!$O$62</f>
        <v>22.0645608888882</v>
      </c>
      <c r="I626" s="15" t="s">
        <v>118</v>
      </c>
      <c r="J626" s="34" t="n">
        <f aca="false">IF(Packages!$AG$62=0,0,ROUNDUP(Packages!$O$62/R_DW,0)+DW_DRAW)</f>
        <v>8</v>
      </c>
      <c r="K626" s="34" t="n">
        <f aca="false">IF(J626=0,0,ROUNDUP(J626*7/WD,0))</f>
        <v>10</v>
      </c>
      <c r="L626" s="15" t="s">
        <v>3870</v>
      </c>
      <c r="M626" s="34" t="n">
        <f aca="false">ROUNDUP(K625*LADDER,0)</f>
        <v>0</v>
      </c>
      <c r="N626" s="34" t="n">
        <f aca="false">IF(K626=0,0,FFLAG)</f>
        <v>2</v>
      </c>
      <c r="O626" s="15"/>
      <c r="P626" s="16" t="n">
        <f aca="false">MAX(P625+M626)</f>
        <v>46360</v>
      </c>
      <c r="Q626" s="16" t="n">
        <f aca="false">MAX(P626+K626,Q625+N626)</f>
        <v>46370</v>
      </c>
      <c r="R626" s="12"/>
      <c r="S626" s="12"/>
    </row>
    <row r="627" customFormat="false" ht="15" hidden="false" customHeight="false" outlineLevel="0" collapsed="false">
      <c r="A627" s="15" t="s">
        <v>3872</v>
      </c>
      <c r="B627" s="15" t="s">
        <v>3867</v>
      </c>
      <c r="C627" s="15" t="s">
        <v>391</v>
      </c>
      <c r="D627" s="15" t="s">
        <v>1823</v>
      </c>
      <c r="E627" s="15" t="s">
        <v>1836</v>
      </c>
      <c r="F627" s="15" t="s">
        <v>3017</v>
      </c>
      <c r="G627" s="15" t="s">
        <v>3018</v>
      </c>
      <c r="H627" s="33" t="n">
        <f aca="false">Packages!$X$62+Packages!$Y$62</f>
        <v>735.63192546307</v>
      </c>
      <c r="I627" s="15" t="s">
        <v>3019</v>
      </c>
      <c r="J627" s="34" t="n">
        <f aca="false">MAX(1,ROUNDUP((Packages!$X$62/R_EXS+Packages!$Y$62/R_EXO)/Fronts!$J$7,0))</f>
        <v>2</v>
      </c>
      <c r="K627" s="34" t="n">
        <f aca="false">IF(J627=0,0,ROUNDUP(J627*7/WD,0))</f>
        <v>3</v>
      </c>
      <c r="L627" s="15" t="s">
        <v>3871</v>
      </c>
      <c r="M627" s="34" t="n">
        <f aca="false">IF(K626=0,0,ROUNDUP((K626-ROUNDUP(DW_DRAW*7/WD,0))*LADDER,0)+ROUNDUP(DW_DRAW*7/WD,0))</f>
        <v>10</v>
      </c>
      <c r="N627" s="34" t="n">
        <f aca="false">IF(K627=0,0,FFLAG)</f>
        <v>2</v>
      </c>
      <c r="O627" s="15" t="s">
        <v>3873</v>
      </c>
      <c r="P627" s="16" t="n">
        <f aca="false">MAX(P626+M627,Q1929)</f>
        <v>46561</v>
      </c>
      <c r="Q627" s="16" t="n">
        <f aca="false">MAX(P627+K627,Q626+N627)</f>
        <v>46564</v>
      </c>
      <c r="R627" s="16" t="n">
        <f aca="false">IF(K627&gt;0,Q627,0)</f>
        <v>46564</v>
      </c>
      <c r="S627" s="12"/>
    </row>
    <row r="628" customFormat="false" ht="15" hidden="false" customHeight="false" outlineLevel="0" collapsed="false">
      <c r="A628" s="15" t="s">
        <v>3874</v>
      </c>
      <c r="B628" s="15" t="s">
        <v>3867</v>
      </c>
      <c r="C628" s="15" t="s">
        <v>391</v>
      </c>
      <c r="D628" s="15" t="s">
        <v>1823</v>
      </c>
      <c r="E628" s="15" t="s">
        <v>1836</v>
      </c>
      <c r="F628" s="15" t="s">
        <v>3022</v>
      </c>
      <c r="G628" s="15" t="s">
        <v>3023</v>
      </c>
      <c r="H628" s="33" t="n">
        <f aca="false">Packages!$O$62</f>
        <v>22.0645608888882</v>
      </c>
      <c r="I628" s="15" t="s">
        <v>118</v>
      </c>
      <c r="J628" s="34" t="n">
        <f aca="false">MAX(1,ROUNDUP(Packages!$O$62/(R_SLAB*Fronts!$K$7),0))+SLAB_CURE</f>
        <v>5</v>
      </c>
      <c r="K628" s="34" t="n">
        <f aca="false">IF(J628=0,0,ROUNDUP(J628*7/WD,0))</f>
        <v>6</v>
      </c>
      <c r="L628" s="15" t="s">
        <v>3872</v>
      </c>
      <c r="M628" s="34" t="n">
        <f aca="false">ROUNDUP(K627*LADDER,0)</f>
        <v>1</v>
      </c>
      <c r="N628" s="34" t="n">
        <f aca="false">IF(K628=0,0,FFLAG)</f>
        <v>2</v>
      </c>
      <c r="O628" s="15"/>
      <c r="P628" s="16" t="n">
        <f aca="false">MAX(P627+M628)</f>
        <v>46562</v>
      </c>
      <c r="Q628" s="16" t="n">
        <f aca="false">MAX(P628+K628,Q627+N628)</f>
        <v>46568</v>
      </c>
      <c r="R628" s="16" t="n">
        <f aca="false">IF(K628&gt;0,Q628,0)</f>
        <v>46568</v>
      </c>
      <c r="S628" s="12"/>
    </row>
    <row r="629" customFormat="false" ht="15" hidden="false" customHeight="false" outlineLevel="0" collapsed="false">
      <c r="A629" s="15" t="s">
        <v>3875</v>
      </c>
      <c r="B629" s="15" t="s">
        <v>3867</v>
      </c>
      <c r="C629" s="15" t="s">
        <v>391</v>
      </c>
      <c r="D629" s="15" t="s">
        <v>1823</v>
      </c>
      <c r="E629" s="15" t="s">
        <v>1836</v>
      </c>
      <c r="F629" s="15" t="s">
        <v>3025</v>
      </c>
      <c r="G629" s="15" t="s">
        <v>3026</v>
      </c>
      <c r="H629" s="33" t="n">
        <f aca="false">Packages!$O$62</f>
        <v>22.0645608888882</v>
      </c>
      <c r="I629" s="15" t="s">
        <v>118</v>
      </c>
      <c r="J629" s="34" t="n">
        <f aca="false">MAX(1,ROUNDUP(Packages!$O$62/(IF(Packages!$N$62&gt;=PIPE_T1,R_PIPE_L,IF(Packages!$N$62&gt;=PIPE_T2,R_PIPE_M,R_PIPE_S))*Fronts!$L$7)+Packages!$M$62*FIT_D+IF(Packages!$G$62&lt;&gt;"Run",TIE_D,0),0))</f>
        <v>4</v>
      </c>
      <c r="K629" s="34" t="n">
        <f aca="false">IF(J629=0,0,ROUNDUP(J629*7/WD,0))</f>
        <v>5</v>
      </c>
      <c r="L629" s="15" t="s">
        <v>3874</v>
      </c>
      <c r="M629" s="34" t="n">
        <f aca="false">ROUNDUP(K628*LADDER,0)</f>
        <v>2</v>
      </c>
      <c r="N629" s="34" t="n">
        <f aca="false">IF(K629=0,0,FFLAG)</f>
        <v>2</v>
      </c>
      <c r="O629" s="15"/>
      <c r="P629" s="16" t="n">
        <f aca="false">MAX(P628+M629)</f>
        <v>46564</v>
      </c>
      <c r="Q629" s="16" t="n">
        <f aca="false">MAX(P629+K629,Q628+N629)</f>
        <v>46570</v>
      </c>
      <c r="R629" s="16" t="n">
        <f aca="false">IF(K629&gt;0,Q629,0)</f>
        <v>46570</v>
      </c>
      <c r="S629" s="12"/>
    </row>
    <row r="630" customFormat="false" ht="15" hidden="false" customHeight="false" outlineLevel="0" collapsed="false">
      <c r="A630" s="15" t="s">
        <v>3876</v>
      </c>
      <c r="B630" s="15" t="s">
        <v>3867</v>
      </c>
      <c r="C630" s="15" t="s">
        <v>391</v>
      </c>
      <c r="D630" s="15" t="s">
        <v>1823</v>
      </c>
      <c r="E630" s="15" t="s">
        <v>1836</v>
      </c>
      <c r="F630" s="15" t="s">
        <v>3028</v>
      </c>
      <c r="G630" s="15" t="s">
        <v>3029</v>
      </c>
      <c r="H630" s="33" t="n">
        <f aca="false">Packages!$O$62</f>
        <v>22.0645608888882</v>
      </c>
      <c r="I630" s="15" t="s">
        <v>118</v>
      </c>
      <c r="J630" s="34" t="n">
        <f aca="false">TEST_D+ROUNDUP(Packages!$O$62/R_TEST,0)</f>
        <v>3</v>
      </c>
      <c r="K630" s="34" t="n">
        <f aca="false">IF(J630=0,0,ROUNDUP(J630*7/WD,0))</f>
        <v>4</v>
      </c>
      <c r="L630" s="15" t="s">
        <v>3875</v>
      </c>
      <c r="M630" s="34" t="n">
        <f aca="false">ROUNDUP(K629*LADDER,0)</f>
        <v>2</v>
      </c>
      <c r="N630" s="34" t="n">
        <f aca="false">IF(K630=0,0,FFLAG)</f>
        <v>2</v>
      </c>
      <c r="O630" s="15"/>
      <c r="P630" s="16" t="n">
        <f aca="false">MAX(P629+M630)</f>
        <v>46566</v>
      </c>
      <c r="Q630" s="16" t="n">
        <f aca="false">MAX(P630+K630,Q629+N630)</f>
        <v>46572</v>
      </c>
      <c r="R630" s="12"/>
      <c r="S630" s="12"/>
    </row>
    <row r="631" customFormat="false" ht="15" hidden="false" customHeight="false" outlineLevel="0" collapsed="false">
      <c r="A631" s="15" t="s">
        <v>3877</v>
      </c>
      <c r="B631" s="15" t="s">
        <v>3867</v>
      </c>
      <c r="C631" s="15" t="s">
        <v>391</v>
      </c>
      <c r="D631" s="15" t="s">
        <v>1823</v>
      </c>
      <c r="E631" s="15" t="s">
        <v>1836</v>
      </c>
      <c r="F631" s="15" t="s">
        <v>3031</v>
      </c>
      <c r="G631" s="15" t="s">
        <v>3032</v>
      </c>
      <c r="H631" s="33" t="n">
        <f aca="false">Packages!$AB$62</f>
        <v>662.584702052164</v>
      </c>
      <c r="I631" s="15" t="s">
        <v>3019</v>
      </c>
      <c r="J631" s="34" t="n">
        <f aca="false">MAX(1,ROUNDUP(Packages!$AB$62/(R_BF*Fronts!$M$7),0))</f>
        <v>2</v>
      </c>
      <c r="K631" s="34" t="n">
        <f aca="false">IF(J631=0,0,ROUNDUP(J631*7/WD,0))</f>
        <v>3</v>
      </c>
      <c r="L631" s="15" t="s">
        <v>3876</v>
      </c>
      <c r="M631" s="34" t="n">
        <f aca="false">ROUNDUP(K630*LADDER,0)</f>
        <v>2</v>
      </c>
      <c r="N631" s="34" t="n">
        <f aca="false">IF(K631=0,0,FFLAG)</f>
        <v>2</v>
      </c>
      <c r="O631" s="15"/>
      <c r="P631" s="16" t="n">
        <f aca="false">MAX(P630+M631)</f>
        <v>46568</v>
      </c>
      <c r="Q631" s="16" t="n">
        <f aca="false">MAX(P631+K631,Q630+N631)</f>
        <v>46574</v>
      </c>
      <c r="R631" s="16" t="n">
        <f aca="false">IF(K631&gt;0,Q631,0)</f>
        <v>46574</v>
      </c>
      <c r="S631" s="12"/>
    </row>
    <row r="632" customFormat="false" ht="15" hidden="false" customHeight="false" outlineLevel="0" collapsed="false">
      <c r="A632" s="15" t="s">
        <v>3878</v>
      </c>
      <c r="B632" s="15" t="s">
        <v>3867</v>
      </c>
      <c r="C632" s="15" t="s">
        <v>391</v>
      </c>
      <c r="D632" s="15" t="s">
        <v>1823</v>
      </c>
      <c r="E632" s="15" t="s">
        <v>1836</v>
      </c>
      <c r="F632" s="15" t="s">
        <v>3034</v>
      </c>
      <c r="G632" s="15" t="s">
        <v>3035</v>
      </c>
      <c r="H632" s="33" t="n">
        <f aca="false">Packages!$AD$62</f>
        <v>0</v>
      </c>
      <c r="I632" s="15" t="s">
        <v>3012</v>
      </c>
      <c r="J632" s="34" t="n">
        <f aca="false">IF(Packages!$AD$62&gt;0,ROUNDUP(Packages!$AD$62/R_EXT,0),0)+IF(Packages!$AG$62&gt;0,1,0)</f>
        <v>1</v>
      </c>
      <c r="K632" s="34" t="n">
        <f aca="false">IF(J632=0,0,ROUNDUP(J632*7/WD,0))</f>
        <v>2</v>
      </c>
      <c r="L632" s="15" t="s">
        <v>3877</v>
      </c>
      <c r="M632" s="34" t="n">
        <f aca="false">ROUNDUP(K631*LADDER,0)</f>
        <v>1</v>
      </c>
      <c r="N632" s="34" t="n">
        <f aca="false">IF(K632=0,0,FFLAG)</f>
        <v>2</v>
      </c>
      <c r="O632" s="15"/>
      <c r="P632" s="16" t="n">
        <f aca="false">MAX(P631+M632)</f>
        <v>46569</v>
      </c>
      <c r="Q632" s="16" t="n">
        <f aca="false">MAX(P632+K632,Q631+N632)</f>
        <v>46576</v>
      </c>
      <c r="R632" s="12"/>
      <c r="S632" s="12"/>
    </row>
    <row r="633" customFormat="false" ht="15" hidden="false" customHeight="false" outlineLevel="0" collapsed="false">
      <c r="A633" s="15" t="s">
        <v>3879</v>
      </c>
      <c r="B633" s="15" t="s">
        <v>3880</v>
      </c>
      <c r="C633" s="15" t="s">
        <v>391</v>
      </c>
      <c r="D633" s="15" t="s">
        <v>1823</v>
      </c>
      <c r="E633" s="15" t="s">
        <v>1824</v>
      </c>
      <c r="F633" s="15" t="s">
        <v>2998</v>
      </c>
      <c r="G633" s="15" t="s">
        <v>2999</v>
      </c>
      <c r="H633" s="12"/>
      <c r="I633" s="12"/>
      <c r="J633" s="34" t="n">
        <f aca="false">0</f>
        <v>0</v>
      </c>
      <c r="K633" s="34" t="n">
        <f aca="false">IF(J633=0,0,ROUNDUP(J633*7/WD,0))</f>
        <v>0</v>
      </c>
      <c r="L633" s="12"/>
      <c r="M633" s="12"/>
      <c r="N633" s="12"/>
      <c r="O633" s="15" t="s">
        <v>3038</v>
      </c>
      <c r="P633" s="16" t="n">
        <f aca="false">MAX(START,D_DLU,Packages!$I$63,Packages!$K$63)</f>
        <v>46357</v>
      </c>
      <c r="Q633" s="16" t="n">
        <f aca="false">P633+K633</f>
        <v>46357</v>
      </c>
      <c r="R633" s="12"/>
      <c r="S633" s="12"/>
    </row>
    <row r="634" customFormat="false" ht="15" hidden="false" customHeight="false" outlineLevel="0" collapsed="false">
      <c r="A634" s="15" t="s">
        <v>3881</v>
      </c>
      <c r="B634" s="15" t="s">
        <v>3880</v>
      </c>
      <c r="C634" s="15" t="s">
        <v>391</v>
      </c>
      <c r="D634" s="15" t="s">
        <v>1823</v>
      </c>
      <c r="E634" s="15" t="s">
        <v>1824</v>
      </c>
      <c r="F634" s="15" t="s">
        <v>3002</v>
      </c>
      <c r="G634" s="15" t="s">
        <v>205</v>
      </c>
      <c r="H634" s="33" t="n">
        <f aca="false">Packages!$O$63</f>
        <v>15.9999999994304</v>
      </c>
      <c r="I634" s="15" t="s">
        <v>118</v>
      </c>
      <c r="J634" s="34" t="n">
        <f aca="false">MAX(1,ROUNDUP(Packages!$O$63/R_PLAT,0))</f>
        <v>1</v>
      </c>
      <c r="K634" s="34" t="n">
        <f aca="false">IF(J634=0,0,ROUNDUP(J634*7/WD,0))</f>
        <v>2</v>
      </c>
      <c r="L634" s="15" t="s">
        <v>3879</v>
      </c>
      <c r="M634" s="12"/>
      <c r="N634" s="12"/>
      <c r="O634" s="15" t="s">
        <v>3003</v>
      </c>
      <c r="P634" s="16" t="n">
        <f aca="false">MAX(Q633)</f>
        <v>46357</v>
      </c>
      <c r="Q634" s="16" t="n">
        <f aca="false">P634+K634</f>
        <v>46359</v>
      </c>
      <c r="R634" s="12"/>
      <c r="S634" s="12"/>
    </row>
    <row r="635" customFormat="false" ht="15" hidden="false" customHeight="false" outlineLevel="0" collapsed="false">
      <c r="A635" s="15" t="s">
        <v>3882</v>
      </c>
      <c r="B635" s="15" t="s">
        <v>3880</v>
      </c>
      <c r="C635" s="15" t="s">
        <v>391</v>
      </c>
      <c r="D635" s="15" t="s">
        <v>1823</v>
      </c>
      <c r="E635" s="15" t="s">
        <v>1824</v>
      </c>
      <c r="F635" s="15" t="s">
        <v>3005</v>
      </c>
      <c r="G635" s="15" t="s">
        <v>3006</v>
      </c>
      <c r="H635" s="33" t="n">
        <f aca="false">Packages!$AC$63</f>
        <v>14</v>
      </c>
      <c r="I635" s="15" t="s">
        <v>3007</v>
      </c>
      <c r="J635" s="34" t="n">
        <f aca="false">IF(Packages!$AC$63=0,0,MAX(1,ROUNDUP(Packages!$AC$63/(R_PILE*Fronts!$H$7),0)))</f>
        <v>3</v>
      </c>
      <c r="K635" s="34" t="n">
        <f aca="false">IF(J635=0,0,ROUNDUP(J635*7/WD,0))</f>
        <v>4</v>
      </c>
      <c r="L635" s="15" t="s">
        <v>3881</v>
      </c>
      <c r="M635" s="34" t="n">
        <f aca="false">ROUNDUP(K634*LADDER,0)</f>
        <v>1</v>
      </c>
      <c r="N635" s="34" t="n">
        <f aca="false">IF(K635=0,0,FFLAG)</f>
        <v>2</v>
      </c>
      <c r="O635" s="15" t="s">
        <v>3008</v>
      </c>
      <c r="P635" s="16" t="n">
        <f aca="false">MAX(P634+M635,D_PILEDES)</f>
        <v>46358</v>
      </c>
      <c r="Q635" s="16" t="n">
        <f aca="false">MAX(P635+K635,Q634+N635)</f>
        <v>46362</v>
      </c>
      <c r="R635" s="16" t="n">
        <f aca="false">IF(K635&gt;0,Q635,0)</f>
        <v>46362</v>
      </c>
      <c r="S635" s="12"/>
    </row>
    <row r="636" customFormat="false" ht="15" hidden="false" customHeight="false" outlineLevel="0" collapsed="false">
      <c r="A636" s="15" t="s">
        <v>3883</v>
      </c>
      <c r="B636" s="15" t="s">
        <v>3880</v>
      </c>
      <c r="C636" s="15" t="s">
        <v>391</v>
      </c>
      <c r="D636" s="15" t="s">
        <v>1823</v>
      </c>
      <c r="E636" s="15" t="s">
        <v>1824</v>
      </c>
      <c r="F636" s="15" t="s">
        <v>3010</v>
      </c>
      <c r="G636" s="15" t="s">
        <v>3011</v>
      </c>
      <c r="H636" s="33" t="n">
        <f aca="false">Packages!$AD$63</f>
        <v>0.242881775262879</v>
      </c>
      <c r="I636" s="15" t="s">
        <v>3012</v>
      </c>
      <c r="J636" s="34" t="n">
        <f aca="false">IF(Packages!$AD$63=0,0,MAX(1,ROUNDUP(Packages!$AD$63/(R_SHEET*Fronts!$I$7),0)))</f>
        <v>1</v>
      </c>
      <c r="K636" s="34" t="n">
        <f aca="false">IF(J636=0,0,ROUNDUP(J636*7/WD,0))</f>
        <v>2</v>
      </c>
      <c r="L636" s="15" t="s">
        <v>3882</v>
      </c>
      <c r="M636" s="34" t="n">
        <f aca="false">ROUNDUP(K635*LADDER,0)</f>
        <v>2</v>
      </c>
      <c r="N636" s="34" t="n">
        <f aca="false">IF(K636=0,0,FFLAG)</f>
        <v>2</v>
      </c>
      <c r="O636" s="15"/>
      <c r="P636" s="16" t="n">
        <f aca="false">MAX(P635+M636)</f>
        <v>46360</v>
      </c>
      <c r="Q636" s="16" t="n">
        <f aca="false">MAX(P636+K636,Q635+N636)</f>
        <v>46364</v>
      </c>
      <c r="R636" s="16" t="n">
        <f aca="false">IF(K636&gt;0,Q636,0)</f>
        <v>46364</v>
      </c>
      <c r="S636" s="12"/>
    </row>
    <row r="637" customFormat="false" ht="15" hidden="false" customHeight="false" outlineLevel="0" collapsed="false">
      <c r="A637" s="15" t="s">
        <v>3884</v>
      </c>
      <c r="B637" s="15" t="s">
        <v>3880</v>
      </c>
      <c r="C637" s="15" t="s">
        <v>391</v>
      </c>
      <c r="D637" s="15" t="s">
        <v>1823</v>
      </c>
      <c r="E637" s="15" t="s">
        <v>1824</v>
      </c>
      <c r="F637" s="15" t="s">
        <v>3014</v>
      </c>
      <c r="G637" s="15" t="s">
        <v>3015</v>
      </c>
      <c r="H637" s="33" t="n">
        <f aca="false">Packages!$O$63</f>
        <v>15.9999999994304</v>
      </c>
      <c r="I637" s="15" t="s">
        <v>118</v>
      </c>
      <c r="J637" s="34" t="n">
        <f aca="false">IF(Packages!$AG$63=0,0,ROUNDUP(Packages!$O$63/R_DW,0)+DW_DRAW)</f>
        <v>8</v>
      </c>
      <c r="K637" s="34" t="n">
        <f aca="false">IF(J637=0,0,ROUNDUP(J637*7/WD,0))</f>
        <v>10</v>
      </c>
      <c r="L637" s="15" t="s">
        <v>3883</v>
      </c>
      <c r="M637" s="34" t="n">
        <f aca="false">ROUNDUP(K636*LADDER,0)</f>
        <v>1</v>
      </c>
      <c r="N637" s="34" t="n">
        <f aca="false">IF(K637=0,0,FFLAG)</f>
        <v>2</v>
      </c>
      <c r="O637" s="15"/>
      <c r="P637" s="16" t="n">
        <f aca="false">MAX(P636+M637)</f>
        <v>46361</v>
      </c>
      <c r="Q637" s="16" t="n">
        <f aca="false">MAX(P637+K637,Q636+N637)</f>
        <v>46371</v>
      </c>
      <c r="R637" s="12"/>
      <c r="S637" s="12"/>
    </row>
    <row r="638" customFormat="false" ht="15" hidden="false" customHeight="false" outlineLevel="0" collapsed="false">
      <c r="A638" s="15" t="s">
        <v>3885</v>
      </c>
      <c r="B638" s="15" t="s">
        <v>3880</v>
      </c>
      <c r="C638" s="15" t="s">
        <v>391</v>
      </c>
      <c r="D638" s="15" t="s">
        <v>1823</v>
      </c>
      <c r="E638" s="15" t="s">
        <v>1824</v>
      </c>
      <c r="F638" s="15" t="s">
        <v>3017</v>
      </c>
      <c r="G638" s="15" t="s">
        <v>3018</v>
      </c>
      <c r="H638" s="33" t="n">
        <f aca="false">Packages!$X$63+Packages!$Y$63</f>
        <v>261.061799688177</v>
      </c>
      <c r="I638" s="15" t="s">
        <v>3019</v>
      </c>
      <c r="J638" s="34" t="n">
        <f aca="false">MAX(1,ROUNDUP((Packages!$X$63/R_EXS+Packages!$Y$63/R_EXO)/Fronts!$J$7,0))</f>
        <v>1</v>
      </c>
      <c r="K638" s="34" t="n">
        <f aca="false">IF(J638=0,0,ROUNDUP(J638*7/WD,0))</f>
        <v>2</v>
      </c>
      <c r="L638" s="15" t="s">
        <v>3884</v>
      </c>
      <c r="M638" s="34" t="n">
        <f aca="false">IF(K637=0,0,ROUNDUP((K637-ROUNDUP(DW_DRAW*7/WD,0))*LADDER,0)+ROUNDUP(DW_DRAW*7/WD,0))</f>
        <v>10</v>
      </c>
      <c r="N638" s="34" t="n">
        <f aca="false">IF(K638=0,0,FFLAG)</f>
        <v>2</v>
      </c>
      <c r="O638" s="15" t="s">
        <v>3886</v>
      </c>
      <c r="P638" s="16" t="n">
        <f aca="false">MAX(P637+M638,Q1841,Q1742)</f>
        <v>46566</v>
      </c>
      <c r="Q638" s="16" t="n">
        <f aca="false">MAX(P638+K638,Q637+N638)</f>
        <v>46568</v>
      </c>
      <c r="R638" s="16" t="n">
        <f aca="false">IF(K638&gt;0,Q638,0)</f>
        <v>46568</v>
      </c>
      <c r="S638" s="12"/>
    </row>
    <row r="639" customFormat="false" ht="15" hidden="false" customHeight="false" outlineLevel="0" collapsed="false">
      <c r="A639" s="15" t="s">
        <v>3887</v>
      </c>
      <c r="B639" s="15" t="s">
        <v>3880</v>
      </c>
      <c r="C639" s="15" t="s">
        <v>391</v>
      </c>
      <c r="D639" s="15" t="s">
        <v>1823</v>
      </c>
      <c r="E639" s="15" t="s">
        <v>1824</v>
      </c>
      <c r="F639" s="15" t="s">
        <v>3022</v>
      </c>
      <c r="G639" s="15" t="s">
        <v>3023</v>
      </c>
      <c r="H639" s="33" t="n">
        <f aca="false">Packages!$O$63</f>
        <v>15.9999999994304</v>
      </c>
      <c r="I639" s="15" t="s">
        <v>118</v>
      </c>
      <c r="J639" s="34" t="n">
        <f aca="false">MAX(1,ROUNDUP(Packages!$O$63/(R_SLAB*Fronts!$K$7),0))+SLAB_CURE</f>
        <v>5</v>
      </c>
      <c r="K639" s="34" t="n">
        <f aca="false">IF(J639=0,0,ROUNDUP(J639*7/WD,0))</f>
        <v>6</v>
      </c>
      <c r="L639" s="15" t="s">
        <v>3885</v>
      </c>
      <c r="M639" s="34" t="n">
        <f aca="false">ROUNDUP(K638*LADDER,0)</f>
        <v>1</v>
      </c>
      <c r="N639" s="34" t="n">
        <f aca="false">IF(K639=0,0,FFLAG)</f>
        <v>2</v>
      </c>
      <c r="O639" s="15"/>
      <c r="P639" s="16" t="n">
        <f aca="false">MAX(P638+M639)</f>
        <v>46567</v>
      </c>
      <c r="Q639" s="16" t="n">
        <f aca="false">MAX(P639+K639,Q638+N639)</f>
        <v>46573</v>
      </c>
      <c r="R639" s="16" t="n">
        <f aca="false">IF(K639&gt;0,Q639,0)</f>
        <v>46573</v>
      </c>
      <c r="S639" s="12"/>
    </row>
    <row r="640" customFormat="false" ht="15" hidden="false" customHeight="false" outlineLevel="0" collapsed="false">
      <c r="A640" s="15" t="s">
        <v>3888</v>
      </c>
      <c r="B640" s="15" t="s">
        <v>3880</v>
      </c>
      <c r="C640" s="15" t="s">
        <v>391</v>
      </c>
      <c r="D640" s="15" t="s">
        <v>1823</v>
      </c>
      <c r="E640" s="15" t="s">
        <v>1824</v>
      </c>
      <c r="F640" s="15" t="s">
        <v>3025</v>
      </c>
      <c r="G640" s="15" t="s">
        <v>3026</v>
      </c>
      <c r="H640" s="33" t="n">
        <f aca="false">Packages!$O$63</f>
        <v>15.9999999994304</v>
      </c>
      <c r="I640" s="15" t="s">
        <v>118</v>
      </c>
      <c r="J640" s="34" t="n">
        <f aca="false">MAX(1,ROUNDUP(Packages!$O$63/(IF(Packages!$N$63&gt;=PIPE_T1,R_PIPE_L,IF(Packages!$N$63&gt;=PIPE_T2,R_PIPE_M,R_PIPE_S))*Fronts!$L$7)+Packages!$M$63*FIT_D+IF(Packages!$G$63&lt;&gt;"Run",TIE_D,0),0))</f>
        <v>8</v>
      </c>
      <c r="K640" s="34" t="n">
        <f aca="false">IF(J640=0,0,ROUNDUP(J640*7/WD,0))</f>
        <v>10</v>
      </c>
      <c r="L640" s="15" t="s">
        <v>3887</v>
      </c>
      <c r="M640" s="34" t="n">
        <f aca="false">ROUNDUP(K639*LADDER,0)</f>
        <v>2</v>
      </c>
      <c r="N640" s="34" t="n">
        <f aca="false">IF(K640=0,0,FFLAG)</f>
        <v>2</v>
      </c>
      <c r="O640" s="15"/>
      <c r="P640" s="16" t="n">
        <f aca="false">MAX(P639+M640)</f>
        <v>46569</v>
      </c>
      <c r="Q640" s="16" t="n">
        <f aca="false">MAX(P640+K640,Q639+N640)</f>
        <v>46579</v>
      </c>
      <c r="R640" s="16" t="n">
        <f aca="false">IF(K640&gt;0,Q640,0)</f>
        <v>46579</v>
      </c>
      <c r="S640" s="12"/>
    </row>
    <row r="641" customFormat="false" ht="15" hidden="false" customHeight="false" outlineLevel="0" collapsed="false">
      <c r="A641" s="15" t="s">
        <v>3889</v>
      </c>
      <c r="B641" s="15" t="s">
        <v>3880</v>
      </c>
      <c r="C641" s="15" t="s">
        <v>391</v>
      </c>
      <c r="D641" s="15" t="s">
        <v>1823</v>
      </c>
      <c r="E641" s="15" t="s">
        <v>1824</v>
      </c>
      <c r="F641" s="15" t="s">
        <v>3028</v>
      </c>
      <c r="G641" s="15" t="s">
        <v>3029</v>
      </c>
      <c r="H641" s="33" t="n">
        <f aca="false">Packages!$O$63</f>
        <v>15.9999999994304</v>
      </c>
      <c r="I641" s="15" t="s">
        <v>118</v>
      </c>
      <c r="J641" s="34" t="n">
        <f aca="false">TEST_D+ROUNDUP(Packages!$O$63/R_TEST,0)</f>
        <v>3</v>
      </c>
      <c r="K641" s="34" t="n">
        <f aca="false">IF(J641=0,0,ROUNDUP(J641*7/WD,0))</f>
        <v>4</v>
      </c>
      <c r="L641" s="15" t="s">
        <v>3888</v>
      </c>
      <c r="M641" s="34" t="n">
        <f aca="false">ROUNDUP(K640*LADDER,0)</f>
        <v>3</v>
      </c>
      <c r="N641" s="34" t="n">
        <f aca="false">IF(K641=0,0,FFLAG)</f>
        <v>2</v>
      </c>
      <c r="O641" s="15"/>
      <c r="P641" s="16" t="n">
        <f aca="false">MAX(P640+M641)</f>
        <v>46572</v>
      </c>
      <c r="Q641" s="16" t="n">
        <f aca="false">MAX(P641+K641,Q640+N641)</f>
        <v>46581</v>
      </c>
      <c r="R641" s="12"/>
      <c r="S641" s="12"/>
    </row>
    <row r="642" customFormat="false" ht="15" hidden="false" customHeight="false" outlineLevel="0" collapsed="false">
      <c r="A642" s="15" t="s">
        <v>3890</v>
      </c>
      <c r="B642" s="15" t="s">
        <v>3880</v>
      </c>
      <c r="C642" s="15" t="s">
        <v>391</v>
      </c>
      <c r="D642" s="15" t="s">
        <v>1823</v>
      </c>
      <c r="E642" s="15" t="s">
        <v>1824</v>
      </c>
      <c r="F642" s="15" t="s">
        <v>3031</v>
      </c>
      <c r="G642" s="15" t="s">
        <v>3032</v>
      </c>
      <c r="H642" s="33" t="n">
        <f aca="false">Packages!$AB$63</f>
        <v>219.442344052447</v>
      </c>
      <c r="I642" s="15" t="s">
        <v>3019</v>
      </c>
      <c r="J642" s="34" t="n">
        <f aca="false">MAX(1,ROUNDUP(Packages!$AB$63/(R_BF*Fronts!$M$7),0))</f>
        <v>1</v>
      </c>
      <c r="K642" s="34" t="n">
        <f aca="false">IF(J642=0,0,ROUNDUP(J642*7/WD,0))</f>
        <v>2</v>
      </c>
      <c r="L642" s="15" t="s">
        <v>3889</v>
      </c>
      <c r="M642" s="34" t="n">
        <f aca="false">ROUNDUP(K641*LADDER,0)</f>
        <v>2</v>
      </c>
      <c r="N642" s="34" t="n">
        <f aca="false">IF(K642=0,0,FFLAG)</f>
        <v>2</v>
      </c>
      <c r="O642" s="15"/>
      <c r="P642" s="16" t="n">
        <f aca="false">MAX(P641+M642)</f>
        <v>46574</v>
      </c>
      <c r="Q642" s="16" t="n">
        <f aca="false">MAX(P642+K642,Q641+N642)</f>
        <v>46583</v>
      </c>
      <c r="R642" s="16" t="n">
        <f aca="false">IF(K642&gt;0,Q642,0)</f>
        <v>46583</v>
      </c>
      <c r="S642" s="12"/>
    </row>
    <row r="643" customFormat="false" ht="15" hidden="false" customHeight="false" outlineLevel="0" collapsed="false">
      <c r="A643" s="15" t="s">
        <v>3891</v>
      </c>
      <c r="B643" s="15" t="s">
        <v>3880</v>
      </c>
      <c r="C643" s="15" t="s">
        <v>391</v>
      </c>
      <c r="D643" s="15" t="s">
        <v>1823</v>
      </c>
      <c r="E643" s="15" t="s">
        <v>1824</v>
      </c>
      <c r="F643" s="15" t="s">
        <v>3034</v>
      </c>
      <c r="G643" s="15" t="s">
        <v>3035</v>
      </c>
      <c r="H643" s="33" t="n">
        <f aca="false">Packages!$AD$63</f>
        <v>0.242881775262879</v>
      </c>
      <c r="I643" s="15" t="s">
        <v>3012</v>
      </c>
      <c r="J643" s="34" t="n">
        <f aca="false">IF(Packages!$AD$63&gt;0,ROUNDUP(Packages!$AD$63/R_EXT,0),0)+IF(Packages!$AG$63&gt;0,1,0)</f>
        <v>2</v>
      </c>
      <c r="K643" s="34" t="n">
        <f aca="false">IF(J643=0,0,ROUNDUP(J643*7/WD,0))</f>
        <v>3</v>
      </c>
      <c r="L643" s="15" t="s">
        <v>3890</v>
      </c>
      <c r="M643" s="34" t="n">
        <f aca="false">ROUNDUP(K642*LADDER,0)</f>
        <v>1</v>
      </c>
      <c r="N643" s="34" t="n">
        <f aca="false">IF(K643=0,0,FFLAG)</f>
        <v>2</v>
      </c>
      <c r="O643" s="15"/>
      <c r="P643" s="16" t="n">
        <f aca="false">MAX(P642+M643)</f>
        <v>46575</v>
      </c>
      <c r="Q643" s="16" t="n">
        <f aca="false">MAX(P643+K643,Q642+N643)</f>
        <v>46585</v>
      </c>
      <c r="R643" s="12"/>
      <c r="S643" s="12"/>
    </row>
    <row r="644" customFormat="false" ht="15" hidden="false" customHeight="false" outlineLevel="0" collapsed="false">
      <c r="A644" s="15" t="s">
        <v>3892</v>
      </c>
      <c r="B644" s="15" t="s">
        <v>3893</v>
      </c>
      <c r="C644" s="15" t="s">
        <v>391</v>
      </c>
      <c r="D644" s="15" t="s">
        <v>1856</v>
      </c>
      <c r="E644" s="15" t="s">
        <v>1857</v>
      </c>
      <c r="F644" s="15" t="s">
        <v>2998</v>
      </c>
      <c r="G644" s="15" t="s">
        <v>2999</v>
      </c>
      <c r="H644" s="12"/>
      <c r="I644" s="12"/>
      <c r="J644" s="34" t="n">
        <f aca="false">0</f>
        <v>0</v>
      </c>
      <c r="K644" s="34" t="n">
        <f aca="false">IF(J644=0,0,ROUNDUP(J644*7/WD,0))</f>
        <v>0</v>
      </c>
      <c r="L644" s="12"/>
      <c r="M644" s="12"/>
      <c r="N644" s="12"/>
      <c r="O644" s="15" t="s">
        <v>3038</v>
      </c>
      <c r="P644" s="16" t="n">
        <f aca="false">MAX(START,D_DLU,Packages!$I$64,Packages!$K$64)</f>
        <v>46357</v>
      </c>
      <c r="Q644" s="16" t="n">
        <f aca="false">P644+K644</f>
        <v>46357</v>
      </c>
      <c r="R644" s="12"/>
      <c r="S644" s="12"/>
    </row>
    <row r="645" customFormat="false" ht="15" hidden="false" customHeight="false" outlineLevel="0" collapsed="false">
      <c r="A645" s="15" t="s">
        <v>3894</v>
      </c>
      <c r="B645" s="15" t="s">
        <v>3893</v>
      </c>
      <c r="C645" s="15" t="s">
        <v>391</v>
      </c>
      <c r="D645" s="15" t="s">
        <v>1856</v>
      </c>
      <c r="E645" s="15" t="s">
        <v>1857</v>
      </c>
      <c r="F645" s="15" t="s">
        <v>3002</v>
      </c>
      <c r="G645" s="15" t="s">
        <v>205</v>
      </c>
      <c r="H645" s="33" t="n">
        <f aca="false">Packages!$O$64</f>
        <v>38.1114855382193</v>
      </c>
      <c r="I645" s="15" t="s">
        <v>118</v>
      </c>
      <c r="J645" s="34" t="n">
        <f aca="false">MAX(1,ROUNDUP(Packages!$O$64/R_PLAT,0))</f>
        <v>1</v>
      </c>
      <c r="K645" s="34" t="n">
        <f aca="false">IF(J645=0,0,ROUNDUP(J645*7/WD,0))</f>
        <v>2</v>
      </c>
      <c r="L645" s="15" t="s">
        <v>3892</v>
      </c>
      <c r="M645" s="12"/>
      <c r="N645" s="12"/>
      <c r="O645" s="15" t="s">
        <v>3003</v>
      </c>
      <c r="P645" s="16" t="n">
        <f aca="false">MAX(Q644)</f>
        <v>46357</v>
      </c>
      <c r="Q645" s="16" t="n">
        <f aca="false">P645+K645</f>
        <v>46359</v>
      </c>
      <c r="R645" s="12"/>
      <c r="S645" s="12"/>
    </row>
    <row r="646" customFormat="false" ht="15" hidden="false" customHeight="false" outlineLevel="0" collapsed="false">
      <c r="A646" s="15" t="s">
        <v>3895</v>
      </c>
      <c r="B646" s="15" t="s">
        <v>3893</v>
      </c>
      <c r="C646" s="15" t="s">
        <v>391</v>
      </c>
      <c r="D646" s="15" t="s">
        <v>1856</v>
      </c>
      <c r="E646" s="15" t="s">
        <v>1857</v>
      </c>
      <c r="F646" s="15" t="s">
        <v>3005</v>
      </c>
      <c r="G646" s="15" t="s">
        <v>3006</v>
      </c>
      <c r="H646" s="33" t="n">
        <f aca="false">Packages!$AC$64</f>
        <v>28</v>
      </c>
      <c r="I646" s="15" t="s">
        <v>3007</v>
      </c>
      <c r="J646" s="34" t="n">
        <f aca="false">IF(Packages!$AC$64=0,0,MAX(1,ROUNDUP(Packages!$AC$64/(R_PILE*Fronts!$H$7),0)))</f>
        <v>6</v>
      </c>
      <c r="K646" s="34" t="n">
        <f aca="false">IF(J646=0,0,ROUNDUP(J646*7/WD,0))</f>
        <v>7</v>
      </c>
      <c r="L646" s="15" t="s">
        <v>3894</v>
      </c>
      <c r="M646" s="34" t="n">
        <f aca="false">ROUNDUP(K645*LADDER,0)</f>
        <v>1</v>
      </c>
      <c r="N646" s="34" t="n">
        <f aca="false">IF(K646=0,0,FFLAG)</f>
        <v>2</v>
      </c>
      <c r="O646" s="15" t="s">
        <v>3008</v>
      </c>
      <c r="P646" s="16" t="n">
        <f aca="false">MAX(P645+M646,D_PILEDES)</f>
        <v>46358</v>
      </c>
      <c r="Q646" s="16" t="n">
        <f aca="false">MAX(P646+K646,Q645+N646)</f>
        <v>46365</v>
      </c>
      <c r="R646" s="16" t="n">
        <f aca="false">IF(K646&gt;0,Q646,0)</f>
        <v>46365</v>
      </c>
      <c r="S646" s="12"/>
    </row>
    <row r="647" customFormat="false" ht="15" hidden="false" customHeight="false" outlineLevel="0" collapsed="false">
      <c r="A647" s="15" t="s">
        <v>3896</v>
      </c>
      <c r="B647" s="15" t="s">
        <v>3893</v>
      </c>
      <c r="C647" s="15" t="s">
        <v>391</v>
      </c>
      <c r="D647" s="15" t="s">
        <v>1856</v>
      </c>
      <c r="E647" s="15" t="s">
        <v>1857</v>
      </c>
      <c r="F647" s="15" t="s">
        <v>3010</v>
      </c>
      <c r="G647" s="15" t="s">
        <v>3011</v>
      </c>
      <c r="H647" s="33" t="n">
        <f aca="false">Packages!$AD$64</f>
        <v>0</v>
      </c>
      <c r="I647" s="15" t="s">
        <v>3012</v>
      </c>
      <c r="J647" s="34" t="n">
        <f aca="false">IF(Packages!$AD$64=0,0,MAX(1,ROUNDUP(Packages!$AD$64/(R_SHEET*Fronts!$I$7),0)))</f>
        <v>0</v>
      </c>
      <c r="K647" s="34" t="n">
        <f aca="false">IF(J647=0,0,ROUNDUP(J647*7/WD,0))</f>
        <v>0</v>
      </c>
      <c r="L647" s="15" t="s">
        <v>3895</v>
      </c>
      <c r="M647" s="34" t="n">
        <f aca="false">ROUNDUP(K646*LADDER,0)</f>
        <v>3</v>
      </c>
      <c r="N647" s="34" t="n">
        <f aca="false">IF(K647=0,0,FFLAG)</f>
        <v>0</v>
      </c>
      <c r="O647" s="15"/>
      <c r="P647" s="16" t="n">
        <f aca="false">MAX(P646+M647)</f>
        <v>46361</v>
      </c>
      <c r="Q647" s="16" t="n">
        <f aca="false">MAX(P647+K647,Q646+N647)</f>
        <v>46365</v>
      </c>
      <c r="R647" s="16" t="n">
        <f aca="false">IF(K647&gt;0,Q647,0)</f>
        <v>0</v>
      </c>
      <c r="S647" s="12"/>
    </row>
    <row r="648" customFormat="false" ht="15" hidden="false" customHeight="false" outlineLevel="0" collapsed="false">
      <c r="A648" s="15" t="s">
        <v>3897</v>
      </c>
      <c r="B648" s="15" t="s">
        <v>3893</v>
      </c>
      <c r="C648" s="15" t="s">
        <v>391</v>
      </c>
      <c r="D648" s="15" t="s">
        <v>1856</v>
      </c>
      <c r="E648" s="15" t="s">
        <v>1857</v>
      </c>
      <c r="F648" s="15" t="s">
        <v>3014</v>
      </c>
      <c r="G648" s="15" t="s">
        <v>3015</v>
      </c>
      <c r="H648" s="33" t="n">
        <f aca="false">Packages!$O$64</f>
        <v>38.1114855382193</v>
      </c>
      <c r="I648" s="15" t="s">
        <v>118</v>
      </c>
      <c r="J648" s="34" t="n">
        <f aca="false">IF(Packages!$AG$64=0,0,ROUNDUP(Packages!$O$64/R_DW,0)+DW_DRAW)</f>
        <v>8</v>
      </c>
      <c r="K648" s="34" t="n">
        <f aca="false">IF(J648=0,0,ROUNDUP(J648*7/WD,0))</f>
        <v>10</v>
      </c>
      <c r="L648" s="15" t="s">
        <v>3896</v>
      </c>
      <c r="M648" s="34" t="n">
        <f aca="false">ROUNDUP(K647*LADDER,0)</f>
        <v>0</v>
      </c>
      <c r="N648" s="34" t="n">
        <f aca="false">IF(K648=0,0,FFLAG)</f>
        <v>2</v>
      </c>
      <c r="O648" s="15"/>
      <c r="P648" s="16" t="n">
        <f aca="false">MAX(P647+M648)</f>
        <v>46361</v>
      </c>
      <c r="Q648" s="16" t="n">
        <f aca="false">MAX(P648+K648,Q647+N648)</f>
        <v>46371</v>
      </c>
      <c r="R648" s="12"/>
      <c r="S648" s="12"/>
    </row>
    <row r="649" customFormat="false" ht="15" hidden="false" customHeight="false" outlineLevel="0" collapsed="false">
      <c r="A649" s="15" t="s">
        <v>3898</v>
      </c>
      <c r="B649" s="15" t="s">
        <v>3893</v>
      </c>
      <c r="C649" s="15" t="s">
        <v>391</v>
      </c>
      <c r="D649" s="15" t="s">
        <v>1856</v>
      </c>
      <c r="E649" s="15" t="s">
        <v>1857</v>
      </c>
      <c r="F649" s="15" t="s">
        <v>3017</v>
      </c>
      <c r="G649" s="15" t="s">
        <v>3018</v>
      </c>
      <c r="H649" s="33" t="n">
        <f aca="false">Packages!$X$64+Packages!$Y$64</f>
        <v>998.259785434633</v>
      </c>
      <c r="I649" s="15" t="s">
        <v>3019</v>
      </c>
      <c r="J649" s="34" t="n">
        <f aca="false">MAX(1,ROUNDUP((Packages!$X$64/R_EXS+Packages!$Y$64/R_EXO)/Fronts!$J$7,0))</f>
        <v>3</v>
      </c>
      <c r="K649" s="34" t="n">
        <f aca="false">IF(J649=0,0,ROUNDUP(J649*7/WD,0))</f>
        <v>4</v>
      </c>
      <c r="L649" s="15" t="s">
        <v>3897</v>
      </c>
      <c r="M649" s="34" t="n">
        <f aca="false">IF(K648=0,0,ROUNDUP((K648-ROUNDUP(DW_DRAW*7/WD,0))*LADDER,0)+ROUNDUP(DW_DRAW*7/WD,0))</f>
        <v>10</v>
      </c>
      <c r="N649" s="34" t="n">
        <f aca="false">IF(K649=0,0,FFLAG)</f>
        <v>2</v>
      </c>
      <c r="O649" s="15" t="s">
        <v>3899</v>
      </c>
      <c r="P649" s="16" t="n">
        <f aca="false">MAX(P648+M649,Q532,Q1830,Q1764)</f>
        <v>46557</v>
      </c>
      <c r="Q649" s="16" t="n">
        <f aca="false">MAX(P649+K649,Q648+N649)</f>
        <v>46561</v>
      </c>
      <c r="R649" s="16" t="n">
        <f aca="false">IF(K649&gt;0,Q649,0)</f>
        <v>46561</v>
      </c>
      <c r="S649" s="12"/>
    </row>
    <row r="650" customFormat="false" ht="15" hidden="false" customHeight="false" outlineLevel="0" collapsed="false">
      <c r="A650" s="15" t="s">
        <v>3900</v>
      </c>
      <c r="B650" s="15" t="s">
        <v>3893</v>
      </c>
      <c r="C650" s="15" t="s">
        <v>391</v>
      </c>
      <c r="D650" s="15" t="s">
        <v>1856</v>
      </c>
      <c r="E650" s="15" t="s">
        <v>1857</v>
      </c>
      <c r="F650" s="15" t="s">
        <v>3022</v>
      </c>
      <c r="G650" s="15" t="s">
        <v>3023</v>
      </c>
      <c r="H650" s="33" t="n">
        <f aca="false">Packages!$O$64</f>
        <v>38.1114855382193</v>
      </c>
      <c r="I650" s="15" t="s">
        <v>118</v>
      </c>
      <c r="J650" s="34" t="n">
        <f aca="false">MAX(1,ROUNDUP(Packages!$O$64/(R_SLAB*Fronts!$K$7),0))+SLAB_CURE</f>
        <v>7</v>
      </c>
      <c r="K650" s="34" t="n">
        <f aca="false">IF(J650=0,0,ROUNDUP(J650*7/WD,0))</f>
        <v>9</v>
      </c>
      <c r="L650" s="15" t="s">
        <v>3898</v>
      </c>
      <c r="M650" s="34" t="n">
        <f aca="false">ROUNDUP(K649*LADDER,0)</f>
        <v>2</v>
      </c>
      <c r="N650" s="34" t="n">
        <f aca="false">IF(K650=0,0,FFLAG)</f>
        <v>2</v>
      </c>
      <c r="O650" s="15"/>
      <c r="P650" s="16" t="n">
        <f aca="false">MAX(P649+M650)</f>
        <v>46559</v>
      </c>
      <c r="Q650" s="16" t="n">
        <f aca="false">MAX(P650+K650,Q649+N650)</f>
        <v>46568</v>
      </c>
      <c r="R650" s="16" t="n">
        <f aca="false">IF(K650&gt;0,Q650,0)</f>
        <v>46568</v>
      </c>
      <c r="S650" s="12"/>
    </row>
    <row r="651" customFormat="false" ht="15" hidden="false" customHeight="false" outlineLevel="0" collapsed="false">
      <c r="A651" s="15" t="s">
        <v>3901</v>
      </c>
      <c r="B651" s="15" t="s">
        <v>3893</v>
      </c>
      <c r="C651" s="15" t="s">
        <v>391</v>
      </c>
      <c r="D651" s="15" t="s">
        <v>1856</v>
      </c>
      <c r="E651" s="15" t="s">
        <v>1857</v>
      </c>
      <c r="F651" s="15" t="s">
        <v>3025</v>
      </c>
      <c r="G651" s="15" t="s">
        <v>3026</v>
      </c>
      <c r="H651" s="33" t="n">
        <f aca="false">Packages!$O$64</f>
        <v>38.1114855382193</v>
      </c>
      <c r="I651" s="15" t="s">
        <v>118</v>
      </c>
      <c r="J651" s="34" t="n">
        <f aca="false">MAX(1,ROUNDUP(Packages!$O$64/(IF(Packages!$N$64&gt;=PIPE_T1,R_PIPE_L,IF(Packages!$N$64&gt;=PIPE_T2,R_PIPE_M,R_PIPE_S))*Fronts!$L$7)+Packages!$M$64*FIT_D+IF(Packages!$G$64&lt;&gt;"Run",TIE_D,0),0))</f>
        <v>9</v>
      </c>
      <c r="K651" s="34" t="n">
        <f aca="false">IF(J651=0,0,ROUNDUP(J651*7/WD,0))</f>
        <v>11</v>
      </c>
      <c r="L651" s="15" t="s">
        <v>3900</v>
      </c>
      <c r="M651" s="34" t="n">
        <f aca="false">ROUNDUP(K650*LADDER,0)</f>
        <v>3</v>
      </c>
      <c r="N651" s="34" t="n">
        <f aca="false">IF(K651=0,0,FFLAG)</f>
        <v>2</v>
      </c>
      <c r="O651" s="15"/>
      <c r="P651" s="16" t="n">
        <f aca="false">MAX(P650+M651)</f>
        <v>46562</v>
      </c>
      <c r="Q651" s="16" t="n">
        <f aca="false">MAX(P651+K651,Q650+N651)</f>
        <v>46573</v>
      </c>
      <c r="R651" s="16" t="n">
        <f aca="false">IF(K651&gt;0,Q651,0)</f>
        <v>46573</v>
      </c>
      <c r="S651" s="12"/>
    </row>
    <row r="652" customFormat="false" ht="15" hidden="false" customHeight="false" outlineLevel="0" collapsed="false">
      <c r="A652" s="15" t="s">
        <v>3902</v>
      </c>
      <c r="B652" s="15" t="s">
        <v>3893</v>
      </c>
      <c r="C652" s="15" t="s">
        <v>391</v>
      </c>
      <c r="D652" s="15" t="s">
        <v>1856</v>
      </c>
      <c r="E652" s="15" t="s">
        <v>1857</v>
      </c>
      <c r="F652" s="15" t="s">
        <v>3028</v>
      </c>
      <c r="G652" s="15" t="s">
        <v>3029</v>
      </c>
      <c r="H652" s="33" t="n">
        <f aca="false">Packages!$O$64</f>
        <v>38.1114855382193</v>
      </c>
      <c r="I652" s="15" t="s">
        <v>118</v>
      </c>
      <c r="J652" s="34" t="n">
        <f aca="false">TEST_D+ROUNDUP(Packages!$O$64/R_TEST,0)</f>
        <v>3</v>
      </c>
      <c r="K652" s="34" t="n">
        <f aca="false">IF(J652=0,0,ROUNDUP(J652*7/WD,0))</f>
        <v>4</v>
      </c>
      <c r="L652" s="15" t="s">
        <v>3901</v>
      </c>
      <c r="M652" s="34" t="n">
        <f aca="false">ROUNDUP(K651*LADDER,0)</f>
        <v>4</v>
      </c>
      <c r="N652" s="34" t="n">
        <f aca="false">IF(K652=0,0,FFLAG)</f>
        <v>2</v>
      </c>
      <c r="O652" s="15"/>
      <c r="P652" s="16" t="n">
        <f aca="false">MAX(P651+M652)</f>
        <v>46566</v>
      </c>
      <c r="Q652" s="16" t="n">
        <f aca="false">MAX(P652+K652,Q651+N652)</f>
        <v>46575</v>
      </c>
      <c r="R652" s="12"/>
      <c r="S652" s="12"/>
    </row>
    <row r="653" customFormat="false" ht="15" hidden="false" customHeight="false" outlineLevel="0" collapsed="false">
      <c r="A653" s="15" t="s">
        <v>3903</v>
      </c>
      <c r="B653" s="15" t="s">
        <v>3893</v>
      </c>
      <c r="C653" s="15" t="s">
        <v>391</v>
      </c>
      <c r="D653" s="15" t="s">
        <v>1856</v>
      </c>
      <c r="E653" s="15" t="s">
        <v>1857</v>
      </c>
      <c r="F653" s="15" t="s">
        <v>3031</v>
      </c>
      <c r="G653" s="15" t="s">
        <v>3032</v>
      </c>
      <c r="H653" s="33" t="n">
        <f aca="false">Packages!$AB$64</f>
        <v>883.660395376395</v>
      </c>
      <c r="I653" s="15" t="s">
        <v>3019</v>
      </c>
      <c r="J653" s="34" t="n">
        <f aca="false">MAX(1,ROUNDUP(Packages!$AB$64/(R_BF*Fronts!$M$7),0))</f>
        <v>3</v>
      </c>
      <c r="K653" s="34" t="n">
        <f aca="false">IF(J653=0,0,ROUNDUP(J653*7/WD,0))</f>
        <v>4</v>
      </c>
      <c r="L653" s="15" t="s">
        <v>3902</v>
      </c>
      <c r="M653" s="34" t="n">
        <f aca="false">ROUNDUP(K652*LADDER,0)</f>
        <v>2</v>
      </c>
      <c r="N653" s="34" t="n">
        <f aca="false">IF(K653=0,0,FFLAG)</f>
        <v>2</v>
      </c>
      <c r="O653" s="15"/>
      <c r="P653" s="16" t="n">
        <f aca="false">MAX(P652+M653)</f>
        <v>46568</v>
      </c>
      <c r="Q653" s="16" t="n">
        <f aca="false">MAX(P653+K653,Q652+N653)</f>
        <v>46577</v>
      </c>
      <c r="R653" s="16" t="n">
        <f aca="false">IF(K653&gt;0,Q653,0)</f>
        <v>46577</v>
      </c>
      <c r="S653" s="12"/>
    </row>
    <row r="654" customFormat="false" ht="15" hidden="false" customHeight="false" outlineLevel="0" collapsed="false">
      <c r="A654" s="15" t="s">
        <v>3904</v>
      </c>
      <c r="B654" s="15" t="s">
        <v>3893</v>
      </c>
      <c r="C654" s="15" t="s">
        <v>391</v>
      </c>
      <c r="D654" s="15" t="s">
        <v>1856</v>
      </c>
      <c r="E654" s="15" t="s">
        <v>1857</v>
      </c>
      <c r="F654" s="15" t="s">
        <v>3034</v>
      </c>
      <c r="G654" s="15" t="s">
        <v>3035</v>
      </c>
      <c r="H654" s="33" t="n">
        <f aca="false">Packages!$AD$64</f>
        <v>0</v>
      </c>
      <c r="I654" s="15" t="s">
        <v>3012</v>
      </c>
      <c r="J654" s="34" t="n">
        <f aca="false">IF(Packages!$AD$64&gt;0,ROUNDUP(Packages!$AD$64/R_EXT,0),0)+IF(Packages!$AG$64&gt;0,1,0)</f>
        <v>1</v>
      </c>
      <c r="K654" s="34" t="n">
        <f aca="false">IF(J654=0,0,ROUNDUP(J654*7/WD,0))</f>
        <v>2</v>
      </c>
      <c r="L654" s="15" t="s">
        <v>3903</v>
      </c>
      <c r="M654" s="34" t="n">
        <f aca="false">ROUNDUP(K653*LADDER,0)</f>
        <v>2</v>
      </c>
      <c r="N654" s="34" t="n">
        <f aca="false">IF(K654=0,0,FFLAG)</f>
        <v>2</v>
      </c>
      <c r="O654" s="15"/>
      <c r="P654" s="16" t="n">
        <f aca="false">MAX(P653+M654)</f>
        <v>46570</v>
      </c>
      <c r="Q654" s="16" t="n">
        <f aca="false">MAX(P654+K654,Q653+N654)</f>
        <v>46579</v>
      </c>
      <c r="R654" s="12"/>
      <c r="S654" s="12"/>
    </row>
    <row r="655" customFormat="false" ht="15" hidden="false" customHeight="false" outlineLevel="0" collapsed="false">
      <c r="A655" s="15" t="s">
        <v>3905</v>
      </c>
      <c r="B655" s="15" t="s">
        <v>3906</v>
      </c>
      <c r="C655" s="15" t="s">
        <v>394</v>
      </c>
      <c r="D655" s="15" t="s">
        <v>956</v>
      </c>
      <c r="E655" s="15" t="s">
        <v>984</v>
      </c>
      <c r="F655" s="15" t="s">
        <v>2998</v>
      </c>
      <c r="G655" s="15" t="s">
        <v>2999</v>
      </c>
      <c r="H655" s="12"/>
      <c r="I655" s="12"/>
      <c r="J655" s="34" t="n">
        <f aca="false">0</f>
        <v>0</v>
      </c>
      <c r="K655" s="34" t="n">
        <f aca="false">IF(J655=0,0,ROUNDUP(J655*7/WD,0))</f>
        <v>0</v>
      </c>
      <c r="L655" s="12"/>
      <c r="M655" s="12"/>
      <c r="N655" s="12"/>
      <c r="O655" s="15" t="s">
        <v>3000</v>
      </c>
      <c r="P655" s="16" t="n">
        <f aca="false">MAX(START,D_DLU,Packages!$I$65,Packages!$K$65)</f>
        <v>46357</v>
      </c>
      <c r="Q655" s="16" t="n">
        <f aca="false">P655+K655</f>
        <v>46357</v>
      </c>
      <c r="R655" s="12"/>
      <c r="S655" s="12"/>
    </row>
    <row r="656" customFormat="false" ht="15" hidden="false" customHeight="false" outlineLevel="0" collapsed="false">
      <c r="A656" s="15" t="s">
        <v>3907</v>
      </c>
      <c r="B656" s="15" t="s">
        <v>3906</v>
      </c>
      <c r="C656" s="15" t="s">
        <v>394</v>
      </c>
      <c r="D656" s="15" t="s">
        <v>956</v>
      </c>
      <c r="E656" s="15" t="s">
        <v>984</v>
      </c>
      <c r="F656" s="15" t="s">
        <v>3002</v>
      </c>
      <c r="G656" s="15" t="s">
        <v>205</v>
      </c>
      <c r="H656" s="33" t="n">
        <f aca="false">Packages!$O$65</f>
        <v>16.2279946636856</v>
      </c>
      <c r="I656" s="15" t="s">
        <v>118</v>
      </c>
      <c r="J656" s="34" t="n">
        <f aca="false">MAX(1,ROUNDUP(Packages!$O$65/R_PLAT,0))</f>
        <v>1</v>
      </c>
      <c r="K656" s="34" t="n">
        <f aca="false">IF(J656=0,0,ROUNDUP(J656*7/WD,0))</f>
        <v>2</v>
      </c>
      <c r="L656" s="15" t="s">
        <v>3905</v>
      </c>
      <c r="M656" s="12"/>
      <c r="N656" s="12"/>
      <c r="O656" s="15" t="s">
        <v>3003</v>
      </c>
      <c r="P656" s="16" t="n">
        <f aca="false">MAX(Q655)</f>
        <v>46357</v>
      </c>
      <c r="Q656" s="16" t="n">
        <f aca="false">P656+K656</f>
        <v>46359</v>
      </c>
      <c r="R656" s="12"/>
      <c r="S656" s="12"/>
    </row>
    <row r="657" customFormat="false" ht="15" hidden="false" customHeight="false" outlineLevel="0" collapsed="false">
      <c r="A657" s="15" t="s">
        <v>3908</v>
      </c>
      <c r="B657" s="15" t="s">
        <v>3906</v>
      </c>
      <c r="C657" s="15" t="s">
        <v>394</v>
      </c>
      <c r="D657" s="15" t="s">
        <v>956</v>
      </c>
      <c r="E657" s="15" t="s">
        <v>984</v>
      </c>
      <c r="F657" s="15" t="s">
        <v>3005</v>
      </c>
      <c r="G657" s="15" t="s">
        <v>3006</v>
      </c>
      <c r="H657" s="33" t="n">
        <f aca="false">Packages!$AC$65</f>
        <v>14</v>
      </c>
      <c r="I657" s="15" t="s">
        <v>3007</v>
      </c>
      <c r="J657" s="34" t="n">
        <f aca="false">IF(Packages!$AC$65=0,0,MAX(1,ROUNDUP(Packages!$AC$65/(R_PILE*Fronts!$H$8),0)))</f>
        <v>3</v>
      </c>
      <c r="K657" s="34" t="n">
        <f aca="false">IF(J657=0,0,ROUNDUP(J657*7/WD,0))</f>
        <v>4</v>
      </c>
      <c r="L657" s="15" t="s">
        <v>3907</v>
      </c>
      <c r="M657" s="34" t="n">
        <f aca="false">ROUNDUP(K656*LADDER,0)</f>
        <v>1</v>
      </c>
      <c r="N657" s="34" t="n">
        <f aca="false">IF(K657=0,0,FFLAG)</f>
        <v>2</v>
      </c>
      <c r="O657" s="15" t="s">
        <v>3008</v>
      </c>
      <c r="P657" s="16" t="n">
        <f aca="false">MAX(P656+M657,D_PILEDES)</f>
        <v>46358</v>
      </c>
      <c r="Q657" s="16" t="n">
        <f aca="false">MAX(P657+K657,Q656+N657)</f>
        <v>46362</v>
      </c>
      <c r="R657" s="16" t="n">
        <f aca="false">IF(K657&gt;0,Q657,0)</f>
        <v>46362</v>
      </c>
      <c r="S657" s="12"/>
    </row>
    <row r="658" customFormat="false" ht="15" hidden="false" customHeight="false" outlineLevel="0" collapsed="false">
      <c r="A658" s="15" t="s">
        <v>3909</v>
      </c>
      <c r="B658" s="15" t="s">
        <v>3906</v>
      </c>
      <c r="C658" s="15" t="s">
        <v>394</v>
      </c>
      <c r="D658" s="15" t="s">
        <v>956</v>
      </c>
      <c r="E658" s="15" t="s">
        <v>984</v>
      </c>
      <c r="F658" s="15" t="s">
        <v>3010</v>
      </c>
      <c r="G658" s="15" t="s">
        <v>3011</v>
      </c>
      <c r="H658" s="33" t="n">
        <f aca="false">Packages!$AD$65</f>
        <v>32.4559893273712</v>
      </c>
      <c r="I658" s="15" t="s">
        <v>3012</v>
      </c>
      <c r="J658" s="34" t="n">
        <f aca="false">IF(Packages!$AD$65=0,0,MAX(1,ROUNDUP(Packages!$AD$65/(R_SHEET*Fronts!$I$8),0)))</f>
        <v>2</v>
      </c>
      <c r="K658" s="34" t="n">
        <f aca="false">IF(J658=0,0,ROUNDUP(J658*7/WD,0))</f>
        <v>3</v>
      </c>
      <c r="L658" s="15" t="s">
        <v>3908</v>
      </c>
      <c r="M658" s="34" t="n">
        <f aca="false">ROUNDUP(K657*LADDER,0)</f>
        <v>2</v>
      </c>
      <c r="N658" s="34" t="n">
        <f aca="false">IF(K658=0,0,FFLAG)</f>
        <v>2</v>
      </c>
      <c r="O658" s="15"/>
      <c r="P658" s="16" t="n">
        <f aca="false">MAX(P657+M658)</f>
        <v>46360</v>
      </c>
      <c r="Q658" s="16" t="n">
        <f aca="false">MAX(P658+K658,Q657+N658)</f>
        <v>46364</v>
      </c>
      <c r="R658" s="16" t="n">
        <f aca="false">IF(K658&gt;0,Q658,0)</f>
        <v>46364</v>
      </c>
      <c r="S658" s="12"/>
    </row>
    <row r="659" customFormat="false" ht="15" hidden="false" customHeight="false" outlineLevel="0" collapsed="false">
      <c r="A659" s="15" t="s">
        <v>3910</v>
      </c>
      <c r="B659" s="15" t="s">
        <v>3906</v>
      </c>
      <c r="C659" s="15" t="s">
        <v>394</v>
      </c>
      <c r="D659" s="15" t="s">
        <v>956</v>
      </c>
      <c r="E659" s="15" t="s">
        <v>984</v>
      </c>
      <c r="F659" s="15" t="s">
        <v>3014</v>
      </c>
      <c r="G659" s="15" t="s">
        <v>3015</v>
      </c>
      <c r="H659" s="33" t="n">
        <f aca="false">Packages!$O$65</f>
        <v>16.2279946636856</v>
      </c>
      <c r="I659" s="15" t="s">
        <v>118</v>
      </c>
      <c r="J659" s="34" t="n">
        <f aca="false">IF(Packages!$AG$65=0,0,ROUNDUP(Packages!$O$65/R_DW,0)+DW_DRAW)</f>
        <v>8</v>
      </c>
      <c r="K659" s="34" t="n">
        <f aca="false">IF(J659=0,0,ROUNDUP(J659*7/WD,0))</f>
        <v>10</v>
      </c>
      <c r="L659" s="15" t="s">
        <v>3909</v>
      </c>
      <c r="M659" s="34" t="n">
        <f aca="false">ROUNDUP(K658*LADDER,0)</f>
        <v>1</v>
      </c>
      <c r="N659" s="34" t="n">
        <f aca="false">IF(K659=0,0,FFLAG)</f>
        <v>2</v>
      </c>
      <c r="O659" s="15"/>
      <c r="P659" s="16" t="n">
        <f aca="false">MAX(P658+M659)</f>
        <v>46361</v>
      </c>
      <c r="Q659" s="16" t="n">
        <f aca="false">MAX(P659+K659,Q658+N659)</f>
        <v>46371</v>
      </c>
      <c r="R659" s="12"/>
      <c r="S659" s="12"/>
    </row>
    <row r="660" customFormat="false" ht="15" hidden="false" customHeight="false" outlineLevel="0" collapsed="false">
      <c r="A660" s="15" t="s">
        <v>3911</v>
      </c>
      <c r="B660" s="15" t="s">
        <v>3906</v>
      </c>
      <c r="C660" s="15" t="s">
        <v>394</v>
      </c>
      <c r="D660" s="15" t="s">
        <v>956</v>
      </c>
      <c r="E660" s="15" t="s">
        <v>984</v>
      </c>
      <c r="F660" s="15" t="s">
        <v>3017</v>
      </c>
      <c r="G660" s="15" t="s">
        <v>3018</v>
      </c>
      <c r="H660" s="33" t="n">
        <f aca="false">Packages!$X$65+Packages!$Y$65</f>
        <v>303.622582547873</v>
      </c>
      <c r="I660" s="15" t="s">
        <v>3019</v>
      </c>
      <c r="J660" s="34" t="n">
        <f aca="false">MAX(1,ROUNDUP((Packages!$X$65/R_EXS+Packages!$Y$65/R_EXO)/Fronts!$J$8,0))</f>
        <v>2</v>
      </c>
      <c r="K660" s="34" t="n">
        <f aca="false">IF(J660=0,0,ROUNDUP(J660*7/WD,0))</f>
        <v>3</v>
      </c>
      <c r="L660" s="15" t="s">
        <v>3910</v>
      </c>
      <c r="M660" s="34" t="n">
        <f aca="false">IF(K659=0,0,ROUNDUP((K659-ROUNDUP(DW_DRAW*7/WD,0))*LADDER,0)+ROUNDUP(DW_DRAW*7/WD,0))</f>
        <v>10</v>
      </c>
      <c r="N660" s="34" t="n">
        <f aca="false">IF(K660=0,0,FFLAG)</f>
        <v>2</v>
      </c>
      <c r="O660" s="15"/>
      <c r="P660" s="16" t="n">
        <f aca="false">MAX(P659+M660)</f>
        <v>46371</v>
      </c>
      <c r="Q660" s="16" t="n">
        <f aca="false">MAX(P660+K660,Q659+N660)</f>
        <v>46374</v>
      </c>
      <c r="R660" s="16" t="n">
        <f aca="false">IF(K660&gt;0,Q660,0)</f>
        <v>46374</v>
      </c>
      <c r="S660" s="12"/>
    </row>
    <row r="661" customFormat="false" ht="15" hidden="false" customHeight="false" outlineLevel="0" collapsed="false">
      <c r="A661" s="15" t="s">
        <v>3912</v>
      </c>
      <c r="B661" s="15" t="s">
        <v>3906</v>
      </c>
      <c r="C661" s="15" t="s">
        <v>394</v>
      </c>
      <c r="D661" s="15" t="s">
        <v>956</v>
      </c>
      <c r="E661" s="15" t="s">
        <v>984</v>
      </c>
      <c r="F661" s="15" t="s">
        <v>3022</v>
      </c>
      <c r="G661" s="15" t="s">
        <v>3023</v>
      </c>
      <c r="H661" s="33" t="n">
        <f aca="false">Packages!$O$65</f>
        <v>16.2279946636856</v>
      </c>
      <c r="I661" s="15" t="s">
        <v>118</v>
      </c>
      <c r="J661" s="34" t="n">
        <f aca="false">MAX(1,ROUNDUP(Packages!$O$65/(R_SLAB*Fronts!$K$8),0))+SLAB_CURE</f>
        <v>5</v>
      </c>
      <c r="K661" s="34" t="n">
        <f aca="false">IF(J661=0,0,ROUNDUP(J661*7/WD,0))</f>
        <v>6</v>
      </c>
      <c r="L661" s="15" t="s">
        <v>3911</v>
      </c>
      <c r="M661" s="34" t="n">
        <f aca="false">ROUNDUP(K660*LADDER,0)</f>
        <v>1</v>
      </c>
      <c r="N661" s="34" t="n">
        <f aca="false">IF(K661=0,0,FFLAG)</f>
        <v>2</v>
      </c>
      <c r="O661" s="15"/>
      <c r="P661" s="16" t="n">
        <f aca="false">MAX(P660+M661)</f>
        <v>46372</v>
      </c>
      <c r="Q661" s="16" t="n">
        <f aca="false">MAX(P661+K661,Q660+N661)</f>
        <v>46378</v>
      </c>
      <c r="R661" s="16" t="n">
        <f aca="false">IF(K661&gt;0,Q661,0)</f>
        <v>46378</v>
      </c>
      <c r="S661" s="12"/>
    </row>
    <row r="662" customFormat="false" ht="15" hidden="false" customHeight="false" outlineLevel="0" collapsed="false">
      <c r="A662" s="15" t="s">
        <v>3913</v>
      </c>
      <c r="B662" s="15" t="s">
        <v>3906</v>
      </c>
      <c r="C662" s="15" t="s">
        <v>394</v>
      </c>
      <c r="D662" s="15" t="s">
        <v>956</v>
      </c>
      <c r="E662" s="15" t="s">
        <v>984</v>
      </c>
      <c r="F662" s="15" t="s">
        <v>3025</v>
      </c>
      <c r="G662" s="15" t="s">
        <v>3026</v>
      </c>
      <c r="H662" s="33" t="n">
        <f aca="false">Packages!$O$65</f>
        <v>16.2279946636856</v>
      </c>
      <c r="I662" s="15" t="s">
        <v>118</v>
      </c>
      <c r="J662" s="34" t="n">
        <f aca="false">MAX(1,ROUNDUP(Packages!$O$65/(IF(Packages!$N$65&gt;=PIPE_T1,R_PIPE_L,IF(Packages!$N$65&gt;=PIPE_T2,R_PIPE_M,R_PIPE_S))*Fronts!$L$8)+Packages!$M$65*FIT_D+IF(Packages!$G$65&lt;&gt;"Run",TIE_D,0),0))</f>
        <v>2</v>
      </c>
      <c r="K662" s="34" t="n">
        <f aca="false">IF(J662=0,0,ROUNDUP(J662*7/WD,0))</f>
        <v>3</v>
      </c>
      <c r="L662" s="15" t="s">
        <v>3912</v>
      </c>
      <c r="M662" s="34" t="n">
        <f aca="false">ROUNDUP(K661*LADDER,0)</f>
        <v>2</v>
      </c>
      <c r="N662" s="34" t="n">
        <f aca="false">IF(K662=0,0,FFLAG)</f>
        <v>2</v>
      </c>
      <c r="O662" s="15"/>
      <c r="P662" s="16" t="n">
        <f aca="false">MAX(P661+M662)</f>
        <v>46374</v>
      </c>
      <c r="Q662" s="16" t="n">
        <f aca="false">MAX(P662+K662,Q661+N662)</f>
        <v>46380</v>
      </c>
      <c r="R662" s="16" t="n">
        <f aca="false">IF(K662&gt;0,Q662,0)</f>
        <v>46380</v>
      </c>
      <c r="S662" s="12"/>
    </row>
    <row r="663" customFormat="false" ht="15" hidden="false" customHeight="false" outlineLevel="0" collapsed="false">
      <c r="A663" s="15" t="s">
        <v>3914</v>
      </c>
      <c r="B663" s="15" t="s">
        <v>3906</v>
      </c>
      <c r="C663" s="15" t="s">
        <v>394</v>
      </c>
      <c r="D663" s="15" t="s">
        <v>956</v>
      </c>
      <c r="E663" s="15" t="s">
        <v>984</v>
      </c>
      <c r="F663" s="15" t="s">
        <v>3028</v>
      </c>
      <c r="G663" s="15" t="s">
        <v>3029</v>
      </c>
      <c r="H663" s="33" t="n">
        <f aca="false">Packages!$O$65</f>
        <v>16.2279946636856</v>
      </c>
      <c r="I663" s="15" t="s">
        <v>118</v>
      </c>
      <c r="J663" s="34" t="n">
        <f aca="false">TEST_D+ROUNDUP(Packages!$O$65/R_TEST,0)</f>
        <v>3</v>
      </c>
      <c r="K663" s="34" t="n">
        <f aca="false">IF(J663=0,0,ROUNDUP(J663*7/WD,0))</f>
        <v>4</v>
      </c>
      <c r="L663" s="15" t="s">
        <v>3913</v>
      </c>
      <c r="M663" s="34" t="n">
        <f aca="false">ROUNDUP(K662*LADDER,0)</f>
        <v>1</v>
      </c>
      <c r="N663" s="34" t="n">
        <f aca="false">IF(K663=0,0,FFLAG)</f>
        <v>2</v>
      </c>
      <c r="O663" s="15"/>
      <c r="P663" s="16" t="n">
        <f aca="false">MAX(P662+M663)</f>
        <v>46375</v>
      </c>
      <c r="Q663" s="16" t="n">
        <f aca="false">MAX(P663+K663,Q662+N663)</f>
        <v>46382</v>
      </c>
      <c r="R663" s="12"/>
      <c r="S663" s="12"/>
    </row>
    <row r="664" customFormat="false" ht="15" hidden="false" customHeight="false" outlineLevel="0" collapsed="false">
      <c r="A664" s="15" t="s">
        <v>3915</v>
      </c>
      <c r="B664" s="15" t="s">
        <v>3906</v>
      </c>
      <c r="C664" s="15" t="s">
        <v>394</v>
      </c>
      <c r="D664" s="15" t="s">
        <v>956</v>
      </c>
      <c r="E664" s="15" t="s">
        <v>984</v>
      </c>
      <c r="F664" s="15" t="s">
        <v>3031</v>
      </c>
      <c r="G664" s="15" t="s">
        <v>3032</v>
      </c>
      <c r="H664" s="33" t="n">
        <f aca="false">Packages!$AB$65</f>
        <v>225.514058173097</v>
      </c>
      <c r="I664" s="15" t="s">
        <v>3019</v>
      </c>
      <c r="J664" s="34" t="n">
        <f aca="false">MAX(1,ROUNDUP(Packages!$AB$65/(R_BF*Fronts!$M$8),0))</f>
        <v>1</v>
      </c>
      <c r="K664" s="34" t="n">
        <f aca="false">IF(J664=0,0,ROUNDUP(J664*7/WD,0))</f>
        <v>2</v>
      </c>
      <c r="L664" s="15" t="s">
        <v>3914</v>
      </c>
      <c r="M664" s="34" t="n">
        <f aca="false">ROUNDUP(K663*LADDER,0)</f>
        <v>2</v>
      </c>
      <c r="N664" s="34" t="n">
        <f aca="false">IF(K664=0,0,FFLAG)</f>
        <v>2</v>
      </c>
      <c r="O664" s="15" t="s">
        <v>3916</v>
      </c>
      <c r="P664" s="16" t="n">
        <f aca="false">MAX(P663+M664,Q684)</f>
        <v>46392</v>
      </c>
      <c r="Q664" s="16" t="n">
        <f aca="false">MAX(P664+K664,Q663+N664)</f>
        <v>46394</v>
      </c>
      <c r="R664" s="16" t="n">
        <f aca="false">IF(K664&gt;0,Q664,0)</f>
        <v>46394</v>
      </c>
      <c r="S664" s="12"/>
    </row>
    <row r="665" customFormat="false" ht="15" hidden="false" customHeight="false" outlineLevel="0" collapsed="false">
      <c r="A665" s="15" t="s">
        <v>3917</v>
      </c>
      <c r="B665" s="15" t="s">
        <v>3906</v>
      </c>
      <c r="C665" s="15" t="s">
        <v>394</v>
      </c>
      <c r="D665" s="15" t="s">
        <v>956</v>
      </c>
      <c r="E665" s="15" t="s">
        <v>984</v>
      </c>
      <c r="F665" s="15" t="s">
        <v>3034</v>
      </c>
      <c r="G665" s="15" t="s">
        <v>3035</v>
      </c>
      <c r="H665" s="33" t="n">
        <f aca="false">Packages!$AD$65</f>
        <v>32.4559893273712</v>
      </c>
      <c r="I665" s="15" t="s">
        <v>3012</v>
      </c>
      <c r="J665" s="34" t="n">
        <f aca="false">IF(Packages!$AD$65&gt;0,ROUNDUP(Packages!$AD$65/R_EXT,0),0)+IF(Packages!$AG$65&gt;0,1,0)</f>
        <v>2</v>
      </c>
      <c r="K665" s="34" t="n">
        <f aca="false">IF(J665=0,0,ROUNDUP(J665*7/WD,0))</f>
        <v>3</v>
      </c>
      <c r="L665" s="15" t="s">
        <v>3915</v>
      </c>
      <c r="M665" s="34" t="n">
        <f aca="false">ROUNDUP(K664*LADDER,0)</f>
        <v>1</v>
      </c>
      <c r="N665" s="34" t="n">
        <f aca="false">IF(K665=0,0,FFLAG)</f>
        <v>2</v>
      </c>
      <c r="O665" s="15"/>
      <c r="P665" s="16" t="n">
        <f aca="false">MAX(P664+M665)</f>
        <v>46393</v>
      </c>
      <c r="Q665" s="16" t="n">
        <f aca="false">MAX(P665+K665,Q664+N665)</f>
        <v>46396</v>
      </c>
      <c r="R665" s="12"/>
      <c r="S665" s="12"/>
    </row>
    <row r="666" customFormat="false" ht="15" hidden="false" customHeight="false" outlineLevel="0" collapsed="false">
      <c r="A666" s="15" t="s">
        <v>3918</v>
      </c>
      <c r="B666" s="15" t="s">
        <v>3919</v>
      </c>
      <c r="C666" s="15" t="s">
        <v>394</v>
      </c>
      <c r="D666" s="15" t="s">
        <v>956</v>
      </c>
      <c r="E666" s="15" t="s">
        <v>980</v>
      </c>
      <c r="F666" s="15" t="s">
        <v>2998</v>
      </c>
      <c r="G666" s="15" t="s">
        <v>2999</v>
      </c>
      <c r="H666" s="12"/>
      <c r="I666" s="12"/>
      <c r="J666" s="34" t="n">
        <f aca="false">0</f>
        <v>0</v>
      </c>
      <c r="K666" s="34" t="n">
        <f aca="false">IF(J666=0,0,ROUNDUP(J666*7/WD,0))</f>
        <v>0</v>
      </c>
      <c r="L666" s="12"/>
      <c r="M666" s="12"/>
      <c r="N666" s="12"/>
      <c r="O666" s="15" t="s">
        <v>3000</v>
      </c>
      <c r="P666" s="16" t="n">
        <f aca="false">MAX(START,D_DLU,Packages!$I$66,Packages!$K$66)</f>
        <v>46357</v>
      </c>
      <c r="Q666" s="16" t="n">
        <f aca="false">P666+K666</f>
        <v>46357</v>
      </c>
      <c r="R666" s="12"/>
      <c r="S666" s="12"/>
    </row>
    <row r="667" customFormat="false" ht="15" hidden="false" customHeight="false" outlineLevel="0" collapsed="false">
      <c r="A667" s="15" t="s">
        <v>3920</v>
      </c>
      <c r="B667" s="15" t="s">
        <v>3919</v>
      </c>
      <c r="C667" s="15" t="s">
        <v>394</v>
      </c>
      <c r="D667" s="15" t="s">
        <v>956</v>
      </c>
      <c r="E667" s="15" t="s">
        <v>980</v>
      </c>
      <c r="F667" s="15" t="s">
        <v>3002</v>
      </c>
      <c r="G667" s="15" t="s">
        <v>205</v>
      </c>
      <c r="H667" s="33" t="n">
        <f aca="false">Packages!$O$66</f>
        <v>16.1000000003242</v>
      </c>
      <c r="I667" s="15" t="s">
        <v>118</v>
      </c>
      <c r="J667" s="34" t="n">
        <f aca="false">MAX(1,ROUNDUP(Packages!$O$66/R_PLAT,0))</f>
        <v>1</v>
      </c>
      <c r="K667" s="34" t="n">
        <f aca="false">IF(J667=0,0,ROUNDUP(J667*7/WD,0))</f>
        <v>2</v>
      </c>
      <c r="L667" s="15" t="s">
        <v>3918</v>
      </c>
      <c r="M667" s="12"/>
      <c r="N667" s="12"/>
      <c r="O667" s="15" t="s">
        <v>3921</v>
      </c>
      <c r="P667" s="16" t="n">
        <f aca="false">MAX(Q666,P657)</f>
        <v>46358</v>
      </c>
      <c r="Q667" s="16" t="n">
        <f aca="false">P667+K667</f>
        <v>46360</v>
      </c>
      <c r="R667" s="12"/>
      <c r="S667" s="12"/>
    </row>
    <row r="668" customFormat="false" ht="15" hidden="false" customHeight="false" outlineLevel="0" collapsed="false">
      <c r="A668" s="15" t="s">
        <v>3922</v>
      </c>
      <c r="B668" s="15" t="s">
        <v>3919</v>
      </c>
      <c r="C668" s="15" t="s">
        <v>394</v>
      </c>
      <c r="D668" s="15" t="s">
        <v>956</v>
      </c>
      <c r="E668" s="15" t="s">
        <v>980</v>
      </c>
      <c r="F668" s="15" t="s">
        <v>3005</v>
      </c>
      <c r="G668" s="15" t="s">
        <v>3006</v>
      </c>
      <c r="H668" s="33" t="n">
        <f aca="false">Packages!$AC$66</f>
        <v>14</v>
      </c>
      <c r="I668" s="15" t="s">
        <v>3007</v>
      </c>
      <c r="J668" s="34" t="n">
        <f aca="false">IF(Packages!$AC$66=0,0,MAX(1,ROUNDUP(Packages!$AC$66/(R_PILE*Fronts!$H$8),0)))</f>
        <v>3</v>
      </c>
      <c r="K668" s="34" t="n">
        <f aca="false">IF(J668=0,0,ROUNDUP(J668*7/WD,0))</f>
        <v>4</v>
      </c>
      <c r="L668" s="15" t="s">
        <v>3920</v>
      </c>
      <c r="M668" s="34" t="n">
        <f aca="false">ROUNDUP(K667*LADDER,0)</f>
        <v>1</v>
      </c>
      <c r="N668" s="34" t="n">
        <f aca="false">IF(K668=0,0,FFLAG)</f>
        <v>2</v>
      </c>
      <c r="O668" s="15" t="s">
        <v>3008</v>
      </c>
      <c r="P668" s="16" t="n">
        <f aca="false">MAX(P667+M668,D_PILEDES,R657)</f>
        <v>46362</v>
      </c>
      <c r="Q668" s="16" t="n">
        <f aca="false">MAX(P668+K668,Q667+N668)</f>
        <v>46366</v>
      </c>
      <c r="R668" s="16" t="n">
        <f aca="false">IF(K668&gt;0,Q668,R657)</f>
        <v>46366</v>
      </c>
      <c r="S668" s="15" t="s">
        <v>3908</v>
      </c>
    </row>
    <row r="669" customFormat="false" ht="15" hidden="false" customHeight="false" outlineLevel="0" collapsed="false">
      <c r="A669" s="15" t="s">
        <v>3923</v>
      </c>
      <c r="B669" s="15" t="s">
        <v>3919</v>
      </c>
      <c r="C669" s="15" t="s">
        <v>394</v>
      </c>
      <c r="D669" s="15" t="s">
        <v>956</v>
      </c>
      <c r="E669" s="15" t="s">
        <v>980</v>
      </c>
      <c r="F669" s="15" t="s">
        <v>3010</v>
      </c>
      <c r="G669" s="15" t="s">
        <v>3011</v>
      </c>
      <c r="H669" s="33" t="n">
        <f aca="false">Packages!$AD$66</f>
        <v>32.2000000006484</v>
      </c>
      <c r="I669" s="15" t="s">
        <v>3012</v>
      </c>
      <c r="J669" s="34" t="n">
        <f aca="false">IF(Packages!$AD$66=0,0,MAX(1,ROUNDUP(Packages!$AD$66/(R_SHEET*Fronts!$I$8),0)))</f>
        <v>2</v>
      </c>
      <c r="K669" s="34" t="n">
        <f aca="false">IF(J669=0,0,ROUNDUP(J669*7/WD,0))</f>
        <v>3</v>
      </c>
      <c r="L669" s="15" t="s">
        <v>3922</v>
      </c>
      <c r="M669" s="34" t="n">
        <f aca="false">ROUNDUP(K668*LADDER,0)</f>
        <v>2</v>
      </c>
      <c r="N669" s="34" t="n">
        <f aca="false">IF(K669=0,0,FFLAG)</f>
        <v>2</v>
      </c>
      <c r="O669" s="15"/>
      <c r="P669" s="16" t="n">
        <f aca="false">MAX(P668+M669,R658)</f>
        <v>46364</v>
      </c>
      <c r="Q669" s="16" t="n">
        <f aca="false">MAX(P669+K669,Q668+N669)</f>
        <v>46368</v>
      </c>
      <c r="R669" s="16" t="n">
        <f aca="false">IF(K669&gt;0,Q669,R658)</f>
        <v>46368</v>
      </c>
      <c r="S669" s="15" t="s">
        <v>3909</v>
      </c>
    </row>
    <row r="670" customFormat="false" ht="15" hidden="false" customHeight="false" outlineLevel="0" collapsed="false">
      <c r="A670" s="15" t="s">
        <v>3924</v>
      </c>
      <c r="B670" s="15" t="s">
        <v>3919</v>
      </c>
      <c r="C670" s="15" t="s">
        <v>394</v>
      </c>
      <c r="D670" s="15" t="s">
        <v>956</v>
      </c>
      <c r="E670" s="15" t="s">
        <v>980</v>
      </c>
      <c r="F670" s="15" t="s">
        <v>3014</v>
      </c>
      <c r="G670" s="15" t="s">
        <v>3015</v>
      </c>
      <c r="H670" s="33" t="n">
        <f aca="false">Packages!$O$66</f>
        <v>16.1000000003242</v>
      </c>
      <c r="I670" s="15" t="s">
        <v>118</v>
      </c>
      <c r="J670" s="34" t="n">
        <f aca="false">IF(Packages!$AG$66=0,0,ROUNDUP(Packages!$O$66/R_DW,0)+DW_DRAW)</f>
        <v>8</v>
      </c>
      <c r="K670" s="34" t="n">
        <f aca="false">IF(J670=0,0,ROUNDUP(J670*7/WD,0))</f>
        <v>10</v>
      </c>
      <c r="L670" s="15" t="s">
        <v>3923</v>
      </c>
      <c r="M670" s="34" t="n">
        <f aca="false">ROUNDUP(K669*LADDER,0)</f>
        <v>1</v>
      </c>
      <c r="N670" s="34" t="n">
        <f aca="false">IF(K670=0,0,FFLAG)</f>
        <v>2</v>
      </c>
      <c r="O670" s="15" t="s">
        <v>3925</v>
      </c>
      <c r="P670" s="16" t="n">
        <f aca="false">MAX(P669+M670,Q660-K670)</f>
        <v>46365</v>
      </c>
      <c r="Q670" s="16" t="n">
        <f aca="false">MAX(P670+K670,Q669+N670)</f>
        <v>46375</v>
      </c>
      <c r="R670" s="12"/>
      <c r="S670" s="12"/>
    </row>
    <row r="671" customFormat="false" ht="15" hidden="false" customHeight="false" outlineLevel="0" collapsed="false">
      <c r="A671" s="15" t="s">
        <v>3926</v>
      </c>
      <c r="B671" s="15" t="s">
        <v>3919</v>
      </c>
      <c r="C671" s="15" t="s">
        <v>394</v>
      </c>
      <c r="D671" s="15" t="s">
        <v>956</v>
      </c>
      <c r="E671" s="15" t="s">
        <v>980</v>
      </c>
      <c r="F671" s="15" t="s">
        <v>3017</v>
      </c>
      <c r="G671" s="15" t="s">
        <v>3018</v>
      </c>
      <c r="H671" s="33" t="n">
        <f aca="false">Packages!$X$66+Packages!$Y$66</f>
        <v>300.718307415586</v>
      </c>
      <c r="I671" s="15" t="s">
        <v>3019</v>
      </c>
      <c r="J671" s="34" t="n">
        <f aca="false">MAX(1,ROUNDUP((Packages!$X$66/R_EXS+Packages!$Y$66/R_EXO)/Fronts!$J$8,0))</f>
        <v>2</v>
      </c>
      <c r="K671" s="34" t="n">
        <f aca="false">IF(J671=0,0,ROUNDUP(J671*7/WD,0))</f>
        <v>3</v>
      </c>
      <c r="L671" s="15" t="s">
        <v>3924</v>
      </c>
      <c r="M671" s="34" t="n">
        <f aca="false">IF(K670=0,0,ROUNDUP((K670-ROUNDUP(DW_DRAW*7/WD,0))*LADDER,0)+ROUNDUP(DW_DRAW*7/WD,0))</f>
        <v>10</v>
      </c>
      <c r="N671" s="34" t="n">
        <f aca="false">IF(K671=0,0,FFLAG)</f>
        <v>2</v>
      </c>
      <c r="O671" s="15"/>
      <c r="P671" s="16" t="n">
        <f aca="false">MAX(P670+M671,R660)</f>
        <v>46375</v>
      </c>
      <c r="Q671" s="16" t="n">
        <f aca="false">MAX(P671+K671,Q670+N671)</f>
        <v>46378</v>
      </c>
      <c r="R671" s="16" t="n">
        <f aca="false">IF(K671&gt;0,Q671,R660)</f>
        <v>46378</v>
      </c>
      <c r="S671" s="15" t="s">
        <v>3911</v>
      </c>
    </row>
    <row r="672" customFormat="false" ht="15" hidden="false" customHeight="false" outlineLevel="0" collapsed="false">
      <c r="A672" s="15" t="s">
        <v>3927</v>
      </c>
      <c r="B672" s="15" t="s">
        <v>3919</v>
      </c>
      <c r="C672" s="15" t="s">
        <v>394</v>
      </c>
      <c r="D672" s="15" t="s">
        <v>956</v>
      </c>
      <c r="E672" s="15" t="s">
        <v>980</v>
      </c>
      <c r="F672" s="15" t="s">
        <v>3022</v>
      </c>
      <c r="G672" s="15" t="s">
        <v>3023</v>
      </c>
      <c r="H672" s="33" t="n">
        <f aca="false">Packages!$O$66</f>
        <v>16.1000000003242</v>
      </c>
      <c r="I672" s="15" t="s">
        <v>118</v>
      </c>
      <c r="J672" s="34" t="n">
        <f aca="false">MAX(1,ROUNDUP(Packages!$O$66/(R_SLAB*Fronts!$K$8),0))+SLAB_CURE</f>
        <v>5</v>
      </c>
      <c r="K672" s="34" t="n">
        <f aca="false">IF(J672=0,0,ROUNDUP(J672*7/WD,0))</f>
        <v>6</v>
      </c>
      <c r="L672" s="15" t="s">
        <v>3926</v>
      </c>
      <c r="M672" s="34" t="n">
        <f aca="false">ROUNDUP(K671*LADDER,0)</f>
        <v>1</v>
      </c>
      <c r="N672" s="34" t="n">
        <f aca="false">IF(K672=0,0,FFLAG)</f>
        <v>2</v>
      </c>
      <c r="O672" s="15"/>
      <c r="P672" s="16" t="n">
        <f aca="false">MAX(P671+M672,R661)</f>
        <v>46378</v>
      </c>
      <c r="Q672" s="16" t="n">
        <f aca="false">MAX(P672+K672,Q671+N672)</f>
        <v>46384</v>
      </c>
      <c r="R672" s="16" t="n">
        <f aca="false">IF(K672&gt;0,Q672,R661)</f>
        <v>46384</v>
      </c>
      <c r="S672" s="15" t="s">
        <v>3912</v>
      </c>
    </row>
    <row r="673" customFormat="false" ht="15" hidden="false" customHeight="false" outlineLevel="0" collapsed="false">
      <c r="A673" s="15" t="s">
        <v>3928</v>
      </c>
      <c r="B673" s="15" t="s">
        <v>3919</v>
      </c>
      <c r="C673" s="15" t="s">
        <v>394</v>
      </c>
      <c r="D673" s="15" t="s">
        <v>956</v>
      </c>
      <c r="E673" s="15" t="s">
        <v>980</v>
      </c>
      <c r="F673" s="15" t="s">
        <v>3025</v>
      </c>
      <c r="G673" s="15" t="s">
        <v>3026</v>
      </c>
      <c r="H673" s="33" t="n">
        <f aca="false">Packages!$O$66</f>
        <v>16.1000000003242</v>
      </c>
      <c r="I673" s="15" t="s">
        <v>118</v>
      </c>
      <c r="J673" s="34" t="n">
        <f aca="false">MAX(1,ROUNDUP(Packages!$O$66/(IF(Packages!$N$66&gt;=PIPE_T1,R_PIPE_L,IF(Packages!$N$66&gt;=PIPE_T2,R_PIPE_M,R_PIPE_S))*Fronts!$L$8)+Packages!$M$66*FIT_D+IF(Packages!$G$66&lt;&gt;"Run",TIE_D,0),0))</f>
        <v>1</v>
      </c>
      <c r="K673" s="34" t="n">
        <f aca="false">IF(J673=0,0,ROUNDUP(J673*7/WD,0))</f>
        <v>2</v>
      </c>
      <c r="L673" s="15" t="s">
        <v>3927</v>
      </c>
      <c r="M673" s="34" t="n">
        <f aca="false">ROUNDUP(K672*LADDER,0)</f>
        <v>2</v>
      </c>
      <c r="N673" s="34" t="n">
        <f aca="false">IF(K673=0,0,FFLAG)</f>
        <v>2</v>
      </c>
      <c r="O673" s="15"/>
      <c r="P673" s="16" t="n">
        <f aca="false">MAX(P672+M673,R662)</f>
        <v>46380</v>
      </c>
      <c r="Q673" s="16" t="n">
        <f aca="false">MAX(P673+K673,Q672+N673)</f>
        <v>46386</v>
      </c>
      <c r="R673" s="16" t="n">
        <f aca="false">IF(K673&gt;0,Q673,R662)</f>
        <v>46386</v>
      </c>
      <c r="S673" s="15" t="s">
        <v>3913</v>
      </c>
    </row>
    <row r="674" customFormat="false" ht="15" hidden="false" customHeight="false" outlineLevel="0" collapsed="false">
      <c r="A674" s="15" t="s">
        <v>3929</v>
      </c>
      <c r="B674" s="15" t="s">
        <v>3919</v>
      </c>
      <c r="C674" s="15" t="s">
        <v>394</v>
      </c>
      <c r="D674" s="15" t="s">
        <v>956</v>
      </c>
      <c r="E674" s="15" t="s">
        <v>980</v>
      </c>
      <c r="F674" s="15" t="s">
        <v>3028</v>
      </c>
      <c r="G674" s="15" t="s">
        <v>3029</v>
      </c>
      <c r="H674" s="33" t="n">
        <f aca="false">Packages!$O$66</f>
        <v>16.1000000003242</v>
      </c>
      <c r="I674" s="15" t="s">
        <v>118</v>
      </c>
      <c r="J674" s="34" t="n">
        <f aca="false">TEST_D+ROUNDUP(Packages!$O$66/R_TEST,0)</f>
        <v>3</v>
      </c>
      <c r="K674" s="34" t="n">
        <f aca="false">IF(J674=0,0,ROUNDUP(J674*7/WD,0))</f>
        <v>4</v>
      </c>
      <c r="L674" s="15" t="s">
        <v>3928</v>
      </c>
      <c r="M674" s="34" t="n">
        <f aca="false">ROUNDUP(K673*LADDER,0)</f>
        <v>1</v>
      </c>
      <c r="N674" s="34" t="n">
        <f aca="false">IF(K674=0,0,FFLAG)</f>
        <v>2</v>
      </c>
      <c r="O674" s="15"/>
      <c r="P674" s="16" t="n">
        <f aca="false">MAX(P673+M674)</f>
        <v>46381</v>
      </c>
      <c r="Q674" s="16" t="n">
        <f aca="false">MAX(P674+K674,Q673+N674)</f>
        <v>46388</v>
      </c>
      <c r="R674" s="12"/>
      <c r="S674" s="12"/>
    </row>
    <row r="675" customFormat="false" ht="15" hidden="false" customHeight="false" outlineLevel="0" collapsed="false">
      <c r="A675" s="15" t="s">
        <v>3930</v>
      </c>
      <c r="B675" s="15" t="s">
        <v>3919</v>
      </c>
      <c r="C675" s="15" t="s">
        <v>394</v>
      </c>
      <c r="D675" s="15" t="s">
        <v>956</v>
      </c>
      <c r="E675" s="15" t="s">
        <v>980</v>
      </c>
      <c r="F675" s="15" t="s">
        <v>3031</v>
      </c>
      <c r="G675" s="15" t="s">
        <v>3032</v>
      </c>
      <c r="H675" s="33" t="n">
        <f aca="false">Packages!$AB$66</f>
        <v>223.551074410931</v>
      </c>
      <c r="I675" s="15" t="s">
        <v>3019</v>
      </c>
      <c r="J675" s="34" t="n">
        <f aca="false">MAX(1,ROUNDUP(Packages!$AB$66/(R_BF*Fronts!$M$8),0))</f>
        <v>1</v>
      </c>
      <c r="K675" s="34" t="n">
        <f aca="false">IF(J675=0,0,ROUNDUP(J675*7/WD,0))</f>
        <v>2</v>
      </c>
      <c r="L675" s="15" t="s">
        <v>3929</v>
      </c>
      <c r="M675" s="34" t="n">
        <f aca="false">ROUNDUP(K674*LADDER,0)</f>
        <v>2</v>
      </c>
      <c r="N675" s="34" t="n">
        <f aca="false">IF(K675=0,0,FFLAG)</f>
        <v>2</v>
      </c>
      <c r="O675" s="15" t="s">
        <v>3916</v>
      </c>
      <c r="P675" s="16" t="n">
        <f aca="false">MAX(P674+M675,R664,Q684)</f>
        <v>46394</v>
      </c>
      <c r="Q675" s="16" t="n">
        <f aca="false">MAX(P675+K675,Q674+N675)</f>
        <v>46396</v>
      </c>
      <c r="R675" s="16" t="n">
        <f aca="false">IF(K675&gt;0,Q675,R664)</f>
        <v>46396</v>
      </c>
      <c r="S675" s="15" t="s">
        <v>3915</v>
      </c>
    </row>
    <row r="676" customFormat="false" ht="15" hidden="false" customHeight="false" outlineLevel="0" collapsed="false">
      <c r="A676" s="15" t="s">
        <v>3931</v>
      </c>
      <c r="B676" s="15" t="s">
        <v>3919</v>
      </c>
      <c r="C676" s="15" t="s">
        <v>394</v>
      </c>
      <c r="D676" s="15" t="s">
        <v>956</v>
      </c>
      <c r="E676" s="15" t="s">
        <v>980</v>
      </c>
      <c r="F676" s="15" t="s">
        <v>3034</v>
      </c>
      <c r="G676" s="15" t="s">
        <v>3035</v>
      </c>
      <c r="H676" s="33" t="n">
        <f aca="false">Packages!$AD$66</f>
        <v>32.2000000006484</v>
      </c>
      <c r="I676" s="15" t="s">
        <v>3012</v>
      </c>
      <c r="J676" s="34" t="n">
        <f aca="false">IF(Packages!$AD$66&gt;0,ROUNDUP(Packages!$AD$66/R_EXT,0),0)+IF(Packages!$AG$66&gt;0,1,0)</f>
        <v>2</v>
      </c>
      <c r="K676" s="34" t="n">
        <f aca="false">IF(J676=0,0,ROUNDUP(J676*7/WD,0))</f>
        <v>3</v>
      </c>
      <c r="L676" s="15" t="s">
        <v>3930</v>
      </c>
      <c r="M676" s="34" t="n">
        <f aca="false">ROUNDUP(K675*LADDER,0)</f>
        <v>1</v>
      </c>
      <c r="N676" s="34" t="n">
        <f aca="false">IF(K676=0,0,FFLAG)</f>
        <v>2</v>
      </c>
      <c r="O676" s="15"/>
      <c r="P676" s="16" t="n">
        <f aca="false">MAX(P675+M676)</f>
        <v>46395</v>
      </c>
      <c r="Q676" s="16" t="n">
        <f aca="false">MAX(P676+K676,Q675+N676)</f>
        <v>46398</v>
      </c>
      <c r="R676" s="12"/>
      <c r="S676" s="12"/>
    </row>
    <row r="677" customFormat="false" ht="15" hidden="false" customHeight="false" outlineLevel="0" collapsed="false">
      <c r="A677" s="15" t="s">
        <v>3932</v>
      </c>
      <c r="B677" s="15" t="s">
        <v>3933</v>
      </c>
      <c r="C677" s="15" t="s">
        <v>394</v>
      </c>
      <c r="D677" s="15" t="s">
        <v>993</v>
      </c>
      <c r="E677" s="15" t="s">
        <v>997</v>
      </c>
      <c r="F677" s="15" t="s">
        <v>2998</v>
      </c>
      <c r="G677" s="15" t="s">
        <v>2999</v>
      </c>
      <c r="H677" s="12"/>
      <c r="I677" s="12"/>
      <c r="J677" s="34" t="n">
        <f aca="false">0</f>
        <v>0</v>
      </c>
      <c r="K677" s="34" t="n">
        <f aca="false">IF(J677=0,0,ROUNDUP(J677*7/WD,0))</f>
        <v>0</v>
      </c>
      <c r="L677" s="12"/>
      <c r="M677" s="12"/>
      <c r="N677" s="12"/>
      <c r="O677" s="15" t="s">
        <v>3000</v>
      </c>
      <c r="P677" s="16" t="n">
        <f aca="false">MAX(START,D_DLU,Packages!$I$67,Packages!$K$67)</f>
        <v>46357</v>
      </c>
      <c r="Q677" s="16" t="n">
        <f aca="false">P677+K677</f>
        <v>46357</v>
      </c>
      <c r="R677" s="12"/>
      <c r="S677" s="12"/>
    </row>
    <row r="678" customFormat="false" ht="15" hidden="false" customHeight="false" outlineLevel="0" collapsed="false">
      <c r="A678" s="15" t="s">
        <v>3934</v>
      </c>
      <c r="B678" s="15" t="s">
        <v>3933</v>
      </c>
      <c r="C678" s="15" t="s">
        <v>394</v>
      </c>
      <c r="D678" s="15" t="s">
        <v>993</v>
      </c>
      <c r="E678" s="15" t="s">
        <v>997</v>
      </c>
      <c r="F678" s="15" t="s">
        <v>3002</v>
      </c>
      <c r="G678" s="15" t="s">
        <v>205</v>
      </c>
      <c r="H678" s="33" t="n">
        <f aca="false">Packages!$O$67</f>
        <v>12.0662957484998</v>
      </c>
      <c r="I678" s="15" t="s">
        <v>118</v>
      </c>
      <c r="J678" s="34" t="n">
        <f aca="false">MAX(1,ROUNDUP(Packages!$O$67/R_PLAT,0))</f>
        <v>1</v>
      </c>
      <c r="K678" s="34" t="n">
        <f aca="false">IF(J678=0,0,ROUNDUP(J678*7/WD,0))</f>
        <v>2</v>
      </c>
      <c r="L678" s="15" t="s">
        <v>3932</v>
      </c>
      <c r="M678" s="12"/>
      <c r="N678" s="12"/>
      <c r="O678" s="15" t="s">
        <v>3935</v>
      </c>
      <c r="P678" s="16" t="n">
        <f aca="false">MAX(Q677,P668)</f>
        <v>46362</v>
      </c>
      <c r="Q678" s="16" t="n">
        <f aca="false">P678+K678</f>
        <v>46364</v>
      </c>
      <c r="R678" s="12"/>
      <c r="S678" s="12"/>
    </row>
    <row r="679" customFormat="false" ht="15" hidden="false" customHeight="false" outlineLevel="0" collapsed="false">
      <c r="A679" s="15" t="s">
        <v>3936</v>
      </c>
      <c r="B679" s="15" t="s">
        <v>3933</v>
      </c>
      <c r="C679" s="15" t="s">
        <v>394</v>
      </c>
      <c r="D679" s="15" t="s">
        <v>993</v>
      </c>
      <c r="E679" s="15" t="s">
        <v>997</v>
      </c>
      <c r="F679" s="15" t="s">
        <v>3005</v>
      </c>
      <c r="G679" s="15" t="s">
        <v>3006</v>
      </c>
      <c r="H679" s="33" t="n">
        <f aca="false">Packages!$AC$67</f>
        <v>12</v>
      </c>
      <c r="I679" s="15" t="s">
        <v>3007</v>
      </c>
      <c r="J679" s="34" t="n">
        <f aca="false">IF(Packages!$AC$67=0,0,MAX(1,ROUNDUP(Packages!$AC$67/(R_PILE*Fronts!$H$8),0)))</f>
        <v>3</v>
      </c>
      <c r="K679" s="34" t="n">
        <f aca="false">IF(J679=0,0,ROUNDUP(J679*7/WD,0))</f>
        <v>4</v>
      </c>
      <c r="L679" s="15" t="s">
        <v>3934</v>
      </c>
      <c r="M679" s="34" t="n">
        <f aca="false">ROUNDUP(K678*LADDER,0)</f>
        <v>1</v>
      </c>
      <c r="N679" s="34" t="n">
        <f aca="false">IF(K679=0,0,FFLAG)</f>
        <v>2</v>
      </c>
      <c r="O679" s="15" t="s">
        <v>3008</v>
      </c>
      <c r="P679" s="16" t="n">
        <f aca="false">MAX(P678+M679,D_PILEDES,R668)</f>
        <v>46366</v>
      </c>
      <c r="Q679" s="16" t="n">
        <f aca="false">MAX(P679+K679,Q678+N679)</f>
        <v>46370</v>
      </c>
      <c r="R679" s="16" t="n">
        <f aca="false">IF(K679&gt;0,Q679,R668)</f>
        <v>46370</v>
      </c>
      <c r="S679" s="15" t="s">
        <v>3922</v>
      </c>
    </row>
    <row r="680" customFormat="false" ht="15" hidden="false" customHeight="false" outlineLevel="0" collapsed="false">
      <c r="A680" s="15" t="s">
        <v>3937</v>
      </c>
      <c r="B680" s="15" t="s">
        <v>3933</v>
      </c>
      <c r="C680" s="15" t="s">
        <v>394</v>
      </c>
      <c r="D680" s="15" t="s">
        <v>993</v>
      </c>
      <c r="E680" s="15" t="s">
        <v>997</v>
      </c>
      <c r="F680" s="15" t="s">
        <v>3010</v>
      </c>
      <c r="G680" s="15" t="s">
        <v>3011</v>
      </c>
      <c r="H680" s="33" t="n">
        <f aca="false">Packages!$AD$67</f>
        <v>24.1325914969997</v>
      </c>
      <c r="I680" s="15" t="s">
        <v>3012</v>
      </c>
      <c r="J680" s="34" t="n">
        <f aca="false">IF(Packages!$AD$67=0,0,MAX(1,ROUNDUP(Packages!$AD$67/(R_SHEET*Fronts!$I$8),0)))</f>
        <v>1</v>
      </c>
      <c r="K680" s="34" t="n">
        <f aca="false">IF(J680=0,0,ROUNDUP(J680*7/WD,0))</f>
        <v>2</v>
      </c>
      <c r="L680" s="15" t="s">
        <v>3936</v>
      </c>
      <c r="M680" s="34" t="n">
        <f aca="false">ROUNDUP(K679*LADDER,0)</f>
        <v>2</v>
      </c>
      <c r="N680" s="34" t="n">
        <f aca="false">IF(K680=0,0,FFLAG)</f>
        <v>2</v>
      </c>
      <c r="O680" s="15"/>
      <c r="P680" s="16" t="n">
        <f aca="false">MAX(P679+M680,R669)</f>
        <v>46368</v>
      </c>
      <c r="Q680" s="16" t="n">
        <f aca="false">MAX(P680+K680,Q679+N680)</f>
        <v>46372</v>
      </c>
      <c r="R680" s="16" t="n">
        <f aca="false">IF(K680&gt;0,Q680,R669)</f>
        <v>46372</v>
      </c>
      <c r="S680" s="15" t="s">
        <v>3923</v>
      </c>
    </row>
    <row r="681" customFormat="false" ht="15" hidden="false" customHeight="false" outlineLevel="0" collapsed="false">
      <c r="A681" s="15" t="s">
        <v>3938</v>
      </c>
      <c r="B681" s="15" t="s">
        <v>3933</v>
      </c>
      <c r="C681" s="15" t="s">
        <v>394</v>
      </c>
      <c r="D681" s="15" t="s">
        <v>993</v>
      </c>
      <c r="E681" s="15" t="s">
        <v>997</v>
      </c>
      <c r="F681" s="15" t="s">
        <v>3014</v>
      </c>
      <c r="G681" s="15" t="s">
        <v>3015</v>
      </c>
      <c r="H681" s="33" t="n">
        <f aca="false">Packages!$O$67</f>
        <v>12.0662957484998</v>
      </c>
      <c r="I681" s="15" t="s">
        <v>118</v>
      </c>
      <c r="J681" s="34" t="n">
        <f aca="false">IF(Packages!$AG$67=0,0,ROUNDUP(Packages!$O$67/R_DW,0)+DW_DRAW)</f>
        <v>8</v>
      </c>
      <c r="K681" s="34" t="n">
        <f aca="false">IF(J681=0,0,ROUNDUP(J681*7/WD,0))</f>
        <v>10</v>
      </c>
      <c r="L681" s="15" t="s">
        <v>3937</v>
      </c>
      <c r="M681" s="34" t="n">
        <f aca="false">ROUNDUP(K680*LADDER,0)</f>
        <v>1</v>
      </c>
      <c r="N681" s="34" t="n">
        <f aca="false">IF(K681=0,0,FFLAG)</f>
        <v>2</v>
      </c>
      <c r="O681" s="15" t="s">
        <v>3939</v>
      </c>
      <c r="P681" s="16" t="n">
        <f aca="false">MAX(P680+M681,Q671-K681)</f>
        <v>46369</v>
      </c>
      <c r="Q681" s="16" t="n">
        <f aca="false">MAX(P681+K681,Q680+N681)</f>
        <v>46379</v>
      </c>
      <c r="R681" s="12"/>
      <c r="S681" s="12"/>
    </row>
    <row r="682" customFormat="false" ht="15" hidden="false" customHeight="false" outlineLevel="0" collapsed="false">
      <c r="A682" s="15" t="s">
        <v>3940</v>
      </c>
      <c r="B682" s="15" t="s">
        <v>3933</v>
      </c>
      <c r="C682" s="15" t="s">
        <v>394</v>
      </c>
      <c r="D682" s="15" t="s">
        <v>993</v>
      </c>
      <c r="E682" s="15" t="s">
        <v>997</v>
      </c>
      <c r="F682" s="15" t="s">
        <v>3017</v>
      </c>
      <c r="G682" s="15" t="s">
        <v>3018</v>
      </c>
      <c r="H682" s="33" t="n">
        <f aca="false">Packages!$X$67+Packages!$Y$67</f>
        <v>162.803604447663</v>
      </c>
      <c r="I682" s="15" t="s">
        <v>3019</v>
      </c>
      <c r="J682" s="34" t="n">
        <f aca="false">MAX(1,ROUNDUP((Packages!$X$67/R_EXS+Packages!$Y$67/R_EXO)/Fronts!$J$8,0))</f>
        <v>1</v>
      </c>
      <c r="K682" s="34" t="n">
        <f aca="false">IF(J682=0,0,ROUNDUP(J682*7/WD,0))</f>
        <v>2</v>
      </c>
      <c r="L682" s="15" t="s">
        <v>3938</v>
      </c>
      <c r="M682" s="34" t="n">
        <f aca="false">IF(K681=0,0,ROUNDUP((K681-ROUNDUP(DW_DRAW*7/WD,0))*LADDER,0)+ROUNDUP(DW_DRAW*7/WD,0))</f>
        <v>10</v>
      </c>
      <c r="N682" s="34" t="n">
        <f aca="false">IF(K682=0,0,FFLAG)</f>
        <v>2</v>
      </c>
      <c r="O682" s="15" t="s">
        <v>3941</v>
      </c>
      <c r="P682" s="16" t="n">
        <f aca="false">MAX(P681+M682,R671,P671,P660)</f>
        <v>46379</v>
      </c>
      <c r="Q682" s="16" t="n">
        <f aca="false">MAX(P682+K682,Q681+N682)</f>
        <v>46381</v>
      </c>
      <c r="R682" s="16" t="n">
        <f aca="false">IF(K682&gt;0,Q682,R671)</f>
        <v>46381</v>
      </c>
      <c r="S682" s="15" t="s">
        <v>3926</v>
      </c>
    </row>
    <row r="683" customFormat="false" ht="15" hidden="false" customHeight="false" outlineLevel="0" collapsed="false">
      <c r="A683" s="15" t="s">
        <v>3942</v>
      </c>
      <c r="B683" s="15" t="s">
        <v>3933</v>
      </c>
      <c r="C683" s="15" t="s">
        <v>394</v>
      </c>
      <c r="D683" s="15" t="s">
        <v>993</v>
      </c>
      <c r="E683" s="15" t="s">
        <v>997</v>
      </c>
      <c r="F683" s="15" t="s">
        <v>3022</v>
      </c>
      <c r="G683" s="15" t="s">
        <v>3023</v>
      </c>
      <c r="H683" s="33" t="n">
        <f aca="false">Packages!$O$67</f>
        <v>12.0662957484998</v>
      </c>
      <c r="I683" s="15" t="s">
        <v>118</v>
      </c>
      <c r="J683" s="34" t="n">
        <f aca="false">MAX(1,ROUNDUP(Packages!$O$67/(R_SLAB*Fronts!$K$8),0))+SLAB_CURE</f>
        <v>5</v>
      </c>
      <c r="K683" s="34" t="n">
        <f aca="false">IF(J683=0,0,ROUNDUP(J683*7/WD,0))</f>
        <v>6</v>
      </c>
      <c r="L683" s="15" t="s">
        <v>3940</v>
      </c>
      <c r="M683" s="34" t="n">
        <f aca="false">ROUNDUP(K682*LADDER,0)</f>
        <v>1</v>
      </c>
      <c r="N683" s="34" t="n">
        <f aca="false">IF(K683=0,0,FFLAG)</f>
        <v>2</v>
      </c>
      <c r="O683" s="15"/>
      <c r="P683" s="16" t="n">
        <f aca="false">MAX(P682+M683,R672)</f>
        <v>46384</v>
      </c>
      <c r="Q683" s="16" t="n">
        <f aca="false">MAX(P683+K683,Q682+N683)</f>
        <v>46390</v>
      </c>
      <c r="R683" s="16" t="n">
        <f aca="false">IF(K683&gt;0,Q683,R672)</f>
        <v>46390</v>
      </c>
      <c r="S683" s="15" t="s">
        <v>3927</v>
      </c>
    </row>
    <row r="684" customFormat="false" ht="15" hidden="false" customHeight="false" outlineLevel="0" collapsed="false">
      <c r="A684" s="15" t="s">
        <v>3943</v>
      </c>
      <c r="B684" s="15" t="s">
        <v>3933</v>
      </c>
      <c r="C684" s="15" t="s">
        <v>394</v>
      </c>
      <c r="D684" s="15" t="s">
        <v>993</v>
      </c>
      <c r="E684" s="15" t="s">
        <v>997</v>
      </c>
      <c r="F684" s="15" t="s">
        <v>3025</v>
      </c>
      <c r="G684" s="15" t="s">
        <v>3026</v>
      </c>
      <c r="H684" s="33" t="n">
        <f aca="false">Packages!$O$67</f>
        <v>12.0662957484998</v>
      </c>
      <c r="I684" s="15" t="s">
        <v>118</v>
      </c>
      <c r="J684" s="34" t="n">
        <f aca="false">MAX(1,ROUNDUP(Packages!$O$67/(IF(Packages!$N$67&gt;=PIPE_T1,R_PIPE_L,IF(Packages!$N$67&gt;=PIPE_T2,R_PIPE_M,R_PIPE_S))*Fronts!$L$8)+Packages!$M$67*FIT_D+IF(Packages!$G$67&lt;&gt;"Run",TIE_D,0),0))</f>
        <v>3</v>
      </c>
      <c r="K684" s="34" t="n">
        <f aca="false">IF(J684=0,0,ROUNDUP(J684*7/WD,0))</f>
        <v>4</v>
      </c>
      <c r="L684" s="15" t="s">
        <v>3942</v>
      </c>
      <c r="M684" s="34" t="n">
        <f aca="false">ROUNDUP(K683*LADDER,0)</f>
        <v>2</v>
      </c>
      <c r="N684" s="34" t="n">
        <f aca="false">IF(K684=0,0,FFLAG)</f>
        <v>2</v>
      </c>
      <c r="O684" s="15"/>
      <c r="P684" s="16" t="n">
        <f aca="false">MAX(P683+M684,R673)</f>
        <v>46386</v>
      </c>
      <c r="Q684" s="16" t="n">
        <f aca="false">MAX(P684+K684,Q683+N684)</f>
        <v>46392</v>
      </c>
      <c r="R684" s="16" t="n">
        <f aca="false">IF(K684&gt;0,Q684,R673)</f>
        <v>46392</v>
      </c>
      <c r="S684" s="15" t="s">
        <v>3928</v>
      </c>
    </row>
    <row r="685" customFormat="false" ht="15" hidden="false" customHeight="false" outlineLevel="0" collapsed="false">
      <c r="A685" s="15" t="s">
        <v>3944</v>
      </c>
      <c r="B685" s="15" t="s">
        <v>3933</v>
      </c>
      <c r="C685" s="15" t="s">
        <v>394</v>
      </c>
      <c r="D685" s="15" t="s">
        <v>993</v>
      </c>
      <c r="E685" s="15" t="s">
        <v>997</v>
      </c>
      <c r="F685" s="15" t="s">
        <v>3028</v>
      </c>
      <c r="G685" s="15" t="s">
        <v>3029</v>
      </c>
      <c r="H685" s="33" t="n">
        <f aca="false">Packages!$O$67</f>
        <v>12.0662957484998</v>
      </c>
      <c r="I685" s="15" t="s">
        <v>118</v>
      </c>
      <c r="J685" s="34" t="n">
        <f aca="false">TEST_D+ROUNDUP(Packages!$O$67/R_TEST,0)</f>
        <v>3</v>
      </c>
      <c r="K685" s="34" t="n">
        <f aca="false">IF(J685=0,0,ROUNDUP(J685*7/WD,0))</f>
        <v>4</v>
      </c>
      <c r="L685" s="15" t="s">
        <v>3943</v>
      </c>
      <c r="M685" s="34" t="n">
        <f aca="false">ROUNDUP(K684*LADDER,0)</f>
        <v>2</v>
      </c>
      <c r="N685" s="34" t="n">
        <f aca="false">IF(K685=0,0,FFLAG)</f>
        <v>2</v>
      </c>
      <c r="O685" s="15"/>
      <c r="P685" s="16" t="n">
        <f aca="false">MAX(P684+M685)</f>
        <v>46388</v>
      </c>
      <c r="Q685" s="16" t="n">
        <f aca="false">MAX(P685+K685,Q684+N685)</f>
        <v>46394</v>
      </c>
      <c r="R685" s="12"/>
      <c r="S685" s="12"/>
    </row>
    <row r="686" customFormat="false" ht="15" hidden="false" customHeight="false" outlineLevel="0" collapsed="false">
      <c r="A686" s="15" t="s">
        <v>3945</v>
      </c>
      <c r="B686" s="15" t="s">
        <v>3933</v>
      </c>
      <c r="C686" s="15" t="s">
        <v>394</v>
      </c>
      <c r="D686" s="15" t="s">
        <v>993</v>
      </c>
      <c r="E686" s="15" t="s">
        <v>997</v>
      </c>
      <c r="F686" s="15" t="s">
        <v>3031</v>
      </c>
      <c r="G686" s="15" t="s">
        <v>3032</v>
      </c>
      <c r="H686" s="33" t="n">
        <f aca="false">Packages!$AB$67</f>
        <v>135.642335606503</v>
      </c>
      <c r="I686" s="15" t="s">
        <v>3019</v>
      </c>
      <c r="J686" s="34" t="n">
        <f aca="false">MAX(1,ROUNDUP(Packages!$AB$67/(R_BF*Fronts!$M$8),0))</f>
        <v>1</v>
      </c>
      <c r="K686" s="34" t="n">
        <f aca="false">IF(J686=0,0,ROUNDUP(J686*7/WD,0))</f>
        <v>2</v>
      </c>
      <c r="L686" s="15" t="s">
        <v>3944</v>
      </c>
      <c r="M686" s="34" t="n">
        <f aca="false">ROUNDUP(K685*LADDER,0)</f>
        <v>2</v>
      </c>
      <c r="N686" s="34" t="n">
        <f aca="false">IF(K686=0,0,FFLAG)</f>
        <v>2</v>
      </c>
      <c r="O686" s="15" t="s">
        <v>3946</v>
      </c>
      <c r="P686" s="16" t="n">
        <f aca="false">MAX(P685+M686,R675,Q673,Q662)</f>
        <v>46396</v>
      </c>
      <c r="Q686" s="16" t="n">
        <f aca="false">MAX(P686+K686,Q685+N686)</f>
        <v>46398</v>
      </c>
      <c r="R686" s="16" t="n">
        <f aca="false">IF(K686&gt;0,Q686,R675)</f>
        <v>46398</v>
      </c>
      <c r="S686" s="15" t="s">
        <v>3930</v>
      </c>
    </row>
    <row r="687" customFormat="false" ht="15" hidden="false" customHeight="false" outlineLevel="0" collapsed="false">
      <c r="A687" s="15" t="s">
        <v>3947</v>
      </c>
      <c r="B687" s="15" t="s">
        <v>3933</v>
      </c>
      <c r="C687" s="15" t="s">
        <v>394</v>
      </c>
      <c r="D687" s="15" t="s">
        <v>993</v>
      </c>
      <c r="E687" s="15" t="s">
        <v>997</v>
      </c>
      <c r="F687" s="15" t="s">
        <v>3034</v>
      </c>
      <c r="G687" s="15" t="s">
        <v>3035</v>
      </c>
      <c r="H687" s="33" t="n">
        <f aca="false">Packages!$AD$67</f>
        <v>24.1325914969997</v>
      </c>
      <c r="I687" s="15" t="s">
        <v>3012</v>
      </c>
      <c r="J687" s="34" t="n">
        <f aca="false">IF(Packages!$AD$67&gt;0,ROUNDUP(Packages!$AD$67/R_EXT,0),0)+IF(Packages!$AG$67&gt;0,1,0)</f>
        <v>2</v>
      </c>
      <c r="K687" s="34" t="n">
        <f aca="false">IF(J687=0,0,ROUNDUP(J687*7/WD,0))</f>
        <v>3</v>
      </c>
      <c r="L687" s="15" t="s">
        <v>3945</v>
      </c>
      <c r="M687" s="34" t="n">
        <f aca="false">ROUNDUP(K686*LADDER,0)</f>
        <v>1</v>
      </c>
      <c r="N687" s="34" t="n">
        <f aca="false">IF(K687=0,0,FFLAG)</f>
        <v>2</v>
      </c>
      <c r="O687" s="15"/>
      <c r="P687" s="16" t="n">
        <f aca="false">MAX(P686+M687)</f>
        <v>46397</v>
      </c>
      <c r="Q687" s="16" t="n">
        <f aca="false">MAX(P687+K687,Q686+N687)</f>
        <v>46400</v>
      </c>
      <c r="R687" s="12"/>
      <c r="S687" s="12"/>
    </row>
    <row r="688" customFormat="false" ht="15" hidden="false" customHeight="false" outlineLevel="0" collapsed="false">
      <c r="A688" s="15" t="s">
        <v>3948</v>
      </c>
      <c r="B688" s="15" t="s">
        <v>3949</v>
      </c>
      <c r="C688" s="15" t="s">
        <v>394</v>
      </c>
      <c r="D688" s="15" t="s">
        <v>956</v>
      </c>
      <c r="E688" s="15" t="s">
        <v>990</v>
      </c>
      <c r="F688" s="15" t="s">
        <v>2998</v>
      </c>
      <c r="G688" s="15" t="s">
        <v>2999</v>
      </c>
      <c r="H688" s="12"/>
      <c r="I688" s="12"/>
      <c r="J688" s="34" t="n">
        <f aca="false">0</f>
        <v>0</v>
      </c>
      <c r="K688" s="34" t="n">
        <f aca="false">IF(J688=0,0,ROUNDUP(J688*7/WD,0))</f>
        <v>0</v>
      </c>
      <c r="L688" s="12"/>
      <c r="M688" s="12"/>
      <c r="N688" s="12"/>
      <c r="O688" s="15" t="s">
        <v>3038</v>
      </c>
      <c r="P688" s="16" t="n">
        <f aca="false">MAX(START,D_DLU,Packages!$I$68,Packages!$K$68)</f>
        <v>46357</v>
      </c>
      <c r="Q688" s="16" t="n">
        <f aca="false">P688+K688</f>
        <v>46357</v>
      </c>
      <c r="R688" s="12"/>
      <c r="S688" s="12"/>
    </row>
    <row r="689" customFormat="false" ht="15" hidden="false" customHeight="false" outlineLevel="0" collapsed="false">
      <c r="A689" s="15" t="s">
        <v>3950</v>
      </c>
      <c r="B689" s="15" t="s">
        <v>3949</v>
      </c>
      <c r="C689" s="15" t="s">
        <v>394</v>
      </c>
      <c r="D689" s="15" t="s">
        <v>956</v>
      </c>
      <c r="E689" s="15" t="s">
        <v>990</v>
      </c>
      <c r="F689" s="15" t="s">
        <v>3002</v>
      </c>
      <c r="G689" s="15" t="s">
        <v>205</v>
      </c>
      <c r="H689" s="33" t="n">
        <f aca="false">Packages!$O$68</f>
        <v>12.9696199998062</v>
      </c>
      <c r="I689" s="15" t="s">
        <v>118</v>
      </c>
      <c r="J689" s="34" t="n">
        <f aca="false">MAX(1,ROUNDUP(Packages!$O$68/R_PLAT,0))</f>
        <v>1</v>
      </c>
      <c r="K689" s="34" t="n">
        <f aca="false">IF(J689=0,0,ROUNDUP(J689*7/WD,0))</f>
        <v>2</v>
      </c>
      <c r="L689" s="15" t="s">
        <v>3948</v>
      </c>
      <c r="M689" s="12"/>
      <c r="N689" s="12"/>
      <c r="O689" s="15" t="s">
        <v>3951</v>
      </c>
      <c r="P689" s="16" t="n">
        <f aca="false">MAX(Q688,P657)</f>
        <v>46358</v>
      </c>
      <c r="Q689" s="16" t="n">
        <f aca="false">P689+K689</f>
        <v>46360</v>
      </c>
      <c r="R689" s="12"/>
      <c r="S689" s="12"/>
    </row>
    <row r="690" customFormat="false" ht="15" hidden="false" customHeight="false" outlineLevel="0" collapsed="false">
      <c r="A690" s="15" t="s">
        <v>3952</v>
      </c>
      <c r="B690" s="15" t="s">
        <v>3949</v>
      </c>
      <c r="C690" s="15" t="s">
        <v>394</v>
      </c>
      <c r="D690" s="15" t="s">
        <v>956</v>
      </c>
      <c r="E690" s="15" t="s">
        <v>990</v>
      </c>
      <c r="F690" s="15" t="s">
        <v>3005</v>
      </c>
      <c r="G690" s="15" t="s">
        <v>3006</v>
      </c>
      <c r="H690" s="33" t="n">
        <f aca="false">Packages!$AC$68</f>
        <v>12</v>
      </c>
      <c r="I690" s="15" t="s">
        <v>3007</v>
      </c>
      <c r="J690" s="34" t="n">
        <f aca="false">IF(Packages!$AC$68=0,0,MAX(1,ROUNDUP(Packages!$AC$68/(R_PILE*Fronts!$H$8),0)))</f>
        <v>3</v>
      </c>
      <c r="K690" s="34" t="n">
        <f aca="false">IF(J690=0,0,ROUNDUP(J690*7/WD,0))</f>
        <v>4</v>
      </c>
      <c r="L690" s="15" t="s">
        <v>3950</v>
      </c>
      <c r="M690" s="34" t="n">
        <f aca="false">ROUNDUP(K689*LADDER,0)</f>
        <v>1</v>
      </c>
      <c r="N690" s="34" t="n">
        <f aca="false">IF(K690=0,0,FFLAG)</f>
        <v>2</v>
      </c>
      <c r="O690" s="15" t="s">
        <v>3008</v>
      </c>
      <c r="P690" s="16" t="n">
        <f aca="false">MAX(P689+M690,D_PILEDES)</f>
        <v>46359</v>
      </c>
      <c r="Q690" s="16" t="n">
        <f aca="false">MAX(P690+K690,Q689+N690)</f>
        <v>46363</v>
      </c>
      <c r="R690" s="16" t="n">
        <f aca="false">IF(K690&gt;0,Q690,0)</f>
        <v>46363</v>
      </c>
      <c r="S690" s="12"/>
    </row>
    <row r="691" customFormat="false" ht="15" hidden="false" customHeight="false" outlineLevel="0" collapsed="false">
      <c r="A691" s="15" t="s">
        <v>3953</v>
      </c>
      <c r="B691" s="15" t="s">
        <v>3949</v>
      </c>
      <c r="C691" s="15" t="s">
        <v>394</v>
      </c>
      <c r="D691" s="15" t="s">
        <v>956</v>
      </c>
      <c r="E691" s="15" t="s">
        <v>990</v>
      </c>
      <c r="F691" s="15" t="s">
        <v>3010</v>
      </c>
      <c r="G691" s="15" t="s">
        <v>3011</v>
      </c>
      <c r="H691" s="33" t="n">
        <f aca="false">Packages!$AD$68</f>
        <v>25.9392399996124</v>
      </c>
      <c r="I691" s="15" t="s">
        <v>3012</v>
      </c>
      <c r="J691" s="34" t="n">
        <f aca="false">IF(Packages!$AD$68=0,0,MAX(1,ROUNDUP(Packages!$AD$68/(R_SHEET*Fronts!$I$8),0)))</f>
        <v>2</v>
      </c>
      <c r="K691" s="34" t="n">
        <f aca="false">IF(J691=0,0,ROUNDUP(J691*7/WD,0))</f>
        <v>3</v>
      </c>
      <c r="L691" s="15" t="s">
        <v>3952</v>
      </c>
      <c r="M691" s="34" t="n">
        <f aca="false">ROUNDUP(K690*LADDER,0)</f>
        <v>2</v>
      </c>
      <c r="N691" s="34" t="n">
        <f aca="false">IF(K691=0,0,FFLAG)</f>
        <v>2</v>
      </c>
      <c r="O691" s="15"/>
      <c r="P691" s="16" t="n">
        <f aca="false">MAX(P690+M691)</f>
        <v>46361</v>
      </c>
      <c r="Q691" s="16" t="n">
        <f aca="false">MAX(P691+K691,Q690+N691)</f>
        <v>46365</v>
      </c>
      <c r="R691" s="16" t="n">
        <f aca="false">IF(K691&gt;0,Q691,0)</f>
        <v>46365</v>
      </c>
      <c r="S691" s="12"/>
    </row>
    <row r="692" customFormat="false" ht="15" hidden="false" customHeight="false" outlineLevel="0" collapsed="false">
      <c r="A692" s="15" t="s">
        <v>3954</v>
      </c>
      <c r="B692" s="15" t="s">
        <v>3949</v>
      </c>
      <c r="C692" s="15" t="s">
        <v>394</v>
      </c>
      <c r="D692" s="15" t="s">
        <v>956</v>
      </c>
      <c r="E692" s="15" t="s">
        <v>990</v>
      </c>
      <c r="F692" s="15" t="s">
        <v>3014</v>
      </c>
      <c r="G692" s="15" t="s">
        <v>3015</v>
      </c>
      <c r="H692" s="33" t="n">
        <f aca="false">Packages!$O$68</f>
        <v>12.9696199998062</v>
      </c>
      <c r="I692" s="15" t="s">
        <v>118</v>
      </c>
      <c r="J692" s="34" t="n">
        <f aca="false">IF(Packages!$AG$68=0,0,ROUNDUP(Packages!$O$68/R_DW,0)+DW_DRAW)</f>
        <v>8</v>
      </c>
      <c r="K692" s="34" t="n">
        <f aca="false">IF(J692=0,0,ROUNDUP(J692*7/WD,0))</f>
        <v>10</v>
      </c>
      <c r="L692" s="15" t="s">
        <v>3953</v>
      </c>
      <c r="M692" s="34" t="n">
        <f aca="false">ROUNDUP(K691*LADDER,0)</f>
        <v>1</v>
      </c>
      <c r="N692" s="34" t="n">
        <f aca="false">IF(K692=0,0,FFLAG)</f>
        <v>2</v>
      </c>
      <c r="O692" s="15"/>
      <c r="P692" s="16" t="n">
        <f aca="false">MAX(P691+M692)</f>
        <v>46362</v>
      </c>
      <c r="Q692" s="16" t="n">
        <f aca="false">MAX(P692+K692,Q691+N692)</f>
        <v>46372</v>
      </c>
      <c r="R692" s="12"/>
      <c r="S692" s="12"/>
    </row>
    <row r="693" customFormat="false" ht="15" hidden="false" customHeight="false" outlineLevel="0" collapsed="false">
      <c r="A693" s="15" t="s">
        <v>3955</v>
      </c>
      <c r="B693" s="15" t="s">
        <v>3949</v>
      </c>
      <c r="C693" s="15" t="s">
        <v>394</v>
      </c>
      <c r="D693" s="15" t="s">
        <v>956</v>
      </c>
      <c r="E693" s="15" t="s">
        <v>990</v>
      </c>
      <c r="F693" s="15" t="s">
        <v>3017</v>
      </c>
      <c r="G693" s="15" t="s">
        <v>3018</v>
      </c>
      <c r="H693" s="33" t="n">
        <f aca="false">Packages!$X$68+Packages!$Y$68</f>
        <v>244.630570165255</v>
      </c>
      <c r="I693" s="15" t="s">
        <v>3019</v>
      </c>
      <c r="J693" s="34" t="n">
        <f aca="false">MAX(1,ROUNDUP((Packages!$X$68/R_EXS+Packages!$Y$68/R_EXO)/Fronts!$J$8,0))</f>
        <v>1</v>
      </c>
      <c r="K693" s="34" t="n">
        <f aca="false">IF(J693=0,0,ROUNDUP(J693*7/WD,0))</f>
        <v>2</v>
      </c>
      <c r="L693" s="15" t="s">
        <v>3954</v>
      </c>
      <c r="M693" s="34" t="n">
        <f aca="false">IF(K692=0,0,ROUNDUP((K692-ROUNDUP(DW_DRAW*7/WD,0))*LADDER,0)+ROUNDUP(DW_DRAW*7/WD,0))</f>
        <v>10</v>
      </c>
      <c r="N693" s="34" t="n">
        <f aca="false">IF(K693=0,0,FFLAG)</f>
        <v>2</v>
      </c>
      <c r="O693" s="15"/>
      <c r="P693" s="16" t="n">
        <f aca="false">MAX(P692+M693)</f>
        <v>46372</v>
      </c>
      <c r="Q693" s="16" t="n">
        <f aca="false">MAX(P693+K693,Q692+N693)</f>
        <v>46374</v>
      </c>
      <c r="R693" s="16" t="n">
        <f aca="false">IF(K693&gt;0,Q693,0)</f>
        <v>46374</v>
      </c>
      <c r="S693" s="12"/>
    </row>
    <row r="694" customFormat="false" ht="15" hidden="false" customHeight="false" outlineLevel="0" collapsed="false">
      <c r="A694" s="15" t="s">
        <v>3956</v>
      </c>
      <c r="B694" s="15" t="s">
        <v>3949</v>
      </c>
      <c r="C694" s="15" t="s">
        <v>394</v>
      </c>
      <c r="D694" s="15" t="s">
        <v>956</v>
      </c>
      <c r="E694" s="15" t="s">
        <v>990</v>
      </c>
      <c r="F694" s="15" t="s">
        <v>3022</v>
      </c>
      <c r="G694" s="15" t="s">
        <v>3023</v>
      </c>
      <c r="H694" s="33" t="n">
        <f aca="false">Packages!$O$68</f>
        <v>12.9696199998062</v>
      </c>
      <c r="I694" s="15" t="s">
        <v>118</v>
      </c>
      <c r="J694" s="34" t="n">
        <f aca="false">MAX(1,ROUNDUP(Packages!$O$68/(R_SLAB*Fronts!$K$8),0))+SLAB_CURE</f>
        <v>5</v>
      </c>
      <c r="K694" s="34" t="n">
        <f aca="false">IF(J694=0,0,ROUNDUP(J694*7/WD,0))</f>
        <v>6</v>
      </c>
      <c r="L694" s="15" t="s">
        <v>3955</v>
      </c>
      <c r="M694" s="34" t="n">
        <f aca="false">ROUNDUP(K693*LADDER,0)</f>
        <v>1</v>
      </c>
      <c r="N694" s="34" t="n">
        <f aca="false">IF(K694=0,0,FFLAG)</f>
        <v>2</v>
      </c>
      <c r="O694" s="15"/>
      <c r="P694" s="16" t="n">
        <f aca="false">MAX(P693+M694)</f>
        <v>46373</v>
      </c>
      <c r="Q694" s="16" t="n">
        <f aca="false">MAX(P694+K694,Q693+N694)</f>
        <v>46379</v>
      </c>
      <c r="R694" s="16" t="n">
        <f aca="false">IF(K694&gt;0,Q694,0)</f>
        <v>46379</v>
      </c>
      <c r="S694" s="12"/>
    </row>
    <row r="695" customFormat="false" ht="15" hidden="false" customHeight="false" outlineLevel="0" collapsed="false">
      <c r="A695" s="15" t="s">
        <v>3957</v>
      </c>
      <c r="B695" s="15" t="s">
        <v>3949</v>
      </c>
      <c r="C695" s="15" t="s">
        <v>394</v>
      </c>
      <c r="D695" s="15" t="s">
        <v>956</v>
      </c>
      <c r="E695" s="15" t="s">
        <v>990</v>
      </c>
      <c r="F695" s="15" t="s">
        <v>3025</v>
      </c>
      <c r="G695" s="15" t="s">
        <v>3026</v>
      </c>
      <c r="H695" s="33" t="n">
        <f aca="false">Packages!$O$68</f>
        <v>12.9696199998062</v>
      </c>
      <c r="I695" s="15" t="s">
        <v>118</v>
      </c>
      <c r="J695" s="34" t="n">
        <f aca="false">MAX(1,ROUNDUP(Packages!$O$68/(IF(Packages!$N$68&gt;=PIPE_T1,R_PIPE_L,IF(Packages!$N$68&gt;=PIPE_T2,R_PIPE_M,R_PIPE_S))*Fronts!$L$8)+Packages!$M$68*FIT_D+IF(Packages!$G$68&lt;&gt;"Run",TIE_D,0),0))</f>
        <v>4</v>
      </c>
      <c r="K695" s="34" t="n">
        <f aca="false">IF(J695=0,0,ROUNDUP(J695*7/WD,0))</f>
        <v>5</v>
      </c>
      <c r="L695" s="15" t="s">
        <v>3956</v>
      </c>
      <c r="M695" s="34" t="n">
        <f aca="false">ROUNDUP(K694*LADDER,0)</f>
        <v>2</v>
      </c>
      <c r="N695" s="34" t="n">
        <f aca="false">IF(K695=0,0,FFLAG)</f>
        <v>2</v>
      </c>
      <c r="O695" s="15" t="s">
        <v>3958</v>
      </c>
      <c r="P695" s="16" t="n">
        <f aca="false">MAX(P694+M695,Q662)</f>
        <v>46380</v>
      </c>
      <c r="Q695" s="16" t="n">
        <f aca="false">MAX(P695+K695,Q694+N695)</f>
        <v>46385</v>
      </c>
      <c r="R695" s="16" t="n">
        <f aca="false">IF(K695&gt;0,Q695,0)</f>
        <v>46385</v>
      </c>
      <c r="S695" s="12"/>
    </row>
    <row r="696" customFormat="false" ht="15" hidden="false" customHeight="false" outlineLevel="0" collapsed="false">
      <c r="A696" s="15" t="s">
        <v>3959</v>
      </c>
      <c r="B696" s="15" t="s">
        <v>3949</v>
      </c>
      <c r="C696" s="15" t="s">
        <v>394</v>
      </c>
      <c r="D696" s="15" t="s">
        <v>956</v>
      </c>
      <c r="E696" s="15" t="s">
        <v>990</v>
      </c>
      <c r="F696" s="15" t="s">
        <v>3028</v>
      </c>
      <c r="G696" s="15" t="s">
        <v>3029</v>
      </c>
      <c r="H696" s="33" t="n">
        <f aca="false">Packages!$O$68</f>
        <v>12.9696199998062</v>
      </c>
      <c r="I696" s="15" t="s">
        <v>118</v>
      </c>
      <c r="J696" s="34" t="n">
        <f aca="false">TEST_D+ROUNDUP(Packages!$O$68/R_TEST,0)</f>
        <v>3</v>
      </c>
      <c r="K696" s="34" t="n">
        <f aca="false">IF(J696=0,0,ROUNDUP(J696*7/WD,0))</f>
        <v>4</v>
      </c>
      <c r="L696" s="15" t="s">
        <v>3957</v>
      </c>
      <c r="M696" s="34" t="n">
        <f aca="false">ROUNDUP(K695*LADDER,0)</f>
        <v>2</v>
      </c>
      <c r="N696" s="34" t="n">
        <f aca="false">IF(K696=0,0,FFLAG)</f>
        <v>2</v>
      </c>
      <c r="O696" s="15"/>
      <c r="P696" s="16" t="n">
        <f aca="false">MAX(P695+M696)</f>
        <v>46382</v>
      </c>
      <c r="Q696" s="16" t="n">
        <f aca="false">MAX(P696+K696,Q695+N696)</f>
        <v>46387</v>
      </c>
      <c r="R696" s="12"/>
      <c r="S696" s="12"/>
    </row>
    <row r="697" customFormat="false" ht="15" hidden="false" customHeight="false" outlineLevel="0" collapsed="false">
      <c r="A697" s="15" t="s">
        <v>3960</v>
      </c>
      <c r="B697" s="15" t="s">
        <v>3949</v>
      </c>
      <c r="C697" s="15" t="s">
        <v>394</v>
      </c>
      <c r="D697" s="15" t="s">
        <v>956</v>
      </c>
      <c r="E697" s="15" t="s">
        <v>990</v>
      </c>
      <c r="F697" s="15" t="s">
        <v>3031</v>
      </c>
      <c r="G697" s="15" t="s">
        <v>3032</v>
      </c>
      <c r="H697" s="33" t="n">
        <f aca="false">Packages!$AB$68</f>
        <v>181.094081544213</v>
      </c>
      <c r="I697" s="15" t="s">
        <v>3019</v>
      </c>
      <c r="J697" s="34" t="n">
        <f aca="false">MAX(1,ROUNDUP(Packages!$AB$68/(R_BF*Fronts!$M$8),0))</f>
        <v>1</v>
      </c>
      <c r="K697" s="34" t="n">
        <f aca="false">IF(J697=0,0,ROUNDUP(J697*7/WD,0))</f>
        <v>2</v>
      </c>
      <c r="L697" s="15" t="s">
        <v>3959</v>
      </c>
      <c r="M697" s="34" t="n">
        <f aca="false">ROUNDUP(K696*LADDER,0)</f>
        <v>2</v>
      </c>
      <c r="N697" s="34" t="n">
        <f aca="false">IF(K697=0,0,FFLAG)</f>
        <v>2</v>
      </c>
      <c r="O697" s="15"/>
      <c r="P697" s="16" t="n">
        <f aca="false">MAX(P696+M697)</f>
        <v>46384</v>
      </c>
      <c r="Q697" s="16" t="n">
        <f aca="false">MAX(P697+K697,Q696+N697)</f>
        <v>46389</v>
      </c>
      <c r="R697" s="16" t="n">
        <f aca="false">IF(K697&gt;0,Q697,0)</f>
        <v>46389</v>
      </c>
      <c r="S697" s="12"/>
    </row>
    <row r="698" customFormat="false" ht="15" hidden="false" customHeight="false" outlineLevel="0" collapsed="false">
      <c r="A698" s="15" t="s">
        <v>3961</v>
      </c>
      <c r="B698" s="15" t="s">
        <v>3949</v>
      </c>
      <c r="C698" s="15" t="s">
        <v>394</v>
      </c>
      <c r="D698" s="15" t="s">
        <v>956</v>
      </c>
      <c r="E698" s="15" t="s">
        <v>990</v>
      </c>
      <c r="F698" s="15" t="s">
        <v>3034</v>
      </c>
      <c r="G698" s="15" t="s">
        <v>3035</v>
      </c>
      <c r="H698" s="33" t="n">
        <f aca="false">Packages!$AD$68</f>
        <v>25.9392399996124</v>
      </c>
      <c r="I698" s="15" t="s">
        <v>3012</v>
      </c>
      <c r="J698" s="34" t="n">
        <f aca="false">IF(Packages!$AD$68&gt;0,ROUNDUP(Packages!$AD$68/R_EXT,0),0)+IF(Packages!$AG$68&gt;0,1,0)</f>
        <v>2</v>
      </c>
      <c r="K698" s="34" t="n">
        <f aca="false">IF(J698=0,0,ROUNDUP(J698*7/WD,0))</f>
        <v>3</v>
      </c>
      <c r="L698" s="15" t="s">
        <v>3960</v>
      </c>
      <c r="M698" s="34" t="n">
        <f aca="false">ROUNDUP(K697*LADDER,0)</f>
        <v>1</v>
      </c>
      <c r="N698" s="34" t="n">
        <f aca="false">IF(K698=0,0,FFLAG)</f>
        <v>2</v>
      </c>
      <c r="O698" s="15"/>
      <c r="P698" s="16" t="n">
        <f aca="false">MAX(P697+M698)</f>
        <v>46385</v>
      </c>
      <c r="Q698" s="16" t="n">
        <f aca="false">MAX(P698+K698,Q697+N698)</f>
        <v>46391</v>
      </c>
      <c r="R698" s="12"/>
      <c r="S698" s="12"/>
    </row>
    <row r="699" customFormat="false" ht="15" hidden="false" customHeight="false" outlineLevel="0" collapsed="false">
      <c r="A699" s="15" t="s">
        <v>3962</v>
      </c>
      <c r="B699" s="15" t="s">
        <v>3963</v>
      </c>
      <c r="C699" s="15" t="s">
        <v>394</v>
      </c>
      <c r="D699" s="15" t="s">
        <v>956</v>
      </c>
      <c r="E699" s="15" t="s">
        <v>972</v>
      </c>
      <c r="F699" s="15" t="s">
        <v>2998</v>
      </c>
      <c r="G699" s="15" t="s">
        <v>2999</v>
      </c>
      <c r="H699" s="12"/>
      <c r="I699" s="12"/>
      <c r="J699" s="34" t="n">
        <f aca="false">0</f>
        <v>0</v>
      </c>
      <c r="K699" s="34" t="n">
        <f aca="false">IF(J699=0,0,ROUNDUP(J699*7/WD,0))</f>
        <v>0</v>
      </c>
      <c r="L699" s="12"/>
      <c r="M699" s="12"/>
      <c r="N699" s="12"/>
      <c r="O699" s="15" t="s">
        <v>3000</v>
      </c>
      <c r="P699" s="16" t="n">
        <f aca="false">MAX(START,D_DLU,Packages!$I$69,Packages!$K$69)</f>
        <v>46357</v>
      </c>
      <c r="Q699" s="16" t="n">
        <f aca="false">P699+K699</f>
        <v>46357</v>
      </c>
      <c r="R699" s="12"/>
      <c r="S699" s="12"/>
    </row>
    <row r="700" customFormat="false" ht="15" hidden="false" customHeight="false" outlineLevel="0" collapsed="false">
      <c r="A700" s="15" t="s">
        <v>3964</v>
      </c>
      <c r="B700" s="15" t="s">
        <v>3963</v>
      </c>
      <c r="C700" s="15" t="s">
        <v>394</v>
      </c>
      <c r="D700" s="15" t="s">
        <v>956</v>
      </c>
      <c r="E700" s="15" t="s">
        <v>972</v>
      </c>
      <c r="F700" s="15" t="s">
        <v>3002</v>
      </c>
      <c r="G700" s="15" t="s">
        <v>205</v>
      </c>
      <c r="H700" s="33" t="n">
        <f aca="false">Packages!$O$69</f>
        <v>57.3000000000079</v>
      </c>
      <c r="I700" s="15" t="s">
        <v>118</v>
      </c>
      <c r="J700" s="34" t="n">
        <f aca="false">MAX(1,ROUNDUP(Packages!$O$69/R_PLAT,0))</f>
        <v>1</v>
      </c>
      <c r="K700" s="34" t="n">
        <f aca="false">IF(J700=0,0,ROUNDUP(J700*7/WD,0))</f>
        <v>2</v>
      </c>
      <c r="L700" s="15" t="s">
        <v>3962</v>
      </c>
      <c r="M700" s="12"/>
      <c r="N700" s="12"/>
      <c r="O700" s="15" t="s">
        <v>3965</v>
      </c>
      <c r="P700" s="16" t="n">
        <f aca="false">MAX(Q699,P679)</f>
        <v>46366</v>
      </c>
      <c r="Q700" s="16" t="n">
        <f aca="false">P700+K700</f>
        <v>46368</v>
      </c>
      <c r="R700" s="12"/>
      <c r="S700" s="12"/>
    </row>
    <row r="701" customFormat="false" ht="15" hidden="false" customHeight="false" outlineLevel="0" collapsed="false">
      <c r="A701" s="15" t="s">
        <v>3966</v>
      </c>
      <c r="B701" s="15" t="s">
        <v>3963</v>
      </c>
      <c r="C701" s="15" t="s">
        <v>394</v>
      </c>
      <c r="D701" s="15" t="s">
        <v>956</v>
      </c>
      <c r="E701" s="15" t="s">
        <v>972</v>
      </c>
      <c r="F701" s="15" t="s">
        <v>3005</v>
      </c>
      <c r="G701" s="15" t="s">
        <v>3006</v>
      </c>
      <c r="H701" s="33" t="n">
        <f aca="false">Packages!$AC$69</f>
        <v>42</v>
      </c>
      <c r="I701" s="15" t="s">
        <v>3007</v>
      </c>
      <c r="J701" s="34" t="n">
        <f aca="false">IF(Packages!$AC$69=0,0,MAX(1,ROUNDUP(Packages!$AC$69/(R_PILE*Fronts!$H$8),0)))</f>
        <v>9</v>
      </c>
      <c r="K701" s="34" t="n">
        <f aca="false">IF(J701=0,0,ROUNDUP(J701*7/WD,0))</f>
        <v>11</v>
      </c>
      <c r="L701" s="15" t="s">
        <v>3964</v>
      </c>
      <c r="M701" s="34" t="n">
        <f aca="false">ROUNDUP(K700*LADDER,0)</f>
        <v>1</v>
      </c>
      <c r="N701" s="34" t="n">
        <f aca="false">IF(K701=0,0,FFLAG)</f>
        <v>2</v>
      </c>
      <c r="O701" s="15" t="s">
        <v>3008</v>
      </c>
      <c r="P701" s="16" t="n">
        <f aca="false">MAX(P700+M701,D_PILEDES,R679)</f>
        <v>46370</v>
      </c>
      <c r="Q701" s="16" t="n">
        <f aca="false">MAX(P701+K701,Q700+N701)</f>
        <v>46381</v>
      </c>
      <c r="R701" s="16" t="n">
        <f aca="false">IF(K701&gt;0,Q701,R679)</f>
        <v>46381</v>
      </c>
      <c r="S701" s="15" t="s">
        <v>3936</v>
      </c>
    </row>
    <row r="702" customFormat="false" ht="15" hidden="false" customHeight="false" outlineLevel="0" collapsed="false">
      <c r="A702" s="15" t="s">
        <v>3967</v>
      </c>
      <c r="B702" s="15" t="s">
        <v>3963</v>
      </c>
      <c r="C702" s="15" t="s">
        <v>394</v>
      </c>
      <c r="D702" s="15" t="s">
        <v>956</v>
      </c>
      <c r="E702" s="15" t="s">
        <v>972</v>
      </c>
      <c r="F702" s="15" t="s">
        <v>3010</v>
      </c>
      <c r="G702" s="15" t="s">
        <v>3011</v>
      </c>
      <c r="H702" s="33" t="n">
        <f aca="false">Packages!$AD$69</f>
        <v>114.600000000016</v>
      </c>
      <c r="I702" s="15" t="s">
        <v>3012</v>
      </c>
      <c r="J702" s="34" t="n">
        <f aca="false">IF(Packages!$AD$69=0,0,MAX(1,ROUNDUP(Packages!$AD$69/(R_SHEET*Fronts!$I$8),0)))</f>
        <v>5</v>
      </c>
      <c r="K702" s="34" t="n">
        <f aca="false">IF(J702=0,0,ROUNDUP(J702*7/WD,0))</f>
        <v>6</v>
      </c>
      <c r="L702" s="15" t="s">
        <v>3966</v>
      </c>
      <c r="M702" s="34" t="n">
        <f aca="false">ROUNDUP(K701*LADDER,0)</f>
        <v>4</v>
      </c>
      <c r="N702" s="34" t="n">
        <f aca="false">IF(K702=0,0,FFLAG)</f>
        <v>2</v>
      </c>
      <c r="O702" s="15"/>
      <c r="P702" s="16" t="n">
        <f aca="false">MAX(P701+M702,R680)</f>
        <v>46374</v>
      </c>
      <c r="Q702" s="16" t="n">
        <f aca="false">MAX(P702+K702,Q701+N702)</f>
        <v>46383</v>
      </c>
      <c r="R702" s="16" t="n">
        <f aca="false">IF(K702&gt;0,Q702,R680)</f>
        <v>46383</v>
      </c>
      <c r="S702" s="15" t="s">
        <v>3937</v>
      </c>
    </row>
    <row r="703" customFormat="false" ht="15" hidden="false" customHeight="false" outlineLevel="0" collapsed="false">
      <c r="A703" s="15" t="s">
        <v>3968</v>
      </c>
      <c r="B703" s="15" t="s">
        <v>3963</v>
      </c>
      <c r="C703" s="15" t="s">
        <v>394</v>
      </c>
      <c r="D703" s="15" t="s">
        <v>956</v>
      </c>
      <c r="E703" s="15" t="s">
        <v>972</v>
      </c>
      <c r="F703" s="15" t="s">
        <v>3014</v>
      </c>
      <c r="G703" s="15" t="s">
        <v>3015</v>
      </c>
      <c r="H703" s="33" t="n">
        <f aca="false">Packages!$O$69</f>
        <v>57.3000000000079</v>
      </c>
      <c r="I703" s="15" t="s">
        <v>118</v>
      </c>
      <c r="J703" s="34" t="n">
        <f aca="false">IF(Packages!$AG$69=0,0,ROUNDUP(Packages!$O$69/R_DW,0)+DW_DRAW)</f>
        <v>9</v>
      </c>
      <c r="K703" s="34" t="n">
        <f aca="false">IF(J703=0,0,ROUNDUP(J703*7/WD,0))</f>
        <v>11</v>
      </c>
      <c r="L703" s="15" t="s">
        <v>3967</v>
      </c>
      <c r="M703" s="34" t="n">
        <f aca="false">ROUNDUP(K702*LADDER,0)</f>
        <v>2</v>
      </c>
      <c r="N703" s="34" t="n">
        <f aca="false">IF(K703=0,0,FFLAG)</f>
        <v>2</v>
      </c>
      <c r="O703" s="15" t="s">
        <v>3969</v>
      </c>
      <c r="P703" s="16" t="n">
        <f aca="false">MAX(P702+M703,Q682-K703)</f>
        <v>46376</v>
      </c>
      <c r="Q703" s="16" t="n">
        <f aca="false">MAX(P703+K703,Q702+N703)</f>
        <v>46387</v>
      </c>
      <c r="R703" s="12"/>
      <c r="S703" s="12"/>
    </row>
    <row r="704" customFormat="false" ht="15" hidden="false" customHeight="false" outlineLevel="0" collapsed="false">
      <c r="A704" s="15" t="s">
        <v>3970</v>
      </c>
      <c r="B704" s="15" t="s">
        <v>3963</v>
      </c>
      <c r="C704" s="15" t="s">
        <v>394</v>
      </c>
      <c r="D704" s="15" t="s">
        <v>956</v>
      </c>
      <c r="E704" s="15" t="s">
        <v>972</v>
      </c>
      <c r="F704" s="15" t="s">
        <v>3017</v>
      </c>
      <c r="G704" s="15" t="s">
        <v>3018</v>
      </c>
      <c r="H704" s="33" t="n">
        <f aca="false">Packages!$X$69+Packages!$Y$69</f>
        <v>1070.87892379952</v>
      </c>
      <c r="I704" s="15" t="s">
        <v>3019</v>
      </c>
      <c r="J704" s="34" t="n">
        <f aca="false">MAX(1,ROUNDUP((Packages!$X$69/R_EXS+Packages!$Y$69/R_EXO)/Fronts!$J$8,0))</f>
        <v>5</v>
      </c>
      <c r="K704" s="34" t="n">
        <f aca="false">IF(J704=0,0,ROUNDUP(J704*7/WD,0))</f>
        <v>6</v>
      </c>
      <c r="L704" s="15" t="s">
        <v>3968</v>
      </c>
      <c r="M704" s="34" t="n">
        <f aca="false">IF(K703=0,0,ROUNDUP((K703-ROUNDUP(DW_DRAW*7/WD,0))*LADDER,0)+ROUNDUP(DW_DRAW*7/WD,0))</f>
        <v>10</v>
      </c>
      <c r="N704" s="34" t="n">
        <f aca="false">IF(K704=0,0,FFLAG)</f>
        <v>2</v>
      </c>
      <c r="O704" s="15"/>
      <c r="P704" s="16" t="n">
        <f aca="false">MAX(P703+M704,R682)</f>
        <v>46386</v>
      </c>
      <c r="Q704" s="16" t="n">
        <f aca="false">MAX(P704+K704,Q703+N704)</f>
        <v>46392</v>
      </c>
      <c r="R704" s="16" t="n">
        <f aca="false">IF(K704&gt;0,Q704,R682)</f>
        <v>46392</v>
      </c>
      <c r="S704" s="15" t="s">
        <v>3940</v>
      </c>
    </row>
    <row r="705" customFormat="false" ht="15" hidden="false" customHeight="false" outlineLevel="0" collapsed="false">
      <c r="A705" s="15" t="s">
        <v>3971</v>
      </c>
      <c r="B705" s="15" t="s">
        <v>3963</v>
      </c>
      <c r="C705" s="15" t="s">
        <v>394</v>
      </c>
      <c r="D705" s="15" t="s">
        <v>956</v>
      </c>
      <c r="E705" s="15" t="s">
        <v>972</v>
      </c>
      <c r="F705" s="15" t="s">
        <v>3022</v>
      </c>
      <c r="G705" s="15" t="s">
        <v>3023</v>
      </c>
      <c r="H705" s="33" t="n">
        <f aca="false">Packages!$O$69</f>
        <v>57.3000000000079</v>
      </c>
      <c r="I705" s="15" t="s">
        <v>118</v>
      </c>
      <c r="J705" s="34" t="n">
        <f aca="false">MAX(1,ROUNDUP(Packages!$O$69/(R_SLAB*Fronts!$K$8),0))+SLAB_CURE</f>
        <v>8</v>
      </c>
      <c r="K705" s="34" t="n">
        <f aca="false">IF(J705=0,0,ROUNDUP(J705*7/WD,0))</f>
        <v>10</v>
      </c>
      <c r="L705" s="15" t="s">
        <v>3970</v>
      </c>
      <c r="M705" s="34" t="n">
        <f aca="false">ROUNDUP(K704*LADDER,0)</f>
        <v>2</v>
      </c>
      <c r="N705" s="34" t="n">
        <f aca="false">IF(K705=0,0,FFLAG)</f>
        <v>2</v>
      </c>
      <c r="O705" s="15"/>
      <c r="P705" s="16" t="n">
        <f aca="false">MAX(P704+M705,R683)</f>
        <v>46390</v>
      </c>
      <c r="Q705" s="16" t="n">
        <f aca="false">MAX(P705+K705,Q704+N705)</f>
        <v>46400</v>
      </c>
      <c r="R705" s="16" t="n">
        <f aca="false">IF(K705&gt;0,Q705,R683)</f>
        <v>46400</v>
      </c>
      <c r="S705" s="15" t="s">
        <v>3942</v>
      </c>
    </row>
    <row r="706" customFormat="false" ht="15" hidden="false" customHeight="false" outlineLevel="0" collapsed="false">
      <c r="A706" s="15" t="s">
        <v>3972</v>
      </c>
      <c r="B706" s="15" t="s">
        <v>3963</v>
      </c>
      <c r="C706" s="15" t="s">
        <v>394</v>
      </c>
      <c r="D706" s="15" t="s">
        <v>956</v>
      </c>
      <c r="E706" s="15" t="s">
        <v>972</v>
      </c>
      <c r="F706" s="15" t="s">
        <v>3025</v>
      </c>
      <c r="G706" s="15" t="s">
        <v>3026</v>
      </c>
      <c r="H706" s="33" t="n">
        <f aca="false">Packages!$O$69</f>
        <v>57.3000000000079</v>
      </c>
      <c r="I706" s="15" t="s">
        <v>118</v>
      </c>
      <c r="J706" s="34" t="n">
        <f aca="false">MAX(1,ROUNDUP(Packages!$O$69/(IF(Packages!$N$69&gt;=PIPE_T1,R_PIPE_L,IF(Packages!$N$69&gt;=PIPE_T2,R_PIPE_M,R_PIPE_S))*Fronts!$L$8)+Packages!$M$69*FIT_D+IF(Packages!$G$69&lt;&gt;"Run",TIE_D,0),0))</f>
        <v>3</v>
      </c>
      <c r="K706" s="34" t="n">
        <f aca="false">IF(J706=0,0,ROUNDUP(J706*7/WD,0))</f>
        <v>4</v>
      </c>
      <c r="L706" s="15" t="s">
        <v>3971</v>
      </c>
      <c r="M706" s="34" t="n">
        <f aca="false">ROUNDUP(K705*LADDER,0)</f>
        <v>3</v>
      </c>
      <c r="N706" s="34" t="n">
        <f aca="false">IF(K706=0,0,FFLAG)</f>
        <v>2</v>
      </c>
      <c r="O706" s="15"/>
      <c r="P706" s="16" t="n">
        <f aca="false">MAX(P705+M706,R684)</f>
        <v>46393</v>
      </c>
      <c r="Q706" s="16" t="n">
        <f aca="false">MAX(P706+K706,Q705+N706)</f>
        <v>46402</v>
      </c>
      <c r="R706" s="16" t="n">
        <f aca="false">IF(K706&gt;0,Q706,R684)</f>
        <v>46402</v>
      </c>
      <c r="S706" s="15" t="s">
        <v>3943</v>
      </c>
    </row>
    <row r="707" customFormat="false" ht="15" hidden="false" customHeight="false" outlineLevel="0" collapsed="false">
      <c r="A707" s="15" t="s">
        <v>3973</v>
      </c>
      <c r="B707" s="15" t="s">
        <v>3963</v>
      </c>
      <c r="C707" s="15" t="s">
        <v>394</v>
      </c>
      <c r="D707" s="15" t="s">
        <v>956</v>
      </c>
      <c r="E707" s="15" t="s">
        <v>972</v>
      </c>
      <c r="F707" s="15" t="s">
        <v>3028</v>
      </c>
      <c r="G707" s="15" t="s">
        <v>3029</v>
      </c>
      <c r="H707" s="33" t="n">
        <f aca="false">Packages!$O$69</f>
        <v>57.3000000000079</v>
      </c>
      <c r="I707" s="15" t="s">
        <v>118</v>
      </c>
      <c r="J707" s="34" t="n">
        <f aca="false">TEST_D+ROUNDUP(Packages!$O$69/R_TEST,0)</f>
        <v>3</v>
      </c>
      <c r="K707" s="34" t="n">
        <f aca="false">IF(J707=0,0,ROUNDUP(J707*7/WD,0))</f>
        <v>4</v>
      </c>
      <c r="L707" s="15" t="s">
        <v>3972</v>
      </c>
      <c r="M707" s="34" t="n">
        <f aca="false">ROUNDUP(K706*LADDER,0)</f>
        <v>2</v>
      </c>
      <c r="N707" s="34" t="n">
        <f aca="false">IF(K707=0,0,FFLAG)</f>
        <v>2</v>
      </c>
      <c r="O707" s="15"/>
      <c r="P707" s="16" t="n">
        <f aca="false">MAX(P706+M707)</f>
        <v>46395</v>
      </c>
      <c r="Q707" s="16" t="n">
        <f aca="false">MAX(P707+K707,Q706+N707)</f>
        <v>46404</v>
      </c>
      <c r="R707" s="12"/>
      <c r="S707" s="12"/>
    </row>
    <row r="708" customFormat="false" ht="15" hidden="false" customHeight="false" outlineLevel="0" collapsed="false">
      <c r="A708" s="15" t="s">
        <v>3974</v>
      </c>
      <c r="B708" s="15" t="s">
        <v>3963</v>
      </c>
      <c r="C708" s="15" t="s">
        <v>394</v>
      </c>
      <c r="D708" s="15" t="s">
        <v>956</v>
      </c>
      <c r="E708" s="15" t="s">
        <v>972</v>
      </c>
      <c r="F708" s="15" t="s">
        <v>3031</v>
      </c>
      <c r="G708" s="15" t="s">
        <v>3032</v>
      </c>
      <c r="H708" s="33" t="n">
        <f aca="false">Packages!$AB$69</f>
        <v>796.240262241863</v>
      </c>
      <c r="I708" s="15" t="s">
        <v>3019</v>
      </c>
      <c r="J708" s="34" t="n">
        <f aca="false">MAX(1,ROUNDUP(Packages!$AB$69/(R_BF*Fronts!$M$8),0))</f>
        <v>3</v>
      </c>
      <c r="K708" s="34" t="n">
        <f aca="false">IF(J708=0,0,ROUNDUP(J708*7/WD,0))</f>
        <v>4</v>
      </c>
      <c r="L708" s="15" t="s">
        <v>3973</v>
      </c>
      <c r="M708" s="34" t="n">
        <f aca="false">ROUNDUP(K707*LADDER,0)</f>
        <v>2</v>
      </c>
      <c r="N708" s="34" t="n">
        <f aca="false">IF(K708=0,0,FFLAG)</f>
        <v>2</v>
      </c>
      <c r="O708" s="15"/>
      <c r="P708" s="16" t="n">
        <f aca="false">MAX(P707+M708,R686)</f>
        <v>46398</v>
      </c>
      <c r="Q708" s="16" t="n">
        <f aca="false">MAX(P708+K708,Q707+N708)</f>
        <v>46406</v>
      </c>
      <c r="R708" s="16" t="n">
        <f aca="false">IF(K708&gt;0,Q708,R686)</f>
        <v>46406</v>
      </c>
      <c r="S708" s="15" t="s">
        <v>3945</v>
      </c>
    </row>
    <row r="709" customFormat="false" ht="15" hidden="false" customHeight="false" outlineLevel="0" collapsed="false">
      <c r="A709" s="15" t="s">
        <v>3975</v>
      </c>
      <c r="B709" s="15" t="s">
        <v>3963</v>
      </c>
      <c r="C709" s="15" t="s">
        <v>394</v>
      </c>
      <c r="D709" s="15" t="s">
        <v>956</v>
      </c>
      <c r="E709" s="15" t="s">
        <v>972</v>
      </c>
      <c r="F709" s="15" t="s">
        <v>3034</v>
      </c>
      <c r="G709" s="15" t="s">
        <v>3035</v>
      </c>
      <c r="H709" s="33" t="n">
        <f aca="false">Packages!$AD$69</f>
        <v>114.600000000016</v>
      </c>
      <c r="I709" s="15" t="s">
        <v>3012</v>
      </c>
      <c r="J709" s="34" t="n">
        <f aca="false">IF(Packages!$AD$69&gt;0,ROUNDUP(Packages!$AD$69/R_EXT,0),0)+IF(Packages!$AG$69&gt;0,1,0)</f>
        <v>4</v>
      </c>
      <c r="K709" s="34" t="n">
        <f aca="false">IF(J709=0,0,ROUNDUP(J709*7/WD,0))</f>
        <v>5</v>
      </c>
      <c r="L709" s="15" t="s">
        <v>3974</v>
      </c>
      <c r="M709" s="34" t="n">
        <f aca="false">ROUNDUP(K708*LADDER,0)</f>
        <v>2</v>
      </c>
      <c r="N709" s="34" t="n">
        <f aca="false">IF(K709=0,0,FFLAG)</f>
        <v>2</v>
      </c>
      <c r="O709" s="15"/>
      <c r="P709" s="16" t="n">
        <f aca="false">MAX(P708+M709)</f>
        <v>46400</v>
      </c>
      <c r="Q709" s="16" t="n">
        <f aca="false">MAX(P709+K709,Q708+N709)</f>
        <v>46408</v>
      </c>
      <c r="R709" s="12"/>
      <c r="S709" s="12"/>
    </row>
    <row r="710" customFormat="false" ht="15" hidden="false" customHeight="false" outlineLevel="0" collapsed="false">
      <c r="A710" s="15" t="s">
        <v>3976</v>
      </c>
      <c r="B710" s="15" t="s">
        <v>3977</v>
      </c>
      <c r="C710" s="15" t="s">
        <v>394</v>
      </c>
      <c r="D710" s="15" t="s">
        <v>956</v>
      </c>
      <c r="E710" s="15" t="s">
        <v>968</v>
      </c>
      <c r="F710" s="15" t="s">
        <v>2998</v>
      </c>
      <c r="G710" s="15" t="s">
        <v>2999</v>
      </c>
      <c r="H710" s="12"/>
      <c r="I710" s="12"/>
      <c r="J710" s="34" t="n">
        <f aca="false">0</f>
        <v>0</v>
      </c>
      <c r="K710" s="34" t="n">
        <f aca="false">IF(J710=0,0,ROUNDUP(J710*7/WD,0))</f>
        <v>0</v>
      </c>
      <c r="L710" s="12"/>
      <c r="M710" s="12"/>
      <c r="N710" s="12"/>
      <c r="O710" s="15" t="s">
        <v>3000</v>
      </c>
      <c r="P710" s="16" t="n">
        <f aca="false">MAX(START,D_DLU,Packages!$I$70,Packages!$K$70)</f>
        <v>46357</v>
      </c>
      <c r="Q710" s="16" t="n">
        <f aca="false">P710+K710</f>
        <v>46357</v>
      </c>
      <c r="R710" s="12"/>
      <c r="S710" s="12"/>
    </row>
    <row r="711" customFormat="false" ht="15" hidden="false" customHeight="false" outlineLevel="0" collapsed="false">
      <c r="A711" s="15" t="s">
        <v>3978</v>
      </c>
      <c r="B711" s="15" t="s">
        <v>3977</v>
      </c>
      <c r="C711" s="15" t="s">
        <v>394</v>
      </c>
      <c r="D711" s="15" t="s">
        <v>956</v>
      </c>
      <c r="E711" s="15" t="s">
        <v>968</v>
      </c>
      <c r="F711" s="15" t="s">
        <v>3002</v>
      </c>
      <c r="G711" s="15" t="s">
        <v>205</v>
      </c>
      <c r="H711" s="33" t="n">
        <f aca="false">Packages!$O$70</f>
        <v>16.0999999999895</v>
      </c>
      <c r="I711" s="15" t="s">
        <v>118</v>
      </c>
      <c r="J711" s="34" t="n">
        <f aca="false">MAX(1,ROUNDUP(Packages!$O$70/R_PLAT,0))</f>
        <v>1</v>
      </c>
      <c r="K711" s="34" t="n">
        <f aca="false">IF(J711=0,0,ROUNDUP(J711*7/WD,0))</f>
        <v>2</v>
      </c>
      <c r="L711" s="15" t="s">
        <v>3976</v>
      </c>
      <c r="M711" s="12"/>
      <c r="N711" s="12"/>
      <c r="O711" s="15" t="s">
        <v>3979</v>
      </c>
      <c r="P711" s="16" t="n">
        <f aca="false">MAX(Q710,P701)</f>
        <v>46370</v>
      </c>
      <c r="Q711" s="16" t="n">
        <f aca="false">P711+K711</f>
        <v>46372</v>
      </c>
      <c r="R711" s="12"/>
      <c r="S711" s="12"/>
    </row>
    <row r="712" customFormat="false" ht="15" hidden="false" customHeight="false" outlineLevel="0" collapsed="false">
      <c r="A712" s="15" t="s">
        <v>3980</v>
      </c>
      <c r="B712" s="15" t="s">
        <v>3977</v>
      </c>
      <c r="C712" s="15" t="s">
        <v>394</v>
      </c>
      <c r="D712" s="15" t="s">
        <v>956</v>
      </c>
      <c r="E712" s="15" t="s">
        <v>968</v>
      </c>
      <c r="F712" s="15" t="s">
        <v>3005</v>
      </c>
      <c r="G712" s="15" t="s">
        <v>3006</v>
      </c>
      <c r="H712" s="33" t="n">
        <f aca="false">Packages!$AC$70</f>
        <v>14</v>
      </c>
      <c r="I712" s="15" t="s">
        <v>3007</v>
      </c>
      <c r="J712" s="34" t="n">
        <f aca="false">IF(Packages!$AC$70=0,0,MAX(1,ROUNDUP(Packages!$AC$70/(R_PILE*Fronts!$H$8),0)))</f>
        <v>3</v>
      </c>
      <c r="K712" s="34" t="n">
        <f aca="false">IF(J712=0,0,ROUNDUP(J712*7/WD,0))</f>
        <v>4</v>
      </c>
      <c r="L712" s="15" t="s">
        <v>3978</v>
      </c>
      <c r="M712" s="34" t="n">
        <f aca="false">ROUNDUP(K711*LADDER,0)</f>
        <v>1</v>
      </c>
      <c r="N712" s="34" t="n">
        <f aca="false">IF(K712=0,0,FFLAG)</f>
        <v>2</v>
      </c>
      <c r="O712" s="15" t="s">
        <v>3008</v>
      </c>
      <c r="P712" s="16" t="n">
        <f aca="false">MAX(P711+M712,D_PILEDES,R701)</f>
        <v>46381</v>
      </c>
      <c r="Q712" s="16" t="n">
        <f aca="false">MAX(P712+K712,Q711+N712)</f>
        <v>46385</v>
      </c>
      <c r="R712" s="16" t="n">
        <f aca="false">IF(K712&gt;0,Q712,R701)</f>
        <v>46385</v>
      </c>
      <c r="S712" s="15" t="s">
        <v>3966</v>
      </c>
    </row>
    <row r="713" customFormat="false" ht="15" hidden="false" customHeight="false" outlineLevel="0" collapsed="false">
      <c r="A713" s="15" t="s">
        <v>3981</v>
      </c>
      <c r="B713" s="15" t="s">
        <v>3977</v>
      </c>
      <c r="C713" s="15" t="s">
        <v>394</v>
      </c>
      <c r="D713" s="15" t="s">
        <v>956</v>
      </c>
      <c r="E713" s="15" t="s">
        <v>968</v>
      </c>
      <c r="F713" s="15" t="s">
        <v>3010</v>
      </c>
      <c r="G713" s="15" t="s">
        <v>3011</v>
      </c>
      <c r="H713" s="33" t="n">
        <f aca="false">Packages!$AD$70</f>
        <v>32.199999999979</v>
      </c>
      <c r="I713" s="15" t="s">
        <v>3012</v>
      </c>
      <c r="J713" s="34" t="n">
        <f aca="false">IF(Packages!$AD$70=0,0,MAX(1,ROUNDUP(Packages!$AD$70/(R_SHEET*Fronts!$I$8),0)))</f>
        <v>2</v>
      </c>
      <c r="K713" s="34" t="n">
        <f aca="false">IF(J713=0,0,ROUNDUP(J713*7/WD,0))</f>
        <v>3</v>
      </c>
      <c r="L713" s="15" t="s">
        <v>3980</v>
      </c>
      <c r="M713" s="34" t="n">
        <f aca="false">ROUNDUP(K712*LADDER,0)</f>
        <v>2</v>
      </c>
      <c r="N713" s="34" t="n">
        <f aca="false">IF(K713=0,0,FFLAG)</f>
        <v>2</v>
      </c>
      <c r="O713" s="15"/>
      <c r="P713" s="16" t="n">
        <f aca="false">MAX(P712+M713,R702)</f>
        <v>46383</v>
      </c>
      <c r="Q713" s="16" t="n">
        <f aca="false">MAX(P713+K713,Q712+N713)</f>
        <v>46387</v>
      </c>
      <c r="R713" s="16" t="n">
        <f aca="false">IF(K713&gt;0,Q713,R702)</f>
        <v>46387</v>
      </c>
      <c r="S713" s="15" t="s">
        <v>3967</v>
      </c>
    </row>
    <row r="714" customFormat="false" ht="15" hidden="false" customHeight="false" outlineLevel="0" collapsed="false">
      <c r="A714" s="15" t="s">
        <v>3982</v>
      </c>
      <c r="B714" s="15" t="s">
        <v>3977</v>
      </c>
      <c r="C714" s="15" t="s">
        <v>394</v>
      </c>
      <c r="D714" s="15" t="s">
        <v>956</v>
      </c>
      <c r="E714" s="15" t="s">
        <v>968</v>
      </c>
      <c r="F714" s="15" t="s">
        <v>3014</v>
      </c>
      <c r="G714" s="15" t="s">
        <v>3015</v>
      </c>
      <c r="H714" s="33" t="n">
        <f aca="false">Packages!$O$70</f>
        <v>16.0999999999895</v>
      </c>
      <c r="I714" s="15" t="s">
        <v>118</v>
      </c>
      <c r="J714" s="34" t="n">
        <f aca="false">IF(Packages!$AG$70=0,0,ROUNDUP(Packages!$O$70/R_DW,0)+DW_DRAW)</f>
        <v>8</v>
      </c>
      <c r="K714" s="34" t="n">
        <f aca="false">IF(J714=0,0,ROUNDUP(J714*7/WD,0))</f>
        <v>10</v>
      </c>
      <c r="L714" s="15" t="s">
        <v>3981</v>
      </c>
      <c r="M714" s="34" t="n">
        <f aca="false">ROUNDUP(K713*LADDER,0)</f>
        <v>1</v>
      </c>
      <c r="N714" s="34" t="n">
        <f aca="false">IF(K714=0,0,FFLAG)</f>
        <v>2</v>
      </c>
      <c r="O714" s="15" t="s">
        <v>3983</v>
      </c>
      <c r="P714" s="16" t="n">
        <f aca="false">MAX(P713+M714,Q704-K714)</f>
        <v>46384</v>
      </c>
      <c r="Q714" s="16" t="n">
        <f aca="false">MAX(P714+K714,Q713+N714)</f>
        <v>46394</v>
      </c>
      <c r="R714" s="12"/>
      <c r="S714" s="12"/>
    </row>
    <row r="715" customFormat="false" ht="15" hidden="false" customHeight="false" outlineLevel="0" collapsed="false">
      <c r="A715" s="15" t="s">
        <v>3984</v>
      </c>
      <c r="B715" s="15" t="s">
        <v>3977</v>
      </c>
      <c r="C715" s="15" t="s">
        <v>394</v>
      </c>
      <c r="D715" s="15" t="s">
        <v>956</v>
      </c>
      <c r="E715" s="15" t="s">
        <v>968</v>
      </c>
      <c r="F715" s="15" t="s">
        <v>3017</v>
      </c>
      <c r="G715" s="15" t="s">
        <v>3018</v>
      </c>
      <c r="H715" s="33" t="n">
        <f aca="false">Packages!$X$70+Packages!$Y$70</f>
        <v>301.067085385353</v>
      </c>
      <c r="I715" s="15" t="s">
        <v>3019</v>
      </c>
      <c r="J715" s="34" t="n">
        <f aca="false">MAX(1,ROUNDUP((Packages!$X$70/R_EXS+Packages!$Y$70/R_EXO)/Fronts!$J$8,0))</f>
        <v>2</v>
      </c>
      <c r="K715" s="34" t="n">
        <f aca="false">IF(J715=0,0,ROUNDUP(J715*7/WD,0))</f>
        <v>3</v>
      </c>
      <c r="L715" s="15" t="s">
        <v>3982</v>
      </c>
      <c r="M715" s="34" t="n">
        <f aca="false">IF(K714=0,0,ROUNDUP((K714-ROUNDUP(DW_DRAW*7/WD,0))*LADDER,0)+ROUNDUP(DW_DRAW*7/WD,0))</f>
        <v>10</v>
      </c>
      <c r="N715" s="34" t="n">
        <f aca="false">IF(K715=0,0,FFLAG)</f>
        <v>2</v>
      </c>
      <c r="O715" s="15"/>
      <c r="P715" s="16" t="n">
        <f aca="false">MAX(P714+M715,R704)</f>
        <v>46394</v>
      </c>
      <c r="Q715" s="16" t="n">
        <f aca="false">MAX(P715+K715,Q714+N715)</f>
        <v>46397</v>
      </c>
      <c r="R715" s="16" t="n">
        <f aca="false">IF(K715&gt;0,Q715,R704)</f>
        <v>46397</v>
      </c>
      <c r="S715" s="15" t="s">
        <v>3970</v>
      </c>
    </row>
    <row r="716" customFormat="false" ht="15" hidden="false" customHeight="false" outlineLevel="0" collapsed="false">
      <c r="A716" s="15" t="s">
        <v>3985</v>
      </c>
      <c r="B716" s="15" t="s">
        <v>3977</v>
      </c>
      <c r="C716" s="15" t="s">
        <v>394</v>
      </c>
      <c r="D716" s="15" t="s">
        <v>956</v>
      </c>
      <c r="E716" s="15" t="s">
        <v>968</v>
      </c>
      <c r="F716" s="15" t="s">
        <v>3022</v>
      </c>
      <c r="G716" s="15" t="s">
        <v>3023</v>
      </c>
      <c r="H716" s="33" t="n">
        <f aca="false">Packages!$O$70</f>
        <v>16.0999999999895</v>
      </c>
      <c r="I716" s="15" t="s">
        <v>118</v>
      </c>
      <c r="J716" s="34" t="n">
        <f aca="false">MAX(1,ROUNDUP(Packages!$O$70/(R_SLAB*Fronts!$K$8),0))+SLAB_CURE</f>
        <v>5</v>
      </c>
      <c r="K716" s="34" t="n">
        <f aca="false">IF(J716=0,0,ROUNDUP(J716*7/WD,0))</f>
        <v>6</v>
      </c>
      <c r="L716" s="15" t="s">
        <v>3984</v>
      </c>
      <c r="M716" s="34" t="n">
        <f aca="false">ROUNDUP(K715*LADDER,0)</f>
        <v>1</v>
      </c>
      <c r="N716" s="34" t="n">
        <f aca="false">IF(K716=0,0,FFLAG)</f>
        <v>2</v>
      </c>
      <c r="O716" s="15"/>
      <c r="P716" s="16" t="n">
        <f aca="false">MAX(P715+M716,R705)</f>
        <v>46400</v>
      </c>
      <c r="Q716" s="16" t="n">
        <f aca="false">MAX(P716+K716,Q715+N716)</f>
        <v>46406</v>
      </c>
      <c r="R716" s="16" t="n">
        <f aca="false">IF(K716&gt;0,Q716,R705)</f>
        <v>46406</v>
      </c>
      <c r="S716" s="15" t="s">
        <v>3971</v>
      </c>
    </row>
    <row r="717" customFormat="false" ht="15" hidden="false" customHeight="false" outlineLevel="0" collapsed="false">
      <c r="A717" s="15" t="s">
        <v>3986</v>
      </c>
      <c r="B717" s="15" t="s">
        <v>3977</v>
      </c>
      <c r="C717" s="15" t="s">
        <v>394</v>
      </c>
      <c r="D717" s="15" t="s">
        <v>956</v>
      </c>
      <c r="E717" s="15" t="s">
        <v>968</v>
      </c>
      <c r="F717" s="15" t="s">
        <v>3025</v>
      </c>
      <c r="G717" s="15" t="s">
        <v>3026</v>
      </c>
      <c r="H717" s="33" t="n">
        <f aca="false">Packages!$O$70</f>
        <v>16.0999999999895</v>
      </c>
      <c r="I717" s="15" t="s">
        <v>118</v>
      </c>
      <c r="J717" s="34" t="n">
        <f aca="false">MAX(1,ROUNDUP(Packages!$O$70/(IF(Packages!$N$70&gt;=PIPE_T1,R_PIPE_L,IF(Packages!$N$70&gt;=PIPE_T2,R_PIPE_M,R_PIPE_S))*Fronts!$L$8)+Packages!$M$70*FIT_D+IF(Packages!$G$70&lt;&gt;"Run",TIE_D,0),0))</f>
        <v>1</v>
      </c>
      <c r="K717" s="34" t="n">
        <f aca="false">IF(J717=0,0,ROUNDUP(J717*7/WD,0))</f>
        <v>2</v>
      </c>
      <c r="L717" s="15" t="s">
        <v>3985</v>
      </c>
      <c r="M717" s="34" t="n">
        <f aca="false">ROUNDUP(K716*LADDER,0)</f>
        <v>2</v>
      </c>
      <c r="N717" s="34" t="n">
        <f aca="false">IF(K717=0,0,FFLAG)</f>
        <v>2</v>
      </c>
      <c r="O717" s="15"/>
      <c r="P717" s="16" t="n">
        <f aca="false">MAX(P716+M717,R706)</f>
        <v>46402</v>
      </c>
      <c r="Q717" s="16" t="n">
        <f aca="false">MAX(P717+K717,Q716+N717)</f>
        <v>46408</v>
      </c>
      <c r="R717" s="16" t="n">
        <f aca="false">IF(K717&gt;0,Q717,R706)</f>
        <v>46408</v>
      </c>
      <c r="S717" s="15" t="s">
        <v>3972</v>
      </c>
    </row>
    <row r="718" customFormat="false" ht="15" hidden="false" customHeight="false" outlineLevel="0" collapsed="false">
      <c r="A718" s="15" t="s">
        <v>3987</v>
      </c>
      <c r="B718" s="15" t="s">
        <v>3977</v>
      </c>
      <c r="C718" s="15" t="s">
        <v>394</v>
      </c>
      <c r="D718" s="15" t="s">
        <v>956</v>
      </c>
      <c r="E718" s="15" t="s">
        <v>968</v>
      </c>
      <c r="F718" s="15" t="s">
        <v>3028</v>
      </c>
      <c r="G718" s="15" t="s">
        <v>3029</v>
      </c>
      <c r="H718" s="33" t="n">
        <f aca="false">Packages!$O$70</f>
        <v>16.0999999999895</v>
      </c>
      <c r="I718" s="15" t="s">
        <v>118</v>
      </c>
      <c r="J718" s="34" t="n">
        <f aca="false">TEST_D+ROUNDUP(Packages!$O$70/R_TEST,0)</f>
        <v>3</v>
      </c>
      <c r="K718" s="34" t="n">
        <f aca="false">IF(J718=0,0,ROUNDUP(J718*7/WD,0))</f>
        <v>4</v>
      </c>
      <c r="L718" s="15" t="s">
        <v>3986</v>
      </c>
      <c r="M718" s="34" t="n">
        <f aca="false">ROUNDUP(K717*LADDER,0)</f>
        <v>1</v>
      </c>
      <c r="N718" s="34" t="n">
        <f aca="false">IF(K718=0,0,FFLAG)</f>
        <v>2</v>
      </c>
      <c r="O718" s="15"/>
      <c r="P718" s="16" t="n">
        <f aca="false">MAX(P717+M718)</f>
        <v>46403</v>
      </c>
      <c r="Q718" s="16" t="n">
        <f aca="false">MAX(P718+K718,Q717+N718)</f>
        <v>46410</v>
      </c>
      <c r="R718" s="12"/>
      <c r="S718" s="12"/>
    </row>
    <row r="719" customFormat="false" ht="15" hidden="false" customHeight="false" outlineLevel="0" collapsed="false">
      <c r="A719" s="15" t="s">
        <v>3988</v>
      </c>
      <c r="B719" s="15" t="s">
        <v>3977</v>
      </c>
      <c r="C719" s="15" t="s">
        <v>394</v>
      </c>
      <c r="D719" s="15" t="s">
        <v>956</v>
      </c>
      <c r="E719" s="15" t="s">
        <v>968</v>
      </c>
      <c r="F719" s="15" t="s">
        <v>3031</v>
      </c>
      <c r="G719" s="15" t="s">
        <v>3032</v>
      </c>
      <c r="H719" s="33" t="n">
        <f aca="false">Packages!$AB$70</f>
        <v>223.899852382302</v>
      </c>
      <c r="I719" s="15" t="s">
        <v>3019</v>
      </c>
      <c r="J719" s="34" t="n">
        <f aca="false">MAX(1,ROUNDUP(Packages!$AB$70/(R_BF*Fronts!$M$8),0))</f>
        <v>1</v>
      </c>
      <c r="K719" s="34" t="n">
        <f aca="false">IF(J719=0,0,ROUNDUP(J719*7/WD,0))</f>
        <v>2</v>
      </c>
      <c r="L719" s="15" t="s">
        <v>3987</v>
      </c>
      <c r="M719" s="34" t="n">
        <f aca="false">ROUNDUP(K718*LADDER,0)</f>
        <v>2</v>
      </c>
      <c r="N719" s="34" t="n">
        <f aca="false">IF(K719=0,0,FFLAG)</f>
        <v>2</v>
      </c>
      <c r="O719" s="15"/>
      <c r="P719" s="16" t="n">
        <f aca="false">MAX(P718+M719,R708)</f>
        <v>46406</v>
      </c>
      <c r="Q719" s="16" t="n">
        <f aca="false">MAX(P719+K719,Q718+N719)</f>
        <v>46412</v>
      </c>
      <c r="R719" s="16" t="n">
        <f aca="false">IF(K719&gt;0,Q719,R708)</f>
        <v>46412</v>
      </c>
      <c r="S719" s="15" t="s">
        <v>3974</v>
      </c>
    </row>
    <row r="720" customFormat="false" ht="15" hidden="false" customHeight="false" outlineLevel="0" collapsed="false">
      <c r="A720" s="15" t="s">
        <v>3989</v>
      </c>
      <c r="B720" s="15" t="s">
        <v>3977</v>
      </c>
      <c r="C720" s="15" t="s">
        <v>394</v>
      </c>
      <c r="D720" s="15" t="s">
        <v>956</v>
      </c>
      <c r="E720" s="15" t="s">
        <v>968</v>
      </c>
      <c r="F720" s="15" t="s">
        <v>3034</v>
      </c>
      <c r="G720" s="15" t="s">
        <v>3035</v>
      </c>
      <c r="H720" s="33" t="n">
        <f aca="false">Packages!$AD$70</f>
        <v>32.199999999979</v>
      </c>
      <c r="I720" s="15" t="s">
        <v>3012</v>
      </c>
      <c r="J720" s="34" t="n">
        <f aca="false">IF(Packages!$AD$70&gt;0,ROUNDUP(Packages!$AD$70/R_EXT,0),0)+IF(Packages!$AG$70&gt;0,1,0)</f>
        <v>2</v>
      </c>
      <c r="K720" s="34" t="n">
        <f aca="false">IF(J720=0,0,ROUNDUP(J720*7/WD,0))</f>
        <v>3</v>
      </c>
      <c r="L720" s="15" t="s">
        <v>3988</v>
      </c>
      <c r="M720" s="34" t="n">
        <f aca="false">ROUNDUP(K719*LADDER,0)</f>
        <v>1</v>
      </c>
      <c r="N720" s="34" t="n">
        <f aca="false">IF(K720=0,0,FFLAG)</f>
        <v>2</v>
      </c>
      <c r="O720" s="15"/>
      <c r="P720" s="16" t="n">
        <f aca="false">MAX(P719+M720)</f>
        <v>46407</v>
      </c>
      <c r="Q720" s="16" t="n">
        <f aca="false">MAX(P720+K720,Q719+N720)</f>
        <v>46414</v>
      </c>
      <c r="R720" s="12"/>
      <c r="S720" s="12"/>
    </row>
    <row r="721" customFormat="false" ht="15" hidden="false" customHeight="false" outlineLevel="0" collapsed="false">
      <c r="A721" s="15" t="s">
        <v>3990</v>
      </c>
      <c r="B721" s="15" t="s">
        <v>3991</v>
      </c>
      <c r="C721" s="15" t="s">
        <v>394</v>
      </c>
      <c r="D721" s="15" t="s">
        <v>695</v>
      </c>
      <c r="E721" s="15" t="s">
        <v>705</v>
      </c>
      <c r="F721" s="15" t="s">
        <v>2998</v>
      </c>
      <c r="G721" s="15" t="s">
        <v>2999</v>
      </c>
      <c r="H721" s="12"/>
      <c r="I721" s="12"/>
      <c r="J721" s="34" t="n">
        <f aca="false">0</f>
        <v>0</v>
      </c>
      <c r="K721" s="34" t="n">
        <f aca="false">IF(J721=0,0,ROUNDUP(J721*7/WD,0))</f>
        <v>0</v>
      </c>
      <c r="L721" s="12"/>
      <c r="M721" s="12"/>
      <c r="N721" s="12"/>
      <c r="O721" s="15" t="s">
        <v>3000</v>
      </c>
      <c r="P721" s="16" t="n">
        <f aca="false">MAX(START,D_DLU,Packages!$I$71,Packages!$K$71)</f>
        <v>46357</v>
      </c>
      <c r="Q721" s="16" t="n">
        <f aca="false">P721+K721</f>
        <v>46357</v>
      </c>
      <c r="R721" s="12"/>
      <c r="S721" s="12"/>
    </row>
    <row r="722" customFormat="false" ht="15" hidden="false" customHeight="false" outlineLevel="0" collapsed="false">
      <c r="A722" s="15" t="s">
        <v>3992</v>
      </c>
      <c r="B722" s="15" t="s">
        <v>3991</v>
      </c>
      <c r="C722" s="15" t="s">
        <v>394</v>
      </c>
      <c r="D722" s="15" t="s">
        <v>695</v>
      </c>
      <c r="E722" s="15" t="s">
        <v>705</v>
      </c>
      <c r="F722" s="15" t="s">
        <v>3002</v>
      </c>
      <c r="G722" s="15" t="s">
        <v>205</v>
      </c>
      <c r="H722" s="33" t="n">
        <f aca="false">Packages!$O$71</f>
        <v>35.2658153871653</v>
      </c>
      <c r="I722" s="15" t="s">
        <v>118</v>
      </c>
      <c r="J722" s="34" t="n">
        <f aca="false">MAX(1,ROUNDUP(Packages!$O$71/R_PLAT,0))</f>
        <v>1</v>
      </c>
      <c r="K722" s="34" t="n">
        <f aca="false">IF(J722=0,0,ROUNDUP(J722*7/WD,0))</f>
        <v>2</v>
      </c>
      <c r="L722" s="15" t="s">
        <v>3990</v>
      </c>
      <c r="M722" s="12"/>
      <c r="N722" s="12"/>
      <c r="O722" s="15" t="s">
        <v>3993</v>
      </c>
      <c r="P722" s="16" t="n">
        <f aca="false">MAX(Q721,P712)</f>
        <v>46381</v>
      </c>
      <c r="Q722" s="16" t="n">
        <f aca="false">P722+K722</f>
        <v>46383</v>
      </c>
      <c r="R722" s="12"/>
      <c r="S722" s="12"/>
    </row>
    <row r="723" customFormat="false" ht="15" hidden="false" customHeight="false" outlineLevel="0" collapsed="false">
      <c r="A723" s="15" t="s">
        <v>3994</v>
      </c>
      <c r="B723" s="15" t="s">
        <v>3991</v>
      </c>
      <c r="C723" s="15" t="s">
        <v>394</v>
      </c>
      <c r="D723" s="15" t="s">
        <v>695</v>
      </c>
      <c r="E723" s="15" t="s">
        <v>705</v>
      </c>
      <c r="F723" s="15" t="s">
        <v>3005</v>
      </c>
      <c r="G723" s="15" t="s">
        <v>3006</v>
      </c>
      <c r="H723" s="33" t="n">
        <f aca="false">Packages!$AC$71</f>
        <v>26</v>
      </c>
      <c r="I723" s="15" t="s">
        <v>3007</v>
      </c>
      <c r="J723" s="34" t="n">
        <f aca="false">IF(Packages!$AC$71=0,0,MAX(1,ROUNDUP(Packages!$AC$71/(R_PILE*Fronts!$H$8),0)))</f>
        <v>6</v>
      </c>
      <c r="K723" s="34" t="n">
        <f aca="false">IF(J723=0,0,ROUNDUP(J723*7/WD,0))</f>
        <v>7</v>
      </c>
      <c r="L723" s="15" t="s">
        <v>3992</v>
      </c>
      <c r="M723" s="34" t="n">
        <f aca="false">ROUNDUP(K722*LADDER,0)</f>
        <v>1</v>
      </c>
      <c r="N723" s="34" t="n">
        <f aca="false">IF(K723=0,0,FFLAG)</f>
        <v>2</v>
      </c>
      <c r="O723" s="15" t="s">
        <v>3008</v>
      </c>
      <c r="P723" s="16" t="n">
        <f aca="false">MAX(P722+M723,D_PILEDES,R712)</f>
        <v>46385</v>
      </c>
      <c r="Q723" s="16" t="n">
        <f aca="false">MAX(P723+K723,Q722+N723)</f>
        <v>46392</v>
      </c>
      <c r="R723" s="16" t="n">
        <f aca="false">IF(K723&gt;0,Q723,R712)</f>
        <v>46392</v>
      </c>
      <c r="S723" s="15" t="s">
        <v>3980</v>
      </c>
    </row>
    <row r="724" customFormat="false" ht="15" hidden="false" customHeight="false" outlineLevel="0" collapsed="false">
      <c r="A724" s="15" t="s">
        <v>3995</v>
      </c>
      <c r="B724" s="15" t="s">
        <v>3991</v>
      </c>
      <c r="C724" s="15" t="s">
        <v>394</v>
      </c>
      <c r="D724" s="15" t="s">
        <v>695</v>
      </c>
      <c r="E724" s="15" t="s">
        <v>705</v>
      </c>
      <c r="F724" s="15" t="s">
        <v>3010</v>
      </c>
      <c r="G724" s="15" t="s">
        <v>3011</v>
      </c>
      <c r="H724" s="33" t="n">
        <f aca="false">Packages!$AD$71</f>
        <v>66.4772907745083</v>
      </c>
      <c r="I724" s="15" t="s">
        <v>3012</v>
      </c>
      <c r="J724" s="34" t="n">
        <f aca="false">IF(Packages!$AD$71=0,0,MAX(1,ROUNDUP(Packages!$AD$71/(R_SHEET*Fronts!$I$8),0)))</f>
        <v>3</v>
      </c>
      <c r="K724" s="34" t="n">
        <f aca="false">IF(J724=0,0,ROUNDUP(J724*7/WD,0))</f>
        <v>4</v>
      </c>
      <c r="L724" s="15" t="s">
        <v>3994</v>
      </c>
      <c r="M724" s="34" t="n">
        <f aca="false">ROUNDUP(K723*LADDER,0)</f>
        <v>3</v>
      </c>
      <c r="N724" s="34" t="n">
        <f aca="false">IF(K724=0,0,FFLAG)</f>
        <v>2</v>
      </c>
      <c r="O724" s="15"/>
      <c r="P724" s="16" t="n">
        <f aca="false">MAX(P723+M724,R713)</f>
        <v>46388</v>
      </c>
      <c r="Q724" s="16" t="n">
        <f aca="false">MAX(P724+K724,Q723+N724)</f>
        <v>46394</v>
      </c>
      <c r="R724" s="16" t="n">
        <f aca="false">IF(K724&gt;0,Q724,R713)</f>
        <v>46394</v>
      </c>
      <c r="S724" s="15" t="s">
        <v>3981</v>
      </c>
    </row>
    <row r="725" customFormat="false" ht="15" hidden="false" customHeight="false" outlineLevel="0" collapsed="false">
      <c r="A725" s="15" t="s">
        <v>3996</v>
      </c>
      <c r="B725" s="15" t="s">
        <v>3991</v>
      </c>
      <c r="C725" s="15" t="s">
        <v>394</v>
      </c>
      <c r="D725" s="15" t="s">
        <v>695</v>
      </c>
      <c r="E725" s="15" t="s">
        <v>705</v>
      </c>
      <c r="F725" s="15" t="s">
        <v>3014</v>
      </c>
      <c r="G725" s="15" t="s">
        <v>3015</v>
      </c>
      <c r="H725" s="33" t="n">
        <f aca="false">Packages!$O$71</f>
        <v>35.2658153871653</v>
      </c>
      <c r="I725" s="15" t="s">
        <v>118</v>
      </c>
      <c r="J725" s="34" t="n">
        <f aca="false">IF(Packages!$AG$71=0,0,ROUNDUP(Packages!$O$71/R_DW,0)+DW_DRAW)</f>
        <v>8</v>
      </c>
      <c r="K725" s="34" t="n">
        <f aca="false">IF(J725=0,0,ROUNDUP(J725*7/WD,0))</f>
        <v>10</v>
      </c>
      <c r="L725" s="15" t="s">
        <v>3995</v>
      </c>
      <c r="M725" s="34" t="n">
        <f aca="false">ROUNDUP(K724*LADDER,0)</f>
        <v>2</v>
      </c>
      <c r="N725" s="34" t="n">
        <f aca="false">IF(K725=0,0,FFLAG)</f>
        <v>2</v>
      </c>
      <c r="O725" s="15" t="s">
        <v>3997</v>
      </c>
      <c r="P725" s="16" t="n">
        <f aca="false">MAX(P724+M725,Q715-K725)</f>
        <v>46390</v>
      </c>
      <c r="Q725" s="16" t="n">
        <f aca="false">MAX(P725+K725,Q724+N725)</f>
        <v>46400</v>
      </c>
      <c r="R725" s="12"/>
      <c r="S725" s="12"/>
    </row>
    <row r="726" customFormat="false" ht="15" hidden="false" customHeight="false" outlineLevel="0" collapsed="false">
      <c r="A726" s="15" t="s">
        <v>3998</v>
      </c>
      <c r="B726" s="15" t="s">
        <v>3991</v>
      </c>
      <c r="C726" s="15" t="s">
        <v>394</v>
      </c>
      <c r="D726" s="15" t="s">
        <v>695</v>
      </c>
      <c r="E726" s="15" t="s">
        <v>705</v>
      </c>
      <c r="F726" s="15" t="s">
        <v>3017</v>
      </c>
      <c r="G726" s="15" t="s">
        <v>3018</v>
      </c>
      <c r="H726" s="33" t="n">
        <f aca="false">Packages!$X$71+Packages!$Y$71</f>
        <v>544.603219501823</v>
      </c>
      <c r="I726" s="15" t="s">
        <v>3019</v>
      </c>
      <c r="J726" s="34" t="n">
        <f aca="false">MAX(1,ROUNDUP((Packages!$X$71/R_EXS+Packages!$Y$71/R_EXO)/Fronts!$J$8,0))</f>
        <v>3</v>
      </c>
      <c r="K726" s="34" t="n">
        <f aca="false">IF(J726=0,0,ROUNDUP(J726*7/WD,0))</f>
        <v>4</v>
      </c>
      <c r="L726" s="15" t="s">
        <v>3996</v>
      </c>
      <c r="M726" s="34" t="n">
        <f aca="false">IF(K725=0,0,ROUNDUP((K725-ROUNDUP(DW_DRAW*7/WD,0))*LADDER,0)+ROUNDUP(DW_DRAW*7/WD,0))</f>
        <v>10</v>
      </c>
      <c r="N726" s="34" t="n">
        <f aca="false">IF(K726=0,0,FFLAG)</f>
        <v>2</v>
      </c>
      <c r="O726" s="15" t="s">
        <v>3999</v>
      </c>
      <c r="P726" s="16" t="n">
        <f aca="false">MAX(P725+M726,R715,Q983,Q939)</f>
        <v>46459</v>
      </c>
      <c r="Q726" s="16" t="n">
        <f aca="false">MAX(P726+K726,Q725+N726)</f>
        <v>46463</v>
      </c>
      <c r="R726" s="16" t="n">
        <f aca="false">IF(K726&gt;0,Q726,R715)</f>
        <v>46463</v>
      </c>
      <c r="S726" s="15" t="s">
        <v>3984</v>
      </c>
    </row>
    <row r="727" customFormat="false" ht="15" hidden="false" customHeight="false" outlineLevel="0" collapsed="false">
      <c r="A727" s="15" t="s">
        <v>4000</v>
      </c>
      <c r="B727" s="15" t="s">
        <v>3991</v>
      </c>
      <c r="C727" s="15" t="s">
        <v>394</v>
      </c>
      <c r="D727" s="15" t="s">
        <v>695</v>
      </c>
      <c r="E727" s="15" t="s">
        <v>705</v>
      </c>
      <c r="F727" s="15" t="s">
        <v>3022</v>
      </c>
      <c r="G727" s="15" t="s">
        <v>3023</v>
      </c>
      <c r="H727" s="33" t="n">
        <f aca="false">Packages!$O$71</f>
        <v>35.2658153871653</v>
      </c>
      <c r="I727" s="15" t="s">
        <v>118</v>
      </c>
      <c r="J727" s="34" t="n">
        <f aca="false">MAX(1,ROUNDUP(Packages!$O$71/(R_SLAB*Fronts!$K$8),0))+SLAB_CURE</f>
        <v>6</v>
      </c>
      <c r="K727" s="34" t="n">
        <f aca="false">IF(J727=0,0,ROUNDUP(J727*7/WD,0))</f>
        <v>7</v>
      </c>
      <c r="L727" s="15" t="s">
        <v>3998</v>
      </c>
      <c r="M727" s="34" t="n">
        <f aca="false">ROUNDUP(K726*LADDER,0)</f>
        <v>2</v>
      </c>
      <c r="N727" s="34" t="n">
        <f aca="false">IF(K727=0,0,FFLAG)</f>
        <v>2</v>
      </c>
      <c r="O727" s="15"/>
      <c r="P727" s="16" t="n">
        <f aca="false">MAX(P726+M727,R716)</f>
        <v>46461</v>
      </c>
      <c r="Q727" s="16" t="n">
        <f aca="false">MAX(P727+K727,Q726+N727)</f>
        <v>46468</v>
      </c>
      <c r="R727" s="16" t="n">
        <f aca="false">IF(K727&gt;0,Q727,R716)</f>
        <v>46468</v>
      </c>
      <c r="S727" s="15" t="s">
        <v>3985</v>
      </c>
    </row>
    <row r="728" customFormat="false" ht="15" hidden="false" customHeight="false" outlineLevel="0" collapsed="false">
      <c r="A728" s="15" t="s">
        <v>4001</v>
      </c>
      <c r="B728" s="15" t="s">
        <v>3991</v>
      </c>
      <c r="C728" s="15" t="s">
        <v>394</v>
      </c>
      <c r="D728" s="15" t="s">
        <v>695</v>
      </c>
      <c r="E728" s="15" t="s">
        <v>705</v>
      </c>
      <c r="F728" s="15" t="s">
        <v>3025</v>
      </c>
      <c r="G728" s="15" t="s">
        <v>3026</v>
      </c>
      <c r="H728" s="33" t="n">
        <f aca="false">Packages!$O$71</f>
        <v>35.2658153871653</v>
      </c>
      <c r="I728" s="15" t="s">
        <v>118</v>
      </c>
      <c r="J728" s="34" t="n">
        <f aca="false">MAX(1,ROUNDUP(Packages!$O$71/(IF(Packages!$N$71&gt;=PIPE_T1,R_PIPE_L,IF(Packages!$N$71&gt;=PIPE_T2,R_PIPE_M,R_PIPE_S))*Fronts!$L$8)+Packages!$M$71*FIT_D+IF(Packages!$G$71&lt;&gt;"Run",TIE_D,0),0))</f>
        <v>3</v>
      </c>
      <c r="K728" s="34" t="n">
        <f aca="false">IF(J728=0,0,ROUNDUP(J728*7/WD,0))</f>
        <v>4</v>
      </c>
      <c r="L728" s="15" t="s">
        <v>4000</v>
      </c>
      <c r="M728" s="34" t="n">
        <f aca="false">ROUNDUP(K727*LADDER,0)</f>
        <v>3</v>
      </c>
      <c r="N728" s="34" t="n">
        <f aca="false">IF(K728=0,0,FFLAG)</f>
        <v>2</v>
      </c>
      <c r="O728" s="15"/>
      <c r="P728" s="16" t="n">
        <f aca="false">MAX(P727+M728,R717)</f>
        <v>46464</v>
      </c>
      <c r="Q728" s="16" t="n">
        <f aca="false">MAX(P728+K728,Q727+N728)</f>
        <v>46470</v>
      </c>
      <c r="R728" s="16" t="n">
        <f aca="false">IF(K728&gt;0,Q728,R717)</f>
        <v>46470</v>
      </c>
      <c r="S728" s="15" t="s">
        <v>3986</v>
      </c>
    </row>
    <row r="729" customFormat="false" ht="15" hidden="false" customHeight="false" outlineLevel="0" collapsed="false">
      <c r="A729" s="15" t="s">
        <v>4002</v>
      </c>
      <c r="B729" s="15" t="s">
        <v>3991</v>
      </c>
      <c r="C729" s="15" t="s">
        <v>394</v>
      </c>
      <c r="D729" s="15" t="s">
        <v>695</v>
      </c>
      <c r="E729" s="15" t="s">
        <v>705</v>
      </c>
      <c r="F729" s="15" t="s">
        <v>3028</v>
      </c>
      <c r="G729" s="15" t="s">
        <v>3029</v>
      </c>
      <c r="H729" s="33" t="n">
        <f aca="false">Packages!$O$71</f>
        <v>35.2658153871653</v>
      </c>
      <c r="I729" s="15" t="s">
        <v>118</v>
      </c>
      <c r="J729" s="34" t="n">
        <f aca="false">TEST_D+ROUNDUP(Packages!$O$71/R_TEST,0)</f>
        <v>3</v>
      </c>
      <c r="K729" s="34" t="n">
        <f aca="false">IF(J729=0,0,ROUNDUP(J729*7/WD,0))</f>
        <v>4</v>
      </c>
      <c r="L729" s="15" t="s">
        <v>4001</v>
      </c>
      <c r="M729" s="34" t="n">
        <f aca="false">ROUNDUP(K728*LADDER,0)</f>
        <v>2</v>
      </c>
      <c r="N729" s="34" t="n">
        <f aca="false">IF(K729=0,0,FFLAG)</f>
        <v>2</v>
      </c>
      <c r="O729" s="15"/>
      <c r="P729" s="16" t="n">
        <f aca="false">MAX(P728+M729)</f>
        <v>46466</v>
      </c>
      <c r="Q729" s="16" t="n">
        <f aca="false">MAX(P729+K729,Q728+N729)</f>
        <v>46472</v>
      </c>
      <c r="R729" s="12"/>
      <c r="S729" s="12"/>
    </row>
    <row r="730" customFormat="false" ht="15" hidden="false" customHeight="false" outlineLevel="0" collapsed="false">
      <c r="A730" s="15" t="s">
        <v>4003</v>
      </c>
      <c r="B730" s="15" t="s">
        <v>3991</v>
      </c>
      <c r="C730" s="15" t="s">
        <v>394</v>
      </c>
      <c r="D730" s="15" t="s">
        <v>695</v>
      </c>
      <c r="E730" s="15" t="s">
        <v>705</v>
      </c>
      <c r="F730" s="15" t="s">
        <v>3031</v>
      </c>
      <c r="G730" s="15" t="s">
        <v>3032</v>
      </c>
      <c r="H730" s="33" t="n">
        <f aca="false">Packages!$AB$71</f>
        <v>371.841461891266</v>
      </c>
      <c r="I730" s="15" t="s">
        <v>3019</v>
      </c>
      <c r="J730" s="34" t="n">
        <f aca="false">MAX(1,ROUNDUP(Packages!$AB$71/(R_BF*Fronts!$M$8),0))</f>
        <v>2</v>
      </c>
      <c r="K730" s="34" t="n">
        <f aca="false">IF(J730=0,0,ROUNDUP(J730*7/WD,0))</f>
        <v>3</v>
      </c>
      <c r="L730" s="15" t="s">
        <v>4002</v>
      </c>
      <c r="M730" s="34" t="n">
        <f aca="false">ROUNDUP(K729*LADDER,0)</f>
        <v>2</v>
      </c>
      <c r="N730" s="34" t="n">
        <f aca="false">IF(K730=0,0,FFLAG)</f>
        <v>2</v>
      </c>
      <c r="O730" s="15" t="s">
        <v>4004</v>
      </c>
      <c r="P730" s="16" t="n">
        <f aca="false">MAX(P729+M730,R719,Q761,Q739)</f>
        <v>46489</v>
      </c>
      <c r="Q730" s="16" t="n">
        <f aca="false">MAX(P730+K730,Q729+N730)</f>
        <v>46492</v>
      </c>
      <c r="R730" s="16" t="n">
        <f aca="false">IF(K730&gt;0,Q730,R719)</f>
        <v>46492</v>
      </c>
      <c r="S730" s="15" t="s">
        <v>3988</v>
      </c>
    </row>
    <row r="731" customFormat="false" ht="15" hidden="false" customHeight="false" outlineLevel="0" collapsed="false">
      <c r="A731" s="15" t="s">
        <v>4005</v>
      </c>
      <c r="B731" s="15" t="s">
        <v>3991</v>
      </c>
      <c r="C731" s="15" t="s">
        <v>394</v>
      </c>
      <c r="D731" s="15" t="s">
        <v>695</v>
      </c>
      <c r="E731" s="15" t="s">
        <v>705</v>
      </c>
      <c r="F731" s="15" t="s">
        <v>3034</v>
      </c>
      <c r="G731" s="15" t="s">
        <v>3035</v>
      </c>
      <c r="H731" s="33" t="n">
        <f aca="false">Packages!$AD$71</f>
        <v>66.4772907745083</v>
      </c>
      <c r="I731" s="15" t="s">
        <v>3012</v>
      </c>
      <c r="J731" s="34" t="n">
        <f aca="false">IF(Packages!$AD$71&gt;0,ROUNDUP(Packages!$AD$71/R_EXT,0),0)+IF(Packages!$AG$71&gt;0,1,0)</f>
        <v>3</v>
      </c>
      <c r="K731" s="34" t="n">
        <f aca="false">IF(J731=0,0,ROUNDUP(J731*7/WD,0))</f>
        <v>4</v>
      </c>
      <c r="L731" s="15" t="s">
        <v>4003</v>
      </c>
      <c r="M731" s="34" t="n">
        <f aca="false">ROUNDUP(K730*LADDER,0)</f>
        <v>1</v>
      </c>
      <c r="N731" s="34" t="n">
        <f aca="false">IF(K731=0,0,FFLAG)</f>
        <v>2</v>
      </c>
      <c r="O731" s="15"/>
      <c r="P731" s="16" t="n">
        <f aca="false">MAX(P730+M731)</f>
        <v>46490</v>
      </c>
      <c r="Q731" s="16" t="n">
        <f aca="false">MAX(P731+K731,Q730+N731)</f>
        <v>46494</v>
      </c>
      <c r="R731" s="12"/>
      <c r="S731" s="12"/>
    </row>
    <row r="732" customFormat="false" ht="15" hidden="false" customHeight="false" outlineLevel="0" collapsed="false">
      <c r="A732" s="15" t="s">
        <v>4006</v>
      </c>
      <c r="B732" s="15" t="s">
        <v>4007</v>
      </c>
      <c r="C732" s="15" t="s">
        <v>394</v>
      </c>
      <c r="D732" s="15" t="s">
        <v>719</v>
      </c>
      <c r="E732" s="15" t="s">
        <v>809</v>
      </c>
      <c r="F732" s="15" t="s">
        <v>2998</v>
      </c>
      <c r="G732" s="15" t="s">
        <v>2999</v>
      </c>
      <c r="H732" s="12"/>
      <c r="I732" s="12"/>
      <c r="J732" s="34" t="n">
        <f aca="false">0</f>
        <v>0</v>
      </c>
      <c r="K732" s="34" t="n">
        <f aca="false">IF(J732=0,0,ROUNDUP(J732*7/WD,0))</f>
        <v>0</v>
      </c>
      <c r="L732" s="12"/>
      <c r="M732" s="12"/>
      <c r="N732" s="12"/>
      <c r="O732" s="15" t="s">
        <v>3000</v>
      </c>
      <c r="P732" s="16" t="n">
        <f aca="false">MAX(START,D_DLU,Packages!$I$72,Packages!$K$72)</f>
        <v>46357</v>
      </c>
      <c r="Q732" s="16" t="n">
        <f aca="false">P732+K732</f>
        <v>46357</v>
      </c>
      <c r="R732" s="12"/>
      <c r="S732" s="12"/>
    </row>
    <row r="733" customFormat="false" ht="15" hidden="false" customHeight="false" outlineLevel="0" collapsed="false">
      <c r="A733" s="15" t="s">
        <v>4008</v>
      </c>
      <c r="B733" s="15" t="s">
        <v>4007</v>
      </c>
      <c r="C733" s="15" t="s">
        <v>394</v>
      </c>
      <c r="D733" s="15" t="s">
        <v>719</v>
      </c>
      <c r="E733" s="15" t="s">
        <v>809</v>
      </c>
      <c r="F733" s="15" t="s">
        <v>3002</v>
      </c>
      <c r="G733" s="15" t="s">
        <v>205</v>
      </c>
      <c r="H733" s="33" t="n">
        <f aca="false">Packages!$O$72</f>
        <v>32.0690408274796</v>
      </c>
      <c r="I733" s="15" t="s">
        <v>118</v>
      </c>
      <c r="J733" s="34" t="n">
        <f aca="false">MAX(1,ROUNDUP(Packages!$O$72/R_PLAT,0))</f>
        <v>1</v>
      </c>
      <c r="K733" s="34" t="n">
        <f aca="false">IF(J733=0,0,ROUNDUP(J733*7/WD,0))</f>
        <v>2</v>
      </c>
      <c r="L733" s="15" t="s">
        <v>4006</v>
      </c>
      <c r="M733" s="12"/>
      <c r="N733" s="12"/>
      <c r="O733" s="15" t="s">
        <v>4009</v>
      </c>
      <c r="P733" s="16" t="n">
        <f aca="false">MAX(Q732,P723)</f>
        <v>46385</v>
      </c>
      <c r="Q733" s="16" t="n">
        <f aca="false">P733+K733</f>
        <v>46387</v>
      </c>
      <c r="R733" s="12"/>
      <c r="S733" s="12"/>
    </row>
    <row r="734" customFormat="false" ht="15" hidden="false" customHeight="false" outlineLevel="0" collapsed="false">
      <c r="A734" s="15" t="s">
        <v>4010</v>
      </c>
      <c r="B734" s="15" t="s">
        <v>4007</v>
      </c>
      <c r="C734" s="15" t="s">
        <v>394</v>
      </c>
      <c r="D734" s="15" t="s">
        <v>719</v>
      </c>
      <c r="E734" s="15" t="s">
        <v>809</v>
      </c>
      <c r="F734" s="15" t="s">
        <v>3005</v>
      </c>
      <c r="G734" s="15" t="s">
        <v>3006</v>
      </c>
      <c r="H734" s="33" t="n">
        <f aca="false">Packages!$AC$72</f>
        <v>24</v>
      </c>
      <c r="I734" s="15" t="s">
        <v>3007</v>
      </c>
      <c r="J734" s="34" t="n">
        <f aca="false">IF(Packages!$AC$72=0,0,MAX(1,ROUNDUP(Packages!$AC$72/(R_PILE*Fronts!$H$8),0)))</f>
        <v>5</v>
      </c>
      <c r="K734" s="34" t="n">
        <f aca="false">IF(J734=0,0,ROUNDUP(J734*7/WD,0))</f>
        <v>6</v>
      </c>
      <c r="L734" s="15" t="s">
        <v>4008</v>
      </c>
      <c r="M734" s="34" t="n">
        <f aca="false">ROUNDUP(K733*LADDER,0)</f>
        <v>1</v>
      </c>
      <c r="N734" s="34" t="n">
        <f aca="false">IF(K734=0,0,FFLAG)</f>
        <v>2</v>
      </c>
      <c r="O734" s="15" t="s">
        <v>3008</v>
      </c>
      <c r="P734" s="16" t="n">
        <f aca="false">MAX(P733+M734,D_PILEDES,R723)</f>
        <v>46392</v>
      </c>
      <c r="Q734" s="16" t="n">
        <f aca="false">MAX(P734+K734,Q733+N734)</f>
        <v>46398</v>
      </c>
      <c r="R734" s="16" t="n">
        <f aca="false">IF(K734&gt;0,Q734,R723)</f>
        <v>46398</v>
      </c>
      <c r="S734" s="15" t="s">
        <v>3994</v>
      </c>
    </row>
    <row r="735" customFormat="false" ht="15" hidden="false" customHeight="false" outlineLevel="0" collapsed="false">
      <c r="A735" s="15" t="s">
        <v>4011</v>
      </c>
      <c r="B735" s="15" t="s">
        <v>4007</v>
      </c>
      <c r="C735" s="15" t="s">
        <v>394</v>
      </c>
      <c r="D735" s="15" t="s">
        <v>719</v>
      </c>
      <c r="E735" s="15" t="s">
        <v>809</v>
      </c>
      <c r="F735" s="15" t="s">
        <v>3010</v>
      </c>
      <c r="G735" s="15" t="s">
        <v>3011</v>
      </c>
      <c r="H735" s="33" t="n">
        <f aca="false">Packages!$AD$72</f>
        <v>59.799999999771</v>
      </c>
      <c r="I735" s="15" t="s">
        <v>3012</v>
      </c>
      <c r="J735" s="34" t="n">
        <f aca="false">IF(Packages!$AD$72=0,0,MAX(1,ROUNDUP(Packages!$AD$72/(R_SHEET*Fronts!$I$8),0)))</f>
        <v>3</v>
      </c>
      <c r="K735" s="34" t="n">
        <f aca="false">IF(J735=0,0,ROUNDUP(J735*7/WD,0))</f>
        <v>4</v>
      </c>
      <c r="L735" s="15" t="s">
        <v>4010</v>
      </c>
      <c r="M735" s="34" t="n">
        <f aca="false">ROUNDUP(K734*LADDER,0)</f>
        <v>2</v>
      </c>
      <c r="N735" s="34" t="n">
        <f aca="false">IF(K735=0,0,FFLAG)</f>
        <v>2</v>
      </c>
      <c r="O735" s="15"/>
      <c r="P735" s="16" t="n">
        <f aca="false">MAX(P734+M735,R724)</f>
        <v>46394</v>
      </c>
      <c r="Q735" s="16" t="n">
        <f aca="false">MAX(P735+K735,Q734+N735)</f>
        <v>46400</v>
      </c>
      <c r="R735" s="16" t="n">
        <f aca="false">IF(K735&gt;0,Q735,R724)</f>
        <v>46400</v>
      </c>
      <c r="S735" s="15" t="s">
        <v>3995</v>
      </c>
    </row>
    <row r="736" customFormat="false" ht="15" hidden="false" customHeight="false" outlineLevel="0" collapsed="false">
      <c r="A736" s="15" t="s">
        <v>4012</v>
      </c>
      <c r="B736" s="15" t="s">
        <v>4007</v>
      </c>
      <c r="C736" s="15" t="s">
        <v>394</v>
      </c>
      <c r="D736" s="15" t="s">
        <v>719</v>
      </c>
      <c r="E736" s="15" t="s">
        <v>809</v>
      </c>
      <c r="F736" s="15" t="s">
        <v>3014</v>
      </c>
      <c r="G736" s="15" t="s">
        <v>3015</v>
      </c>
      <c r="H736" s="33" t="n">
        <f aca="false">Packages!$O$72</f>
        <v>32.0690408274796</v>
      </c>
      <c r="I736" s="15" t="s">
        <v>118</v>
      </c>
      <c r="J736" s="34" t="n">
        <f aca="false">IF(Packages!$AG$72=0,0,ROUNDUP(Packages!$O$72/R_DW,0)+DW_DRAW)</f>
        <v>8</v>
      </c>
      <c r="K736" s="34" t="n">
        <f aca="false">IF(J736=0,0,ROUNDUP(J736*7/WD,0))</f>
        <v>10</v>
      </c>
      <c r="L736" s="15" t="s">
        <v>4011</v>
      </c>
      <c r="M736" s="34" t="n">
        <f aca="false">ROUNDUP(K735*LADDER,0)</f>
        <v>2</v>
      </c>
      <c r="N736" s="34" t="n">
        <f aca="false">IF(K736=0,0,FFLAG)</f>
        <v>2</v>
      </c>
      <c r="O736" s="15" t="s">
        <v>4013</v>
      </c>
      <c r="P736" s="16" t="n">
        <f aca="false">MAX(P735+M736,Q726-K736)</f>
        <v>46453</v>
      </c>
      <c r="Q736" s="16" t="n">
        <f aca="false">MAX(P736+K736,Q735+N736)</f>
        <v>46463</v>
      </c>
      <c r="R736" s="12"/>
      <c r="S736" s="12"/>
    </row>
    <row r="737" customFormat="false" ht="15" hidden="false" customHeight="false" outlineLevel="0" collapsed="false">
      <c r="A737" s="15" t="s">
        <v>4014</v>
      </c>
      <c r="B737" s="15" t="s">
        <v>4007</v>
      </c>
      <c r="C737" s="15" t="s">
        <v>394</v>
      </c>
      <c r="D737" s="15" t="s">
        <v>719</v>
      </c>
      <c r="E737" s="15" t="s">
        <v>809</v>
      </c>
      <c r="F737" s="15" t="s">
        <v>3017</v>
      </c>
      <c r="G737" s="15" t="s">
        <v>3018</v>
      </c>
      <c r="H737" s="33" t="n">
        <f aca="false">Packages!$X$72+Packages!$Y$72</f>
        <v>422.932967663737</v>
      </c>
      <c r="I737" s="15" t="s">
        <v>3019</v>
      </c>
      <c r="J737" s="34" t="n">
        <f aca="false">MAX(1,ROUNDUP((Packages!$X$72/R_EXS+Packages!$Y$72/R_EXO)/Fronts!$J$8,0))</f>
        <v>2</v>
      </c>
      <c r="K737" s="34" t="n">
        <f aca="false">IF(J737=0,0,ROUNDUP(J737*7/WD,0))</f>
        <v>3</v>
      </c>
      <c r="L737" s="15" t="s">
        <v>4012</v>
      </c>
      <c r="M737" s="34" t="n">
        <f aca="false">IF(K736=0,0,ROUNDUP((K736-ROUNDUP(DW_DRAW*7/WD,0))*LADDER,0)+ROUNDUP(DW_DRAW*7/WD,0))</f>
        <v>10</v>
      </c>
      <c r="N737" s="34" t="n">
        <f aca="false">IF(K737=0,0,FFLAG)</f>
        <v>2</v>
      </c>
      <c r="O737" s="15" t="s">
        <v>4015</v>
      </c>
      <c r="P737" s="16" t="n">
        <f aca="false">MAX(P736+M737,R726,Q1522,Q983,Q939,P726)</f>
        <v>46463</v>
      </c>
      <c r="Q737" s="16" t="n">
        <f aca="false">MAX(P737+K737,Q736+N737)</f>
        <v>46466</v>
      </c>
      <c r="R737" s="16" t="n">
        <f aca="false">IF(K737&gt;0,Q737,R726)</f>
        <v>46466</v>
      </c>
      <c r="S737" s="15" t="s">
        <v>3998</v>
      </c>
    </row>
    <row r="738" customFormat="false" ht="15" hidden="false" customHeight="false" outlineLevel="0" collapsed="false">
      <c r="A738" s="15" t="s">
        <v>4016</v>
      </c>
      <c r="B738" s="15" t="s">
        <v>4007</v>
      </c>
      <c r="C738" s="15" t="s">
        <v>394</v>
      </c>
      <c r="D738" s="15" t="s">
        <v>719</v>
      </c>
      <c r="E738" s="15" t="s">
        <v>809</v>
      </c>
      <c r="F738" s="15" t="s">
        <v>3022</v>
      </c>
      <c r="G738" s="15" t="s">
        <v>3023</v>
      </c>
      <c r="H738" s="33" t="n">
        <f aca="false">Packages!$O$72</f>
        <v>32.0690408274796</v>
      </c>
      <c r="I738" s="15" t="s">
        <v>118</v>
      </c>
      <c r="J738" s="34" t="n">
        <f aca="false">MAX(1,ROUNDUP(Packages!$O$72/(R_SLAB*Fronts!$K$8),0))+SLAB_CURE</f>
        <v>6</v>
      </c>
      <c r="K738" s="34" t="n">
        <f aca="false">IF(J738=0,0,ROUNDUP(J738*7/WD,0))</f>
        <v>7</v>
      </c>
      <c r="L738" s="15" t="s">
        <v>4014</v>
      </c>
      <c r="M738" s="34" t="n">
        <f aca="false">ROUNDUP(K737*LADDER,0)</f>
        <v>1</v>
      </c>
      <c r="N738" s="34" t="n">
        <f aca="false">IF(K738=0,0,FFLAG)</f>
        <v>2</v>
      </c>
      <c r="O738" s="15"/>
      <c r="P738" s="16" t="n">
        <f aca="false">MAX(P737+M738,R727)</f>
        <v>46468</v>
      </c>
      <c r="Q738" s="16" t="n">
        <f aca="false">MAX(P738+K738,Q737+N738)</f>
        <v>46475</v>
      </c>
      <c r="R738" s="16" t="n">
        <f aca="false">IF(K738&gt;0,Q738,R727)</f>
        <v>46475</v>
      </c>
      <c r="S738" s="15" t="s">
        <v>4000</v>
      </c>
    </row>
    <row r="739" customFormat="false" ht="15" hidden="false" customHeight="false" outlineLevel="0" collapsed="false">
      <c r="A739" s="15" t="s">
        <v>4017</v>
      </c>
      <c r="B739" s="15" t="s">
        <v>4007</v>
      </c>
      <c r="C739" s="15" t="s">
        <v>394</v>
      </c>
      <c r="D739" s="15" t="s">
        <v>719</v>
      </c>
      <c r="E739" s="15" t="s">
        <v>809</v>
      </c>
      <c r="F739" s="15" t="s">
        <v>3025</v>
      </c>
      <c r="G739" s="15" t="s">
        <v>3026</v>
      </c>
      <c r="H739" s="33" t="n">
        <f aca="false">Packages!$O$72</f>
        <v>32.0690408274796</v>
      </c>
      <c r="I739" s="15" t="s">
        <v>118</v>
      </c>
      <c r="J739" s="34" t="n">
        <f aca="false">MAX(1,ROUNDUP(Packages!$O$72/(IF(Packages!$N$72&gt;=PIPE_T1,R_PIPE_L,IF(Packages!$N$72&gt;=PIPE_T2,R_PIPE_M,R_PIPE_S))*Fronts!$L$8)+Packages!$M$72*FIT_D+IF(Packages!$G$72&lt;&gt;"Run",TIE_D,0),0))</f>
        <v>3</v>
      </c>
      <c r="K739" s="34" t="n">
        <f aca="false">IF(J739=0,0,ROUNDUP(J739*7/WD,0))</f>
        <v>4</v>
      </c>
      <c r="L739" s="15" t="s">
        <v>4016</v>
      </c>
      <c r="M739" s="34" t="n">
        <f aca="false">ROUNDUP(K738*LADDER,0)</f>
        <v>3</v>
      </c>
      <c r="N739" s="34" t="n">
        <f aca="false">IF(K739=0,0,FFLAG)</f>
        <v>2</v>
      </c>
      <c r="O739" s="15"/>
      <c r="P739" s="16" t="n">
        <f aca="false">MAX(P738+M739,R728)</f>
        <v>46471</v>
      </c>
      <c r="Q739" s="16" t="n">
        <f aca="false">MAX(P739+K739,Q738+N739)</f>
        <v>46477</v>
      </c>
      <c r="R739" s="16" t="n">
        <f aca="false">IF(K739&gt;0,Q739,R728)</f>
        <v>46477</v>
      </c>
      <c r="S739" s="15" t="s">
        <v>4001</v>
      </c>
    </row>
    <row r="740" customFormat="false" ht="15" hidden="false" customHeight="false" outlineLevel="0" collapsed="false">
      <c r="A740" s="15" t="s">
        <v>4018</v>
      </c>
      <c r="B740" s="15" t="s">
        <v>4007</v>
      </c>
      <c r="C740" s="15" t="s">
        <v>394</v>
      </c>
      <c r="D740" s="15" t="s">
        <v>719</v>
      </c>
      <c r="E740" s="15" t="s">
        <v>809</v>
      </c>
      <c r="F740" s="15" t="s">
        <v>3028</v>
      </c>
      <c r="G740" s="15" t="s">
        <v>3029</v>
      </c>
      <c r="H740" s="33" t="n">
        <f aca="false">Packages!$O$72</f>
        <v>32.0690408274796</v>
      </c>
      <c r="I740" s="15" t="s">
        <v>118</v>
      </c>
      <c r="J740" s="34" t="n">
        <f aca="false">TEST_D+ROUNDUP(Packages!$O$72/R_TEST,0)</f>
        <v>3</v>
      </c>
      <c r="K740" s="34" t="n">
        <f aca="false">IF(J740=0,0,ROUNDUP(J740*7/WD,0))</f>
        <v>4</v>
      </c>
      <c r="L740" s="15" t="s">
        <v>4017</v>
      </c>
      <c r="M740" s="34" t="n">
        <f aca="false">ROUNDUP(K739*LADDER,0)</f>
        <v>2</v>
      </c>
      <c r="N740" s="34" t="n">
        <f aca="false">IF(K740=0,0,FFLAG)</f>
        <v>2</v>
      </c>
      <c r="O740" s="15"/>
      <c r="P740" s="16" t="n">
        <f aca="false">MAX(P739+M740)</f>
        <v>46473</v>
      </c>
      <c r="Q740" s="16" t="n">
        <f aca="false">MAX(P740+K740,Q739+N740)</f>
        <v>46479</v>
      </c>
      <c r="R740" s="12"/>
      <c r="S740" s="12"/>
    </row>
    <row r="741" customFormat="false" ht="15" hidden="false" customHeight="false" outlineLevel="0" collapsed="false">
      <c r="A741" s="15" t="s">
        <v>4019</v>
      </c>
      <c r="B741" s="15" t="s">
        <v>4007</v>
      </c>
      <c r="C741" s="15" t="s">
        <v>394</v>
      </c>
      <c r="D741" s="15" t="s">
        <v>719</v>
      </c>
      <c r="E741" s="15" t="s">
        <v>809</v>
      </c>
      <c r="F741" s="15" t="s">
        <v>3031</v>
      </c>
      <c r="G741" s="15" t="s">
        <v>3032</v>
      </c>
      <c r="H741" s="33" t="n">
        <f aca="false">Packages!$AB$72</f>
        <v>350.995551357536</v>
      </c>
      <c r="I741" s="15" t="s">
        <v>3019</v>
      </c>
      <c r="J741" s="34" t="n">
        <f aca="false">MAX(1,ROUNDUP(Packages!$AB$72/(R_BF*Fronts!$M$8),0))</f>
        <v>2</v>
      </c>
      <c r="K741" s="34" t="n">
        <f aca="false">IF(J741=0,0,ROUNDUP(J741*7/WD,0))</f>
        <v>3</v>
      </c>
      <c r="L741" s="15" t="s">
        <v>4018</v>
      </c>
      <c r="M741" s="34" t="n">
        <f aca="false">ROUNDUP(K740*LADDER,0)</f>
        <v>2</v>
      </c>
      <c r="N741" s="34" t="n">
        <f aca="false">IF(K741=0,0,FFLAG)</f>
        <v>2</v>
      </c>
      <c r="O741" s="15" t="s">
        <v>4020</v>
      </c>
      <c r="P741" s="16" t="n">
        <f aca="false">MAX(P740+M741,R730,Q750,Q728)</f>
        <v>46492</v>
      </c>
      <c r="Q741" s="16" t="n">
        <f aca="false">MAX(P741+K741,Q740+N741)</f>
        <v>46495</v>
      </c>
      <c r="R741" s="16" t="n">
        <f aca="false">IF(K741&gt;0,Q741,R730)</f>
        <v>46495</v>
      </c>
      <c r="S741" s="15" t="s">
        <v>4003</v>
      </c>
    </row>
    <row r="742" customFormat="false" ht="15" hidden="false" customHeight="false" outlineLevel="0" collapsed="false">
      <c r="A742" s="15" t="s">
        <v>4021</v>
      </c>
      <c r="B742" s="15" t="s">
        <v>4007</v>
      </c>
      <c r="C742" s="15" t="s">
        <v>394</v>
      </c>
      <c r="D742" s="15" t="s">
        <v>719</v>
      </c>
      <c r="E742" s="15" t="s">
        <v>809</v>
      </c>
      <c r="F742" s="15" t="s">
        <v>3034</v>
      </c>
      <c r="G742" s="15" t="s">
        <v>3035</v>
      </c>
      <c r="H742" s="33" t="n">
        <f aca="false">Packages!$AD$72</f>
        <v>59.799999999771</v>
      </c>
      <c r="I742" s="15" t="s">
        <v>3012</v>
      </c>
      <c r="J742" s="34" t="n">
        <f aca="false">IF(Packages!$AD$72&gt;0,ROUNDUP(Packages!$AD$72/R_EXT,0),0)+IF(Packages!$AG$72&gt;0,1,0)</f>
        <v>3</v>
      </c>
      <c r="K742" s="34" t="n">
        <f aca="false">IF(J742=0,0,ROUNDUP(J742*7/WD,0))</f>
        <v>4</v>
      </c>
      <c r="L742" s="15" t="s">
        <v>4019</v>
      </c>
      <c r="M742" s="34" t="n">
        <f aca="false">ROUNDUP(K741*LADDER,0)</f>
        <v>1</v>
      </c>
      <c r="N742" s="34" t="n">
        <f aca="false">IF(K742=0,0,FFLAG)</f>
        <v>2</v>
      </c>
      <c r="O742" s="15"/>
      <c r="P742" s="16" t="n">
        <f aca="false">MAX(P741+M742)</f>
        <v>46493</v>
      </c>
      <c r="Q742" s="16" t="n">
        <f aca="false">MAX(P742+K742,Q741+N742)</f>
        <v>46497</v>
      </c>
      <c r="R742" s="12"/>
      <c r="S742" s="12"/>
    </row>
    <row r="743" customFormat="false" ht="15" hidden="false" customHeight="false" outlineLevel="0" collapsed="false">
      <c r="A743" s="15" t="s">
        <v>4022</v>
      </c>
      <c r="B743" s="15" t="s">
        <v>4023</v>
      </c>
      <c r="C743" s="15" t="s">
        <v>394</v>
      </c>
      <c r="D743" s="15" t="s">
        <v>695</v>
      </c>
      <c r="E743" s="15" t="s">
        <v>696</v>
      </c>
      <c r="F743" s="15" t="s">
        <v>2998</v>
      </c>
      <c r="G743" s="15" t="s">
        <v>2999</v>
      </c>
      <c r="H743" s="12"/>
      <c r="I743" s="12"/>
      <c r="J743" s="34" t="n">
        <f aca="false">0</f>
        <v>0</v>
      </c>
      <c r="K743" s="34" t="n">
        <f aca="false">IF(J743=0,0,ROUNDUP(J743*7/WD,0))</f>
        <v>0</v>
      </c>
      <c r="L743" s="12"/>
      <c r="M743" s="12"/>
      <c r="N743" s="12"/>
      <c r="O743" s="15" t="s">
        <v>3000</v>
      </c>
      <c r="P743" s="16" t="n">
        <f aca="false">MAX(START,D_DLU,Packages!$I$73,Packages!$K$73)</f>
        <v>46357</v>
      </c>
      <c r="Q743" s="16" t="n">
        <f aca="false">P743+K743</f>
        <v>46357</v>
      </c>
      <c r="R743" s="12"/>
      <c r="S743" s="12"/>
    </row>
    <row r="744" customFormat="false" ht="15" hidden="false" customHeight="false" outlineLevel="0" collapsed="false">
      <c r="A744" s="15" t="s">
        <v>4024</v>
      </c>
      <c r="B744" s="15" t="s">
        <v>4023</v>
      </c>
      <c r="C744" s="15" t="s">
        <v>394</v>
      </c>
      <c r="D744" s="15" t="s">
        <v>695</v>
      </c>
      <c r="E744" s="15" t="s">
        <v>696</v>
      </c>
      <c r="F744" s="15" t="s">
        <v>3002</v>
      </c>
      <c r="G744" s="15" t="s">
        <v>205</v>
      </c>
      <c r="H744" s="33" t="n">
        <f aca="false">Packages!$O$73</f>
        <v>20.2341846124902</v>
      </c>
      <c r="I744" s="15" t="s">
        <v>118</v>
      </c>
      <c r="J744" s="34" t="n">
        <f aca="false">MAX(1,ROUNDUP(Packages!$O$73/R_PLAT,0))</f>
        <v>1</v>
      </c>
      <c r="K744" s="34" t="n">
        <f aca="false">IF(J744=0,0,ROUNDUP(J744*7/WD,0))</f>
        <v>2</v>
      </c>
      <c r="L744" s="15" t="s">
        <v>4022</v>
      </c>
      <c r="M744" s="12"/>
      <c r="N744" s="12"/>
      <c r="O744" s="15" t="s">
        <v>4025</v>
      </c>
      <c r="P744" s="16" t="n">
        <f aca="false">MAX(Q743,P734)</f>
        <v>46392</v>
      </c>
      <c r="Q744" s="16" t="n">
        <f aca="false">P744+K744</f>
        <v>46394</v>
      </c>
      <c r="R744" s="12"/>
      <c r="S744" s="12"/>
    </row>
    <row r="745" customFormat="false" ht="15" hidden="false" customHeight="false" outlineLevel="0" collapsed="false">
      <c r="A745" s="15" t="s">
        <v>4026</v>
      </c>
      <c r="B745" s="15" t="s">
        <v>4023</v>
      </c>
      <c r="C745" s="15" t="s">
        <v>394</v>
      </c>
      <c r="D745" s="15" t="s">
        <v>695</v>
      </c>
      <c r="E745" s="15" t="s">
        <v>696</v>
      </c>
      <c r="F745" s="15" t="s">
        <v>3005</v>
      </c>
      <c r="G745" s="15" t="s">
        <v>3006</v>
      </c>
      <c r="H745" s="33" t="n">
        <f aca="false">Packages!$AC$73</f>
        <v>16</v>
      </c>
      <c r="I745" s="15" t="s">
        <v>3007</v>
      </c>
      <c r="J745" s="34" t="n">
        <f aca="false">IF(Packages!$AC$73=0,0,MAX(1,ROUNDUP(Packages!$AC$73/(R_PILE*Fronts!$H$8),0)))</f>
        <v>4</v>
      </c>
      <c r="K745" s="34" t="n">
        <f aca="false">IF(J745=0,0,ROUNDUP(J745*7/WD,0))</f>
        <v>5</v>
      </c>
      <c r="L745" s="15" t="s">
        <v>4024</v>
      </c>
      <c r="M745" s="34" t="n">
        <f aca="false">ROUNDUP(K744*LADDER,0)</f>
        <v>1</v>
      </c>
      <c r="N745" s="34" t="n">
        <f aca="false">IF(K745=0,0,FFLAG)</f>
        <v>2</v>
      </c>
      <c r="O745" s="15" t="s">
        <v>3008</v>
      </c>
      <c r="P745" s="16" t="n">
        <f aca="false">MAX(P744+M745,D_PILEDES,R734)</f>
        <v>46398</v>
      </c>
      <c r="Q745" s="16" t="n">
        <f aca="false">MAX(P745+K745,Q744+N745)</f>
        <v>46403</v>
      </c>
      <c r="R745" s="16" t="n">
        <f aca="false">IF(K745&gt;0,Q745,R734)</f>
        <v>46403</v>
      </c>
      <c r="S745" s="15" t="s">
        <v>4010</v>
      </c>
    </row>
    <row r="746" customFormat="false" ht="15" hidden="false" customHeight="false" outlineLevel="0" collapsed="false">
      <c r="A746" s="15" t="s">
        <v>4027</v>
      </c>
      <c r="B746" s="15" t="s">
        <v>4023</v>
      </c>
      <c r="C746" s="15" t="s">
        <v>394</v>
      </c>
      <c r="D746" s="15" t="s">
        <v>695</v>
      </c>
      <c r="E746" s="15" t="s">
        <v>696</v>
      </c>
      <c r="F746" s="15" t="s">
        <v>3010</v>
      </c>
      <c r="G746" s="15" t="s">
        <v>3011</v>
      </c>
      <c r="H746" s="33" t="n">
        <f aca="false">Packages!$AD$73</f>
        <v>0</v>
      </c>
      <c r="I746" s="15" t="s">
        <v>3012</v>
      </c>
      <c r="J746" s="34" t="n">
        <f aca="false">IF(Packages!$AD$73=0,0,MAX(1,ROUNDUP(Packages!$AD$73/(R_SHEET*Fronts!$I$8),0)))</f>
        <v>0</v>
      </c>
      <c r="K746" s="34" t="n">
        <f aca="false">IF(J746=0,0,ROUNDUP(J746*7/WD,0))</f>
        <v>0</v>
      </c>
      <c r="L746" s="15" t="s">
        <v>4026</v>
      </c>
      <c r="M746" s="34" t="n">
        <f aca="false">ROUNDUP(K745*LADDER,0)</f>
        <v>2</v>
      </c>
      <c r="N746" s="34" t="n">
        <f aca="false">IF(K746=0,0,FFLAG)</f>
        <v>0</v>
      </c>
      <c r="O746" s="15"/>
      <c r="P746" s="16" t="n">
        <f aca="false">MAX(P745+M746,R735)</f>
        <v>46400</v>
      </c>
      <c r="Q746" s="16" t="n">
        <f aca="false">MAX(P746+K746,Q745+N746)</f>
        <v>46403</v>
      </c>
      <c r="R746" s="16" t="n">
        <f aca="false">IF(K746&gt;0,Q746,R735)</f>
        <v>46400</v>
      </c>
      <c r="S746" s="15" t="s">
        <v>4011</v>
      </c>
    </row>
    <row r="747" customFormat="false" ht="15" hidden="false" customHeight="false" outlineLevel="0" collapsed="false">
      <c r="A747" s="15" t="s">
        <v>4028</v>
      </c>
      <c r="B747" s="15" t="s">
        <v>4023</v>
      </c>
      <c r="C747" s="15" t="s">
        <v>394</v>
      </c>
      <c r="D747" s="15" t="s">
        <v>695</v>
      </c>
      <c r="E747" s="15" t="s">
        <v>696</v>
      </c>
      <c r="F747" s="15" t="s">
        <v>3014</v>
      </c>
      <c r="G747" s="15" t="s">
        <v>3015</v>
      </c>
      <c r="H747" s="33" t="n">
        <f aca="false">Packages!$O$73</f>
        <v>20.2341846124902</v>
      </c>
      <c r="I747" s="15" t="s">
        <v>118</v>
      </c>
      <c r="J747" s="34" t="n">
        <f aca="false">IF(Packages!$AG$73=0,0,ROUNDUP(Packages!$O$73/R_DW,0)+DW_DRAW)</f>
        <v>8</v>
      </c>
      <c r="K747" s="34" t="n">
        <f aca="false">IF(J747=0,0,ROUNDUP(J747*7/WD,0))</f>
        <v>10</v>
      </c>
      <c r="L747" s="15" t="s">
        <v>4027</v>
      </c>
      <c r="M747" s="34" t="n">
        <f aca="false">ROUNDUP(K746*LADDER,0)</f>
        <v>0</v>
      </c>
      <c r="N747" s="34" t="n">
        <f aca="false">IF(K747=0,0,FFLAG)</f>
        <v>2</v>
      </c>
      <c r="O747" s="15" t="s">
        <v>4029</v>
      </c>
      <c r="P747" s="16" t="n">
        <f aca="false">MAX(P746+M747,Q737-K747)</f>
        <v>46456</v>
      </c>
      <c r="Q747" s="16" t="n">
        <f aca="false">MAX(P747+K747,Q746+N747)</f>
        <v>46466</v>
      </c>
      <c r="R747" s="12"/>
      <c r="S747" s="12"/>
    </row>
    <row r="748" customFormat="false" ht="15" hidden="false" customHeight="false" outlineLevel="0" collapsed="false">
      <c r="A748" s="15" t="s">
        <v>4030</v>
      </c>
      <c r="B748" s="15" t="s">
        <v>4023</v>
      </c>
      <c r="C748" s="15" t="s">
        <v>394</v>
      </c>
      <c r="D748" s="15" t="s">
        <v>695</v>
      </c>
      <c r="E748" s="15" t="s">
        <v>696</v>
      </c>
      <c r="F748" s="15" t="s">
        <v>3017</v>
      </c>
      <c r="G748" s="15" t="s">
        <v>3018</v>
      </c>
      <c r="H748" s="33" t="n">
        <f aca="false">Packages!$X$73+Packages!$Y$73</f>
        <v>497.814331537</v>
      </c>
      <c r="I748" s="15" t="s">
        <v>3019</v>
      </c>
      <c r="J748" s="34" t="n">
        <f aca="false">MAX(1,ROUNDUP((Packages!$X$73/R_EXS+Packages!$Y$73/R_EXO)/Fronts!$J$8,0))</f>
        <v>2</v>
      </c>
      <c r="K748" s="34" t="n">
        <f aca="false">IF(J748=0,0,ROUNDUP(J748*7/WD,0))</f>
        <v>3</v>
      </c>
      <c r="L748" s="15" t="s">
        <v>4028</v>
      </c>
      <c r="M748" s="34" t="n">
        <f aca="false">IF(K747=0,0,ROUNDUP((K747-ROUNDUP(DW_DRAW*7/WD,0))*LADDER,0)+ROUNDUP(DW_DRAW*7/WD,0))</f>
        <v>10</v>
      </c>
      <c r="N748" s="34" t="n">
        <f aca="false">IF(K748=0,0,FFLAG)</f>
        <v>2</v>
      </c>
      <c r="O748" s="15" t="s">
        <v>4031</v>
      </c>
      <c r="P748" s="16" t="n">
        <f aca="false">MAX(P747+M748,R737,Q939,P737)</f>
        <v>46466</v>
      </c>
      <c r="Q748" s="16" t="n">
        <f aca="false">MAX(P748+K748,Q747+N748)</f>
        <v>46469</v>
      </c>
      <c r="R748" s="16" t="n">
        <f aca="false">IF(K748&gt;0,Q748,R737)</f>
        <v>46469</v>
      </c>
      <c r="S748" s="15" t="s">
        <v>4014</v>
      </c>
    </row>
    <row r="749" customFormat="false" ht="15" hidden="false" customHeight="false" outlineLevel="0" collapsed="false">
      <c r="A749" s="15" t="s">
        <v>4032</v>
      </c>
      <c r="B749" s="15" t="s">
        <v>4023</v>
      </c>
      <c r="C749" s="15" t="s">
        <v>394</v>
      </c>
      <c r="D749" s="15" t="s">
        <v>695</v>
      </c>
      <c r="E749" s="15" t="s">
        <v>696</v>
      </c>
      <c r="F749" s="15" t="s">
        <v>3022</v>
      </c>
      <c r="G749" s="15" t="s">
        <v>3023</v>
      </c>
      <c r="H749" s="33" t="n">
        <f aca="false">Packages!$O$73</f>
        <v>20.2341846124902</v>
      </c>
      <c r="I749" s="15" t="s">
        <v>118</v>
      </c>
      <c r="J749" s="34" t="n">
        <f aca="false">MAX(1,ROUNDUP(Packages!$O$73/(R_SLAB*Fronts!$K$8),0))+SLAB_CURE</f>
        <v>5</v>
      </c>
      <c r="K749" s="34" t="n">
        <f aca="false">IF(J749=0,0,ROUNDUP(J749*7/WD,0))</f>
        <v>6</v>
      </c>
      <c r="L749" s="15" t="s">
        <v>4030</v>
      </c>
      <c r="M749" s="34" t="n">
        <f aca="false">ROUNDUP(K748*LADDER,0)</f>
        <v>1</v>
      </c>
      <c r="N749" s="34" t="n">
        <f aca="false">IF(K749=0,0,FFLAG)</f>
        <v>2</v>
      </c>
      <c r="O749" s="15"/>
      <c r="P749" s="16" t="n">
        <f aca="false">MAX(P748+M749,R738)</f>
        <v>46475</v>
      </c>
      <c r="Q749" s="16" t="n">
        <f aca="false">MAX(P749+K749,Q748+N749)</f>
        <v>46481</v>
      </c>
      <c r="R749" s="16" t="n">
        <f aca="false">IF(K749&gt;0,Q749,R738)</f>
        <v>46481</v>
      </c>
      <c r="S749" s="15" t="s">
        <v>4016</v>
      </c>
    </row>
    <row r="750" customFormat="false" ht="15" hidden="false" customHeight="false" outlineLevel="0" collapsed="false">
      <c r="A750" s="15" t="s">
        <v>4033</v>
      </c>
      <c r="B750" s="15" t="s">
        <v>4023</v>
      </c>
      <c r="C750" s="15" t="s">
        <v>394</v>
      </c>
      <c r="D750" s="15" t="s">
        <v>695</v>
      </c>
      <c r="E750" s="15" t="s">
        <v>696</v>
      </c>
      <c r="F750" s="15" t="s">
        <v>3025</v>
      </c>
      <c r="G750" s="15" t="s">
        <v>3026</v>
      </c>
      <c r="H750" s="33" t="n">
        <f aca="false">Packages!$O$73</f>
        <v>20.2341846124902</v>
      </c>
      <c r="I750" s="15" t="s">
        <v>118</v>
      </c>
      <c r="J750" s="34" t="n">
        <f aca="false">MAX(1,ROUNDUP(Packages!$O$73/(IF(Packages!$N$73&gt;=PIPE_T1,R_PIPE_L,IF(Packages!$N$73&gt;=PIPE_T2,R_PIPE_M,R_PIPE_S))*Fronts!$L$8)+Packages!$M$73*FIT_D+IF(Packages!$G$73&lt;&gt;"Run",TIE_D,0),0))</f>
        <v>4</v>
      </c>
      <c r="K750" s="34" t="n">
        <f aca="false">IF(J750=0,0,ROUNDUP(J750*7/WD,0))</f>
        <v>5</v>
      </c>
      <c r="L750" s="15" t="s">
        <v>4032</v>
      </c>
      <c r="M750" s="34" t="n">
        <f aca="false">ROUNDUP(K749*LADDER,0)</f>
        <v>2</v>
      </c>
      <c r="N750" s="34" t="n">
        <f aca="false">IF(K750=0,0,FFLAG)</f>
        <v>2</v>
      </c>
      <c r="O750" s="15"/>
      <c r="P750" s="16" t="n">
        <f aca="false">MAX(P749+M750,R739)</f>
        <v>46477</v>
      </c>
      <c r="Q750" s="16" t="n">
        <f aca="false">MAX(P750+K750,Q749+N750)</f>
        <v>46483</v>
      </c>
      <c r="R750" s="16" t="n">
        <f aca="false">IF(K750&gt;0,Q750,R739)</f>
        <v>46483</v>
      </c>
      <c r="S750" s="15" t="s">
        <v>4017</v>
      </c>
    </row>
    <row r="751" customFormat="false" ht="15" hidden="false" customHeight="false" outlineLevel="0" collapsed="false">
      <c r="A751" s="15" t="s">
        <v>4034</v>
      </c>
      <c r="B751" s="15" t="s">
        <v>4023</v>
      </c>
      <c r="C751" s="15" t="s">
        <v>394</v>
      </c>
      <c r="D751" s="15" t="s">
        <v>695</v>
      </c>
      <c r="E751" s="15" t="s">
        <v>696</v>
      </c>
      <c r="F751" s="15" t="s">
        <v>3028</v>
      </c>
      <c r="G751" s="15" t="s">
        <v>3029</v>
      </c>
      <c r="H751" s="33" t="n">
        <f aca="false">Packages!$O$73</f>
        <v>20.2341846124902</v>
      </c>
      <c r="I751" s="15" t="s">
        <v>118</v>
      </c>
      <c r="J751" s="34" t="n">
        <f aca="false">TEST_D+ROUNDUP(Packages!$O$73/R_TEST,0)</f>
        <v>3</v>
      </c>
      <c r="K751" s="34" t="n">
        <f aca="false">IF(J751=0,0,ROUNDUP(J751*7/WD,0))</f>
        <v>4</v>
      </c>
      <c r="L751" s="15" t="s">
        <v>4033</v>
      </c>
      <c r="M751" s="34" t="n">
        <f aca="false">ROUNDUP(K750*LADDER,0)</f>
        <v>2</v>
      </c>
      <c r="N751" s="34" t="n">
        <f aca="false">IF(K751=0,0,FFLAG)</f>
        <v>2</v>
      </c>
      <c r="O751" s="15"/>
      <c r="P751" s="16" t="n">
        <f aca="false">MAX(P750+M751)</f>
        <v>46479</v>
      </c>
      <c r="Q751" s="16" t="n">
        <f aca="false">MAX(P751+K751,Q750+N751)</f>
        <v>46485</v>
      </c>
      <c r="R751" s="12"/>
      <c r="S751" s="12"/>
    </row>
    <row r="752" customFormat="false" ht="15" hidden="false" customHeight="false" outlineLevel="0" collapsed="false">
      <c r="A752" s="15" t="s">
        <v>4035</v>
      </c>
      <c r="B752" s="15" t="s">
        <v>4023</v>
      </c>
      <c r="C752" s="15" t="s">
        <v>394</v>
      </c>
      <c r="D752" s="15" t="s">
        <v>695</v>
      </c>
      <c r="E752" s="15" t="s">
        <v>696</v>
      </c>
      <c r="F752" s="15" t="s">
        <v>3031</v>
      </c>
      <c r="G752" s="15" t="s">
        <v>3032</v>
      </c>
      <c r="H752" s="33" t="n">
        <f aca="false">Packages!$AB$73</f>
        <v>398.965863524451</v>
      </c>
      <c r="I752" s="15" t="s">
        <v>3019</v>
      </c>
      <c r="J752" s="34" t="n">
        <f aca="false">MAX(1,ROUNDUP(Packages!$AB$73/(R_BF*Fronts!$M$8),0))</f>
        <v>2</v>
      </c>
      <c r="K752" s="34" t="n">
        <f aca="false">IF(J752=0,0,ROUNDUP(J752*7/WD,0))</f>
        <v>3</v>
      </c>
      <c r="L752" s="15" t="s">
        <v>4034</v>
      </c>
      <c r="M752" s="34" t="n">
        <f aca="false">ROUNDUP(K751*LADDER,0)</f>
        <v>2</v>
      </c>
      <c r="N752" s="34" t="n">
        <f aca="false">IF(K752=0,0,FFLAG)</f>
        <v>2</v>
      </c>
      <c r="O752" s="15" t="s">
        <v>4036</v>
      </c>
      <c r="P752" s="16" t="n">
        <f aca="false">MAX(P751+M752,R741,Q772,Q761,Q739)</f>
        <v>46495</v>
      </c>
      <c r="Q752" s="16" t="n">
        <f aca="false">MAX(P752+K752,Q751+N752)</f>
        <v>46498</v>
      </c>
      <c r="R752" s="16" t="n">
        <f aca="false">IF(K752&gt;0,Q752,R741)</f>
        <v>46498</v>
      </c>
      <c r="S752" s="15" t="s">
        <v>4019</v>
      </c>
    </row>
    <row r="753" customFormat="false" ht="15" hidden="false" customHeight="false" outlineLevel="0" collapsed="false">
      <c r="A753" s="15" t="s">
        <v>4037</v>
      </c>
      <c r="B753" s="15" t="s">
        <v>4023</v>
      </c>
      <c r="C753" s="15" t="s">
        <v>394</v>
      </c>
      <c r="D753" s="15" t="s">
        <v>695</v>
      </c>
      <c r="E753" s="15" t="s">
        <v>696</v>
      </c>
      <c r="F753" s="15" t="s">
        <v>3034</v>
      </c>
      <c r="G753" s="15" t="s">
        <v>3035</v>
      </c>
      <c r="H753" s="33" t="n">
        <f aca="false">Packages!$AD$73</f>
        <v>0</v>
      </c>
      <c r="I753" s="15" t="s">
        <v>3012</v>
      </c>
      <c r="J753" s="34" t="n">
        <f aca="false">IF(Packages!$AD$73&gt;0,ROUNDUP(Packages!$AD$73/R_EXT,0),0)+IF(Packages!$AG$73&gt;0,1,0)</f>
        <v>1</v>
      </c>
      <c r="K753" s="34" t="n">
        <f aca="false">IF(J753=0,0,ROUNDUP(J753*7/WD,0))</f>
        <v>2</v>
      </c>
      <c r="L753" s="15" t="s">
        <v>4035</v>
      </c>
      <c r="M753" s="34" t="n">
        <f aca="false">ROUNDUP(K752*LADDER,0)</f>
        <v>1</v>
      </c>
      <c r="N753" s="34" t="n">
        <f aca="false">IF(K753=0,0,FFLAG)</f>
        <v>2</v>
      </c>
      <c r="O753" s="15"/>
      <c r="P753" s="16" t="n">
        <f aca="false">MAX(P752+M753)</f>
        <v>46496</v>
      </c>
      <c r="Q753" s="16" t="n">
        <f aca="false">MAX(P753+K753,Q752+N753)</f>
        <v>46500</v>
      </c>
      <c r="R753" s="12"/>
      <c r="S753" s="12"/>
    </row>
    <row r="754" customFormat="false" ht="15" hidden="false" customHeight="false" outlineLevel="0" collapsed="false">
      <c r="A754" s="15" t="s">
        <v>4038</v>
      </c>
      <c r="B754" s="15" t="s">
        <v>4039</v>
      </c>
      <c r="C754" s="15" t="s">
        <v>394</v>
      </c>
      <c r="D754" s="15" t="s">
        <v>719</v>
      </c>
      <c r="E754" s="15" t="s">
        <v>790</v>
      </c>
      <c r="F754" s="15" t="s">
        <v>2998</v>
      </c>
      <c r="G754" s="15" t="s">
        <v>2999</v>
      </c>
      <c r="H754" s="12"/>
      <c r="I754" s="12"/>
      <c r="J754" s="34" t="n">
        <f aca="false">0</f>
        <v>0</v>
      </c>
      <c r="K754" s="34" t="n">
        <f aca="false">IF(J754=0,0,ROUNDUP(J754*7/WD,0))</f>
        <v>0</v>
      </c>
      <c r="L754" s="12"/>
      <c r="M754" s="12"/>
      <c r="N754" s="12"/>
      <c r="O754" s="15" t="s">
        <v>3000</v>
      </c>
      <c r="P754" s="16" t="n">
        <f aca="false">MAX(START,D_DLU,Packages!$I$74,Packages!$K$74)</f>
        <v>46357</v>
      </c>
      <c r="Q754" s="16" t="n">
        <f aca="false">P754+K754</f>
        <v>46357</v>
      </c>
      <c r="R754" s="12"/>
      <c r="S754" s="12"/>
    </row>
    <row r="755" customFormat="false" ht="15" hidden="false" customHeight="false" outlineLevel="0" collapsed="false">
      <c r="A755" s="15" t="s">
        <v>4040</v>
      </c>
      <c r="B755" s="15" t="s">
        <v>4039</v>
      </c>
      <c r="C755" s="15" t="s">
        <v>394</v>
      </c>
      <c r="D755" s="15" t="s">
        <v>719</v>
      </c>
      <c r="E755" s="15" t="s">
        <v>790</v>
      </c>
      <c r="F755" s="15" t="s">
        <v>3002</v>
      </c>
      <c r="G755" s="15" t="s">
        <v>205</v>
      </c>
      <c r="H755" s="33" t="n">
        <f aca="false">Packages!$O$74</f>
        <v>12.1656400528942</v>
      </c>
      <c r="I755" s="15" t="s">
        <v>118</v>
      </c>
      <c r="J755" s="34" t="n">
        <f aca="false">MAX(1,ROUNDUP(Packages!$O$74/R_PLAT,0))</f>
        <v>1</v>
      </c>
      <c r="K755" s="34" t="n">
        <f aca="false">IF(J755=0,0,ROUNDUP(J755*7/WD,0))</f>
        <v>2</v>
      </c>
      <c r="L755" s="15" t="s">
        <v>4038</v>
      </c>
      <c r="M755" s="12"/>
      <c r="N755" s="12"/>
      <c r="O755" s="15" t="s">
        <v>4041</v>
      </c>
      <c r="P755" s="16" t="n">
        <f aca="false">MAX(Q754,P745)</f>
        <v>46398</v>
      </c>
      <c r="Q755" s="16" t="n">
        <f aca="false">P755+K755</f>
        <v>46400</v>
      </c>
      <c r="R755" s="12"/>
      <c r="S755" s="12"/>
    </row>
    <row r="756" customFormat="false" ht="15" hidden="false" customHeight="false" outlineLevel="0" collapsed="false">
      <c r="A756" s="15" t="s">
        <v>4042</v>
      </c>
      <c r="B756" s="15" t="s">
        <v>4039</v>
      </c>
      <c r="C756" s="15" t="s">
        <v>394</v>
      </c>
      <c r="D756" s="15" t="s">
        <v>719</v>
      </c>
      <c r="E756" s="15" t="s">
        <v>790</v>
      </c>
      <c r="F756" s="15" t="s">
        <v>3005</v>
      </c>
      <c r="G756" s="15" t="s">
        <v>3006</v>
      </c>
      <c r="H756" s="33" t="n">
        <f aca="false">Packages!$AC$74</f>
        <v>12</v>
      </c>
      <c r="I756" s="15" t="s">
        <v>3007</v>
      </c>
      <c r="J756" s="34" t="n">
        <f aca="false">IF(Packages!$AC$74=0,0,MAX(1,ROUNDUP(Packages!$AC$74/(R_PILE*Fronts!$H$8),0)))</f>
        <v>3</v>
      </c>
      <c r="K756" s="34" t="n">
        <f aca="false">IF(J756=0,0,ROUNDUP(J756*7/WD,0))</f>
        <v>4</v>
      </c>
      <c r="L756" s="15" t="s">
        <v>4040</v>
      </c>
      <c r="M756" s="34" t="n">
        <f aca="false">ROUNDUP(K755*LADDER,0)</f>
        <v>1</v>
      </c>
      <c r="N756" s="34" t="n">
        <f aca="false">IF(K756=0,0,FFLAG)</f>
        <v>2</v>
      </c>
      <c r="O756" s="15" t="s">
        <v>3008</v>
      </c>
      <c r="P756" s="16" t="n">
        <f aca="false">MAX(P755+M756,D_PILEDES,R745)</f>
        <v>46403</v>
      </c>
      <c r="Q756" s="16" t="n">
        <f aca="false">MAX(P756+K756,Q755+N756)</f>
        <v>46407</v>
      </c>
      <c r="R756" s="16" t="n">
        <f aca="false">IF(K756&gt;0,Q756,R745)</f>
        <v>46407</v>
      </c>
      <c r="S756" s="15" t="s">
        <v>4026</v>
      </c>
    </row>
    <row r="757" customFormat="false" ht="15" hidden="false" customHeight="false" outlineLevel="0" collapsed="false">
      <c r="A757" s="15" t="s">
        <v>4043</v>
      </c>
      <c r="B757" s="15" t="s">
        <v>4039</v>
      </c>
      <c r="C757" s="15" t="s">
        <v>394</v>
      </c>
      <c r="D757" s="15" t="s">
        <v>719</v>
      </c>
      <c r="E757" s="15" t="s">
        <v>790</v>
      </c>
      <c r="F757" s="15" t="s">
        <v>3010</v>
      </c>
      <c r="G757" s="15" t="s">
        <v>3011</v>
      </c>
      <c r="H757" s="33" t="n">
        <f aca="false">Packages!$AD$74</f>
        <v>0</v>
      </c>
      <c r="I757" s="15" t="s">
        <v>3012</v>
      </c>
      <c r="J757" s="34" t="n">
        <f aca="false">IF(Packages!$AD$74=0,0,MAX(1,ROUNDUP(Packages!$AD$74/(R_SHEET*Fronts!$I$8),0)))</f>
        <v>0</v>
      </c>
      <c r="K757" s="34" t="n">
        <f aca="false">IF(J757=0,0,ROUNDUP(J757*7/WD,0))</f>
        <v>0</v>
      </c>
      <c r="L757" s="15" t="s">
        <v>4042</v>
      </c>
      <c r="M757" s="34" t="n">
        <f aca="false">ROUNDUP(K756*LADDER,0)</f>
        <v>2</v>
      </c>
      <c r="N757" s="34" t="n">
        <f aca="false">IF(K757=0,0,FFLAG)</f>
        <v>0</v>
      </c>
      <c r="O757" s="15"/>
      <c r="P757" s="16" t="n">
        <f aca="false">MAX(P756+M757,R746)</f>
        <v>46405</v>
      </c>
      <c r="Q757" s="16" t="n">
        <f aca="false">MAX(P757+K757,Q756+N757)</f>
        <v>46407</v>
      </c>
      <c r="R757" s="16" t="n">
        <f aca="false">IF(K757&gt;0,Q757,R746)</f>
        <v>46400</v>
      </c>
      <c r="S757" s="15" t="s">
        <v>4027</v>
      </c>
    </row>
    <row r="758" customFormat="false" ht="15" hidden="false" customHeight="false" outlineLevel="0" collapsed="false">
      <c r="A758" s="15" t="s">
        <v>4044</v>
      </c>
      <c r="B758" s="15" t="s">
        <v>4039</v>
      </c>
      <c r="C758" s="15" t="s">
        <v>394</v>
      </c>
      <c r="D758" s="15" t="s">
        <v>719</v>
      </c>
      <c r="E758" s="15" t="s">
        <v>790</v>
      </c>
      <c r="F758" s="15" t="s">
        <v>3014</v>
      </c>
      <c r="G758" s="15" t="s">
        <v>3015</v>
      </c>
      <c r="H758" s="33" t="n">
        <f aca="false">Packages!$O$74</f>
        <v>12.1656400528942</v>
      </c>
      <c r="I758" s="15" t="s">
        <v>118</v>
      </c>
      <c r="J758" s="34" t="n">
        <f aca="false">IF(Packages!$AG$74=0,0,ROUNDUP(Packages!$O$74/R_DW,0)+DW_DRAW)</f>
        <v>8</v>
      </c>
      <c r="K758" s="34" t="n">
        <f aca="false">IF(J758=0,0,ROUNDUP(J758*7/WD,0))</f>
        <v>10</v>
      </c>
      <c r="L758" s="15" t="s">
        <v>4043</v>
      </c>
      <c r="M758" s="34" t="n">
        <f aca="false">ROUNDUP(K757*LADDER,0)</f>
        <v>0</v>
      </c>
      <c r="N758" s="34" t="n">
        <f aca="false">IF(K758=0,0,FFLAG)</f>
        <v>2</v>
      </c>
      <c r="O758" s="15" t="s">
        <v>4045</v>
      </c>
      <c r="P758" s="16" t="n">
        <f aca="false">MAX(P757+M758,Q748-K758)</f>
        <v>46459</v>
      </c>
      <c r="Q758" s="16" t="n">
        <f aca="false">MAX(P758+K758,Q757+N758)</f>
        <v>46469</v>
      </c>
      <c r="R758" s="12"/>
      <c r="S758" s="12"/>
    </row>
    <row r="759" customFormat="false" ht="15" hidden="false" customHeight="false" outlineLevel="0" collapsed="false">
      <c r="A759" s="15" t="s">
        <v>4046</v>
      </c>
      <c r="B759" s="15" t="s">
        <v>4039</v>
      </c>
      <c r="C759" s="15" t="s">
        <v>394</v>
      </c>
      <c r="D759" s="15" t="s">
        <v>719</v>
      </c>
      <c r="E759" s="15" t="s">
        <v>790</v>
      </c>
      <c r="F759" s="15" t="s">
        <v>3017</v>
      </c>
      <c r="G759" s="15" t="s">
        <v>3018</v>
      </c>
      <c r="H759" s="33" t="n">
        <f aca="false">Packages!$X$74+Packages!$Y$74</f>
        <v>211.005225558631</v>
      </c>
      <c r="I759" s="15" t="s">
        <v>3019</v>
      </c>
      <c r="J759" s="34" t="n">
        <f aca="false">MAX(1,ROUNDUP((Packages!$X$74/R_EXS+Packages!$Y$74/R_EXO)/Fronts!$J$8,0))</f>
        <v>1</v>
      </c>
      <c r="K759" s="34" t="n">
        <f aca="false">IF(J759=0,0,ROUNDUP(J759*7/WD,0))</f>
        <v>2</v>
      </c>
      <c r="L759" s="15" t="s">
        <v>4044</v>
      </c>
      <c r="M759" s="34" t="n">
        <f aca="false">IF(K758=0,0,ROUNDUP((K758-ROUNDUP(DW_DRAW*7/WD,0))*LADDER,0)+ROUNDUP(DW_DRAW*7/WD,0))</f>
        <v>10</v>
      </c>
      <c r="N759" s="34" t="n">
        <f aca="false">IF(K759=0,0,FFLAG)</f>
        <v>2</v>
      </c>
      <c r="O759" s="15" t="s">
        <v>4047</v>
      </c>
      <c r="P759" s="16" t="n">
        <f aca="false">MAX(P758+M759,R748,P748,P726)</f>
        <v>46469</v>
      </c>
      <c r="Q759" s="16" t="n">
        <f aca="false">MAX(P759+K759,Q758+N759)</f>
        <v>46471</v>
      </c>
      <c r="R759" s="16" t="n">
        <f aca="false">IF(K759&gt;0,Q759,R748)</f>
        <v>46471</v>
      </c>
      <c r="S759" s="15" t="s">
        <v>4030</v>
      </c>
    </row>
    <row r="760" customFormat="false" ht="15" hidden="false" customHeight="false" outlineLevel="0" collapsed="false">
      <c r="A760" s="15" t="s">
        <v>4048</v>
      </c>
      <c r="B760" s="15" t="s">
        <v>4039</v>
      </c>
      <c r="C760" s="15" t="s">
        <v>394</v>
      </c>
      <c r="D760" s="15" t="s">
        <v>719</v>
      </c>
      <c r="E760" s="15" t="s">
        <v>790</v>
      </c>
      <c r="F760" s="15" t="s">
        <v>3022</v>
      </c>
      <c r="G760" s="15" t="s">
        <v>3023</v>
      </c>
      <c r="H760" s="33" t="n">
        <f aca="false">Packages!$O$74</f>
        <v>12.1656400528942</v>
      </c>
      <c r="I760" s="15" t="s">
        <v>118</v>
      </c>
      <c r="J760" s="34" t="n">
        <f aca="false">MAX(1,ROUNDUP(Packages!$O$74/(R_SLAB*Fronts!$K$8),0))+SLAB_CURE</f>
        <v>5</v>
      </c>
      <c r="K760" s="34" t="n">
        <f aca="false">IF(J760=0,0,ROUNDUP(J760*7/WD,0))</f>
        <v>6</v>
      </c>
      <c r="L760" s="15" t="s">
        <v>4046</v>
      </c>
      <c r="M760" s="34" t="n">
        <f aca="false">ROUNDUP(K759*LADDER,0)</f>
        <v>1</v>
      </c>
      <c r="N760" s="34" t="n">
        <f aca="false">IF(K760=0,0,FFLAG)</f>
        <v>2</v>
      </c>
      <c r="O760" s="15"/>
      <c r="P760" s="16" t="n">
        <f aca="false">MAX(P759+M760,R749)</f>
        <v>46481</v>
      </c>
      <c r="Q760" s="16" t="n">
        <f aca="false">MAX(P760+K760,Q759+N760)</f>
        <v>46487</v>
      </c>
      <c r="R760" s="16" t="n">
        <f aca="false">IF(K760&gt;0,Q760,R749)</f>
        <v>46487</v>
      </c>
      <c r="S760" s="15" t="s">
        <v>4032</v>
      </c>
    </row>
    <row r="761" customFormat="false" ht="15" hidden="false" customHeight="false" outlineLevel="0" collapsed="false">
      <c r="A761" s="15" t="s">
        <v>4049</v>
      </c>
      <c r="B761" s="15" t="s">
        <v>4039</v>
      </c>
      <c r="C761" s="15" t="s">
        <v>394</v>
      </c>
      <c r="D761" s="15" t="s">
        <v>719</v>
      </c>
      <c r="E761" s="15" t="s">
        <v>790</v>
      </c>
      <c r="F761" s="15" t="s">
        <v>3025</v>
      </c>
      <c r="G761" s="15" t="s">
        <v>3026</v>
      </c>
      <c r="H761" s="33" t="n">
        <f aca="false">Packages!$O$74</f>
        <v>12.1656400528942</v>
      </c>
      <c r="I761" s="15" t="s">
        <v>118</v>
      </c>
      <c r="J761" s="34" t="n">
        <f aca="false">MAX(1,ROUNDUP(Packages!$O$74/(IF(Packages!$N$74&gt;=PIPE_T1,R_PIPE_L,IF(Packages!$N$74&gt;=PIPE_T2,R_PIPE_M,R_PIPE_S))*Fronts!$L$8)+Packages!$M$74*FIT_D+IF(Packages!$G$74&lt;&gt;"Run",TIE_D,0),0))</f>
        <v>1</v>
      </c>
      <c r="K761" s="34" t="n">
        <f aca="false">IF(J761=0,0,ROUNDUP(J761*7/WD,0))</f>
        <v>2</v>
      </c>
      <c r="L761" s="15" t="s">
        <v>4048</v>
      </c>
      <c r="M761" s="34" t="n">
        <f aca="false">ROUNDUP(K760*LADDER,0)</f>
        <v>2</v>
      </c>
      <c r="N761" s="34" t="n">
        <f aca="false">IF(K761=0,0,FFLAG)</f>
        <v>2</v>
      </c>
      <c r="O761" s="15"/>
      <c r="P761" s="16" t="n">
        <f aca="false">MAX(P760+M761,R750)</f>
        <v>46483</v>
      </c>
      <c r="Q761" s="16" t="n">
        <f aca="false">MAX(P761+K761,Q760+N761)</f>
        <v>46489</v>
      </c>
      <c r="R761" s="16" t="n">
        <f aca="false">IF(K761&gt;0,Q761,R750)</f>
        <v>46489</v>
      </c>
      <c r="S761" s="15" t="s">
        <v>4033</v>
      </c>
    </row>
    <row r="762" customFormat="false" ht="15" hidden="false" customHeight="false" outlineLevel="0" collapsed="false">
      <c r="A762" s="15" t="s">
        <v>4050</v>
      </c>
      <c r="B762" s="15" t="s">
        <v>4039</v>
      </c>
      <c r="C762" s="15" t="s">
        <v>394</v>
      </c>
      <c r="D762" s="15" t="s">
        <v>719</v>
      </c>
      <c r="E762" s="15" t="s">
        <v>790</v>
      </c>
      <c r="F762" s="15" t="s">
        <v>3028</v>
      </c>
      <c r="G762" s="15" t="s">
        <v>3029</v>
      </c>
      <c r="H762" s="33" t="n">
        <f aca="false">Packages!$O$74</f>
        <v>12.1656400528942</v>
      </c>
      <c r="I762" s="15" t="s">
        <v>118</v>
      </c>
      <c r="J762" s="34" t="n">
        <f aca="false">TEST_D+ROUNDUP(Packages!$O$74/R_TEST,0)</f>
        <v>3</v>
      </c>
      <c r="K762" s="34" t="n">
        <f aca="false">IF(J762=0,0,ROUNDUP(J762*7/WD,0))</f>
        <v>4</v>
      </c>
      <c r="L762" s="15" t="s">
        <v>4049</v>
      </c>
      <c r="M762" s="34" t="n">
        <f aca="false">ROUNDUP(K761*LADDER,0)</f>
        <v>1</v>
      </c>
      <c r="N762" s="34" t="n">
        <f aca="false">IF(K762=0,0,FFLAG)</f>
        <v>2</v>
      </c>
      <c r="O762" s="15"/>
      <c r="P762" s="16" t="n">
        <f aca="false">MAX(P761+M762)</f>
        <v>46484</v>
      </c>
      <c r="Q762" s="16" t="n">
        <f aca="false">MAX(P762+K762,Q761+N762)</f>
        <v>46491</v>
      </c>
      <c r="R762" s="12"/>
      <c r="S762" s="12"/>
    </row>
    <row r="763" customFormat="false" ht="15" hidden="false" customHeight="false" outlineLevel="0" collapsed="false">
      <c r="A763" s="15" t="s">
        <v>4051</v>
      </c>
      <c r="B763" s="15" t="s">
        <v>4039</v>
      </c>
      <c r="C763" s="15" t="s">
        <v>394</v>
      </c>
      <c r="D763" s="15" t="s">
        <v>719</v>
      </c>
      <c r="E763" s="15" t="s">
        <v>790</v>
      </c>
      <c r="F763" s="15" t="s">
        <v>3031</v>
      </c>
      <c r="G763" s="15" t="s">
        <v>3032</v>
      </c>
      <c r="H763" s="33" t="n">
        <f aca="false">Packages!$AB$74</f>
        <v>183.49457035054</v>
      </c>
      <c r="I763" s="15" t="s">
        <v>3019</v>
      </c>
      <c r="J763" s="34" t="n">
        <f aca="false">MAX(1,ROUNDUP(Packages!$AB$74/(R_BF*Fronts!$M$8),0))</f>
        <v>1</v>
      </c>
      <c r="K763" s="34" t="n">
        <f aca="false">IF(J763=0,0,ROUNDUP(J763*7/WD,0))</f>
        <v>2</v>
      </c>
      <c r="L763" s="15" t="s">
        <v>4050</v>
      </c>
      <c r="M763" s="34" t="n">
        <f aca="false">ROUNDUP(K762*LADDER,0)</f>
        <v>2</v>
      </c>
      <c r="N763" s="34" t="n">
        <f aca="false">IF(K763=0,0,FFLAG)</f>
        <v>2</v>
      </c>
      <c r="O763" s="15" t="s">
        <v>4020</v>
      </c>
      <c r="P763" s="16" t="n">
        <f aca="false">MAX(P762+M763,R752,Q750,Q728)</f>
        <v>46498</v>
      </c>
      <c r="Q763" s="16" t="n">
        <f aca="false">MAX(P763+K763,Q762+N763)</f>
        <v>46500</v>
      </c>
      <c r="R763" s="16" t="n">
        <f aca="false">IF(K763&gt;0,Q763,R752)</f>
        <v>46500</v>
      </c>
      <c r="S763" s="15" t="s">
        <v>4035</v>
      </c>
    </row>
    <row r="764" customFormat="false" ht="15" hidden="false" customHeight="false" outlineLevel="0" collapsed="false">
      <c r="A764" s="15" t="s">
        <v>4052</v>
      </c>
      <c r="B764" s="15" t="s">
        <v>4039</v>
      </c>
      <c r="C764" s="15" t="s">
        <v>394</v>
      </c>
      <c r="D764" s="15" t="s">
        <v>719</v>
      </c>
      <c r="E764" s="15" t="s">
        <v>790</v>
      </c>
      <c r="F764" s="15" t="s">
        <v>3034</v>
      </c>
      <c r="G764" s="15" t="s">
        <v>3035</v>
      </c>
      <c r="H764" s="33" t="n">
        <f aca="false">Packages!$AD$74</f>
        <v>0</v>
      </c>
      <c r="I764" s="15" t="s">
        <v>3012</v>
      </c>
      <c r="J764" s="34" t="n">
        <f aca="false">IF(Packages!$AD$74&gt;0,ROUNDUP(Packages!$AD$74/R_EXT,0),0)+IF(Packages!$AG$74&gt;0,1,0)</f>
        <v>1</v>
      </c>
      <c r="K764" s="34" t="n">
        <f aca="false">IF(J764=0,0,ROUNDUP(J764*7/WD,0))</f>
        <v>2</v>
      </c>
      <c r="L764" s="15" t="s">
        <v>4051</v>
      </c>
      <c r="M764" s="34" t="n">
        <f aca="false">ROUNDUP(K763*LADDER,0)</f>
        <v>1</v>
      </c>
      <c r="N764" s="34" t="n">
        <f aca="false">IF(K764=0,0,FFLAG)</f>
        <v>2</v>
      </c>
      <c r="O764" s="15"/>
      <c r="P764" s="16" t="n">
        <f aca="false">MAX(P763+M764)</f>
        <v>46499</v>
      </c>
      <c r="Q764" s="16" t="n">
        <f aca="false">MAX(P764+K764,Q763+N764)</f>
        <v>46502</v>
      </c>
      <c r="R764" s="12"/>
      <c r="S764" s="12"/>
    </row>
    <row r="765" customFormat="false" ht="15" hidden="false" customHeight="false" outlineLevel="0" collapsed="false">
      <c r="A765" s="15" t="s">
        <v>4053</v>
      </c>
      <c r="B765" s="15" t="s">
        <v>4054</v>
      </c>
      <c r="C765" s="15" t="s">
        <v>394</v>
      </c>
      <c r="D765" s="15" t="s">
        <v>719</v>
      </c>
      <c r="E765" s="15" t="s">
        <v>767</v>
      </c>
      <c r="F765" s="15" t="s">
        <v>2998</v>
      </c>
      <c r="G765" s="15" t="s">
        <v>2999</v>
      </c>
      <c r="H765" s="12"/>
      <c r="I765" s="12"/>
      <c r="J765" s="34" t="n">
        <f aca="false">0</f>
        <v>0</v>
      </c>
      <c r="K765" s="34" t="n">
        <f aca="false">IF(J765=0,0,ROUNDUP(J765*7/WD,0))</f>
        <v>0</v>
      </c>
      <c r="L765" s="12"/>
      <c r="M765" s="12"/>
      <c r="N765" s="12"/>
      <c r="O765" s="15" t="s">
        <v>3000</v>
      </c>
      <c r="P765" s="16" t="n">
        <f aca="false">MAX(START,D_DLU,Packages!$I$75,Packages!$K$75)</f>
        <v>46357</v>
      </c>
      <c r="Q765" s="16" t="n">
        <f aca="false">P765+K765</f>
        <v>46357</v>
      </c>
      <c r="R765" s="12"/>
      <c r="S765" s="12"/>
    </row>
    <row r="766" customFormat="false" ht="15" hidden="false" customHeight="false" outlineLevel="0" collapsed="false">
      <c r="A766" s="15" t="s">
        <v>4055</v>
      </c>
      <c r="B766" s="15" t="s">
        <v>4054</v>
      </c>
      <c r="C766" s="15" t="s">
        <v>394</v>
      </c>
      <c r="D766" s="15" t="s">
        <v>719</v>
      </c>
      <c r="E766" s="15" t="s">
        <v>767</v>
      </c>
      <c r="F766" s="15" t="s">
        <v>3002</v>
      </c>
      <c r="G766" s="15" t="s">
        <v>205</v>
      </c>
      <c r="H766" s="33" t="n">
        <f aca="false">Packages!$O$75</f>
        <v>23.4913305599958</v>
      </c>
      <c r="I766" s="15" t="s">
        <v>118</v>
      </c>
      <c r="J766" s="34" t="n">
        <f aca="false">MAX(1,ROUNDUP(Packages!$O$75/R_PLAT,0))</f>
        <v>1</v>
      </c>
      <c r="K766" s="34" t="n">
        <f aca="false">IF(J766=0,0,ROUNDUP(J766*7/WD,0))</f>
        <v>2</v>
      </c>
      <c r="L766" s="15" t="s">
        <v>4053</v>
      </c>
      <c r="M766" s="12"/>
      <c r="N766" s="12"/>
      <c r="O766" s="15" t="s">
        <v>4056</v>
      </c>
      <c r="P766" s="16" t="n">
        <f aca="false">MAX(Q765,P756)</f>
        <v>46403</v>
      </c>
      <c r="Q766" s="16" t="n">
        <f aca="false">P766+K766</f>
        <v>46405</v>
      </c>
      <c r="R766" s="12"/>
      <c r="S766" s="12"/>
    </row>
    <row r="767" customFormat="false" ht="15" hidden="false" customHeight="false" outlineLevel="0" collapsed="false">
      <c r="A767" s="15" t="s">
        <v>4057</v>
      </c>
      <c r="B767" s="15" t="s">
        <v>4054</v>
      </c>
      <c r="C767" s="15" t="s">
        <v>394</v>
      </c>
      <c r="D767" s="15" t="s">
        <v>719</v>
      </c>
      <c r="E767" s="15" t="s">
        <v>767</v>
      </c>
      <c r="F767" s="15" t="s">
        <v>3005</v>
      </c>
      <c r="G767" s="15" t="s">
        <v>3006</v>
      </c>
      <c r="H767" s="33" t="n">
        <f aca="false">Packages!$AC$75</f>
        <v>18</v>
      </c>
      <c r="I767" s="15" t="s">
        <v>3007</v>
      </c>
      <c r="J767" s="34" t="n">
        <f aca="false">IF(Packages!$AC$75=0,0,MAX(1,ROUNDUP(Packages!$AC$75/(R_PILE*Fronts!$H$8),0)))</f>
        <v>4</v>
      </c>
      <c r="K767" s="34" t="n">
        <f aca="false">IF(J767=0,0,ROUNDUP(J767*7/WD,0))</f>
        <v>5</v>
      </c>
      <c r="L767" s="15" t="s">
        <v>4055</v>
      </c>
      <c r="M767" s="34" t="n">
        <f aca="false">ROUNDUP(K766*LADDER,0)</f>
        <v>1</v>
      </c>
      <c r="N767" s="34" t="n">
        <f aca="false">IF(K767=0,0,FFLAG)</f>
        <v>2</v>
      </c>
      <c r="O767" s="15" t="s">
        <v>3008</v>
      </c>
      <c r="P767" s="16" t="n">
        <f aca="false">MAX(P766+M767,D_PILEDES,R756)</f>
        <v>46407</v>
      </c>
      <c r="Q767" s="16" t="n">
        <f aca="false">MAX(P767+K767,Q766+N767)</f>
        <v>46412</v>
      </c>
      <c r="R767" s="16" t="n">
        <f aca="false">IF(K767&gt;0,Q767,R756)</f>
        <v>46412</v>
      </c>
      <c r="S767" s="15" t="s">
        <v>4042</v>
      </c>
    </row>
    <row r="768" customFormat="false" ht="15" hidden="false" customHeight="false" outlineLevel="0" collapsed="false">
      <c r="A768" s="15" t="s">
        <v>4058</v>
      </c>
      <c r="B768" s="15" t="s">
        <v>4054</v>
      </c>
      <c r="C768" s="15" t="s">
        <v>394</v>
      </c>
      <c r="D768" s="15" t="s">
        <v>719</v>
      </c>
      <c r="E768" s="15" t="s">
        <v>767</v>
      </c>
      <c r="F768" s="15" t="s">
        <v>3010</v>
      </c>
      <c r="G768" s="15" t="s">
        <v>3011</v>
      </c>
      <c r="H768" s="33" t="n">
        <f aca="false">Packages!$AD$75</f>
        <v>0</v>
      </c>
      <c r="I768" s="15" t="s">
        <v>3012</v>
      </c>
      <c r="J768" s="34" t="n">
        <f aca="false">IF(Packages!$AD$75=0,0,MAX(1,ROUNDUP(Packages!$AD$75/(R_SHEET*Fronts!$I$8),0)))</f>
        <v>0</v>
      </c>
      <c r="K768" s="34" t="n">
        <f aca="false">IF(J768=0,0,ROUNDUP(J768*7/WD,0))</f>
        <v>0</v>
      </c>
      <c r="L768" s="15" t="s">
        <v>4057</v>
      </c>
      <c r="M768" s="34" t="n">
        <f aca="false">ROUNDUP(K767*LADDER,0)</f>
        <v>2</v>
      </c>
      <c r="N768" s="34" t="n">
        <f aca="false">IF(K768=0,0,FFLAG)</f>
        <v>0</v>
      </c>
      <c r="O768" s="15"/>
      <c r="P768" s="16" t="n">
        <f aca="false">MAX(P767+M768,R757)</f>
        <v>46409</v>
      </c>
      <c r="Q768" s="16" t="n">
        <f aca="false">MAX(P768+K768,Q767+N768)</f>
        <v>46412</v>
      </c>
      <c r="R768" s="16" t="n">
        <f aca="false">IF(K768&gt;0,Q768,R757)</f>
        <v>46400</v>
      </c>
      <c r="S768" s="15" t="s">
        <v>4043</v>
      </c>
    </row>
    <row r="769" customFormat="false" ht="15" hidden="false" customHeight="false" outlineLevel="0" collapsed="false">
      <c r="A769" s="15" t="s">
        <v>4059</v>
      </c>
      <c r="B769" s="15" t="s">
        <v>4054</v>
      </c>
      <c r="C769" s="15" t="s">
        <v>394</v>
      </c>
      <c r="D769" s="15" t="s">
        <v>719</v>
      </c>
      <c r="E769" s="15" t="s">
        <v>767</v>
      </c>
      <c r="F769" s="15" t="s">
        <v>3014</v>
      </c>
      <c r="G769" s="15" t="s">
        <v>3015</v>
      </c>
      <c r="H769" s="33" t="n">
        <f aca="false">Packages!$O$75</f>
        <v>23.4913305599958</v>
      </c>
      <c r="I769" s="15" t="s">
        <v>118</v>
      </c>
      <c r="J769" s="34" t="n">
        <f aca="false">IF(Packages!$AG$75=0,0,ROUNDUP(Packages!$O$75/R_DW,0)+DW_DRAW)</f>
        <v>8</v>
      </c>
      <c r="K769" s="34" t="n">
        <f aca="false">IF(J769=0,0,ROUNDUP(J769*7/WD,0))</f>
        <v>10</v>
      </c>
      <c r="L769" s="15" t="s">
        <v>4058</v>
      </c>
      <c r="M769" s="34" t="n">
        <f aca="false">ROUNDUP(K768*LADDER,0)</f>
        <v>0</v>
      </c>
      <c r="N769" s="34" t="n">
        <f aca="false">IF(K769=0,0,FFLAG)</f>
        <v>2</v>
      </c>
      <c r="O769" s="15" t="s">
        <v>4060</v>
      </c>
      <c r="P769" s="16" t="n">
        <f aca="false">MAX(P768+M769,Q759-K769)</f>
        <v>46461</v>
      </c>
      <c r="Q769" s="16" t="n">
        <f aca="false">MAX(P769+K769,Q768+N769)</f>
        <v>46471</v>
      </c>
      <c r="R769" s="12"/>
      <c r="S769" s="12"/>
    </row>
    <row r="770" customFormat="false" ht="15" hidden="false" customHeight="false" outlineLevel="0" collapsed="false">
      <c r="A770" s="15" t="s">
        <v>4061</v>
      </c>
      <c r="B770" s="15" t="s">
        <v>4054</v>
      </c>
      <c r="C770" s="15" t="s">
        <v>394</v>
      </c>
      <c r="D770" s="15" t="s">
        <v>719</v>
      </c>
      <c r="E770" s="15" t="s">
        <v>767</v>
      </c>
      <c r="F770" s="15" t="s">
        <v>3017</v>
      </c>
      <c r="G770" s="15" t="s">
        <v>3018</v>
      </c>
      <c r="H770" s="33" t="n">
        <f aca="false">Packages!$X$75+Packages!$Y$75</f>
        <v>397.787381073624</v>
      </c>
      <c r="I770" s="15" t="s">
        <v>3019</v>
      </c>
      <c r="J770" s="34" t="n">
        <f aca="false">MAX(1,ROUNDUP((Packages!$X$75/R_EXS+Packages!$Y$75/R_EXO)/Fronts!$J$8,0))</f>
        <v>1</v>
      </c>
      <c r="K770" s="34" t="n">
        <f aca="false">IF(J770=0,0,ROUNDUP(J770*7/WD,0))</f>
        <v>2</v>
      </c>
      <c r="L770" s="15" t="s">
        <v>4059</v>
      </c>
      <c r="M770" s="34" t="n">
        <f aca="false">IF(K769=0,0,ROUNDUP((K769-ROUNDUP(DW_DRAW*7/WD,0))*LADDER,0)+ROUNDUP(DW_DRAW*7/WD,0))</f>
        <v>10</v>
      </c>
      <c r="N770" s="34" t="n">
        <f aca="false">IF(K770=0,0,FFLAG)</f>
        <v>2</v>
      </c>
      <c r="O770" s="15" t="s">
        <v>4062</v>
      </c>
      <c r="P770" s="16" t="n">
        <f aca="false">MAX(P769+M770,R759,P748)</f>
        <v>46471</v>
      </c>
      <c r="Q770" s="16" t="n">
        <f aca="false">MAX(P770+K770,Q769+N770)</f>
        <v>46473</v>
      </c>
      <c r="R770" s="16" t="n">
        <f aca="false">IF(K770&gt;0,Q770,R759)</f>
        <v>46473</v>
      </c>
      <c r="S770" s="15" t="s">
        <v>4046</v>
      </c>
    </row>
    <row r="771" customFormat="false" ht="15" hidden="false" customHeight="false" outlineLevel="0" collapsed="false">
      <c r="A771" s="15" t="s">
        <v>4063</v>
      </c>
      <c r="B771" s="15" t="s">
        <v>4054</v>
      </c>
      <c r="C771" s="15" t="s">
        <v>394</v>
      </c>
      <c r="D771" s="15" t="s">
        <v>719</v>
      </c>
      <c r="E771" s="15" t="s">
        <v>767</v>
      </c>
      <c r="F771" s="15" t="s">
        <v>3022</v>
      </c>
      <c r="G771" s="15" t="s">
        <v>3023</v>
      </c>
      <c r="H771" s="33" t="n">
        <f aca="false">Packages!$O$75</f>
        <v>23.4913305599958</v>
      </c>
      <c r="I771" s="15" t="s">
        <v>118</v>
      </c>
      <c r="J771" s="34" t="n">
        <f aca="false">MAX(1,ROUNDUP(Packages!$O$75/(R_SLAB*Fronts!$K$8),0))+SLAB_CURE</f>
        <v>5</v>
      </c>
      <c r="K771" s="34" t="n">
        <f aca="false">IF(J771=0,0,ROUNDUP(J771*7/WD,0))</f>
        <v>6</v>
      </c>
      <c r="L771" s="15" t="s">
        <v>4061</v>
      </c>
      <c r="M771" s="34" t="n">
        <f aca="false">ROUNDUP(K770*LADDER,0)</f>
        <v>1</v>
      </c>
      <c r="N771" s="34" t="n">
        <f aca="false">IF(K771=0,0,FFLAG)</f>
        <v>2</v>
      </c>
      <c r="O771" s="15"/>
      <c r="P771" s="16" t="n">
        <f aca="false">MAX(P770+M771,R760)</f>
        <v>46487</v>
      </c>
      <c r="Q771" s="16" t="n">
        <f aca="false">MAX(P771+K771,Q770+N771)</f>
        <v>46493</v>
      </c>
      <c r="R771" s="16" t="n">
        <f aca="false">IF(K771&gt;0,Q771,R760)</f>
        <v>46493</v>
      </c>
      <c r="S771" s="15" t="s">
        <v>4048</v>
      </c>
    </row>
    <row r="772" customFormat="false" ht="15" hidden="false" customHeight="false" outlineLevel="0" collapsed="false">
      <c r="A772" s="15" t="s">
        <v>4064</v>
      </c>
      <c r="B772" s="15" t="s">
        <v>4054</v>
      </c>
      <c r="C772" s="15" t="s">
        <v>394</v>
      </c>
      <c r="D772" s="15" t="s">
        <v>719</v>
      </c>
      <c r="E772" s="15" t="s">
        <v>767</v>
      </c>
      <c r="F772" s="15" t="s">
        <v>3025</v>
      </c>
      <c r="G772" s="15" t="s">
        <v>3026</v>
      </c>
      <c r="H772" s="33" t="n">
        <f aca="false">Packages!$O$75</f>
        <v>23.4913305599958</v>
      </c>
      <c r="I772" s="15" t="s">
        <v>118</v>
      </c>
      <c r="J772" s="34" t="n">
        <f aca="false">MAX(1,ROUNDUP(Packages!$O$75/(IF(Packages!$N$75&gt;=PIPE_T1,R_PIPE_L,IF(Packages!$N$75&gt;=PIPE_T2,R_PIPE_M,R_PIPE_S))*Fronts!$L$8)+Packages!$M$75*FIT_D+IF(Packages!$G$75&lt;&gt;"Run",TIE_D,0),0))</f>
        <v>2</v>
      </c>
      <c r="K772" s="34" t="n">
        <f aca="false">IF(J772=0,0,ROUNDUP(J772*7/WD,0))</f>
        <v>3</v>
      </c>
      <c r="L772" s="15" t="s">
        <v>4063</v>
      </c>
      <c r="M772" s="34" t="n">
        <f aca="false">ROUNDUP(K771*LADDER,0)</f>
        <v>2</v>
      </c>
      <c r="N772" s="34" t="n">
        <f aca="false">IF(K772=0,0,FFLAG)</f>
        <v>2</v>
      </c>
      <c r="O772" s="15"/>
      <c r="P772" s="16" t="n">
        <f aca="false">MAX(P771+M772,R761)</f>
        <v>46489</v>
      </c>
      <c r="Q772" s="16" t="n">
        <f aca="false">MAX(P772+K772,Q771+N772)</f>
        <v>46495</v>
      </c>
      <c r="R772" s="16" t="n">
        <f aca="false">IF(K772&gt;0,Q772,R761)</f>
        <v>46495</v>
      </c>
      <c r="S772" s="15" t="s">
        <v>4049</v>
      </c>
    </row>
    <row r="773" customFormat="false" ht="15" hidden="false" customHeight="false" outlineLevel="0" collapsed="false">
      <c r="A773" s="15" t="s">
        <v>4065</v>
      </c>
      <c r="B773" s="15" t="s">
        <v>4054</v>
      </c>
      <c r="C773" s="15" t="s">
        <v>394</v>
      </c>
      <c r="D773" s="15" t="s">
        <v>719</v>
      </c>
      <c r="E773" s="15" t="s">
        <v>767</v>
      </c>
      <c r="F773" s="15" t="s">
        <v>3028</v>
      </c>
      <c r="G773" s="15" t="s">
        <v>3029</v>
      </c>
      <c r="H773" s="33" t="n">
        <f aca="false">Packages!$O$75</f>
        <v>23.4913305599958</v>
      </c>
      <c r="I773" s="15" t="s">
        <v>118</v>
      </c>
      <c r="J773" s="34" t="n">
        <f aca="false">TEST_D+ROUNDUP(Packages!$O$75/R_TEST,0)</f>
        <v>3</v>
      </c>
      <c r="K773" s="34" t="n">
        <f aca="false">IF(J773=0,0,ROUNDUP(J773*7/WD,0))</f>
        <v>4</v>
      </c>
      <c r="L773" s="15" t="s">
        <v>4064</v>
      </c>
      <c r="M773" s="34" t="n">
        <f aca="false">ROUNDUP(K772*LADDER,0)</f>
        <v>1</v>
      </c>
      <c r="N773" s="34" t="n">
        <f aca="false">IF(K773=0,0,FFLAG)</f>
        <v>2</v>
      </c>
      <c r="O773" s="15"/>
      <c r="P773" s="16" t="n">
        <f aca="false">MAX(P772+M773)</f>
        <v>46490</v>
      </c>
      <c r="Q773" s="16" t="n">
        <f aca="false">MAX(P773+K773,Q772+N773)</f>
        <v>46497</v>
      </c>
      <c r="R773" s="12"/>
      <c r="S773" s="12"/>
    </row>
    <row r="774" customFormat="false" ht="15" hidden="false" customHeight="false" outlineLevel="0" collapsed="false">
      <c r="A774" s="15" t="s">
        <v>4066</v>
      </c>
      <c r="B774" s="15" t="s">
        <v>4054</v>
      </c>
      <c r="C774" s="15" t="s">
        <v>394</v>
      </c>
      <c r="D774" s="15" t="s">
        <v>719</v>
      </c>
      <c r="E774" s="15" t="s">
        <v>767</v>
      </c>
      <c r="F774" s="15" t="s">
        <v>3031</v>
      </c>
      <c r="G774" s="15" t="s">
        <v>3032</v>
      </c>
      <c r="H774" s="33" t="n">
        <f aca="false">Packages!$AB$75</f>
        <v>319.679153225539</v>
      </c>
      <c r="I774" s="15" t="s">
        <v>3019</v>
      </c>
      <c r="J774" s="34" t="n">
        <f aca="false">MAX(1,ROUNDUP(Packages!$AB$75/(R_BF*Fronts!$M$8),0))</f>
        <v>1</v>
      </c>
      <c r="K774" s="34" t="n">
        <f aca="false">IF(J774=0,0,ROUNDUP(J774*7/WD,0))</f>
        <v>2</v>
      </c>
      <c r="L774" s="15" t="s">
        <v>4065</v>
      </c>
      <c r="M774" s="34" t="n">
        <f aca="false">ROUNDUP(K773*LADDER,0)</f>
        <v>2</v>
      </c>
      <c r="N774" s="34" t="n">
        <f aca="false">IF(K774=0,0,FFLAG)</f>
        <v>2</v>
      </c>
      <c r="O774" s="15" t="s">
        <v>4067</v>
      </c>
      <c r="P774" s="16" t="n">
        <f aca="false">MAX(P773+M774,R763,Q750)</f>
        <v>46500</v>
      </c>
      <c r="Q774" s="16" t="n">
        <f aca="false">MAX(P774+K774,Q773+N774)</f>
        <v>46502</v>
      </c>
      <c r="R774" s="16" t="n">
        <f aca="false">IF(K774&gt;0,Q774,R763)</f>
        <v>46502</v>
      </c>
      <c r="S774" s="15" t="s">
        <v>4051</v>
      </c>
    </row>
    <row r="775" customFormat="false" ht="15" hidden="false" customHeight="false" outlineLevel="0" collapsed="false">
      <c r="A775" s="15" t="s">
        <v>4068</v>
      </c>
      <c r="B775" s="15" t="s">
        <v>4054</v>
      </c>
      <c r="C775" s="15" t="s">
        <v>394</v>
      </c>
      <c r="D775" s="15" t="s">
        <v>719</v>
      </c>
      <c r="E775" s="15" t="s">
        <v>767</v>
      </c>
      <c r="F775" s="15" t="s">
        <v>3034</v>
      </c>
      <c r="G775" s="15" t="s">
        <v>3035</v>
      </c>
      <c r="H775" s="33" t="n">
        <f aca="false">Packages!$AD$75</f>
        <v>0</v>
      </c>
      <c r="I775" s="15" t="s">
        <v>3012</v>
      </c>
      <c r="J775" s="34" t="n">
        <f aca="false">IF(Packages!$AD$75&gt;0,ROUNDUP(Packages!$AD$75/R_EXT,0),0)+IF(Packages!$AG$75&gt;0,1,0)</f>
        <v>1</v>
      </c>
      <c r="K775" s="34" t="n">
        <f aca="false">IF(J775=0,0,ROUNDUP(J775*7/WD,0))</f>
        <v>2</v>
      </c>
      <c r="L775" s="15" t="s">
        <v>4066</v>
      </c>
      <c r="M775" s="34" t="n">
        <f aca="false">ROUNDUP(K774*LADDER,0)</f>
        <v>1</v>
      </c>
      <c r="N775" s="34" t="n">
        <f aca="false">IF(K775=0,0,FFLAG)</f>
        <v>2</v>
      </c>
      <c r="O775" s="15"/>
      <c r="P775" s="16" t="n">
        <f aca="false">MAX(P774+M775)</f>
        <v>46501</v>
      </c>
      <c r="Q775" s="16" t="n">
        <f aca="false">MAX(P775+K775,Q774+N775)</f>
        <v>46504</v>
      </c>
      <c r="R775" s="12"/>
      <c r="S775" s="12"/>
    </row>
    <row r="776" customFormat="false" ht="15" hidden="false" customHeight="false" outlineLevel="0" collapsed="false">
      <c r="A776" s="15" t="s">
        <v>4069</v>
      </c>
      <c r="B776" s="15" t="s">
        <v>4070</v>
      </c>
      <c r="C776" s="15" t="s">
        <v>394</v>
      </c>
      <c r="D776" s="15" t="s">
        <v>993</v>
      </c>
      <c r="E776" s="15" t="s">
        <v>994</v>
      </c>
      <c r="F776" s="15" t="s">
        <v>2998</v>
      </c>
      <c r="G776" s="15" t="s">
        <v>2999</v>
      </c>
      <c r="H776" s="12"/>
      <c r="I776" s="12"/>
      <c r="J776" s="34" t="n">
        <f aca="false">0</f>
        <v>0</v>
      </c>
      <c r="K776" s="34" t="n">
        <f aca="false">IF(J776=0,0,ROUNDUP(J776*7/WD,0))</f>
        <v>0</v>
      </c>
      <c r="L776" s="12"/>
      <c r="M776" s="12"/>
      <c r="N776" s="12"/>
      <c r="O776" s="15" t="s">
        <v>3038</v>
      </c>
      <c r="P776" s="16" t="n">
        <f aca="false">MAX(START,D_DLU,Packages!$I$76,Packages!$K$76)</f>
        <v>46357</v>
      </c>
      <c r="Q776" s="16" t="n">
        <f aca="false">P776+K776</f>
        <v>46357</v>
      </c>
      <c r="R776" s="12"/>
      <c r="S776" s="12"/>
    </row>
    <row r="777" customFormat="false" ht="15" hidden="false" customHeight="false" outlineLevel="0" collapsed="false">
      <c r="A777" s="15" t="s">
        <v>4071</v>
      </c>
      <c r="B777" s="15" t="s">
        <v>4070</v>
      </c>
      <c r="C777" s="15" t="s">
        <v>394</v>
      </c>
      <c r="D777" s="15" t="s">
        <v>993</v>
      </c>
      <c r="E777" s="15" t="s">
        <v>994</v>
      </c>
      <c r="F777" s="15" t="s">
        <v>3002</v>
      </c>
      <c r="G777" s="15" t="s">
        <v>205</v>
      </c>
      <c r="H777" s="33" t="n">
        <f aca="false">Packages!$O$76</f>
        <v>6.03304504084613</v>
      </c>
      <c r="I777" s="15" t="s">
        <v>118</v>
      </c>
      <c r="J777" s="34" t="n">
        <f aca="false">MAX(1,ROUNDUP(Packages!$O$76/R_PLAT,0))</f>
        <v>1</v>
      </c>
      <c r="K777" s="34" t="n">
        <f aca="false">IF(J777=0,0,ROUNDUP(J777*7/WD,0))</f>
        <v>2</v>
      </c>
      <c r="L777" s="15" t="s">
        <v>4069</v>
      </c>
      <c r="M777" s="12"/>
      <c r="N777" s="12"/>
      <c r="O777" s="15" t="s">
        <v>4072</v>
      </c>
      <c r="P777" s="16" t="n">
        <f aca="false">MAX(Q776,P679)</f>
        <v>46366</v>
      </c>
      <c r="Q777" s="16" t="n">
        <f aca="false">P777+K777</f>
        <v>46368</v>
      </c>
      <c r="R777" s="12"/>
      <c r="S777" s="12"/>
    </row>
    <row r="778" customFormat="false" ht="15" hidden="false" customHeight="false" outlineLevel="0" collapsed="false">
      <c r="A778" s="15" t="s">
        <v>4073</v>
      </c>
      <c r="B778" s="15" t="s">
        <v>4070</v>
      </c>
      <c r="C778" s="15" t="s">
        <v>394</v>
      </c>
      <c r="D778" s="15" t="s">
        <v>993</v>
      </c>
      <c r="E778" s="15" t="s">
        <v>994</v>
      </c>
      <c r="F778" s="15" t="s">
        <v>3005</v>
      </c>
      <c r="G778" s="15" t="s">
        <v>3006</v>
      </c>
      <c r="H778" s="33" t="n">
        <f aca="false">Packages!$AC$76</f>
        <v>8</v>
      </c>
      <c r="I778" s="15" t="s">
        <v>3007</v>
      </c>
      <c r="J778" s="34" t="n">
        <f aca="false">IF(Packages!$AC$76=0,0,MAX(1,ROUNDUP(Packages!$AC$76/(R_PILE*Fronts!$H$8),0)))</f>
        <v>2</v>
      </c>
      <c r="K778" s="34" t="n">
        <f aca="false">IF(J778=0,0,ROUNDUP(J778*7/WD,0))</f>
        <v>3</v>
      </c>
      <c r="L778" s="15" t="s">
        <v>4071</v>
      </c>
      <c r="M778" s="34" t="n">
        <f aca="false">ROUNDUP(K777*LADDER,0)</f>
        <v>1</v>
      </c>
      <c r="N778" s="34" t="n">
        <f aca="false">IF(K778=0,0,FFLAG)</f>
        <v>2</v>
      </c>
      <c r="O778" s="15" t="s">
        <v>3008</v>
      </c>
      <c r="P778" s="16" t="n">
        <f aca="false">MAX(P777+M778,D_PILEDES)</f>
        <v>46367</v>
      </c>
      <c r="Q778" s="16" t="n">
        <f aca="false">MAX(P778+K778,Q777+N778)</f>
        <v>46370</v>
      </c>
      <c r="R778" s="16" t="n">
        <f aca="false">IF(K778&gt;0,Q778,0)</f>
        <v>46370</v>
      </c>
      <c r="S778" s="12"/>
    </row>
    <row r="779" customFormat="false" ht="15" hidden="false" customHeight="false" outlineLevel="0" collapsed="false">
      <c r="A779" s="15" t="s">
        <v>4074</v>
      </c>
      <c r="B779" s="15" t="s">
        <v>4070</v>
      </c>
      <c r="C779" s="15" t="s">
        <v>394</v>
      </c>
      <c r="D779" s="15" t="s">
        <v>993</v>
      </c>
      <c r="E779" s="15" t="s">
        <v>994</v>
      </c>
      <c r="F779" s="15" t="s">
        <v>3010</v>
      </c>
      <c r="G779" s="15" t="s">
        <v>3011</v>
      </c>
      <c r="H779" s="33" t="n">
        <f aca="false">Packages!$AD$76</f>
        <v>12.0660900816923</v>
      </c>
      <c r="I779" s="15" t="s">
        <v>3012</v>
      </c>
      <c r="J779" s="34" t="n">
        <f aca="false">IF(Packages!$AD$76=0,0,MAX(1,ROUNDUP(Packages!$AD$76/(R_SHEET*Fronts!$I$8),0)))</f>
        <v>1</v>
      </c>
      <c r="K779" s="34" t="n">
        <f aca="false">IF(J779=0,0,ROUNDUP(J779*7/WD,0))</f>
        <v>2</v>
      </c>
      <c r="L779" s="15" t="s">
        <v>4073</v>
      </c>
      <c r="M779" s="34" t="n">
        <f aca="false">ROUNDUP(K778*LADDER,0)</f>
        <v>1</v>
      </c>
      <c r="N779" s="34" t="n">
        <f aca="false">IF(K779=0,0,FFLAG)</f>
        <v>2</v>
      </c>
      <c r="O779" s="15"/>
      <c r="P779" s="16" t="n">
        <f aca="false">MAX(P778+M779)</f>
        <v>46368</v>
      </c>
      <c r="Q779" s="16" t="n">
        <f aca="false">MAX(P779+K779,Q778+N779)</f>
        <v>46372</v>
      </c>
      <c r="R779" s="16" t="n">
        <f aca="false">IF(K779&gt;0,Q779,0)</f>
        <v>46372</v>
      </c>
      <c r="S779" s="12"/>
    </row>
    <row r="780" customFormat="false" ht="15" hidden="false" customHeight="false" outlineLevel="0" collapsed="false">
      <c r="A780" s="15" t="s">
        <v>4075</v>
      </c>
      <c r="B780" s="15" t="s">
        <v>4070</v>
      </c>
      <c r="C780" s="15" t="s">
        <v>394</v>
      </c>
      <c r="D780" s="15" t="s">
        <v>993</v>
      </c>
      <c r="E780" s="15" t="s">
        <v>994</v>
      </c>
      <c r="F780" s="15" t="s">
        <v>3014</v>
      </c>
      <c r="G780" s="15" t="s">
        <v>3015</v>
      </c>
      <c r="H780" s="33" t="n">
        <f aca="false">Packages!$O$76</f>
        <v>6.03304504084613</v>
      </c>
      <c r="I780" s="15" t="s">
        <v>118</v>
      </c>
      <c r="J780" s="34" t="n">
        <f aca="false">IF(Packages!$AG$76=0,0,ROUNDUP(Packages!$O$76/R_DW,0)+DW_DRAW)</f>
        <v>8</v>
      </c>
      <c r="K780" s="34" t="n">
        <f aca="false">IF(J780=0,0,ROUNDUP(J780*7/WD,0))</f>
        <v>10</v>
      </c>
      <c r="L780" s="15" t="s">
        <v>4074</v>
      </c>
      <c r="M780" s="34" t="n">
        <f aca="false">ROUNDUP(K779*LADDER,0)</f>
        <v>1</v>
      </c>
      <c r="N780" s="34" t="n">
        <f aca="false">IF(K780=0,0,FFLAG)</f>
        <v>2</v>
      </c>
      <c r="O780" s="15"/>
      <c r="P780" s="16" t="n">
        <f aca="false">MAX(P779+M780)</f>
        <v>46369</v>
      </c>
      <c r="Q780" s="16" t="n">
        <f aca="false">MAX(P780+K780,Q779+N780)</f>
        <v>46379</v>
      </c>
      <c r="R780" s="12"/>
      <c r="S780" s="12"/>
    </row>
    <row r="781" customFormat="false" ht="15" hidden="false" customHeight="false" outlineLevel="0" collapsed="false">
      <c r="A781" s="15" t="s">
        <v>4076</v>
      </c>
      <c r="B781" s="15" t="s">
        <v>4070</v>
      </c>
      <c r="C781" s="15" t="s">
        <v>394</v>
      </c>
      <c r="D781" s="15" t="s">
        <v>993</v>
      </c>
      <c r="E781" s="15" t="s">
        <v>994</v>
      </c>
      <c r="F781" s="15" t="s">
        <v>3017</v>
      </c>
      <c r="G781" s="15" t="s">
        <v>3018</v>
      </c>
      <c r="H781" s="33" t="n">
        <f aca="false">Packages!$X$76+Packages!$Y$76</f>
        <v>81.0195948263202</v>
      </c>
      <c r="I781" s="15" t="s">
        <v>3019</v>
      </c>
      <c r="J781" s="34" t="n">
        <f aca="false">MAX(1,ROUNDUP((Packages!$X$76/R_EXS+Packages!$Y$76/R_EXO)/Fronts!$J$8,0))</f>
        <v>1</v>
      </c>
      <c r="K781" s="34" t="n">
        <f aca="false">IF(J781=0,0,ROUNDUP(J781*7/WD,0))</f>
        <v>2</v>
      </c>
      <c r="L781" s="15" t="s">
        <v>4075</v>
      </c>
      <c r="M781" s="34" t="n">
        <f aca="false">IF(K780=0,0,ROUNDUP((K780-ROUNDUP(DW_DRAW*7/WD,0))*LADDER,0)+ROUNDUP(DW_DRAW*7/WD,0))</f>
        <v>10</v>
      </c>
      <c r="N781" s="34" t="n">
        <f aca="false">IF(K781=0,0,FFLAG)</f>
        <v>2</v>
      </c>
      <c r="O781" s="15"/>
      <c r="P781" s="16" t="n">
        <f aca="false">MAX(P780+M781)</f>
        <v>46379</v>
      </c>
      <c r="Q781" s="16" t="n">
        <f aca="false">MAX(P781+K781,Q780+N781)</f>
        <v>46381</v>
      </c>
      <c r="R781" s="16" t="n">
        <f aca="false">IF(K781&gt;0,Q781,0)</f>
        <v>46381</v>
      </c>
      <c r="S781" s="12"/>
    </row>
    <row r="782" customFormat="false" ht="15" hidden="false" customHeight="false" outlineLevel="0" collapsed="false">
      <c r="A782" s="15" t="s">
        <v>4077</v>
      </c>
      <c r="B782" s="15" t="s">
        <v>4070</v>
      </c>
      <c r="C782" s="15" t="s">
        <v>394</v>
      </c>
      <c r="D782" s="15" t="s">
        <v>993</v>
      </c>
      <c r="E782" s="15" t="s">
        <v>994</v>
      </c>
      <c r="F782" s="15" t="s">
        <v>3022</v>
      </c>
      <c r="G782" s="15" t="s">
        <v>3023</v>
      </c>
      <c r="H782" s="33" t="n">
        <f aca="false">Packages!$O$76</f>
        <v>6.03304504084613</v>
      </c>
      <c r="I782" s="15" t="s">
        <v>118</v>
      </c>
      <c r="J782" s="34" t="n">
        <f aca="false">MAX(1,ROUNDUP(Packages!$O$76/(R_SLAB*Fronts!$K$8),0))+SLAB_CURE</f>
        <v>4</v>
      </c>
      <c r="K782" s="34" t="n">
        <f aca="false">IF(J782=0,0,ROUNDUP(J782*7/WD,0))</f>
        <v>5</v>
      </c>
      <c r="L782" s="15" t="s">
        <v>4076</v>
      </c>
      <c r="M782" s="34" t="n">
        <f aca="false">ROUNDUP(K781*LADDER,0)</f>
        <v>1</v>
      </c>
      <c r="N782" s="34" t="n">
        <f aca="false">IF(K782=0,0,FFLAG)</f>
        <v>2</v>
      </c>
      <c r="O782" s="15"/>
      <c r="P782" s="16" t="n">
        <f aca="false">MAX(P781+M782)</f>
        <v>46380</v>
      </c>
      <c r="Q782" s="16" t="n">
        <f aca="false">MAX(P782+K782,Q781+N782)</f>
        <v>46385</v>
      </c>
      <c r="R782" s="16" t="n">
        <f aca="false">IF(K782&gt;0,Q782,0)</f>
        <v>46385</v>
      </c>
      <c r="S782" s="12"/>
    </row>
    <row r="783" customFormat="false" ht="15" hidden="false" customHeight="false" outlineLevel="0" collapsed="false">
      <c r="A783" s="15" t="s">
        <v>4078</v>
      </c>
      <c r="B783" s="15" t="s">
        <v>4070</v>
      </c>
      <c r="C783" s="15" t="s">
        <v>394</v>
      </c>
      <c r="D783" s="15" t="s">
        <v>993</v>
      </c>
      <c r="E783" s="15" t="s">
        <v>994</v>
      </c>
      <c r="F783" s="15" t="s">
        <v>3025</v>
      </c>
      <c r="G783" s="15" t="s">
        <v>3026</v>
      </c>
      <c r="H783" s="33" t="n">
        <f aca="false">Packages!$O$76</f>
        <v>6.03304504084613</v>
      </c>
      <c r="I783" s="15" t="s">
        <v>118</v>
      </c>
      <c r="J783" s="34" t="n">
        <f aca="false">MAX(1,ROUNDUP(Packages!$O$76/(IF(Packages!$N$76&gt;=PIPE_T1,R_PIPE_L,IF(Packages!$N$76&gt;=PIPE_T2,R_PIPE_M,R_PIPE_S))*Fronts!$L$8)+Packages!$M$76*FIT_D+IF(Packages!$G$76&lt;&gt;"Run",TIE_D,0),0))</f>
        <v>4</v>
      </c>
      <c r="K783" s="34" t="n">
        <f aca="false">IF(J783=0,0,ROUNDUP(J783*7/WD,0))</f>
        <v>5</v>
      </c>
      <c r="L783" s="15" t="s">
        <v>4077</v>
      </c>
      <c r="M783" s="34" t="n">
        <f aca="false">ROUNDUP(K782*LADDER,0)</f>
        <v>2</v>
      </c>
      <c r="N783" s="34" t="n">
        <f aca="false">IF(K783=0,0,FFLAG)</f>
        <v>2</v>
      </c>
      <c r="O783" s="15" t="s">
        <v>4079</v>
      </c>
      <c r="P783" s="16" t="n">
        <f aca="false">MAX(P782+M783,Q684)</f>
        <v>46392</v>
      </c>
      <c r="Q783" s="16" t="n">
        <f aca="false">MAX(P783+K783,Q782+N783)</f>
        <v>46397</v>
      </c>
      <c r="R783" s="16" t="n">
        <f aca="false">IF(K783&gt;0,Q783,0)</f>
        <v>46397</v>
      </c>
      <c r="S783" s="12"/>
    </row>
    <row r="784" customFormat="false" ht="15" hidden="false" customHeight="false" outlineLevel="0" collapsed="false">
      <c r="A784" s="15" t="s">
        <v>4080</v>
      </c>
      <c r="B784" s="15" t="s">
        <v>4070</v>
      </c>
      <c r="C784" s="15" t="s">
        <v>394</v>
      </c>
      <c r="D784" s="15" t="s">
        <v>993</v>
      </c>
      <c r="E784" s="15" t="s">
        <v>994</v>
      </c>
      <c r="F784" s="15" t="s">
        <v>3028</v>
      </c>
      <c r="G784" s="15" t="s">
        <v>3029</v>
      </c>
      <c r="H784" s="33" t="n">
        <f aca="false">Packages!$O$76</f>
        <v>6.03304504084613</v>
      </c>
      <c r="I784" s="15" t="s">
        <v>118</v>
      </c>
      <c r="J784" s="34" t="n">
        <f aca="false">TEST_D+ROUNDUP(Packages!$O$76/R_TEST,0)</f>
        <v>3</v>
      </c>
      <c r="K784" s="34" t="n">
        <f aca="false">IF(J784=0,0,ROUNDUP(J784*7/WD,0))</f>
        <v>4</v>
      </c>
      <c r="L784" s="15" t="s">
        <v>4078</v>
      </c>
      <c r="M784" s="34" t="n">
        <f aca="false">ROUNDUP(K783*LADDER,0)</f>
        <v>2</v>
      </c>
      <c r="N784" s="34" t="n">
        <f aca="false">IF(K784=0,0,FFLAG)</f>
        <v>2</v>
      </c>
      <c r="O784" s="15"/>
      <c r="P784" s="16" t="n">
        <f aca="false">MAX(P783+M784)</f>
        <v>46394</v>
      </c>
      <c r="Q784" s="16" t="n">
        <f aca="false">MAX(P784+K784,Q783+N784)</f>
        <v>46399</v>
      </c>
      <c r="R784" s="12"/>
      <c r="S784" s="12"/>
    </row>
    <row r="785" customFormat="false" ht="15" hidden="false" customHeight="false" outlineLevel="0" collapsed="false">
      <c r="A785" s="15" t="s">
        <v>4081</v>
      </c>
      <c r="B785" s="15" t="s">
        <v>4070</v>
      </c>
      <c r="C785" s="15" t="s">
        <v>394</v>
      </c>
      <c r="D785" s="15" t="s">
        <v>993</v>
      </c>
      <c r="E785" s="15" t="s">
        <v>994</v>
      </c>
      <c r="F785" s="15" t="s">
        <v>3031</v>
      </c>
      <c r="G785" s="15" t="s">
        <v>3032</v>
      </c>
      <c r="H785" s="33" t="n">
        <f aca="false">Packages!$AB$76</f>
        <v>67.5965668781769</v>
      </c>
      <c r="I785" s="15" t="s">
        <v>3019</v>
      </c>
      <c r="J785" s="34" t="n">
        <f aca="false">MAX(1,ROUNDUP(Packages!$AB$76/(R_BF*Fronts!$M$8),0))</f>
        <v>1</v>
      </c>
      <c r="K785" s="34" t="n">
        <f aca="false">IF(J785=0,0,ROUNDUP(J785*7/WD,0))</f>
        <v>2</v>
      </c>
      <c r="L785" s="15" t="s">
        <v>4080</v>
      </c>
      <c r="M785" s="34" t="n">
        <f aca="false">ROUNDUP(K784*LADDER,0)</f>
        <v>2</v>
      </c>
      <c r="N785" s="34" t="n">
        <f aca="false">IF(K785=0,0,FFLAG)</f>
        <v>2</v>
      </c>
      <c r="O785" s="15"/>
      <c r="P785" s="16" t="n">
        <f aca="false">MAX(P784+M785)</f>
        <v>46396</v>
      </c>
      <c r="Q785" s="16" t="n">
        <f aca="false">MAX(P785+K785,Q784+N785)</f>
        <v>46401</v>
      </c>
      <c r="R785" s="16" t="n">
        <f aca="false">IF(K785&gt;0,Q785,0)</f>
        <v>46401</v>
      </c>
      <c r="S785" s="12"/>
    </row>
    <row r="786" customFormat="false" ht="15" hidden="false" customHeight="false" outlineLevel="0" collapsed="false">
      <c r="A786" s="15" t="s">
        <v>4082</v>
      </c>
      <c r="B786" s="15" t="s">
        <v>4070</v>
      </c>
      <c r="C786" s="15" t="s">
        <v>394</v>
      </c>
      <c r="D786" s="15" t="s">
        <v>993</v>
      </c>
      <c r="E786" s="15" t="s">
        <v>994</v>
      </c>
      <c r="F786" s="15" t="s">
        <v>3034</v>
      </c>
      <c r="G786" s="15" t="s">
        <v>3035</v>
      </c>
      <c r="H786" s="33" t="n">
        <f aca="false">Packages!$AD$76</f>
        <v>12.0660900816923</v>
      </c>
      <c r="I786" s="15" t="s">
        <v>3012</v>
      </c>
      <c r="J786" s="34" t="n">
        <f aca="false">IF(Packages!$AD$76&gt;0,ROUNDUP(Packages!$AD$76/R_EXT,0),0)+IF(Packages!$AG$76&gt;0,1,0)</f>
        <v>2</v>
      </c>
      <c r="K786" s="34" t="n">
        <f aca="false">IF(J786=0,0,ROUNDUP(J786*7/WD,0))</f>
        <v>3</v>
      </c>
      <c r="L786" s="15" t="s">
        <v>4081</v>
      </c>
      <c r="M786" s="34" t="n">
        <f aca="false">ROUNDUP(K785*LADDER,0)</f>
        <v>1</v>
      </c>
      <c r="N786" s="34" t="n">
        <f aca="false">IF(K786=0,0,FFLAG)</f>
        <v>2</v>
      </c>
      <c r="O786" s="15"/>
      <c r="P786" s="16" t="n">
        <f aca="false">MAX(P785+M786)</f>
        <v>46397</v>
      </c>
      <c r="Q786" s="16" t="n">
        <f aca="false">MAX(P786+K786,Q785+N786)</f>
        <v>46403</v>
      </c>
      <c r="R786" s="12"/>
      <c r="S786" s="12"/>
    </row>
    <row r="787" customFormat="false" ht="15" hidden="false" customHeight="false" outlineLevel="0" collapsed="false">
      <c r="A787" s="15" t="s">
        <v>4083</v>
      </c>
      <c r="B787" s="15" t="s">
        <v>4084</v>
      </c>
      <c r="C787" s="15" t="s">
        <v>394</v>
      </c>
      <c r="D787" s="15" t="s">
        <v>993</v>
      </c>
      <c r="E787" s="15" t="s">
        <v>1006</v>
      </c>
      <c r="F787" s="15" t="s">
        <v>2998</v>
      </c>
      <c r="G787" s="15" t="s">
        <v>2999</v>
      </c>
      <c r="H787" s="12"/>
      <c r="I787" s="12"/>
      <c r="J787" s="34" t="n">
        <f aca="false">0</f>
        <v>0</v>
      </c>
      <c r="K787" s="34" t="n">
        <f aca="false">IF(J787=0,0,ROUNDUP(J787*7/WD,0))</f>
        <v>0</v>
      </c>
      <c r="L787" s="12"/>
      <c r="M787" s="12"/>
      <c r="N787" s="12"/>
      <c r="O787" s="15" t="s">
        <v>3038</v>
      </c>
      <c r="P787" s="16" t="n">
        <f aca="false">MAX(START,D_DLU,Packages!$I$77,Packages!$K$77)</f>
        <v>46357</v>
      </c>
      <c r="Q787" s="16" t="n">
        <f aca="false">P787+K787</f>
        <v>46357</v>
      </c>
      <c r="R787" s="12"/>
      <c r="S787" s="12"/>
    </row>
    <row r="788" customFormat="false" ht="15" hidden="false" customHeight="false" outlineLevel="0" collapsed="false">
      <c r="A788" s="15" t="s">
        <v>4085</v>
      </c>
      <c r="B788" s="15" t="s">
        <v>4084</v>
      </c>
      <c r="C788" s="15" t="s">
        <v>394</v>
      </c>
      <c r="D788" s="15" t="s">
        <v>993</v>
      </c>
      <c r="E788" s="15" t="s">
        <v>1006</v>
      </c>
      <c r="F788" s="15" t="s">
        <v>3002</v>
      </c>
      <c r="G788" s="15" t="s">
        <v>205</v>
      </c>
      <c r="H788" s="33" t="n">
        <f aca="false">Packages!$O$77</f>
        <v>17.4504259478839</v>
      </c>
      <c r="I788" s="15" t="s">
        <v>118</v>
      </c>
      <c r="J788" s="34" t="n">
        <f aca="false">MAX(1,ROUNDUP(Packages!$O$77/R_PLAT,0))</f>
        <v>1</v>
      </c>
      <c r="K788" s="34" t="n">
        <f aca="false">IF(J788=0,0,ROUNDUP(J788*7/WD,0))</f>
        <v>2</v>
      </c>
      <c r="L788" s="15" t="s">
        <v>4083</v>
      </c>
      <c r="M788" s="12"/>
      <c r="N788" s="12"/>
      <c r="O788" s="15" t="s">
        <v>4086</v>
      </c>
      <c r="P788" s="16" t="n">
        <f aca="false">MAX(Q787,P2164)</f>
        <v>46478</v>
      </c>
      <c r="Q788" s="16" t="n">
        <f aca="false">P788+K788</f>
        <v>46480</v>
      </c>
      <c r="R788" s="12"/>
      <c r="S788" s="12"/>
    </row>
    <row r="789" customFormat="false" ht="15" hidden="false" customHeight="false" outlineLevel="0" collapsed="false">
      <c r="A789" s="15" t="s">
        <v>4087</v>
      </c>
      <c r="B789" s="15" t="s">
        <v>4084</v>
      </c>
      <c r="C789" s="15" t="s">
        <v>394</v>
      </c>
      <c r="D789" s="15" t="s">
        <v>993</v>
      </c>
      <c r="E789" s="15" t="s">
        <v>1006</v>
      </c>
      <c r="F789" s="15" t="s">
        <v>3005</v>
      </c>
      <c r="G789" s="15" t="s">
        <v>3006</v>
      </c>
      <c r="H789" s="33" t="n">
        <f aca="false">Packages!$AC$77</f>
        <v>14</v>
      </c>
      <c r="I789" s="15" t="s">
        <v>3007</v>
      </c>
      <c r="J789" s="34" t="n">
        <f aca="false">IF(Packages!$AC$77=0,0,MAX(1,ROUNDUP(Packages!$AC$77/(R_PILE*Fronts!$H$8),0)))</f>
        <v>3</v>
      </c>
      <c r="K789" s="34" t="n">
        <f aca="false">IF(J789=0,0,ROUNDUP(J789*7/WD,0))</f>
        <v>4</v>
      </c>
      <c r="L789" s="15" t="s">
        <v>4085</v>
      </c>
      <c r="M789" s="34" t="n">
        <f aca="false">ROUNDUP(K788*LADDER,0)</f>
        <v>1</v>
      </c>
      <c r="N789" s="34" t="n">
        <f aca="false">IF(K789=0,0,FFLAG)</f>
        <v>2</v>
      </c>
      <c r="O789" s="15" t="s">
        <v>3008</v>
      </c>
      <c r="P789" s="16" t="n">
        <f aca="false">MAX(P788+M789,D_PILEDES)</f>
        <v>46479</v>
      </c>
      <c r="Q789" s="16" t="n">
        <f aca="false">MAX(P789+K789,Q788+N789)</f>
        <v>46483</v>
      </c>
      <c r="R789" s="16" t="n">
        <f aca="false">IF(K789&gt;0,Q789,0)</f>
        <v>46483</v>
      </c>
      <c r="S789" s="12"/>
    </row>
    <row r="790" customFormat="false" ht="15" hidden="false" customHeight="false" outlineLevel="0" collapsed="false">
      <c r="A790" s="15" t="s">
        <v>4088</v>
      </c>
      <c r="B790" s="15" t="s">
        <v>4084</v>
      </c>
      <c r="C790" s="15" t="s">
        <v>394</v>
      </c>
      <c r="D790" s="15" t="s">
        <v>993</v>
      </c>
      <c r="E790" s="15" t="s">
        <v>1006</v>
      </c>
      <c r="F790" s="15" t="s">
        <v>3010</v>
      </c>
      <c r="G790" s="15" t="s">
        <v>3011</v>
      </c>
      <c r="H790" s="33" t="n">
        <f aca="false">Packages!$AD$77</f>
        <v>0</v>
      </c>
      <c r="I790" s="15" t="s">
        <v>3012</v>
      </c>
      <c r="J790" s="34" t="n">
        <f aca="false">IF(Packages!$AD$77=0,0,MAX(1,ROUNDUP(Packages!$AD$77/(R_SHEET*Fronts!$I$8),0)))</f>
        <v>0</v>
      </c>
      <c r="K790" s="34" t="n">
        <f aca="false">IF(J790=0,0,ROUNDUP(J790*7/WD,0))</f>
        <v>0</v>
      </c>
      <c r="L790" s="15" t="s">
        <v>4087</v>
      </c>
      <c r="M790" s="34" t="n">
        <f aca="false">ROUNDUP(K789*LADDER,0)</f>
        <v>2</v>
      </c>
      <c r="N790" s="34" t="n">
        <f aca="false">IF(K790=0,0,FFLAG)</f>
        <v>0</v>
      </c>
      <c r="O790" s="15"/>
      <c r="P790" s="16" t="n">
        <f aca="false">MAX(P789+M790)</f>
        <v>46481</v>
      </c>
      <c r="Q790" s="16" t="n">
        <f aca="false">MAX(P790+K790,Q789+N790)</f>
        <v>46483</v>
      </c>
      <c r="R790" s="16" t="n">
        <f aca="false">IF(K790&gt;0,Q790,0)</f>
        <v>0</v>
      </c>
      <c r="S790" s="12"/>
    </row>
    <row r="791" customFormat="false" ht="15" hidden="false" customHeight="false" outlineLevel="0" collapsed="false">
      <c r="A791" s="15" t="s">
        <v>4089</v>
      </c>
      <c r="B791" s="15" t="s">
        <v>4084</v>
      </c>
      <c r="C791" s="15" t="s">
        <v>394</v>
      </c>
      <c r="D791" s="15" t="s">
        <v>993</v>
      </c>
      <c r="E791" s="15" t="s">
        <v>1006</v>
      </c>
      <c r="F791" s="15" t="s">
        <v>3014</v>
      </c>
      <c r="G791" s="15" t="s">
        <v>3015</v>
      </c>
      <c r="H791" s="33" t="n">
        <f aca="false">Packages!$O$77</f>
        <v>17.4504259478839</v>
      </c>
      <c r="I791" s="15" t="s">
        <v>118</v>
      </c>
      <c r="J791" s="34" t="n">
        <f aca="false">IF(Packages!$AG$77=0,0,ROUNDUP(Packages!$O$77/R_DW,0)+DW_DRAW)</f>
        <v>8</v>
      </c>
      <c r="K791" s="34" t="n">
        <f aca="false">IF(J791=0,0,ROUNDUP(J791*7/WD,0))</f>
        <v>10</v>
      </c>
      <c r="L791" s="15" t="s">
        <v>4088</v>
      </c>
      <c r="M791" s="34" t="n">
        <f aca="false">ROUNDUP(K790*LADDER,0)</f>
        <v>0</v>
      </c>
      <c r="N791" s="34" t="n">
        <f aca="false">IF(K791=0,0,FFLAG)</f>
        <v>2</v>
      </c>
      <c r="O791" s="15"/>
      <c r="P791" s="16" t="n">
        <f aca="false">MAX(P790+M791)</f>
        <v>46481</v>
      </c>
      <c r="Q791" s="16" t="n">
        <f aca="false">MAX(P791+K791,Q790+N791)</f>
        <v>46491</v>
      </c>
      <c r="R791" s="12"/>
      <c r="S791" s="12"/>
    </row>
    <row r="792" customFormat="false" ht="15" hidden="false" customHeight="false" outlineLevel="0" collapsed="false">
      <c r="A792" s="15" t="s">
        <v>4090</v>
      </c>
      <c r="B792" s="15" t="s">
        <v>4084</v>
      </c>
      <c r="C792" s="15" t="s">
        <v>394</v>
      </c>
      <c r="D792" s="15" t="s">
        <v>993</v>
      </c>
      <c r="E792" s="15" t="s">
        <v>1006</v>
      </c>
      <c r="F792" s="15" t="s">
        <v>3017</v>
      </c>
      <c r="G792" s="15" t="s">
        <v>3018</v>
      </c>
      <c r="H792" s="33" t="n">
        <f aca="false">Packages!$X$77+Packages!$Y$77</f>
        <v>249.624975709618</v>
      </c>
      <c r="I792" s="15" t="s">
        <v>3019</v>
      </c>
      <c r="J792" s="34" t="n">
        <f aca="false">MAX(1,ROUNDUP((Packages!$X$77/R_EXS+Packages!$Y$77/R_EXO)/Fronts!$J$8,0))</f>
        <v>1</v>
      </c>
      <c r="K792" s="34" t="n">
        <f aca="false">IF(J792=0,0,ROUNDUP(J792*7/WD,0))</f>
        <v>2</v>
      </c>
      <c r="L792" s="15" t="s">
        <v>4089</v>
      </c>
      <c r="M792" s="34" t="n">
        <f aca="false">IF(K791=0,0,ROUNDUP((K791-ROUNDUP(DW_DRAW*7/WD,0))*LADDER,0)+ROUNDUP(DW_DRAW*7/WD,0))</f>
        <v>10</v>
      </c>
      <c r="N792" s="34" t="n">
        <f aca="false">IF(K792=0,0,FFLAG)</f>
        <v>2</v>
      </c>
      <c r="O792" s="15" t="s">
        <v>4091</v>
      </c>
      <c r="P792" s="16" t="n">
        <f aca="false">MAX(P791+M792,Q2127,Q2160,Q2138,Q2105)</f>
        <v>46559</v>
      </c>
      <c r="Q792" s="16" t="n">
        <f aca="false">MAX(P792+K792,Q791+N792)</f>
        <v>46561</v>
      </c>
      <c r="R792" s="16" t="n">
        <f aca="false">IF(K792&gt;0,Q792,0)</f>
        <v>46561</v>
      </c>
      <c r="S792" s="12"/>
    </row>
    <row r="793" customFormat="false" ht="15" hidden="false" customHeight="false" outlineLevel="0" collapsed="false">
      <c r="A793" s="15" t="s">
        <v>4092</v>
      </c>
      <c r="B793" s="15" t="s">
        <v>4084</v>
      </c>
      <c r="C793" s="15" t="s">
        <v>394</v>
      </c>
      <c r="D793" s="15" t="s">
        <v>993</v>
      </c>
      <c r="E793" s="15" t="s">
        <v>1006</v>
      </c>
      <c r="F793" s="15" t="s">
        <v>3022</v>
      </c>
      <c r="G793" s="15" t="s">
        <v>3023</v>
      </c>
      <c r="H793" s="33" t="n">
        <f aca="false">Packages!$O$77</f>
        <v>17.4504259478839</v>
      </c>
      <c r="I793" s="15" t="s">
        <v>118</v>
      </c>
      <c r="J793" s="34" t="n">
        <f aca="false">MAX(1,ROUNDUP(Packages!$O$77/(R_SLAB*Fronts!$K$8),0))+SLAB_CURE</f>
        <v>5</v>
      </c>
      <c r="K793" s="34" t="n">
        <f aca="false">IF(J793=0,0,ROUNDUP(J793*7/WD,0))</f>
        <v>6</v>
      </c>
      <c r="L793" s="15" t="s">
        <v>4090</v>
      </c>
      <c r="M793" s="34" t="n">
        <f aca="false">ROUNDUP(K792*LADDER,0)</f>
        <v>1</v>
      </c>
      <c r="N793" s="34" t="n">
        <f aca="false">IF(K793=0,0,FFLAG)</f>
        <v>2</v>
      </c>
      <c r="O793" s="15"/>
      <c r="P793" s="16" t="n">
        <f aca="false">MAX(P792+M793)</f>
        <v>46560</v>
      </c>
      <c r="Q793" s="16" t="n">
        <f aca="false">MAX(P793+K793,Q792+N793)</f>
        <v>46566</v>
      </c>
      <c r="R793" s="16" t="n">
        <f aca="false">IF(K793&gt;0,Q793,0)</f>
        <v>46566</v>
      </c>
      <c r="S793" s="12"/>
    </row>
    <row r="794" customFormat="false" ht="15" hidden="false" customHeight="false" outlineLevel="0" collapsed="false">
      <c r="A794" s="15" t="s">
        <v>4093</v>
      </c>
      <c r="B794" s="15" t="s">
        <v>4084</v>
      </c>
      <c r="C794" s="15" t="s">
        <v>394</v>
      </c>
      <c r="D794" s="15" t="s">
        <v>993</v>
      </c>
      <c r="E794" s="15" t="s">
        <v>1006</v>
      </c>
      <c r="F794" s="15" t="s">
        <v>3025</v>
      </c>
      <c r="G794" s="15" t="s">
        <v>3026</v>
      </c>
      <c r="H794" s="33" t="n">
        <f aca="false">Packages!$O$77</f>
        <v>17.4504259478839</v>
      </c>
      <c r="I794" s="15" t="s">
        <v>118</v>
      </c>
      <c r="J794" s="34" t="n">
        <f aca="false">MAX(1,ROUNDUP(Packages!$O$77/(IF(Packages!$N$77&gt;=PIPE_T1,R_PIPE_L,IF(Packages!$N$77&gt;=PIPE_T2,R_PIPE_M,R_PIPE_S))*Fronts!$L$8)+Packages!$M$77*FIT_D+IF(Packages!$G$77&lt;&gt;"Run",TIE_D,0),0))</f>
        <v>5</v>
      </c>
      <c r="K794" s="34" t="n">
        <f aca="false">IF(J794=0,0,ROUNDUP(J794*7/WD,0))</f>
        <v>6</v>
      </c>
      <c r="L794" s="15" t="s">
        <v>4092</v>
      </c>
      <c r="M794" s="34" t="n">
        <f aca="false">ROUNDUP(K793*LADDER,0)</f>
        <v>2</v>
      </c>
      <c r="N794" s="34" t="n">
        <f aca="false">IF(K794=0,0,FFLAG)</f>
        <v>2</v>
      </c>
      <c r="O794" s="15" t="s">
        <v>4094</v>
      </c>
      <c r="P794" s="16" t="n">
        <f aca="false">MAX(P793+M794,Q2169)</f>
        <v>46562</v>
      </c>
      <c r="Q794" s="16" t="n">
        <f aca="false">MAX(P794+K794,Q793+N794)</f>
        <v>46568</v>
      </c>
      <c r="R794" s="16" t="n">
        <f aca="false">IF(K794&gt;0,Q794,0)</f>
        <v>46568</v>
      </c>
      <c r="S794" s="12"/>
    </row>
    <row r="795" customFormat="false" ht="15" hidden="false" customHeight="false" outlineLevel="0" collapsed="false">
      <c r="A795" s="15" t="s">
        <v>4095</v>
      </c>
      <c r="B795" s="15" t="s">
        <v>4084</v>
      </c>
      <c r="C795" s="15" t="s">
        <v>394</v>
      </c>
      <c r="D795" s="15" t="s">
        <v>993</v>
      </c>
      <c r="E795" s="15" t="s">
        <v>1006</v>
      </c>
      <c r="F795" s="15" t="s">
        <v>3028</v>
      </c>
      <c r="G795" s="15" t="s">
        <v>3029</v>
      </c>
      <c r="H795" s="33" t="n">
        <f aca="false">Packages!$O$77</f>
        <v>17.4504259478839</v>
      </c>
      <c r="I795" s="15" t="s">
        <v>118</v>
      </c>
      <c r="J795" s="34" t="n">
        <f aca="false">TEST_D+ROUNDUP(Packages!$O$77/R_TEST,0)</f>
        <v>3</v>
      </c>
      <c r="K795" s="34" t="n">
        <f aca="false">IF(J795=0,0,ROUNDUP(J795*7/WD,0))</f>
        <v>4</v>
      </c>
      <c r="L795" s="15" t="s">
        <v>4093</v>
      </c>
      <c r="M795" s="34" t="n">
        <f aca="false">ROUNDUP(K794*LADDER,0)</f>
        <v>2</v>
      </c>
      <c r="N795" s="34" t="n">
        <f aca="false">IF(K795=0,0,FFLAG)</f>
        <v>2</v>
      </c>
      <c r="O795" s="15"/>
      <c r="P795" s="16" t="n">
        <f aca="false">MAX(P794+M795)</f>
        <v>46564</v>
      </c>
      <c r="Q795" s="16" t="n">
        <f aca="false">MAX(P795+K795,Q794+N795)</f>
        <v>46570</v>
      </c>
      <c r="R795" s="12"/>
      <c r="S795" s="12"/>
    </row>
    <row r="796" customFormat="false" ht="15" hidden="false" customHeight="false" outlineLevel="0" collapsed="false">
      <c r="A796" s="15" t="s">
        <v>4096</v>
      </c>
      <c r="B796" s="15" t="s">
        <v>4084</v>
      </c>
      <c r="C796" s="15" t="s">
        <v>394</v>
      </c>
      <c r="D796" s="15" t="s">
        <v>993</v>
      </c>
      <c r="E796" s="15" t="s">
        <v>1006</v>
      </c>
      <c r="F796" s="15" t="s">
        <v>3031</v>
      </c>
      <c r="G796" s="15" t="s">
        <v>3032</v>
      </c>
      <c r="H796" s="33" t="n">
        <f aca="false">Packages!$AB$77</f>
        <v>210.693502206396</v>
      </c>
      <c r="I796" s="15" t="s">
        <v>3019</v>
      </c>
      <c r="J796" s="34" t="n">
        <f aca="false">MAX(1,ROUNDUP(Packages!$AB$77/(R_BF*Fronts!$M$8),0))</f>
        <v>1</v>
      </c>
      <c r="K796" s="34" t="n">
        <f aca="false">IF(J796=0,0,ROUNDUP(J796*7/WD,0))</f>
        <v>2</v>
      </c>
      <c r="L796" s="15" t="s">
        <v>4095</v>
      </c>
      <c r="M796" s="34" t="n">
        <f aca="false">ROUNDUP(K795*LADDER,0)</f>
        <v>2</v>
      </c>
      <c r="N796" s="34" t="n">
        <f aca="false">IF(K796=0,0,FFLAG)</f>
        <v>2</v>
      </c>
      <c r="O796" s="15"/>
      <c r="P796" s="16" t="n">
        <f aca="false">MAX(P795+M796)</f>
        <v>46566</v>
      </c>
      <c r="Q796" s="16" t="n">
        <f aca="false">MAX(P796+K796,Q795+N796)</f>
        <v>46572</v>
      </c>
      <c r="R796" s="16" t="n">
        <f aca="false">IF(K796&gt;0,Q796,0)</f>
        <v>46572</v>
      </c>
      <c r="S796" s="12"/>
    </row>
    <row r="797" customFormat="false" ht="15" hidden="false" customHeight="false" outlineLevel="0" collapsed="false">
      <c r="A797" s="15" t="s">
        <v>4097</v>
      </c>
      <c r="B797" s="15" t="s">
        <v>4084</v>
      </c>
      <c r="C797" s="15" t="s">
        <v>394</v>
      </c>
      <c r="D797" s="15" t="s">
        <v>993</v>
      </c>
      <c r="E797" s="15" t="s">
        <v>1006</v>
      </c>
      <c r="F797" s="15" t="s">
        <v>3034</v>
      </c>
      <c r="G797" s="15" t="s">
        <v>3035</v>
      </c>
      <c r="H797" s="33" t="n">
        <f aca="false">Packages!$AD$77</f>
        <v>0</v>
      </c>
      <c r="I797" s="15" t="s">
        <v>3012</v>
      </c>
      <c r="J797" s="34" t="n">
        <f aca="false">IF(Packages!$AD$77&gt;0,ROUNDUP(Packages!$AD$77/R_EXT,0),0)+IF(Packages!$AG$77&gt;0,1,0)</f>
        <v>1</v>
      </c>
      <c r="K797" s="34" t="n">
        <f aca="false">IF(J797=0,0,ROUNDUP(J797*7/WD,0))</f>
        <v>2</v>
      </c>
      <c r="L797" s="15" t="s">
        <v>4096</v>
      </c>
      <c r="M797" s="34" t="n">
        <f aca="false">ROUNDUP(K796*LADDER,0)</f>
        <v>1</v>
      </c>
      <c r="N797" s="34" t="n">
        <f aca="false">IF(K797=0,0,FFLAG)</f>
        <v>2</v>
      </c>
      <c r="O797" s="15"/>
      <c r="P797" s="16" t="n">
        <f aca="false">MAX(P796+M797)</f>
        <v>46567</v>
      </c>
      <c r="Q797" s="16" t="n">
        <f aca="false">MAX(P797+K797,Q796+N797)</f>
        <v>46574</v>
      </c>
      <c r="R797" s="12"/>
      <c r="S797" s="12"/>
    </row>
    <row r="798" customFormat="false" ht="15" hidden="false" customHeight="false" outlineLevel="0" collapsed="false">
      <c r="A798" s="15" t="s">
        <v>4098</v>
      </c>
      <c r="B798" s="15" t="s">
        <v>4099</v>
      </c>
      <c r="C798" s="15" t="s">
        <v>394</v>
      </c>
      <c r="D798" s="15" t="s">
        <v>993</v>
      </c>
      <c r="E798" s="15" t="s">
        <v>1059</v>
      </c>
      <c r="F798" s="15" t="s">
        <v>2998</v>
      </c>
      <c r="G798" s="15" t="s">
        <v>2999</v>
      </c>
      <c r="H798" s="12"/>
      <c r="I798" s="12"/>
      <c r="J798" s="34" t="n">
        <f aca="false">0</f>
        <v>0</v>
      </c>
      <c r="K798" s="34" t="n">
        <f aca="false">IF(J798=0,0,ROUNDUP(J798*7/WD,0))</f>
        <v>0</v>
      </c>
      <c r="L798" s="12"/>
      <c r="M798" s="12"/>
      <c r="N798" s="12"/>
      <c r="O798" s="15" t="s">
        <v>3038</v>
      </c>
      <c r="P798" s="16" t="n">
        <f aca="false">MAX(START,D_DLU,Packages!$I$78,Packages!$K$78)</f>
        <v>46357</v>
      </c>
      <c r="Q798" s="16" t="n">
        <f aca="false">P798+K798</f>
        <v>46357</v>
      </c>
      <c r="R798" s="12"/>
      <c r="S798" s="12"/>
    </row>
    <row r="799" customFormat="false" ht="15" hidden="false" customHeight="false" outlineLevel="0" collapsed="false">
      <c r="A799" s="15" t="s">
        <v>4100</v>
      </c>
      <c r="B799" s="15" t="s">
        <v>4099</v>
      </c>
      <c r="C799" s="15" t="s">
        <v>394</v>
      </c>
      <c r="D799" s="15" t="s">
        <v>993</v>
      </c>
      <c r="E799" s="15" t="s">
        <v>1059</v>
      </c>
      <c r="F799" s="15" t="s">
        <v>3002</v>
      </c>
      <c r="G799" s="15" t="s">
        <v>205</v>
      </c>
      <c r="H799" s="33" t="n">
        <f aca="false">Packages!$O$78</f>
        <v>10.7128491896504</v>
      </c>
      <c r="I799" s="15" t="s">
        <v>118</v>
      </c>
      <c r="J799" s="34" t="n">
        <f aca="false">MAX(1,ROUNDUP(Packages!$O$78/R_PLAT,0))</f>
        <v>1</v>
      </c>
      <c r="K799" s="34" t="n">
        <f aca="false">IF(J799=0,0,ROUNDUP(J799*7/WD,0))</f>
        <v>2</v>
      </c>
      <c r="L799" s="15" t="s">
        <v>4098</v>
      </c>
      <c r="M799" s="12"/>
      <c r="N799" s="12"/>
      <c r="O799" s="15" t="s">
        <v>4101</v>
      </c>
      <c r="P799" s="16" t="n">
        <f aca="false">MAX(Q798,P2076)</f>
        <v>46397</v>
      </c>
      <c r="Q799" s="16" t="n">
        <f aca="false">P799+K799</f>
        <v>46399</v>
      </c>
      <c r="R799" s="12"/>
      <c r="S799" s="12"/>
    </row>
    <row r="800" customFormat="false" ht="15" hidden="false" customHeight="false" outlineLevel="0" collapsed="false">
      <c r="A800" s="15" t="s">
        <v>4102</v>
      </c>
      <c r="B800" s="15" t="s">
        <v>4099</v>
      </c>
      <c r="C800" s="15" t="s">
        <v>394</v>
      </c>
      <c r="D800" s="15" t="s">
        <v>993</v>
      </c>
      <c r="E800" s="15" t="s">
        <v>1059</v>
      </c>
      <c r="F800" s="15" t="s">
        <v>3005</v>
      </c>
      <c r="G800" s="15" t="s">
        <v>3006</v>
      </c>
      <c r="H800" s="33" t="n">
        <f aca="false">Packages!$AC$78</f>
        <v>10</v>
      </c>
      <c r="I800" s="15" t="s">
        <v>3007</v>
      </c>
      <c r="J800" s="34" t="n">
        <f aca="false">IF(Packages!$AC$78=0,0,MAX(1,ROUNDUP(Packages!$AC$78/(R_PILE*Fronts!$H$8),0)))</f>
        <v>2</v>
      </c>
      <c r="K800" s="34" t="n">
        <f aca="false">IF(J800=0,0,ROUNDUP(J800*7/WD,0))</f>
        <v>3</v>
      </c>
      <c r="L800" s="15" t="s">
        <v>4100</v>
      </c>
      <c r="M800" s="34" t="n">
        <f aca="false">ROUNDUP(K799*LADDER,0)</f>
        <v>1</v>
      </c>
      <c r="N800" s="34" t="n">
        <f aca="false">IF(K800=0,0,FFLAG)</f>
        <v>2</v>
      </c>
      <c r="O800" s="15" t="s">
        <v>3008</v>
      </c>
      <c r="P800" s="16" t="n">
        <f aca="false">MAX(P799+M800,D_PILEDES)</f>
        <v>46398</v>
      </c>
      <c r="Q800" s="16" t="n">
        <f aca="false">MAX(P800+K800,Q799+N800)</f>
        <v>46401</v>
      </c>
      <c r="R800" s="16" t="n">
        <f aca="false">IF(K800&gt;0,Q800,0)</f>
        <v>46401</v>
      </c>
      <c r="S800" s="12"/>
    </row>
    <row r="801" customFormat="false" ht="15" hidden="false" customHeight="false" outlineLevel="0" collapsed="false">
      <c r="A801" s="15" t="s">
        <v>4103</v>
      </c>
      <c r="B801" s="15" t="s">
        <v>4099</v>
      </c>
      <c r="C801" s="15" t="s">
        <v>394</v>
      </c>
      <c r="D801" s="15" t="s">
        <v>993</v>
      </c>
      <c r="E801" s="15" t="s">
        <v>1059</v>
      </c>
      <c r="F801" s="15" t="s">
        <v>3010</v>
      </c>
      <c r="G801" s="15" t="s">
        <v>3011</v>
      </c>
      <c r="H801" s="33" t="n">
        <f aca="false">Packages!$AD$78</f>
        <v>21.4256983793007</v>
      </c>
      <c r="I801" s="15" t="s">
        <v>3012</v>
      </c>
      <c r="J801" s="34" t="n">
        <f aca="false">IF(Packages!$AD$78=0,0,MAX(1,ROUNDUP(Packages!$AD$78/(R_SHEET*Fronts!$I$8),0)))</f>
        <v>1</v>
      </c>
      <c r="K801" s="34" t="n">
        <f aca="false">IF(J801=0,0,ROUNDUP(J801*7/WD,0))</f>
        <v>2</v>
      </c>
      <c r="L801" s="15" t="s">
        <v>4102</v>
      </c>
      <c r="M801" s="34" t="n">
        <f aca="false">ROUNDUP(K800*LADDER,0)</f>
        <v>1</v>
      </c>
      <c r="N801" s="34" t="n">
        <f aca="false">IF(K801=0,0,FFLAG)</f>
        <v>2</v>
      </c>
      <c r="O801" s="15"/>
      <c r="P801" s="16" t="n">
        <f aca="false">MAX(P800+M801)</f>
        <v>46399</v>
      </c>
      <c r="Q801" s="16" t="n">
        <f aca="false">MAX(P801+K801,Q800+N801)</f>
        <v>46403</v>
      </c>
      <c r="R801" s="16" t="n">
        <f aca="false">IF(K801&gt;0,Q801,0)</f>
        <v>46403</v>
      </c>
      <c r="S801" s="12"/>
    </row>
    <row r="802" customFormat="false" ht="15" hidden="false" customHeight="false" outlineLevel="0" collapsed="false">
      <c r="A802" s="15" t="s">
        <v>4104</v>
      </c>
      <c r="B802" s="15" t="s">
        <v>4099</v>
      </c>
      <c r="C802" s="15" t="s">
        <v>394</v>
      </c>
      <c r="D802" s="15" t="s">
        <v>993</v>
      </c>
      <c r="E802" s="15" t="s">
        <v>1059</v>
      </c>
      <c r="F802" s="15" t="s">
        <v>3014</v>
      </c>
      <c r="G802" s="15" t="s">
        <v>3015</v>
      </c>
      <c r="H802" s="33" t="n">
        <f aca="false">Packages!$O$78</f>
        <v>10.7128491896504</v>
      </c>
      <c r="I802" s="15" t="s">
        <v>118</v>
      </c>
      <c r="J802" s="34" t="n">
        <f aca="false">IF(Packages!$AG$78=0,0,ROUNDUP(Packages!$O$78/R_DW,0)+DW_DRAW)</f>
        <v>8</v>
      </c>
      <c r="K802" s="34" t="n">
        <f aca="false">IF(J802=0,0,ROUNDUP(J802*7/WD,0))</f>
        <v>10</v>
      </c>
      <c r="L802" s="15" t="s">
        <v>4103</v>
      </c>
      <c r="M802" s="34" t="n">
        <f aca="false">ROUNDUP(K801*LADDER,0)</f>
        <v>1</v>
      </c>
      <c r="N802" s="34" t="n">
        <f aca="false">IF(K802=0,0,FFLAG)</f>
        <v>2</v>
      </c>
      <c r="O802" s="15"/>
      <c r="P802" s="16" t="n">
        <f aca="false">MAX(P801+M802)</f>
        <v>46400</v>
      </c>
      <c r="Q802" s="16" t="n">
        <f aca="false">MAX(P802+K802,Q801+N802)</f>
        <v>46410</v>
      </c>
      <c r="R802" s="12"/>
      <c r="S802" s="12"/>
    </row>
    <row r="803" customFormat="false" ht="15" hidden="false" customHeight="false" outlineLevel="0" collapsed="false">
      <c r="A803" s="15" t="s">
        <v>4105</v>
      </c>
      <c r="B803" s="15" t="s">
        <v>4099</v>
      </c>
      <c r="C803" s="15" t="s">
        <v>394</v>
      </c>
      <c r="D803" s="15" t="s">
        <v>993</v>
      </c>
      <c r="E803" s="15" t="s">
        <v>1059</v>
      </c>
      <c r="F803" s="15" t="s">
        <v>3017</v>
      </c>
      <c r="G803" s="15" t="s">
        <v>3018</v>
      </c>
      <c r="H803" s="33" t="n">
        <f aca="false">Packages!$X$78+Packages!$Y$78</f>
        <v>137.119486968584</v>
      </c>
      <c r="I803" s="15" t="s">
        <v>3019</v>
      </c>
      <c r="J803" s="34" t="n">
        <f aca="false">MAX(1,ROUNDUP((Packages!$X$78/R_EXS+Packages!$Y$78/R_EXO)/Fronts!$J$8,0))</f>
        <v>1</v>
      </c>
      <c r="K803" s="34" t="n">
        <f aca="false">IF(J803=0,0,ROUNDUP(J803*7/WD,0))</f>
        <v>2</v>
      </c>
      <c r="L803" s="15" t="s">
        <v>4104</v>
      </c>
      <c r="M803" s="34" t="n">
        <f aca="false">IF(K802=0,0,ROUNDUP((K802-ROUNDUP(DW_DRAW*7/WD,0))*LADDER,0)+ROUNDUP(DW_DRAW*7/WD,0))</f>
        <v>10</v>
      </c>
      <c r="N803" s="34" t="n">
        <f aca="false">IF(K803=0,0,FFLAG)</f>
        <v>2</v>
      </c>
      <c r="O803" s="15"/>
      <c r="P803" s="16" t="n">
        <f aca="false">MAX(P802+M803)</f>
        <v>46410</v>
      </c>
      <c r="Q803" s="16" t="n">
        <f aca="false">MAX(P803+K803,Q802+N803)</f>
        <v>46412</v>
      </c>
      <c r="R803" s="16" t="n">
        <f aca="false">IF(K803&gt;0,Q803,0)</f>
        <v>46412</v>
      </c>
      <c r="S803" s="12"/>
    </row>
    <row r="804" customFormat="false" ht="15" hidden="false" customHeight="false" outlineLevel="0" collapsed="false">
      <c r="A804" s="15" t="s">
        <v>4106</v>
      </c>
      <c r="B804" s="15" t="s">
        <v>4099</v>
      </c>
      <c r="C804" s="15" t="s">
        <v>394</v>
      </c>
      <c r="D804" s="15" t="s">
        <v>993</v>
      </c>
      <c r="E804" s="15" t="s">
        <v>1059</v>
      </c>
      <c r="F804" s="15" t="s">
        <v>3022</v>
      </c>
      <c r="G804" s="15" t="s">
        <v>3023</v>
      </c>
      <c r="H804" s="33" t="n">
        <f aca="false">Packages!$O$78</f>
        <v>10.7128491896504</v>
      </c>
      <c r="I804" s="15" t="s">
        <v>118</v>
      </c>
      <c r="J804" s="34" t="n">
        <f aca="false">MAX(1,ROUNDUP(Packages!$O$78/(R_SLAB*Fronts!$K$8),0))+SLAB_CURE</f>
        <v>4</v>
      </c>
      <c r="K804" s="34" t="n">
        <f aca="false">IF(J804=0,0,ROUNDUP(J804*7/WD,0))</f>
        <v>5</v>
      </c>
      <c r="L804" s="15" t="s">
        <v>4105</v>
      </c>
      <c r="M804" s="34" t="n">
        <f aca="false">ROUNDUP(K803*LADDER,0)</f>
        <v>1</v>
      </c>
      <c r="N804" s="34" t="n">
        <f aca="false">IF(K804=0,0,FFLAG)</f>
        <v>2</v>
      </c>
      <c r="O804" s="15"/>
      <c r="P804" s="16" t="n">
        <f aca="false">MAX(P803+M804)</f>
        <v>46411</v>
      </c>
      <c r="Q804" s="16" t="n">
        <f aca="false">MAX(P804+K804,Q803+N804)</f>
        <v>46416</v>
      </c>
      <c r="R804" s="16" t="n">
        <f aca="false">IF(K804&gt;0,Q804,0)</f>
        <v>46416</v>
      </c>
      <c r="S804" s="12"/>
    </row>
    <row r="805" customFormat="false" ht="15" hidden="false" customHeight="false" outlineLevel="0" collapsed="false">
      <c r="A805" s="15" t="s">
        <v>4107</v>
      </c>
      <c r="B805" s="15" t="s">
        <v>4099</v>
      </c>
      <c r="C805" s="15" t="s">
        <v>394</v>
      </c>
      <c r="D805" s="15" t="s">
        <v>993</v>
      </c>
      <c r="E805" s="15" t="s">
        <v>1059</v>
      </c>
      <c r="F805" s="15" t="s">
        <v>3025</v>
      </c>
      <c r="G805" s="15" t="s">
        <v>3026</v>
      </c>
      <c r="H805" s="33" t="n">
        <f aca="false">Packages!$O$78</f>
        <v>10.7128491896504</v>
      </c>
      <c r="I805" s="15" t="s">
        <v>118</v>
      </c>
      <c r="J805" s="34" t="n">
        <f aca="false">MAX(1,ROUNDUP(Packages!$O$78/(IF(Packages!$N$78&gt;=PIPE_T1,R_PIPE_L,IF(Packages!$N$78&gt;=PIPE_T2,R_PIPE_M,R_PIPE_S))*Fronts!$L$8)+Packages!$M$78*FIT_D+IF(Packages!$G$78&lt;&gt;"Run",TIE_D,0),0))</f>
        <v>4</v>
      </c>
      <c r="K805" s="34" t="n">
        <f aca="false">IF(J805=0,0,ROUNDUP(J805*7/WD,0))</f>
        <v>5</v>
      </c>
      <c r="L805" s="15" t="s">
        <v>4106</v>
      </c>
      <c r="M805" s="34" t="n">
        <f aca="false">ROUNDUP(K804*LADDER,0)</f>
        <v>2</v>
      </c>
      <c r="N805" s="34" t="n">
        <f aca="false">IF(K805=0,0,FFLAG)</f>
        <v>2</v>
      </c>
      <c r="O805" s="15" t="s">
        <v>4108</v>
      </c>
      <c r="P805" s="16" t="n">
        <f aca="false">MAX(P804+M805,Q2081)</f>
        <v>46434</v>
      </c>
      <c r="Q805" s="16" t="n">
        <f aca="false">MAX(P805+K805,Q804+N805)</f>
        <v>46439</v>
      </c>
      <c r="R805" s="16" t="n">
        <f aca="false">IF(K805&gt;0,Q805,0)</f>
        <v>46439</v>
      </c>
      <c r="S805" s="12"/>
    </row>
    <row r="806" customFormat="false" ht="15" hidden="false" customHeight="false" outlineLevel="0" collapsed="false">
      <c r="A806" s="15" t="s">
        <v>4109</v>
      </c>
      <c r="B806" s="15" t="s">
        <v>4099</v>
      </c>
      <c r="C806" s="15" t="s">
        <v>394</v>
      </c>
      <c r="D806" s="15" t="s">
        <v>993</v>
      </c>
      <c r="E806" s="15" t="s">
        <v>1059</v>
      </c>
      <c r="F806" s="15" t="s">
        <v>3028</v>
      </c>
      <c r="G806" s="15" t="s">
        <v>3029</v>
      </c>
      <c r="H806" s="33" t="n">
        <f aca="false">Packages!$O$78</f>
        <v>10.7128491896504</v>
      </c>
      <c r="I806" s="15" t="s">
        <v>118</v>
      </c>
      <c r="J806" s="34" t="n">
        <f aca="false">TEST_D+ROUNDUP(Packages!$O$78/R_TEST,0)</f>
        <v>3</v>
      </c>
      <c r="K806" s="34" t="n">
        <f aca="false">IF(J806=0,0,ROUNDUP(J806*7/WD,0))</f>
        <v>4</v>
      </c>
      <c r="L806" s="15" t="s">
        <v>4107</v>
      </c>
      <c r="M806" s="34" t="n">
        <f aca="false">ROUNDUP(K805*LADDER,0)</f>
        <v>2</v>
      </c>
      <c r="N806" s="34" t="n">
        <f aca="false">IF(K806=0,0,FFLAG)</f>
        <v>2</v>
      </c>
      <c r="O806" s="15"/>
      <c r="P806" s="16" t="n">
        <f aca="false">MAX(P805+M806)</f>
        <v>46436</v>
      </c>
      <c r="Q806" s="16" t="n">
        <f aca="false">MAX(P806+K806,Q805+N806)</f>
        <v>46441</v>
      </c>
      <c r="R806" s="12"/>
      <c r="S806" s="12"/>
    </row>
    <row r="807" customFormat="false" ht="15" hidden="false" customHeight="false" outlineLevel="0" collapsed="false">
      <c r="A807" s="15" t="s">
        <v>4110</v>
      </c>
      <c r="B807" s="15" t="s">
        <v>4099</v>
      </c>
      <c r="C807" s="15" t="s">
        <v>394</v>
      </c>
      <c r="D807" s="15" t="s">
        <v>993</v>
      </c>
      <c r="E807" s="15" t="s">
        <v>1059</v>
      </c>
      <c r="F807" s="15" t="s">
        <v>3031</v>
      </c>
      <c r="G807" s="15" t="s">
        <v>3032</v>
      </c>
      <c r="H807" s="33" t="n">
        <f aca="false">Packages!$AB$78</f>
        <v>113.221525469064</v>
      </c>
      <c r="I807" s="15" t="s">
        <v>3019</v>
      </c>
      <c r="J807" s="34" t="n">
        <f aca="false">MAX(1,ROUNDUP(Packages!$AB$78/(R_BF*Fronts!$M$8),0))</f>
        <v>1</v>
      </c>
      <c r="K807" s="34" t="n">
        <f aca="false">IF(J807=0,0,ROUNDUP(J807*7/WD,0))</f>
        <v>2</v>
      </c>
      <c r="L807" s="15" t="s">
        <v>4109</v>
      </c>
      <c r="M807" s="34" t="n">
        <f aca="false">ROUNDUP(K806*LADDER,0)</f>
        <v>2</v>
      </c>
      <c r="N807" s="34" t="n">
        <f aca="false">IF(K807=0,0,FFLAG)</f>
        <v>2</v>
      </c>
      <c r="O807" s="15"/>
      <c r="P807" s="16" t="n">
        <f aca="false">MAX(P806+M807)</f>
        <v>46438</v>
      </c>
      <c r="Q807" s="16" t="n">
        <f aca="false">MAX(P807+K807,Q806+N807)</f>
        <v>46443</v>
      </c>
      <c r="R807" s="16" t="n">
        <f aca="false">IF(K807&gt;0,Q807,0)</f>
        <v>46443</v>
      </c>
      <c r="S807" s="12"/>
    </row>
    <row r="808" customFormat="false" ht="15" hidden="false" customHeight="false" outlineLevel="0" collapsed="false">
      <c r="A808" s="15" t="s">
        <v>4111</v>
      </c>
      <c r="B808" s="15" t="s">
        <v>4099</v>
      </c>
      <c r="C808" s="15" t="s">
        <v>394</v>
      </c>
      <c r="D808" s="15" t="s">
        <v>993</v>
      </c>
      <c r="E808" s="15" t="s">
        <v>1059</v>
      </c>
      <c r="F808" s="15" t="s">
        <v>3034</v>
      </c>
      <c r="G808" s="15" t="s">
        <v>3035</v>
      </c>
      <c r="H808" s="33" t="n">
        <f aca="false">Packages!$AD$78</f>
        <v>21.4256983793007</v>
      </c>
      <c r="I808" s="15" t="s">
        <v>3012</v>
      </c>
      <c r="J808" s="34" t="n">
        <f aca="false">IF(Packages!$AD$78&gt;0,ROUNDUP(Packages!$AD$78/R_EXT,0),0)+IF(Packages!$AG$78&gt;0,1,0)</f>
        <v>2</v>
      </c>
      <c r="K808" s="34" t="n">
        <f aca="false">IF(J808=0,0,ROUNDUP(J808*7/WD,0))</f>
        <v>3</v>
      </c>
      <c r="L808" s="15" t="s">
        <v>4110</v>
      </c>
      <c r="M808" s="34" t="n">
        <f aca="false">ROUNDUP(K807*LADDER,0)</f>
        <v>1</v>
      </c>
      <c r="N808" s="34" t="n">
        <f aca="false">IF(K808=0,0,FFLAG)</f>
        <v>2</v>
      </c>
      <c r="O808" s="15"/>
      <c r="P808" s="16" t="n">
        <f aca="false">MAX(P807+M808)</f>
        <v>46439</v>
      </c>
      <c r="Q808" s="16" t="n">
        <f aca="false">MAX(P808+K808,Q807+N808)</f>
        <v>46445</v>
      </c>
      <c r="R808" s="12"/>
      <c r="S808" s="12"/>
    </row>
    <row r="809" customFormat="false" ht="15" hidden="false" customHeight="false" outlineLevel="0" collapsed="false">
      <c r="A809" s="15" t="s">
        <v>4112</v>
      </c>
      <c r="B809" s="15" t="s">
        <v>4113</v>
      </c>
      <c r="C809" s="15" t="s">
        <v>394</v>
      </c>
      <c r="D809" s="15" t="s">
        <v>719</v>
      </c>
      <c r="E809" s="15" t="s">
        <v>753</v>
      </c>
      <c r="F809" s="15" t="s">
        <v>2998</v>
      </c>
      <c r="G809" s="15" t="s">
        <v>2999</v>
      </c>
      <c r="H809" s="12"/>
      <c r="I809" s="12"/>
      <c r="J809" s="34" t="n">
        <f aca="false">0</f>
        <v>0</v>
      </c>
      <c r="K809" s="34" t="n">
        <f aca="false">IF(J809=0,0,ROUNDUP(J809*7/WD,0))</f>
        <v>0</v>
      </c>
      <c r="L809" s="12"/>
      <c r="M809" s="12"/>
      <c r="N809" s="12"/>
      <c r="O809" s="15" t="s">
        <v>3000</v>
      </c>
      <c r="P809" s="16" t="n">
        <f aca="false">MAX(START,D_DLU,Packages!$I$79,Packages!$K$79)</f>
        <v>46357</v>
      </c>
      <c r="Q809" s="16" t="n">
        <f aca="false">P809+K809</f>
        <v>46357</v>
      </c>
      <c r="R809" s="12"/>
      <c r="S809" s="12"/>
    </row>
    <row r="810" customFormat="false" ht="15" hidden="false" customHeight="false" outlineLevel="0" collapsed="false">
      <c r="A810" s="15" t="s">
        <v>4114</v>
      </c>
      <c r="B810" s="15" t="s">
        <v>4113</v>
      </c>
      <c r="C810" s="15" t="s">
        <v>394</v>
      </c>
      <c r="D810" s="15" t="s">
        <v>719</v>
      </c>
      <c r="E810" s="15" t="s">
        <v>753</v>
      </c>
      <c r="F810" s="15" t="s">
        <v>3002</v>
      </c>
      <c r="G810" s="15" t="s">
        <v>205</v>
      </c>
      <c r="H810" s="33" t="n">
        <f aca="false">Packages!$O$79</f>
        <v>6.12635913571446</v>
      </c>
      <c r="I810" s="15" t="s">
        <v>118</v>
      </c>
      <c r="J810" s="34" t="n">
        <f aca="false">MAX(1,ROUNDUP(Packages!$O$79/R_PLAT,0))</f>
        <v>1</v>
      </c>
      <c r="K810" s="34" t="n">
        <f aca="false">IF(J810=0,0,ROUNDUP(J810*7/WD,0))</f>
        <v>2</v>
      </c>
      <c r="L810" s="15" t="s">
        <v>4112</v>
      </c>
      <c r="M810" s="12"/>
      <c r="N810" s="12"/>
      <c r="O810" s="15" t="s">
        <v>4115</v>
      </c>
      <c r="P810" s="16" t="n">
        <f aca="false">MAX(Q809,P767)</f>
        <v>46407</v>
      </c>
      <c r="Q810" s="16" t="n">
        <f aca="false">P810+K810</f>
        <v>46409</v>
      </c>
      <c r="R810" s="12"/>
      <c r="S810" s="12"/>
    </row>
    <row r="811" customFormat="false" ht="15" hidden="false" customHeight="false" outlineLevel="0" collapsed="false">
      <c r="A811" s="15" t="s">
        <v>4116</v>
      </c>
      <c r="B811" s="15" t="s">
        <v>4113</v>
      </c>
      <c r="C811" s="15" t="s">
        <v>394</v>
      </c>
      <c r="D811" s="15" t="s">
        <v>719</v>
      </c>
      <c r="E811" s="15" t="s">
        <v>753</v>
      </c>
      <c r="F811" s="15" t="s">
        <v>3005</v>
      </c>
      <c r="G811" s="15" t="s">
        <v>3006</v>
      </c>
      <c r="H811" s="33" t="n">
        <f aca="false">Packages!$AC$79</f>
        <v>8</v>
      </c>
      <c r="I811" s="15" t="s">
        <v>3007</v>
      </c>
      <c r="J811" s="34" t="n">
        <f aca="false">IF(Packages!$AC$79=0,0,MAX(1,ROUNDUP(Packages!$AC$79/(R_PILE*Fronts!$H$8),0)))</f>
        <v>2</v>
      </c>
      <c r="K811" s="34" t="n">
        <f aca="false">IF(J811=0,0,ROUNDUP(J811*7/WD,0))</f>
        <v>3</v>
      </c>
      <c r="L811" s="15" t="s">
        <v>4114</v>
      </c>
      <c r="M811" s="34" t="n">
        <f aca="false">ROUNDUP(K810*LADDER,0)</f>
        <v>1</v>
      </c>
      <c r="N811" s="34" t="n">
        <f aca="false">IF(K811=0,0,FFLAG)</f>
        <v>2</v>
      </c>
      <c r="O811" s="15" t="s">
        <v>3008</v>
      </c>
      <c r="P811" s="16" t="n">
        <f aca="false">MAX(P810+M811,D_PILEDES,R767)</f>
        <v>46412</v>
      </c>
      <c r="Q811" s="16" t="n">
        <f aca="false">MAX(P811+K811,Q810+N811)</f>
        <v>46415</v>
      </c>
      <c r="R811" s="16" t="n">
        <f aca="false">IF(K811&gt;0,Q811,R767)</f>
        <v>46415</v>
      </c>
      <c r="S811" s="15" t="s">
        <v>4057</v>
      </c>
    </row>
    <row r="812" customFormat="false" ht="15" hidden="false" customHeight="false" outlineLevel="0" collapsed="false">
      <c r="A812" s="15" t="s">
        <v>4117</v>
      </c>
      <c r="B812" s="15" t="s">
        <v>4113</v>
      </c>
      <c r="C812" s="15" t="s">
        <v>394</v>
      </c>
      <c r="D812" s="15" t="s">
        <v>719</v>
      </c>
      <c r="E812" s="15" t="s">
        <v>753</v>
      </c>
      <c r="F812" s="15" t="s">
        <v>3010</v>
      </c>
      <c r="G812" s="15" t="s">
        <v>3011</v>
      </c>
      <c r="H812" s="33" t="n">
        <f aca="false">Packages!$AD$79</f>
        <v>0</v>
      </c>
      <c r="I812" s="15" t="s">
        <v>3012</v>
      </c>
      <c r="J812" s="34" t="n">
        <f aca="false">IF(Packages!$AD$79=0,0,MAX(1,ROUNDUP(Packages!$AD$79/(R_SHEET*Fronts!$I$8),0)))</f>
        <v>0</v>
      </c>
      <c r="K812" s="34" t="n">
        <f aca="false">IF(J812=0,0,ROUNDUP(J812*7/WD,0))</f>
        <v>0</v>
      </c>
      <c r="L812" s="15" t="s">
        <v>4116</v>
      </c>
      <c r="M812" s="34" t="n">
        <f aca="false">ROUNDUP(K811*LADDER,0)</f>
        <v>1</v>
      </c>
      <c r="N812" s="34" t="n">
        <f aca="false">IF(K812=0,0,FFLAG)</f>
        <v>0</v>
      </c>
      <c r="O812" s="15"/>
      <c r="P812" s="16" t="n">
        <f aca="false">MAX(P811+M812,R768)</f>
        <v>46413</v>
      </c>
      <c r="Q812" s="16" t="n">
        <f aca="false">MAX(P812+K812,Q811+N812)</f>
        <v>46415</v>
      </c>
      <c r="R812" s="16" t="n">
        <f aca="false">IF(K812&gt;0,Q812,R768)</f>
        <v>46400</v>
      </c>
      <c r="S812" s="15" t="s">
        <v>4058</v>
      </c>
    </row>
    <row r="813" customFormat="false" ht="15" hidden="false" customHeight="false" outlineLevel="0" collapsed="false">
      <c r="A813" s="15" t="s">
        <v>4118</v>
      </c>
      <c r="B813" s="15" t="s">
        <v>4113</v>
      </c>
      <c r="C813" s="15" t="s">
        <v>394</v>
      </c>
      <c r="D813" s="15" t="s">
        <v>719</v>
      </c>
      <c r="E813" s="15" t="s">
        <v>753</v>
      </c>
      <c r="F813" s="15" t="s">
        <v>3014</v>
      </c>
      <c r="G813" s="15" t="s">
        <v>3015</v>
      </c>
      <c r="H813" s="33" t="n">
        <f aca="false">Packages!$O$79</f>
        <v>6.12635913571446</v>
      </c>
      <c r="I813" s="15" t="s">
        <v>118</v>
      </c>
      <c r="J813" s="34" t="n">
        <f aca="false">IF(Packages!$AG$79=0,0,ROUNDUP(Packages!$O$79/R_DW,0)+DW_DRAW)</f>
        <v>8</v>
      </c>
      <c r="K813" s="34" t="n">
        <f aca="false">IF(J813=0,0,ROUNDUP(J813*7/WD,0))</f>
        <v>10</v>
      </c>
      <c r="L813" s="15" t="s">
        <v>4117</v>
      </c>
      <c r="M813" s="34" t="n">
        <f aca="false">ROUNDUP(K812*LADDER,0)</f>
        <v>0</v>
      </c>
      <c r="N813" s="34" t="n">
        <f aca="false">IF(K813=0,0,FFLAG)</f>
        <v>2</v>
      </c>
      <c r="O813" s="15" t="s">
        <v>4119</v>
      </c>
      <c r="P813" s="16" t="n">
        <f aca="false">MAX(P812+M813,Q770-K813)</f>
        <v>46463</v>
      </c>
      <c r="Q813" s="16" t="n">
        <f aca="false">MAX(P813+K813,Q812+N813)</f>
        <v>46473</v>
      </c>
      <c r="R813" s="12"/>
      <c r="S813" s="12"/>
    </row>
    <row r="814" customFormat="false" ht="15" hidden="false" customHeight="false" outlineLevel="0" collapsed="false">
      <c r="A814" s="15" t="s">
        <v>4120</v>
      </c>
      <c r="B814" s="15" t="s">
        <v>4113</v>
      </c>
      <c r="C814" s="15" t="s">
        <v>394</v>
      </c>
      <c r="D814" s="15" t="s">
        <v>719</v>
      </c>
      <c r="E814" s="15" t="s">
        <v>753</v>
      </c>
      <c r="F814" s="15" t="s">
        <v>3017</v>
      </c>
      <c r="G814" s="15" t="s">
        <v>3018</v>
      </c>
      <c r="H814" s="33" t="n">
        <f aca="false">Packages!$X$79+Packages!$Y$79</f>
        <v>91.0697195642664</v>
      </c>
      <c r="I814" s="15" t="s">
        <v>3019</v>
      </c>
      <c r="J814" s="34" t="n">
        <f aca="false">MAX(1,ROUNDUP((Packages!$X$79/R_EXS+Packages!$Y$79/R_EXO)/Fronts!$J$8,0))</f>
        <v>1</v>
      </c>
      <c r="K814" s="34" t="n">
        <f aca="false">IF(J814=0,0,ROUNDUP(J814*7/WD,0))</f>
        <v>2</v>
      </c>
      <c r="L814" s="15" t="s">
        <v>4118</v>
      </c>
      <c r="M814" s="34" t="n">
        <f aca="false">IF(K813=0,0,ROUNDUP((K813-ROUNDUP(DW_DRAW*7/WD,0))*LADDER,0)+ROUNDUP(DW_DRAW*7/WD,0))</f>
        <v>10</v>
      </c>
      <c r="N814" s="34" t="n">
        <f aca="false">IF(K814=0,0,FFLAG)</f>
        <v>2</v>
      </c>
      <c r="O814" s="15"/>
      <c r="P814" s="16" t="n">
        <f aca="false">MAX(P813+M814,R770)</f>
        <v>46473</v>
      </c>
      <c r="Q814" s="16" t="n">
        <f aca="false">MAX(P814+K814,Q813+N814)</f>
        <v>46475</v>
      </c>
      <c r="R814" s="16" t="n">
        <f aca="false">IF(K814&gt;0,Q814,R770)</f>
        <v>46475</v>
      </c>
      <c r="S814" s="15" t="s">
        <v>4061</v>
      </c>
    </row>
    <row r="815" customFormat="false" ht="15" hidden="false" customHeight="false" outlineLevel="0" collapsed="false">
      <c r="A815" s="15" t="s">
        <v>4121</v>
      </c>
      <c r="B815" s="15" t="s">
        <v>4113</v>
      </c>
      <c r="C815" s="15" t="s">
        <v>394</v>
      </c>
      <c r="D815" s="15" t="s">
        <v>719</v>
      </c>
      <c r="E815" s="15" t="s">
        <v>753</v>
      </c>
      <c r="F815" s="15" t="s">
        <v>3022</v>
      </c>
      <c r="G815" s="15" t="s">
        <v>3023</v>
      </c>
      <c r="H815" s="33" t="n">
        <f aca="false">Packages!$O$79</f>
        <v>6.12635913571446</v>
      </c>
      <c r="I815" s="15" t="s">
        <v>118</v>
      </c>
      <c r="J815" s="34" t="n">
        <f aca="false">MAX(1,ROUNDUP(Packages!$O$79/(R_SLAB*Fronts!$K$8),0))+SLAB_CURE</f>
        <v>4</v>
      </c>
      <c r="K815" s="34" t="n">
        <f aca="false">IF(J815=0,0,ROUNDUP(J815*7/WD,0))</f>
        <v>5</v>
      </c>
      <c r="L815" s="15" t="s">
        <v>4120</v>
      </c>
      <c r="M815" s="34" t="n">
        <f aca="false">ROUNDUP(K814*LADDER,0)</f>
        <v>1</v>
      </c>
      <c r="N815" s="34" t="n">
        <f aca="false">IF(K815=0,0,FFLAG)</f>
        <v>2</v>
      </c>
      <c r="O815" s="15"/>
      <c r="P815" s="16" t="n">
        <f aca="false">MAX(P814+M815,R771)</f>
        <v>46493</v>
      </c>
      <c r="Q815" s="16" t="n">
        <f aca="false">MAX(P815+K815,Q814+N815)</f>
        <v>46498</v>
      </c>
      <c r="R815" s="16" t="n">
        <f aca="false">IF(K815&gt;0,Q815,R771)</f>
        <v>46498</v>
      </c>
      <c r="S815" s="15" t="s">
        <v>4063</v>
      </c>
    </row>
    <row r="816" customFormat="false" ht="15" hidden="false" customHeight="false" outlineLevel="0" collapsed="false">
      <c r="A816" s="15" t="s">
        <v>4122</v>
      </c>
      <c r="B816" s="15" t="s">
        <v>4113</v>
      </c>
      <c r="C816" s="15" t="s">
        <v>394</v>
      </c>
      <c r="D816" s="15" t="s">
        <v>719</v>
      </c>
      <c r="E816" s="15" t="s">
        <v>753</v>
      </c>
      <c r="F816" s="15" t="s">
        <v>3025</v>
      </c>
      <c r="G816" s="15" t="s">
        <v>3026</v>
      </c>
      <c r="H816" s="33" t="n">
        <f aca="false">Packages!$O$79</f>
        <v>6.12635913571446</v>
      </c>
      <c r="I816" s="15" t="s">
        <v>118</v>
      </c>
      <c r="J816" s="34" t="n">
        <f aca="false">MAX(1,ROUNDUP(Packages!$O$79/(IF(Packages!$N$79&gt;=PIPE_T1,R_PIPE_L,IF(Packages!$N$79&gt;=PIPE_T2,R_PIPE_M,R_PIPE_S))*Fronts!$L$8)+Packages!$M$79*FIT_D+IF(Packages!$G$79&lt;&gt;"Run",TIE_D,0),0))</f>
        <v>1</v>
      </c>
      <c r="K816" s="34" t="n">
        <f aca="false">IF(J816=0,0,ROUNDUP(J816*7/WD,0))</f>
        <v>2</v>
      </c>
      <c r="L816" s="15" t="s">
        <v>4121</v>
      </c>
      <c r="M816" s="34" t="n">
        <f aca="false">ROUNDUP(K815*LADDER,0)</f>
        <v>2</v>
      </c>
      <c r="N816" s="34" t="n">
        <f aca="false">IF(K816=0,0,FFLAG)</f>
        <v>2</v>
      </c>
      <c r="O816" s="15"/>
      <c r="P816" s="16" t="n">
        <f aca="false">MAX(P815+M816,R772)</f>
        <v>46495</v>
      </c>
      <c r="Q816" s="16" t="n">
        <f aca="false">MAX(P816+K816,Q815+N816)</f>
        <v>46500</v>
      </c>
      <c r="R816" s="16" t="n">
        <f aca="false">IF(K816&gt;0,Q816,R772)</f>
        <v>46500</v>
      </c>
      <c r="S816" s="15" t="s">
        <v>4064</v>
      </c>
    </row>
    <row r="817" customFormat="false" ht="15" hidden="false" customHeight="false" outlineLevel="0" collapsed="false">
      <c r="A817" s="15" t="s">
        <v>4123</v>
      </c>
      <c r="B817" s="15" t="s">
        <v>4113</v>
      </c>
      <c r="C817" s="15" t="s">
        <v>394</v>
      </c>
      <c r="D817" s="15" t="s">
        <v>719</v>
      </c>
      <c r="E817" s="15" t="s">
        <v>753</v>
      </c>
      <c r="F817" s="15" t="s">
        <v>3028</v>
      </c>
      <c r="G817" s="15" t="s">
        <v>3029</v>
      </c>
      <c r="H817" s="33" t="n">
        <f aca="false">Packages!$O$79</f>
        <v>6.12635913571446</v>
      </c>
      <c r="I817" s="15" t="s">
        <v>118</v>
      </c>
      <c r="J817" s="34" t="n">
        <f aca="false">TEST_D+ROUNDUP(Packages!$O$79/R_TEST,0)</f>
        <v>3</v>
      </c>
      <c r="K817" s="34" t="n">
        <f aca="false">IF(J817=0,0,ROUNDUP(J817*7/WD,0))</f>
        <v>4</v>
      </c>
      <c r="L817" s="15" t="s">
        <v>4122</v>
      </c>
      <c r="M817" s="34" t="n">
        <f aca="false">ROUNDUP(K816*LADDER,0)</f>
        <v>1</v>
      </c>
      <c r="N817" s="34" t="n">
        <f aca="false">IF(K817=0,0,FFLAG)</f>
        <v>2</v>
      </c>
      <c r="O817" s="15"/>
      <c r="P817" s="16" t="n">
        <f aca="false">MAX(P816+M817)</f>
        <v>46496</v>
      </c>
      <c r="Q817" s="16" t="n">
        <f aca="false">MAX(P817+K817,Q816+N817)</f>
        <v>46502</v>
      </c>
      <c r="R817" s="12"/>
      <c r="S817" s="12"/>
    </row>
    <row r="818" customFormat="false" ht="15" hidden="false" customHeight="false" outlineLevel="0" collapsed="false">
      <c r="A818" s="15" t="s">
        <v>4124</v>
      </c>
      <c r="B818" s="15" t="s">
        <v>4113</v>
      </c>
      <c r="C818" s="15" t="s">
        <v>394</v>
      </c>
      <c r="D818" s="15" t="s">
        <v>719</v>
      </c>
      <c r="E818" s="15" t="s">
        <v>753</v>
      </c>
      <c r="F818" s="15" t="s">
        <v>3031</v>
      </c>
      <c r="G818" s="15" t="s">
        <v>3032</v>
      </c>
      <c r="H818" s="33" t="n">
        <f aca="false">Packages!$AB$79</f>
        <v>70.7876516286825</v>
      </c>
      <c r="I818" s="15" t="s">
        <v>3019</v>
      </c>
      <c r="J818" s="34" t="n">
        <f aca="false">MAX(1,ROUNDUP(Packages!$AB$79/(R_BF*Fronts!$M$8),0))</f>
        <v>1</v>
      </c>
      <c r="K818" s="34" t="n">
        <f aca="false">IF(J818=0,0,ROUNDUP(J818*7/WD,0))</f>
        <v>2</v>
      </c>
      <c r="L818" s="15" t="s">
        <v>4123</v>
      </c>
      <c r="M818" s="34" t="n">
        <f aca="false">ROUNDUP(K817*LADDER,0)</f>
        <v>2</v>
      </c>
      <c r="N818" s="34" t="n">
        <f aca="false">IF(K818=0,0,FFLAG)</f>
        <v>2</v>
      </c>
      <c r="O818" s="15"/>
      <c r="P818" s="16" t="n">
        <f aca="false">MAX(P817+M818,R774)</f>
        <v>46502</v>
      </c>
      <c r="Q818" s="16" t="n">
        <f aca="false">MAX(P818+K818,Q817+N818)</f>
        <v>46504</v>
      </c>
      <c r="R818" s="16" t="n">
        <f aca="false">IF(K818&gt;0,Q818,R774)</f>
        <v>46504</v>
      </c>
      <c r="S818" s="15" t="s">
        <v>4066</v>
      </c>
    </row>
    <row r="819" customFormat="false" ht="15" hidden="false" customHeight="false" outlineLevel="0" collapsed="false">
      <c r="A819" s="15" t="s">
        <v>4125</v>
      </c>
      <c r="B819" s="15" t="s">
        <v>4113</v>
      </c>
      <c r="C819" s="15" t="s">
        <v>394</v>
      </c>
      <c r="D819" s="15" t="s">
        <v>719</v>
      </c>
      <c r="E819" s="15" t="s">
        <v>753</v>
      </c>
      <c r="F819" s="15" t="s">
        <v>3034</v>
      </c>
      <c r="G819" s="15" t="s">
        <v>3035</v>
      </c>
      <c r="H819" s="33" t="n">
        <f aca="false">Packages!$AD$79</f>
        <v>0</v>
      </c>
      <c r="I819" s="15" t="s">
        <v>3012</v>
      </c>
      <c r="J819" s="34" t="n">
        <f aca="false">IF(Packages!$AD$79&gt;0,ROUNDUP(Packages!$AD$79/R_EXT,0),0)+IF(Packages!$AG$79&gt;0,1,0)</f>
        <v>1</v>
      </c>
      <c r="K819" s="34" t="n">
        <f aca="false">IF(J819=0,0,ROUNDUP(J819*7/WD,0))</f>
        <v>2</v>
      </c>
      <c r="L819" s="15" t="s">
        <v>4124</v>
      </c>
      <c r="M819" s="34" t="n">
        <f aca="false">ROUNDUP(K818*LADDER,0)</f>
        <v>1</v>
      </c>
      <c r="N819" s="34" t="n">
        <f aca="false">IF(K819=0,0,FFLAG)</f>
        <v>2</v>
      </c>
      <c r="O819" s="15"/>
      <c r="P819" s="16" t="n">
        <f aca="false">MAX(P818+M819)</f>
        <v>46503</v>
      </c>
      <c r="Q819" s="16" t="n">
        <f aca="false">MAX(P819+K819,Q818+N819)</f>
        <v>46506</v>
      </c>
      <c r="R819" s="12"/>
      <c r="S819" s="12"/>
    </row>
    <row r="820" customFormat="false" ht="15" hidden="false" customHeight="false" outlineLevel="0" collapsed="false">
      <c r="A820" s="15" t="s">
        <v>4126</v>
      </c>
      <c r="B820" s="15" t="s">
        <v>4127</v>
      </c>
      <c r="C820" s="15" t="s">
        <v>394</v>
      </c>
      <c r="D820" s="15" t="s">
        <v>719</v>
      </c>
      <c r="E820" s="15" t="s">
        <v>725</v>
      </c>
      <c r="F820" s="15" t="s">
        <v>2998</v>
      </c>
      <c r="G820" s="15" t="s">
        <v>2999</v>
      </c>
      <c r="H820" s="12"/>
      <c r="I820" s="12"/>
      <c r="J820" s="34" t="n">
        <f aca="false">0</f>
        <v>0</v>
      </c>
      <c r="K820" s="34" t="n">
        <f aca="false">IF(J820=0,0,ROUNDUP(J820*7/WD,0))</f>
        <v>0</v>
      </c>
      <c r="L820" s="12"/>
      <c r="M820" s="12"/>
      <c r="N820" s="12"/>
      <c r="O820" s="15" t="s">
        <v>3000</v>
      </c>
      <c r="P820" s="16" t="n">
        <f aca="false">MAX(START,D_DLU,Packages!$I$80,Packages!$K$80)</f>
        <v>46357</v>
      </c>
      <c r="Q820" s="16" t="n">
        <f aca="false">P820+K820</f>
        <v>46357</v>
      </c>
      <c r="R820" s="12"/>
      <c r="S820" s="12"/>
    </row>
    <row r="821" customFormat="false" ht="15" hidden="false" customHeight="false" outlineLevel="0" collapsed="false">
      <c r="A821" s="15" t="s">
        <v>4128</v>
      </c>
      <c r="B821" s="15" t="s">
        <v>4127</v>
      </c>
      <c r="C821" s="15" t="s">
        <v>394</v>
      </c>
      <c r="D821" s="15" t="s">
        <v>719</v>
      </c>
      <c r="E821" s="15" t="s">
        <v>725</v>
      </c>
      <c r="F821" s="15" t="s">
        <v>3002</v>
      </c>
      <c r="G821" s="15" t="s">
        <v>205</v>
      </c>
      <c r="H821" s="33" t="n">
        <f aca="false">Packages!$O$80</f>
        <v>132.376982780502</v>
      </c>
      <c r="I821" s="15" t="s">
        <v>118</v>
      </c>
      <c r="J821" s="34" t="n">
        <f aca="false">MAX(1,ROUNDUP(Packages!$O$80/R_PLAT,0))</f>
        <v>2</v>
      </c>
      <c r="K821" s="34" t="n">
        <f aca="false">IF(J821=0,0,ROUNDUP(J821*7/WD,0))</f>
        <v>3</v>
      </c>
      <c r="L821" s="15" t="s">
        <v>4126</v>
      </c>
      <c r="M821" s="12"/>
      <c r="N821" s="12"/>
      <c r="O821" s="15" t="s">
        <v>4129</v>
      </c>
      <c r="P821" s="16" t="n">
        <f aca="false">MAX(Q820,P811)</f>
        <v>46412</v>
      </c>
      <c r="Q821" s="16" t="n">
        <f aca="false">P821+K821</f>
        <v>46415</v>
      </c>
      <c r="R821" s="12"/>
      <c r="S821" s="12"/>
    </row>
    <row r="822" customFormat="false" ht="15" hidden="false" customHeight="false" outlineLevel="0" collapsed="false">
      <c r="A822" s="15" t="s">
        <v>4130</v>
      </c>
      <c r="B822" s="15" t="s">
        <v>4127</v>
      </c>
      <c r="C822" s="15" t="s">
        <v>394</v>
      </c>
      <c r="D822" s="15" t="s">
        <v>719</v>
      </c>
      <c r="E822" s="15" t="s">
        <v>725</v>
      </c>
      <c r="F822" s="15" t="s">
        <v>3005</v>
      </c>
      <c r="G822" s="15" t="s">
        <v>3006</v>
      </c>
      <c r="H822" s="33" t="n">
        <f aca="false">Packages!$AC$80</f>
        <v>92</v>
      </c>
      <c r="I822" s="15" t="s">
        <v>3007</v>
      </c>
      <c r="J822" s="34" t="n">
        <f aca="false">IF(Packages!$AC$80=0,0,MAX(1,ROUNDUP(Packages!$AC$80/(R_PILE*Fronts!$H$8),0)))</f>
        <v>19</v>
      </c>
      <c r="K822" s="34" t="n">
        <f aca="false">IF(J822=0,0,ROUNDUP(J822*7/WD,0))</f>
        <v>23</v>
      </c>
      <c r="L822" s="15" t="s">
        <v>4128</v>
      </c>
      <c r="M822" s="34" t="n">
        <f aca="false">ROUNDUP(K821*LADDER,0)</f>
        <v>1</v>
      </c>
      <c r="N822" s="34" t="n">
        <f aca="false">IF(K822=0,0,FFLAG)</f>
        <v>2</v>
      </c>
      <c r="O822" s="15" t="s">
        <v>3008</v>
      </c>
      <c r="P822" s="16" t="n">
        <f aca="false">MAX(P821+M822,D_PILEDES,R811)</f>
        <v>46415</v>
      </c>
      <c r="Q822" s="16" t="n">
        <f aca="false">MAX(P822+K822,Q821+N822)</f>
        <v>46438</v>
      </c>
      <c r="R822" s="16" t="n">
        <f aca="false">IF(K822&gt;0,Q822,R811)</f>
        <v>46438</v>
      </c>
      <c r="S822" s="15" t="s">
        <v>4116</v>
      </c>
    </row>
    <row r="823" customFormat="false" ht="15" hidden="false" customHeight="false" outlineLevel="0" collapsed="false">
      <c r="A823" s="15" t="s">
        <v>4131</v>
      </c>
      <c r="B823" s="15" t="s">
        <v>4127</v>
      </c>
      <c r="C823" s="15" t="s">
        <v>394</v>
      </c>
      <c r="D823" s="15" t="s">
        <v>719</v>
      </c>
      <c r="E823" s="15" t="s">
        <v>725</v>
      </c>
      <c r="F823" s="15" t="s">
        <v>3010</v>
      </c>
      <c r="G823" s="15" t="s">
        <v>3011</v>
      </c>
      <c r="H823" s="33" t="n">
        <f aca="false">Packages!$AD$80</f>
        <v>135.567166039592</v>
      </c>
      <c r="I823" s="15" t="s">
        <v>3012</v>
      </c>
      <c r="J823" s="34" t="n">
        <f aca="false">IF(Packages!$AD$80=0,0,MAX(1,ROUNDUP(Packages!$AD$80/(R_SHEET*Fronts!$I$8),0)))</f>
        <v>6</v>
      </c>
      <c r="K823" s="34" t="n">
        <f aca="false">IF(J823=0,0,ROUNDUP(J823*7/WD,0))</f>
        <v>7</v>
      </c>
      <c r="L823" s="15" t="s">
        <v>4130</v>
      </c>
      <c r="M823" s="34" t="n">
        <f aca="false">ROUNDUP(K822*LADDER,0)</f>
        <v>7</v>
      </c>
      <c r="N823" s="34" t="n">
        <f aca="false">IF(K823=0,0,FFLAG)</f>
        <v>2</v>
      </c>
      <c r="O823" s="15"/>
      <c r="P823" s="16" t="n">
        <f aca="false">MAX(P822+M823,R812)</f>
        <v>46422</v>
      </c>
      <c r="Q823" s="16" t="n">
        <f aca="false">MAX(P823+K823,Q822+N823)</f>
        <v>46440</v>
      </c>
      <c r="R823" s="16" t="n">
        <f aca="false">IF(K823&gt;0,Q823,R812)</f>
        <v>46440</v>
      </c>
      <c r="S823" s="15" t="s">
        <v>4117</v>
      </c>
    </row>
    <row r="824" customFormat="false" ht="15" hidden="false" customHeight="false" outlineLevel="0" collapsed="false">
      <c r="A824" s="15" t="s">
        <v>4132</v>
      </c>
      <c r="B824" s="15" t="s">
        <v>4127</v>
      </c>
      <c r="C824" s="15" t="s">
        <v>394</v>
      </c>
      <c r="D824" s="15" t="s">
        <v>719</v>
      </c>
      <c r="E824" s="15" t="s">
        <v>725</v>
      </c>
      <c r="F824" s="15" t="s">
        <v>3014</v>
      </c>
      <c r="G824" s="15" t="s">
        <v>3015</v>
      </c>
      <c r="H824" s="33" t="n">
        <f aca="false">Packages!$O$80</f>
        <v>132.376982780502</v>
      </c>
      <c r="I824" s="15" t="s">
        <v>118</v>
      </c>
      <c r="J824" s="34" t="n">
        <f aca="false">IF(Packages!$AG$80=0,0,ROUNDUP(Packages!$O$80/R_DW,0)+DW_DRAW)</f>
        <v>11</v>
      </c>
      <c r="K824" s="34" t="n">
        <f aca="false">IF(J824=0,0,ROUNDUP(J824*7/WD,0))</f>
        <v>13</v>
      </c>
      <c r="L824" s="15" t="s">
        <v>4131</v>
      </c>
      <c r="M824" s="34" t="n">
        <f aca="false">ROUNDUP(K823*LADDER,0)</f>
        <v>3</v>
      </c>
      <c r="N824" s="34" t="n">
        <f aca="false">IF(K824=0,0,FFLAG)</f>
        <v>2</v>
      </c>
      <c r="O824" s="15" t="s">
        <v>4133</v>
      </c>
      <c r="P824" s="16" t="n">
        <f aca="false">MAX(P823+M824,Q814-K824)</f>
        <v>46462</v>
      </c>
      <c r="Q824" s="16" t="n">
        <f aca="false">MAX(P824+K824,Q823+N824)</f>
        <v>46475</v>
      </c>
      <c r="R824" s="12"/>
      <c r="S824" s="12"/>
    </row>
    <row r="825" customFormat="false" ht="15" hidden="false" customHeight="false" outlineLevel="0" collapsed="false">
      <c r="A825" s="15" t="s">
        <v>4134</v>
      </c>
      <c r="B825" s="15" t="s">
        <v>4127</v>
      </c>
      <c r="C825" s="15" t="s">
        <v>394</v>
      </c>
      <c r="D825" s="15" t="s">
        <v>719</v>
      </c>
      <c r="E825" s="15" t="s">
        <v>725</v>
      </c>
      <c r="F825" s="15" t="s">
        <v>3017</v>
      </c>
      <c r="G825" s="15" t="s">
        <v>3018</v>
      </c>
      <c r="H825" s="33" t="n">
        <f aca="false">Packages!$X$80+Packages!$Y$80</f>
        <v>1182.87112050812</v>
      </c>
      <c r="I825" s="15" t="s">
        <v>3019</v>
      </c>
      <c r="J825" s="34" t="n">
        <f aca="false">MAX(1,ROUNDUP((Packages!$X$80/R_EXS+Packages!$Y$80/R_EXO)/Fronts!$J$8,0))</f>
        <v>4</v>
      </c>
      <c r="K825" s="34" t="n">
        <f aca="false">IF(J825=0,0,ROUNDUP(J825*7/WD,0))</f>
        <v>5</v>
      </c>
      <c r="L825" s="15" t="s">
        <v>4132</v>
      </c>
      <c r="M825" s="34" t="n">
        <f aca="false">IF(K824=0,0,ROUNDUP((K824-ROUNDUP(DW_DRAW*7/WD,0))*LADDER,0)+ROUNDUP(DW_DRAW*7/WD,0))</f>
        <v>11</v>
      </c>
      <c r="N825" s="34" t="n">
        <f aca="false">IF(K825=0,0,FFLAG)</f>
        <v>2</v>
      </c>
      <c r="O825" s="15"/>
      <c r="P825" s="16" t="n">
        <f aca="false">MAX(P824+M825,R814)</f>
        <v>46475</v>
      </c>
      <c r="Q825" s="16" t="n">
        <f aca="false">MAX(P825+K825,Q824+N825)</f>
        <v>46480</v>
      </c>
      <c r="R825" s="16" t="n">
        <f aca="false">IF(K825&gt;0,Q825,R814)</f>
        <v>46480</v>
      </c>
      <c r="S825" s="15" t="s">
        <v>4120</v>
      </c>
    </row>
    <row r="826" customFormat="false" ht="15" hidden="false" customHeight="false" outlineLevel="0" collapsed="false">
      <c r="A826" s="15" t="s">
        <v>4135</v>
      </c>
      <c r="B826" s="15" t="s">
        <v>4127</v>
      </c>
      <c r="C826" s="15" t="s">
        <v>394</v>
      </c>
      <c r="D826" s="15" t="s">
        <v>719</v>
      </c>
      <c r="E826" s="15" t="s">
        <v>725</v>
      </c>
      <c r="F826" s="15" t="s">
        <v>3022</v>
      </c>
      <c r="G826" s="15" t="s">
        <v>3023</v>
      </c>
      <c r="H826" s="33" t="n">
        <f aca="false">Packages!$O$80</f>
        <v>132.376982780502</v>
      </c>
      <c r="I826" s="15" t="s">
        <v>118</v>
      </c>
      <c r="J826" s="34" t="n">
        <f aca="false">MAX(1,ROUNDUP(Packages!$O$80/(R_SLAB*Fronts!$K$8),0))+SLAB_CURE</f>
        <v>15</v>
      </c>
      <c r="K826" s="34" t="n">
        <f aca="false">IF(J826=0,0,ROUNDUP(J826*7/WD,0))</f>
        <v>18</v>
      </c>
      <c r="L826" s="15" t="s">
        <v>4134</v>
      </c>
      <c r="M826" s="34" t="n">
        <f aca="false">ROUNDUP(K825*LADDER,0)</f>
        <v>2</v>
      </c>
      <c r="N826" s="34" t="n">
        <f aca="false">IF(K826=0,0,FFLAG)</f>
        <v>2</v>
      </c>
      <c r="O826" s="15"/>
      <c r="P826" s="16" t="n">
        <f aca="false">MAX(P825+M826,R815)</f>
        <v>46498</v>
      </c>
      <c r="Q826" s="16" t="n">
        <f aca="false">MAX(P826+K826,Q825+N826)</f>
        <v>46516</v>
      </c>
      <c r="R826" s="16" t="n">
        <f aca="false">IF(K826&gt;0,Q826,R815)</f>
        <v>46516</v>
      </c>
      <c r="S826" s="15" t="s">
        <v>4121</v>
      </c>
    </row>
    <row r="827" customFormat="false" ht="15" hidden="false" customHeight="false" outlineLevel="0" collapsed="false">
      <c r="A827" s="15" t="s">
        <v>4136</v>
      </c>
      <c r="B827" s="15" t="s">
        <v>4127</v>
      </c>
      <c r="C827" s="15" t="s">
        <v>394</v>
      </c>
      <c r="D827" s="15" t="s">
        <v>719</v>
      </c>
      <c r="E827" s="15" t="s">
        <v>725</v>
      </c>
      <c r="F827" s="15" t="s">
        <v>3025</v>
      </c>
      <c r="G827" s="15" t="s">
        <v>3026</v>
      </c>
      <c r="H827" s="33" t="n">
        <f aca="false">Packages!$O$80</f>
        <v>132.376982780502</v>
      </c>
      <c r="I827" s="15" t="s">
        <v>118</v>
      </c>
      <c r="J827" s="34" t="n">
        <f aca="false">MAX(1,ROUNDUP(Packages!$O$80/(IF(Packages!$N$80&gt;=PIPE_T1,R_PIPE_L,IF(Packages!$N$80&gt;=PIPE_T2,R_PIPE_M,R_PIPE_S))*Fronts!$L$8)+Packages!$M$80*FIT_D+IF(Packages!$G$80&lt;&gt;"Run",TIE_D,0),0))</f>
        <v>9</v>
      </c>
      <c r="K827" s="34" t="n">
        <f aca="false">IF(J827=0,0,ROUNDUP(J827*7/WD,0))</f>
        <v>11</v>
      </c>
      <c r="L827" s="15" t="s">
        <v>4135</v>
      </c>
      <c r="M827" s="34" t="n">
        <f aca="false">ROUNDUP(K826*LADDER,0)</f>
        <v>6</v>
      </c>
      <c r="N827" s="34" t="n">
        <f aca="false">IF(K827=0,0,FFLAG)</f>
        <v>2</v>
      </c>
      <c r="O827" s="15"/>
      <c r="P827" s="16" t="n">
        <f aca="false">MAX(P826+M827,R816)</f>
        <v>46504</v>
      </c>
      <c r="Q827" s="16" t="n">
        <f aca="false">MAX(P827+K827,Q826+N827)</f>
        <v>46518</v>
      </c>
      <c r="R827" s="16" t="n">
        <f aca="false">IF(K827&gt;0,Q827,R816)</f>
        <v>46518</v>
      </c>
      <c r="S827" s="15" t="s">
        <v>4122</v>
      </c>
    </row>
    <row r="828" customFormat="false" ht="15" hidden="false" customHeight="false" outlineLevel="0" collapsed="false">
      <c r="A828" s="15" t="s">
        <v>4137</v>
      </c>
      <c r="B828" s="15" t="s">
        <v>4127</v>
      </c>
      <c r="C828" s="15" t="s">
        <v>394</v>
      </c>
      <c r="D828" s="15" t="s">
        <v>719</v>
      </c>
      <c r="E828" s="15" t="s">
        <v>725</v>
      </c>
      <c r="F828" s="15" t="s">
        <v>3028</v>
      </c>
      <c r="G828" s="15" t="s">
        <v>3029</v>
      </c>
      <c r="H828" s="33" t="n">
        <f aca="false">Packages!$O$80</f>
        <v>132.376982780502</v>
      </c>
      <c r="I828" s="15" t="s">
        <v>118</v>
      </c>
      <c r="J828" s="34" t="n">
        <f aca="false">TEST_D+ROUNDUP(Packages!$O$80/R_TEST,0)</f>
        <v>3</v>
      </c>
      <c r="K828" s="34" t="n">
        <f aca="false">IF(J828=0,0,ROUNDUP(J828*7/WD,0))</f>
        <v>4</v>
      </c>
      <c r="L828" s="15" t="s">
        <v>4136</v>
      </c>
      <c r="M828" s="34" t="n">
        <f aca="false">ROUNDUP(K827*LADDER,0)</f>
        <v>4</v>
      </c>
      <c r="N828" s="34" t="n">
        <f aca="false">IF(K828=0,0,FFLAG)</f>
        <v>2</v>
      </c>
      <c r="O828" s="15"/>
      <c r="P828" s="16" t="n">
        <f aca="false">MAX(P827+M828)</f>
        <v>46508</v>
      </c>
      <c r="Q828" s="16" t="n">
        <f aca="false">MAX(P828+K828,Q827+N828)</f>
        <v>46520</v>
      </c>
      <c r="R828" s="12"/>
      <c r="S828" s="12"/>
    </row>
    <row r="829" customFormat="false" ht="15" hidden="false" customHeight="false" outlineLevel="0" collapsed="false">
      <c r="A829" s="15" t="s">
        <v>4138</v>
      </c>
      <c r="B829" s="15" t="s">
        <v>4127</v>
      </c>
      <c r="C829" s="15" t="s">
        <v>394</v>
      </c>
      <c r="D829" s="15" t="s">
        <v>719</v>
      </c>
      <c r="E829" s="15" t="s">
        <v>725</v>
      </c>
      <c r="F829" s="15" t="s">
        <v>3031</v>
      </c>
      <c r="G829" s="15" t="s">
        <v>3032</v>
      </c>
      <c r="H829" s="33" t="n">
        <f aca="false">Packages!$AB$80</f>
        <v>877.387984044717</v>
      </c>
      <c r="I829" s="15" t="s">
        <v>3019</v>
      </c>
      <c r="J829" s="34" t="n">
        <f aca="false">MAX(1,ROUNDUP(Packages!$AB$80/(R_BF*Fronts!$M$8),0))</f>
        <v>3</v>
      </c>
      <c r="K829" s="34" t="n">
        <f aca="false">IF(J829=0,0,ROUNDUP(J829*7/WD,0))</f>
        <v>4</v>
      </c>
      <c r="L829" s="15" t="s">
        <v>4137</v>
      </c>
      <c r="M829" s="34" t="n">
        <f aca="false">ROUNDUP(K828*LADDER,0)</f>
        <v>2</v>
      </c>
      <c r="N829" s="34" t="n">
        <f aca="false">IF(K829=0,0,FFLAG)</f>
        <v>2</v>
      </c>
      <c r="O829" s="15"/>
      <c r="P829" s="16" t="n">
        <f aca="false">MAX(P828+M829,R818)</f>
        <v>46510</v>
      </c>
      <c r="Q829" s="16" t="n">
        <f aca="false">MAX(P829+K829,Q828+N829)</f>
        <v>46522</v>
      </c>
      <c r="R829" s="16" t="n">
        <f aca="false">IF(K829&gt;0,Q829,R818)</f>
        <v>46522</v>
      </c>
      <c r="S829" s="15" t="s">
        <v>4124</v>
      </c>
    </row>
    <row r="830" customFormat="false" ht="15" hidden="false" customHeight="false" outlineLevel="0" collapsed="false">
      <c r="A830" s="15" t="s">
        <v>4139</v>
      </c>
      <c r="B830" s="15" t="s">
        <v>4127</v>
      </c>
      <c r="C830" s="15" t="s">
        <v>394</v>
      </c>
      <c r="D830" s="15" t="s">
        <v>719</v>
      </c>
      <c r="E830" s="15" t="s">
        <v>725</v>
      </c>
      <c r="F830" s="15" t="s">
        <v>3034</v>
      </c>
      <c r="G830" s="15" t="s">
        <v>3035</v>
      </c>
      <c r="H830" s="33" t="n">
        <f aca="false">Packages!$AD$80</f>
        <v>135.567166039592</v>
      </c>
      <c r="I830" s="15" t="s">
        <v>3012</v>
      </c>
      <c r="J830" s="34" t="n">
        <f aca="false">IF(Packages!$AD$80&gt;0,ROUNDUP(Packages!$AD$80/R_EXT,0),0)+IF(Packages!$AG$80&gt;0,1,0)</f>
        <v>4</v>
      </c>
      <c r="K830" s="34" t="n">
        <f aca="false">IF(J830=0,0,ROUNDUP(J830*7/WD,0))</f>
        <v>5</v>
      </c>
      <c r="L830" s="15" t="s">
        <v>4138</v>
      </c>
      <c r="M830" s="34" t="n">
        <f aca="false">ROUNDUP(K829*LADDER,0)</f>
        <v>2</v>
      </c>
      <c r="N830" s="34" t="n">
        <f aca="false">IF(K830=0,0,FFLAG)</f>
        <v>2</v>
      </c>
      <c r="O830" s="15"/>
      <c r="P830" s="16" t="n">
        <f aca="false">MAX(P829+M830)</f>
        <v>46512</v>
      </c>
      <c r="Q830" s="16" t="n">
        <f aca="false">MAX(P830+K830,Q829+N830)</f>
        <v>46524</v>
      </c>
      <c r="R830" s="12"/>
      <c r="S830" s="12"/>
    </row>
    <row r="831" customFormat="false" ht="15" hidden="false" customHeight="false" outlineLevel="0" collapsed="false">
      <c r="A831" s="15" t="s">
        <v>4140</v>
      </c>
      <c r="B831" s="15" t="s">
        <v>4141</v>
      </c>
      <c r="C831" s="15" t="s">
        <v>394</v>
      </c>
      <c r="D831" s="15" t="s">
        <v>719</v>
      </c>
      <c r="E831" s="15" t="s">
        <v>720</v>
      </c>
      <c r="F831" s="15" t="s">
        <v>2998</v>
      </c>
      <c r="G831" s="15" t="s">
        <v>2999</v>
      </c>
      <c r="H831" s="12"/>
      <c r="I831" s="12"/>
      <c r="J831" s="34" t="n">
        <f aca="false">0</f>
        <v>0</v>
      </c>
      <c r="K831" s="34" t="n">
        <f aca="false">IF(J831=0,0,ROUNDUP(J831*7/WD,0))</f>
        <v>0</v>
      </c>
      <c r="L831" s="12"/>
      <c r="M831" s="12"/>
      <c r="N831" s="12"/>
      <c r="O831" s="15" t="s">
        <v>3038</v>
      </c>
      <c r="P831" s="16" t="n">
        <f aca="false">MAX(START,D_DLU,Packages!$I$81,Packages!$K$81)</f>
        <v>46357</v>
      </c>
      <c r="Q831" s="16" t="n">
        <f aca="false">P831+K831</f>
        <v>46357</v>
      </c>
      <c r="R831" s="12"/>
      <c r="S831" s="12"/>
    </row>
    <row r="832" customFormat="false" ht="15" hidden="false" customHeight="false" outlineLevel="0" collapsed="false">
      <c r="A832" s="15" t="s">
        <v>4142</v>
      </c>
      <c r="B832" s="15" t="s">
        <v>4141</v>
      </c>
      <c r="C832" s="15" t="s">
        <v>394</v>
      </c>
      <c r="D832" s="15" t="s">
        <v>719</v>
      </c>
      <c r="E832" s="15" t="s">
        <v>720</v>
      </c>
      <c r="F832" s="15" t="s">
        <v>3002</v>
      </c>
      <c r="G832" s="15" t="s">
        <v>205</v>
      </c>
      <c r="H832" s="33" t="n">
        <f aca="false">Packages!$O$81</f>
        <v>18.6966580836264</v>
      </c>
      <c r="I832" s="15" t="s">
        <v>118</v>
      </c>
      <c r="J832" s="34" t="n">
        <f aca="false">MAX(1,ROUNDUP(Packages!$O$81/R_PLAT,0))</f>
        <v>1</v>
      </c>
      <c r="K832" s="34" t="n">
        <f aca="false">IF(J832=0,0,ROUNDUP(J832*7/WD,0))</f>
        <v>2</v>
      </c>
      <c r="L832" s="15" t="s">
        <v>4140</v>
      </c>
      <c r="M832" s="12"/>
      <c r="N832" s="12"/>
      <c r="O832" s="15" t="s">
        <v>4143</v>
      </c>
      <c r="P832" s="16" t="n">
        <f aca="false">MAX(Q831,P822)</f>
        <v>46415</v>
      </c>
      <c r="Q832" s="16" t="n">
        <f aca="false">P832+K832</f>
        <v>46417</v>
      </c>
      <c r="R832" s="12"/>
      <c r="S832" s="12"/>
    </row>
    <row r="833" customFormat="false" ht="15" hidden="false" customHeight="false" outlineLevel="0" collapsed="false">
      <c r="A833" s="15" t="s">
        <v>4144</v>
      </c>
      <c r="B833" s="15" t="s">
        <v>4141</v>
      </c>
      <c r="C833" s="15" t="s">
        <v>394</v>
      </c>
      <c r="D833" s="15" t="s">
        <v>719</v>
      </c>
      <c r="E833" s="15" t="s">
        <v>720</v>
      </c>
      <c r="F833" s="15" t="s">
        <v>3005</v>
      </c>
      <c r="G833" s="15" t="s">
        <v>3006</v>
      </c>
      <c r="H833" s="33" t="n">
        <f aca="false">Packages!$AC$81</f>
        <v>16</v>
      </c>
      <c r="I833" s="15" t="s">
        <v>3007</v>
      </c>
      <c r="J833" s="34" t="n">
        <f aca="false">IF(Packages!$AC$81=0,0,MAX(1,ROUNDUP(Packages!$AC$81/(R_PILE*Fronts!$H$8),0)))</f>
        <v>4</v>
      </c>
      <c r="K833" s="34" t="n">
        <f aca="false">IF(J833=0,0,ROUNDUP(J833*7/WD,0))</f>
        <v>5</v>
      </c>
      <c r="L833" s="15" t="s">
        <v>4142</v>
      </c>
      <c r="M833" s="34" t="n">
        <f aca="false">ROUNDUP(K832*LADDER,0)</f>
        <v>1</v>
      </c>
      <c r="N833" s="34" t="n">
        <f aca="false">IF(K833=0,0,FFLAG)</f>
        <v>2</v>
      </c>
      <c r="O833" s="15" t="s">
        <v>3008</v>
      </c>
      <c r="P833" s="16" t="n">
        <f aca="false">MAX(P832+M833,D_PILEDES)</f>
        <v>46416</v>
      </c>
      <c r="Q833" s="16" t="n">
        <f aca="false">MAX(P833+K833,Q832+N833)</f>
        <v>46421</v>
      </c>
      <c r="R833" s="16" t="n">
        <f aca="false">IF(K833&gt;0,Q833,0)</f>
        <v>46421</v>
      </c>
      <c r="S833" s="12"/>
    </row>
    <row r="834" customFormat="false" ht="15" hidden="false" customHeight="false" outlineLevel="0" collapsed="false">
      <c r="A834" s="15" t="s">
        <v>4145</v>
      </c>
      <c r="B834" s="15" t="s">
        <v>4141</v>
      </c>
      <c r="C834" s="15" t="s">
        <v>394</v>
      </c>
      <c r="D834" s="15" t="s">
        <v>719</v>
      </c>
      <c r="E834" s="15" t="s">
        <v>720</v>
      </c>
      <c r="F834" s="15" t="s">
        <v>3010</v>
      </c>
      <c r="G834" s="15" t="s">
        <v>3011</v>
      </c>
      <c r="H834" s="33" t="n">
        <f aca="false">Packages!$AD$81</f>
        <v>0</v>
      </c>
      <c r="I834" s="15" t="s">
        <v>3012</v>
      </c>
      <c r="J834" s="34" t="n">
        <f aca="false">IF(Packages!$AD$81=0,0,MAX(1,ROUNDUP(Packages!$AD$81/(R_SHEET*Fronts!$I$8),0)))</f>
        <v>0</v>
      </c>
      <c r="K834" s="34" t="n">
        <f aca="false">IF(J834=0,0,ROUNDUP(J834*7/WD,0))</f>
        <v>0</v>
      </c>
      <c r="L834" s="15" t="s">
        <v>4144</v>
      </c>
      <c r="M834" s="34" t="n">
        <f aca="false">ROUNDUP(K833*LADDER,0)</f>
        <v>2</v>
      </c>
      <c r="N834" s="34" t="n">
        <f aca="false">IF(K834=0,0,FFLAG)</f>
        <v>0</v>
      </c>
      <c r="O834" s="15"/>
      <c r="P834" s="16" t="n">
        <f aca="false">MAX(P833+M834)</f>
        <v>46418</v>
      </c>
      <c r="Q834" s="16" t="n">
        <f aca="false">MAX(P834+K834,Q833+N834)</f>
        <v>46421</v>
      </c>
      <c r="R834" s="16" t="n">
        <f aca="false">IF(K834&gt;0,Q834,0)</f>
        <v>0</v>
      </c>
      <c r="S834" s="12"/>
    </row>
    <row r="835" customFormat="false" ht="15" hidden="false" customHeight="false" outlineLevel="0" collapsed="false">
      <c r="A835" s="15" t="s">
        <v>4146</v>
      </c>
      <c r="B835" s="15" t="s">
        <v>4141</v>
      </c>
      <c r="C835" s="15" t="s">
        <v>394</v>
      </c>
      <c r="D835" s="15" t="s">
        <v>719</v>
      </c>
      <c r="E835" s="15" t="s">
        <v>720</v>
      </c>
      <c r="F835" s="15" t="s">
        <v>3014</v>
      </c>
      <c r="G835" s="15" t="s">
        <v>3015</v>
      </c>
      <c r="H835" s="33" t="n">
        <f aca="false">Packages!$O$81</f>
        <v>18.6966580836264</v>
      </c>
      <c r="I835" s="15" t="s">
        <v>118</v>
      </c>
      <c r="J835" s="34" t="n">
        <f aca="false">IF(Packages!$AG$81=0,0,ROUNDUP(Packages!$O$81/R_DW,0)+DW_DRAW)</f>
        <v>8</v>
      </c>
      <c r="K835" s="34" t="n">
        <f aca="false">IF(J835=0,0,ROUNDUP(J835*7/WD,0))</f>
        <v>10</v>
      </c>
      <c r="L835" s="15" t="s">
        <v>4145</v>
      </c>
      <c r="M835" s="34" t="n">
        <f aca="false">ROUNDUP(K834*LADDER,0)</f>
        <v>0</v>
      </c>
      <c r="N835" s="34" t="n">
        <f aca="false">IF(K835=0,0,FFLAG)</f>
        <v>2</v>
      </c>
      <c r="O835" s="15"/>
      <c r="P835" s="16" t="n">
        <f aca="false">MAX(P834+M835)</f>
        <v>46418</v>
      </c>
      <c r="Q835" s="16" t="n">
        <f aca="false">MAX(P835+K835,Q834+N835)</f>
        <v>46428</v>
      </c>
      <c r="R835" s="12"/>
      <c r="S835" s="12"/>
    </row>
    <row r="836" customFormat="false" ht="15" hidden="false" customHeight="false" outlineLevel="0" collapsed="false">
      <c r="A836" s="15" t="s">
        <v>4147</v>
      </c>
      <c r="B836" s="15" t="s">
        <v>4141</v>
      </c>
      <c r="C836" s="15" t="s">
        <v>394</v>
      </c>
      <c r="D836" s="15" t="s">
        <v>719</v>
      </c>
      <c r="E836" s="15" t="s">
        <v>720</v>
      </c>
      <c r="F836" s="15" t="s">
        <v>3017</v>
      </c>
      <c r="G836" s="15" t="s">
        <v>3018</v>
      </c>
      <c r="H836" s="33" t="n">
        <f aca="false">Packages!$X$81+Packages!$Y$81</f>
        <v>222.85934614825</v>
      </c>
      <c r="I836" s="15" t="s">
        <v>3019</v>
      </c>
      <c r="J836" s="34" t="n">
        <f aca="false">MAX(1,ROUNDUP((Packages!$X$81/R_EXS+Packages!$Y$81/R_EXO)/Fronts!$J$8,0))</f>
        <v>1</v>
      </c>
      <c r="K836" s="34" t="n">
        <f aca="false">IF(J836=0,0,ROUNDUP(J836*7/WD,0))</f>
        <v>2</v>
      </c>
      <c r="L836" s="15" t="s">
        <v>4146</v>
      </c>
      <c r="M836" s="34" t="n">
        <f aca="false">IF(K835=0,0,ROUNDUP((K835-ROUNDUP(DW_DRAW*7/WD,0))*LADDER,0)+ROUNDUP(DW_DRAW*7/WD,0))</f>
        <v>10</v>
      </c>
      <c r="N836" s="34" t="n">
        <f aca="false">IF(K836=0,0,FFLAG)</f>
        <v>2</v>
      </c>
      <c r="O836" s="15"/>
      <c r="P836" s="16" t="n">
        <f aca="false">MAX(P835+M836)</f>
        <v>46428</v>
      </c>
      <c r="Q836" s="16" t="n">
        <f aca="false">MAX(P836+K836,Q835+N836)</f>
        <v>46430</v>
      </c>
      <c r="R836" s="16" t="n">
        <f aca="false">IF(K836&gt;0,Q836,0)</f>
        <v>46430</v>
      </c>
      <c r="S836" s="12"/>
    </row>
    <row r="837" customFormat="false" ht="15" hidden="false" customHeight="false" outlineLevel="0" collapsed="false">
      <c r="A837" s="15" t="s">
        <v>4148</v>
      </c>
      <c r="B837" s="15" t="s">
        <v>4141</v>
      </c>
      <c r="C837" s="15" t="s">
        <v>394</v>
      </c>
      <c r="D837" s="15" t="s">
        <v>719</v>
      </c>
      <c r="E837" s="15" t="s">
        <v>720</v>
      </c>
      <c r="F837" s="15" t="s">
        <v>3022</v>
      </c>
      <c r="G837" s="15" t="s">
        <v>3023</v>
      </c>
      <c r="H837" s="33" t="n">
        <f aca="false">Packages!$O$81</f>
        <v>18.6966580836264</v>
      </c>
      <c r="I837" s="15" t="s">
        <v>118</v>
      </c>
      <c r="J837" s="34" t="n">
        <f aca="false">MAX(1,ROUNDUP(Packages!$O$81/(R_SLAB*Fronts!$K$8),0))+SLAB_CURE</f>
        <v>5</v>
      </c>
      <c r="K837" s="34" t="n">
        <f aca="false">IF(J837=0,0,ROUNDUP(J837*7/WD,0))</f>
        <v>6</v>
      </c>
      <c r="L837" s="15" t="s">
        <v>4147</v>
      </c>
      <c r="M837" s="34" t="n">
        <f aca="false">ROUNDUP(K836*LADDER,0)</f>
        <v>1</v>
      </c>
      <c r="N837" s="34" t="n">
        <f aca="false">IF(K837=0,0,FFLAG)</f>
        <v>2</v>
      </c>
      <c r="O837" s="15"/>
      <c r="P837" s="16" t="n">
        <f aca="false">MAX(P836+M837)</f>
        <v>46429</v>
      </c>
      <c r="Q837" s="16" t="n">
        <f aca="false">MAX(P837+K837,Q836+N837)</f>
        <v>46435</v>
      </c>
      <c r="R837" s="16" t="n">
        <f aca="false">IF(K837&gt;0,Q837,0)</f>
        <v>46435</v>
      </c>
      <c r="S837" s="12"/>
    </row>
    <row r="838" customFormat="false" ht="15" hidden="false" customHeight="false" outlineLevel="0" collapsed="false">
      <c r="A838" s="15" t="s">
        <v>4149</v>
      </c>
      <c r="B838" s="15" t="s">
        <v>4141</v>
      </c>
      <c r="C838" s="15" t="s">
        <v>394</v>
      </c>
      <c r="D838" s="15" t="s">
        <v>719</v>
      </c>
      <c r="E838" s="15" t="s">
        <v>720</v>
      </c>
      <c r="F838" s="15" t="s">
        <v>3025</v>
      </c>
      <c r="G838" s="15" t="s">
        <v>3026</v>
      </c>
      <c r="H838" s="33" t="n">
        <f aca="false">Packages!$O$81</f>
        <v>18.6966580836264</v>
      </c>
      <c r="I838" s="15" t="s">
        <v>118</v>
      </c>
      <c r="J838" s="34" t="n">
        <f aca="false">MAX(1,ROUNDUP(Packages!$O$81/(IF(Packages!$N$81&gt;=PIPE_T1,R_PIPE_L,IF(Packages!$N$81&gt;=PIPE_T2,R_PIPE_M,R_PIPE_S))*Fronts!$L$8)+Packages!$M$81*FIT_D+IF(Packages!$G$81&lt;&gt;"Run",TIE_D,0),0))</f>
        <v>5</v>
      </c>
      <c r="K838" s="34" t="n">
        <f aca="false">IF(J838=0,0,ROUNDUP(J838*7/WD,0))</f>
        <v>6</v>
      </c>
      <c r="L838" s="15" t="s">
        <v>4148</v>
      </c>
      <c r="M838" s="34" t="n">
        <f aca="false">ROUNDUP(K837*LADDER,0)</f>
        <v>2</v>
      </c>
      <c r="N838" s="34" t="n">
        <f aca="false">IF(K838=0,0,FFLAG)</f>
        <v>2</v>
      </c>
      <c r="O838" s="15" t="s">
        <v>4150</v>
      </c>
      <c r="P838" s="16" t="n">
        <f aca="false">MAX(P837+M838,Q827)</f>
        <v>46518</v>
      </c>
      <c r="Q838" s="16" t="n">
        <f aca="false">MAX(P838+K838,Q837+N838)</f>
        <v>46524</v>
      </c>
      <c r="R838" s="16" t="n">
        <f aca="false">IF(K838&gt;0,Q838,0)</f>
        <v>46524</v>
      </c>
      <c r="S838" s="12"/>
    </row>
    <row r="839" customFormat="false" ht="15" hidden="false" customHeight="false" outlineLevel="0" collapsed="false">
      <c r="A839" s="15" t="s">
        <v>4151</v>
      </c>
      <c r="B839" s="15" t="s">
        <v>4141</v>
      </c>
      <c r="C839" s="15" t="s">
        <v>394</v>
      </c>
      <c r="D839" s="15" t="s">
        <v>719</v>
      </c>
      <c r="E839" s="15" t="s">
        <v>720</v>
      </c>
      <c r="F839" s="15" t="s">
        <v>3028</v>
      </c>
      <c r="G839" s="15" t="s">
        <v>3029</v>
      </c>
      <c r="H839" s="33" t="n">
        <f aca="false">Packages!$O$81</f>
        <v>18.6966580836264</v>
      </c>
      <c r="I839" s="15" t="s">
        <v>118</v>
      </c>
      <c r="J839" s="34" t="n">
        <f aca="false">TEST_D+ROUNDUP(Packages!$O$81/R_TEST,0)</f>
        <v>3</v>
      </c>
      <c r="K839" s="34" t="n">
        <f aca="false">IF(J839=0,0,ROUNDUP(J839*7/WD,0))</f>
        <v>4</v>
      </c>
      <c r="L839" s="15" t="s">
        <v>4149</v>
      </c>
      <c r="M839" s="34" t="n">
        <f aca="false">ROUNDUP(K838*LADDER,0)</f>
        <v>2</v>
      </c>
      <c r="N839" s="34" t="n">
        <f aca="false">IF(K839=0,0,FFLAG)</f>
        <v>2</v>
      </c>
      <c r="O839" s="15"/>
      <c r="P839" s="16" t="n">
        <f aca="false">MAX(P838+M839)</f>
        <v>46520</v>
      </c>
      <c r="Q839" s="16" t="n">
        <f aca="false">MAX(P839+K839,Q838+N839)</f>
        <v>46526</v>
      </c>
      <c r="R839" s="12"/>
      <c r="S839" s="12"/>
    </row>
    <row r="840" customFormat="false" ht="15" hidden="false" customHeight="false" outlineLevel="0" collapsed="false">
      <c r="A840" s="15" t="s">
        <v>4152</v>
      </c>
      <c r="B840" s="15" t="s">
        <v>4141</v>
      </c>
      <c r="C840" s="15" t="s">
        <v>394</v>
      </c>
      <c r="D840" s="15" t="s">
        <v>719</v>
      </c>
      <c r="E840" s="15" t="s">
        <v>720</v>
      </c>
      <c r="F840" s="15" t="s">
        <v>3031</v>
      </c>
      <c r="G840" s="15" t="s">
        <v>3032</v>
      </c>
      <c r="H840" s="33" t="n">
        <f aca="false">Packages!$AB$81</f>
        <v>181.1480844302</v>
      </c>
      <c r="I840" s="15" t="s">
        <v>3019</v>
      </c>
      <c r="J840" s="34" t="n">
        <f aca="false">MAX(1,ROUNDUP(Packages!$AB$81/(R_BF*Fronts!$M$8),0))</f>
        <v>1</v>
      </c>
      <c r="K840" s="34" t="n">
        <f aca="false">IF(J840=0,0,ROUNDUP(J840*7/WD,0))</f>
        <v>2</v>
      </c>
      <c r="L840" s="15" t="s">
        <v>4151</v>
      </c>
      <c r="M840" s="34" t="n">
        <f aca="false">ROUNDUP(K839*LADDER,0)</f>
        <v>2</v>
      </c>
      <c r="N840" s="34" t="n">
        <f aca="false">IF(K840=0,0,FFLAG)</f>
        <v>2</v>
      </c>
      <c r="O840" s="15"/>
      <c r="P840" s="16" t="n">
        <f aca="false">MAX(P839+M840)</f>
        <v>46522</v>
      </c>
      <c r="Q840" s="16" t="n">
        <f aca="false">MAX(P840+K840,Q839+N840)</f>
        <v>46528</v>
      </c>
      <c r="R840" s="16" t="n">
        <f aca="false">IF(K840&gt;0,Q840,0)</f>
        <v>46528</v>
      </c>
      <c r="S840" s="12"/>
    </row>
    <row r="841" customFormat="false" ht="15" hidden="false" customHeight="false" outlineLevel="0" collapsed="false">
      <c r="A841" s="15" t="s">
        <v>4153</v>
      </c>
      <c r="B841" s="15" t="s">
        <v>4141</v>
      </c>
      <c r="C841" s="15" t="s">
        <v>394</v>
      </c>
      <c r="D841" s="15" t="s">
        <v>719</v>
      </c>
      <c r="E841" s="15" t="s">
        <v>720</v>
      </c>
      <c r="F841" s="15" t="s">
        <v>3034</v>
      </c>
      <c r="G841" s="15" t="s">
        <v>3035</v>
      </c>
      <c r="H841" s="33" t="n">
        <f aca="false">Packages!$AD$81</f>
        <v>0</v>
      </c>
      <c r="I841" s="15" t="s">
        <v>3012</v>
      </c>
      <c r="J841" s="34" t="n">
        <f aca="false">IF(Packages!$AD$81&gt;0,ROUNDUP(Packages!$AD$81/R_EXT,0),0)+IF(Packages!$AG$81&gt;0,1,0)</f>
        <v>1</v>
      </c>
      <c r="K841" s="34" t="n">
        <f aca="false">IF(J841=0,0,ROUNDUP(J841*7/WD,0))</f>
        <v>2</v>
      </c>
      <c r="L841" s="15" t="s">
        <v>4152</v>
      </c>
      <c r="M841" s="34" t="n">
        <f aca="false">ROUNDUP(K840*LADDER,0)</f>
        <v>1</v>
      </c>
      <c r="N841" s="34" t="n">
        <f aca="false">IF(K841=0,0,FFLAG)</f>
        <v>2</v>
      </c>
      <c r="O841" s="15"/>
      <c r="P841" s="16" t="n">
        <f aca="false">MAX(P840+M841)</f>
        <v>46523</v>
      </c>
      <c r="Q841" s="16" t="n">
        <f aca="false">MAX(P841+K841,Q840+N841)</f>
        <v>46530</v>
      </c>
      <c r="R841" s="12"/>
      <c r="S841" s="12"/>
    </row>
    <row r="842" customFormat="false" ht="15" hidden="false" customHeight="false" outlineLevel="0" collapsed="false">
      <c r="A842" s="15" t="s">
        <v>4154</v>
      </c>
      <c r="B842" s="15" t="s">
        <v>4155</v>
      </c>
      <c r="C842" s="15" t="s">
        <v>394</v>
      </c>
      <c r="D842" s="15" t="s">
        <v>719</v>
      </c>
      <c r="E842" s="15" t="s">
        <v>778</v>
      </c>
      <c r="F842" s="15" t="s">
        <v>2998</v>
      </c>
      <c r="G842" s="15" t="s">
        <v>2999</v>
      </c>
      <c r="H842" s="12"/>
      <c r="I842" s="12"/>
      <c r="J842" s="34" t="n">
        <f aca="false">0</f>
        <v>0</v>
      </c>
      <c r="K842" s="34" t="n">
        <f aca="false">IF(J842=0,0,ROUNDUP(J842*7/WD,0))</f>
        <v>0</v>
      </c>
      <c r="L842" s="12"/>
      <c r="M842" s="12"/>
      <c r="N842" s="12"/>
      <c r="O842" s="15" t="s">
        <v>3000</v>
      </c>
      <c r="P842" s="16" t="n">
        <f aca="false">MAX(START,D_DLU,Packages!$I$82,Packages!$K$82)</f>
        <v>46357</v>
      </c>
      <c r="Q842" s="16" t="n">
        <f aca="false">P842+K842</f>
        <v>46357</v>
      </c>
      <c r="R842" s="12"/>
      <c r="S842" s="12"/>
    </row>
    <row r="843" customFormat="false" ht="15" hidden="false" customHeight="false" outlineLevel="0" collapsed="false">
      <c r="A843" s="15" t="s">
        <v>4156</v>
      </c>
      <c r="B843" s="15" t="s">
        <v>4155</v>
      </c>
      <c r="C843" s="15" t="s">
        <v>394</v>
      </c>
      <c r="D843" s="15" t="s">
        <v>719</v>
      </c>
      <c r="E843" s="15" t="s">
        <v>778</v>
      </c>
      <c r="F843" s="15" t="s">
        <v>3002</v>
      </c>
      <c r="G843" s="15" t="s">
        <v>205</v>
      </c>
      <c r="H843" s="33" t="n">
        <f aca="false">Packages!$O$82</f>
        <v>22.5092179722976</v>
      </c>
      <c r="I843" s="15" t="s">
        <v>118</v>
      </c>
      <c r="J843" s="34" t="n">
        <f aca="false">MAX(1,ROUNDUP(Packages!$O$82/R_PLAT,0))</f>
        <v>1</v>
      </c>
      <c r="K843" s="34" t="n">
        <f aca="false">IF(J843=0,0,ROUNDUP(J843*7/WD,0))</f>
        <v>2</v>
      </c>
      <c r="L843" s="15" t="s">
        <v>4154</v>
      </c>
      <c r="M843" s="12"/>
      <c r="N843" s="12"/>
      <c r="O843" s="15" t="s">
        <v>4157</v>
      </c>
      <c r="P843" s="16" t="n">
        <f aca="false">MAX(Q842,P822)</f>
        <v>46415</v>
      </c>
      <c r="Q843" s="16" t="n">
        <f aca="false">P843+K843</f>
        <v>46417</v>
      </c>
      <c r="R843" s="12"/>
      <c r="S843" s="12"/>
    </row>
    <row r="844" customFormat="false" ht="15" hidden="false" customHeight="false" outlineLevel="0" collapsed="false">
      <c r="A844" s="15" t="s">
        <v>4158</v>
      </c>
      <c r="B844" s="15" t="s">
        <v>4155</v>
      </c>
      <c r="C844" s="15" t="s">
        <v>394</v>
      </c>
      <c r="D844" s="15" t="s">
        <v>719</v>
      </c>
      <c r="E844" s="15" t="s">
        <v>778</v>
      </c>
      <c r="F844" s="15" t="s">
        <v>3005</v>
      </c>
      <c r="G844" s="15" t="s">
        <v>3006</v>
      </c>
      <c r="H844" s="33" t="n">
        <f aca="false">Packages!$AC$82</f>
        <v>18</v>
      </c>
      <c r="I844" s="15" t="s">
        <v>3007</v>
      </c>
      <c r="J844" s="34" t="n">
        <f aca="false">IF(Packages!$AC$82=0,0,MAX(1,ROUNDUP(Packages!$AC$82/(R_PILE*Fronts!$H$8),0)))</f>
        <v>4</v>
      </c>
      <c r="K844" s="34" t="n">
        <f aca="false">IF(J844=0,0,ROUNDUP(J844*7/WD,0))</f>
        <v>5</v>
      </c>
      <c r="L844" s="15" t="s">
        <v>4156</v>
      </c>
      <c r="M844" s="34" t="n">
        <f aca="false">ROUNDUP(K843*LADDER,0)</f>
        <v>1</v>
      </c>
      <c r="N844" s="34" t="n">
        <f aca="false">IF(K844=0,0,FFLAG)</f>
        <v>2</v>
      </c>
      <c r="O844" s="15" t="s">
        <v>3008</v>
      </c>
      <c r="P844" s="16" t="n">
        <f aca="false">MAX(P843+M844,D_PILEDES,R822)</f>
        <v>46438</v>
      </c>
      <c r="Q844" s="16" t="n">
        <f aca="false">MAX(P844+K844,Q843+N844)</f>
        <v>46443</v>
      </c>
      <c r="R844" s="16" t="n">
        <f aca="false">IF(K844&gt;0,Q844,R822)</f>
        <v>46443</v>
      </c>
      <c r="S844" s="15" t="s">
        <v>4130</v>
      </c>
    </row>
    <row r="845" customFormat="false" ht="15" hidden="false" customHeight="false" outlineLevel="0" collapsed="false">
      <c r="A845" s="15" t="s">
        <v>4159</v>
      </c>
      <c r="B845" s="15" t="s">
        <v>4155</v>
      </c>
      <c r="C845" s="15" t="s">
        <v>394</v>
      </c>
      <c r="D845" s="15" t="s">
        <v>719</v>
      </c>
      <c r="E845" s="15" t="s">
        <v>778</v>
      </c>
      <c r="F845" s="15" t="s">
        <v>3010</v>
      </c>
      <c r="G845" s="15" t="s">
        <v>3011</v>
      </c>
      <c r="H845" s="33" t="n">
        <f aca="false">Packages!$AD$82</f>
        <v>0</v>
      </c>
      <c r="I845" s="15" t="s">
        <v>3012</v>
      </c>
      <c r="J845" s="34" t="n">
        <f aca="false">IF(Packages!$AD$82=0,0,MAX(1,ROUNDUP(Packages!$AD$82/(R_SHEET*Fronts!$I$8),0)))</f>
        <v>0</v>
      </c>
      <c r="K845" s="34" t="n">
        <f aca="false">IF(J845=0,0,ROUNDUP(J845*7/WD,0))</f>
        <v>0</v>
      </c>
      <c r="L845" s="15" t="s">
        <v>4158</v>
      </c>
      <c r="M845" s="34" t="n">
        <f aca="false">ROUNDUP(K844*LADDER,0)</f>
        <v>2</v>
      </c>
      <c r="N845" s="34" t="n">
        <f aca="false">IF(K845=0,0,FFLAG)</f>
        <v>0</v>
      </c>
      <c r="O845" s="15"/>
      <c r="P845" s="16" t="n">
        <f aca="false">MAX(P844+M845,R823)</f>
        <v>46440</v>
      </c>
      <c r="Q845" s="16" t="n">
        <f aca="false">MAX(P845+K845,Q844+N845)</f>
        <v>46443</v>
      </c>
      <c r="R845" s="16" t="n">
        <f aca="false">IF(K845&gt;0,Q845,R823)</f>
        <v>46440</v>
      </c>
      <c r="S845" s="15" t="s">
        <v>4131</v>
      </c>
    </row>
    <row r="846" customFormat="false" ht="15" hidden="false" customHeight="false" outlineLevel="0" collapsed="false">
      <c r="A846" s="15" t="s">
        <v>4160</v>
      </c>
      <c r="B846" s="15" t="s">
        <v>4155</v>
      </c>
      <c r="C846" s="15" t="s">
        <v>394</v>
      </c>
      <c r="D846" s="15" t="s">
        <v>719</v>
      </c>
      <c r="E846" s="15" t="s">
        <v>778</v>
      </c>
      <c r="F846" s="15" t="s">
        <v>3014</v>
      </c>
      <c r="G846" s="15" t="s">
        <v>3015</v>
      </c>
      <c r="H846" s="33" t="n">
        <f aca="false">Packages!$O$82</f>
        <v>22.5092179722976</v>
      </c>
      <c r="I846" s="15" t="s">
        <v>118</v>
      </c>
      <c r="J846" s="34" t="n">
        <f aca="false">IF(Packages!$AG$82=0,0,ROUNDUP(Packages!$O$82/R_DW,0)+DW_DRAW)</f>
        <v>8</v>
      </c>
      <c r="K846" s="34" t="n">
        <f aca="false">IF(J846=0,0,ROUNDUP(J846*7/WD,0))</f>
        <v>10</v>
      </c>
      <c r="L846" s="15" t="s">
        <v>4159</v>
      </c>
      <c r="M846" s="34" t="n">
        <f aca="false">ROUNDUP(K845*LADDER,0)</f>
        <v>0</v>
      </c>
      <c r="N846" s="34" t="n">
        <f aca="false">IF(K846=0,0,FFLAG)</f>
        <v>2</v>
      </c>
      <c r="O846" s="15" t="s">
        <v>4161</v>
      </c>
      <c r="P846" s="16" t="n">
        <f aca="false">MAX(P845+M846,Q825-K846)</f>
        <v>46470</v>
      </c>
      <c r="Q846" s="16" t="n">
        <f aca="false">MAX(P846+K846,Q845+N846)</f>
        <v>46480</v>
      </c>
      <c r="R846" s="12"/>
      <c r="S846" s="12"/>
    </row>
    <row r="847" customFormat="false" ht="15" hidden="false" customHeight="false" outlineLevel="0" collapsed="false">
      <c r="A847" s="15" t="s">
        <v>4162</v>
      </c>
      <c r="B847" s="15" t="s">
        <v>4155</v>
      </c>
      <c r="C847" s="15" t="s">
        <v>394</v>
      </c>
      <c r="D847" s="15" t="s">
        <v>719</v>
      </c>
      <c r="E847" s="15" t="s">
        <v>778</v>
      </c>
      <c r="F847" s="15" t="s">
        <v>3017</v>
      </c>
      <c r="G847" s="15" t="s">
        <v>3018</v>
      </c>
      <c r="H847" s="33" t="n">
        <f aca="false">Packages!$X$82+Packages!$Y$82</f>
        <v>268.298675357567</v>
      </c>
      <c r="I847" s="15" t="s">
        <v>3019</v>
      </c>
      <c r="J847" s="34" t="n">
        <f aca="false">MAX(1,ROUNDUP((Packages!$X$82/R_EXS+Packages!$Y$82/R_EXO)/Fronts!$J$8,0))</f>
        <v>1</v>
      </c>
      <c r="K847" s="34" t="n">
        <f aca="false">IF(J847=0,0,ROUNDUP(J847*7/WD,0))</f>
        <v>2</v>
      </c>
      <c r="L847" s="15" t="s">
        <v>4160</v>
      </c>
      <c r="M847" s="34" t="n">
        <f aca="false">IF(K846=0,0,ROUNDUP((K846-ROUNDUP(DW_DRAW*7/WD,0))*LADDER,0)+ROUNDUP(DW_DRAW*7/WD,0))</f>
        <v>10</v>
      </c>
      <c r="N847" s="34" t="n">
        <f aca="false">IF(K847=0,0,FFLAG)</f>
        <v>2</v>
      </c>
      <c r="O847" s="15"/>
      <c r="P847" s="16" t="n">
        <f aca="false">MAX(P846+M847,R825)</f>
        <v>46480</v>
      </c>
      <c r="Q847" s="16" t="n">
        <f aca="false">MAX(P847+K847,Q846+N847)</f>
        <v>46482</v>
      </c>
      <c r="R847" s="16" t="n">
        <f aca="false">IF(K847&gt;0,Q847,R825)</f>
        <v>46482</v>
      </c>
      <c r="S847" s="15" t="s">
        <v>4134</v>
      </c>
    </row>
    <row r="848" customFormat="false" ht="15" hidden="false" customHeight="false" outlineLevel="0" collapsed="false">
      <c r="A848" s="15" t="s">
        <v>4163</v>
      </c>
      <c r="B848" s="15" t="s">
        <v>4155</v>
      </c>
      <c r="C848" s="15" t="s">
        <v>394</v>
      </c>
      <c r="D848" s="15" t="s">
        <v>719</v>
      </c>
      <c r="E848" s="15" t="s">
        <v>778</v>
      </c>
      <c r="F848" s="15" t="s">
        <v>3022</v>
      </c>
      <c r="G848" s="15" t="s">
        <v>3023</v>
      </c>
      <c r="H848" s="33" t="n">
        <f aca="false">Packages!$O$82</f>
        <v>22.5092179722976</v>
      </c>
      <c r="I848" s="15" t="s">
        <v>118</v>
      </c>
      <c r="J848" s="34" t="n">
        <f aca="false">MAX(1,ROUNDUP(Packages!$O$82/(R_SLAB*Fronts!$K$8),0))+SLAB_CURE</f>
        <v>5</v>
      </c>
      <c r="K848" s="34" t="n">
        <f aca="false">IF(J848=0,0,ROUNDUP(J848*7/WD,0))</f>
        <v>6</v>
      </c>
      <c r="L848" s="15" t="s">
        <v>4162</v>
      </c>
      <c r="M848" s="34" t="n">
        <f aca="false">ROUNDUP(K847*LADDER,0)</f>
        <v>1</v>
      </c>
      <c r="N848" s="34" t="n">
        <f aca="false">IF(K848=0,0,FFLAG)</f>
        <v>2</v>
      </c>
      <c r="O848" s="15"/>
      <c r="P848" s="16" t="n">
        <f aca="false">MAX(P847+M848,R826)</f>
        <v>46516</v>
      </c>
      <c r="Q848" s="16" t="n">
        <f aca="false">MAX(P848+K848,Q847+N848)</f>
        <v>46522</v>
      </c>
      <c r="R848" s="16" t="n">
        <f aca="false">IF(K848&gt;0,Q848,R826)</f>
        <v>46522</v>
      </c>
      <c r="S848" s="15" t="s">
        <v>4135</v>
      </c>
    </row>
    <row r="849" customFormat="false" ht="15" hidden="false" customHeight="false" outlineLevel="0" collapsed="false">
      <c r="A849" s="15" t="s">
        <v>4164</v>
      </c>
      <c r="B849" s="15" t="s">
        <v>4155</v>
      </c>
      <c r="C849" s="15" t="s">
        <v>394</v>
      </c>
      <c r="D849" s="15" t="s">
        <v>719</v>
      </c>
      <c r="E849" s="15" t="s">
        <v>778</v>
      </c>
      <c r="F849" s="15" t="s">
        <v>3025</v>
      </c>
      <c r="G849" s="15" t="s">
        <v>3026</v>
      </c>
      <c r="H849" s="33" t="n">
        <f aca="false">Packages!$O$82</f>
        <v>22.5092179722976</v>
      </c>
      <c r="I849" s="15" t="s">
        <v>118</v>
      </c>
      <c r="J849" s="34" t="n">
        <f aca="false">MAX(1,ROUNDUP(Packages!$O$82/(IF(Packages!$N$82&gt;=PIPE_T1,R_PIPE_L,IF(Packages!$N$82&gt;=PIPE_T2,R_PIPE_M,R_PIPE_S))*Fronts!$L$8)+Packages!$M$82*FIT_D+IF(Packages!$G$82&lt;&gt;"Run",TIE_D,0),0))</f>
        <v>2</v>
      </c>
      <c r="K849" s="34" t="n">
        <f aca="false">IF(J849=0,0,ROUNDUP(J849*7/WD,0))</f>
        <v>3</v>
      </c>
      <c r="L849" s="15" t="s">
        <v>4163</v>
      </c>
      <c r="M849" s="34" t="n">
        <f aca="false">ROUNDUP(K848*LADDER,0)</f>
        <v>2</v>
      </c>
      <c r="N849" s="34" t="n">
        <f aca="false">IF(K849=0,0,FFLAG)</f>
        <v>2</v>
      </c>
      <c r="O849" s="15"/>
      <c r="P849" s="16" t="n">
        <f aca="false">MAX(P848+M849,R827)</f>
        <v>46518</v>
      </c>
      <c r="Q849" s="16" t="n">
        <f aca="false">MAX(P849+K849,Q848+N849)</f>
        <v>46524</v>
      </c>
      <c r="R849" s="16" t="n">
        <f aca="false">IF(K849&gt;0,Q849,R827)</f>
        <v>46524</v>
      </c>
      <c r="S849" s="15" t="s">
        <v>4136</v>
      </c>
    </row>
    <row r="850" customFormat="false" ht="15" hidden="false" customHeight="false" outlineLevel="0" collapsed="false">
      <c r="A850" s="15" t="s">
        <v>4165</v>
      </c>
      <c r="B850" s="15" t="s">
        <v>4155</v>
      </c>
      <c r="C850" s="15" t="s">
        <v>394</v>
      </c>
      <c r="D850" s="15" t="s">
        <v>719</v>
      </c>
      <c r="E850" s="15" t="s">
        <v>778</v>
      </c>
      <c r="F850" s="15" t="s">
        <v>3028</v>
      </c>
      <c r="G850" s="15" t="s">
        <v>3029</v>
      </c>
      <c r="H850" s="33" t="n">
        <f aca="false">Packages!$O$82</f>
        <v>22.5092179722976</v>
      </c>
      <c r="I850" s="15" t="s">
        <v>118</v>
      </c>
      <c r="J850" s="34" t="n">
        <f aca="false">TEST_D+ROUNDUP(Packages!$O$82/R_TEST,0)</f>
        <v>3</v>
      </c>
      <c r="K850" s="34" t="n">
        <f aca="false">IF(J850=0,0,ROUNDUP(J850*7/WD,0))</f>
        <v>4</v>
      </c>
      <c r="L850" s="15" t="s">
        <v>4164</v>
      </c>
      <c r="M850" s="34" t="n">
        <f aca="false">ROUNDUP(K849*LADDER,0)</f>
        <v>1</v>
      </c>
      <c r="N850" s="34" t="n">
        <f aca="false">IF(K850=0,0,FFLAG)</f>
        <v>2</v>
      </c>
      <c r="O850" s="15"/>
      <c r="P850" s="16" t="n">
        <f aca="false">MAX(P849+M850)</f>
        <v>46519</v>
      </c>
      <c r="Q850" s="16" t="n">
        <f aca="false">MAX(P850+K850,Q849+N850)</f>
        <v>46526</v>
      </c>
      <c r="R850" s="12"/>
      <c r="S850" s="12"/>
    </row>
    <row r="851" customFormat="false" ht="15" hidden="false" customHeight="false" outlineLevel="0" collapsed="false">
      <c r="A851" s="15" t="s">
        <v>4166</v>
      </c>
      <c r="B851" s="15" t="s">
        <v>4155</v>
      </c>
      <c r="C851" s="15" t="s">
        <v>394</v>
      </c>
      <c r="D851" s="15" t="s">
        <v>719</v>
      </c>
      <c r="E851" s="15" t="s">
        <v>778</v>
      </c>
      <c r="F851" s="15" t="s">
        <v>3031</v>
      </c>
      <c r="G851" s="15" t="s">
        <v>3032</v>
      </c>
      <c r="H851" s="33" t="n">
        <f aca="false">Packages!$AB$82</f>
        <v>218.081296186662</v>
      </c>
      <c r="I851" s="15" t="s">
        <v>3019</v>
      </c>
      <c r="J851" s="34" t="n">
        <f aca="false">MAX(1,ROUNDUP(Packages!$AB$82/(R_BF*Fronts!$M$8),0))</f>
        <v>1</v>
      </c>
      <c r="K851" s="34" t="n">
        <f aca="false">IF(J851=0,0,ROUNDUP(J851*7/WD,0))</f>
        <v>2</v>
      </c>
      <c r="L851" s="15" t="s">
        <v>4165</v>
      </c>
      <c r="M851" s="34" t="n">
        <f aca="false">ROUNDUP(K850*LADDER,0)</f>
        <v>2</v>
      </c>
      <c r="N851" s="34" t="n">
        <f aca="false">IF(K851=0,0,FFLAG)</f>
        <v>2</v>
      </c>
      <c r="O851" s="15"/>
      <c r="P851" s="16" t="n">
        <f aca="false">MAX(P850+M851,R829)</f>
        <v>46522</v>
      </c>
      <c r="Q851" s="16" t="n">
        <f aca="false">MAX(P851+K851,Q850+N851)</f>
        <v>46528</v>
      </c>
      <c r="R851" s="16" t="n">
        <f aca="false">IF(K851&gt;0,Q851,R829)</f>
        <v>46528</v>
      </c>
      <c r="S851" s="15" t="s">
        <v>4138</v>
      </c>
    </row>
    <row r="852" customFormat="false" ht="15" hidden="false" customHeight="false" outlineLevel="0" collapsed="false">
      <c r="A852" s="15" t="s">
        <v>4167</v>
      </c>
      <c r="B852" s="15" t="s">
        <v>4155</v>
      </c>
      <c r="C852" s="15" t="s">
        <v>394</v>
      </c>
      <c r="D852" s="15" t="s">
        <v>719</v>
      </c>
      <c r="E852" s="15" t="s">
        <v>778</v>
      </c>
      <c r="F852" s="15" t="s">
        <v>3034</v>
      </c>
      <c r="G852" s="15" t="s">
        <v>3035</v>
      </c>
      <c r="H852" s="33" t="n">
        <f aca="false">Packages!$AD$82</f>
        <v>0</v>
      </c>
      <c r="I852" s="15" t="s">
        <v>3012</v>
      </c>
      <c r="J852" s="34" t="n">
        <f aca="false">IF(Packages!$AD$82&gt;0,ROUNDUP(Packages!$AD$82/R_EXT,0),0)+IF(Packages!$AG$82&gt;0,1,0)</f>
        <v>1</v>
      </c>
      <c r="K852" s="34" t="n">
        <f aca="false">IF(J852=0,0,ROUNDUP(J852*7/WD,0))</f>
        <v>2</v>
      </c>
      <c r="L852" s="15" t="s">
        <v>4166</v>
      </c>
      <c r="M852" s="34" t="n">
        <f aca="false">ROUNDUP(K851*LADDER,0)</f>
        <v>1</v>
      </c>
      <c r="N852" s="34" t="n">
        <f aca="false">IF(K852=0,0,FFLAG)</f>
        <v>2</v>
      </c>
      <c r="O852" s="15"/>
      <c r="P852" s="16" t="n">
        <f aca="false">MAX(P851+M852)</f>
        <v>46523</v>
      </c>
      <c r="Q852" s="16" t="n">
        <f aca="false">MAX(P852+K852,Q851+N852)</f>
        <v>46530</v>
      </c>
      <c r="R852" s="12"/>
      <c r="S852" s="12"/>
    </row>
    <row r="853" customFormat="false" ht="15" hidden="false" customHeight="false" outlineLevel="0" collapsed="false">
      <c r="A853" s="15" t="s">
        <v>4168</v>
      </c>
      <c r="B853" s="15" t="s">
        <v>4169</v>
      </c>
      <c r="C853" s="15" t="s">
        <v>394</v>
      </c>
      <c r="D853" s="15" t="s">
        <v>719</v>
      </c>
      <c r="E853" s="15" t="s">
        <v>787</v>
      </c>
      <c r="F853" s="15" t="s">
        <v>2998</v>
      </c>
      <c r="G853" s="15" t="s">
        <v>2999</v>
      </c>
      <c r="H853" s="12"/>
      <c r="I853" s="12"/>
      <c r="J853" s="34" t="n">
        <f aca="false">0</f>
        <v>0</v>
      </c>
      <c r="K853" s="34" t="n">
        <f aca="false">IF(J853=0,0,ROUNDUP(J853*7/WD,0))</f>
        <v>0</v>
      </c>
      <c r="L853" s="12"/>
      <c r="M853" s="12"/>
      <c r="N853" s="12"/>
      <c r="O853" s="15" t="s">
        <v>3038</v>
      </c>
      <c r="P853" s="16" t="n">
        <f aca="false">MAX(START,D_DLU,Packages!$I$83,Packages!$K$83)</f>
        <v>46357</v>
      </c>
      <c r="Q853" s="16" t="n">
        <f aca="false">P853+K853</f>
        <v>46357</v>
      </c>
      <c r="R853" s="12"/>
      <c r="S853" s="12"/>
    </row>
    <row r="854" customFormat="false" ht="15" hidden="false" customHeight="false" outlineLevel="0" collapsed="false">
      <c r="A854" s="15" t="s">
        <v>4170</v>
      </c>
      <c r="B854" s="15" t="s">
        <v>4169</v>
      </c>
      <c r="C854" s="15" t="s">
        <v>394</v>
      </c>
      <c r="D854" s="15" t="s">
        <v>719</v>
      </c>
      <c r="E854" s="15" t="s">
        <v>787</v>
      </c>
      <c r="F854" s="15" t="s">
        <v>3002</v>
      </c>
      <c r="G854" s="15" t="s">
        <v>205</v>
      </c>
      <c r="H854" s="33" t="n">
        <f aca="false">Packages!$O$83</f>
        <v>2.93239897097514</v>
      </c>
      <c r="I854" s="15" t="s">
        <v>118</v>
      </c>
      <c r="J854" s="34" t="n">
        <f aca="false">MAX(1,ROUNDUP(Packages!$O$83/R_PLAT,0))</f>
        <v>1</v>
      </c>
      <c r="K854" s="34" t="n">
        <f aca="false">IF(J854=0,0,ROUNDUP(J854*7/WD,0))</f>
        <v>2</v>
      </c>
      <c r="L854" s="15" t="s">
        <v>4168</v>
      </c>
      <c r="M854" s="12"/>
      <c r="N854" s="12"/>
      <c r="O854" s="15" t="s">
        <v>4171</v>
      </c>
      <c r="P854" s="16" t="n">
        <f aca="false">MAX(Q853,P756)</f>
        <v>46403</v>
      </c>
      <c r="Q854" s="16" t="n">
        <f aca="false">P854+K854</f>
        <v>46405</v>
      </c>
      <c r="R854" s="12"/>
      <c r="S854" s="12"/>
    </row>
    <row r="855" customFormat="false" ht="15" hidden="false" customHeight="false" outlineLevel="0" collapsed="false">
      <c r="A855" s="15" t="s">
        <v>4172</v>
      </c>
      <c r="B855" s="15" t="s">
        <v>4169</v>
      </c>
      <c r="C855" s="15" t="s">
        <v>394</v>
      </c>
      <c r="D855" s="15" t="s">
        <v>719</v>
      </c>
      <c r="E855" s="15" t="s">
        <v>787</v>
      </c>
      <c r="F855" s="15" t="s">
        <v>3005</v>
      </c>
      <c r="G855" s="15" t="s">
        <v>3006</v>
      </c>
      <c r="H855" s="33" t="n">
        <f aca="false">Packages!$AC$83</f>
        <v>4</v>
      </c>
      <c r="I855" s="15" t="s">
        <v>3007</v>
      </c>
      <c r="J855" s="34" t="n">
        <f aca="false">IF(Packages!$AC$83=0,0,MAX(1,ROUNDUP(Packages!$AC$83/(R_PILE*Fronts!$H$8),0)))</f>
        <v>1</v>
      </c>
      <c r="K855" s="34" t="n">
        <f aca="false">IF(J855=0,0,ROUNDUP(J855*7/WD,0))</f>
        <v>2</v>
      </c>
      <c r="L855" s="15" t="s">
        <v>4170</v>
      </c>
      <c r="M855" s="34" t="n">
        <f aca="false">ROUNDUP(K854*LADDER,0)</f>
        <v>1</v>
      </c>
      <c r="N855" s="34" t="n">
        <f aca="false">IF(K855=0,0,FFLAG)</f>
        <v>2</v>
      </c>
      <c r="O855" s="15" t="s">
        <v>3008</v>
      </c>
      <c r="P855" s="16" t="n">
        <f aca="false">MAX(P854+M855,D_PILEDES)</f>
        <v>46404</v>
      </c>
      <c r="Q855" s="16" t="n">
        <f aca="false">MAX(P855+K855,Q854+N855)</f>
        <v>46407</v>
      </c>
      <c r="R855" s="16" t="n">
        <f aca="false">IF(K855&gt;0,Q855,0)</f>
        <v>46407</v>
      </c>
      <c r="S855" s="12"/>
    </row>
    <row r="856" customFormat="false" ht="15" hidden="false" customHeight="false" outlineLevel="0" collapsed="false">
      <c r="A856" s="15" t="s">
        <v>4173</v>
      </c>
      <c r="B856" s="15" t="s">
        <v>4169</v>
      </c>
      <c r="C856" s="15" t="s">
        <v>394</v>
      </c>
      <c r="D856" s="15" t="s">
        <v>719</v>
      </c>
      <c r="E856" s="15" t="s">
        <v>787</v>
      </c>
      <c r="F856" s="15" t="s">
        <v>3010</v>
      </c>
      <c r="G856" s="15" t="s">
        <v>3011</v>
      </c>
      <c r="H856" s="33" t="n">
        <f aca="false">Packages!$AD$83</f>
        <v>0</v>
      </c>
      <c r="I856" s="15" t="s">
        <v>3012</v>
      </c>
      <c r="J856" s="34" t="n">
        <f aca="false">IF(Packages!$AD$83=0,0,MAX(1,ROUNDUP(Packages!$AD$83/(R_SHEET*Fronts!$I$8),0)))</f>
        <v>0</v>
      </c>
      <c r="K856" s="34" t="n">
        <f aca="false">IF(J856=0,0,ROUNDUP(J856*7/WD,0))</f>
        <v>0</v>
      </c>
      <c r="L856" s="15" t="s">
        <v>4172</v>
      </c>
      <c r="M856" s="34" t="n">
        <f aca="false">ROUNDUP(K855*LADDER,0)</f>
        <v>1</v>
      </c>
      <c r="N856" s="34" t="n">
        <f aca="false">IF(K856=0,0,FFLAG)</f>
        <v>0</v>
      </c>
      <c r="O856" s="15"/>
      <c r="P856" s="16" t="n">
        <f aca="false">MAX(P855+M856)</f>
        <v>46405</v>
      </c>
      <c r="Q856" s="16" t="n">
        <f aca="false">MAX(P856+K856,Q855+N856)</f>
        <v>46407</v>
      </c>
      <c r="R856" s="16" t="n">
        <f aca="false">IF(K856&gt;0,Q856,0)</f>
        <v>0</v>
      </c>
      <c r="S856" s="12"/>
    </row>
    <row r="857" customFormat="false" ht="15" hidden="false" customHeight="false" outlineLevel="0" collapsed="false">
      <c r="A857" s="15" t="s">
        <v>4174</v>
      </c>
      <c r="B857" s="15" t="s">
        <v>4169</v>
      </c>
      <c r="C857" s="15" t="s">
        <v>394</v>
      </c>
      <c r="D857" s="15" t="s">
        <v>719</v>
      </c>
      <c r="E857" s="15" t="s">
        <v>787</v>
      </c>
      <c r="F857" s="15" t="s">
        <v>3014</v>
      </c>
      <c r="G857" s="15" t="s">
        <v>3015</v>
      </c>
      <c r="H857" s="33" t="n">
        <f aca="false">Packages!$O$83</f>
        <v>2.93239897097514</v>
      </c>
      <c r="I857" s="15" t="s">
        <v>118</v>
      </c>
      <c r="J857" s="34" t="n">
        <f aca="false">IF(Packages!$AG$83=0,0,ROUNDUP(Packages!$O$83/R_DW,0)+DW_DRAW)</f>
        <v>8</v>
      </c>
      <c r="K857" s="34" t="n">
        <f aca="false">IF(J857=0,0,ROUNDUP(J857*7/WD,0))</f>
        <v>10</v>
      </c>
      <c r="L857" s="15" t="s">
        <v>4173</v>
      </c>
      <c r="M857" s="34" t="n">
        <f aca="false">ROUNDUP(K856*LADDER,0)</f>
        <v>0</v>
      </c>
      <c r="N857" s="34" t="n">
        <f aca="false">IF(K857=0,0,FFLAG)</f>
        <v>2</v>
      </c>
      <c r="O857" s="15"/>
      <c r="P857" s="16" t="n">
        <f aca="false">MAX(P856+M857)</f>
        <v>46405</v>
      </c>
      <c r="Q857" s="16" t="n">
        <f aca="false">MAX(P857+K857,Q856+N857)</f>
        <v>46415</v>
      </c>
      <c r="R857" s="12"/>
      <c r="S857" s="12"/>
    </row>
    <row r="858" customFormat="false" ht="15" hidden="false" customHeight="false" outlineLevel="0" collapsed="false">
      <c r="A858" s="15" t="s">
        <v>4175</v>
      </c>
      <c r="B858" s="15" t="s">
        <v>4169</v>
      </c>
      <c r="C858" s="15" t="s">
        <v>394</v>
      </c>
      <c r="D858" s="15" t="s">
        <v>719</v>
      </c>
      <c r="E858" s="15" t="s">
        <v>787</v>
      </c>
      <c r="F858" s="15" t="s">
        <v>3017</v>
      </c>
      <c r="G858" s="15" t="s">
        <v>3018</v>
      </c>
      <c r="H858" s="33" t="n">
        <f aca="false">Packages!$X$83+Packages!$Y$83</f>
        <v>50.5482072662524</v>
      </c>
      <c r="I858" s="15" t="s">
        <v>3019</v>
      </c>
      <c r="J858" s="34" t="n">
        <f aca="false">MAX(1,ROUNDUP((Packages!$X$83/R_EXS+Packages!$Y$83/R_EXO)/Fronts!$J$8,0))</f>
        <v>1</v>
      </c>
      <c r="K858" s="34" t="n">
        <f aca="false">IF(J858=0,0,ROUNDUP(J858*7/WD,0))</f>
        <v>2</v>
      </c>
      <c r="L858" s="15" t="s">
        <v>4174</v>
      </c>
      <c r="M858" s="34" t="n">
        <f aca="false">IF(K857=0,0,ROUNDUP((K857-ROUNDUP(DW_DRAW*7/WD,0))*LADDER,0)+ROUNDUP(DW_DRAW*7/WD,0))</f>
        <v>10</v>
      </c>
      <c r="N858" s="34" t="n">
        <f aca="false">IF(K858=0,0,FFLAG)</f>
        <v>2</v>
      </c>
      <c r="O858" s="15"/>
      <c r="P858" s="16" t="n">
        <f aca="false">MAX(P857+M858)</f>
        <v>46415</v>
      </c>
      <c r="Q858" s="16" t="n">
        <f aca="false">MAX(P858+K858,Q857+N858)</f>
        <v>46417</v>
      </c>
      <c r="R858" s="16" t="n">
        <f aca="false">IF(K858&gt;0,Q858,0)</f>
        <v>46417</v>
      </c>
      <c r="S858" s="12"/>
    </row>
    <row r="859" customFormat="false" ht="15" hidden="false" customHeight="false" outlineLevel="0" collapsed="false">
      <c r="A859" s="15" t="s">
        <v>4176</v>
      </c>
      <c r="B859" s="15" t="s">
        <v>4169</v>
      </c>
      <c r="C859" s="15" t="s">
        <v>394</v>
      </c>
      <c r="D859" s="15" t="s">
        <v>719</v>
      </c>
      <c r="E859" s="15" t="s">
        <v>787</v>
      </c>
      <c r="F859" s="15" t="s">
        <v>3022</v>
      </c>
      <c r="G859" s="15" t="s">
        <v>3023</v>
      </c>
      <c r="H859" s="33" t="n">
        <f aca="false">Packages!$O$83</f>
        <v>2.93239897097514</v>
      </c>
      <c r="I859" s="15" t="s">
        <v>118</v>
      </c>
      <c r="J859" s="34" t="n">
        <f aca="false">MAX(1,ROUNDUP(Packages!$O$83/(R_SLAB*Fronts!$K$8),0))+SLAB_CURE</f>
        <v>4</v>
      </c>
      <c r="K859" s="34" t="n">
        <f aca="false">IF(J859=0,0,ROUNDUP(J859*7/WD,0))</f>
        <v>5</v>
      </c>
      <c r="L859" s="15" t="s">
        <v>4175</v>
      </c>
      <c r="M859" s="34" t="n">
        <f aca="false">ROUNDUP(K858*LADDER,0)</f>
        <v>1</v>
      </c>
      <c r="N859" s="34" t="n">
        <f aca="false">IF(K859=0,0,FFLAG)</f>
        <v>2</v>
      </c>
      <c r="O859" s="15"/>
      <c r="P859" s="16" t="n">
        <f aca="false">MAX(P858+M859)</f>
        <v>46416</v>
      </c>
      <c r="Q859" s="16" t="n">
        <f aca="false">MAX(P859+K859,Q858+N859)</f>
        <v>46421</v>
      </c>
      <c r="R859" s="16" t="n">
        <f aca="false">IF(K859&gt;0,Q859,0)</f>
        <v>46421</v>
      </c>
      <c r="S859" s="12"/>
    </row>
    <row r="860" customFormat="false" ht="15" hidden="false" customHeight="false" outlineLevel="0" collapsed="false">
      <c r="A860" s="15" t="s">
        <v>4177</v>
      </c>
      <c r="B860" s="15" t="s">
        <v>4169</v>
      </c>
      <c r="C860" s="15" t="s">
        <v>394</v>
      </c>
      <c r="D860" s="15" t="s">
        <v>719</v>
      </c>
      <c r="E860" s="15" t="s">
        <v>787</v>
      </c>
      <c r="F860" s="15" t="s">
        <v>3025</v>
      </c>
      <c r="G860" s="15" t="s">
        <v>3026</v>
      </c>
      <c r="H860" s="33" t="n">
        <f aca="false">Packages!$O$83</f>
        <v>2.93239897097514</v>
      </c>
      <c r="I860" s="15" t="s">
        <v>118</v>
      </c>
      <c r="J860" s="34" t="n">
        <f aca="false">MAX(1,ROUNDUP(Packages!$O$83/(IF(Packages!$N$83&gt;=PIPE_T1,R_PIPE_L,IF(Packages!$N$83&gt;=PIPE_T2,R_PIPE_M,R_PIPE_S))*Fronts!$L$8)+Packages!$M$83*FIT_D+IF(Packages!$G$83&lt;&gt;"Run",TIE_D,0),0))</f>
        <v>5</v>
      </c>
      <c r="K860" s="34" t="n">
        <f aca="false">IF(J860=0,0,ROUNDUP(J860*7/WD,0))</f>
        <v>6</v>
      </c>
      <c r="L860" s="15" t="s">
        <v>4176</v>
      </c>
      <c r="M860" s="34" t="n">
        <f aca="false">ROUNDUP(K859*LADDER,0)</f>
        <v>2</v>
      </c>
      <c r="N860" s="34" t="n">
        <f aca="false">IF(K860=0,0,FFLAG)</f>
        <v>2</v>
      </c>
      <c r="O860" s="15" t="s">
        <v>4178</v>
      </c>
      <c r="P860" s="16" t="n">
        <f aca="false">MAX(P859+M860,Q761)</f>
        <v>46489</v>
      </c>
      <c r="Q860" s="16" t="n">
        <f aca="false">MAX(P860+K860,Q859+N860)</f>
        <v>46495</v>
      </c>
      <c r="R860" s="16" t="n">
        <f aca="false">IF(K860&gt;0,Q860,0)</f>
        <v>46495</v>
      </c>
      <c r="S860" s="12"/>
    </row>
    <row r="861" customFormat="false" ht="15" hidden="false" customHeight="false" outlineLevel="0" collapsed="false">
      <c r="A861" s="15" t="s">
        <v>4179</v>
      </c>
      <c r="B861" s="15" t="s">
        <v>4169</v>
      </c>
      <c r="C861" s="15" t="s">
        <v>394</v>
      </c>
      <c r="D861" s="15" t="s">
        <v>719</v>
      </c>
      <c r="E861" s="15" t="s">
        <v>787</v>
      </c>
      <c r="F861" s="15" t="s">
        <v>3028</v>
      </c>
      <c r="G861" s="15" t="s">
        <v>3029</v>
      </c>
      <c r="H861" s="33" t="n">
        <f aca="false">Packages!$O$83</f>
        <v>2.93239897097514</v>
      </c>
      <c r="I861" s="15" t="s">
        <v>118</v>
      </c>
      <c r="J861" s="34" t="n">
        <f aca="false">TEST_D+ROUNDUP(Packages!$O$83/R_TEST,0)</f>
        <v>3</v>
      </c>
      <c r="K861" s="34" t="n">
        <f aca="false">IF(J861=0,0,ROUNDUP(J861*7/WD,0))</f>
        <v>4</v>
      </c>
      <c r="L861" s="15" t="s">
        <v>4177</v>
      </c>
      <c r="M861" s="34" t="n">
        <f aca="false">ROUNDUP(K860*LADDER,0)</f>
        <v>2</v>
      </c>
      <c r="N861" s="34" t="n">
        <f aca="false">IF(K861=0,0,FFLAG)</f>
        <v>2</v>
      </c>
      <c r="O861" s="15"/>
      <c r="P861" s="16" t="n">
        <f aca="false">MAX(P860+M861)</f>
        <v>46491</v>
      </c>
      <c r="Q861" s="16" t="n">
        <f aca="false">MAX(P861+K861,Q860+N861)</f>
        <v>46497</v>
      </c>
      <c r="R861" s="12"/>
      <c r="S861" s="12"/>
    </row>
    <row r="862" customFormat="false" ht="15" hidden="false" customHeight="false" outlineLevel="0" collapsed="false">
      <c r="A862" s="15" t="s">
        <v>4180</v>
      </c>
      <c r="B862" s="15" t="s">
        <v>4169</v>
      </c>
      <c r="C862" s="15" t="s">
        <v>394</v>
      </c>
      <c r="D862" s="15" t="s">
        <v>719</v>
      </c>
      <c r="E862" s="15" t="s">
        <v>787</v>
      </c>
      <c r="F862" s="15" t="s">
        <v>3031</v>
      </c>
      <c r="G862" s="15" t="s">
        <v>3032</v>
      </c>
      <c r="H862" s="33" t="n">
        <f aca="false">Packages!$AB$83</f>
        <v>44.0061499488981</v>
      </c>
      <c r="I862" s="15" t="s">
        <v>3019</v>
      </c>
      <c r="J862" s="34" t="n">
        <f aca="false">MAX(1,ROUNDUP(Packages!$AB$83/(R_BF*Fronts!$M$8),0))</f>
        <v>1</v>
      </c>
      <c r="K862" s="34" t="n">
        <f aca="false">IF(J862=0,0,ROUNDUP(J862*7/WD,0))</f>
        <v>2</v>
      </c>
      <c r="L862" s="15" t="s">
        <v>4179</v>
      </c>
      <c r="M862" s="34" t="n">
        <f aca="false">ROUNDUP(K861*LADDER,0)</f>
        <v>2</v>
      </c>
      <c r="N862" s="34" t="n">
        <f aca="false">IF(K862=0,0,FFLAG)</f>
        <v>2</v>
      </c>
      <c r="O862" s="15"/>
      <c r="P862" s="16" t="n">
        <f aca="false">MAX(P861+M862)</f>
        <v>46493</v>
      </c>
      <c r="Q862" s="16" t="n">
        <f aca="false">MAX(P862+K862,Q861+N862)</f>
        <v>46499</v>
      </c>
      <c r="R862" s="16" t="n">
        <f aca="false">IF(K862&gt;0,Q862,0)</f>
        <v>46499</v>
      </c>
      <c r="S862" s="12"/>
    </row>
    <row r="863" customFormat="false" ht="15" hidden="false" customHeight="false" outlineLevel="0" collapsed="false">
      <c r="A863" s="15" t="s">
        <v>4181</v>
      </c>
      <c r="B863" s="15" t="s">
        <v>4169</v>
      </c>
      <c r="C863" s="15" t="s">
        <v>394</v>
      </c>
      <c r="D863" s="15" t="s">
        <v>719</v>
      </c>
      <c r="E863" s="15" t="s">
        <v>787</v>
      </c>
      <c r="F863" s="15" t="s">
        <v>3034</v>
      </c>
      <c r="G863" s="15" t="s">
        <v>3035</v>
      </c>
      <c r="H863" s="33" t="n">
        <f aca="false">Packages!$AD$83</f>
        <v>0</v>
      </c>
      <c r="I863" s="15" t="s">
        <v>3012</v>
      </c>
      <c r="J863" s="34" t="n">
        <f aca="false">IF(Packages!$AD$83&gt;0,ROUNDUP(Packages!$AD$83/R_EXT,0),0)+IF(Packages!$AG$83&gt;0,1,0)</f>
        <v>1</v>
      </c>
      <c r="K863" s="34" t="n">
        <f aca="false">IF(J863=0,0,ROUNDUP(J863*7/WD,0))</f>
        <v>2</v>
      </c>
      <c r="L863" s="15" t="s">
        <v>4180</v>
      </c>
      <c r="M863" s="34" t="n">
        <f aca="false">ROUNDUP(K862*LADDER,0)</f>
        <v>1</v>
      </c>
      <c r="N863" s="34" t="n">
        <f aca="false">IF(K863=0,0,FFLAG)</f>
        <v>2</v>
      </c>
      <c r="O863" s="15"/>
      <c r="P863" s="16" t="n">
        <f aca="false">MAX(P862+M863)</f>
        <v>46494</v>
      </c>
      <c r="Q863" s="16" t="n">
        <f aca="false">MAX(P863+K863,Q862+N863)</f>
        <v>46501</v>
      </c>
      <c r="R863" s="12"/>
      <c r="S863" s="12"/>
    </row>
    <row r="864" customFormat="false" ht="15" hidden="false" customHeight="false" outlineLevel="0" collapsed="false">
      <c r="A864" s="15" t="s">
        <v>4182</v>
      </c>
      <c r="B864" s="15" t="s">
        <v>4183</v>
      </c>
      <c r="C864" s="15" t="s">
        <v>394</v>
      </c>
      <c r="D864" s="15" t="s">
        <v>719</v>
      </c>
      <c r="E864" s="15" t="s">
        <v>796</v>
      </c>
      <c r="F864" s="15" t="s">
        <v>2998</v>
      </c>
      <c r="G864" s="15" t="s">
        <v>2999</v>
      </c>
      <c r="H864" s="12"/>
      <c r="I864" s="12"/>
      <c r="J864" s="34" t="n">
        <f aca="false">0</f>
        <v>0</v>
      </c>
      <c r="K864" s="34" t="n">
        <f aca="false">IF(J864=0,0,ROUNDUP(J864*7/WD,0))</f>
        <v>0</v>
      </c>
      <c r="L864" s="12"/>
      <c r="M864" s="12"/>
      <c r="N864" s="12"/>
      <c r="O864" s="15" t="s">
        <v>3038</v>
      </c>
      <c r="P864" s="16" t="n">
        <f aca="false">MAX(START,D_DLU,Packages!$I$84,Packages!$K$84)</f>
        <v>46357</v>
      </c>
      <c r="Q864" s="16" t="n">
        <f aca="false">P864+K864</f>
        <v>46357</v>
      </c>
      <c r="R864" s="12"/>
      <c r="S864" s="12"/>
    </row>
    <row r="865" customFormat="false" ht="15" hidden="false" customHeight="false" outlineLevel="0" collapsed="false">
      <c r="A865" s="15" t="s">
        <v>4184</v>
      </c>
      <c r="B865" s="15" t="s">
        <v>4183</v>
      </c>
      <c r="C865" s="15" t="s">
        <v>394</v>
      </c>
      <c r="D865" s="15" t="s">
        <v>719</v>
      </c>
      <c r="E865" s="15" t="s">
        <v>796</v>
      </c>
      <c r="F865" s="15" t="s">
        <v>3002</v>
      </c>
      <c r="G865" s="15" t="s">
        <v>205</v>
      </c>
      <c r="H865" s="33" t="n">
        <f aca="false">Packages!$O$84</f>
        <v>9.29992753777969</v>
      </c>
      <c r="I865" s="15" t="s">
        <v>118</v>
      </c>
      <c r="J865" s="34" t="n">
        <f aca="false">MAX(1,ROUNDUP(Packages!$O$84/R_PLAT,0))</f>
        <v>1</v>
      </c>
      <c r="K865" s="34" t="n">
        <f aca="false">IF(J865=0,0,ROUNDUP(J865*7/WD,0))</f>
        <v>2</v>
      </c>
      <c r="L865" s="15" t="s">
        <v>4182</v>
      </c>
      <c r="M865" s="12"/>
      <c r="N865" s="12"/>
      <c r="O865" s="15" t="s">
        <v>4185</v>
      </c>
      <c r="P865" s="16" t="n">
        <f aca="false">MAX(Q864,P1603)</f>
        <v>46409</v>
      </c>
      <c r="Q865" s="16" t="n">
        <f aca="false">P865+K865</f>
        <v>46411</v>
      </c>
      <c r="R865" s="12"/>
      <c r="S865" s="12"/>
    </row>
    <row r="866" customFormat="false" ht="15" hidden="false" customHeight="false" outlineLevel="0" collapsed="false">
      <c r="A866" s="15" t="s">
        <v>4186</v>
      </c>
      <c r="B866" s="15" t="s">
        <v>4183</v>
      </c>
      <c r="C866" s="15" t="s">
        <v>394</v>
      </c>
      <c r="D866" s="15" t="s">
        <v>719</v>
      </c>
      <c r="E866" s="15" t="s">
        <v>796</v>
      </c>
      <c r="F866" s="15" t="s">
        <v>3005</v>
      </c>
      <c r="G866" s="15" t="s">
        <v>3006</v>
      </c>
      <c r="H866" s="33" t="n">
        <f aca="false">Packages!$AC$84</f>
        <v>10</v>
      </c>
      <c r="I866" s="15" t="s">
        <v>3007</v>
      </c>
      <c r="J866" s="34" t="n">
        <f aca="false">IF(Packages!$AC$84=0,0,MAX(1,ROUNDUP(Packages!$AC$84/(R_PILE*Fronts!$H$8),0)))</f>
        <v>2</v>
      </c>
      <c r="K866" s="34" t="n">
        <f aca="false">IF(J866=0,0,ROUNDUP(J866*7/WD,0))</f>
        <v>3</v>
      </c>
      <c r="L866" s="15" t="s">
        <v>4184</v>
      </c>
      <c r="M866" s="34" t="n">
        <f aca="false">ROUNDUP(K865*LADDER,0)</f>
        <v>1</v>
      </c>
      <c r="N866" s="34" t="n">
        <f aca="false">IF(K866=0,0,FFLAG)</f>
        <v>2</v>
      </c>
      <c r="O866" s="15" t="s">
        <v>3008</v>
      </c>
      <c r="P866" s="16" t="n">
        <f aca="false">MAX(P865+M866,D_PILEDES)</f>
        <v>46410</v>
      </c>
      <c r="Q866" s="16" t="n">
        <f aca="false">MAX(P866+K866,Q865+N866)</f>
        <v>46413</v>
      </c>
      <c r="R866" s="16" t="n">
        <f aca="false">IF(K866&gt;0,Q866,0)</f>
        <v>46413</v>
      </c>
      <c r="S866" s="12"/>
    </row>
    <row r="867" customFormat="false" ht="15" hidden="false" customHeight="false" outlineLevel="0" collapsed="false">
      <c r="A867" s="15" t="s">
        <v>4187</v>
      </c>
      <c r="B867" s="15" t="s">
        <v>4183</v>
      </c>
      <c r="C867" s="15" t="s">
        <v>394</v>
      </c>
      <c r="D867" s="15" t="s">
        <v>719</v>
      </c>
      <c r="E867" s="15" t="s">
        <v>796</v>
      </c>
      <c r="F867" s="15" t="s">
        <v>3010</v>
      </c>
      <c r="G867" s="15" t="s">
        <v>3011</v>
      </c>
      <c r="H867" s="33" t="n">
        <f aca="false">Packages!$AD$84</f>
        <v>0</v>
      </c>
      <c r="I867" s="15" t="s">
        <v>3012</v>
      </c>
      <c r="J867" s="34" t="n">
        <f aca="false">IF(Packages!$AD$84=0,0,MAX(1,ROUNDUP(Packages!$AD$84/(R_SHEET*Fronts!$I$8),0)))</f>
        <v>0</v>
      </c>
      <c r="K867" s="34" t="n">
        <f aca="false">IF(J867=0,0,ROUNDUP(J867*7/WD,0))</f>
        <v>0</v>
      </c>
      <c r="L867" s="15" t="s">
        <v>4186</v>
      </c>
      <c r="M867" s="34" t="n">
        <f aca="false">ROUNDUP(K866*LADDER,0)</f>
        <v>1</v>
      </c>
      <c r="N867" s="34" t="n">
        <f aca="false">IF(K867=0,0,FFLAG)</f>
        <v>0</v>
      </c>
      <c r="O867" s="15"/>
      <c r="P867" s="16" t="n">
        <f aca="false">MAX(P866+M867)</f>
        <v>46411</v>
      </c>
      <c r="Q867" s="16" t="n">
        <f aca="false">MAX(P867+K867,Q866+N867)</f>
        <v>46413</v>
      </c>
      <c r="R867" s="16" t="n">
        <f aca="false">IF(K867&gt;0,Q867,0)</f>
        <v>0</v>
      </c>
      <c r="S867" s="12"/>
    </row>
    <row r="868" customFormat="false" ht="15" hidden="false" customHeight="false" outlineLevel="0" collapsed="false">
      <c r="A868" s="15" t="s">
        <v>4188</v>
      </c>
      <c r="B868" s="15" t="s">
        <v>4183</v>
      </c>
      <c r="C868" s="15" t="s">
        <v>394</v>
      </c>
      <c r="D868" s="15" t="s">
        <v>719</v>
      </c>
      <c r="E868" s="15" t="s">
        <v>796</v>
      </c>
      <c r="F868" s="15" t="s">
        <v>3014</v>
      </c>
      <c r="G868" s="15" t="s">
        <v>3015</v>
      </c>
      <c r="H868" s="33" t="n">
        <f aca="false">Packages!$O$84</f>
        <v>9.29992753777969</v>
      </c>
      <c r="I868" s="15" t="s">
        <v>118</v>
      </c>
      <c r="J868" s="34" t="n">
        <f aca="false">IF(Packages!$AG$84=0,0,ROUNDUP(Packages!$O$84/R_DW,0)+DW_DRAW)</f>
        <v>8</v>
      </c>
      <c r="K868" s="34" t="n">
        <f aca="false">IF(J868=0,0,ROUNDUP(J868*7/WD,0))</f>
        <v>10</v>
      </c>
      <c r="L868" s="15" t="s">
        <v>4187</v>
      </c>
      <c r="M868" s="34" t="n">
        <f aca="false">ROUNDUP(K867*LADDER,0)</f>
        <v>0</v>
      </c>
      <c r="N868" s="34" t="n">
        <f aca="false">IF(K868=0,0,FFLAG)</f>
        <v>2</v>
      </c>
      <c r="O868" s="15"/>
      <c r="P868" s="16" t="n">
        <f aca="false">MAX(P867+M868)</f>
        <v>46411</v>
      </c>
      <c r="Q868" s="16" t="n">
        <f aca="false">MAX(P868+K868,Q867+N868)</f>
        <v>46421</v>
      </c>
      <c r="R868" s="12"/>
      <c r="S868" s="12"/>
    </row>
    <row r="869" customFormat="false" ht="15" hidden="false" customHeight="false" outlineLevel="0" collapsed="false">
      <c r="A869" s="15" t="s">
        <v>4189</v>
      </c>
      <c r="B869" s="15" t="s">
        <v>4183</v>
      </c>
      <c r="C869" s="15" t="s">
        <v>394</v>
      </c>
      <c r="D869" s="15" t="s">
        <v>719</v>
      </c>
      <c r="E869" s="15" t="s">
        <v>796</v>
      </c>
      <c r="F869" s="15" t="s">
        <v>3017</v>
      </c>
      <c r="G869" s="15" t="s">
        <v>3018</v>
      </c>
      <c r="H869" s="33" t="n">
        <f aca="false">Packages!$X$84+Packages!$Y$84</f>
        <v>131.478227252725</v>
      </c>
      <c r="I869" s="15" t="s">
        <v>3019</v>
      </c>
      <c r="J869" s="34" t="n">
        <f aca="false">MAX(1,ROUNDUP((Packages!$X$84/R_EXS+Packages!$Y$84/R_EXO)/Fronts!$J$8,0))</f>
        <v>1</v>
      </c>
      <c r="K869" s="34" t="n">
        <f aca="false">IF(J869=0,0,ROUNDUP(J869*7/WD,0))</f>
        <v>2</v>
      </c>
      <c r="L869" s="15" t="s">
        <v>4188</v>
      </c>
      <c r="M869" s="34" t="n">
        <f aca="false">IF(K868=0,0,ROUNDUP((K868-ROUNDUP(DW_DRAW*7/WD,0))*LADDER,0)+ROUNDUP(DW_DRAW*7/WD,0))</f>
        <v>10</v>
      </c>
      <c r="N869" s="34" t="n">
        <f aca="false">IF(K869=0,0,FFLAG)</f>
        <v>2</v>
      </c>
      <c r="O869" s="15" t="s">
        <v>4190</v>
      </c>
      <c r="P869" s="16" t="n">
        <f aca="false">MAX(P868+M869,Q1522,Q1599,Q1588)</f>
        <v>46477</v>
      </c>
      <c r="Q869" s="16" t="n">
        <f aca="false">MAX(P869+K869,Q868+N869)</f>
        <v>46479</v>
      </c>
      <c r="R869" s="16" t="n">
        <f aca="false">IF(K869&gt;0,Q869,0)</f>
        <v>46479</v>
      </c>
      <c r="S869" s="12"/>
    </row>
    <row r="870" customFormat="false" ht="15" hidden="false" customHeight="false" outlineLevel="0" collapsed="false">
      <c r="A870" s="15" t="s">
        <v>4191</v>
      </c>
      <c r="B870" s="15" t="s">
        <v>4183</v>
      </c>
      <c r="C870" s="15" t="s">
        <v>394</v>
      </c>
      <c r="D870" s="15" t="s">
        <v>719</v>
      </c>
      <c r="E870" s="15" t="s">
        <v>796</v>
      </c>
      <c r="F870" s="15" t="s">
        <v>3022</v>
      </c>
      <c r="G870" s="15" t="s">
        <v>3023</v>
      </c>
      <c r="H870" s="33" t="n">
        <f aca="false">Packages!$O$84</f>
        <v>9.29992753777969</v>
      </c>
      <c r="I870" s="15" t="s">
        <v>118</v>
      </c>
      <c r="J870" s="34" t="n">
        <f aca="false">MAX(1,ROUNDUP(Packages!$O$84/(R_SLAB*Fronts!$K$8),0))+SLAB_CURE</f>
        <v>4</v>
      </c>
      <c r="K870" s="34" t="n">
        <f aca="false">IF(J870=0,0,ROUNDUP(J870*7/WD,0))</f>
        <v>5</v>
      </c>
      <c r="L870" s="15" t="s">
        <v>4189</v>
      </c>
      <c r="M870" s="34" t="n">
        <f aca="false">ROUNDUP(K869*LADDER,0)</f>
        <v>1</v>
      </c>
      <c r="N870" s="34" t="n">
        <f aca="false">IF(K870=0,0,FFLAG)</f>
        <v>2</v>
      </c>
      <c r="O870" s="15"/>
      <c r="P870" s="16" t="n">
        <f aca="false">MAX(P869+M870)</f>
        <v>46478</v>
      </c>
      <c r="Q870" s="16" t="n">
        <f aca="false">MAX(P870+K870,Q869+N870)</f>
        <v>46483</v>
      </c>
      <c r="R870" s="16" t="n">
        <f aca="false">IF(K870&gt;0,Q870,0)</f>
        <v>46483</v>
      </c>
      <c r="S870" s="12"/>
    </row>
    <row r="871" customFormat="false" ht="15" hidden="false" customHeight="false" outlineLevel="0" collapsed="false">
      <c r="A871" s="15" t="s">
        <v>4192</v>
      </c>
      <c r="B871" s="15" t="s">
        <v>4183</v>
      </c>
      <c r="C871" s="15" t="s">
        <v>394</v>
      </c>
      <c r="D871" s="15" t="s">
        <v>719</v>
      </c>
      <c r="E871" s="15" t="s">
        <v>796</v>
      </c>
      <c r="F871" s="15" t="s">
        <v>3025</v>
      </c>
      <c r="G871" s="15" t="s">
        <v>3026</v>
      </c>
      <c r="H871" s="33" t="n">
        <f aca="false">Packages!$O$84</f>
        <v>9.29992753777969</v>
      </c>
      <c r="I871" s="15" t="s">
        <v>118</v>
      </c>
      <c r="J871" s="34" t="n">
        <f aca="false">MAX(1,ROUNDUP(Packages!$O$84/(IF(Packages!$N$84&gt;=PIPE_T1,R_PIPE_L,IF(Packages!$N$84&gt;=PIPE_T2,R_PIPE_M,R_PIPE_S))*Fronts!$L$8)+Packages!$M$84*FIT_D+IF(Packages!$G$84&lt;&gt;"Run",TIE_D,0),0))</f>
        <v>4</v>
      </c>
      <c r="K871" s="34" t="n">
        <f aca="false">IF(J871=0,0,ROUNDUP(J871*7/WD,0))</f>
        <v>5</v>
      </c>
      <c r="L871" s="15" t="s">
        <v>4191</v>
      </c>
      <c r="M871" s="34" t="n">
        <f aca="false">ROUNDUP(K870*LADDER,0)</f>
        <v>2</v>
      </c>
      <c r="N871" s="34" t="n">
        <f aca="false">IF(K871=0,0,FFLAG)</f>
        <v>2</v>
      </c>
      <c r="O871" s="15" t="s">
        <v>4193</v>
      </c>
      <c r="P871" s="16" t="n">
        <f aca="false">MAX(P870+M871,Q1608)</f>
        <v>46480</v>
      </c>
      <c r="Q871" s="16" t="n">
        <f aca="false">MAX(P871+K871,Q870+N871)</f>
        <v>46485</v>
      </c>
      <c r="R871" s="16" t="n">
        <f aca="false">IF(K871&gt;0,Q871,0)</f>
        <v>46485</v>
      </c>
      <c r="S871" s="12"/>
    </row>
    <row r="872" customFormat="false" ht="15" hidden="false" customHeight="false" outlineLevel="0" collapsed="false">
      <c r="A872" s="15" t="s">
        <v>4194</v>
      </c>
      <c r="B872" s="15" t="s">
        <v>4183</v>
      </c>
      <c r="C872" s="15" t="s">
        <v>394</v>
      </c>
      <c r="D872" s="15" t="s">
        <v>719</v>
      </c>
      <c r="E872" s="15" t="s">
        <v>796</v>
      </c>
      <c r="F872" s="15" t="s">
        <v>3028</v>
      </c>
      <c r="G872" s="15" t="s">
        <v>3029</v>
      </c>
      <c r="H872" s="33" t="n">
        <f aca="false">Packages!$O$84</f>
        <v>9.29992753777969</v>
      </c>
      <c r="I872" s="15" t="s">
        <v>118</v>
      </c>
      <c r="J872" s="34" t="n">
        <f aca="false">TEST_D+ROUNDUP(Packages!$O$84/R_TEST,0)</f>
        <v>3</v>
      </c>
      <c r="K872" s="34" t="n">
        <f aca="false">IF(J872=0,0,ROUNDUP(J872*7/WD,0))</f>
        <v>4</v>
      </c>
      <c r="L872" s="15" t="s">
        <v>4192</v>
      </c>
      <c r="M872" s="34" t="n">
        <f aca="false">ROUNDUP(K871*LADDER,0)</f>
        <v>2</v>
      </c>
      <c r="N872" s="34" t="n">
        <f aca="false">IF(K872=0,0,FFLAG)</f>
        <v>2</v>
      </c>
      <c r="O872" s="15"/>
      <c r="P872" s="16" t="n">
        <f aca="false">MAX(P871+M872)</f>
        <v>46482</v>
      </c>
      <c r="Q872" s="16" t="n">
        <f aca="false">MAX(P872+K872,Q871+N872)</f>
        <v>46487</v>
      </c>
      <c r="R872" s="12"/>
      <c r="S872" s="12"/>
    </row>
    <row r="873" customFormat="false" ht="15" hidden="false" customHeight="false" outlineLevel="0" collapsed="false">
      <c r="A873" s="15" t="s">
        <v>4195</v>
      </c>
      <c r="B873" s="15" t="s">
        <v>4183</v>
      </c>
      <c r="C873" s="15" t="s">
        <v>394</v>
      </c>
      <c r="D873" s="15" t="s">
        <v>719</v>
      </c>
      <c r="E873" s="15" t="s">
        <v>796</v>
      </c>
      <c r="F873" s="15" t="s">
        <v>3031</v>
      </c>
      <c r="G873" s="15" t="s">
        <v>3032</v>
      </c>
      <c r="H873" s="33" t="n">
        <f aca="false">Packages!$AB$84</f>
        <v>110.730482571837</v>
      </c>
      <c r="I873" s="15" t="s">
        <v>3019</v>
      </c>
      <c r="J873" s="34" t="n">
        <f aca="false">MAX(1,ROUNDUP(Packages!$AB$84/(R_BF*Fronts!$M$8),0))</f>
        <v>1</v>
      </c>
      <c r="K873" s="34" t="n">
        <f aca="false">IF(J873=0,0,ROUNDUP(J873*7/WD,0))</f>
        <v>2</v>
      </c>
      <c r="L873" s="15" t="s">
        <v>4194</v>
      </c>
      <c r="M873" s="34" t="n">
        <f aca="false">ROUNDUP(K872*LADDER,0)</f>
        <v>2</v>
      </c>
      <c r="N873" s="34" t="n">
        <f aca="false">IF(K873=0,0,FFLAG)</f>
        <v>2</v>
      </c>
      <c r="O873" s="15"/>
      <c r="P873" s="16" t="n">
        <f aca="false">MAX(P872+M873)</f>
        <v>46484</v>
      </c>
      <c r="Q873" s="16" t="n">
        <f aca="false">MAX(P873+K873,Q872+N873)</f>
        <v>46489</v>
      </c>
      <c r="R873" s="16" t="n">
        <f aca="false">IF(K873&gt;0,Q873,0)</f>
        <v>46489</v>
      </c>
      <c r="S873" s="12"/>
    </row>
    <row r="874" customFormat="false" ht="15" hidden="false" customHeight="false" outlineLevel="0" collapsed="false">
      <c r="A874" s="15" t="s">
        <v>4196</v>
      </c>
      <c r="B874" s="15" t="s">
        <v>4183</v>
      </c>
      <c r="C874" s="15" t="s">
        <v>394</v>
      </c>
      <c r="D874" s="15" t="s">
        <v>719</v>
      </c>
      <c r="E874" s="15" t="s">
        <v>796</v>
      </c>
      <c r="F874" s="15" t="s">
        <v>3034</v>
      </c>
      <c r="G874" s="15" t="s">
        <v>3035</v>
      </c>
      <c r="H874" s="33" t="n">
        <f aca="false">Packages!$AD$84</f>
        <v>0</v>
      </c>
      <c r="I874" s="15" t="s">
        <v>3012</v>
      </c>
      <c r="J874" s="34" t="n">
        <f aca="false">IF(Packages!$AD$84&gt;0,ROUNDUP(Packages!$AD$84/R_EXT,0),0)+IF(Packages!$AG$84&gt;0,1,0)</f>
        <v>1</v>
      </c>
      <c r="K874" s="34" t="n">
        <f aca="false">IF(J874=0,0,ROUNDUP(J874*7/WD,0))</f>
        <v>2</v>
      </c>
      <c r="L874" s="15" t="s">
        <v>4195</v>
      </c>
      <c r="M874" s="34" t="n">
        <f aca="false">ROUNDUP(K873*LADDER,0)</f>
        <v>1</v>
      </c>
      <c r="N874" s="34" t="n">
        <f aca="false">IF(K874=0,0,FFLAG)</f>
        <v>2</v>
      </c>
      <c r="O874" s="15"/>
      <c r="P874" s="16" t="n">
        <f aca="false">MAX(P873+M874)</f>
        <v>46485</v>
      </c>
      <c r="Q874" s="16" t="n">
        <f aca="false">MAX(P874+K874,Q873+N874)</f>
        <v>46491</v>
      </c>
      <c r="R874" s="12"/>
      <c r="S874" s="12"/>
    </row>
    <row r="875" customFormat="false" ht="15" hidden="false" customHeight="false" outlineLevel="0" collapsed="false">
      <c r="A875" s="15" t="s">
        <v>4197</v>
      </c>
      <c r="B875" s="15" t="s">
        <v>4198</v>
      </c>
      <c r="C875" s="15" t="s">
        <v>394</v>
      </c>
      <c r="D875" s="15" t="s">
        <v>719</v>
      </c>
      <c r="E875" s="15" t="s">
        <v>774</v>
      </c>
      <c r="F875" s="15" t="s">
        <v>2998</v>
      </c>
      <c r="G875" s="15" t="s">
        <v>2999</v>
      </c>
      <c r="H875" s="12"/>
      <c r="I875" s="12"/>
      <c r="J875" s="34" t="n">
        <f aca="false">0</f>
        <v>0</v>
      </c>
      <c r="K875" s="34" t="n">
        <f aca="false">IF(J875=0,0,ROUNDUP(J875*7/WD,0))</f>
        <v>0</v>
      </c>
      <c r="L875" s="12"/>
      <c r="M875" s="12"/>
      <c r="N875" s="12"/>
      <c r="O875" s="15" t="s">
        <v>3038</v>
      </c>
      <c r="P875" s="16" t="n">
        <f aca="false">MAX(START,D_DLU,Packages!$I$85,Packages!$K$85)</f>
        <v>46357</v>
      </c>
      <c r="Q875" s="16" t="n">
        <f aca="false">P875+K875</f>
        <v>46357</v>
      </c>
      <c r="R875" s="12"/>
      <c r="S875" s="12"/>
    </row>
    <row r="876" customFormat="false" ht="15" hidden="false" customHeight="false" outlineLevel="0" collapsed="false">
      <c r="A876" s="15" t="s">
        <v>4199</v>
      </c>
      <c r="B876" s="15" t="s">
        <v>4198</v>
      </c>
      <c r="C876" s="15" t="s">
        <v>394</v>
      </c>
      <c r="D876" s="15" t="s">
        <v>719</v>
      </c>
      <c r="E876" s="15" t="s">
        <v>774</v>
      </c>
      <c r="F876" s="15" t="s">
        <v>3002</v>
      </c>
      <c r="G876" s="15" t="s">
        <v>205</v>
      </c>
      <c r="H876" s="33" t="n">
        <f aca="false">Packages!$O$85</f>
        <v>5.35775391330111</v>
      </c>
      <c r="I876" s="15" t="s">
        <v>118</v>
      </c>
      <c r="J876" s="34" t="n">
        <f aca="false">MAX(1,ROUNDUP(Packages!$O$85/R_PLAT,0))</f>
        <v>1</v>
      </c>
      <c r="K876" s="34" t="n">
        <f aca="false">IF(J876=0,0,ROUNDUP(J876*7/WD,0))</f>
        <v>2</v>
      </c>
      <c r="L876" s="15" t="s">
        <v>4197</v>
      </c>
      <c r="M876" s="12"/>
      <c r="N876" s="12"/>
      <c r="O876" s="15" t="s">
        <v>4200</v>
      </c>
      <c r="P876" s="16" t="n">
        <f aca="false">MAX(Q875,P844)</f>
        <v>46438</v>
      </c>
      <c r="Q876" s="16" t="n">
        <f aca="false">P876+K876</f>
        <v>46440</v>
      </c>
      <c r="R876" s="12"/>
      <c r="S876" s="12"/>
    </row>
    <row r="877" customFormat="false" ht="15" hidden="false" customHeight="false" outlineLevel="0" collapsed="false">
      <c r="A877" s="15" t="s">
        <v>4201</v>
      </c>
      <c r="B877" s="15" t="s">
        <v>4198</v>
      </c>
      <c r="C877" s="15" t="s">
        <v>394</v>
      </c>
      <c r="D877" s="15" t="s">
        <v>719</v>
      </c>
      <c r="E877" s="15" t="s">
        <v>774</v>
      </c>
      <c r="F877" s="15" t="s">
        <v>3005</v>
      </c>
      <c r="G877" s="15" t="s">
        <v>3006</v>
      </c>
      <c r="H877" s="33" t="n">
        <f aca="false">Packages!$AC$85</f>
        <v>6</v>
      </c>
      <c r="I877" s="15" t="s">
        <v>3007</v>
      </c>
      <c r="J877" s="34" t="n">
        <f aca="false">IF(Packages!$AC$85=0,0,MAX(1,ROUNDUP(Packages!$AC$85/(R_PILE*Fronts!$H$8),0)))</f>
        <v>2</v>
      </c>
      <c r="K877" s="34" t="n">
        <f aca="false">IF(J877=0,0,ROUNDUP(J877*7/WD,0))</f>
        <v>3</v>
      </c>
      <c r="L877" s="15" t="s">
        <v>4199</v>
      </c>
      <c r="M877" s="34" t="n">
        <f aca="false">ROUNDUP(K876*LADDER,0)</f>
        <v>1</v>
      </c>
      <c r="N877" s="34" t="n">
        <f aca="false">IF(K877=0,0,FFLAG)</f>
        <v>2</v>
      </c>
      <c r="O877" s="15" t="s">
        <v>3008</v>
      </c>
      <c r="P877" s="16" t="n">
        <f aca="false">MAX(P876+M877,D_PILEDES)</f>
        <v>46439</v>
      </c>
      <c r="Q877" s="16" t="n">
        <f aca="false">MAX(P877+K877,Q876+N877)</f>
        <v>46442</v>
      </c>
      <c r="R877" s="16" t="n">
        <f aca="false">IF(K877&gt;0,Q877,0)</f>
        <v>46442</v>
      </c>
      <c r="S877" s="12"/>
    </row>
    <row r="878" customFormat="false" ht="15" hidden="false" customHeight="false" outlineLevel="0" collapsed="false">
      <c r="A878" s="15" t="s">
        <v>4202</v>
      </c>
      <c r="B878" s="15" t="s">
        <v>4198</v>
      </c>
      <c r="C878" s="15" t="s">
        <v>394</v>
      </c>
      <c r="D878" s="15" t="s">
        <v>719</v>
      </c>
      <c r="E878" s="15" t="s">
        <v>774</v>
      </c>
      <c r="F878" s="15" t="s">
        <v>3010</v>
      </c>
      <c r="G878" s="15" t="s">
        <v>3011</v>
      </c>
      <c r="H878" s="33" t="n">
        <f aca="false">Packages!$AD$85</f>
        <v>0</v>
      </c>
      <c r="I878" s="15" t="s">
        <v>3012</v>
      </c>
      <c r="J878" s="34" t="n">
        <f aca="false">IF(Packages!$AD$85=0,0,MAX(1,ROUNDUP(Packages!$AD$85/(R_SHEET*Fronts!$I$8),0)))</f>
        <v>0</v>
      </c>
      <c r="K878" s="34" t="n">
        <f aca="false">IF(J878=0,0,ROUNDUP(J878*7/WD,0))</f>
        <v>0</v>
      </c>
      <c r="L878" s="15" t="s">
        <v>4201</v>
      </c>
      <c r="M878" s="34" t="n">
        <f aca="false">ROUNDUP(K877*LADDER,0)</f>
        <v>1</v>
      </c>
      <c r="N878" s="34" t="n">
        <f aca="false">IF(K878=0,0,FFLAG)</f>
        <v>0</v>
      </c>
      <c r="O878" s="15"/>
      <c r="P878" s="16" t="n">
        <f aca="false">MAX(P877+M878)</f>
        <v>46440</v>
      </c>
      <c r="Q878" s="16" t="n">
        <f aca="false">MAX(P878+K878,Q877+N878)</f>
        <v>46442</v>
      </c>
      <c r="R878" s="16" t="n">
        <f aca="false">IF(K878&gt;0,Q878,0)</f>
        <v>0</v>
      </c>
      <c r="S878" s="12"/>
    </row>
    <row r="879" customFormat="false" ht="15" hidden="false" customHeight="false" outlineLevel="0" collapsed="false">
      <c r="A879" s="15" t="s">
        <v>4203</v>
      </c>
      <c r="B879" s="15" t="s">
        <v>4198</v>
      </c>
      <c r="C879" s="15" t="s">
        <v>394</v>
      </c>
      <c r="D879" s="15" t="s">
        <v>719</v>
      </c>
      <c r="E879" s="15" t="s">
        <v>774</v>
      </c>
      <c r="F879" s="15" t="s">
        <v>3014</v>
      </c>
      <c r="G879" s="15" t="s">
        <v>3015</v>
      </c>
      <c r="H879" s="33" t="n">
        <f aca="false">Packages!$O$85</f>
        <v>5.35775391330111</v>
      </c>
      <c r="I879" s="15" t="s">
        <v>118</v>
      </c>
      <c r="J879" s="34" t="n">
        <f aca="false">IF(Packages!$AG$85=0,0,ROUNDUP(Packages!$O$85/R_DW,0)+DW_DRAW)</f>
        <v>8</v>
      </c>
      <c r="K879" s="34" t="n">
        <f aca="false">IF(J879=0,0,ROUNDUP(J879*7/WD,0))</f>
        <v>10</v>
      </c>
      <c r="L879" s="15" t="s">
        <v>4202</v>
      </c>
      <c r="M879" s="34" t="n">
        <f aca="false">ROUNDUP(K878*LADDER,0)</f>
        <v>0</v>
      </c>
      <c r="N879" s="34" t="n">
        <f aca="false">IF(K879=0,0,FFLAG)</f>
        <v>2</v>
      </c>
      <c r="O879" s="15"/>
      <c r="P879" s="16" t="n">
        <f aca="false">MAX(P878+M879)</f>
        <v>46440</v>
      </c>
      <c r="Q879" s="16" t="n">
        <f aca="false">MAX(P879+K879,Q878+N879)</f>
        <v>46450</v>
      </c>
      <c r="R879" s="12"/>
      <c r="S879" s="12"/>
    </row>
    <row r="880" customFormat="false" ht="15" hidden="false" customHeight="false" outlineLevel="0" collapsed="false">
      <c r="A880" s="15" t="s">
        <v>4204</v>
      </c>
      <c r="B880" s="15" t="s">
        <v>4198</v>
      </c>
      <c r="C880" s="15" t="s">
        <v>394</v>
      </c>
      <c r="D880" s="15" t="s">
        <v>719</v>
      </c>
      <c r="E880" s="15" t="s">
        <v>774</v>
      </c>
      <c r="F880" s="15" t="s">
        <v>3017</v>
      </c>
      <c r="G880" s="15" t="s">
        <v>3018</v>
      </c>
      <c r="H880" s="33" t="n">
        <f aca="false">Packages!$X$85+Packages!$Y$85</f>
        <v>63.8644674550939</v>
      </c>
      <c r="I880" s="15" t="s">
        <v>3019</v>
      </c>
      <c r="J880" s="34" t="n">
        <f aca="false">MAX(1,ROUNDUP((Packages!$X$85/R_EXS+Packages!$Y$85/R_EXO)/Fronts!$J$8,0))</f>
        <v>1</v>
      </c>
      <c r="K880" s="34" t="n">
        <f aca="false">IF(J880=0,0,ROUNDUP(J880*7/WD,0))</f>
        <v>2</v>
      </c>
      <c r="L880" s="15" t="s">
        <v>4203</v>
      </c>
      <c r="M880" s="34" t="n">
        <f aca="false">IF(K879=0,0,ROUNDUP((K879-ROUNDUP(DW_DRAW*7/WD,0))*LADDER,0)+ROUNDUP(DW_DRAW*7/WD,0))</f>
        <v>10</v>
      </c>
      <c r="N880" s="34" t="n">
        <f aca="false">IF(K880=0,0,FFLAG)</f>
        <v>2</v>
      </c>
      <c r="O880" s="15" t="s">
        <v>4205</v>
      </c>
      <c r="P880" s="16" t="n">
        <f aca="false">MAX(P879+M880,Q1456)</f>
        <v>46591</v>
      </c>
      <c r="Q880" s="16" t="n">
        <f aca="false">MAX(P880+K880,Q879+N880)</f>
        <v>46593</v>
      </c>
      <c r="R880" s="16" t="n">
        <f aca="false">IF(K880&gt;0,Q880,0)</f>
        <v>46593</v>
      </c>
      <c r="S880" s="12"/>
    </row>
    <row r="881" customFormat="false" ht="15" hidden="false" customHeight="false" outlineLevel="0" collapsed="false">
      <c r="A881" s="15" t="s">
        <v>4206</v>
      </c>
      <c r="B881" s="15" t="s">
        <v>4198</v>
      </c>
      <c r="C881" s="15" t="s">
        <v>394</v>
      </c>
      <c r="D881" s="15" t="s">
        <v>719</v>
      </c>
      <c r="E881" s="15" t="s">
        <v>774</v>
      </c>
      <c r="F881" s="15" t="s">
        <v>3022</v>
      </c>
      <c r="G881" s="15" t="s">
        <v>3023</v>
      </c>
      <c r="H881" s="33" t="n">
        <f aca="false">Packages!$O$85</f>
        <v>5.35775391330111</v>
      </c>
      <c r="I881" s="15" t="s">
        <v>118</v>
      </c>
      <c r="J881" s="34" t="n">
        <f aca="false">MAX(1,ROUNDUP(Packages!$O$85/(R_SLAB*Fronts!$K$8),0))+SLAB_CURE</f>
        <v>4</v>
      </c>
      <c r="K881" s="34" t="n">
        <f aca="false">IF(J881=0,0,ROUNDUP(J881*7/WD,0))</f>
        <v>5</v>
      </c>
      <c r="L881" s="15" t="s">
        <v>4204</v>
      </c>
      <c r="M881" s="34" t="n">
        <f aca="false">ROUNDUP(K880*LADDER,0)</f>
        <v>1</v>
      </c>
      <c r="N881" s="34" t="n">
        <f aca="false">IF(K881=0,0,FFLAG)</f>
        <v>2</v>
      </c>
      <c r="O881" s="15"/>
      <c r="P881" s="16" t="n">
        <f aca="false">MAX(P880+M881)</f>
        <v>46592</v>
      </c>
      <c r="Q881" s="16" t="n">
        <f aca="false">MAX(P881+K881,Q880+N881)</f>
        <v>46597</v>
      </c>
      <c r="R881" s="16" t="n">
        <f aca="false">IF(K881&gt;0,Q881,0)</f>
        <v>46597</v>
      </c>
      <c r="S881" s="12"/>
    </row>
    <row r="882" customFormat="false" ht="15" hidden="false" customHeight="false" outlineLevel="0" collapsed="false">
      <c r="A882" s="15" t="s">
        <v>4207</v>
      </c>
      <c r="B882" s="15" t="s">
        <v>4198</v>
      </c>
      <c r="C882" s="15" t="s">
        <v>394</v>
      </c>
      <c r="D882" s="15" t="s">
        <v>719</v>
      </c>
      <c r="E882" s="15" t="s">
        <v>774</v>
      </c>
      <c r="F882" s="15" t="s">
        <v>3025</v>
      </c>
      <c r="G882" s="15" t="s">
        <v>3026</v>
      </c>
      <c r="H882" s="33" t="n">
        <f aca="false">Packages!$O$85</f>
        <v>5.35775391330111</v>
      </c>
      <c r="I882" s="15" t="s">
        <v>118</v>
      </c>
      <c r="J882" s="34" t="n">
        <f aca="false">MAX(1,ROUNDUP(Packages!$O$85/(IF(Packages!$N$85&gt;=PIPE_T1,R_PIPE_L,IF(Packages!$N$85&gt;=PIPE_T2,R_PIPE_M,R_PIPE_S))*Fronts!$L$8)+Packages!$M$85*FIT_D+IF(Packages!$G$85&lt;&gt;"Run",TIE_D,0),0))</f>
        <v>5</v>
      </c>
      <c r="K882" s="34" t="n">
        <f aca="false">IF(J882=0,0,ROUNDUP(J882*7/WD,0))</f>
        <v>6</v>
      </c>
      <c r="L882" s="15" t="s">
        <v>4206</v>
      </c>
      <c r="M882" s="34" t="n">
        <f aca="false">ROUNDUP(K881*LADDER,0)</f>
        <v>2</v>
      </c>
      <c r="N882" s="34" t="n">
        <f aca="false">IF(K882=0,0,FFLAG)</f>
        <v>2</v>
      </c>
      <c r="O882" s="15" t="s">
        <v>4208</v>
      </c>
      <c r="P882" s="16" t="n">
        <f aca="false">MAX(P881+M882,Q849)</f>
        <v>46594</v>
      </c>
      <c r="Q882" s="16" t="n">
        <f aca="false">MAX(P882+K882,Q881+N882)</f>
        <v>46600</v>
      </c>
      <c r="R882" s="16" t="n">
        <f aca="false">IF(K882&gt;0,Q882,0)</f>
        <v>46600</v>
      </c>
      <c r="S882" s="12"/>
    </row>
    <row r="883" customFormat="false" ht="15" hidden="false" customHeight="false" outlineLevel="0" collapsed="false">
      <c r="A883" s="15" t="s">
        <v>4209</v>
      </c>
      <c r="B883" s="15" t="s">
        <v>4198</v>
      </c>
      <c r="C883" s="15" t="s">
        <v>394</v>
      </c>
      <c r="D883" s="15" t="s">
        <v>719</v>
      </c>
      <c r="E883" s="15" t="s">
        <v>774</v>
      </c>
      <c r="F883" s="15" t="s">
        <v>3028</v>
      </c>
      <c r="G883" s="15" t="s">
        <v>3029</v>
      </c>
      <c r="H883" s="33" t="n">
        <f aca="false">Packages!$O$85</f>
        <v>5.35775391330111</v>
      </c>
      <c r="I883" s="15" t="s">
        <v>118</v>
      </c>
      <c r="J883" s="34" t="n">
        <f aca="false">TEST_D+ROUNDUP(Packages!$O$85/R_TEST,0)</f>
        <v>3</v>
      </c>
      <c r="K883" s="34" t="n">
        <f aca="false">IF(J883=0,0,ROUNDUP(J883*7/WD,0))</f>
        <v>4</v>
      </c>
      <c r="L883" s="15" t="s">
        <v>4207</v>
      </c>
      <c r="M883" s="34" t="n">
        <f aca="false">ROUNDUP(K882*LADDER,0)</f>
        <v>2</v>
      </c>
      <c r="N883" s="34" t="n">
        <f aca="false">IF(K883=0,0,FFLAG)</f>
        <v>2</v>
      </c>
      <c r="O883" s="15"/>
      <c r="P883" s="16" t="n">
        <f aca="false">MAX(P882+M883)</f>
        <v>46596</v>
      </c>
      <c r="Q883" s="16" t="n">
        <f aca="false">MAX(P883+K883,Q882+N883)</f>
        <v>46602</v>
      </c>
      <c r="R883" s="12"/>
      <c r="S883" s="12"/>
    </row>
    <row r="884" customFormat="false" ht="15" hidden="false" customHeight="false" outlineLevel="0" collapsed="false">
      <c r="A884" s="15" t="s">
        <v>4210</v>
      </c>
      <c r="B884" s="15" t="s">
        <v>4198</v>
      </c>
      <c r="C884" s="15" t="s">
        <v>394</v>
      </c>
      <c r="D884" s="15" t="s">
        <v>719</v>
      </c>
      <c r="E884" s="15" t="s">
        <v>774</v>
      </c>
      <c r="F884" s="15" t="s">
        <v>3031</v>
      </c>
      <c r="G884" s="15" t="s">
        <v>3032</v>
      </c>
      <c r="H884" s="33" t="n">
        <f aca="false">Packages!$AB$85</f>
        <v>51.9114473265079</v>
      </c>
      <c r="I884" s="15" t="s">
        <v>3019</v>
      </c>
      <c r="J884" s="34" t="n">
        <f aca="false">MAX(1,ROUNDUP(Packages!$AB$85/(R_BF*Fronts!$M$8),0))</f>
        <v>1</v>
      </c>
      <c r="K884" s="34" t="n">
        <f aca="false">IF(J884=0,0,ROUNDUP(J884*7/WD,0))</f>
        <v>2</v>
      </c>
      <c r="L884" s="15" t="s">
        <v>4209</v>
      </c>
      <c r="M884" s="34" t="n">
        <f aca="false">ROUNDUP(K883*LADDER,0)</f>
        <v>2</v>
      </c>
      <c r="N884" s="34" t="n">
        <f aca="false">IF(K884=0,0,FFLAG)</f>
        <v>2</v>
      </c>
      <c r="O884" s="15"/>
      <c r="P884" s="16" t="n">
        <f aca="false">MAX(P883+M884)</f>
        <v>46598</v>
      </c>
      <c r="Q884" s="16" t="n">
        <f aca="false">MAX(P884+K884,Q883+N884)</f>
        <v>46604</v>
      </c>
      <c r="R884" s="16" t="n">
        <f aca="false">IF(K884&gt;0,Q884,0)</f>
        <v>46604</v>
      </c>
      <c r="S884" s="12"/>
    </row>
    <row r="885" customFormat="false" ht="15" hidden="false" customHeight="false" outlineLevel="0" collapsed="false">
      <c r="A885" s="15" t="s">
        <v>4211</v>
      </c>
      <c r="B885" s="15" t="s">
        <v>4198</v>
      </c>
      <c r="C885" s="15" t="s">
        <v>394</v>
      </c>
      <c r="D885" s="15" t="s">
        <v>719</v>
      </c>
      <c r="E885" s="15" t="s">
        <v>774</v>
      </c>
      <c r="F885" s="15" t="s">
        <v>3034</v>
      </c>
      <c r="G885" s="15" t="s">
        <v>3035</v>
      </c>
      <c r="H885" s="33" t="n">
        <f aca="false">Packages!$AD$85</f>
        <v>0</v>
      </c>
      <c r="I885" s="15" t="s">
        <v>3012</v>
      </c>
      <c r="J885" s="34" t="n">
        <f aca="false">IF(Packages!$AD$85&gt;0,ROUNDUP(Packages!$AD$85/R_EXT,0),0)+IF(Packages!$AG$85&gt;0,1,0)</f>
        <v>1</v>
      </c>
      <c r="K885" s="34" t="n">
        <f aca="false">IF(J885=0,0,ROUNDUP(J885*7/WD,0))</f>
        <v>2</v>
      </c>
      <c r="L885" s="15" t="s">
        <v>4210</v>
      </c>
      <c r="M885" s="34" t="n">
        <f aca="false">ROUNDUP(K884*LADDER,0)</f>
        <v>1</v>
      </c>
      <c r="N885" s="34" t="n">
        <f aca="false">IF(K885=0,0,FFLAG)</f>
        <v>2</v>
      </c>
      <c r="O885" s="15"/>
      <c r="P885" s="16" t="n">
        <f aca="false">MAX(P884+M885)</f>
        <v>46599</v>
      </c>
      <c r="Q885" s="16" t="n">
        <f aca="false">MAX(P885+K885,Q884+N885)</f>
        <v>46606</v>
      </c>
      <c r="R885" s="12"/>
      <c r="S885" s="12"/>
    </row>
    <row r="886" customFormat="false" ht="15" hidden="false" customHeight="false" outlineLevel="0" collapsed="false">
      <c r="A886" s="15" t="s">
        <v>4212</v>
      </c>
      <c r="B886" s="15" t="s">
        <v>4213</v>
      </c>
      <c r="C886" s="15" t="s">
        <v>394</v>
      </c>
      <c r="D886" s="15" t="s">
        <v>719</v>
      </c>
      <c r="E886" s="15" t="s">
        <v>755</v>
      </c>
      <c r="F886" s="15" t="s">
        <v>2998</v>
      </c>
      <c r="G886" s="15" t="s">
        <v>2999</v>
      </c>
      <c r="H886" s="12"/>
      <c r="I886" s="12"/>
      <c r="J886" s="34" t="n">
        <f aca="false">0</f>
        <v>0</v>
      </c>
      <c r="K886" s="34" t="n">
        <f aca="false">IF(J886=0,0,ROUNDUP(J886*7/WD,0))</f>
        <v>0</v>
      </c>
      <c r="L886" s="12"/>
      <c r="M886" s="12"/>
      <c r="N886" s="12"/>
      <c r="O886" s="15" t="s">
        <v>3000</v>
      </c>
      <c r="P886" s="16" t="n">
        <f aca="false">MAX(START,D_DLU,Packages!$I$86,Packages!$K$86)</f>
        <v>46357</v>
      </c>
      <c r="Q886" s="16" t="n">
        <f aca="false">P886+K886</f>
        <v>46357</v>
      </c>
      <c r="R886" s="12"/>
      <c r="S886" s="12"/>
    </row>
    <row r="887" customFormat="false" ht="15" hidden="false" customHeight="false" outlineLevel="0" collapsed="false">
      <c r="A887" s="15" t="s">
        <v>4214</v>
      </c>
      <c r="B887" s="15" t="s">
        <v>4213</v>
      </c>
      <c r="C887" s="15" t="s">
        <v>394</v>
      </c>
      <c r="D887" s="15" t="s">
        <v>719</v>
      </c>
      <c r="E887" s="15" t="s">
        <v>755</v>
      </c>
      <c r="F887" s="15" t="s">
        <v>3002</v>
      </c>
      <c r="G887" s="15" t="s">
        <v>205</v>
      </c>
      <c r="H887" s="33" t="n">
        <f aca="false">Packages!$O$86</f>
        <v>65.0999999999377</v>
      </c>
      <c r="I887" s="15" t="s">
        <v>118</v>
      </c>
      <c r="J887" s="34" t="n">
        <f aca="false">MAX(1,ROUNDUP(Packages!$O$86/R_PLAT,0))</f>
        <v>1</v>
      </c>
      <c r="K887" s="34" t="n">
        <f aca="false">IF(J887=0,0,ROUNDUP(J887*7/WD,0))</f>
        <v>2</v>
      </c>
      <c r="L887" s="15" t="s">
        <v>4212</v>
      </c>
      <c r="M887" s="12"/>
      <c r="N887" s="12"/>
      <c r="O887" s="15" t="s">
        <v>4215</v>
      </c>
      <c r="P887" s="16" t="n">
        <f aca="false">MAX(Q886,P844)</f>
        <v>46438</v>
      </c>
      <c r="Q887" s="16" t="n">
        <f aca="false">P887+K887</f>
        <v>46440</v>
      </c>
      <c r="R887" s="12"/>
      <c r="S887" s="12"/>
    </row>
    <row r="888" customFormat="false" ht="15" hidden="false" customHeight="false" outlineLevel="0" collapsed="false">
      <c r="A888" s="15" t="s">
        <v>4216</v>
      </c>
      <c r="B888" s="15" t="s">
        <v>4213</v>
      </c>
      <c r="C888" s="15" t="s">
        <v>394</v>
      </c>
      <c r="D888" s="15" t="s">
        <v>719</v>
      </c>
      <c r="E888" s="15" t="s">
        <v>755</v>
      </c>
      <c r="F888" s="15" t="s">
        <v>3005</v>
      </c>
      <c r="G888" s="15" t="s">
        <v>3006</v>
      </c>
      <c r="H888" s="33" t="n">
        <f aca="false">Packages!$AC$86</f>
        <v>46</v>
      </c>
      <c r="I888" s="15" t="s">
        <v>3007</v>
      </c>
      <c r="J888" s="34" t="n">
        <f aca="false">IF(Packages!$AC$86=0,0,MAX(1,ROUNDUP(Packages!$AC$86/(R_PILE*Fronts!$H$8),0)))</f>
        <v>10</v>
      </c>
      <c r="K888" s="34" t="n">
        <f aca="false">IF(J888=0,0,ROUNDUP(J888*7/WD,0))</f>
        <v>12</v>
      </c>
      <c r="L888" s="15" t="s">
        <v>4214</v>
      </c>
      <c r="M888" s="34" t="n">
        <f aca="false">ROUNDUP(K887*LADDER,0)</f>
        <v>1</v>
      </c>
      <c r="N888" s="34" t="n">
        <f aca="false">IF(K888=0,0,FFLAG)</f>
        <v>2</v>
      </c>
      <c r="O888" s="15" t="s">
        <v>3008</v>
      </c>
      <c r="P888" s="16" t="n">
        <f aca="false">MAX(P887+M888,D_PILEDES,R844)</f>
        <v>46443</v>
      </c>
      <c r="Q888" s="16" t="n">
        <f aca="false">MAX(P888+K888,Q887+N888)</f>
        <v>46455</v>
      </c>
      <c r="R888" s="16" t="n">
        <f aca="false">IF(K888&gt;0,Q888,R844)</f>
        <v>46455</v>
      </c>
      <c r="S888" s="15" t="s">
        <v>4158</v>
      </c>
    </row>
    <row r="889" customFormat="false" ht="15" hidden="false" customHeight="false" outlineLevel="0" collapsed="false">
      <c r="A889" s="15" t="s">
        <v>4217</v>
      </c>
      <c r="B889" s="15" t="s">
        <v>4213</v>
      </c>
      <c r="C889" s="15" t="s">
        <v>394</v>
      </c>
      <c r="D889" s="15" t="s">
        <v>719</v>
      </c>
      <c r="E889" s="15" t="s">
        <v>755</v>
      </c>
      <c r="F889" s="15" t="s">
        <v>3010</v>
      </c>
      <c r="G889" s="15" t="s">
        <v>3011</v>
      </c>
      <c r="H889" s="33" t="n">
        <f aca="false">Packages!$AD$86</f>
        <v>59.9999999987825</v>
      </c>
      <c r="I889" s="15" t="s">
        <v>3012</v>
      </c>
      <c r="J889" s="34" t="n">
        <f aca="false">IF(Packages!$AD$86=0,0,MAX(1,ROUNDUP(Packages!$AD$86/(R_SHEET*Fronts!$I$8),0)))</f>
        <v>3</v>
      </c>
      <c r="K889" s="34" t="n">
        <f aca="false">IF(J889=0,0,ROUNDUP(J889*7/WD,0))</f>
        <v>4</v>
      </c>
      <c r="L889" s="15" t="s">
        <v>4216</v>
      </c>
      <c r="M889" s="34" t="n">
        <f aca="false">ROUNDUP(K888*LADDER,0)</f>
        <v>4</v>
      </c>
      <c r="N889" s="34" t="n">
        <f aca="false">IF(K889=0,0,FFLAG)</f>
        <v>2</v>
      </c>
      <c r="O889" s="15"/>
      <c r="P889" s="16" t="n">
        <f aca="false">MAX(P888+M889,R845)</f>
        <v>46447</v>
      </c>
      <c r="Q889" s="16" t="n">
        <f aca="false">MAX(P889+K889,Q888+N889)</f>
        <v>46457</v>
      </c>
      <c r="R889" s="16" t="n">
        <f aca="false">IF(K889&gt;0,Q889,R845)</f>
        <v>46457</v>
      </c>
      <c r="S889" s="15" t="s">
        <v>4159</v>
      </c>
    </row>
    <row r="890" customFormat="false" ht="15" hidden="false" customHeight="false" outlineLevel="0" collapsed="false">
      <c r="A890" s="15" t="s">
        <v>4218</v>
      </c>
      <c r="B890" s="15" t="s">
        <v>4213</v>
      </c>
      <c r="C890" s="15" t="s">
        <v>394</v>
      </c>
      <c r="D890" s="15" t="s">
        <v>719</v>
      </c>
      <c r="E890" s="15" t="s">
        <v>755</v>
      </c>
      <c r="F890" s="15" t="s">
        <v>3014</v>
      </c>
      <c r="G890" s="15" t="s">
        <v>3015</v>
      </c>
      <c r="H890" s="33" t="n">
        <f aca="false">Packages!$O$86</f>
        <v>65.0999999999377</v>
      </c>
      <c r="I890" s="15" t="s">
        <v>118</v>
      </c>
      <c r="J890" s="34" t="n">
        <f aca="false">IF(Packages!$AG$86=0,0,ROUNDUP(Packages!$O$86/R_DW,0)+DW_DRAW)</f>
        <v>9</v>
      </c>
      <c r="K890" s="34" t="n">
        <f aca="false">IF(J890=0,0,ROUNDUP(J890*7/WD,0))</f>
        <v>11</v>
      </c>
      <c r="L890" s="15" t="s">
        <v>4217</v>
      </c>
      <c r="M890" s="34" t="n">
        <f aca="false">ROUNDUP(K889*LADDER,0)</f>
        <v>2</v>
      </c>
      <c r="N890" s="34" t="n">
        <f aca="false">IF(K890=0,0,FFLAG)</f>
        <v>2</v>
      </c>
      <c r="O890" s="15" t="s">
        <v>4219</v>
      </c>
      <c r="P890" s="16" t="n">
        <f aca="false">MAX(P889+M890,Q847-K890)</f>
        <v>46471</v>
      </c>
      <c r="Q890" s="16" t="n">
        <f aca="false">MAX(P890+K890,Q889+N890)</f>
        <v>46482</v>
      </c>
      <c r="R890" s="12"/>
      <c r="S890" s="12"/>
    </row>
    <row r="891" customFormat="false" ht="15" hidden="false" customHeight="false" outlineLevel="0" collapsed="false">
      <c r="A891" s="15" t="s">
        <v>4220</v>
      </c>
      <c r="B891" s="15" t="s">
        <v>4213</v>
      </c>
      <c r="C891" s="15" t="s">
        <v>394</v>
      </c>
      <c r="D891" s="15" t="s">
        <v>719</v>
      </c>
      <c r="E891" s="15" t="s">
        <v>755</v>
      </c>
      <c r="F891" s="15" t="s">
        <v>3017</v>
      </c>
      <c r="G891" s="15" t="s">
        <v>3018</v>
      </c>
      <c r="H891" s="33" t="n">
        <f aca="false">Packages!$X$86+Packages!$Y$86</f>
        <v>735.596043202148</v>
      </c>
      <c r="I891" s="15" t="s">
        <v>3019</v>
      </c>
      <c r="J891" s="34" t="n">
        <f aca="false">MAX(1,ROUNDUP((Packages!$X$86/R_EXS+Packages!$Y$86/R_EXO)/Fronts!$J$8,0))</f>
        <v>3</v>
      </c>
      <c r="K891" s="34" t="n">
        <f aca="false">IF(J891=0,0,ROUNDUP(J891*7/WD,0))</f>
        <v>4</v>
      </c>
      <c r="L891" s="15" t="s">
        <v>4218</v>
      </c>
      <c r="M891" s="34" t="n">
        <f aca="false">IF(K890=0,0,ROUNDUP((K890-ROUNDUP(DW_DRAW*7/WD,0))*LADDER,0)+ROUNDUP(DW_DRAW*7/WD,0))</f>
        <v>10</v>
      </c>
      <c r="N891" s="34" t="n">
        <f aca="false">IF(K891=0,0,FFLAG)</f>
        <v>2</v>
      </c>
      <c r="O891" s="15" t="s">
        <v>4221</v>
      </c>
      <c r="P891" s="16" t="n">
        <f aca="false">MAX(P890+M891,R847,Q1445,Q1434,Q1159,Q1489)</f>
        <v>46600</v>
      </c>
      <c r="Q891" s="16" t="n">
        <f aca="false">MAX(P891+K891,Q890+N891)</f>
        <v>46604</v>
      </c>
      <c r="R891" s="16" t="n">
        <f aca="false">IF(K891&gt;0,Q891,R847)</f>
        <v>46604</v>
      </c>
      <c r="S891" s="15" t="s">
        <v>4162</v>
      </c>
    </row>
    <row r="892" customFormat="false" ht="15" hidden="false" customHeight="false" outlineLevel="0" collapsed="false">
      <c r="A892" s="15" t="s">
        <v>4222</v>
      </c>
      <c r="B892" s="15" t="s">
        <v>4213</v>
      </c>
      <c r="C892" s="15" t="s">
        <v>394</v>
      </c>
      <c r="D892" s="15" t="s">
        <v>719</v>
      </c>
      <c r="E892" s="15" t="s">
        <v>755</v>
      </c>
      <c r="F892" s="15" t="s">
        <v>3022</v>
      </c>
      <c r="G892" s="15" t="s">
        <v>3023</v>
      </c>
      <c r="H892" s="33" t="n">
        <f aca="false">Packages!$O$86</f>
        <v>65.0999999999377</v>
      </c>
      <c r="I892" s="15" t="s">
        <v>118</v>
      </c>
      <c r="J892" s="34" t="n">
        <f aca="false">MAX(1,ROUNDUP(Packages!$O$86/(R_SLAB*Fronts!$K$8),0))+SLAB_CURE</f>
        <v>9</v>
      </c>
      <c r="K892" s="34" t="n">
        <f aca="false">IF(J892=0,0,ROUNDUP(J892*7/WD,0))</f>
        <v>11</v>
      </c>
      <c r="L892" s="15" t="s">
        <v>4220</v>
      </c>
      <c r="M892" s="34" t="n">
        <f aca="false">ROUNDUP(K891*LADDER,0)</f>
        <v>2</v>
      </c>
      <c r="N892" s="34" t="n">
        <f aca="false">IF(K892=0,0,FFLAG)</f>
        <v>2</v>
      </c>
      <c r="O892" s="15"/>
      <c r="P892" s="16" t="n">
        <f aca="false">MAX(P891+M892,R848)</f>
        <v>46602</v>
      </c>
      <c r="Q892" s="16" t="n">
        <f aca="false">MAX(P892+K892,Q891+N892)</f>
        <v>46613</v>
      </c>
      <c r="R892" s="16" t="n">
        <f aca="false">IF(K892&gt;0,Q892,R848)</f>
        <v>46613</v>
      </c>
      <c r="S892" s="15" t="s">
        <v>4163</v>
      </c>
    </row>
    <row r="893" customFormat="false" ht="15" hidden="false" customHeight="false" outlineLevel="0" collapsed="false">
      <c r="A893" s="15" t="s">
        <v>4223</v>
      </c>
      <c r="B893" s="15" t="s">
        <v>4213</v>
      </c>
      <c r="C893" s="15" t="s">
        <v>394</v>
      </c>
      <c r="D893" s="15" t="s">
        <v>719</v>
      </c>
      <c r="E893" s="15" t="s">
        <v>755</v>
      </c>
      <c r="F893" s="15" t="s">
        <v>3025</v>
      </c>
      <c r="G893" s="15" t="s">
        <v>3026</v>
      </c>
      <c r="H893" s="33" t="n">
        <f aca="false">Packages!$O$86</f>
        <v>65.0999999999377</v>
      </c>
      <c r="I893" s="15" t="s">
        <v>118</v>
      </c>
      <c r="J893" s="34" t="n">
        <f aca="false">MAX(1,ROUNDUP(Packages!$O$86/(IF(Packages!$N$86&gt;=PIPE_T1,R_PIPE_L,IF(Packages!$N$86&gt;=PIPE_T2,R_PIPE_M,R_PIPE_S))*Fronts!$L$8)+Packages!$M$86*FIT_D+IF(Packages!$G$86&lt;&gt;"Run",TIE_D,0),0))</f>
        <v>4</v>
      </c>
      <c r="K893" s="34" t="n">
        <f aca="false">IF(J893=0,0,ROUNDUP(J893*7/WD,0))</f>
        <v>5</v>
      </c>
      <c r="L893" s="15" t="s">
        <v>4222</v>
      </c>
      <c r="M893" s="34" t="n">
        <f aca="false">ROUNDUP(K892*LADDER,0)</f>
        <v>4</v>
      </c>
      <c r="N893" s="34" t="n">
        <f aca="false">IF(K893=0,0,FFLAG)</f>
        <v>2</v>
      </c>
      <c r="O893" s="15"/>
      <c r="P893" s="16" t="n">
        <f aca="false">MAX(P892+M893,R849)</f>
        <v>46606</v>
      </c>
      <c r="Q893" s="16" t="n">
        <f aca="false">MAX(P893+K893,Q892+N893)</f>
        <v>46615</v>
      </c>
      <c r="R893" s="16" t="n">
        <f aca="false">IF(K893&gt;0,Q893,R849)</f>
        <v>46615</v>
      </c>
      <c r="S893" s="15" t="s">
        <v>4164</v>
      </c>
    </row>
    <row r="894" customFormat="false" ht="15" hidden="false" customHeight="false" outlineLevel="0" collapsed="false">
      <c r="A894" s="15" t="s">
        <v>4224</v>
      </c>
      <c r="B894" s="15" t="s">
        <v>4213</v>
      </c>
      <c r="C894" s="15" t="s">
        <v>394</v>
      </c>
      <c r="D894" s="15" t="s">
        <v>719</v>
      </c>
      <c r="E894" s="15" t="s">
        <v>755</v>
      </c>
      <c r="F894" s="15" t="s">
        <v>3028</v>
      </c>
      <c r="G894" s="15" t="s">
        <v>3029</v>
      </c>
      <c r="H894" s="33" t="n">
        <f aca="false">Packages!$O$86</f>
        <v>65.0999999999377</v>
      </c>
      <c r="I894" s="15" t="s">
        <v>118</v>
      </c>
      <c r="J894" s="34" t="n">
        <f aca="false">TEST_D+ROUNDUP(Packages!$O$86/R_TEST,0)</f>
        <v>3</v>
      </c>
      <c r="K894" s="34" t="n">
        <f aca="false">IF(J894=0,0,ROUNDUP(J894*7/WD,0))</f>
        <v>4</v>
      </c>
      <c r="L894" s="15" t="s">
        <v>4223</v>
      </c>
      <c r="M894" s="34" t="n">
        <f aca="false">ROUNDUP(K893*LADDER,0)</f>
        <v>2</v>
      </c>
      <c r="N894" s="34" t="n">
        <f aca="false">IF(K894=0,0,FFLAG)</f>
        <v>2</v>
      </c>
      <c r="O894" s="15"/>
      <c r="P894" s="16" t="n">
        <f aca="false">MAX(P893+M894)</f>
        <v>46608</v>
      </c>
      <c r="Q894" s="16" t="n">
        <f aca="false">MAX(P894+K894,Q893+N894)</f>
        <v>46617</v>
      </c>
      <c r="R894" s="12"/>
      <c r="S894" s="12"/>
    </row>
    <row r="895" customFormat="false" ht="15" hidden="false" customHeight="false" outlineLevel="0" collapsed="false">
      <c r="A895" s="15" t="s">
        <v>4225</v>
      </c>
      <c r="B895" s="15" t="s">
        <v>4213</v>
      </c>
      <c r="C895" s="15" t="s">
        <v>394</v>
      </c>
      <c r="D895" s="15" t="s">
        <v>719</v>
      </c>
      <c r="E895" s="15" t="s">
        <v>755</v>
      </c>
      <c r="F895" s="15" t="s">
        <v>3031</v>
      </c>
      <c r="G895" s="15" t="s">
        <v>3032</v>
      </c>
      <c r="H895" s="33" t="n">
        <f aca="false">Packages!$AB$86</f>
        <v>520.074849948317</v>
      </c>
      <c r="I895" s="15" t="s">
        <v>3019</v>
      </c>
      <c r="J895" s="34" t="n">
        <f aca="false">MAX(1,ROUNDUP(Packages!$AB$86/(R_BF*Fronts!$M$8),0))</f>
        <v>2</v>
      </c>
      <c r="K895" s="34" t="n">
        <f aca="false">IF(J895=0,0,ROUNDUP(J895*7/WD,0))</f>
        <v>3</v>
      </c>
      <c r="L895" s="15" t="s">
        <v>4224</v>
      </c>
      <c r="M895" s="34" t="n">
        <f aca="false">ROUNDUP(K894*LADDER,0)</f>
        <v>2</v>
      </c>
      <c r="N895" s="34" t="n">
        <f aca="false">IF(K895=0,0,FFLAG)</f>
        <v>2</v>
      </c>
      <c r="O895" s="15"/>
      <c r="P895" s="16" t="n">
        <f aca="false">MAX(P894+M895,R851)</f>
        <v>46610</v>
      </c>
      <c r="Q895" s="16" t="n">
        <f aca="false">MAX(P895+K895,Q894+N895)</f>
        <v>46619</v>
      </c>
      <c r="R895" s="16" t="n">
        <f aca="false">IF(K895&gt;0,Q895,R851)</f>
        <v>46619</v>
      </c>
      <c r="S895" s="15" t="s">
        <v>4166</v>
      </c>
    </row>
    <row r="896" customFormat="false" ht="15" hidden="false" customHeight="false" outlineLevel="0" collapsed="false">
      <c r="A896" s="15" t="s">
        <v>4226</v>
      </c>
      <c r="B896" s="15" t="s">
        <v>4213</v>
      </c>
      <c r="C896" s="15" t="s">
        <v>394</v>
      </c>
      <c r="D896" s="15" t="s">
        <v>719</v>
      </c>
      <c r="E896" s="15" t="s">
        <v>755</v>
      </c>
      <c r="F896" s="15" t="s">
        <v>3034</v>
      </c>
      <c r="G896" s="15" t="s">
        <v>3035</v>
      </c>
      <c r="H896" s="33" t="n">
        <f aca="false">Packages!$AD$86</f>
        <v>59.9999999987825</v>
      </c>
      <c r="I896" s="15" t="s">
        <v>3012</v>
      </c>
      <c r="J896" s="34" t="n">
        <f aca="false">IF(Packages!$AD$86&gt;0,ROUNDUP(Packages!$AD$86/R_EXT,0),0)+IF(Packages!$AG$86&gt;0,1,0)</f>
        <v>3</v>
      </c>
      <c r="K896" s="34" t="n">
        <f aca="false">IF(J896=0,0,ROUNDUP(J896*7/WD,0))</f>
        <v>4</v>
      </c>
      <c r="L896" s="15" t="s">
        <v>4225</v>
      </c>
      <c r="M896" s="34" t="n">
        <f aca="false">ROUNDUP(K895*LADDER,0)</f>
        <v>1</v>
      </c>
      <c r="N896" s="34" t="n">
        <f aca="false">IF(K896=0,0,FFLAG)</f>
        <v>2</v>
      </c>
      <c r="O896" s="15"/>
      <c r="P896" s="16" t="n">
        <f aca="false">MAX(P895+M896)</f>
        <v>46611</v>
      </c>
      <c r="Q896" s="16" t="n">
        <f aca="false">MAX(P896+K896,Q895+N896)</f>
        <v>46621</v>
      </c>
      <c r="R896" s="12"/>
      <c r="S896" s="12"/>
    </row>
    <row r="897" customFormat="false" ht="15" hidden="false" customHeight="false" outlineLevel="0" collapsed="false">
      <c r="A897" s="15" t="s">
        <v>4227</v>
      </c>
      <c r="B897" s="15" t="s">
        <v>4228</v>
      </c>
      <c r="C897" s="15" t="s">
        <v>397</v>
      </c>
      <c r="D897" s="15" t="s">
        <v>819</v>
      </c>
      <c r="E897" s="15" t="s">
        <v>866</v>
      </c>
      <c r="F897" s="15" t="s">
        <v>2998</v>
      </c>
      <c r="G897" s="15" t="s">
        <v>2999</v>
      </c>
      <c r="H897" s="12"/>
      <c r="I897" s="12"/>
      <c r="J897" s="34" t="n">
        <f aca="false">0</f>
        <v>0</v>
      </c>
      <c r="K897" s="34" t="n">
        <f aca="false">IF(J897=0,0,ROUNDUP(J897*7/WD,0))</f>
        <v>0</v>
      </c>
      <c r="L897" s="12"/>
      <c r="M897" s="12"/>
      <c r="N897" s="12"/>
      <c r="O897" s="15" t="s">
        <v>3000</v>
      </c>
      <c r="P897" s="16" t="n">
        <f aca="false">MAX(START,D_DLU,Packages!$I$87,Packages!$K$87)</f>
        <v>46357</v>
      </c>
      <c r="Q897" s="16" t="n">
        <f aca="false">P897+K897</f>
        <v>46357</v>
      </c>
      <c r="R897" s="12"/>
      <c r="S897" s="12"/>
    </row>
    <row r="898" customFormat="false" ht="15" hidden="false" customHeight="false" outlineLevel="0" collapsed="false">
      <c r="A898" s="15" t="s">
        <v>4229</v>
      </c>
      <c r="B898" s="15" t="s">
        <v>4228</v>
      </c>
      <c r="C898" s="15" t="s">
        <v>397</v>
      </c>
      <c r="D898" s="15" t="s">
        <v>819</v>
      </c>
      <c r="E898" s="15" t="s">
        <v>866</v>
      </c>
      <c r="F898" s="15" t="s">
        <v>3002</v>
      </c>
      <c r="G898" s="15" t="s">
        <v>205</v>
      </c>
      <c r="H898" s="33" t="n">
        <f aca="false">Packages!$O$87</f>
        <v>17.1079999997659</v>
      </c>
      <c r="I898" s="15" t="s">
        <v>118</v>
      </c>
      <c r="J898" s="34" t="n">
        <f aca="false">MAX(1,ROUNDUP(Packages!$O$87/R_PLAT,0))</f>
        <v>1</v>
      </c>
      <c r="K898" s="34" t="n">
        <f aca="false">IF(J898=0,0,ROUNDUP(J898*7/WD,0))</f>
        <v>2</v>
      </c>
      <c r="L898" s="15" t="s">
        <v>4227</v>
      </c>
      <c r="M898" s="12"/>
      <c r="N898" s="12"/>
      <c r="O898" s="15" t="s">
        <v>3003</v>
      </c>
      <c r="P898" s="16" t="n">
        <f aca="false">MAX(Q897)</f>
        <v>46357</v>
      </c>
      <c r="Q898" s="16" t="n">
        <f aca="false">P898+K898</f>
        <v>46359</v>
      </c>
      <c r="R898" s="12"/>
      <c r="S898" s="12"/>
    </row>
    <row r="899" customFormat="false" ht="15" hidden="false" customHeight="false" outlineLevel="0" collapsed="false">
      <c r="A899" s="15" t="s">
        <v>4230</v>
      </c>
      <c r="B899" s="15" t="s">
        <v>4228</v>
      </c>
      <c r="C899" s="15" t="s">
        <v>397</v>
      </c>
      <c r="D899" s="15" t="s">
        <v>819</v>
      </c>
      <c r="E899" s="15" t="s">
        <v>866</v>
      </c>
      <c r="F899" s="15" t="s">
        <v>3005</v>
      </c>
      <c r="G899" s="15" t="s">
        <v>3006</v>
      </c>
      <c r="H899" s="33" t="n">
        <f aca="false">Packages!$AC$87</f>
        <v>14</v>
      </c>
      <c r="I899" s="15" t="s">
        <v>3007</v>
      </c>
      <c r="J899" s="34" t="n">
        <f aca="false">IF(Packages!$AC$87=0,0,MAX(1,ROUNDUP(Packages!$AC$87/(R_PILE*Fronts!$H$9),0)))</f>
        <v>3</v>
      </c>
      <c r="K899" s="34" t="n">
        <f aca="false">IF(J899=0,0,ROUNDUP(J899*7/WD,0))</f>
        <v>4</v>
      </c>
      <c r="L899" s="15" t="s">
        <v>4229</v>
      </c>
      <c r="M899" s="34" t="n">
        <f aca="false">ROUNDUP(K898*LADDER,0)</f>
        <v>1</v>
      </c>
      <c r="N899" s="34" t="n">
        <f aca="false">IF(K899=0,0,FFLAG)</f>
        <v>2</v>
      </c>
      <c r="O899" s="15" t="s">
        <v>3008</v>
      </c>
      <c r="P899" s="16" t="n">
        <f aca="false">MAX(P898+M899,D_PILEDES)</f>
        <v>46358</v>
      </c>
      <c r="Q899" s="16" t="n">
        <f aca="false">MAX(P899+K899,Q898+N899)</f>
        <v>46362</v>
      </c>
      <c r="R899" s="16" t="n">
        <f aca="false">IF(K899&gt;0,Q899,0)</f>
        <v>46362</v>
      </c>
      <c r="S899" s="12"/>
    </row>
    <row r="900" customFormat="false" ht="15" hidden="false" customHeight="false" outlineLevel="0" collapsed="false">
      <c r="A900" s="15" t="s">
        <v>4231</v>
      </c>
      <c r="B900" s="15" t="s">
        <v>4228</v>
      </c>
      <c r="C900" s="15" t="s">
        <v>397</v>
      </c>
      <c r="D900" s="15" t="s">
        <v>819</v>
      </c>
      <c r="E900" s="15" t="s">
        <v>866</v>
      </c>
      <c r="F900" s="15" t="s">
        <v>3010</v>
      </c>
      <c r="G900" s="15" t="s">
        <v>3011</v>
      </c>
      <c r="H900" s="33" t="n">
        <f aca="false">Packages!$AD$87</f>
        <v>34.2159999995318</v>
      </c>
      <c r="I900" s="15" t="s">
        <v>3012</v>
      </c>
      <c r="J900" s="34" t="n">
        <f aca="false">IF(Packages!$AD$87=0,0,MAX(1,ROUNDUP(Packages!$AD$87/(R_SHEET*Fronts!$I$9),0)))</f>
        <v>2</v>
      </c>
      <c r="K900" s="34" t="n">
        <f aca="false">IF(J900=0,0,ROUNDUP(J900*7/WD,0))</f>
        <v>3</v>
      </c>
      <c r="L900" s="15" t="s">
        <v>4230</v>
      </c>
      <c r="M900" s="34" t="n">
        <f aca="false">ROUNDUP(K899*LADDER,0)</f>
        <v>2</v>
      </c>
      <c r="N900" s="34" t="n">
        <f aca="false">IF(K900=0,0,FFLAG)</f>
        <v>2</v>
      </c>
      <c r="O900" s="15"/>
      <c r="P900" s="16" t="n">
        <f aca="false">MAX(P899+M900)</f>
        <v>46360</v>
      </c>
      <c r="Q900" s="16" t="n">
        <f aca="false">MAX(P900+K900,Q899+N900)</f>
        <v>46364</v>
      </c>
      <c r="R900" s="16" t="n">
        <f aca="false">IF(K900&gt;0,Q900,0)</f>
        <v>46364</v>
      </c>
      <c r="S900" s="12"/>
    </row>
    <row r="901" customFormat="false" ht="15" hidden="false" customHeight="false" outlineLevel="0" collapsed="false">
      <c r="A901" s="15" t="s">
        <v>4232</v>
      </c>
      <c r="B901" s="15" t="s">
        <v>4228</v>
      </c>
      <c r="C901" s="15" t="s">
        <v>397</v>
      </c>
      <c r="D901" s="15" t="s">
        <v>819</v>
      </c>
      <c r="E901" s="15" t="s">
        <v>866</v>
      </c>
      <c r="F901" s="15" t="s">
        <v>3014</v>
      </c>
      <c r="G901" s="15" t="s">
        <v>3015</v>
      </c>
      <c r="H901" s="33" t="n">
        <f aca="false">Packages!$O$87</f>
        <v>17.1079999997659</v>
      </c>
      <c r="I901" s="15" t="s">
        <v>118</v>
      </c>
      <c r="J901" s="34" t="n">
        <f aca="false">IF(Packages!$AG$87=0,0,ROUNDUP(Packages!$O$87/R_DW,0)+DW_DRAW)</f>
        <v>8</v>
      </c>
      <c r="K901" s="34" t="n">
        <f aca="false">IF(J901=0,0,ROUNDUP(J901*7/WD,0))</f>
        <v>10</v>
      </c>
      <c r="L901" s="15" t="s">
        <v>4231</v>
      </c>
      <c r="M901" s="34" t="n">
        <f aca="false">ROUNDUP(K900*LADDER,0)</f>
        <v>1</v>
      </c>
      <c r="N901" s="34" t="n">
        <f aca="false">IF(K901=0,0,FFLAG)</f>
        <v>2</v>
      </c>
      <c r="O901" s="15"/>
      <c r="P901" s="16" t="n">
        <f aca="false">MAX(P900+M901)</f>
        <v>46361</v>
      </c>
      <c r="Q901" s="16" t="n">
        <f aca="false">MAX(P901+K901,Q900+N901)</f>
        <v>46371</v>
      </c>
      <c r="R901" s="12"/>
      <c r="S901" s="12"/>
    </row>
    <row r="902" customFormat="false" ht="15" hidden="false" customHeight="false" outlineLevel="0" collapsed="false">
      <c r="A902" s="15" t="s">
        <v>4233</v>
      </c>
      <c r="B902" s="15" t="s">
        <v>4228</v>
      </c>
      <c r="C902" s="15" t="s">
        <v>397</v>
      </c>
      <c r="D902" s="15" t="s">
        <v>819</v>
      </c>
      <c r="E902" s="15" t="s">
        <v>866</v>
      </c>
      <c r="F902" s="15" t="s">
        <v>3017</v>
      </c>
      <c r="G902" s="15" t="s">
        <v>3018</v>
      </c>
      <c r="H902" s="33" t="n">
        <f aca="false">Packages!$X$87+Packages!$Y$87</f>
        <v>323.266456221611</v>
      </c>
      <c r="I902" s="15" t="s">
        <v>3019</v>
      </c>
      <c r="J902" s="34" t="n">
        <f aca="false">MAX(1,ROUNDUP((Packages!$X$87/R_EXS+Packages!$Y$87/R_EXO)/Fronts!$J$9,0))</f>
        <v>2</v>
      </c>
      <c r="K902" s="34" t="n">
        <f aca="false">IF(J902=0,0,ROUNDUP(J902*7/WD,0))</f>
        <v>3</v>
      </c>
      <c r="L902" s="15" t="s">
        <v>4232</v>
      </c>
      <c r="M902" s="34" t="n">
        <f aca="false">IF(K901=0,0,ROUNDUP((K901-ROUNDUP(DW_DRAW*7/WD,0))*LADDER,0)+ROUNDUP(DW_DRAW*7/WD,0))</f>
        <v>10</v>
      </c>
      <c r="N902" s="34" t="n">
        <f aca="false">IF(K902=0,0,FFLAG)</f>
        <v>2</v>
      </c>
      <c r="O902" s="15" t="s">
        <v>4234</v>
      </c>
      <c r="P902" s="16" t="n">
        <f aca="false">MAX(P901+M902,Q1170)</f>
        <v>46404</v>
      </c>
      <c r="Q902" s="16" t="n">
        <f aca="false">MAX(P902+K902,Q901+N902)</f>
        <v>46407</v>
      </c>
      <c r="R902" s="16" t="n">
        <f aca="false">IF(K902&gt;0,Q902,0)</f>
        <v>46407</v>
      </c>
      <c r="S902" s="12"/>
    </row>
    <row r="903" customFormat="false" ht="15" hidden="false" customHeight="false" outlineLevel="0" collapsed="false">
      <c r="A903" s="15" t="s">
        <v>4235</v>
      </c>
      <c r="B903" s="15" t="s">
        <v>4228</v>
      </c>
      <c r="C903" s="15" t="s">
        <v>397</v>
      </c>
      <c r="D903" s="15" t="s">
        <v>819</v>
      </c>
      <c r="E903" s="15" t="s">
        <v>866</v>
      </c>
      <c r="F903" s="15" t="s">
        <v>3022</v>
      </c>
      <c r="G903" s="15" t="s">
        <v>3023</v>
      </c>
      <c r="H903" s="33" t="n">
        <f aca="false">Packages!$O$87</f>
        <v>17.1079999997659</v>
      </c>
      <c r="I903" s="15" t="s">
        <v>118</v>
      </c>
      <c r="J903" s="34" t="n">
        <f aca="false">MAX(1,ROUNDUP(Packages!$O$87/(R_SLAB*Fronts!$K$9),0))+SLAB_CURE</f>
        <v>5</v>
      </c>
      <c r="K903" s="34" t="n">
        <f aca="false">IF(J903=0,0,ROUNDUP(J903*7/WD,0))</f>
        <v>6</v>
      </c>
      <c r="L903" s="15" t="s">
        <v>4233</v>
      </c>
      <c r="M903" s="34" t="n">
        <f aca="false">ROUNDUP(K902*LADDER,0)</f>
        <v>1</v>
      </c>
      <c r="N903" s="34" t="n">
        <f aca="false">IF(K903=0,0,FFLAG)</f>
        <v>2</v>
      </c>
      <c r="O903" s="15"/>
      <c r="P903" s="16" t="n">
        <f aca="false">MAX(P902+M903)</f>
        <v>46405</v>
      </c>
      <c r="Q903" s="16" t="n">
        <f aca="false">MAX(P903+K903,Q902+N903)</f>
        <v>46411</v>
      </c>
      <c r="R903" s="16" t="n">
        <f aca="false">IF(K903&gt;0,Q903,0)</f>
        <v>46411</v>
      </c>
      <c r="S903" s="12"/>
    </row>
    <row r="904" customFormat="false" ht="15" hidden="false" customHeight="false" outlineLevel="0" collapsed="false">
      <c r="A904" s="15" t="s">
        <v>4236</v>
      </c>
      <c r="B904" s="15" t="s">
        <v>4228</v>
      </c>
      <c r="C904" s="15" t="s">
        <v>397</v>
      </c>
      <c r="D904" s="15" t="s">
        <v>819</v>
      </c>
      <c r="E904" s="15" t="s">
        <v>866</v>
      </c>
      <c r="F904" s="15" t="s">
        <v>3025</v>
      </c>
      <c r="G904" s="15" t="s">
        <v>3026</v>
      </c>
      <c r="H904" s="33" t="n">
        <f aca="false">Packages!$O$87</f>
        <v>17.1079999997659</v>
      </c>
      <c r="I904" s="15" t="s">
        <v>118</v>
      </c>
      <c r="J904" s="34" t="n">
        <f aca="false">MAX(1,ROUNDUP(Packages!$O$87/(IF(Packages!$N$87&gt;=PIPE_T1,R_PIPE_L,IF(Packages!$N$87&gt;=PIPE_T2,R_PIPE_M,R_PIPE_S))*Fronts!$L$9)+Packages!$M$87*FIT_D+IF(Packages!$G$87&lt;&gt;"Run",TIE_D,0),0))</f>
        <v>1</v>
      </c>
      <c r="K904" s="34" t="n">
        <f aca="false">IF(J904=0,0,ROUNDUP(J904*7/WD,0))</f>
        <v>2</v>
      </c>
      <c r="L904" s="15" t="s">
        <v>4235</v>
      </c>
      <c r="M904" s="34" t="n">
        <f aca="false">ROUNDUP(K903*LADDER,0)</f>
        <v>2</v>
      </c>
      <c r="N904" s="34" t="n">
        <f aca="false">IF(K904=0,0,FFLAG)</f>
        <v>2</v>
      </c>
      <c r="O904" s="15"/>
      <c r="P904" s="16" t="n">
        <f aca="false">MAX(P903+M904)</f>
        <v>46407</v>
      </c>
      <c r="Q904" s="16" t="n">
        <f aca="false">MAX(P904+K904,Q903+N904)</f>
        <v>46413</v>
      </c>
      <c r="R904" s="16" t="n">
        <f aca="false">IF(K904&gt;0,Q904,0)</f>
        <v>46413</v>
      </c>
      <c r="S904" s="12"/>
    </row>
    <row r="905" customFormat="false" ht="15" hidden="false" customHeight="false" outlineLevel="0" collapsed="false">
      <c r="A905" s="15" t="s">
        <v>4237</v>
      </c>
      <c r="B905" s="15" t="s">
        <v>4228</v>
      </c>
      <c r="C905" s="15" t="s">
        <v>397</v>
      </c>
      <c r="D905" s="15" t="s">
        <v>819</v>
      </c>
      <c r="E905" s="15" t="s">
        <v>866</v>
      </c>
      <c r="F905" s="15" t="s">
        <v>3028</v>
      </c>
      <c r="G905" s="15" t="s">
        <v>3029</v>
      </c>
      <c r="H905" s="33" t="n">
        <f aca="false">Packages!$O$87</f>
        <v>17.1079999997659</v>
      </c>
      <c r="I905" s="15" t="s">
        <v>118</v>
      </c>
      <c r="J905" s="34" t="n">
        <f aca="false">TEST_D+ROUNDUP(Packages!$O$87/R_TEST,0)</f>
        <v>3</v>
      </c>
      <c r="K905" s="34" t="n">
        <f aca="false">IF(J905=0,0,ROUNDUP(J905*7/WD,0))</f>
        <v>4</v>
      </c>
      <c r="L905" s="15" t="s">
        <v>4236</v>
      </c>
      <c r="M905" s="34" t="n">
        <f aca="false">ROUNDUP(K904*LADDER,0)</f>
        <v>1</v>
      </c>
      <c r="N905" s="34" t="n">
        <f aca="false">IF(K905=0,0,FFLAG)</f>
        <v>2</v>
      </c>
      <c r="O905" s="15"/>
      <c r="P905" s="16" t="n">
        <f aca="false">MAX(P904+M905)</f>
        <v>46408</v>
      </c>
      <c r="Q905" s="16" t="n">
        <f aca="false">MAX(P905+K905,Q904+N905)</f>
        <v>46415</v>
      </c>
      <c r="R905" s="12"/>
      <c r="S905" s="12"/>
    </row>
    <row r="906" customFormat="false" ht="15" hidden="false" customHeight="false" outlineLevel="0" collapsed="false">
      <c r="A906" s="15" t="s">
        <v>4238</v>
      </c>
      <c r="B906" s="15" t="s">
        <v>4228</v>
      </c>
      <c r="C906" s="15" t="s">
        <v>397</v>
      </c>
      <c r="D906" s="15" t="s">
        <v>819</v>
      </c>
      <c r="E906" s="15" t="s">
        <v>866</v>
      </c>
      <c r="F906" s="15" t="s">
        <v>3031</v>
      </c>
      <c r="G906" s="15" t="s">
        <v>3032</v>
      </c>
      <c r="H906" s="33" t="n">
        <f aca="false">Packages!$AB$87</f>
        <v>239.45712135855</v>
      </c>
      <c r="I906" s="15" t="s">
        <v>3019</v>
      </c>
      <c r="J906" s="34" t="n">
        <f aca="false">MAX(1,ROUNDUP(Packages!$AB$87/(R_BF*Fronts!$M$9),0))</f>
        <v>1</v>
      </c>
      <c r="K906" s="34" t="n">
        <f aca="false">IF(J906=0,0,ROUNDUP(J906*7/WD,0))</f>
        <v>2</v>
      </c>
      <c r="L906" s="15" t="s">
        <v>4237</v>
      </c>
      <c r="M906" s="34" t="n">
        <f aca="false">ROUNDUP(K905*LADDER,0)</f>
        <v>2</v>
      </c>
      <c r="N906" s="34" t="n">
        <f aca="false">IF(K906=0,0,FFLAG)</f>
        <v>2</v>
      </c>
      <c r="O906" s="15" t="s">
        <v>4239</v>
      </c>
      <c r="P906" s="16" t="n">
        <f aca="false">MAX(P905+M906,Q948,Q959,Q970)</f>
        <v>46444</v>
      </c>
      <c r="Q906" s="16" t="n">
        <f aca="false">MAX(P906+K906,Q905+N906)</f>
        <v>46446</v>
      </c>
      <c r="R906" s="16" t="n">
        <f aca="false">IF(K906&gt;0,Q906,0)</f>
        <v>46446</v>
      </c>
      <c r="S906" s="12"/>
    </row>
    <row r="907" customFormat="false" ht="15" hidden="false" customHeight="false" outlineLevel="0" collapsed="false">
      <c r="A907" s="15" t="s">
        <v>4240</v>
      </c>
      <c r="B907" s="15" t="s">
        <v>4228</v>
      </c>
      <c r="C907" s="15" t="s">
        <v>397</v>
      </c>
      <c r="D907" s="15" t="s">
        <v>819</v>
      </c>
      <c r="E907" s="15" t="s">
        <v>866</v>
      </c>
      <c r="F907" s="15" t="s">
        <v>3034</v>
      </c>
      <c r="G907" s="15" t="s">
        <v>3035</v>
      </c>
      <c r="H907" s="33" t="n">
        <f aca="false">Packages!$AD$87</f>
        <v>34.2159999995318</v>
      </c>
      <c r="I907" s="15" t="s">
        <v>3012</v>
      </c>
      <c r="J907" s="34" t="n">
        <f aca="false">IF(Packages!$AD$87&gt;0,ROUNDUP(Packages!$AD$87/R_EXT,0),0)+IF(Packages!$AG$87&gt;0,1,0)</f>
        <v>2</v>
      </c>
      <c r="K907" s="34" t="n">
        <f aca="false">IF(J907=0,0,ROUNDUP(J907*7/WD,0))</f>
        <v>3</v>
      </c>
      <c r="L907" s="15" t="s">
        <v>4238</v>
      </c>
      <c r="M907" s="34" t="n">
        <f aca="false">ROUNDUP(K906*LADDER,0)</f>
        <v>1</v>
      </c>
      <c r="N907" s="34" t="n">
        <f aca="false">IF(K907=0,0,FFLAG)</f>
        <v>2</v>
      </c>
      <c r="O907" s="15"/>
      <c r="P907" s="16" t="n">
        <f aca="false">MAX(P906+M907)</f>
        <v>46445</v>
      </c>
      <c r="Q907" s="16" t="n">
        <f aca="false">MAX(P907+K907,Q906+N907)</f>
        <v>46448</v>
      </c>
      <c r="R907" s="12"/>
      <c r="S907" s="12"/>
    </row>
    <row r="908" customFormat="false" ht="15" hidden="false" customHeight="false" outlineLevel="0" collapsed="false">
      <c r="A908" s="15" t="s">
        <v>4241</v>
      </c>
      <c r="B908" s="15" t="s">
        <v>4242</v>
      </c>
      <c r="C908" s="15" t="s">
        <v>397</v>
      </c>
      <c r="D908" s="15" t="s">
        <v>819</v>
      </c>
      <c r="E908" s="15" t="s">
        <v>870</v>
      </c>
      <c r="F908" s="15" t="s">
        <v>2998</v>
      </c>
      <c r="G908" s="15" t="s">
        <v>2999</v>
      </c>
      <c r="H908" s="12"/>
      <c r="I908" s="12"/>
      <c r="J908" s="34" t="n">
        <f aca="false">0</f>
        <v>0</v>
      </c>
      <c r="K908" s="34" t="n">
        <f aca="false">IF(J908=0,0,ROUNDUP(J908*7/WD,0))</f>
        <v>0</v>
      </c>
      <c r="L908" s="12"/>
      <c r="M908" s="12"/>
      <c r="N908" s="12"/>
      <c r="O908" s="15" t="s">
        <v>3038</v>
      </c>
      <c r="P908" s="16" t="n">
        <f aca="false">MAX(START,D_DLU,Packages!$I$88,Packages!$K$88)</f>
        <v>46357</v>
      </c>
      <c r="Q908" s="16" t="n">
        <f aca="false">P908+K908</f>
        <v>46357</v>
      </c>
      <c r="R908" s="12"/>
      <c r="S908" s="12"/>
    </row>
    <row r="909" customFormat="false" ht="15" hidden="false" customHeight="false" outlineLevel="0" collapsed="false">
      <c r="A909" s="15" t="s">
        <v>4243</v>
      </c>
      <c r="B909" s="15" t="s">
        <v>4242</v>
      </c>
      <c r="C909" s="15" t="s">
        <v>397</v>
      </c>
      <c r="D909" s="15" t="s">
        <v>819</v>
      </c>
      <c r="E909" s="15" t="s">
        <v>870</v>
      </c>
      <c r="F909" s="15" t="s">
        <v>3002</v>
      </c>
      <c r="G909" s="15" t="s">
        <v>205</v>
      </c>
      <c r="H909" s="33" t="n">
        <f aca="false">Packages!$O$88</f>
        <v>6.00039105642283</v>
      </c>
      <c r="I909" s="15" t="s">
        <v>118</v>
      </c>
      <c r="J909" s="34" t="n">
        <f aca="false">MAX(1,ROUNDUP(Packages!$O$88/R_PLAT,0))</f>
        <v>1</v>
      </c>
      <c r="K909" s="34" t="n">
        <f aca="false">IF(J909=0,0,ROUNDUP(J909*7/WD,0))</f>
        <v>2</v>
      </c>
      <c r="L909" s="15" t="s">
        <v>4241</v>
      </c>
      <c r="M909" s="12"/>
      <c r="N909" s="12"/>
      <c r="O909" s="15" t="s">
        <v>4244</v>
      </c>
      <c r="P909" s="16" t="n">
        <f aca="false">MAX(Q908,P899)</f>
        <v>46358</v>
      </c>
      <c r="Q909" s="16" t="n">
        <f aca="false">P909+K909</f>
        <v>46360</v>
      </c>
      <c r="R909" s="12"/>
      <c r="S909" s="12"/>
    </row>
    <row r="910" customFormat="false" ht="15" hidden="false" customHeight="false" outlineLevel="0" collapsed="false">
      <c r="A910" s="15" t="s">
        <v>4245</v>
      </c>
      <c r="B910" s="15" t="s">
        <v>4242</v>
      </c>
      <c r="C910" s="15" t="s">
        <v>397</v>
      </c>
      <c r="D910" s="15" t="s">
        <v>819</v>
      </c>
      <c r="E910" s="15" t="s">
        <v>870</v>
      </c>
      <c r="F910" s="15" t="s">
        <v>3005</v>
      </c>
      <c r="G910" s="15" t="s">
        <v>3006</v>
      </c>
      <c r="H910" s="33" t="n">
        <f aca="false">Packages!$AC$88</f>
        <v>8</v>
      </c>
      <c r="I910" s="15" t="s">
        <v>3007</v>
      </c>
      <c r="J910" s="34" t="n">
        <f aca="false">IF(Packages!$AC$88=0,0,MAX(1,ROUNDUP(Packages!$AC$88/(R_PILE*Fronts!$H$9),0)))</f>
        <v>2</v>
      </c>
      <c r="K910" s="34" t="n">
        <f aca="false">IF(J910=0,0,ROUNDUP(J910*7/WD,0))</f>
        <v>3</v>
      </c>
      <c r="L910" s="15" t="s">
        <v>4243</v>
      </c>
      <c r="M910" s="34" t="n">
        <f aca="false">ROUNDUP(K909*LADDER,0)</f>
        <v>1</v>
      </c>
      <c r="N910" s="34" t="n">
        <f aca="false">IF(K910=0,0,FFLAG)</f>
        <v>2</v>
      </c>
      <c r="O910" s="15" t="s">
        <v>3008</v>
      </c>
      <c r="P910" s="16" t="n">
        <f aca="false">MAX(P909+M910,D_PILEDES)</f>
        <v>46359</v>
      </c>
      <c r="Q910" s="16" t="n">
        <f aca="false">MAX(P910+K910,Q909+N910)</f>
        <v>46362</v>
      </c>
      <c r="R910" s="16" t="n">
        <f aca="false">IF(K910&gt;0,Q910,0)</f>
        <v>46362</v>
      </c>
      <c r="S910" s="12"/>
    </row>
    <row r="911" customFormat="false" ht="15" hidden="false" customHeight="false" outlineLevel="0" collapsed="false">
      <c r="A911" s="15" t="s">
        <v>4246</v>
      </c>
      <c r="B911" s="15" t="s">
        <v>4242</v>
      </c>
      <c r="C911" s="15" t="s">
        <v>397</v>
      </c>
      <c r="D911" s="15" t="s">
        <v>819</v>
      </c>
      <c r="E911" s="15" t="s">
        <v>870</v>
      </c>
      <c r="F911" s="15" t="s">
        <v>3010</v>
      </c>
      <c r="G911" s="15" t="s">
        <v>3011</v>
      </c>
      <c r="H911" s="33" t="n">
        <f aca="false">Packages!$AD$88</f>
        <v>12.0007821128457</v>
      </c>
      <c r="I911" s="15" t="s">
        <v>3012</v>
      </c>
      <c r="J911" s="34" t="n">
        <f aca="false">IF(Packages!$AD$88=0,0,MAX(1,ROUNDUP(Packages!$AD$88/(R_SHEET*Fronts!$I$9),0)))</f>
        <v>1</v>
      </c>
      <c r="K911" s="34" t="n">
        <f aca="false">IF(J911=0,0,ROUNDUP(J911*7/WD,0))</f>
        <v>2</v>
      </c>
      <c r="L911" s="15" t="s">
        <v>4245</v>
      </c>
      <c r="M911" s="34" t="n">
        <f aca="false">ROUNDUP(K910*LADDER,0)</f>
        <v>1</v>
      </c>
      <c r="N911" s="34" t="n">
        <f aca="false">IF(K911=0,0,FFLAG)</f>
        <v>2</v>
      </c>
      <c r="O911" s="15"/>
      <c r="P911" s="16" t="n">
        <f aca="false">MAX(P910+M911)</f>
        <v>46360</v>
      </c>
      <c r="Q911" s="16" t="n">
        <f aca="false">MAX(P911+K911,Q910+N911)</f>
        <v>46364</v>
      </c>
      <c r="R911" s="16" t="n">
        <f aca="false">IF(K911&gt;0,Q911,0)</f>
        <v>46364</v>
      </c>
      <c r="S911" s="12"/>
    </row>
    <row r="912" customFormat="false" ht="15" hidden="false" customHeight="false" outlineLevel="0" collapsed="false">
      <c r="A912" s="15" t="s">
        <v>4247</v>
      </c>
      <c r="B912" s="15" t="s">
        <v>4242</v>
      </c>
      <c r="C912" s="15" t="s">
        <v>397</v>
      </c>
      <c r="D912" s="15" t="s">
        <v>819</v>
      </c>
      <c r="E912" s="15" t="s">
        <v>870</v>
      </c>
      <c r="F912" s="15" t="s">
        <v>3014</v>
      </c>
      <c r="G912" s="15" t="s">
        <v>3015</v>
      </c>
      <c r="H912" s="33" t="n">
        <f aca="false">Packages!$O$88</f>
        <v>6.00039105642283</v>
      </c>
      <c r="I912" s="15" t="s">
        <v>118</v>
      </c>
      <c r="J912" s="34" t="n">
        <f aca="false">IF(Packages!$AG$88=0,0,ROUNDUP(Packages!$O$88/R_DW,0)+DW_DRAW)</f>
        <v>8</v>
      </c>
      <c r="K912" s="34" t="n">
        <f aca="false">IF(J912=0,0,ROUNDUP(J912*7/WD,0))</f>
        <v>10</v>
      </c>
      <c r="L912" s="15" t="s">
        <v>4246</v>
      </c>
      <c r="M912" s="34" t="n">
        <f aca="false">ROUNDUP(K911*LADDER,0)</f>
        <v>1</v>
      </c>
      <c r="N912" s="34" t="n">
        <f aca="false">IF(K912=0,0,FFLAG)</f>
        <v>2</v>
      </c>
      <c r="O912" s="15"/>
      <c r="P912" s="16" t="n">
        <f aca="false">MAX(P911+M912)</f>
        <v>46361</v>
      </c>
      <c r="Q912" s="16" t="n">
        <f aca="false">MAX(P912+K912,Q911+N912)</f>
        <v>46371</v>
      </c>
      <c r="R912" s="12"/>
      <c r="S912" s="12"/>
    </row>
    <row r="913" customFormat="false" ht="15" hidden="false" customHeight="false" outlineLevel="0" collapsed="false">
      <c r="A913" s="15" t="s">
        <v>4248</v>
      </c>
      <c r="B913" s="15" t="s">
        <v>4242</v>
      </c>
      <c r="C913" s="15" t="s">
        <v>397</v>
      </c>
      <c r="D913" s="15" t="s">
        <v>819</v>
      </c>
      <c r="E913" s="15" t="s">
        <v>870</v>
      </c>
      <c r="F913" s="15" t="s">
        <v>3017</v>
      </c>
      <c r="G913" s="15" t="s">
        <v>3018</v>
      </c>
      <c r="H913" s="33" t="n">
        <f aca="false">Packages!$X$88+Packages!$Y$88</f>
        <v>109.342727916464</v>
      </c>
      <c r="I913" s="15" t="s">
        <v>3019</v>
      </c>
      <c r="J913" s="34" t="n">
        <f aca="false">MAX(1,ROUNDUP((Packages!$X$88/R_EXS+Packages!$Y$88/R_EXO)/Fronts!$J$9,0))</f>
        <v>1</v>
      </c>
      <c r="K913" s="34" t="n">
        <f aca="false">IF(J913=0,0,ROUNDUP(J913*7/WD,0))</f>
        <v>2</v>
      </c>
      <c r="L913" s="15" t="s">
        <v>4247</v>
      </c>
      <c r="M913" s="34" t="n">
        <f aca="false">IF(K912=0,0,ROUNDUP((K912-ROUNDUP(DW_DRAW*7/WD,0))*LADDER,0)+ROUNDUP(DW_DRAW*7/WD,0))</f>
        <v>10</v>
      </c>
      <c r="N913" s="34" t="n">
        <f aca="false">IF(K913=0,0,FFLAG)</f>
        <v>2</v>
      </c>
      <c r="O913" s="15" t="s">
        <v>4234</v>
      </c>
      <c r="P913" s="16" t="n">
        <f aca="false">MAX(P912+M913,Q1170)</f>
        <v>46404</v>
      </c>
      <c r="Q913" s="16" t="n">
        <f aca="false">MAX(P913+K913,Q912+N913)</f>
        <v>46406</v>
      </c>
      <c r="R913" s="16" t="n">
        <f aca="false">IF(K913&gt;0,Q913,0)</f>
        <v>46406</v>
      </c>
      <c r="S913" s="12"/>
    </row>
    <row r="914" customFormat="false" ht="15" hidden="false" customHeight="false" outlineLevel="0" collapsed="false">
      <c r="A914" s="15" t="s">
        <v>4249</v>
      </c>
      <c r="B914" s="15" t="s">
        <v>4242</v>
      </c>
      <c r="C914" s="15" t="s">
        <v>397</v>
      </c>
      <c r="D914" s="15" t="s">
        <v>819</v>
      </c>
      <c r="E914" s="15" t="s">
        <v>870</v>
      </c>
      <c r="F914" s="15" t="s">
        <v>3022</v>
      </c>
      <c r="G914" s="15" t="s">
        <v>3023</v>
      </c>
      <c r="H914" s="33" t="n">
        <f aca="false">Packages!$O$88</f>
        <v>6.00039105642283</v>
      </c>
      <c r="I914" s="15" t="s">
        <v>118</v>
      </c>
      <c r="J914" s="34" t="n">
        <f aca="false">MAX(1,ROUNDUP(Packages!$O$88/(R_SLAB*Fronts!$K$9),0))+SLAB_CURE</f>
        <v>4</v>
      </c>
      <c r="K914" s="34" t="n">
        <f aca="false">IF(J914=0,0,ROUNDUP(J914*7/WD,0))</f>
        <v>5</v>
      </c>
      <c r="L914" s="15" t="s">
        <v>4248</v>
      </c>
      <c r="M914" s="34" t="n">
        <f aca="false">ROUNDUP(K913*LADDER,0)</f>
        <v>1</v>
      </c>
      <c r="N914" s="34" t="n">
        <f aca="false">IF(K914=0,0,FFLAG)</f>
        <v>2</v>
      </c>
      <c r="O914" s="15"/>
      <c r="P914" s="16" t="n">
        <f aca="false">MAX(P913+M914)</f>
        <v>46405</v>
      </c>
      <c r="Q914" s="16" t="n">
        <f aca="false">MAX(P914+K914,Q913+N914)</f>
        <v>46410</v>
      </c>
      <c r="R914" s="16" t="n">
        <f aca="false">IF(K914&gt;0,Q914,0)</f>
        <v>46410</v>
      </c>
      <c r="S914" s="12"/>
    </row>
    <row r="915" customFormat="false" ht="15" hidden="false" customHeight="false" outlineLevel="0" collapsed="false">
      <c r="A915" s="15" t="s">
        <v>4250</v>
      </c>
      <c r="B915" s="15" t="s">
        <v>4242</v>
      </c>
      <c r="C915" s="15" t="s">
        <v>397</v>
      </c>
      <c r="D915" s="15" t="s">
        <v>819</v>
      </c>
      <c r="E915" s="15" t="s">
        <v>870</v>
      </c>
      <c r="F915" s="15" t="s">
        <v>3025</v>
      </c>
      <c r="G915" s="15" t="s">
        <v>3026</v>
      </c>
      <c r="H915" s="33" t="n">
        <f aca="false">Packages!$O$88</f>
        <v>6.00039105642283</v>
      </c>
      <c r="I915" s="15" t="s">
        <v>118</v>
      </c>
      <c r="J915" s="34" t="n">
        <f aca="false">MAX(1,ROUNDUP(Packages!$O$88/(IF(Packages!$N$88&gt;=PIPE_T1,R_PIPE_L,IF(Packages!$N$88&gt;=PIPE_T2,R_PIPE_M,R_PIPE_S))*Fronts!$L$9)+Packages!$M$88*FIT_D+IF(Packages!$G$88&lt;&gt;"Run",TIE_D,0),0))</f>
        <v>4</v>
      </c>
      <c r="K915" s="34" t="n">
        <f aca="false">IF(J915=0,0,ROUNDUP(J915*7/WD,0))</f>
        <v>5</v>
      </c>
      <c r="L915" s="15" t="s">
        <v>4249</v>
      </c>
      <c r="M915" s="34" t="n">
        <f aca="false">ROUNDUP(K914*LADDER,0)</f>
        <v>2</v>
      </c>
      <c r="N915" s="34" t="n">
        <f aca="false">IF(K915=0,0,FFLAG)</f>
        <v>2</v>
      </c>
      <c r="O915" s="15" t="s">
        <v>4251</v>
      </c>
      <c r="P915" s="16" t="n">
        <f aca="false">MAX(P914+M915,Q904)</f>
        <v>46413</v>
      </c>
      <c r="Q915" s="16" t="n">
        <f aca="false">MAX(P915+K915,Q914+N915)</f>
        <v>46418</v>
      </c>
      <c r="R915" s="16" t="n">
        <f aca="false">IF(K915&gt;0,Q915,0)</f>
        <v>46418</v>
      </c>
      <c r="S915" s="12"/>
    </row>
    <row r="916" customFormat="false" ht="15" hidden="false" customHeight="false" outlineLevel="0" collapsed="false">
      <c r="A916" s="15" t="s">
        <v>4252</v>
      </c>
      <c r="B916" s="15" t="s">
        <v>4242</v>
      </c>
      <c r="C916" s="15" t="s">
        <v>397</v>
      </c>
      <c r="D916" s="15" t="s">
        <v>819</v>
      </c>
      <c r="E916" s="15" t="s">
        <v>870</v>
      </c>
      <c r="F916" s="15" t="s">
        <v>3028</v>
      </c>
      <c r="G916" s="15" t="s">
        <v>3029</v>
      </c>
      <c r="H916" s="33" t="n">
        <f aca="false">Packages!$O$88</f>
        <v>6.00039105642283</v>
      </c>
      <c r="I916" s="15" t="s">
        <v>118</v>
      </c>
      <c r="J916" s="34" t="n">
        <f aca="false">TEST_D+ROUNDUP(Packages!$O$88/R_TEST,0)</f>
        <v>3</v>
      </c>
      <c r="K916" s="34" t="n">
        <f aca="false">IF(J916=0,0,ROUNDUP(J916*7/WD,0))</f>
        <v>4</v>
      </c>
      <c r="L916" s="15" t="s">
        <v>4250</v>
      </c>
      <c r="M916" s="34" t="n">
        <f aca="false">ROUNDUP(K915*LADDER,0)</f>
        <v>2</v>
      </c>
      <c r="N916" s="34" t="n">
        <f aca="false">IF(K916=0,0,FFLAG)</f>
        <v>2</v>
      </c>
      <c r="O916" s="15"/>
      <c r="P916" s="16" t="n">
        <f aca="false">MAX(P915+M916)</f>
        <v>46415</v>
      </c>
      <c r="Q916" s="16" t="n">
        <f aca="false">MAX(P916+K916,Q915+N916)</f>
        <v>46420</v>
      </c>
      <c r="R916" s="12"/>
      <c r="S916" s="12"/>
    </row>
    <row r="917" customFormat="false" ht="15" hidden="false" customHeight="false" outlineLevel="0" collapsed="false">
      <c r="A917" s="15" t="s">
        <v>4253</v>
      </c>
      <c r="B917" s="15" t="s">
        <v>4242</v>
      </c>
      <c r="C917" s="15" t="s">
        <v>397</v>
      </c>
      <c r="D917" s="15" t="s">
        <v>819</v>
      </c>
      <c r="E917" s="15" t="s">
        <v>870</v>
      </c>
      <c r="F917" s="15" t="s">
        <v>3031</v>
      </c>
      <c r="G917" s="15" t="s">
        <v>3032</v>
      </c>
      <c r="H917" s="33" t="n">
        <f aca="false">Packages!$AB$88</f>
        <v>79.9477791577579</v>
      </c>
      <c r="I917" s="15" t="s">
        <v>3019</v>
      </c>
      <c r="J917" s="34" t="n">
        <f aca="false">MAX(1,ROUNDUP(Packages!$AB$88/(R_BF*Fronts!$M$9),0))</f>
        <v>1</v>
      </c>
      <c r="K917" s="34" t="n">
        <f aca="false">IF(J917=0,0,ROUNDUP(J917*7/WD,0))</f>
        <v>2</v>
      </c>
      <c r="L917" s="15" t="s">
        <v>4252</v>
      </c>
      <c r="M917" s="34" t="n">
        <f aca="false">ROUNDUP(K916*LADDER,0)</f>
        <v>2</v>
      </c>
      <c r="N917" s="34" t="n">
        <f aca="false">IF(K917=0,0,FFLAG)</f>
        <v>2</v>
      </c>
      <c r="O917" s="15" t="s">
        <v>4239</v>
      </c>
      <c r="P917" s="16" t="n">
        <f aca="false">MAX(P916+M917,Q948,Q959,Q970)</f>
        <v>46444</v>
      </c>
      <c r="Q917" s="16" t="n">
        <f aca="false">MAX(P917+K917,Q916+N917)</f>
        <v>46446</v>
      </c>
      <c r="R917" s="16" t="n">
        <f aca="false">IF(K917&gt;0,Q917,0)</f>
        <v>46446</v>
      </c>
      <c r="S917" s="12"/>
    </row>
    <row r="918" customFormat="false" ht="15" hidden="false" customHeight="false" outlineLevel="0" collapsed="false">
      <c r="A918" s="15" t="s">
        <v>4254</v>
      </c>
      <c r="B918" s="15" t="s">
        <v>4242</v>
      </c>
      <c r="C918" s="15" t="s">
        <v>397</v>
      </c>
      <c r="D918" s="15" t="s">
        <v>819</v>
      </c>
      <c r="E918" s="15" t="s">
        <v>870</v>
      </c>
      <c r="F918" s="15" t="s">
        <v>3034</v>
      </c>
      <c r="G918" s="15" t="s">
        <v>3035</v>
      </c>
      <c r="H918" s="33" t="n">
        <f aca="false">Packages!$AD$88</f>
        <v>12.0007821128457</v>
      </c>
      <c r="I918" s="15" t="s">
        <v>3012</v>
      </c>
      <c r="J918" s="34" t="n">
        <f aca="false">IF(Packages!$AD$88&gt;0,ROUNDUP(Packages!$AD$88/R_EXT,0),0)+IF(Packages!$AG$88&gt;0,1,0)</f>
        <v>2</v>
      </c>
      <c r="K918" s="34" t="n">
        <f aca="false">IF(J918=0,0,ROUNDUP(J918*7/WD,0))</f>
        <v>3</v>
      </c>
      <c r="L918" s="15" t="s">
        <v>4253</v>
      </c>
      <c r="M918" s="34" t="n">
        <f aca="false">ROUNDUP(K917*LADDER,0)</f>
        <v>1</v>
      </c>
      <c r="N918" s="34" t="n">
        <f aca="false">IF(K918=0,0,FFLAG)</f>
        <v>2</v>
      </c>
      <c r="O918" s="15"/>
      <c r="P918" s="16" t="n">
        <f aca="false">MAX(P917+M918)</f>
        <v>46445</v>
      </c>
      <c r="Q918" s="16" t="n">
        <f aca="false">MAX(P918+K918,Q917+N918)</f>
        <v>46448</v>
      </c>
      <c r="R918" s="12"/>
      <c r="S918" s="12"/>
    </row>
    <row r="919" customFormat="false" ht="15" hidden="false" customHeight="false" outlineLevel="0" collapsed="false">
      <c r="A919" s="15" t="s">
        <v>4255</v>
      </c>
      <c r="B919" s="15" t="s">
        <v>4256</v>
      </c>
      <c r="C919" s="15" t="s">
        <v>397</v>
      </c>
      <c r="D919" s="15" t="s">
        <v>1341</v>
      </c>
      <c r="E919" s="15" t="s">
        <v>1453</v>
      </c>
      <c r="F919" s="15" t="s">
        <v>2998</v>
      </c>
      <c r="G919" s="15" t="s">
        <v>2999</v>
      </c>
      <c r="H919" s="12"/>
      <c r="I919" s="12"/>
      <c r="J919" s="34" t="n">
        <f aca="false">0</f>
        <v>0</v>
      </c>
      <c r="K919" s="34" t="n">
        <f aca="false">IF(J919=0,0,ROUNDUP(J919*7/WD,0))</f>
        <v>0</v>
      </c>
      <c r="L919" s="12"/>
      <c r="M919" s="12"/>
      <c r="N919" s="12"/>
      <c r="O919" s="15" t="s">
        <v>3000</v>
      </c>
      <c r="P919" s="16" t="n">
        <f aca="false">MAX(START,D_DLU,Packages!$I$89,Packages!$K$89)</f>
        <v>46357</v>
      </c>
      <c r="Q919" s="16" t="n">
        <f aca="false">P919+K919</f>
        <v>46357</v>
      </c>
      <c r="R919" s="12"/>
      <c r="S919" s="12"/>
    </row>
    <row r="920" customFormat="false" ht="15" hidden="false" customHeight="false" outlineLevel="0" collapsed="false">
      <c r="A920" s="15" t="s">
        <v>4257</v>
      </c>
      <c r="B920" s="15" t="s">
        <v>4256</v>
      </c>
      <c r="C920" s="15" t="s">
        <v>397</v>
      </c>
      <c r="D920" s="15" t="s">
        <v>1341</v>
      </c>
      <c r="E920" s="15" t="s">
        <v>1453</v>
      </c>
      <c r="F920" s="15" t="s">
        <v>3002</v>
      </c>
      <c r="G920" s="15" t="s">
        <v>205</v>
      </c>
      <c r="H920" s="33" t="n">
        <f aca="false">Packages!$O$89</f>
        <v>20.1538413099649</v>
      </c>
      <c r="I920" s="15" t="s">
        <v>118</v>
      </c>
      <c r="J920" s="34" t="n">
        <f aca="false">MAX(1,ROUNDUP(Packages!$O$89/R_PLAT,0))</f>
        <v>1</v>
      </c>
      <c r="K920" s="34" t="n">
        <f aca="false">IF(J920=0,0,ROUNDUP(J920*7/WD,0))</f>
        <v>2</v>
      </c>
      <c r="L920" s="15" t="s">
        <v>4255</v>
      </c>
      <c r="M920" s="12"/>
      <c r="N920" s="12"/>
      <c r="O920" s="15" t="s">
        <v>4258</v>
      </c>
      <c r="P920" s="16" t="n">
        <f aca="false">MAX(Q919,P899)</f>
        <v>46358</v>
      </c>
      <c r="Q920" s="16" t="n">
        <f aca="false">P920+K920</f>
        <v>46360</v>
      </c>
      <c r="R920" s="12"/>
      <c r="S920" s="12"/>
    </row>
    <row r="921" customFormat="false" ht="15" hidden="false" customHeight="false" outlineLevel="0" collapsed="false">
      <c r="A921" s="15" t="s">
        <v>4259</v>
      </c>
      <c r="B921" s="15" t="s">
        <v>4256</v>
      </c>
      <c r="C921" s="15" t="s">
        <v>397</v>
      </c>
      <c r="D921" s="15" t="s">
        <v>1341</v>
      </c>
      <c r="E921" s="15" t="s">
        <v>1453</v>
      </c>
      <c r="F921" s="15" t="s">
        <v>3005</v>
      </c>
      <c r="G921" s="15" t="s">
        <v>3006</v>
      </c>
      <c r="H921" s="33" t="n">
        <f aca="false">Packages!$AC$89</f>
        <v>16</v>
      </c>
      <c r="I921" s="15" t="s">
        <v>3007</v>
      </c>
      <c r="J921" s="34" t="n">
        <f aca="false">IF(Packages!$AC$89=0,0,MAX(1,ROUNDUP(Packages!$AC$89/(R_PILE*Fronts!$H$9),0)))</f>
        <v>4</v>
      </c>
      <c r="K921" s="34" t="n">
        <f aca="false">IF(J921=0,0,ROUNDUP(J921*7/WD,0))</f>
        <v>5</v>
      </c>
      <c r="L921" s="15" t="s">
        <v>4257</v>
      </c>
      <c r="M921" s="34" t="n">
        <f aca="false">ROUNDUP(K920*LADDER,0)</f>
        <v>1</v>
      </c>
      <c r="N921" s="34" t="n">
        <f aca="false">IF(K921=0,0,FFLAG)</f>
        <v>2</v>
      </c>
      <c r="O921" s="15" t="s">
        <v>3008</v>
      </c>
      <c r="P921" s="16" t="n">
        <f aca="false">MAX(P920+M921,D_PILEDES,R899)</f>
        <v>46362</v>
      </c>
      <c r="Q921" s="16" t="n">
        <f aca="false">MAX(P921+K921,Q920+N921)</f>
        <v>46367</v>
      </c>
      <c r="R921" s="16" t="n">
        <f aca="false">IF(K921&gt;0,Q921,R899)</f>
        <v>46367</v>
      </c>
      <c r="S921" s="15" t="s">
        <v>4230</v>
      </c>
    </row>
    <row r="922" customFormat="false" ht="15" hidden="false" customHeight="false" outlineLevel="0" collapsed="false">
      <c r="A922" s="15" t="s">
        <v>4260</v>
      </c>
      <c r="B922" s="15" t="s">
        <v>4256</v>
      </c>
      <c r="C922" s="15" t="s">
        <v>397</v>
      </c>
      <c r="D922" s="15" t="s">
        <v>1341</v>
      </c>
      <c r="E922" s="15" t="s">
        <v>1453</v>
      </c>
      <c r="F922" s="15" t="s">
        <v>3010</v>
      </c>
      <c r="G922" s="15" t="s">
        <v>3011</v>
      </c>
      <c r="H922" s="33" t="n">
        <f aca="false">Packages!$AD$89</f>
        <v>40.3076826199297</v>
      </c>
      <c r="I922" s="15" t="s">
        <v>3012</v>
      </c>
      <c r="J922" s="34" t="n">
        <f aca="false">IF(Packages!$AD$89=0,0,MAX(1,ROUNDUP(Packages!$AD$89/(R_SHEET*Fronts!$I$9),0)))</f>
        <v>2</v>
      </c>
      <c r="K922" s="34" t="n">
        <f aca="false">IF(J922=0,0,ROUNDUP(J922*7/WD,0))</f>
        <v>3</v>
      </c>
      <c r="L922" s="15" t="s">
        <v>4259</v>
      </c>
      <c r="M922" s="34" t="n">
        <f aca="false">ROUNDUP(K921*LADDER,0)</f>
        <v>2</v>
      </c>
      <c r="N922" s="34" t="n">
        <f aca="false">IF(K922=0,0,FFLAG)</f>
        <v>2</v>
      </c>
      <c r="O922" s="15"/>
      <c r="P922" s="16" t="n">
        <f aca="false">MAX(P921+M922,R900)</f>
        <v>46364</v>
      </c>
      <c r="Q922" s="16" t="n">
        <f aca="false">MAX(P922+K922,Q921+N922)</f>
        <v>46369</v>
      </c>
      <c r="R922" s="16" t="n">
        <f aca="false">IF(K922&gt;0,Q922,R900)</f>
        <v>46369</v>
      </c>
      <c r="S922" s="15" t="s">
        <v>4231</v>
      </c>
    </row>
    <row r="923" customFormat="false" ht="15" hidden="false" customHeight="false" outlineLevel="0" collapsed="false">
      <c r="A923" s="15" t="s">
        <v>4261</v>
      </c>
      <c r="B923" s="15" t="s">
        <v>4256</v>
      </c>
      <c r="C923" s="15" t="s">
        <v>397</v>
      </c>
      <c r="D923" s="15" t="s">
        <v>1341</v>
      </c>
      <c r="E923" s="15" t="s">
        <v>1453</v>
      </c>
      <c r="F923" s="15" t="s">
        <v>3014</v>
      </c>
      <c r="G923" s="15" t="s">
        <v>3015</v>
      </c>
      <c r="H923" s="33" t="n">
        <f aca="false">Packages!$O$89</f>
        <v>20.1538413099649</v>
      </c>
      <c r="I923" s="15" t="s">
        <v>118</v>
      </c>
      <c r="J923" s="34" t="n">
        <f aca="false">IF(Packages!$AG$89=0,0,ROUNDUP(Packages!$O$89/R_DW,0)+DW_DRAW)</f>
        <v>8</v>
      </c>
      <c r="K923" s="34" t="n">
        <f aca="false">IF(J923=0,0,ROUNDUP(J923*7/WD,0))</f>
        <v>10</v>
      </c>
      <c r="L923" s="15" t="s">
        <v>4260</v>
      </c>
      <c r="M923" s="34" t="n">
        <f aca="false">ROUNDUP(K922*LADDER,0)</f>
        <v>1</v>
      </c>
      <c r="N923" s="34" t="n">
        <f aca="false">IF(K923=0,0,FFLAG)</f>
        <v>2</v>
      </c>
      <c r="O923" s="15" t="s">
        <v>4262</v>
      </c>
      <c r="P923" s="16" t="n">
        <f aca="false">MAX(P922+M923,Q902-K923)</f>
        <v>46397</v>
      </c>
      <c r="Q923" s="16" t="n">
        <f aca="false">MAX(P923+K923,Q922+N923)</f>
        <v>46407</v>
      </c>
      <c r="R923" s="12"/>
      <c r="S923" s="12"/>
    </row>
    <row r="924" customFormat="false" ht="15" hidden="false" customHeight="false" outlineLevel="0" collapsed="false">
      <c r="A924" s="15" t="s">
        <v>4263</v>
      </c>
      <c r="B924" s="15" t="s">
        <v>4256</v>
      </c>
      <c r="C924" s="15" t="s">
        <v>397</v>
      </c>
      <c r="D924" s="15" t="s">
        <v>1341</v>
      </c>
      <c r="E924" s="15" t="s">
        <v>1453</v>
      </c>
      <c r="F924" s="15" t="s">
        <v>3017</v>
      </c>
      <c r="G924" s="15" t="s">
        <v>3018</v>
      </c>
      <c r="H924" s="33" t="n">
        <f aca="false">Packages!$X$89+Packages!$Y$89</f>
        <v>322.724906113274</v>
      </c>
      <c r="I924" s="15" t="s">
        <v>3019</v>
      </c>
      <c r="J924" s="34" t="n">
        <f aca="false">MAX(1,ROUNDUP((Packages!$X$89/R_EXS+Packages!$Y$89/R_EXO)/Fronts!$J$9,0))</f>
        <v>2</v>
      </c>
      <c r="K924" s="34" t="n">
        <f aca="false">IF(J924=0,0,ROUNDUP(J924*7/WD,0))</f>
        <v>3</v>
      </c>
      <c r="L924" s="15" t="s">
        <v>4261</v>
      </c>
      <c r="M924" s="34" t="n">
        <f aca="false">IF(K923=0,0,ROUNDUP((K923-ROUNDUP(DW_DRAW*7/WD,0))*LADDER,0)+ROUNDUP(DW_DRAW*7/WD,0))</f>
        <v>10</v>
      </c>
      <c r="N924" s="34" t="n">
        <f aca="false">IF(K924=0,0,FFLAG)</f>
        <v>2</v>
      </c>
      <c r="O924" s="15"/>
      <c r="P924" s="16" t="n">
        <f aca="false">MAX(P923+M924,R902)</f>
        <v>46407</v>
      </c>
      <c r="Q924" s="16" t="n">
        <f aca="false">MAX(P924+K924,Q923+N924)</f>
        <v>46410</v>
      </c>
      <c r="R924" s="16" t="n">
        <f aca="false">IF(K924&gt;0,Q924,R902)</f>
        <v>46410</v>
      </c>
      <c r="S924" s="15" t="s">
        <v>4233</v>
      </c>
    </row>
    <row r="925" customFormat="false" ht="15" hidden="false" customHeight="false" outlineLevel="0" collapsed="false">
      <c r="A925" s="15" t="s">
        <v>4264</v>
      </c>
      <c r="B925" s="15" t="s">
        <v>4256</v>
      </c>
      <c r="C925" s="15" t="s">
        <v>397</v>
      </c>
      <c r="D925" s="15" t="s">
        <v>1341</v>
      </c>
      <c r="E925" s="15" t="s">
        <v>1453</v>
      </c>
      <c r="F925" s="15" t="s">
        <v>3022</v>
      </c>
      <c r="G925" s="15" t="s">
        <v>3023</v>
      </c>
      <c r="H925" s="33" t="n">
        <f aca="false">Packages!$O$89</f>
        <v>20.1538413099649</v>
      </c>
      <c r="I925" s="15" t="s">
        <v>118</v>
      </c>
      <c r="J925" s="34" t="n">
        <f aca="false">MAX(1,ROUNDUP(Packages!$O$89/(R_SLAB*Fronts!$K$9),0))+SLAB_CURE</f>
        <v>5</v>
      </c>
      <c r="K925" s="34" t="n">
        <f aca="false">IF(J925=0,0,ROUNDUP(J925*7/WD,0))</f>
        <v>6</v>
      </c>
      <c r="L925" s="15" t="s">
        <v>4263</v>
      </c>
      <c r="M925" s="34" t="n">
        <f aca="false">ROUNDUP(K924*LADDER,0)</f>
        <v>1</v>
      </c>
      <c r="N925" s="34" t="n">
        <f aca="false">IF(K925=0,0,FFLAG)</f>
        <v>2</v>
      </c>
      <c r="O925" s="15"/>
      <c r="P925" s="16" t="n">
        <f aca="false">MAX(P924+M925,R903)</f>
        <v>46411</v>
      </c>
      <c r="Q925" s="16" t="n">
        <f aca="false">MAX(P925+K925,Q924+N925)</f>
        <v>46417</v>
      </c>
      <c r="R925" s="16" t="n">
        <f aca="false">IF(K925&gt;0,Q925,R903)</f>
        <v>46417</v>
      </c>
      <c r="S925" s="15" t="s">
        <v>4235</v>
      </c>
    </row>
    <row r="926" customFormat="false" ht="15" hidden="false" customHeight="false" outlineLevel="0" collapsed="false">
      <c r="A926" s="15" t="s">
        <v>4265</v>
      </c>
      <c r="B926" s="15" t="s">
        <v>4256</v>
      </c>
      <c r="C926" s="15" t="s">
        <v>397</v>
      </c>
      <c r="D926" s="15" t="s">
        <v>1341</v>
      </c>
      <c r="E926" s="15" t="s">
        <v>1453</v>
      </c>
      <c r="F926" s="15" t="s">
        <v>3025</v>
      </c>
      <c r="G926" s="15" t="s">
        <v>3026</v>
      </c>
      <c r="H926" s="33" t="n">
        <f aca="false">Packages!$O$89</f>
        <v>20.1538413099649</v>
      </c>
      <c r="I926" s="15" t="s">
        <v>118</v>
      </c>
      <c r="J926" s="34" t="n">
        <f aca="false">MAX(1,ROUNDUP(Packages!$O$89/(IF(Packages!$N$89&gt;=PIPE_T1,R_PIPE_L,IF(Packages!$N$89&gt;=PIPE_T2,R_PIPE_M,R_PIPE_S))*Fronts!$L$9)+Packages!$M$89*FIT_D+IF(Packages!$G$89&lt;&gt;"Run",TIE_D,0),0))</f>
        <v>3</v>
      </c>
      <c r="K926" s="34" t="n">
        <f aca="false">IF(J926=0,0,ROUNDUP(J926*7/WD,0))</f>
        <v>4</v>
      </c>
      <c r="L926" s="15" t="s">
        <v>4264</v>
      </c>
      <c r="M926" s="34" t="n">
        <f aca="false">ROUNDUP(K925*LADDER,0)</f>
        <v>2</v>
      </c>
      <c r="N926" s="34" t="n">
        <f aca="false">IF(K926=0,0,FFLAG)</f>
        <v>2</v>
      </c>
      <c r="O926" s="15"/>
      <c r="P926" s="16" t="n">
        <f aca="false">MAX(P925+M926,R904)</f>
        <v>46413</v>
      </c>
      <c r="Q926" s="16" t="n">
        <f aca="false">MAX(P926+K926,Q925+N926)</f>
        <v>46419</v>
      </c>
      <c r="R926" s="16" t="n">
        <f aca="false">IF(K926&gt;0,Q926,R904)</f>
        <v>46419</v>
      </c>
      <c r="S926" s="15" t="s">
        <v>4236</v>
      </c>
    </row>
    <row r="927" customFormat="false" ht="15" hidden="false" customHeight="false" outlineLevel="0" collapsed="false">
      <c r="A927" s="15" t="s">
        <v>4266</v>
      </c>
      <c r="B927" s="15" t="s">
        <v>4256</v>
      </c>
      <c r="C927" s="15" t="s">
        <v>397</v>
      </c>
      <c r="D927" s="15" t="s">
        <v>1341</v>
      </c>
      <c r="E927" s="15" t="s">
        <v>1453</v>
      </c>
      <c r="F927" s="15" t="s">
        <v>3028</v>
      </c>
      <c r="G927" s="15" t="s">
        <v>3029</v>
      </c>
      <c r="H927" s="33" t="n">
        <f aca="false">Packages!$O$89</f>
        <v>20.1538413099649</v>
      </c>
      <c r="I927" s="15" t="s">
        <v>118</v>
      </c>
      <c r="J927" s="34" t="n">
        <f aca="false">TEST_D+ROUNDUP(Packages!$O$89/R_TEST,0)</f>
        <v>3</v>
      </c>
      <c r="K927" s="34" t="n">
        <f aca="false">IF(J927=0,0,ROUNDUP(J927*7/WD,0))</f>
        <v>4</v>
      </c>
      <c r="L927" s="15" t="s">
        <v>4265</v>
      </c>
      <c r="M927" s="34" t="n">
        <f aca="false">ROUNDUP(K926*LADDER,0)</f>
        <v>2</v>
      </c>
      <c r="N927" s="34" t="n">
        <f aca="false">IF(K927=0,0,FFLAG)</f>
        <v>2</v>
      </c>
      <c r="O927" s="15"/>
      <c r="P927" s="16" t="n">
        <f aca="false">MAX(P926+M927)</f>
        <v>46415</v>
      </c>
      <c r="Q927" s="16" t="n">
        <f aca="false">MAX(P927+K927,Q926+N927)</f>
        <v>46421</v>
      </c>
      <c r="R927" s="12"/>
      <c r="S927" s="12"/>
    </row>
    <row r="928" customFormat="false" ht="15" hidden="false" customHeight="false" outlineLevel="0" collapsed="false">
      <c r="A928" s="15" t="s">
        <v>4267</v>
      </c>
      <c r="B928" s="15" t="s">
        <v>4256</v>
      </c>
      <c r="C928" s="15" t="s">
        <v>397</v>
      </c>
      <c r="D928" s="15" t="s">
        <v>1341</v>
      </c>
      <c r="E928" s="15" t="s">
        <v>1453</v>
      </c>
      <c r="F928" s="15" t="s">
        <v>3031</v>
      </c>
      <c r="G928" s="15" t="s">
        <v>3032</v>
      </c>
      <c r="H928" s="33" t="n">
        <f aca="false">Packages!$AB$89</f>
        <v>223.99409641735</v>
      </c>
      <c r="I928" s="15" t="s">
        <v>3019</v>
      </c>
      <c r="J928" s="34" t="n">
        <f aca="false">MAX(1,ROUNDUP(Packages!$AB$89/(R_BF*Fronts!$M$9),0))</f>
        <v>1</v>
      </c>
      <c r="K928" s="34" t="n">
        <f aca="false">IF(J928=0,0,ROUNDUP(J928*7/WD,0))</f>
        <v>2</v>
      </c>
      <c r="L928" s="15" t="s">
        <v>4266</v>
      </c>
      <c r="M928" s="34" t="n">
        <f aca="false">ROUNDUP(K927*LADDER,0)</f>
        <v>2</v>
      </c>
      <c r="N928" s="34" t="n">
        <f aca="false">IF(K928=0,0,FFLAG)</f>
        <v>2</v>
      </c>
      <c r="O928" s="15" t="s">
        <v>4268</v>
      </c>
      <c r="P928" s="16" t="n">
        <f aca="false">MAX(P927+M928,R906,Q970)</f>
        <v>46446</v>
      </c>
      <c r="Q928" s="16" t="n">
        <f aca="false">MAX(P928+K928,Q927+N928)</f>
        <v>46448</v>
      </c>
      <c r="R928" s="16" t="n">
        <f aca="false">IF(K928&gt;0,Q928,R906)</f>
        <v>46448</v>
      </c>
      <c r="S928" s="15" t="s">
        <v>4238</v>
      </c>
    </row>
    <row r="929" customFormat="false" ht="15" hidden="false" customHeight="false" outlineLevel="0" collapsed="false">
      <c r="A929" s="15" t="s">
        <v>4269</v>
      </c>
      <c r="B929" s="15" t="s">
        <v>4256</v>
      </c>
      <c r="C929" s="15" t="s">
        <v>397</v>
      </c>
      <c r="D929" s="15" t="s">
        <v>1341</v>
      </c>
      <c r="E929" s="15" t="s">
        <v>1453</v>
      </c>
      <c r="F929" s="15" t="s">
        <v>3034</v>
      </c>
      <c r="G929" s="15" t="s">
        <v>3035</v>
      </c>
      <c r="H929" s="33" t="n">
        <f aca="false">Packages!$AD$89</f>
        <v>40.3076826199297</v>
      </c>
      <c r="I929" s="15" t="s">
        <v>3012</v>
      </c>
      <c r="J929" s="34" t="n">
        <f aca="false">IF(Packages!$AD$89&gt;0,ROUNDUP(Packages!$AD$89/R_EXT,0),0)+IF(Packages!$AG$89&gt;0,1,0)</f>
        <v>2</v>
      </c>
      <c r="K929" s="34" t="n">
        <f aca="false">IF(J929=0,0,ROUNDUP(J929*7/WD,0))</f>
        <v>3</v>
      </c>
      <c r="L929" s="15" t="s">
        <v>4267</v>
      </c>
      <c r="M929" s="34" t="n">
        <f aca="false">ROUNDUP(K928*LADDER,0)</f>
        <v>1</v>
      </c>
      <c r="N929" s="34" t="n">
        <f aca="false">IF(K929=0,0,FFLAG)</f>
        <v>2</v>
      </c>
      <c r="O929" s="15"/>
      <c r="P929" s="16" t="n">
        <f aca="false">MAX(P928+M929)</f>
        <v>46447</v>
      </c>
      <c r="Q929" s="16" t="n">
        <f aca="false">MAX(P929+K929,Q928+N929)</f>
        <v>46450</v>
      </c>
      <c r="R929" s="12"/>
      <c r="S929" s="12"/>
    </row>
    <row r="930" customFormat="false" ht="15" hidden="false" customHeight="false" outlineLevel="0" collapsed="false">
      <c r="A930" s="15" t="s">
        <v>4270</v>
      </c>
      <c r="B930" s="15" t="s">
        <v>4271</v>
      </c>
      <c r="C930" s="15" t="s">
        <v>397</v>
      </c>
      <c r="D930" s="15" t="s">
        <v>819</v>
      </c>
      <c r="E930" s="15" t="s">
        <v>858</v>
      </c>
      <c r="F930" s="15" t="s">
        <v>2998</v>
      </c>
      <c r="G930" s="15" t="s">
        <v>2999</v>
      </c>
      <c r="H930" s="12"/>
      <c r="I930" s="12"/>
      <c r="J930" s="34" t="n">
        <f aca="false">0</f>
        <v>0</v>
      </c>
      <c r="K930" s="34" t="n">
        <f aca="false">IF(J930=0,0,ROUNDUP(J930*7/WD,0))</f>
        <v>0</v>
      </c>
      <c r="L930" s="12"/>
      <c r="M930" s="12"/>
      <c r="N930" s="12"/>
      <c r="O930" s="15" t="s">
        <v>3000</v>
      </c>
      <c r="P930" s="16" t="n">
        <f aca="false">MAX(START,D_DLU,Packages!$I$90,Packages!$K$90)</f>
        <v>46357</v>
      </c>
      <c r="Q930" s="16" t="n">
        <f aca="false">P930+K930</f>
        <v>46357</v>
      </c>
      <c r="R930" s="12"/>
      <c r="S930" s="12"/>
    </row>
    <row r="931" customFormat="false" ht="15" hidden="false" customHeight="false" outlineLevel="0" collapsed="false">
      <c r="A931" s="15" t="s">
        <v>4272</v>
      </c>
      <c r="B931" s="15" t="s">
        <v>4271</v>
      </c>
      <c r="C931" s="15" t="s">
        <v>397</v>
      </c>
      <c r="D931" s="15" t="s">
        <v>819</v>
      </c>
      <c r="E931" s="15" t="s">
        <v>858</v>
      </c>
      <c r="F931" s="15" t="s">
        <v>3002</v>
      </c>
      <c r="G931" s="15" t="s">
        <v>205</v>
      </c>
      <c r="H931" s="33" t="n">
        <f aca="false">Packages!$O$90</f>
        <v>42.1000000002998</v>
      </c>
      <c r="I931" s="15" t="s">
        <v>118</v>
      </c>
      <c r="J931" s="34" t="n">
        <f aca="false">MAX(1,ROUNDUP(Packages!$O$90/R_PLAT,0))</f>
        <v>1</v>
      </c>
      <c r="K931" s="34" t="n">
        <f aca="false">IF(J931=0,0,ROUNDUP(J931*7/WD,0))</f>
        <v>2</v>
      </c>
      <c r="L931" s="15" t="s">
        <v>4270</v>
      </c>
      <c r="M931" s="12"/>
      <c r="N931" s="12"/>
      <c r="O931" s="15" t="s">
        <v>4273</v>
      </c>
      <c r="P931" s="16" t="n">
        <f aca="false">MAX(Q930,P921)</f>
        <v>46362</v>
      </c>
      <c r="Q931" s="16" t="n">
        <f aca="false">P931+K931</f>
        <v>46364</v>
      </c>
      <c r="R931" s="12"/>
      <c r="S931" s="12"/>
    </row>
    <row r="932" customFormat="false" ht="15" hidden="false" customHeight="false" outlineLevel="0" collapsed="false">
      <c r="A932" s="15" t="s">
        <v>4274</v>
      </c>
      <c r="B932" s="15" t="s">
        <v>4271</v>
      </c>
      <c r="C932" s="15" t="s">
        <v>397</v>
      </c>
      <c r="D932" s="15" t="s">
        <v>819</v>
      </c>
      <c r="E932" s="15" t="s">
        <v>858</v>
      </c>
      <c r="F932" s="15" t="s">
        <v>3005</v>
      </c>
      <c r="G932" s="15" t="s">
        <v>3006</v>
      </c>
      <c r="H932" s="33" t="n">
        <f aca="false">Packages!$AC$90</f>
        <v>32</v>
      </c>
      <c r="I932" s="15" t="s">
        <v>3007</v>
      </c>
      <c r="J932" s="34" t="n">
        <f aca="false">IF(Packages!$AC$90=0,0,MAX(1,ROUNDUP(Packages!$AC$90/(R_PILE*Fronts!$H$9),0)))</f>
        <v>7</v>
      </c>
      <c r="K932" s="34" t="n">
        <f aca="false">IF(J932=0,0,ROUNDUP(J932*7/WD,0))</f>
        <v>9</v>
      </c>
      <c r="L932" s="15" t="s">
        <v>4272</v>
      </c>
      <c r="M932" s="34" t="n">
        <f aca="false">ROUNDUP(K931*LADDER,0)</f>
        <v>1</v>
      </c>
      <c r="N932" s="34" t="n">
        <f aca="false">IF(K932=0,0,FFLAG)</f>
        <v>2</v>
      </c>
      <c r="O932" s="15" t="s">
        <v>3008</v>
      </c>
      <c r="P932" s="16" t="n">
        <f aca="false">MAX(P931+M932,D_PILEDES,R921)</f>
        <v>46367</v>
      </c>
      <c r="Q932" s="16" t="n">
        <f aca="false">MAX(P932+K932,Q931+N932)</f>
        <v>46376</v>
      </c>
      <c r="R932" s="16" t="n">
        <f aca="false">IF(K932&gt;0,Q932,R921)</f>
        <v>46376</v>
      </c>
      <c r="S932" s="15" t="s">
        <v>4259</v>
      </c>
    </row>
    <row r="933" customFormat="false" ht="15" hidden="false" customHeight="false" outlineLevel="0" collapsed="false">
      <c r="A933" s="15" t="s">
        <v>4275</v>
      </c>
      <c r="B933" s="15" t="s">
        <v>4271</v>
      </c>
      <c r="C933" s="15" t="s">
        <v>397</v>
      </c>
      <c r="D933" s="15" t="s">
        <v>819</v>
      </c>
      <c r="E933" s="15" t="s">
        <v>858</v>
      </c>
      <c r="F933" s="15" t="s">
        <v>3010</v>
      </c>
      <c r="G933" s="15" t="s">
        <v>3011</v>
      </c>
      <c r="H933" s="33" t="n">
        <f aca="false">Packages!$AD$90</f>
        <v>84.2000000005996</v>
      </c>
      <c r="I933" s="15" t="s">
        <v>3012</v>
      </c>
      <c r="J933" s="34" t="n">
        <f aca="false">IF(Packages!$AD$90=0,0,MAX(1,ROUNDUP(Packages!$AD$90/(R_SHEET*Fronts!$I$9),0)))</f>
        <v>4</v>
      </c>
      <c r="K933" s="34" t="n">
        <f aca="false">IF(J933=0,0,ROUNDUP(J933*7/WD,0))</f>
        <v>5</v>
      </c>
      <c r="L933" s="15" t="s">
        <v>4274</v>
      </c>
      <c r="M933" s="34" t="n">
        <f aca="false">ROUNDUP(K932*LADDER,0)</f>
        <v>3</v>
      </c>
      <c r="N933" s="34" t="n">
        <f aca="false">IF(K933=0,0,FFLAG)</f>
        <v>2</v>
      </c>
      <c r="O933" s="15"/>
      <c r="P933" s="16" t="n">
        <f aca="false">MAX(P932+M933,R922)</f>
        <v>46370</v>
      </c>
      <c r="Q933" s="16" t="n">
        <f aca="false">MAX(P933+K933,Q932+N933)</f>
        <v>46378</v>
      </c>
      <c r="R933" s="16" t="n">
        <f aca="false">IF(K933&gt;0,Q933,R922)</f>
        <v>46378</v>
      </c>
      <c r="S933" s="15" t="s">
        <v>4260</v>
      </c>
    </row>
    <row r="934" customFormat="false" ht="15" hidden="false" customHeight="false" outlineLevel="0" collapsed="false">
      <c r="A934" s="15" t="s">
        <v>4276</v>
      </c>
      <c r="B934" s="15" t="s">
        <v>4271</v>
      </c>
      <c r="C934" s="15" t="s">
        <v>397</v>
      </c>
      <c r="D934" s="15" t="s">
        <v>819</v>
      </c>
      <c r="E934" s="15" t="s">
        <v>858</v>
      </c>
      <c r="F934" s="15" t="s">
        <v>3014</v>
      </c>
      <c r="G934" s="15" t="s">
        <v>3015</v>
      </c>
      <c r="H934" s="33" t="n">
        <f aca="false">Packages!$O$90</f>
        <v>42.1000000002998</v>
      </c>
      <c r="I934" s="15" t="s">
        <v>118</v>
      </c>
      <c r="J934" s="34" t="n">
        <f aca="false">IF(Packages!$AG$90=0,0,ROUNDUP(Packages!$O$90/R_DW,0)+DW_DRAW)</f>
        <v>9</v>
      </c>
      <c r="K934" s="34" t="n">
        <f aca="false">IF(J934=0,0,ROUNDUP(J934*7/WD,0))</f>
        <v>11</v>
      </c>
      <c r="L934" s="15" t="s">
        <v>4275</v>
      </c>
      <c r="M934" s="34" t="n">
        <f aca="false">ROUNDUP(K933*LADDER,0)</f>
        <v>2</v>
      </c>
      <c r="N934" s="34" t="n">
        <f aca="false">IF(K934=0,0,FFLAG)</f>
        <v>2</v>
      </c>
      <c r="O934" s="15" t="s">
        <v>4277</v>
      </c>
      <c r="P934" s="16" t="n">
        <f aca="false">MAX(P933+M934,Q924-K934)</f>
        <v>46399</v>
      </c>
      <c r="Q934" s="16" t="n">
        <f aca="false">MAX(P934+K934,Q933+N934)</f>
        <v>46410</v>
      </c>
      <c r="R934" s="12"/>
      <c r="S934" s="12"/>
    </row>
    <row r="935" customFormat="false" ht="15" hidden="false" customHeight="false" outlineLevel="0" collapsed="false">
      <c r="A935" s="15" t="s">
        <v>4278</v>
      </c>
      <c r="B935" s="15" t="s">
        <v>4271</v>
      </c>
      <c r="C935" s="15" t="s">
        <v>397</v>
      </c>
      <c r="D935" s="15" t="s">
        <v>819</v>
      </c>
      <c r="E935" s="15" t="s">
        <v>858</v>
      </c>
      <c r="F935" s="15" t="s">
        <v>3017</v>
      </c>
      <c r="G935" s="15" t="s">
        <v>3018</v>
      </c>
      <c r="H935" s="33" t="n">
        <f aca="false">Packages!$X$90+Packages!$Y$90</f>
        <v>868.104834099015</v>
      </c>
      <c r="I935" s="15" t="s">
        <v>3019</v>
      </c>
      <c r="J935" s="34" t="n">
        <f aca="false">MAX(1,ROUNDUP((Packages!$X$90/R_EXS+Packages!$Y$90/R_EXO)/Fronts!$J$9,0))</f>
        <v>4</v>
      </c>
      <c r="K935" s="34" t="n">
        <f aca="false">IF(J935=0,0,ROUNDUP(J935*7/WD,0))</f>
        <v>5</v>
      </c>
      <c r="L935" s="15" t="s">
        <v>4276</v>
      </c>
      <c r="M935" s="34" t="n">
        <f aca="false">IF(K934=0,0,ROUNDUP((K934-ROUNDUP(DW_DRAW*7/WD,0))*LADDER,0)+ROUNDUP(DW_DRAW*7/WD,0))</f>
        <v>10</v>
      </c>
      <c r="N935" s="34" t="n">
        <f aca="false">IF(K935=0,0,FFLAG)</f>
        <v>2</v>
      </c>
      <c r="O935" s="15"/>
      <c r="P935" s="16" t="n">
        <f aca="false">MAX(P934+M935,R924)</f>
        <v>46410</v>
      </c>
      <c r="Q935" s="16" t="n">
        <f aca="false">MAX(P935+K935,Q934+N935)</f>
        <v>46415</v>
      </c>
      <c r="R935" s="16" t="n">
        <f aca="false">IF(K935&gt;0,Q935,R924)</f>
        <v>46415</v>
      </c>
      <c r="S935" s="15" t="s">
        <v>4263</v>
      </c>
    </row>
    <row r="936" customFormat="false" ht="15" hidden="false" customHeight="false" outlineLevel="0" collapsed="false">
      <c r="A936" s="15" t="s">
        <v>4279</v>
      </c>
      <c r="B936" s="15" t="s">
        <v>4271</v>
      </c>
      <c r="C936" s="15" t="s">
        <v>397</v>
      </c>
      <c r="D936" s="15" t="s">
        <v>819</v>
      </c>
      <c r="E936" s="15" t="s">
        <v>858</v>
      </c>
      <c r="F936" s="15" t="s">
        <v>3022</v>
      </c>
      <c r="G936" s="15" t="s">
        <v>3023</v>
      </c>
      <c r="H936" s="33" t="n">
        <f aca="false">Packages!$O$90</f>
        <v>42.1000000002998</v>
      </c>
      <c r="I936" s="15" t="s">
        <v>118</v>
      </c>
      <c r="J936" s="34" t="n">
        <f aca="false">MAX(1,ROUNDUP(Packages!$O$90/(R_SLAB*Fronts!$K$9),0))+SLAB_CURE</f>
        <v>7</v>
      </c>
      <c r="K936" s="34" t="n">
        <f aca="false">IF(J936=0,0,ROUNDUP(J936*7/WD,0))</f>
        <v>9</v>
      </c>
      <c r="L936" s="15" t="s">
        <v>4278</v>
      </c>
      <c r="M936" s="34" t="n">
        <f aca="false">ROUNDUP(K935*LADDER,0)</f>
        <v>2</v>
      </c>
      <c r="N936" s="34" t="n">
        <f aca="false">IF(K936=0,0,FFLAG)</f>
        <v>2</v>
      </c>
      <c r="O936" s="15"/>
      <c r="P936" s="16" t="n">
        <f aca="false">MAX(P935+M936,R925)</f>
        <v>46417</v>
      </c>
      <c r="Q936" s="16" t="n">
        <f aca="false">MAX(P936+K936,Q935+N936)</f>
        <v>46426</v>
      </c>
      <c r="R936" s="16" t="n">
        <f aca="false">IF(K936&gt;0,Q936,R925)</f>
        <v>46426</v>
      </c>
      <c r="S936" s="15" t="s">
        <v>4264</v>
      </c>
    </row>
    <row r="937" customFormat="false" ht="15" hidden="false" customHeight="false" outlineLevel="0" collapsed="false">
      <c r="A937" s="15" t="s">
        <v>4280</v>
      </c>
      <c r="B937" s="15" t="s">
        <v>4271</v>
      </c>
      <c r="C937" s="15" t="s">
        <v>397</v>
      </c>
      <c r="D937" s="15" t="s">
        <v>819</v>
      </c>
      <c r="E937" s="15" t="s">
        <v>858</v>
      </c>
      <c r="F937" s="15" t="s">
        <v>3025</v>
      </c>
      <c r="G937" s="15" t="s">
        <v>3026</v>
      </c>
      <c r="H937" s="33" t="n">
        <f aca="false">Packages!$O$90</f>
        <v>42.1000000002998</v>
      </c>
      <c r="I937" s="15" t="s">
        <v>118</v>
      </c>
      <c r="J937" s="34" t="n">
        <f aca="false">MAX(1,ROUNDUP(Packages!$O$90/(IF(Packages!$N$90&gt;=PIPE_T1,R_PIPE_L,IF(Packages!$N$90&gt;=PIPE_T2,R_PIPE_M,R_PIPE_S))*Fronts!$L$9)+Packages!$M$90*FIT_D+IF(Packages!$G$90&lt;&gt;"Run",TIE_D,0),0))</f>
        <v>4</v>
      </c>
      <c r="K937" s="34" t="n">
        <f aca="false">IF(J937=0,0,ROUNDUP(J937*7/WD,0))</f>
        <v>5</v>
      </c>
      <c r="L937" s="15" t="s">
        <v>4279</v>
      </c>
      <c r="M937" s="34" t="n">
        <f aca="false">ROUNDUP(K936*LADDER,0)</f>
        <v>3</v>
      </c>
      <c r="N937" s="34" t="n">
        <f aca="false">IF(K937=0,0,FFLAG)</f>
        <v>2</v>
      </c>
      <c r="O937" s="15"/>
      <c r="P937" s="16" t="n">
        <f aca="false">MAX(P936+M937,R926)</f>
        <v>46420</v>
      </c>
      <c r="Q937" s="16" t="n">
        <f aca="false">MAX(P937+K937,Q936+N937)</f>
        <v>46428</v>
      </c>
      <c r="R937" s="16" t="n">
        <f aca="false">IF(K937&gt;0,Q937,R926)</f>
        <v>46428</v>
      </c>
      <c r="S937" s="15" t="s">
        <v>4265</v>
      </c>
    </row>
    <row r="938" customFormat="false" ht="15" hidden="false" customHeight="false" outlineLevel="0" collapsed="false">
      <c r="A938" s="15" t="s">
        <v>4281</v>
      </c>
      <c r="B938" s="15" t="s">
        <v>4271</v>
      </c>
      <c r="C938" s="15" t="s">
        <v>397</v>
      </c>
      <c r="D938" s="15" t="s">
        <v>819</v>
      </c>
      <c r="E938" s="15" t="s">
        <v>858</v>
      </c>
      <c r="F938" s="15" t="s">
        <v>3028</v>
      </c>
      <c r="G938" s="15" t="s">
        <v>3029</v>
      </c>
      <c r="H938" s="33" t="n">
        <f aca="false">Packages!$O$90</f>
        <v>42.1000000002998</v>
      </c>
      <c r="I938" s="15" t="s">
        <v>118</v>
      </c>
      <c r="J938" s="34" t="n">
        <f aca="false">TEST_D+ROUNDUP(Packages!$O$90/R_TEST,0)</f>
        <v>3</v>
      </c>
      <c r="K938" s="34" t="n">
        <f aca="false">IF(J938=0,0,ROUNDUP(J938*7/WD,0))</f>
        <v>4</v>
      </c>
      <c r="L938" s="15" t="s">
        <v>4280</v>
      </c>
      <c r="M938" s="34" t="n">
        <f aca="false">ROUNDUP(K937*LADDER,0)</f>
        <v>2</v>
      </c>
      <c r="N938" s="34" t="n">
        <f aca="false">IF(K938=0,0,FFLAG)</f>
        <v>2</v>
      </c>
      <c r="O938" s="15"/>
      <c r="P938" s="16" t="n">
        <f aca="false">MAX(P937+M938)</f>
        <v>46422</v>
      </c>
      <c r="Q938" s="16" t="n">
        <f aca="false">MAX(P938+K938,Q937+N938)</f>
        <v>46430</v>
      </c>
      <c r="R938" s="12"/>
      <c r="S938" s="12"/>
    </row>
    <row r="939" customFormat="false" ht="15" hidden="false" customHeight="false" outlineLevel="0" collapsed="false">
      <c r="A939" s="15" t="s">
        <v>4282</v>
      </c>
      <c r="B939" s="15" t="s">
        <v>4271</v>
      </c>
      <c r="C939" s="15" t="s">
        <v>397</v>
      </c>
      <c r="D939" s="15" t="s">
        <v>819</v>
      </c>
      <c r="E939" s="15" t="s">
        <v>858</v>
      </c>
      <c r="F939" s="15" t="s">
        <v>3031</v>
      </c>
      <c r="G939" s="15" t="s">
        <v>3032</v>
      </c>
      <c r="H939" s="33" t="n">
        <f aca="false">Packages!$AB$90</f>
        <v>661.863663175108</v>
      </c>
      <c r="I939" s="15" t="s">
        <v>3019</v>
      </c>
      <c r="J939" s="34" t="n">
        <f aca="false">MAX(1,ROUNDUP(Packages!$AB$90/(R_BF*Fronts!$M$9),0))</f>
        <v>2</v>
      </c>
      <c r="K939" s="34" t="n">
        <f aca="false">IF(J939=0,0,ROUNDUP(J939*7/WD,0))</f>
        <v>3</v>
      </c>
      <c r="L939" s="15" t="s">
        <v>4281</v>
      </c>
      <c r="M939" s="34" t="n">
        <f aca="false">ROUNDUP(K938*LADDER,0)</f>
        <v>2</v>
      </c>
      <c r="N939" s="34" t="n">
        <f aca="false">IF(K939=0,0,FFLAG)</f>
        <v>2</v>
      </c>
      <c r="O939" s="15" t="s">
        <v>4283</v>
      </c>
      <c r="P939" s="16" t="n">
        <f aca="false">MAX(P938+M939,R928,Q948)</f>
        <v>46448</v>
      </c>
      <c r="Q939" s="16" t="n">
        <f aca="false">MAX(P939+K939,Q938+N939)</f>
        <v>46451</v>
      </c>
      <c r="R939" s="16" t="n">
        <f aca="false">IF(K939&gt;0,Q939,R928)</f>
        <v>46451</v>
      </c>
      <c r="S939" s="15" t="s">
        <v>4267</v>
      </c>
    </row>
    <row r="940" customFormat="false" ht="15" hidden="false" customHeight="false" outlineLevel="0" collapsed="false">
      <c r="A940" s="15" t="s">
        <v>4284</v>
      </c>
      <c r="B940" s="15" t="s">
        <v>4271</v>
      </c>
      <c r="C940" s="15" t="s">
        <v>397</v>
      </c>
      <c r="D940" s="15" t="s">
        <v>819</v>
      </c>
      <c r="E940" s="15" t="s">
        <v>858</v>
      </c>
      <c r="F940" s="15" t="s">
        <v>3034</v>
      </c>
      <c r="G940" s="15" t="s">
        <v>3035</v>
      </c>
      <c r="H940" s="33" t="n">
        <f aca="false">Packages!$AD$90</f>
        <v>84.2000000005996</v>
      </c>
      <c r="I940" s="15" t="s">
        <v>3012</v>
      </c>
      <c r="J940" s="34" t="n">
        <f aca="false">IF(Packages!$AD$90&gt;0,ROUNDUP(Packages!$AD$90/R_EXT,0),0)+IF(Packages!$AG$90&gt;0,1,0)</f>
        <v>3</v>
      </c>
      <c r="K940" s="34" t="n">
        <f aca="false">IF(J940=0,0,ROUNDUP(J940*7/WD,0))</f>
        <v>4</v>
      </c>
      <c r="L940" s="15" t="s">
        <v>4282</v>
      </c>
      <c r="M940" s="34" t="n">
        <f aca="false">ROUNDUP(K939*LADDER,0)</f>
        <v>1</v>
      </c>
      <c r="N940" s="34" t="n">
        <f aca="false">IF(K940=0,0,FFLAG)</f>
        <v>2</v>
      </c>
      <c r="O940" s="15"/>
      <c r="P940" s="16" t="n">
        <f aca="false">MAX(P939+M940)</f>
        <v>46449</v>
      </c>
      <c r="Q940" s="16" t="n">
        <f aca="false">MAX(P940+K940,Q939+N940)</f>
        <v>46453</v>
      </c>
      <c r="R940" s="12"/>
      <c r="S940" s="12"/>
    </row>
    <row r="941" customFormat="false" ht="15" hidden="false" customHeight="false" outlineLevel="0" collapsed="false">
      <c r="A941" s="15" t="s">
        <v>4285</v>
      </c>
      <c r="B941" s="15" t="s">
        <v>4286</v>
      </c>
      <c r="C941" s="15" t="s">
        <v>397</v>
      </c>
      <c r="D941" s="15" t="s">
        <v>695</v>
      </c>
      <c r="E941" s="15" t="s">
        <v>712</v>
      </c>
      <c r="F941" s="15" t="s">
        <v>2998</v>
      </c>
      <c r="G941" s="15" t="s">
        <v>2999</v>
      </c>
      <c r="H941" s="12"/>
      <c r="I941" s="12"/>
      <c r="J941" s="34" t="n">
        <f aca="false">0</f>
        <v>0</v>
      </c>
      <c r="K941" s="34" t="n">
        <f aca="false">IF(J941=0,0,ROUNDUP(J941*7/WD,0))</f>
        <v>0</v>
      </c>
      <c r="L941" s="12"/>
      <c r="M941" s="12"/>
      <c r="N941" s="12"/>
      <c r="O941" s="15" t="s">
        <v>3000</v>
      </c>
      <c r="P941" s="16" t="n">
        <f aca="false">MAX(START,D_DLU,Packages!$I$91,Packages!$K$91)</f>
        <v>46357</v>
      </c>
      <c r="Q941" s="16" t="n">
        <f aca="false">P941+K941</f>
        <v>46357</v>
      </c>
      <c r="R941" s="12"/>
      <c r="S941" s="12"/>
    </row>
    <row r="942" customFormat="false" ht="15" hidden="false" customHeight="false" outlineLevel="0" collapsed="false">
      <c r="A942" s="15" t="s">
        <v>4287</v>
      </c>
      <c r="B942" s="15" t="s">
        <v>4286</v>
      </c>
      <c r="C942" s="15" t="s">
        <v>397</v>
      </c>
      <c r="D942" s="15" t="s">
        <v>695</v>
      </c>
      <c r="E942" s="15" t="s">
        <v>712</v>
      </c>
      <c r="F942" s="15" t="s">
        <v>3002</v>
      </c>
      <c r="G942" s="15" t="s">
        <v>205</v>
      </c>
      <c r="H942" s="33" t="n">
        <f aca="false">Packages!$O$91</f>
        <v>25.2269999999069</v>
      </c>
      <c r="I942" s="15" t="s">
        <v>118</v>
      </c>
      <c r="J942" s="34" t="n">
        <f aca="false">MAX(1,ROUNDUP(Packages!$O$91/R_PLAT,0))</f>
        <v>1</v>
      </c>
      <c r="K942" s="34" t="n">
        <f aca="false">IF(J942=0,0,ROUNDUP(J942*7/WD,0))</f>
        <v>2</v>
      </c>
      <c r="L942" s="15" t="s">
        <v>4285</v>
      </c>
      <c r="M942" s="12"/>
      <c r="N942" s="12"/>
      <c r="O942" s="15" t="s">
        <v>4288</v>
      </c>
      <c r="P942" s="16" t="n">
        <f aca="false">MAX(Q941,P932)</f>
        <v>46367</v>
      </c>
      <c r="Q942" s="16" t="n">
        <f aca="false">P942+K942</f>
        <v>46369</v>
      </c>
      <c r="R942" s="12"/>
      <c r="S942" s="12"/>
    </row>
    <row r="943" customFormat="false" ht="15" hidden="false" customHeight="false" outlineLevel="0" collapsed="false">
      <c r="A943" s="15" t="s">
        <v>4289</v>
      </c>
      <c r="B943" s="15" t="s">
        <v>4286</v>
      </c>
      <c r="C943" s="15" t="s">
        <v>397</v>
      </c>
      <c r="D943" s="15" t="s">
        <v>695</v>
      </c>
      <c r="E943" s="15" t="s">
        <v>712</v>
      </c>
      <c r="F943" s="15" t="s">
        <v>3005</v>
      </c>
      <c r="G943" s="15" t="s">
        <v>3006</v>
      </c>
      <c r="H943" s="33" t="n">
        <f aca="false">Packages!$AC$91</f>
        <v>20</v>
      </c>
      <c r="I943" s="15" t="s">
        <v>3007</v>
      </c>
      <c r="J943" s="34" t="n">
        <f aca="false">IF(Packages!$AC$91=0,0,MAX(1,ROUNDUP(Packages!$AC$91/(R_PILE*Fronts!$H$9),0)))</f>
        <v>4</v>
      </c>
      <c r="K943" s="34" t="n">
        <f aca="false">IF(J943=0,0,ROUNDUP(J943*7/WD,0))</f>
        <v>5</v>
      </c>
      <c r="L943" s="15" t="s">
        <v>4287</v>
      </c>
      <c r="M943" s="34" t="n">
        <f aca="false">ROUNDUP(K942*LADDER,0)</f>
        <v>1</v>
      </c>
      <c r="N943" s="34" t="n">
        <f aca="false">IF(K943=0,0,FFLAG)</f>
        <v>2</v>
      </c>
      <c r="O943" s="15" t="s">
        <v>3008</v>
      </c>
      <c r="P943" s="16" t="n">
        <f aca="false">MAX(P942+M943,D_PILEDES,R932)</f>
        <v>46376</v>
      </c>
      <c r="Q943" s="16" t="n">
        <f aca="false">MAX(P943+K943,Q942+N943)</f>
        <v>46381</v>
      </c>
      <c r="R943" s="16" t="n">
        <f aca="false">IF(K943&gt;0,Q943,R932)</f>
        <v>46381</v>
      </c>
      <c r="S943" s="15" t="s">
        <v>4274</v>
      </c>
    </row>
    <row r="944" customFormat="false" ht="15" hidden="false" customHeight="false" outlineLevel="0" collapsed="false">
      <c r="A944" s="15" t="s">
        <v>4290</v>
      </c>
      <c r="B944" s="15" t="s">
        <v>4286</v>
      </c>
      <c r="C944" s="15" t="s">
        <v>397</v>
      </c>
      <c r="D944" s="15" t="s">
        <v>695</v>
      </c>
      <c r="E944" s="15" t="s">
        <v>712</v>
      </c>
      <c r="F944" s="15" t="s">
        <v>3010</v>
      </c>
      <c r="G944" s="15" t="s">
        <v>3011</v>
      </c>
      <c r="H944" s="33" t="n">
        <f aca="false">Packages!$AD$91</f>
        <v>50.4539999998138</v>
      </c>
      <c r="I944" s="15" t="s">
        <v>3012</v>
      </c>
      <c r="J944" s="34" t="n">
        <f aca="false">IF(Packages!$AD$91=0,0,MAX(1,ROUNDUP(Packages!$AD$91/(R_SHEET*Fronts!$I$9),0)))</f>
        <v>3</v>
      </c>
      <c r="K944" s="34" t="n">
        <f aca="false">IF(J944=0,0,ROUNDUP(J944*7/WD,0))</f>
        <v>4</v>
      </c>
      <c r="L944" s="15" t="s">
        <v>4289</v>
      </c>
      <c r="M944" s="34" t="n">
        <f aca="false">ROUNDUP(K943*LADDER,0)</f>
        <v>2</v>
      </c>
      <c r="N944" s="34" t="n">
        <f aca="false">IF(K944=0,0,FFLAG)</f>
        <v>2</v>
      </c>
      <c r="O944" s="15"/>
      <c r="P944" s="16" t="n">
        <f aca="false">MAX(P943+M944,R933)</f>
        <v>46378</v>
      </c>
      <c r="Q944" s="16" t="n">
        <f aca="false">MAX(P944+K944,Q943+N944)</f>
        <v>46383</v>
      </c>
      <c r="R944" s="16" t="n">
        <f aca="false">IF(K944&gt;0,Q944,R933)</f>
        <v>46383</v>
      </c>
      <c r="S944" s="15" t="s">
        <v>4275</v>
      </c>
    </row>
    <row r="945" customFormat="false" ht="15" hidden="false" customHeight="false" outlineLevel="0" collapsed="false">
      <c r="A945" s="15" t="s">
        <v>4291</v>
      </c>
      <c r="B945" s="15" t="s">
        <v>4286</v>
      </c>
      <c r="C945" s="15" t="s">
        <v>397</v>
      </c>
      <c r="D945" s="15" t="s">
        <v>695</v>
      </c>
      <c r="E945" s="15" t="s">
        <v>712</v>
      </c>
      <c r="F945" s="15" t="s">
        <v>3014</v>
      </c>
      <c r="G945" s="15" t="s">
        <v>3015</v>
      </c>
      <c r="H945" s="33" t="n">
        <f aca="false">Packages!$O$91</f>
        <v>25.2269999999069</v>
      </c>
      <c r="I945" s="15" t="s">
        <v>118</v>
      </c>
      <c r="J945" s="34" t="n">
        <f aca="false">IF(Packages!$AG$91=0,0,ROUNDUP(Packages!$O$91/R_DW,0)+DW_DRAW)</f>
        <v>8</v>
      </c>
      <c r="K945" s="34" t="n">
        <f aca="false">IF(J945=0,0,ROUNDUP(J945*7/WD,0))</f>
        <v>10</v>
      </c>
      <c r="L945" s="15" t="s">
        <v>4290</v>
      </c>
      <c r="M945" s="34" t="n">
        <f aca="false">ROUNDUP(K944*LADDER,0)</f>
        <v>2</v>
      </c>
      <c r="N945" s="34" t="n">
        <f aca="false">IF(K945=0,0,FFLAG)</f>
        <v>2</v>
      </c>
      <c r="O945" s="15" t="s">
        <v>4292</v>
      </c>
      <c r="P945" s="16" t="n">
        <f aca="false">MAX(P944+M945,Q935-K945)</f>
        <v>46405</v>
      </c>
      <c r="Q945" s="16" t="n">
        <f aca="false">MAX(P945+K945,Q944+N945)</f>
        <v>46415</v>
      </c>
      <c r="R945" s="12"/>
      <c r="S945" s="12"/>
    </row>
    <row r="946" customFormat="false" ht="15" hidden="false" customHeight="false" outlineLevel="0" collapsed="false">
      <c r="A946" s="15" t="s">
        <v>4293</v>
      </c>
      <c r="B946" s="15" t="s">
        <v>4286</v>
      </c>
      <c r="C946" s="15" t="s">
        <v>397</v>
      </c>
      <c r="D946" s="15" t="s">
        <v>695</v>
      </c>
      <c r="E946" s="15" t="s">
        <v>712</v>
      </c>
      <c r="F946" s="15" t="s">
        <v>3017</v>
      </c>
      <c r="G946" s="15" t="s">
        <v>3018</v>
      </c>
      <c r="H946" s="33" t="n">
        <f aca="false">Packages!$X$91+Packages!$Y$91</f>
        <v>421.35117846338</v>
      </c>
      <c r="I946" s="15" t="s">
        <v>3019</v>
      </c>
      <c r="J946" s="34" t="n">
        <f aca="false">MAX(1,ROUNDUP((Packages!$X$91/R_EXS+Packages!$Y$91/R_EXO)/Fronts!$J$9,0))</f>
        <v>2</v>
      </c>
      <c r="K946" s="34" t="n">
        <f aca="false">IF(J946=0,0,ROUNDUP(J946*7/WD,0))</f>
        <v>3</v>
      </c>
      <c r="L946" s="15" t="s">
        <v>4291</v>
      </c>
      <c r="M946" s="34" t="n">
        <f aca="false">IF(K945=0,0,ROUNDUP((K945-ROUNDUP(DW_DRAW*7/WD,0))*LADDER,0)+ROUNDUP(DW_DRAW*7/WD,0))</f>
        <v>10</v>
      </c>
      <c r="N946" s="34" t="n">
        <f aca="false">IF(K946=0,0,FFLAG)</f>
        <v>2</v>
      </c>
      <c r="O946" s="15" t="s">
        <v>4294</v>
      </c>
      <c r="P946" s="16" t="n">
        <f aca="false">MAX(P945+M946,R935,Q1170,P935,P902,P913)</f>
        <v>46415</v>
      </c>
      <c r="Q946" s="16" t="n">
        <f aca="false">MAX(P946+K946,Q945+N946)</f>
        <v>46418</v>
      </c>
      <c r="R946" s="16" t="n">
        <f aca="false">IF(K946&gt;0,Q946,R935)</f>
        <v>46418</v>
      </c>
      <c r="S946" s="15" t="s">
        <v>4278</v>
      </c>
    </row>
    <row r="947" customFormat="false" ht="15" hidden="false" customHeight="false" outlineLevel="0" collapsed="false">
      <c r="A947" s="15" t="s">
        <v>4295</v>
      </c>
      <c r="B947" s="15" t="s">
        <v>4286</v>
      </c>
      <c r="C947" s="15" t="s">
        <v>397</v>
      </c>
      <c r="D947" s="15" t="s">
        <v>695</v>
      </c>
      <c r="E947" s="15" t="s">
        <v>712</v>
      </c>
      <c r="F947" s="15" t="s">
        <v>3022</v>
      </c>
      <c r="G947" s="15" t="s">
        <v>3023</v>
      </c>
      <c r="H947" s="33" t="n">
        <f aca="false">Packages!$O$91</f>
        <v>25.2269999999069</v>
      </c>
      <c r="I947" s="15" t="s">
        <v>118</v>
      </c>
      <c r="J947" s="34" t="n">
        <f aca="false">MAX(1,ROUNDUP(Packages!$O$91/(R_SLAB*Fronts!$K$9),0))+SLAB_CURE</f>
        <v>6</v>
      </c>
      <c r="K947" s="34" t="n">
        <f aca="false">IF(J947=0,0,ROUNDUP(J947*7/WD,0))</f>
        <v>7</v>
      </c>
      <c r="L947" s="15" t="s">
        <v>4293</v>
      </c>
      <c r="M947" s="34" t="n">
        <f aca="false">ROUNDUP(K946*LADDER,0)</f>
        <v>1</v>
      </c>
      <c r="N947" s="34" t="n">
        <f aca="false">IF(K947=0,0,FFLAG)</f>
        <v>2</v>
      </c>
      <c r="O947" s="15"/>
      <c r="P947" s="16" t="n">
        <f aca="false">MAX(P946+M947,R936)</f>
        <v>46426</v>
      </c>
      <c r="Q947" s="16" t="n">
        <f aca="false">MAX(P947+K947,Q946+N947)</f>
        <v>46433</v>
      </c>
      <c r="R947" s="16" t="n">
        <f aca="false">IF(K947&gt;0,Q947,R936)</f>
        <v>46433</v>
      </c>
      <c r="S947" s="15" t="s">
        <v>4279</v>
      </c>
    </row>
    <row r="948" customFormat="false" ht="15" hidden="false" customHeight="false" outlineLevel="0" collapsed="false">
      <c r="A948" s="15" t="s">
        <v>4296</v>
      </c>
      <c r="B948" s="15" t="s">
        <v>4286</v>
      </c>
      <c r="C948" s="15" t="s">
        <v>397</v>
      </c>
      <c r="D948" s="15" t="s">
        <v>695</v>
      </c>
      <c r="E948" s="15" t="s">
        <v>712</v>
      </c>
      <c r="F948" s="15" t="s">
        <v>3025</v>
      </c>
      <c r="G948" s="15" t="s">
        <v>3026</v>
      </c>
      <c r="H948" s="33" t="n">
        <f aca="false">Packages!$O$91</f>
        <v>25.2269999999069</v>
      </c>
      <c r="I948" s="15" t="s">
        <v>118</v>
      </c>
      <c r="J948" s="34" t="n">
        <f aca="false">MAX(1,ROUNDUP(Packages!$O$91/(IF(Packages!$N$91&gt;=PIPE_T1,R_PIPE_L,IF(Packages!$N$91&gt;=PIPE_T2,R_PIPE_M,R_PIPE_S))*Fronts!$L$9)+Packages!$M$91*FIT_D+IF(Packages!$G$91&lt;&gt;"Run",TIE_D,0),0))</f>
        <v>2</v>
      </c>
      <c r="K948" s="34" t="n">
        <f aca="false">IF(J948=0,0,ROUNDUP(J948*7/WD,0))</f>
        <v>3</v>
      </c>
      <c r="L948" s="15" t="s">
        <v>4295</v>
      </c>
      <c r="M948" s="34" t="n">
        <f aca="false">ROUNDUP(K947*LADDER,0)</f>
        <v>3</v>
      </c>
      <c r="N948" s="34" t="n">
        <f aca="false">IF(K948=0,0,FFLAG)</f>
        <v>2</v>
      </c>
      <c r="O948" s="15"/>
      <c r="P948" s="16" t="n">
        <f aca="false">MAX(P947+M948,R937)</f>
        <v>46429</v>
      </c>
      <c r="Q948" s="16" t="n">
        <f aca="false">MAX(P948+K948,Q947+N948)</f>
        <v>46435</v>
      </c>
      <c r="R948" s="16" t="n">
        <f aca="false">IF(K948&gt;0,Q948,R937)</f>
        <v>46435</v>
      </c>
      <c r="S948" s="15" t="s">
        <v>4280</v>
      </c>
    </row>
    <row r="949" customFormat="false" ht="15" hidden="false" customHeight="false" outlineLevel="0" collapsed="false">
      <c r="A949" s="15" t="s">
        <v>4297</v>
      </c>
      <c r="B949" s="15" t="s">
        <v>4286</v>
      </c>
      <c r="C949" s="15" t="s">
        <v>397</v>
      </c>
      <c r="D949" s="15" t="s">
        <v>695</v>
      </c>
      <c r="E949" s="15" t="s">
        <v>712</v>
      </c>
      <c r="F949" s="15" t="s">
        <v>3028</v>
      </c>
      <c r="G949" s="15" t="s">
        <v>3029</v>
      </c>
      <c r="H949" s="33" t="n">
        <f aca="false">Packages!$O$91</f>
        <v>25.2269999999069</v>
      </c>
      <c r="I949" s="15" t="s">
        <v>118</v>
      </c>
      <c r="J949" s="34" t="n">
        <f aca="false">TEST_D+ROUNDUP(Packages!$O$91/R_TEST,0)</f>
        <v>3</v>
      </c>
      <c r="K949" s="34" t="n">
        <f aca="false">IF(J949=0,0,ROUNDUP(J949*7/WD,0))</f>
        <v>4</v>
      </c>
      <c r="L949" s="15" t="s">
        <v>4296</v>
      </c>
      <c r="M949" s="34" t="n">
        <f aca="false">ROUNDUP(K948*LADDER,0)</f>
        <v>1</v>
      </c>
      <c r="N949" s="34" t="n">
        <f aca="false">IF(K949=0,0,FFLAG)</f>
        <v>2</v>
      </c>
      <c r="O949" s="15"/>
      <c r="P949" s="16" t="n">
        <f aca="false">MAX(P948+M949)</f>
        <v>46430</v>
      </c>
      <c r="Q949" s="16" t="n">
        <f aca="false">MAX(P949+K949,Q948+N949)</f>
        <v>46437</v>
      </c>
      <c r="R949" s="12"/>
      <c r="S949" s="12"/>
    </row>
    <row r="950" customFormat="false" ht="15" hidden="false" customHeight="false" outlineLevel="0" collapsed="false">
      <c r="A950" s="15" t="s">
        <v>4298</v>
      </c>
      <c r="B950" s="15" t="s">
        <v>4286</v>
      </c>
      <c r="C950" s="15" t="s">
        <v>397</v>
      </c>
      <c r="D950" s="15" t="s">
        <v>695</v>
      </c>
      <c r="E950" s="15" t="s">
        <v>712</v>
      </c>
      <c r="F950" s="15" t="s">
        <v>3031</v>
      </c>
      <c r="G950" s="15" t="s">
        <v>3032</v>
      </c>
      <c r="H950" s="33" t="n">
        <f aca="false">Packages!$AB$91</f>
        <v>297.768019776183</v>
      </c>
      <c r="I950" s="15" t="s">
        <v>3019</v>
      </c>
      <c r="J950" s="34" t="n">
        <f aca="false">MAX(1,ROUNDUP(Packages!$AB$91/(R_BF*Fronts!$M$9),0))</f>
        <v>1</v>
      </c>
      <c r="K950" s="34" t="n">
        <f aca="false">IF(J950=0,0,ROUNDUP(J950*7/WD,0))</f>
        <v>2</v>
      </c>
      <c r="L950" s="15" t="s">
        <v>4297</v>
      </c>
      <c r="M950" s="34" t="n">
        <f aca="false">ROUNDUP(K949*LADDER,0)</f>
        <v>2</v>
      </c>
      <c r="N950" s="34" t="n">
        <f aca="false">IF(K950=0,0,FFLAG)</f>
        <v>2</v>
      </c>
      <c r="O950" s="15" t="s">
        <v>4299</v>
      </c>
      <c r="P950" s="16" t="n">
        <f aca="false">MAX(P949+M950,R939,Q970,Q937,Q904,Q915)</f>
        <v>46451</v>
      </c>
      <c r="Q950" s="16" t="n">
        <f aca="false">MAX(P950+K950,Q949+N950)</f>
        <v>46453</v>
      </c>
      <c r="R950" s="16" t="n">
        <f aca="false">IF(K950&gt;0,Q950,R939)</f>
        <v>46453</v>
      </c>
      <c r="S950" s="15" t="s">
        <v>4282</v>
      </c>
    </row>
    <row r="951" customFormat="false" ht="15" hidden="false" customHeight="false" outlineLevel="0" collapsed="false">
      <c r="A951" s="15" t="s">
        <v>4300</v>
      </c>
      <c r="B951" s="15" t="s">
        <v>4286</v>
      </c>
      <c r="C951" s="15" t="s">
        <v>397</v>
      </c>
      <c r="D951" s="15" t="s">
        <v>695</v>
      </c>
      <c r="E951" s="15" t="s">
        <v>712</v>
      </c>
      <c r="F951" s="15" t="s">
        <v>3034</v>
      </c>
      <c r="G951" s="15" t="s">
        <v>3035</v>
      </c>
      <c r="H951" s="33" t="n">
        <f aca="false">Packages!$AD$91</f>
        <v>50.4539999998138</v>
      </c>
      <c r="I951" s="15" t="s">
        <v>3012</v>
      </c>
      <c r="J951" s="34" t="n">
        <f aca="false">IF(Packages!$AD$91&gt;0,ROUNDUP(Packages!$AD$91/R_EXT,0),0)+IF(Packages!$AG$91&gt;0,1,0)</f>
        <v>3</v>
      </c>
      <c r="K951" s="34" t="n">
        <f aca="false">IF(J951=0,0,ROUNDUP(J951*7/WD,0))</f>
        <v>4</v>
      </c>
      <c r="L951" s="15" t="s">
        <v>4298</v>
      </c>
      <c r="M951" s="34" t="n">
        <f aca="false">ROUNDUP(K950*LADDER,0)</f>
        <v>1</v>
      </c>
      <c r="N951" s="34" t="n">
        <f aca="false">IF(K951=0,0,FFLAG)</f>
        <v>2</v>
      </c>
      <c r="O951" s="15"/>
      <c r="P951" s="16" t="n">
        <f aca="false">MAX(P950+M951)</f>
        <v>46452</v>
      </c>
      <c r="Q951" s="16" t="n">
        <f aca="false">MAX(P951+K951,Q950+N951)</f>
        <v>46456</v>
      </c>
      <c r="R951" s="12"/>
      <c r="S951" s="12"/>
    </row>
    <row r="952" customFormat="false" ht="15" hidden="false" customHeight="false" outlineLevel="0" collapsed="false">
      <c r="A952" s="15" t="s">
        <v>4301</v>
      </c>
      <c r="B952" s="15" t="s">
        <v>4302</v>
      </c>
      <c r="C952" s="15" t="s">
        <v>397</v>
      </c>
      <c r="D952" s="15" t="s">
        <v>695</v>
      </c>
      <c r="E952" s="15" t="s">
        <v>717</v>
      </c>
      <c r="F952" s="15" t="s">
        <v>2998</v>
      </c>
      <c r="G952" s="15" t="s">
        <v>2999</v>
      </c>
      <c r="H952" s="12"/>
      <c r="I952" s="12"/>
      <c r="J952" s="34" t="n">
        <f aca="false">0</f>
        <v>0</v>
      </c>
      <c r="K952" s="34" t="n">
        <f aca="false">IF(J952=0,0,ROUNDUP(J952*7/WD,0))</f>
        <v>0</v>
      </c>
      <c r="L952" s="12"/>
      <c r="M952" s="12"/>
      <c r="N952" s="12"/>
      <c r="O952" s="15" t="s">
        <v>3038</v>
      </c>
      <c r="P952" s="16" t="n">
        <f aca="false">MAX(START,D_DLU,Packages!$I$92,Packages!$K$92)</f>
        <v>46357</v>
      </c>
      <c r="Q952" s="16" t="n">
        <f aca="false">P952+K952</f>
        <v>46357</v>
      </c>
      <c r="R952" s="12"/>
      <c r="S952" s="12"/>
    </row>
    <row r="953" customFormat="false" ht="15" hidden="false" customHeight="false" outlineLevel="0" collapsed="false">
      <c r="A953" s="15" t="s">
        <v>4303</v>
      </c>
      <c r="B953" s="15" t="s">
        <v>4302</v>
      </c>
      <c r="C953" s="15" t="s">
        <v>397</v>
      </c>
      <c r="D953" s="15" t="s">
        <v>695</v>
      </c>
      <c r="E953" s="15" t="s">
        <v>717</v>
      </c>
      <c r="F953" s="15" t="s">
        <v>3002</v>
      </c>
      <c r="G953" s="15" t="s">
        <v>205</v>
      </c>
      <c r="H953" s="33" t="n">
        <f aca="false">Packages!$O$92</f>
        <v>6.00032461263704</v>
      </c>
      <c r="I953" s="15" t="s">
        <v>118</v>
      </c>
      <c r="J953" s="34" t="n">
        <f aca="false">MAX(1,ROUNDUP(Packages!$O$92/R_PLAT,0))</f>
        <v>1</v>
      </c>
      <c r="K953" s="34" t="n">
        <f aca="false">IF(J953=0,0,ROUNDUP(J953*7/WD,0))</f>
        <v>2</v>
      </c>
      <c r="L953" s="15" t="s">
        <v>4301</v>
      </c>
      <c r="M953" s="12"/>
      <c r="N953" s="12"/>
      <c r="O953" s="15" t="s">
        <v>4304</v>
      </c>
      <c r="P953" s="16" t="n">
        <f aca="false">MAX(Q952,P943)</f>
        <v>46376</v>
      </c>
      <c r="Q953" s="16" t="n">
        <f aca="false">P953+K953</f>
        <v>46378</v>
      </c>
      <c r="R953" s="12"/>
      <c r="S953" s="12"/>
    </row>
    <row r="954" customFormat="false" ht="15" hidden="false" customHeight="false" outlineLevel="0" collapsed="false">
      <c r="A954" s="15" t="s">
        <v>4305</v>
      </c>
      <c r="B954" s="15" t="s">
        <v>4302</v>
      </c>
      <c r="C954" s="15" t="s">
        <v>397</v>
      </c>
      <c r="D954" s="15" t="s">
        <v>695</v>
      </c>
      <c r="E954" s="15" t="s">
        <v>717</v>
      </c>
      <c r="F954" s="15" t="s">
        <v>3005</v>
      </c>
      <c r="G954" s="15" t="s">
        <v>3006</v>
      </c>
      <c r="H954" s="33" t="n">
        <f aca="false">Packages!$AC$92</f>
        <v>8</v>
      </c>
      <c r="I954" s="15" t="s">
        <v>3007</v>
      </c>
      <c r="J954" s="34" t="n">
        <f aca="false">IF(Packages!$AC$92=0,0,MAX(1,ROUNDUP(Packages!$AC$92/(R_PILE*Fronts!$H$9),0)))</f>
        <v>2</v>
      </c>
      <c r="K954" s="34" t="n">
        <f aca="false">IF(J954=0,0,ROUNDUP(J954*7/WD,0))</f>
        <v>3</v>
      </c>
      <c r="L954" s="15" t="s">
        <v>4303</v>
      </c>
      <c r="M954" s="34" t="n">
        <f aca="false">ROUNDUP(K953*LADDER,0)</f>
        <v>1</v>
      </c>
      <c r="N954" s="34" t="n">
        <f aca="false">IF(K954=0,0,FFLAG)</f>
        <v>2</v>
      </c>
      <c r="O954" s="15" t="s">
        <v>3008</v>
      </c>
      <c r="P954" s="16" t="n">
        <f aca="false">MAX(P953+M954,D_PILEDES)</f>
        <v>46377</v>
      </c>
      <c r="Q954" s="16" t="n">
        <f aca="false">MAX(P954+K954,Q953+N954)</f>
        <v>46380</v>
      </c>
      <c r="R954" s="16" t="n">
        <f aca="false">IF(K954&gt;0,Q954,0)</f>
        <v>46380</v>
      </c>
      <c r="S954" s="12"/>
    </row>
    <row r="955" customFormat="false" ht="15" hidden="false" customHeight="false" outlineLevel="0" collapsed="false">
      <c r="A955" s="15" t="s">
        <v>4306</v>
      </c>
      <c r="B955" s="15" t="s">
        <v>4302</v>
      </c>
      <c r="C955" s="15" t="s">
        <v>397</v>
      </c>
      <c r="D955" s="15" t="s">
        <v>695</v>
      </c>
      <c r="E955" s="15" t="s">
        <v>717</v>
      </c>
      <c r="F955" s="15" t="s">
        <v>3010</v>
      </c>
      <c r="G955" s="15" t="s">
        <v>3011</v>
      </c>
      <c r="H955" s="33" t="n">
        <f aca="false">Packages!$AD$92</f>
        <v>12.0006492252741</v>
      </c>
      <c r="I955" s="15" t="s">
        <v>3012</v>
      </c>
      <c r="J955" s="34" t="n">
        <f aca="false">IF(Packages!$AD$92=0,0,MAX(1,ROUNDUP(Packages!$AD$92/(R_SHEET*Fronts!$I$9),0)))</f>
        <v>1</v>
      </c>
      <c r="K955" s="34" t="n">
        <f aca="false">IF(J955=0,0,ROUNDUP(J955*7/WD,0))</f>
        <v>2</v>
      </c>
      <c r="L955" s="15" t="s">
        <v>4305</v>
      </c>
      <c r="M955" s="34" t="n">
        <f aca="false">ROUNDUP(K954*LADDER,0)</f>
        <v>1</v>
      </c>
      <c r="N955" s="34" t="n">
        <f aca="false">IF(K955=0,0,FFLAG)</f>
        <v>2</v>
      </c>
      <c r="O955" s="15"/>
      <c r="P955" s="16" t="n">
        <f aca="false">MAX(P954+M955)</f>
        <v>46378</v>
      </c>
      <c r="Q955" s="16" t="n">
        <f aca="false">MAX(P955+K955,Q954+N955)</f>
        <v>46382</v>
      </c>
      <c r="R955" s="16" t="n">
        <f aca="false">IF(K955&gt;0,Q955,0)</f>
        <v>46382</v>
      </c>
      <c r="S955" s="12"/>
    </row>
    <row r="956" customFormat="false" ht="15" hidden="false" customHeight="false" outlineLevel="0" collapsed="false">
      <c r="A956" s="15" t="s">
        <v>4307</v>
      </c>
      <c r="B956" s="15" t="s">
        <v>4302</v>
      </c>
      <c r="C956" s="15" t="s">
        <v>397</v>
      </c>
      <c r="D956" s="15" t="s">
        <v>695</v>
      </c>
      <c r="E956" s="15" t="s">
        <v>717</v>
      </c>
      <c r="F956" s="15" t="s">
        <v>3014</v>
      </c>
      <c r="G956" s="15" t="s">
        <v>3015</v>
      </c>
      <c r="H956" s="33" t="n">
        <f aca="false">Packages!$O$92</f>
        <v>6.00032461263704</v>
      </c>
      <c r="I956" s="15" t="s">
        <v>118</v>
      </c>
      <c r="J956" s="34" t="n">
        <f aca="false">IF(Packages!$AG$92=0,0,ROUNDUP(Packages!$O$92/R_DW,0)+DW_DRAW)</f>
        <v>8</v>
      </c>
      <c r="K956" s="34" t="n">
        <f aca="false">IF(J956=0,0,ROUNDUP(J956*7/WD,0))</f>
        <v>10</v>
      </c>
      <c r="L956" s="15" t="s">
        <v>4306</v>
      </c>
      <c r="M956" s="34" t="n">
        <f aca="false">ROUNDUP(K955*LADDER,0)</f>
        <v>1</v>
      </c>
      <c r="N956" s="34" t="n">
        <f aca="false">IF(K956=0,0,FFLAG)</f>
        <v>2</v>
      </c>
      <c r="O956" s="15"/>
      <c r="P956" s="16" t="n">
        <f aca="false">MAX(P955+M956)</f>
        <v>46379</v>
      </c>
      <c r="Q956" s="16" t="n">
        <f aca="false">MAX(P956+K956,Q955+N956)</f>
        <v>46389</v>
      </c>
      <c r="R956" s="12"/>
      <c r="S956" s="12"/>
    </row>
    <row r="957" customFormat="false" ht="15" hidden="false" customHeight="false" outlineLevel="0" collapsed="false">
      <c r="A957" s="15" t="s">
        <v>4308</v>
      </c>
      <c r="B957" s="15" t="s">
        <v>4302</v>
      </c>
      <c r="C957" s="15" t="s">
        <v>397</v>
      </c>
      <c r="D957" s="15" t="s">
        <v>695</v>
      </c>
      <c r="E957" s="15" t="s">
        <v>717</v>
      </c>
      <c r="F957" s="15" t="s">
        <v>3017</v>
      </c>
      <c r="G957" s="15" t="s">
        <v>3018</v>
      </c>
      <c r="H957" s="33" t="n">
        <f aca="false">Packages!$X$92+Packages!$Y$92</f>
        <v>106.991723989087</v>
      </c>
      <c r="I957" s="15" t="s">
        <v>3019</v>
      </c>
      <c r="J957" s="34" t="n">
        <f aca="false">MAX(1,ROUNDUP((Packages!$X$92/R_EXS+Packages!$Y$92/R_EXO)/Fronts!$J$9,0))</f>
        <v>1</v>
      </c>
      <c r="K957" s="34" t="n">
        <f aca="false">IF(J957=0,0,ROUNDUP(J957*7/WD,0))</f>
        <v>2</v>
      </c>
      <c r="L957" s="15" t="s">
        <v>4307</v>
      </c>
      <c r="M957" s="34" t="n">
        <f aca="false">IF(K956=0,0,ROUNDUP((K956-ROUNDUP(DW_DRAW*7/WD,0))*LADDER,0)+ROUNDUP(DW_DRAW*7/WD,0))</f>
        <v>10</v>
      </c>
      <c r="N957" s="34" t="n">
        <f aca="false">IF(K957=0,0,FFLAG)</f>
        <v>2</v>
      </c>
      <c r="O957" s="15" t="s">
        <v>4309</v>
      </c>
      <c r="P957" s="16" t="n">
        <f aca="false">MAX(P956+M957,Q1170,P902,P913)</f>
        <v>46404</v>
      </c>
      <c r="Q957" s="16" t="n">
        <f aca="false">MAX(P957+K957,Q956+N957)</f>
        <v>46406</v>
      </c>
      <c r="R957" s="16" t="n">
        <f aca="false">IF(K957&gt;0,Q957,0)</f>
        <v>46406</v>
      </c>
      <c r="S957" s="12"/>
    </row>
    <row r="958" customFormat="false" ht="15" hidden="false" customHeight="false" outlineLevel="0" collapsed="false">
      <c r="A958" s="15" t="s">
        <v>4310</v>
      </c>
      <c r="B958" s="15" t="s">
        <v>4302</v>
      </c>
      <c r="C958" s="15" t="s">
        <v>397</v>
      </c>
      <c r="D958" s="15" t="s">
        <v>695</v>
      </c>
      <c r="E958" s="15" t="s">
        <v>717</v>
      </c>
      <c r="F958" s="15" t="s">
        <v>3022</v>
      </c>
      <c r="G958" s="15" t="s">
        <v>3023</v>
      </c>
      <c r="H958" s="33" t="n">
        <f aca="false">Packages!$O$92</f>
        <v>6.00032461263704</v>
      </c>
      <c r="I958" s="15" t="s">
        <v>118</v>
      </c>
      <c r="J958" s="34" t="n">
        <f aca="false">MAX(1,ROUNDUP(Packages!$O$92/(R_SLAB*Fronts!$K$9),0))+SLAB_CURE</f>
        <v>4</v>
      </c>
      <c r="K958" s="34" t="n">
        <f aca="false">IF(J958=0,0,ROUNDUP(J958*7/WD,0))</f>
        <v>5</v>
      </c>
      <c r="L958" s="15" t="s">
        <v>4308</v>
      </c>
      <c r="M958" s="34" t="n">
        <f aca="false">ROUNDUP(K957*LADDER,0)</f>
        <v>1</v>
      </c>
      <c r="N958" s="34" t="n">
        <f aca="false">IF(K958=0,0,FFLAG)</f>
        <v>2</v>
      </c>
      <c r="O958" s="15"/>
      <c r="P958" s="16" t="n">
        <f aca="false">MAX(P957+M958)</f>
        <v>46405</v>
      </c>
      <c r="Q958" s="16" t="n">
        <f aca="false">MAX(P958+K958,Q957+N958)</f>
        <v>46410</v>
      </c>
      <c r="R958" s="16" t="n">
        <f aca="false">IF(K958&gt;0,Q958,0)</f>
        <v>46410</v>
      </c>
      <c r="S958" s="12"/>
    </row>
    <row r="959" customFormat="false" ht="15" hidden="false" customHeight="false" outlineLevel="0" collapsed="false">
      <c r="A959" s="15" t="s">
        <v>4311</v>
      </c>
      <c r="B959" s="15" t="s">
        <v>4302</v>
      </c>
      <c r="C959" s="15" t="s">
        <v>397</v>
      </c>
      <c r="D959" s="15" t="s">
        <v>695</v>
      </c>
      <c r="E959" s="15" t="s">
        <v>717</v>
      </c>
      <c r="F959" s="15" t="s">
        <v>3025</v>
      </c>
      <c r="G959" s="15" t="s">
        <v>3026</v>
      </c>
      <c r="H959" s="33" t="n">
        <f aca="false">Packages!$O$92</f>
        <v>6.00032461263704</v>
      </c>
      <c r="I959" s="15" t="s">
        <v>118</v>
      </c>
      <c r="J959" s="34" t="n">
        <f aca="false">MAX(1,ROUNDUP(Packages!$O$92/(IF(Packages!$N$92&gt;=PIPE_T1,R_PIPE_L,IF(Packages!$N$92&gt;=PIPE_T2,R_PIPE_M,R_PIPE_S))*Fronts!$L$9)+Packages!$M$92*FIT_D+IF(Packages!$G$92&lt;&gt;"Run",TIE_D,0),0))</f>
        <v>4</v>
      </c>
      <c r="K959" s="34" t="n">
        <f aca="false">IF(J959=0,0,ROUNDUP(J959*7/WD,0))</f>
        <v>5</v>
      </c>
      <c r="L959" s="15" t="s">
        <v>4310</v>
      </c>
      <c r="M959" s="34" t="n">
        <f aca="false">ROUNDUP(K958*LADDER,0)</f>
        <v>2</v>
      </c>
      <c r="N959" s="34" t="n">
        <f aca="false">IF(K959=0,0,FFLAG)</f>
        <v>2</v>
      </c>
      <c r="O959" s="15" t="s">
        <v>4312</v>
      </c>
      <c r="P959" s="16" t="n">
        <f aca="false">MAX(P958+M959,Q948)</f>
        <v>46435</v>
      </c>
      <c r="Q959" s="16" t="n">
        <f aca="false">MAX(P959+K959,Q958+N959)</f>
        <v>46440</v>
      </c>
      <c r="R959" s="16" t="n">
        <f aca="false">IF(K959&gt;0,Q959,0)</f>
        <v>46440</v>
      </c>
      <c r="S959" s="12"/>
    </row>
    <row r="960" customFormat="false" ht="15" hidden="false" customHeight="false" outlineLevel="0" collapsed="false">
      <c r="A960" s="15" t="s">
        <v>4313</v>
      </c>
      <c r="B960" s="15" t="s">
        <v>4302</v>
      </c>
      <c r="C960" s="15" t="s">
        <v>397</v>
      </c>
      <c r="D960" s="15" t="s">
        <v>695</v>
      </c>
      <c r="E960" s="15" t="s">
        <v>717</v>
      </c>
      <c r="F960" s="15" t="s">
        <v>3028</v>
      </c>
      <c r="G960" s="15" t="s">
        <v>3029</v>
      </c>
      <c r="H960" s="33" t="n">
        <f aca="false">Packages!$O$92</f>
        <v>6.00032461263704</v>
      </c>
      <c r="I960" s="15" t="s">
        <v>118</v>
      </c>
      <c r="J960" s="34" t="n">
        <f aca="false">TEST_D+ROUNDUP(Packages!$O$92/R_TEST,0)</f>
        <v>3</v>
      </c>
      <c r="K960" s="34" t="n">
        <f aca="false">IF(J960=0,0,ROUNDUP(J960*7/WD,0))</f>
        <v>4</v>
      </c>
      <c r="L960" s="15" t="s">
        <v>4311</v>
      </c>
      <c r="M960" s="34" t="n">
        <f aca="false">ROUNDUP(K959*LADDER,0)</f>
        <v>2</v>
      </c>
      <c r="N960" s="34" t="n">
        <f aca="false">IF(K960=0,0,FFLAG)</f>
        <v>2</v>
      </c>
      <c r="O960" s="15"/>
      <c r="P960" s="16" t="n">
        <f aca="false">MAX(P959+M960)</f>
        <v>46437</v>
      </c>
      <c r="Q960" s="16" t="n">
        <f aca="false">MAX(P960+K960,Q959+N960)</f>
        <v>46442</v>
      </c>
      <c r="R960" s="12"/>
      <c r="S960" s="12"/>
    </row>
    <row r="961" customFormat="false" ht="15" hidden="false" customHeight="false" outlineLevel="0" collapsed="false">
      <c r="A961" s="15" t="s">
        <v>4314</v>
      </c>
      <c r="B961" s="15" t="s">
        <v>4302</v>
      </c>
      <c r="C961" s="15" t="s">
        <v>397</v>
      </c>
      <c r="D961" s="15" t="s">
        <v>695</v>
      </c>
      <c r="E961" s="15" t="s">
        <v>717</v>
      </c>
      <c r="F961" s="15" t="s">
        <v>3031</v>
      </c>
      <c r="G961" s="15" t="s">
        <v>3032</v>
      </c>
      <c r="H961" s="33" t="n">
        <f aca="false">Packages!$AB$92</f>
        <v>77.5970647437959</v>
      </c>
      <c r="I961" s="15" t="s">
        <v>3019</v>
      </c>
      <c r="J961" s="34" t="n">
        <f aca="false">MAX(1,ROUNDUP(Packages!$AB$92/(R_BF*Fronts!$M$9),0))</f>
        <v>1</v>
      </c>
      <c r="K961" s="34" t="n">
        <f aca="false">IF(J961=0,0,ROUNDUP(J961*7/WD,0))</f>
        <v>2</v>
      </c>
      <c r="L961" s="15" t="s">
        <v>4313</v>
      </c>
      <c r="M961" s="34" t="n">
        <f aca="false">ROUNDUP(K960*LADDER,0)</f>
        <v>2</v>
      </c>
      <c r="N961" s="34" t="n">
        <f aca="false">IF(K961=0,0,FFLAG)</f>
        <v>2</v>
      </c>
      <c r="O961" s="15" t="s">
        <v>4315</v>
      </c>
      <c r="P961" s="16" t="n">
        <f aca="false">MAX(P960+M961,Q970,Q904,Q915)</f>
        <v>46444</v>
      </c>
      <c r="Q961" s="16" t="n">
        <f aca="false">MAX(P961+K961,Q960+N961)</f>
        <v>46446</v>
      </c>
      <c r="R961" s="16" t="n">
        <f aca="false">IF(K961&gt;0,Q961,0)</f>
        <v>46446</v>
      </c>
      <c r="S961" s="12"/>
    </row>
    <row r="962" customFormat="false" ht="15" hidden="false" customHeight="false" outlineLevel="0" collapsed="false">
      <c r="A962" s="15" t="s">
        <v>4316</v>
      </c>
      <c r="B962" s="15" t="s">
        <v>4302</v>
      </c>
      <c r="C962" s="15" t="s">
        <v>397</v>
      </c>
      <c r="D962" s="15" t="s">
        <v>695</v>
      </c>
      <c r="E962" s="15" t="s">
        <v>717</v>
      </c>
      <c r="F962" s="15" t="s">
        <v>3034</v>
      </c>
      <c r="G962" s="15" t="s">
        <v>3035</v>
      </c>
      <c r="H962" s="33" t="n">
        <f aca="false">Packages!$AD$92</f>
        <v>12.0006492252741</v>
      </c>
      <c r="I962" s="15" t="s">
        <v>3012</v>
      </c>
      <c r="J962" s="34" t="n">
        <f aca="false">IF(Packages!$AD$92&gt;0,ROUNDUP(Packages!$AD$92/R_EXT,0),0)+IF(Packages!$AG$92&gt;0,1,0)</f>
        <v>2</v>
      </c>
      <c r="K962" s="34" t="n">
        <f aca="false">IF(J962=0,0,ROUNDUP(J962*7/WD,0))</f>
        <v>3</v>
      </c>
      <c r="L962" s="15" t="s">
        <v>4314</v>
      </c>
      <c r="M962" s="34" t="n">
        <f aca="false">ROUNDUP(K961*LADDER,0)</f>
        <v>1</v>
      </c>
      <c r="N962" s="34" t="n">
        <f aca="false">IF(K962=0,0,FFLAG)</f>
        <v>2</v>
      </c>
      <c r="O962" s="15"/>
      <c r="P962" s="16" t="n">
        <f aca="false">MAX(P961+M962)</f>
        <v>46445</v>
      </c>
      <c r="Q962" s="16" t="n">
        <f aca="false">MAX(P962+K962,Q961+N962)</f>
        <v>46448</v>
      </c>
      <c r="R962" s="12"/>
      <c r="S962" s="12"/>
    </row>
    <row r="963" customFormat="false" ht="15" hidden="false" customHeight="false" outlineLevel="0" collapsed="false">
      <c r="A963" s="15" t="s">
        <v>4317</v>
      </c>
      <c r="B963" s="15" t="s">
        <v>4318</v>
      </c>
      <c r="C963" s="15" t="s">
        <v>397</v>
      </c>
      <c r="D963" s="15" t="s">
        <v>1240</v>
      </c>
      <c r="E963" s="15" t="s">
        <v>1241</v>
      </c>
      <c r="F963" s="15" t="s">
        <v>2998</v>
      </c>
      <c r="G963" s="15" t="s">
        <v>2999</v>
      </c>
      <c r="H963" s="12"/>
      <c r="I963" s="12"/>
      <c r="J963" s="34" t="n">
        <f aca="false">0</f>
        <v>0</v>
      </c>
      <c r="K963" s="34" t="n">
        <f aca="false">IF(J963=0,0,ROUNDUP(J963*7/WD,0))</f>
        <v>0</v>
      </c>
      <c r="L963" s="12"/>
      <c r="M963" s="12"/>
      <c r="N963" s="12"/>
      <c r="O963" s="15" t="s">
        <v>3000</v>
      </c>
      <c r="P963" s="16" t="n">
        <f aca="false">MAX(START,D_DLU,Packages!$I$93,Packages!$K$93)</f>
        <v>46357</v>
      </c>
      <c r="Q963" s="16" t="n">
        <f aca="false">P963+K963</f>
        <v>46357</v>
      </c>
      <c r="R963" s="12"/>
      <c r="S963" s="12"/>
    </row>
    <row r="964" customFormat="false" ht="15" hidden="false" customHeight="false" outlineLevel="0" collapsed="false">
      <c r="A964" s="15" t="s">
        <v>4319</v>
      </c>
      <c r="B964" s="15" t="s">
        <v>4318</v>
      </c>
      <c r="C964" s="15" t="s">
        <v>397</v>
      </c>
      <c r="D964" s="15" t="s">
        <v>1240</v>
      </c>
      <c r="E964" s="15" t="s">
        <v>1241</v>
      </c>
      <c r="F964" s="15" t="s">
        <v>3002</v>
      </c>
      <c r="G964" s="15" t="s">
        <v>205</v>
      </c>
      <c r="H964" s="33" t="n">
        <f aca="false">Packages!$O$93</f>
        <v>37.4000000001583</v>
      </c>
      <c r="I964" s="15" t="s">
        <v>118</v>
      </c>
      <c r="J964" s="34" t="n">
        <f aca="false">MAX(1,ROUNDUP(Packages!$O$93/R_PLAT,0))</f>
        <v>1</v>
      </c>
      <c r="K964" s="34" t="n">
        <f aca="false">IF(J964=0,0,ROUNDUP(J964*7/WD,0))</f>
        <v>2</v>
      </c>
      <c r="L964" s="15" t="s">
        <v>4317</v>
      </c>
      <c r="M964" s="12"/>
      <c r="N964" s="12"/>
      <c r="O964" s="15" t="s">
        <v>4320</v>
      </c>
      <c r="P964" s="16" t="n">
        <f aca="false">MAX(Q963,P943)</f>
        <v>46376</v>
      </c>
      <c r="Q964" s="16" t="n">
        <f aca="false">P964+K964</f>
        <v>46378</v>
      </c>
      <c r="R964" s="12"/>
      <c r="S964" s="12"/>
    </row>
    <row r="965" customFormat="false" ht="15" hidden="false" customHeight="false" outlineLevel="0" collapsed="false">
      <c r="A965" s="15" t="s">
        <v>4321</v>
      </c>
      <c r="B965" s="15" t="s">
        <v>4318</v>
      </c>
      <c r="C965" s="15" t="s">
        <v>397</v>
      </c>
      <c r="D965" s="15" t="s">
        <v>1240</v>
      </c>
      <c r="E965" s="15" t="s">
        <v>1241</v>
      </c>
      <c r="F965" s="15" t="s">
        <v>3005</v>
      </c>
      <c r="G965" s="15" t="s">
        <v>3006</v>
      </c>
      <c r="H965" s="33" t="n">
        <f aca="false">Packages!$AC$93</f>
        <v>28</v>
      </c>
      <c r="I965" s="15" t="s">
        <v>3007</v>
      </c>
      <c r="J965" s="34" t="n">
        <f aca="false">IF(Packages!$AC$93=0,0,MAX(1,ROUNDUP(Packages!$AC$93/(R_PILE*Fronts!$H$9),0)))</f>
        <v>6</v>
      </c>
      <c r="K965" s="34" t="n">
        <f aca="false">IF(J965=0,0,ROUNDUP(J965*7/WD,0))</f>
        <v>7</v>
      </c>
      <c r="L965" s="15" t="s">
        <v>4319</v>
      </c>
      <c r="M965" s="34" t="n">
        <f aca="false">ROUNDUP(K964*LADDER,0)</f>
        <v>1</v>
      </c>
      <c r="N965" s="34" t="n">
        <f aca="false">IF(K965=0,0,FFLAG)</f>
        <v>2</v>
      </c>
      <c r="O965" s="15" t="s">
        <v>3008</v>
      </c>
      <c r="P965" s="16" t="n">
        <f aca="false">MAX(P964+M965,D_PILEDES,R943)</f>
        <v>46381</v>
      </c>
      <c r="Q965" s="16" t="n">
        <f aca="false">MAX(P965+K965,Q964+N965)</f>
        <v>46388</v>
      </c>
      <c r="R965" s="16" t="n">
        <f aca="false">IF(K965&gt;0,Q965,R943)</f>
        <v>46388</v>
      </c>
      <c r="S965" s="15" t="s">
        <v>4289</v>
      </c>
    </row>
    <row r="966" customFormat="false" ht="15" hidden="false" customHeight="false" outlineLevel="0" collapsed="false">
      <c r="A966" s="15" t="s">
        <v>4322</v>
      </c>
      <c r="B966" s="15" t="s">
        <v>4318</v>
      </c>
      <c r="C966" s="15" t="s">
        <v>397</v>
      </c>
      <c r="D966" s="15" t="s">
        <v>1240</v>
      </c>
      <c r="E966" s="15" t="s">
        <v>1241</v>
      </c>
      <c r="F966" s="15" t="s">
        <v>3010</v>
      </c>
      <c r="G966" s="15" t="s">
        <v>3011</v>
      </c>
      <c r="H966" s="33" t="n">
        <f aca="false">Packages!$AD$93</f>
        <v>74.8000000003166</v>
      </c>
      <c r="I966" s="15" t="s">
        <v>3012</v>
      </c>
      <c r="J966" s="34" t="n">
        <f aca="false">IF(Packages!$AD$93=0,0,MAX(1,ROUNDUP(Packages!$AD$93/(R_SHEET*Fronts!$I$9),0)))</f>
        <v>3</v>
      </c>
      <c r="K966" s="34" t="n">
        <f aca="false">IF(J966=0,0,ROUNDUP(J966*7/WD,0))</f>
        <v>4</v>
      </c>
      <c r="L966" s="15" t="s">
        <v>4321</v>
      </c>
      <c r="M966" s="34" t="n">
        <f aca="false">ROUNDUP(K965*LADDER,0)</f>
        <v>3</v>
      </c>
      <c r="N966" s="34" t="n">
        <f aca="false">IF(K966=0,0,FFLAG)</f>
        <v>2</v>
      </c>
      <c r="O966" s="15"/>
      <c r="P966" s="16" t="n">
        <f aca="false">MAX(P965+M966,R944)</f>
        <v>46384</v>
      </c>
      <c r="Q966" s="16" t="n">
        <f aca="false">MAX(P966+K966,Q965+N966)</f>
        <v>46390</v>
      </c>
      <c r="R966" s="16" t="n">
        <f aca="false">IF(K966&gt;0,Q966,R944)</f>
        <v>46390</v>
      </c>
      <c r="S966" s="15" t="s">
        <v>4290</v>
      </c>
    </row>
    <row r="967" customFormat="false" ht="15" hidden="false" customHeight="false" outlineLevel="0" collapsed="false">
      <c r="A967" s="15" t="s">
        <v>4323</v>
      </c>
      <c r="B967" s="15" t="s">
        <v>4318</v>
      </c>
      <c r="C967" s="15" t="s">
        <v>397</v>
      </c>
      <c r="D967" s="15" t="s">
        <v>1240</v>
      </c>
      <c r="E967" s="15" t="s">
        <v>1241</v>
      </c>
      <c r="F967" s="15" t="s">
        <v>3014</v>
      </c>
      <c r="G967" s="15" t="s">
        <v>3015</v>
      </c>
      <c r="H967" s="33" t="n">
        <f aca="false">Packages!$O$93</f>
        <v>37.4000000001583</v>
      </c>
      <c r="I967" s="15" t="s">
        <v>118</v>
      </c>
      <c r="J967" s="34" t="n">
        <f aca="false">IF(Packages!$AG$93=0,0,ROUNDUP(Packages!$O$93/R_DW,0)+DW_DRAW)</f>
        <v>8</v>
      </c>
      <c r="K967" s="34" t="n">
        <f aca="false">IF(J967=0,0,ROUNDUP(J967*7/WD,0))</f>
        <v>10</v>
      </c>
      <c r="L967" s="15" t="s">
        <v>4322</v>
      </c>
      <c r="M967" s="34" t="n">
        <f aca="false">ROUNDUP(K966*LADDER,0)</f>
        <v>2</v>
      </c>
      <c r="N967" s="34" t="n">
        <f aca="false">IF(K967=0,0,FFLAG)</f>
        <v>2</v>
      </c>
      <c r="O967" s="15" t="s">
        <v>4324</v>
      </c>
      <c r="P967" s="16" t="n">
        <f aca="false">MAX(P966+M967,Q946-K967)</f>
        <v>46408</v>
      </c>
      <c r="Q967" s="16" t="n">
        <f aca="false">MAX(P967+K967,Q966+N967)</f>
        <v>46418</v>
      </c>
      <c r="R967" s="12"/>
      <c r="S967" s="12"/>
    </row>
    <row r="968" customFormat="false" ht="15" hidden="false" customHeight="false" outlineLevel="0" collapsed="false">
      <c r="A968" s="15" t="s">
        <v>4325</v>
      </c>
      <c r="B968" s="15" t="s">
        <v>4318</v>
      </c>
      <c r="C968" s="15" t="s">
        <v>397</v>
      </c>
      <c r="D968" s="15" t="s">
        <v>1240</v>
      </c>
      <c r="E968" s="15" t="s">
        <v>1241</v>
      </c>
      <c r="F968" s="15" t="s">
        <v>3017</v>
      </c>
      <c r="G968" s="15" t="s">
        <v>3018</v>
      </c>
      <c r="H968" s="33" t="n">
        <f aca="false">Packages!$X$93+Packages!$Y$93</f>
        <v>597.114629996438</v>
      </c>
      <c r="I968" s="15" t="s">
        <v>3019</v>
      </c>
      <c r="J968" s="34" t="n">
        <f aca="false">MAX(1,ROUNDUP((Packages!$X$93/R_EXS+Packages!$Y$93/R_EXO)/Fronts!$J$9,0))</f>
        <v>3</v>
      </c>
      <c r="K968" s="34" t="n">
        <f aca="false">IF(J968=0,0,ROUNDUP(J968*7/WD,0))</f>
        <v>4</v>
      </c>
      <c r="L968" s="15" t="s">
        <v>4323</v>
      </c>
      <c r="M968" s="34" t="n">
        <f aca="false">IF(K967=0,0,ROUNDUP((K967-ROUNDUP(DW_DRAW*7/WD,0))*LADDER,0)+ROUNDUP(DW_DRAW*7/WD,0))</f>
        <v>10</v>
      </c>
      <c r="N968" s="34" t="n">
        <f aca="false">IF(K968=0,0,FFLAG)</f>
        <v>2</v>
      </c>
      <c r="O968" s="15" t="s">
        <v>4326</v>
      </c>
      <c r="P968" s="16" t="n">
        <f aca="false">MAX(P967+M968,R946,P946,P957,P924,P902,P913)</f>
        <v>46418</v>
      </c>
      <c r="Q968" s="16" t="n">
        <f aca="false">MAX(P968+K968,Q967+N968)</f>
        <v>46422</v>
      </c>
      <c r="R968" s="16" t="n">
        <f aca="false">IF(K968&gt;0,Q968,R946)</f>
        <v>46422</v>
      </c>
      <c r="S968" s="15" t="s">
        <v>4293</v>
      </c>
    </row>
    <row r="969" customFormat="false" ht="15" hidden="false" customHeight="false" outlineLevel="0" collapsed="false">
      <c r="A969" s="15" t="s">
        <v>4327</v>
      </c>
      <c r="B969" s="15" t="s">
        <v>4318</v>
      </c>
      <c r="C969" s="15" t="s">
        <v>397</v>
      </c>
      <c r="D969" s="15" t="s">
        <v>1240</v>
      </c>
      <c r="E969" s="15" t="s">
        <v>1241</v>
      </c>
      <c r="F969" s="15" t="s">
        <v>3022</v>
      </c>
      <c r="G969" s="15" t="s">
        <v>3023</v>
      </c>
      <c r="H969" s="33" t="n">
        <f aca="false">Packages!$O$93</f>
        <v>37.4000000001583</v>
      </c>
      <c r="I969" s="15" t="s">
        <v>118</v>
      </c>
      <c r="J969" s="34" t="n">
        <f aca="false">MAX(1,ROUNDUP(Packages!$O$93/(R_SLAB*Fronts!$K$9),0))+SLAB_CURE</f>
        <v>7</v>
      </c>
      <c r="K969" s="34" t="n">
        <f aca="false">IF(J969=0,0,ROUNDUP(J969*7/WD,0))</f>
        <v>9</v>
      </c>
      <c r="L969" s="15" t="s">
        <v>4325</v>
      </c>
      <c r="M969" s="34" t="n">
        <f aca="false">ROUNDUP(K968*LADDER,0)</f>
        <v>2</v>
      </c>
      <c r="N969" s="34" t="n">
        <f aca="false">IF(K969=0,0,FFLAG)</f>
        <v>2</v>
      </c>
      <c r="O969" s="15"/>
      <c r="P969" s="16" t="n">
        <f aca="false">MAX(P968+M969,R947)</f>
        <v>46433</v>
      </c>
      <c r="Q969" s="16" t="n">
        <f aca="false">MAX(P969+K969,Q968+N969)</f>
        <v>46442</v>
      </c>
      <c r="R969" s="16" t="n">
        <f aca="false">IF(K969&gt;0,Q969,R947)</f>
        <v>46442</v>
      </c>
      <c r="S969" s="15" t="s">
        <v>4295</v>
      </c>
    </row>
    <row r="970" customFormat="false" ht="15" hidden="false" customHeight="false" outlineLevel="0" collapsed="false">
      <c r="A970" s="15" t="s">
        <v>4328</v>
      </c>
      <c r="B970" s="15" t="s">
        <v>4318</v>
      </c>
      <c r="C970" s="15" t="s">
        <v>397</v>
      </c>
      <c r="D970" s="15" t="s">
        <v>1240</v>
      </c>
      <c r="E970" s="15" t="s">
        <v>1241</v>
      </c>
      <c r="F970" s="15" t="s">
        <v>3025</v>
      </c>
      <c r="G970" s="15" t="s">
        <v>3026</v>
      </c>
      <c r="H970" s="33" t="n">
        <f aca="false">Packages!$O$93</f>
        <v>37.4000000001583</v>
      </c>
      <c r="I970" s="15" t="s">
        <v>118</v>
      </c>
      <c r="J970" s="34" t="n">
        <f aca="false">MAX(1,ROUNDUP(Packages!$O$93/(IF(Packages!$N$93&gt;=PIPE_T1,R_PIPE_L,IF(Packages!$N$93&gt;=PIPE_T2,R_PIPE_M,R_PIPE_S))*Fronts!$L$9)+Packages!$M$93*FIT_D+IF(Packages!$G$93&lt;&gt;"Run",TIE_D,0),0))</f>
        <v>4</v>
      </c>
      <c r="K970" s="34" t="n">
        <f aca="false">IF(J970=0,0,ROUNDUP(J970*7/WD,0))</f>
        <v>5</v>
      </c>
      <c r="L970" s="15" t="s">
        <v>4327</v>
      </c>
      <c r="M970" s="34" t="n">
        <f aca="false">ROUNDUP(K969*LADDER,0)</f>
        <v>3</v>
      </c>
      <c r="N970" s="34" t="n">
        <f aca="false">IF(K970=0,0,FFLAG)</f>
        <v>2</v>
      </c>
      <c r="O970" s="15"/>
      <c r="P970" s="16" t="n">
        <f aca="false">MAX(P969+M970,R948)</f>
        <v>46436</v>
      </c>
      <c r="Q970" s="16" t="n">
        <f aca="false">MAX(P970+K970,Q969+N970)</f>
        <v>46444</v>
      </c>
      <c r="R970" s="16" t="n">
        <f aca="false">IF(K970&gt;0,Q970,R948)</f>
        <v>46444</v>
      </c>
      <c r="S970" s="15" t="s">
        <v>4296</v>
      </c>
    </row>
    <row r="971" customFormat="false" ht="15" hidden="false" customHeight="false" outlineLevel="0" collapsed="false">
      <c r="A971" s="15" t="s">
        <v>4329</v>
      </c>
      <c r="B971" s="15" t="s">
        <v>4318</v>
      </c>
      <c r="C971" s="15" t="s">
        <v>397</v>
      </c>
      <c r="D971" s="15" t="s">
        <v>1240</v>
      </c>
      <c r="E971" s="15" t="s">
        <v>1241</v>
      </c>
      <c r="F971" s="15" t="s">
        <v>3028</v>
      </c>
      <c r="G971" s="15" t="s">
        <v>3029</v>
      </c>
      <c r="H971" s="33" t="n">
        <f aca="false">Packages!$O$93</f>
        <v>37.4000000001583</v>
      </c>
      <c r="I971" s="15" t="s">
        <v>118</v>
      </c>
      <c r="J971" s="34" t="n">
        <f aca="false">TEST_D+ROUNDUP(Packages!$O$93/R_TEST,0)</f>
        <v>3</v>
      </c>
      <c r="K971" s="34" t="n">
        <f aca="false">IF(J971=0,0,ROUNDUP(J971*7/WD,0))</f>
        <v>4</v>
      </c>
      <c r="L971" s="15" t="s">
        <v>4328</v>
      </c>
      <c r="M971" s="34" t="n">
        <f aca="false">ROUNDUP(K970*LADDER,0)</f>
        <v>2</v>
      </c>
      <c r="N971" s="34" t="n">
        <f aca="false">IF(K971=0,0,FFLAG)</f>
        <v>2</v>
      </c>
      <c r="O971" s="15"/>
      <c r="P971" s="16" t="n">
        <f aca="false">MAX(P970+M971)</f>
        <v>46438</v>
      </c>
      <c r="Q971" s="16" t="n">
        <f aca="false">MAX(P971+K971,Q970+N971)</f>
        <v>46446</v>
      </c>
      <c r="R971" s="12"/>
      <c r="S971" s="12"/>
    </row>
    <row r="972" customFormat="false" ht="15" hidden="false" customHeight="false" outlineLevel="0" collapsed="false">
      <c r="A972" s="15" t="s">
        <v>4330</v>
      </c>
      <c r="B972" s="15" t="s">
        <v>4318</v>
      </c>
      <c r="C972" s="15" t="s">
        <v>397</v>
      </c>
      <c r="D972" s="15" t="s">
        <v>1240</v>
      </c>
      <c r="E972" s="15" t="s">
        <v>1241</v>
      </c>
      <c r="F972" s="15" t="s">
        <v>3031</v>
      </c>
      <c r="G972" s="15" t="s">
        <v>3032</v>
      </c>
      <c r="H972" s="33" t="n">
        <f aca="false">Packages!$AB$93</f>
        <v>414.055590489281</v>
      </c>
      <c r="I972" s="15" t="s">
        <v>3019</v>
      </c>
      <c r="J972" s="34" t="n">
        <f aca="false">MAX(1,ROUNDUP(Packages!$AB$93/(R_BF*Fronts!$M$9),0))</f>
        <v>2</v>
      </c>
      <c r="K972" s="34" t="n">
        <f aca="false">IF(J972=0,0,ROUNDUP(J972*7/WD,0))</f>
        <v>3</v>
      </c>
      <c r="L972" s="15" t="s">
        <v>4329</v>
      </c>
      <c r="M972" s="34" t="n">
        <f aca="false">ROUNDUP(K971*LADDER,0)</f>
        <v>2</v>
      </c>
      <c r="N972" s="34" t="n">
        <f aca="false">IF(K972=0,0,FFLAG)</f>
        <v>2</v>
      </c>
      <c r="O972" s="15" t="s">
        <v>4331</v>
      </c>
      <c r="P972" s="16" t="n">
        <f aca="false">MAX(P971+M972,R950,Q948,Q959,Q926,Q904,Q915)</f>
        <v>46453</v>
      </c>
      <c r="Q972" s="16" t="n">
        <f aca="false">MAX(P972+K972,Q971+N972)</f>
        <v>46456</v>
      </c>
      <c r="R972" s="16" t="n">
        <f aca="false">IF(K972&gt;0,Q972,R950)</f>
        <v>46456</v>
      </c>
      <c r="S972" s="15" t="s">
        <v>4298</v>
      </c>
    </row>
    <row r="973" customFormat="false" ht="15" hidden="false" customHeight="false" outlineLevel="0" collapsed="false">
      <c r="A973" s="15" t="s">
        <v>4332</v>
      </c>
      <c r="B973" s="15" t="s">
        <v>4318</v>
      </c>
      <c r="C973" s="15" t="s">
        <v>397</v>
      </c>
      <c r="D973" s="15" t="s">
        <v>1240</v>
      </c>
      <c r="E973" s="15" t="s">
        <v>1241</v>
      </c>
      <c r="F973" s="15" t="s">
        <v>3034</v>
      </c>
      <c r="G973" s="15" t="s">
        <v>3035</v>
      </c>
      <c r="H973" s="33" t="n">
        <f aca="false">Packages!$AD$93</f>
        <v>74.8000000003166</v>
      </c>
      <c r="I973" s="15" t="s">
        <v>3012</v>
      </c>
      <c r="J973" s="34" t="n">
        <f aca="false">IF(Packages!$AD$93&gt;0,ROUNDUP(Packages!$AD$93/R_EXT,0),0)+IF(Packages!$AG$93&gt;0,1,0)</f>
        <v>3</v>
      </c>
      <c r="K973" s="34" t="n">
        <f aca="false">IF(J973=0,0,ROUNDUP(J973*7/WD,0))</f>
        <v>4</v>
      </c>
      <c r="L973" s="15" t="s">
        <v>4330</v>
      </c>
      <c r="M973" s="34" t="n">
        <f aca="false">ROUNDUP(K972*LADDER,0)</f>
        <v>1</v>
      </c>
      <c r="N973" s="34" t="n">
        <f aca="false">IF(K973=0,0,FFLAG)</f>
        <v>2</v>
      </c>
      <c r="O973" s="15"/>
      <c r="P973" s="16" t="n">
        <f aca="false">MAX(P972+M973)</f>
        <v>46454</v>
      </c>
      <c r="Q973" s="16" t="n">
        <f aca="false">MAX(P973+K973,Q972+N973)</f>
        <v>46458</v>
      </c>
      <c r="R973" s="12"/>
      <c r="S973" s="12"/>
    </row>
    <row r="974" customFormat="false" ht="15" hidden="false" customHeight="false" outlineLevel="0" collapsed="false">
      <c r="A974" s="15" t="s">
        <v>4333</v>
      </c>
      <c r="B974" s="15" t="s">
        <v>4334</v>
      </c>
      <c r="C974" s="15" t="s">
        <v>397</v>
      </c>
      <c r="D974" s="15" t="s">
        <v>819</v>
      </c>
      <c r="E974" s="15" t="s">
        <v>851</v>
      </c>
      <c r="F974" s="15" t="s">
        <v>2998</v>
      </c>
      <c r="G974" s="15" t="s">
        <v>2999</v>
      </c>
      <c r="H974" s="12"/>
      <c r="I974" s="12"/>
      <c r="J974" s="34" t="n">
        <f aca="false">0</f>
        <v>0</v>
      </c>
      <c r="K974" s="34" t="n">
        <f aca="false">IF(J974=0,0,ROUNDUP(J974*7/WD,0))</f>
        <v>0</v>
      </c>
      <c r="L974" s="12"/>
      <c r="M974" s="12"/>
      <c r="N974" s="12"/>
      <c r="O974" s="15" t="s">
        <v>3000</v>
      </c>
      <c r="P974" s="16" t="n">
        <f aca="false">MAX(START,D_DLU,Packages!$I$94,Packages!$K$94)</f>
        <v>46357</v>
      </c>
      <c r="Q974" s="16" t="n">
        <f aca="false">P974+K974</f>
        <v>46357</v>
      </c>
      <c r="R974" s="12"/>
      <c r="S974" s="12"/>
    </row>
    <row r="975" customFormat="false" ht="15" hidden="false" customHeight="false" outlineLevel="0" collapsed="false">
      <c r="A975" s="15" t="s">
        <v>4335</v>
      </c>
      <c r="B975" s="15" t="s">
        <v>4334</v>
      </c>
      <c r="C975" s="15" t="s">
        <v>397</v>
      </c>
      <c r="D975" s="15" t="s">
        <v>819</v>
      </c>
      <c r="E975" s="15" t="s">
        <v>851</v>
      </c>
      <c r="F975" s="15" t="s">
        <v>3002</v>
      </c>
      <c r="G975" s="15" t="s">
        <v>205</v>
      </c>
      <c r="H975" s="33" t="n">
        <f aca="false">Packages!$O$94</f>
        <v>24.0999999991607</v>
      </c>
      <c r="I975" s="15" t="s">
        <v>118</v>
      </c>
      <c r="J975" s="34" t="n">
        <f aca="false">MAX(1,ROUNDUP(Packages!$O$94/R_PLAT,0))</f>
        <v>1</v>
      </c>
      <c r="K975" s="34" t="n">
        <f aca="false">IF(J975=0,0,ROUNDUP(J975*7/WD,0))</f>
        <v>2</v>
      </c>
      <c r="L975" s="15" t="s">
        <v>4333</v>
      </c>
      <c r="M975" s="12"/>
      <c r="N975" s="12"/>
      <c r="O975" s="15" t="s">
        <v>4336</v>
      </c>
      <c r="P975" s="16" t="n">
        <f aca="false">MAX(Q974,P965)</f>
        <v>46381</v>
      </c>
      <c r="Q975" s="16" t="n">
        <f aca="false">P975+K975</f>
        <v>46383</v>
      </c>
      <c r="R975" s="12"/>
      <c r="S975" s="12"/>
    </row>
    <row r="976" customFormat="false" ht="15" hidden="false" customHeight="false" outlineLevel="0" collapsed="false">
      <c r="A976" s="15" t="s">
        <v>4337</v>
      </c>
      <c r="B976" s="15" t="s">
        <v>4334</v>
      </c>
      <c r="C976" s="15" t="s">
        <v>397</v>
      </c>
      <c r="D976" s="15" t="s">
        <v>819</v>
      </c>
      <c r="E976" s="15" t="s">
        <v>851</v>
      </c>
      <c r="F976" s="15" t="s">
        <v>3005</v>
      </c>
      <c r="G976" s="15" t="s">
        <v>3006</v>
      </c>
      <c r="H976" s="33" t="n">
        <f aca="false">Packages!$AC$94</f>
        <v>20</v>
      </c>
      <c r="I976" s="15" t="s">
        <v>3007</v>
      </c>
      <c r="J976" s="34" t="n">
        <f aca="false">IF(Packages!$AC$94=0,0,MAX(1,ROUNDUP(Packages!$AC$94/(R_PILE*Fronts!$H$9),0)))</f>
        <v>4</v>
      </c>
      <c r="K976" s="34" t="n">
        <f aca="false">IF(J976=0,0,ROUNDUP(J976*7/WD,0))</f>
        <v>5</v>
      </c>
      <c r="L976" s="15" t="s">
        <v>4335</v>
      </c>
      <c r="M976" s="34" t="n">
        <f aca="false">ROUNDUP(K975*LADDER,0)</f>
        <v>1</v>
      </c>
      <c r="N976" s="34" t="n">
        <f aca="false">IF(K976=0,0,FFLAG)</f>
        <v>2</v>
      </c>
      <c r="O976" s="15" t="s">
        <v>3008</v>
      </c>
      <c r="P976" s="16" t="n">
        <f aca="false">MAX(P975+M976,D_PILEDES,R965)</f>
        <v>46388</v>
      </c>
      <c r="Q976" s="16" t="n">
        <f aca="false">MAX(P976+K976,Q975+N976)</f>
        <v>46393</v>
      </c>
      <c r="R976" s="16" t="n">
        <f aca="false">IF(K976&gt;0,Q976,R965)</f>
        <v>46393</v>
      </c>
      <c r="S976" s="15" t="s">
        <v>4321</v>
      </c>
    </row>
    <row r="977" customFormat="false" ht="15" hidden="false" customHeight="false" outlineLevel="0" collapsed="false">
      <c r="A977" s="15" t="s">
        <v>4338</v>
      </c>
      <c r="B977" s="15" t="s">
        <v>4334</v>
      </c>
      <c r="C977" s="15" t="s">
        <v>397</v>
      </c>
      <c r="D977" s="15" t="s">
        <v>819</v>
      </c>
      <c r="E977" s="15" t="s">
        <v>851</v>
      </c>
      <c r="F977" s="15" t="s">
        <v>3010</v>
      </c>
      <c r="G977" s="15" t="s">
        <v>3011</v>
      </c>
      <c r="H977" s="33" t="n">
        <f aca="false">Packages!$AD$94</f>
        <v>48.1999999983214</v>
      </c>
      <c r="I977" s="15" t="s">
        <v>3012</v>
      </c>
      <c r="J977" s="34" t="n">
        <f aca="false">IF(Packages!$AD$94=0,0,MAX(1,ROUNDUP(Packages!$AD$94/(R_SHEET*Fronts!$I$9),0)))</f>
        <v>2</v>
      </c>
      <c r="K977" s="34" t="n">
        <f aca="false">IF(J977=0,0,ROUNDUP(J977*7/WD,0))</f>
        <v>3</v>
      </c>
      <c r="L977" s="15" t="s">
        <v>4337</v>
      </c>
      <c r="M977" s="34" t="n">
        <f aca="false">ROUNDUP(K976*LADDER,0)</f>
        <v>2</v>
      </c>
      <c r="N977" s="34" t="n">
        <f aca="false">IF(K977=0,0,FFLAG)</f>
        <v>2</v>
      </c>
      <c r="O977" s="15"/>
      <c r="P977" s="16" t="n">
        <f aca="false">MAX(P976+M977,R966)</f>
        <v>46390</v>
      </c>
      <c r="Q977" s="16" t="n">
        <f aca="false">MAX(P977+K977,Q976+N977)</f>
        <v>46395</v>
      </c>
      <c r="R977" s="16" t="n">
        <f aca="false">IF(K977&gt;0,Q977,R966)</f>
        <v>46395</v>
      </c>
      <c r="S977" s="15" t="s">
        <v>4322</v>
      </c>
    </row>
    <row r="978" customFormat="false" ht="15" hidden="false" customHeight="false" outlineLevel="0" collapsed="false">
      <c r="A978" s="15" t="s">
        <v>4339</v>
      </c>
      <c r="B978" s="15" t="s">
        <v>4334</v>
      </c>
      <c r="C978" s="15" t="s">
        <v>397</v>
      </c>
      <c r="D978" s="15" t="s">
        <v>819</v>
      </c>
      <c r="E978" s="15" t="s">
        <v>851</v>
      </c>
      <c r="F978" s="15" t="s">
        <v>3014</v>
      </c>
      <c r="G978" s="15" t="s">
        <v>3015</v>
      </c>
      <c r="H978" s="33" t="n">
        <f aca="false">Packages!$O$94</f>
        <v>24.0999999991607</v>
      </c>
      <c r="I978" s="15" t="s">
        <v>118</v>
      </c>
      <c r="J978" s="34" t="n">
        <f aca="false">IF(Packages!$AG$94=0,0,ROUNDUP(Packages!$O$94/R_DW,0)+DW_DRAW)</f>
        <v>8</v>
      </c>
      <c r="K978" s="34" t="n">
        <f aca="false">IF(J978=0,0,ROUNDUP(J978*7/WD,0))</f>
        <v>10</v>
      </c>
      <c r="L978" s="15" t="s">
        <v>4338</v>
      </c>
      <c r="M978" s="34" t="n">
        <f aca="false">ROUNDUP(K977*LADDER,0)</f>
        <v>1</v>
      </c>
      <c r="N978" s="34" t="n">
        <f aca="false">IF(K978=0,0,FFLAG)</f>
        <v>2</v>
      </c>
      <c r="O978" s="15" t="s">
        <v>4340</v>
      </c>
      <c r="P978" s="16" t="n">
        <f aca="false">MAX(P977+M978,Q968-K978)</f>
        <v>46412</v>
      </c>
      <c r="Q978" s="16" t="n">
        <f aca="false">MAX(P978+K978,Q977+N978)</f>
        <v>46422</v>
      </c>
      <c r="R978" s="12"/>
      <c r="S978" s="12"/>
    </row>
    <row r="979" customFormat="false" ht="15" hidden="false" customHeight="false" outlineLevel="0" collapsed="false">
      <c r="A979" s="15" t="s">
        <v>4341</v>
      </c>
      <c r="B979" s="15" t="s">
        <v>4334</v>
      </c>
      <c r="C979" s="15" t="s">
        <v>397</v>
      </c>
      <c r="D979" s="15" t="s">
        <v>819</v>
      </c>
      <c r="E979" s="15" t="s">
        <v>851</v>
      </c>
      <c r="F979" s="15" t="s">
        <v>3017</v>
      </c>
      <c r="G979" s="15" t="s">
        <v>3018</v>
      </c>
      <c r="H979" s="33" t="n">
        <f aca="false">Packages!$X$94+Packages!$Y$94</f>
        <v>532.812931956781</v>
      </c>
      <c r="I979" s="15" t="s">
        <v>3019</v>
      </c>
      <c r="J979" s="34" t="n">
        <f aca="false">MAX(1,ROUNDUP((Packages!$X$94/R_EXS+Packages!$Y$94/R_EXO)/Fronts!$J$9,0))</f>
        <v>3</v>
      </c>
      <c r="K979" s="34" t="n">
        <f aca="false">IF(J979=0,0,ROUNDUP(J979*7/WD,0))</f>
        <v>4</v>
      </c>
      <c r="L979" s="15" t="s">
        <v>4339</v>
      </c>
      <c r="M979" s="34" t="n">
        <f aca="false">IF(K978=0,0,ROUNDUP((K978-ROUNDUP(DW_DRAW*7/WD,0))*LADDER,0)+ROUNDUP(DW_DRAW*7/WD,0))</f>
        <v>10</v>
      </c>
      <c r="N979" s="34" t="n">
        <f aca="false">IF(K979=0,0,FFLAG)</f>
        <v>2</v>
      </c>
      <c r="O979" s="15"/>
      <c r="P979" s="16" t="n">
        <f aca="false">MAX(P978+M979,R968)</f>
        <v>46422</v>
      </c>
      <c r="Q979" s="16" t="n">
        <f aca="false">MAX(P979+K979,Q978+N979)</f>
        <v>46426</v>
      </c>
      <c r="R979" s="16" t="n">
        <f aca="false">IF(K979&gt;0,Q979,R968)</f>
        <v>46426</v>
      </c>
      <c r="S979" s="15" t="s">
        <v>4325</v>
      </c>
    </row>
    <row r="980" customFormat="false" ht="15" hidden="false" customHeight="false" outlineLevel="0" collapsed="false">
      <c r="A980" s="15" t="s">
        <v>4342</v>
      </c>
      <c r="B980" s="15" t="s">
        <v>4334</v>
      </c>
      <c r="C980" s="15" t="s">
        <v>397</v>
      </c>
      <c r="D980" s="15" t="s">
        <v>819</v>
      </c>
      <c r="E980" s="15" t="s">
        <v>851</v>
      </c>
      <c r="F980" s="15" t="s">
        <v>3022</v>
      </c>
      <c r="G980" s="15" t="s">
        <v>3023</v>
      </c>
      <c r="H980" s="33" t="n">
        <f aca="false">Packages!$O$94</f>
        <v>24.0999999991607</v>
      </c>
      <c r="I980" s="15" t="s">
        <v>118</v>
      </c>
      <c r="J980" s="34" t="n">
        <f aca="false">MAX(1,ROUNDUP(Packages!$O$94/(R_SLAB*Fronts!$K$9),0))+SLAB_CURE</f>
        <v>6</v>
      </c>
      <c r="K980" s="34" t="n">
        <f aca="false">IF(J980=0,0,ROUNDUP(J980*7/WD,0))</f>
        <v>7</v>
      </c>
      <c r="L980" s="15" t="s">
        <v>4341</v>
      </c>
      <c r="M980" s="34" t="n">
        <f aca="false">ROUNDUP(K979*LADDER,0)</f>
        <v>2</v>
      </c>
      <c r="N980" s="34" t="n">
        <f aca="false">IF(K980=0,0,FFLAG)</f>
        <v>2</v>
      </c>
      <c r="O980" s="15"/>
      <c r="P980" s="16" t="n">
        <f aca="false">MAX(P979+M980,R969)</f>
        <v>46442</v>
      </c>
      <c r="Q980" s="16" t="n">
        <f aca="false">MAX(P980+K980,Q979+N980)</f>
        <v>46449</v>
      </c>
      <c r="R980" s="16" t="n">
        <f aca="false">IF(K980&gt;0,Q980,R969)</f>
        <v>46449</v>
      </c>
      <c r="S980" s="15" t="s">
        <v>4327</v>
      </c>
    </row>
    <row r="981" customFormat="false" ht="15" hidden="false" customHeight="false" outlineLevel="0" collapsed="false">
      <c r="A981" s="15" t="s">
        <v>4343</v>
      </c>
      <c r="B981" s="15" t="s">
        <v>4334</v>
      </c>
      <c r="C981" s="15" t="s">
        <v>397</v>
      </c>
      <c r="D981" s="15" t="s">
        <v>819</v>
      </c>
      <c r="E981" s="15" t="s">
        <v>851</v>
      </c>
      <c r="F981" s="15" t="s">
        <v>3025</v>
      </c>
      <c r="G981" s="15" t="s">
        <v>3026</v>
      </c>
      <c r="H981" s="33" t="n">
        <f aca="false">Packages!$O$94</f>
        <v>24.0999999991607</v>
      </c>
      <c r="I981" s="15" t="s">
        <v>118</v>
      </c>
      <c r="J981" s="34" t="n">
        <f aca="false">MAX(1,ROUNDUP(Packages!$O$94/(IF(Packages!$N$94&gt;=PIPE_T1,R_PIPE_L,IF(Packages!$N$94&gt;=PIPE_T2,R_PIPE_M,R_PIPE_S))*Fronts!$L$9)+Packages!$M$94*FIT_D+IF(Packages!$G$94&lt;&gt;"Run",TIE_D,0),0))</f>
        <v>3</v>
      </c>
      <c r="K981" s="34" t="n">
        <f aca="false">IF(J981=0,0,ROUNDUP(J981*7/WD,0))</f>
        <v>4</v>
      </c>
      <c r="L981" s="15" t="s">
        <v>4342</v>
      </c>
      <c r="M981" s="34" t="n">
        <f aca="false">ROUNDUP(K980*LADDER,0)</f>
        <v>3</v>
      </c>
      <c r="N981" s="34" t="n">
        <f aca="false">IF(K981=0,0,FFLAG)</f>
        <v>2</v>
      </c>
      <c r="O981" s="15"/>
      <c r="P981" s="16" t="n">
        <f aca="false">MAX(P980+M981,R970)</f>
        <v>46445</v>
      </c>
      <c r="Q981" s="16" t="n">
        <f aca="false">MAX(P981+K981,Q980+N981)</f>
        <v>46451</v>
      </c>
      <c r="R981" s="16" t="n">
        <f aca="false">IF(K981&gt;0,Q981,R970)</f>
        <v>46451</v>
      </c>
      <c r="S981" s="15" t="s">
        <v>4328</v>
      </c>
    </row>
    <row r="982" customFormat="false" ht="15" hidden="false" customHeight="false" outlineLevel="0" collapsed="false">
      <c r="A982" s="15" t="s">
        <v>4344</v>
      </c>
      <c r="B982" s="15" t="s">
        <v>4334</v>
      </c>
      <c r="C982" s="15" t="s">
        <v>397</v>
      </c>
      <c r="D982" s="15" t="s">
        <v>819</v>
      </c>
      <c r="E982" s="15" t="s">
        <v>851</v>
      </c>
      <c r="F982" s="15" t="s">
        <v>3028</v>
      </c>
      <c r="G982" s="15" t="s">
        <v>3029</v>
      </c>
      <c r="H982" s="33" t="n">
        <f aca="false">Packages!$O$94</f>
        <v>24.0999999991607</v>
      </c>
      <c r="I982" s="15" t="s">
        <v>118</v>
      </c>
      <c r="J982" s="34" t="n">
        <f aca="false">TEST_D+ROUNDUP(Packages!$O$94/R_TEST,0)</f>
        <v>3</v>
      </c>
      <c r="K982" s="34" t="n">
        <f aca="false">IF(J982=0,0,ROUNDUP(J982*7/WD,0))</f>
        <v>4</v>
      </c>
      <c r="L982" s="15" t="s">
        <v>4343</v>
      </c>
      <c r="M982" s="34" t="n">
        <f aca="false">ROUNDUP(K981*LADDER,0)</f>
        <v>2</v>
      </c>
      <c r="N982" s="34" t="n">
        <f aca="false">IF(K982=0,0,FFLAG)</f>
        <v>2</v>
      </c>
      <c r="O982" s="15"/>
      <c r="P982" s="16" t="n">
        <f aca="false">MAX(P981+M982)</f>
        <v>46447</v>
      </c>
      <c r="Q982" s="16" t="n">
        <f aca="false">MAX(P982+K982,Q981+N982)</f>
        <v>46453</v>
      </c>
      <c r="R982" s="12"/>
      <c r="S982" s="12"/>
    </row>
    <row r="983" customFormat="false" ht="15" hidden="false" customHeight="false" outlineLevel="0" collapsed="false">
      <c r="A983" s="15" t="s">
        <v>4345</v>
      </c>
      <c r="B983" s="15" t="s">
        <v>4334</v>
      </c>
      <c r="C983" s="15" t="s">
        <v>397</v>
      </c>
      <c r="D983" s="15" t="s">
        <v>819</v>
      </c>
      <c r="E983" s="15" t="s">
        <v>851</v>
      </c>
      <c r="F983" s="15" t="s">
        <v>3031</v>
      </c>
      <c r="G983" s="15" t="s">
        <v>3032</v>
      </c>
      <c r="H983" s="33" t="n">
        <f aca="false">Packages!$AB$94</f>
        <v>414.750374201207</v>
      </c>
      <c r="I983" s="15" t="s">
        <v>3019</v>
      </c>
      <c r="J983" s="34" t="n">
        <f aca="false">MAX(1,ROUNDUP(Packages!$AB$94/(R_BF*Fronts!$M$9),0))</f>
        <v>2</v>
      </c>
      <c r="K983" s="34" t="n">
        <f aca="false">IF(J983=0,0,ROUNDUP(J983*7/WD,0))</f>
        <v>3</v>
      </c>
      <c r="L983" s="15" t="s">
        <v>4344</v>
      </c>
      <c r="M983" s="34" t="n">
        <f aca="false">ROUNDUP(K982*LADDER,0)</f>
        <v>2</v>
      </c>
      <c r="N983" s="34" t="n">
        <f aca="false">IF(K983=0,0,FFLAG)</f>
        <v>2</v>
      </c>
      <c r="O983" s="15"/>
      <c r="P983" s="16" t="n">
        <f aca="false">MAX(P982+M983,R972)</f>
        <v>46456</v>
      </c>
      <c r="Q983" s="16" t="n">
        <f aca="false">MAX(P983+K983,Q982+N983)</f>
        <v>46459</v>
      </c>
      <c r="R983" s="16" t="n">
        <f aca="false">IF(K983&gt;0,Q983,R972)</f>
        <v>46459</v>
      </c>
      <c r="S983" s="15" t="s">
        <v>4330</v>
      </c>
    </row>
    <row r="984" customFormat="false" ht="15" hidden="false" customHeight="false" outlineLevel="0" collapsed="false">
      <c r="A984" s="15" t="s">
        <v>4346</v>
      </c>
      <c r="B984" s="15" t="s">
        <v>4334</v>
      </c>
      <c r="C984" s="15" t="s">
        <v>397</v>
      </c>
      <c r="D984" s="15" t="s">
        <v>819</v>
      </c>
      <c r="E984" s="15" t="s">
        <v>851</v>
      </c>
      <c r="F984" s="15" t="s">
        <v>3034</v>
      </c>
      <c r="G984" s="15" t="s">
        <v>3035</v>
      </c>
      <c r="H984" s="33" t="n">
        <f aca="false">Packages!$AD$94</f>
        <v>48.1999999983214</v>
      </c>
      <c r="I984" s="15" t="s">
        <v>3012</v>
      </c>
      <c r="J984" s="34" t="n">
        <f aca="false">IF(Packages!$AD$94&gt;0,ROUNDUP(Packages!$AD$94/R_EXT,0),0)+IF(Packages!$AG$94&gt;0,1,0)</f>
        <v>2</v>
      </c>
      <c r="K984" s="34" t="n">
        <f aca="false">IF(J984=0,0,ROUNDUP(J984*7/WD,0))</f>
        <v>3</v>
      </c>
      <c r="L984" s="15" t="s">
        <v>4345</v>
      </c>
      <c r="M984" s="34" t="n">
        <f aca="false">ROUNDUP(K983*LADDER,0)</f>
        <v>1</v>
      </c>
      <c r="N984" s="34" t="n">
        <f aca="false">IF(K984=0,0,FFLAG)</f>
        <v>2</v>
      </c>
      <c r="O984" s="15"/>
      <c r="P984" s="16" t="n">
        <f aca="false">MAX(P983+M984)</f>
        <v>46457</v>
      </c>
      <c r="Q984" s="16" t="n">
        <f aca="false">MAX(P984+K984,Q983+N984)</f>
        <v>46461</v>
      </c>
      <c r="R984" s="12"/>
      <c r="S984" s="12"/>
    </row>
    <row r="985" customFormat="false" ht="15" hidden="false" customHeight="false" outlineLevel="0" collapsed="false">
      <c r="A985" s="15" t="s">
        <v>4347</v>
      </c>
      <c r="B985" s="15" t="s">
        <v>4348</v>
      </c>
      <c r="C985" s="15" t="s">
        <v>397</v>
      </c>
      <c r="D985" s="15" t="s">
        <v>819</v>
      </c>
      <c r="E985" s="15" t="s">
        <v>827</v>
      </c>
      <c r="F985" s="15" t="s">
        <v>2998</v>
      </c>
      <c r="G985" s="15" t="s">
        <v>2999</v>
      </c>
      <c r="H985" s="12"/>
      <c r="I985" s="12"/>
      <c r="J985" s="34" t="n">
        <f aca="false">0</f>
        <v>0</v>
      </c>
      <c r="K985" s="34" t="n">
        <f aca="false">IF(J985=0,0,ROUNDUP(J985*7/WD,0))</f>
        <v>0</v>
      </c>
      <c r="L985" s="12"/>
      <c r="M985" s="12"/>
      <c r="N985" s="12"/>
      <c r="O985" s="15" t="s">
        <v>3000</v>
      </c>
      <c r="P985" s="16" t="n">
        <f aca="false">MAX(START,D_DLU,Packages!$I$95,Packages!$K$95)</f>
        <v>46357</v>
      </c>
      <c r="Q985" s="16" t="n">
        <f aca="false">P985+K985</f>
        <v>46357</v>
      </c>
      <c r="R985" s="12"/>
      <c r="S985" s="12"/>
    </row>
    <row r="986" customFormat="false" ht="15" hidden="false" customHeight="false" outlineLevel="0" collapsed="false">
      <c r="A986" s="15" t="s">
        <v>4349</v>
      </c>
      <c r="B986" s="15" t="s">
        <v>4348</v>
      </c>
      <c r="C986" s="15" t="s">
        <v>397</v>
      </c>
      <c r="D986" s="15" t="s">
        <v>819</v>
      </c>
      <c r="E986" s="15" t="s">
        <v>827</v>
      </c>
      <c r="F986" s="15" t="s">
        <v>3002</v>
      </c>
      <c r="G986" s="15" t="s">
        <v>205</v>
      </c>
      <c r="H986" s="33" t="n">
        <f aca="false">Packages!$O$95</f>
        <v>16.0000000006418</v>
      </c>
      <c r="I986" s="15" t="s">
        <v>118</v>
      </c>
      <c r="J986" s="34" t="n">
        <f aca="false">MAX(1,ROUNDUP(Packages!$O$95/R_PLAT,0))</f>
        <v>1</v>
      </c>
      <c r="K986" s="34" t="n">
        <f aca="false">IF(J986=0,0,ROUNDUP(J986*7/WD,0))</f>
        <v>2</v>
      </c>
      <c r="L986" s="15" t="s">
        <v>4347</v>
      </c>
      <c r="M986" s="12"/>
      <c r="N986" s="12"/>
      <c r="O986" s="15" t="s">
        <v>4350</v>
      </c>
      <c r="P986" s="16" t="n">
        <f aca="false">MAX(Q985,P976)</f>
        <v>46388</v>
      </c>
      <c r="Q986" s="16" t="n">
        <f aca="false">P986+K986</f>
        <v>46390</v>
      </c>
      <c r="R986" s="12"/>
      <c r="S986" s="12"/>
    </row>
    <row r="987" customFormat="false" ht="15" hidden="false" customHeight="false" outlineLevel="0" collapsed="false">
      <c r="A987" s="15" t="s">
        <v>4351</v>
      </c>
      <c r="B987" s="15" t="s">
        <v>4348</v>
      </c>
      <c r="C987" s="15" t="s">
        <v>397</v>
      </c>
      <c r="D987" s="15" t="s">
        <v>819</v>
      </c>
      <c r="E987" s="15" t="s">
        <v>827</v>
      </c>
      <c r="F987" s="15" t="s">
        <v>3005</v>
      </c>
      <c r="G987" s="15" t="s">
        <v>3006</v>
      </c>
      <c r="H987" s="33" t="n">
        <f aca="false">Packages!$AC$95</f>
        <v>14</v>
      </c>
      <c r="I987" s="15" t="s">
        <v>3007</v>
      </c>
      <c r="J987" s="34" t="n">
        <f aca="false">IF(Packages!$AC$95=0,0,MAX(1,ROUNDUP(Packages!$AC$95/(R_PILE*Fronts!$H$9),0)))</f>
        <v>3</v>
      </c>
      <c r="K987" s="34" t="n">
        <f aca="false">IF(J987=0,0,ROUNDUP(J987*7/WD,0))</f>
        <v>4</v>
      </c>
      <c r="L987" s="15" t="s">
        <v>4349</v>
      </c>
      <c r="M987" s="34" t="n">
        <f aca="false">ROUNDUP(K986*LADDER,0)</f>
        <v>1</v>
      </c>
      <c r="N987" s="34" t="n">
        <f aca="false">IF(K987=0,0,FFLAG)</f>
        <v>2</v>
      </c>
      <c r="O987" s="15" t="s">
        <v>3008</v>
      </c>
      <c r="P987" s="16" t="n">
        <f aca="false">MAX(P986+M987,D_PILEDES,R976)</f>
        <v>46393</v>
      </c>
      <c r="Q987" s="16" t="n">
        <f aca="false">MAX(P987+K987,Q986+N987)</f>
        <v>46397</v>
      </c>
      <c r="R987" s="16" t="n">
        <f aca="false">IF(K987&gt;0,Q987,R976)</f>
        <v>46397</v>
      </c>
      <c r="S987" s="15" t="s">
        <v>4337</v>
      </c>
    </row>
    <row r="988" customFormat="false" ht="15" hidden="false" customHeight="false" outlineLevel="0" collapsed="false">
      <c r="A988" s="15" t="s">
        <v>4352</v>
      </c>
      <c r="B988" s="15" t="s">
        <v>4348</v>
      </c>
      <c r="C988" s="15" t="s">
        <v>397</v>
      </c>
      <c r="D988" s="15" t="s">
        <v>819</v>
      </c>
      <c r="E988" s="15" t="s">
        <v>827</v>
      </c>
      <c r="F988" s="15" t="s">
        <v>3010</v>
      </c>
      <c r="G988" s="15" t="s">
        <v>3011</v>
      </c>
      <c r="H988" s="33" t="n">
        <f aca="false">Packages!$AD$95</f>
        <v>0</v>
      </c>
      <c r="I988" s="15" t="s">
        <v>3012</v>
      </c>
      <c r="J988" s="34" t="n">
        <f aca="false">IF(Packages!$AD$95=0,0,MAX(1,ROUNDUP(Packages!$AD$95/(R_SHEET*Fronts!$I$9),0)))</f>
        <v>0</v>
      </c>
      <c r="K988" s="34" t="n">
        <f aca="false">IF(J988=0,0,ROUNDUP(J988*7/WD,0))</f>
        <v>0</v>
      </c>
      <c r="L988" s="15" t="s">
        <v>4351</v>
      </c>
      <c r="M988" s="34" t="n">
        <f aca="false">ROUNDUP(K987*LADDER,0)</f>
        <v>2</v>
      </c>
      <c r="N988" s="34" t="n">
        <f aca="false">IF(K988=0,0,FFLAG)</f>
        <v>0</v>
      </c>
      <c r="O988" s="15"/>
      <c r="P988" s="16" t="n">
        <f aca="false">MAX(P987+M988,R977)</f>
        <v>46395</v>
      </c>
      <c r="Q988" s="16" t="n">
        <f aca="false">MAX(P988+K988,Q987+N988)</f>
        <v>46397</v>
      </c>
      <c r="R988" s="16" t="n">
        <f aca="false">IF(K988&gt;0,Q988,R977)</f>
        <v>46395</v>
      </c>
      <c r="S988" s="15" t="s">
        <v>4338</v>
      </c>
    </row>
    <row r="989" customFormat="false" ht="15" hidden="false" customHeight="false" outlineLevel="0" collapsed="false">
      <c r="A989" s="15" t="s">
        <v>4353</v>
      </c>
      <c r="B989" s="15" t="s">
        <v>4348</v>
      </c>
      <c r="C989" s="15" t="s">
        <v>397</v>
      </c>
      <c r="D989" s="15" t="s">
        <v>819</v>
      </c>
      <c r="E989" s="15" t="s">
        <v>827</v>
      </c>
      <c r="F989" s="15" t="s">
        <v>3014</v>
      </c>
      <c r="G989" s="15" t="s">
        <v>3015</v>
      </c>
      <c r="H989" s="33" t="n">
        <f aca="false">Packages!$O$95</f>
        <v>16.0000000006418</v>
      </c>
      <c r="I989" s="15" t="s">
        <v>118</v>
      </c>
      <c r="J989" s="34" t="n">
        <f aca="false">IF(Packages!$AG$95=0,0,ROUNDUP(Packages!$O$95/R_DW,0)+DW_DRAW)</f>
        <v>8</v>
      </c>
      <c r="K989" s="34" t="n">
        <f aca="false">IF(J989=0,0,ROUNDUP(J989*7/WD,0))</f>
        <v>10</v>
      </c>
      <c r="L989" s="15" t="s">
        <v>4352</v>
      </c>
      <c r="M989" s="34" t="n">
        <f aca="false">ROUNDUP(K988*LADDER,0)</f>
        <v>0</v>
      </c>
      <c r="N989" s="34" t="n">
        <f aca="false">IF(K989=0,0,FFLAG)</f>
        <v>2</v>
      </c>
      <c r="O989" s="15" t="s">
        <v>4354</v>
      </c>
      <c r="P989" s="16" t="n">
        <f aca="false">MAX(P988+M989,Q979-K989)</f>
        <v>46416</v>
      </c>
      <c r="Q989" s="16" t="n">
        <f aca="false">MAX(P989+K989,Q988+N989)</f>
        <v>46426</v>
      </c>
      <c r="R989" s="12"/>
      <c r="S989" s="12"/>
    </row>
    <row r="990" customFormat="false" ht="15" hidden="false" customHeight="false" outlineLevel="0" collapsed="false">
      <c r="A990" s="15" t="s">
        <v>4355</v>
      </c>
      <c r="B990" s="15" t="s">
        <v>4348</v>
      </c>
      <c r="C990" s="15" t="s">
        <v>397</v>
      </c>
      <c r="D990" s="15" t="s">
        <v>819</v>
      </c>
      <c r="E990" s="15" t="s">
        <v>827</v>
      </c>
      <c r="F990" s="15" t="s">
        <v>3017</v>
      </c>
      <c r="G990" s="15" t="s">
        <v>3018</v>
      </c>
      <c r="H990" s="33" t="n">
        <f aca="false">Packages!$X$95+Packages!$Y$95</f>
        <v>330.741002366544</v>
      </c>
      <c r="I990" s="15" t="s">
        <v>3019</v>
      </c>
      <c r="J990" s="34" t="n">
        <f aca="false">MAX(1,ROUNDUP((Packages!$X$95/R_EXS+Packages!$Y$95/R_EXO)/Fronts!$J$9,0))</f>
        <v>1</v>
      </c>
      <c r="K990" s="34" t="n">
        <f aca="false">IF(J990=0,0,ROUNDUP(J990*7/WD,0))</f>
        <v>2</v>
      </c>
      <c r="L990" s="15" t="s">
        <v>4353</v>
      </c>
      <c r="M990" s="34" t="n">
        <f aca="false">IF(K989=0,0,ROUNDUP((K989-ROUNDUP(DW_DRAW*7/WD,0))*LADDER,0)+ROUNDUP(DW_DRAW*7/WD,0))</f>
        <v>10</v>
      </c>
      <c r="N990" s="34" t="n">
        <f aca="false">IF(K990=0,0,FFLAG)</f>
        <v>2</v>
      </c>
      <c r="O990" s="15" t="s">
        <v>4356</v>
      </c>
      <c r="P990" s="16" t="n">
        <f aca="false">MAX(P989+M990,R979,Q1753,Q1544)</f>
        <v>46554</v>
      </c>
      <c r="Q990" s="16" t="n">
        <f aca="false">MAX(P990+K990,Q989+N990)</f>
        <v>46556</v>
      </c>
      <c r="R990" s="16" t="n">
        <f aca="false">IF(K990&gt;0,Q990,R979)</f>
        <v>46556</v>
      </c>
      <c r="S990" s="15" t="s">
        <v>4341</v>
      </c>
    </row>
    <row r="991" customFormat="false" ht="15" hidden="false" customHeight="false" outlineLevel="0" collapsed="false">
      <c r="A991" s="15" t="s">
        <v>4357</v>
      </c>
      <c r="B991" s="15" t="s">
        <v>4348</v>
      </c>
      <c r="C991" s="15" t="s">
        <v>397</v>
      </c>
      <c r="D991" s="15" t="s">
        <v>819</v>
      </c>
      <c r="E991" s="15" t="s">
        <v>827</v>
      </c>
      <c r="F991" s="15" t="s">
        <v>3022</v>
      </c>
      <c r="G991" s="15" t="s">
        <v>3023</v>
      </c>
      <c r="H991" s="33" t="n">
        <f aca="false">Packages!$O$95</f>
        <v>16.0000000006418</v>
      </c>
      <c r="I991" s="15" t="s">
        <v>118</v>
      </c>
      <c r="J991" s="34" t="n">
        <f aca="false">MAX(1,ROUNDUP(Packages!$O$95/(R_SLAB*Fronts!$K$9),0))+SLAB_CURE</f>
        <v>5</v>
      </c>
      <c r="K991" s="34" t="n">
        <f aca="false">IF(J991=0,0,ROUNDUP(J991*7/WD,0))</f>
        <v>6</v>
      </c>
      <c r="L991" s="15" t="s">
        <v>4355</v>
      </c>
      <c r="M991" s="34" t="n">
        <f aca="false">ROUNDUP(K990*LADDER,0)</f>
        <v>1</v>
      </c>
      <c r="N991" s="34" t="n">
        <f aca="false">IF(K991=0,0,FFLAG)</f>
        <v>2</v>
      </c>
      <c r="O991" s="15"/>
      <c r="P991" s="16" t="n">
        <f aca="false">MAX(P990+M991,R980)</f>
        <v>46555</v>
      </c>
      <c r="Q991" s="16" t="n">
        <f aca="false">MAX(P991+K991,Q990+N991)</f>
        <v>46561</v>
      </c>
      <c r="R991" s="16" t="n">
        <f aca="false">IF(K991&gt;0,Q991,R980)</f>
        <v>46561</v>
      </c>
      <c r="S991" s="15" t="s">
        <v>4342</v>
      </c>
    </row>
    <row r="992" customFormat="false" ht="15" hidden="false" customHeight="false" outlineLevel="0" collapsed="false">
      <c r="A992" s="15" t="s">
        <v>4358</v>
      </c>
      <c r="B992" s="15" t="s">
        <v>4348</v>
      </c>
      <c r="C992" s="15" t="s">
        <v>397</v>
      </c>
      <c r="D992" s="15" t="s">
        <v>819</v>
      </c>
      <c r="E992" s="15" t="s">
        <v>827</v>
      </c>
      <c r="F992" s="15" t="s">
        <v>3025</v>
      </c>
      <c r="G992" s="15" t="s">
        <v>3026</v>
      </c>
      <c r="H992" s="33" t="n">
        <f aca="false">Packages!$O$95</f>
        <v>16.0000000006418</v>
      </c>
      <c r="I992" s="15" t="s">
        <v>118</v>
      </c>
      <c r="J992" s="34" t="n">
        <f aca="false">MAX(1,ROUNDUP(Packages!$O$95/(IF(Packages!$N$95&gt;=PIPE_T1,R_PIPE_L,IF(Packages!$N$95&gt;=PIPE_T2,R_PIPE_M,R_PIPE_S))*Fronts!$L$9)+Packages!$M$95*FIT_D+IF(Packages!$G$95&lt;&gt;"Run",TIE_D,0),0))</f>
        <v>1</v>
      </c>
      <c r="K992" s="34" t="n">
        <f aca="false">IF(J992=0,0,ROUNDUP(J992*7/WD,0))</f>
        <v>2</v>
      </c>
      <c r="L992" s="15" t="s">
        <v>4357</v>
      </c>
      <c r="M992" s="34" t="n">
        <f aca="false">ROUNDUP(K991*LADDER,0)</f>
        <v>2</v>
      </c>
      <c r="N992" s="34" t="n">
        <f aca="false">IF(K992=0,0,FFLAG)</f>
        <v>2</v>
      </c>
      <c r="O992" s="15"/>
      <c r="P992" s="16" t="n">
        <f aca="false">MAX(P991+M992,R981)</f>
        <v>46557</v>
      </c>
      <c r="Q992" s="16" t="n">
        <f aca="false">MAX(P992+K992,Q991+N992)</f>
        <v>46563</v>
      </c>
      <c r="R992" s="16" t="n">
        <f aca="false">IF(K992&gt;0,Q992,R981)</f>
        <v>46563</v>
      </c>
      <c r="S992" s="15" t="s">
        <v>4343</v>
      </c>
    </row>
    <row r="993" customFormat="false" ht="15" hidden="false" customHeight="false" outlineLevel="0" collapsed="false">
      <c r="A993" s="15" t="s">
        <v>4359</v>
      </c>
      <c r="B993" s="15" t="s">
        <v>4348</v>
      </c>
      <c r="C993" s="15" t="s">
        <v>397</v>
      </c>
      <c r="D993" s="15" t="s">
        <v>819</v>
      </c>
      <c r="E993" s="15" t="s">
        <v>827</v>
      </c>
      <c r="F993" s="15" t="s">
        <v>3028</v>
      </c>
      <c r="G993" s="15" t="s">
        <v>3029</v>
      </c>
      <c r="H993" s="33" t="n">
        <f aca="false">Packages!$O$95</f>
        <v>16.0000000006418</v>
      </c>
      <c r="I993" s="15" t="s">
        <v>118</v>
      </c>
      <c r="J993" s="34" t="n">
        <f aca="false">TEST_D+ROUNDUP(Packages!$O$95/R_TEST,0)</f>
        <v>3</v>
      </c>
      <c r="K993" s="34" t="n">
        <f aca="false">IF(J993=0,0,ROUNDUP(J993*7/WD,0))</f>
        <v>4</v>
      </c>
      <c r="L993" s="15" t="s">
        <v>4358</v>
      </c>
      <c r="M993" s="34" t="n">
        <f aca="false">ROUNDUP(K992*LADDER,0)</f>
        <v>1</v>
      </c>
      <c r="N993" s="34" t="n">
        <f aca="false">IF(K993=0,0,FFLAG)</f>
        <v>2</v>
      </c>
      <c r="O993" s="15"/>
      <c r="P993" s="16" t="n">
        <f aca="false">MAX(P992+M993)</f>
        <v>46558</v>
      </c>
      <c r="Q993" s="16" t="n">
        <f aca="false">MAX(P993+K993,Q992+N993)</f>
        <v>46565</v>
      </c>
      <c r="R993" s="12"/>
      <c r="S993" s="12"/>
    </row>
    <row r="994" customFormat="false" ht="15" hidden="false" customHeight="false" outlineLevel="0" collapsed="false">
      <c r="A994" s="15" t="s">
        <v>4360</v>
      </c>
      <c r="B994" s="15" t="s">
        <v>4348</v>
      </c>
      <c r="C994" s="15" t="s">
        <v>397</v>
      </c>
      <c r="D994" s="15" t="s">
        <v>819</v>
      </c>
      <c r="E994" s="15" t="s">
        <v>827</v>
      </c>
      <c r="F994" s="15" t="s">
        <v>3031</v>
      </c>
      <c r="G994" s="15" t="s">
        <v>3032</v>
      </c>
      <c r="H994" s="33" t="n">
        <f aca="false">Packages!$AB$95</f>
        <v>252.359291609819</v>
      </c>
      <c r="I994" s="15" t="s">
        <v>3019</v>
      </c>
      <c r="J994" s="34" t="n">
        <f aca="false">MAX(1,ROUNDUP(Packages!$AB$95/(R_BF*Fronts!$M$9),0))</f>
        <v>1</v>
      </c>
      <c r="K994" s="34" t="n">
        <f aca="false">IF(J994=0,0,ROUNDUP(J994*7/WD,0))</f>
        <v>2</v>
      </c>
      <c r="L994" s="15" t="s">
        <v>4359</v>
      </c>
      <c r="M994" s="34" t="n">
        <f aca="false">ROUNDUP(K993*LADDER,0)</f>
        <v>2</v>
      </c>
      <c r="N994" s="34" t="n">
        <f aca="false">IF(K994=0,0,FFLAG)</f>
        <v>2</v>
      </c>
      <c r="O994" s="15" t="s">
        <v>4361</v>
      </c>
      <c r="P994" s="16" t="n">
        <f aca="false">MAX(P993+M994,R983,Q1014)</f>
        <v>46575</v>
      </c>
      <c r="Q994" s="16" t="n">
        <f aca="false">MAX(P994+K994,Q993+N994)</f>
        <v>46577</v>
      </c>
      <c r="R994" s="16" t="n">
        <f aca="false">IF(K994&gt;0,Q994,R983)</f>
        <v>46577</v>
      </c>
      <c r="S994" s="15" t="s">
        <v>4345</v>
      </c>
    </row>
    <row r="995" customFormat="false" ht="15" hidden="false" customHeight="false" outlineLevel="0" collapsed="false">
      <c r="A995" s="15" t="s">
        <v>4362</v>
      </c>
      <c r="B995" s="15" t="s">
        <v>4348</v>
      </c>
      <c r="C995" s="15" t="s">
        <v>397</v>
      </c>
      <c r="D995" s="15" t="s">
        <v>819</v>
      </c>
      <c r="E995" s="15" t="s">
        <v>827</v>
      </c>
      <c r="F995" s="15" t="s">
        <v>3034</v>
      </c>
      <c r="G995" s="15" t="s">
        <v>3035</v>
      </c>
      <c r="H995" s="33" t="n">
        <f aca="false">Packages!$AD$95</f>
        <v>0</v>
      </c>
      <c r="I995" s="15" t="s">
        <v>3012</v>
      </c>
      <c r="J995" s="34" t="n">
        <f aca="false">IF(Packages!$AD$95&gt;0,ROUNDUP(Packages!$AD$95/R_EXT,0),0)+IF(Packages!$AG$95&gt;0,1,0)</f>
        <v>1</v>
      </c>
      <c r="K995" s="34" t="n">
        <f aca="false">IF(J995=0,0,ROUNDUP(J995*7/WD,0))</f>
        <v>2</v>
      </c>
      <c r="L995" s="15" t="s">
        <v>4360</v>
      </c>
      <c r="M995" s="34" t="n">
        <f aca="false">ROUNDUP(K994*LADDER,0)</f>
        <v>1</v>
      </c>
      <c r="N995" s="34" t="n">
        <f aca="false">IF(K995=0,0,FFLAG)</f>
        <v>2</v>
      </c>
      <c r="O995" s="15"/>
      <c r="P995" s="16" t="n">
        <f aca="false">MAX(P994+M995)</f>
        <v>46576</v>
      </c>
      <c r="Q995" s="16" t="n">
        <f aca="false">MAX(P995+K995,Q994+N995)</f>
        <v>46579</v>
      </c>
      <c r="R995" s="12"/>
      <c r="S995" s="12"/>
    </row>
    <row r="996" customFormat="false" ht="15" hidden="false" customHeight="false" outlineLevel="0" collapsed="false">
      <c r="A996" s="15" t="s">
        <v>4363</v>
      </c>
      <c r="B996" s="15" t="s">
        <v>4364</v>
      </c>
      <c r="C996" s="15" t="s">
        <v>397</v>
      </c>
      <c r="D996" s="15" t="s">
        <v>819</v>
      </c>
      <c r="E996" s="15" t="s">
        <v>820</v>
      </c>
      <c r="F996" s="15" t="s">
        <v>2998</v>
      </c>
      <c r="G996" s="15" t="s">
        <v>2999</v>
      </c>
      <c r="H996" s="12"/>
      <c r="I996" s="12"/>
      <c r="J996" s="34" t="n">
        <f aca="false">0</f>
        <v>0</v>
      </c>
      <c r="K996" s="34" t="n">
        <f aca="false">IF(J996=0,0,ROUNDUP(J996*7/WD,0))</f>
        <v>0</v>
      </c>
      <c r="L996" s="12"/>
      <c r="M996" s="12"/>
      <c r="N996" s="12"/>
      <c r="O996" s="15" t="s">
        <v>3000</v>
      </c>
      <c r="P996" s="16" t="n">
        <f aca="false">MAX(START,D_DLU,Packages!$I$96,Packages!$K$96)</f>
        <v>46357</v>
      </c>
      <c r="Q996" s="16" t="n">
        <f aca="false">P996+K996</f>
        <v>46357</v>
      </c>
      <c r="R996" s="12"/>
      <c r="S996" s="12"/>
    </row>
    <row r="997" customFormat="false" ht="15" hidden="false" customHeight="false" outlineLevel="0" collapsed="false">
      <c r="A997" s="15" t="s">
        <v>4365</v>
      </c>
      <c r="B997" s="15" t="s">
        <v>4364</v>
      </c>
      <c r="C997" s="15" t="s">
        <v>397</v>
      </c>
      <c r="D997" s="15" t="s">
        <v>819</v>
      </c>
      <c r="E997" s="15" t="s">
        <v>820</v>
      </c>
      <c r="F997" s="15" t="s">
        <v>3002</v>
      </c>
      <c r="G997" s="15" t="s">
        <v>205</v>
      </c>
      <c r="H997" s="33" t="n">
        <f aca="false">Packages!$O$96</f>
        <v>30.099999999903</v>
      </c>
      <c r="I997" s="15" t="s">
        <v>118</v>
      </c>
      <c r="J997" s="34" t="n">
        <f aca="false">MAX(1,ROUNDUP(Packages!$O$96/R_PLAT,0))</f>
        <v>1</v>
      </c>
      <c r="K997" s="34" t="n">
        <f aca="false">IF(J997=0,0,ROUNDUP(J997*7/WD,0))</f>
        <v>2</v>
      </c>
      <c r="L997" s="15" t="s">
        <v>4363</v>
      </c>
      <c r="M997" s="12"/>
      <c r="N997" s="12"/>
      <c r="O997" s="15" t="s">
        <v>4366</v>
      </c>
      <c r="P997" s="16" t="n">
        <f aca="false">MAX(Q996,P987)</f>
        <v>46393</v>
      </c>
      <c r="Q997" s="16" t="n">
        <f aca="false">P997+K997</f>
        <v>46395</v>
      </c>
      <c r="R997" s="12"/>
      <c r="S997" s="12"/>
    </row>
    <row r="998" customFormat="false" ht="15" hidden="false" customHeight="false" outlineLevel="0" collapsed="false">
      <c r="A998" s="15" t="s">
        <v>4367</v>
      </c>
      <c r="B998" s="15" t="s">
        <v>4364</v>
      </c>
      <c r="C998" s="15" t="s">
        <v>397</v>
      </c>
      <c r="D998" s="15" t="s">
        <v>819</v>
      </c>
      <c r="E998" s="15" t="s">
        <v>820</v>
      </c>
      <c r="F998" s="15" t="s">
        <v>3005</v>
      </c>
      <c r="G998" s="15" t="s">
        <v>3006</v>
      </c>
      <c r="H998" s="33" t="n">
        <f aca="false">Packages!$AC$96</f>
        <v>24</v>
      </c>
      <c r="I998" s="15" t="s">
        <v>3007</v>
      </c>
      <c r="J998" s="34" t="n">
        <f aca="false">IF(Packages!$AC$96=0,0,MAX(1,ROUNDUP(Packages!$AC$96/(R_PILE*Fronts!$H$9),0)))</f>
        <v>5</v>
      </c>
      <c r="K998" s="34" t="n">
        <f aca="false">IF(J998=0,0,ROUNDUP(J998*7/WD,0))</f>
        <v>6</v>
      </c>
      <c r="L998" s="15" t="s">
        <v>4365</v>
      </c>
      <c r="M998" s="34" t="n">
        <f aca="false">ROUNDUP(K997*LADDER,0)</f>
        <v>1</v>
      </c>
      <c r="N998" s="34" t="n">
        <f aca="false">IF(K998=0,0,FFLAG)</f>
        <v>2</v>
      </c>
      <c r="O998" s="15" t="s">
        <v>3008</v>
      </c>
      <c r="P998" s="16" t="n">
        <f aca="false">MAX(P997+M998,D_PILEDES,R987)</f>
        <v>46397</v>
      </c>
      <c r="Q998" s="16" t="n">
        <f aca="false">MAX(P998+K998,Q997+N998)</f>
        <v>46403</v>
      </c>
      <c r="R998" s="16" t="n">
        <f aca="false">IF(K998&gt;0,Q998,R987)</f>
        <v>46403</v>
      </c>
      <c r="S998" s="15" t="s">
        <v>4351</v>
      </c>
    </row>
    <row r="999" customFormat="false" ht="15" hidden="false" customHeight="false" outlineLevel="0" collapsed="false">
      <c r="A999" s="15" t="s">
        <v>4368</v>
      </c>
      <c r="B999" s="15" t="s">
        <v>4364</v>
      </c>
      <c r="C999" s="15" t="s">
        <v>397</v>
      </c>
      <c r="D999" s="15" t="s">
        <v>819</v>
      </c>
      <c r="E999" s="15" t="s">
        <v>820</v>
      </c>
      <c r="F999" s="15" t="s">
        <v>3010</v>
      </c>
      <c r="G999" s="15" t="s">
        <v>3011</v>
      </c>
      <c r="H999" s="33" t="n">
        <f aca="false">Packages!$AD$96</f>
        <v>0</v>
      </c>
      <c r="I999" s="15" t="s">
        <v>3012</v>
      </c>
      <c r="J999" s="34" t="n">
        <f aca="false">IF(Packages!$AD$96=0,0,MAX(1,ROUNDUP(Packages!$AD$96/(R_SHEET*Fronts!$I$9),0)))</f>
        <v>0</v>
      </c>
      <c r="K999" s="34" t="n">
        <f aca="false">IF(J999=0,0,ROUNDUP(J999*7/WD,0))</f>
        <v>0</v>
      </c>
      <c r="L999" s="15" t="s">
        <v>4367</v>
      </c>
      <c r="M999" s="34" t="n">
        <f aca="false">ROUNDUP(K998*LADDER,0)</f>
        <v>2</v>
      </c>
      <c r="N999" s="34" t="n">
        <f aca="false">IF(K999=0,0,FFLAG)</f>
        <v>0</v>
      </c>
      <c r="O999" s="15"/>
      <c r="P999" s="16" t="n">
        <f aca="false">MAX(P998+M999,R988)</f>
        <v>46399</v>
      </c>
      <c r="Q999" s="16" t="n">
        <f aca="false">MAX(P999+K999,Q998+N999)</f>
        <v>46403</v>
      </c>
      <c r="R999" s="16" t="n">
        <f aca="false">IF(K999&gt;0,Q999,R988)</f>
        <v>46395</v>
      </c>
      <c r="S999" s="15" t="s">
        <v>4352</v>
      </c>
    </row>
    <row r="1000" customFormat="false" ht="15" hidden="false" customHeight="false" outlineLevel="0" collapsed="false">
      <c r="A1000" s="15" t="s">
        <v>4369</v>
      </c>
      <c r="B1000" s="15" t="s">
        <v>4364</v>
      </c>
      <c r="C1000" s="15" t="s">
        <v>397</v>
      </c>
      <c r="D1000" s="15" t="s">
        <v>819</v>
      </c>
      <c r="E1000" s="15" t="s">
        <v>820</v>
      </c>
      <c r="F1000" s="15" t="s">
        <v>3014</v>
      </c>
      <c r="G1000" s="15" t="s">
        <v>3015</v>
      </c>
      <c r="H1000" s="33" t="n">
        <f aca="false">Packages!$O$96</f>
        <v>30.099999999903</v>
      </c>
      <c r="I1000" s="15" t="s">
        <v>118</v>
      </c>
      <c r="J1000" s="34" t="n">
        <f aca="false">IF(Packages!$AG$96=0,0,ROUNDUP(Packages!$O$96/R_DW,0)+DW_DRAW)</f>
        <v>8</v>
      </c>
      <c r="K1000" s="34" t="n">
        <f aca="false">IF(J1000=0,0,ROUNDUP(J1000*7/WD,0))</f>
        <v>10</v>
      </c>
      <c r="L1000" s="15" t="s">
        <v>4368</v>
      </c>
      <c r="M1000" s="34" t="n">
        <f aca="false">ROUNDUP(K999*LADDER,0)</f>
        <v>0</v>
      </c>
      <c r="N1000" s="34" t="n">
        <f aca="false">IF(K1000=0,0,FFLAG)</f>
        <v>2</v>
      </c>
      <c r="O1000" s="15" t="s">
        <v>4370</v>
      </c>
      <c r="P1000" s="16" t="n">
        <f aca="false">MAX(P999+M1000,Q990-K1000)</f>
        <v>46546</v>
      </c>
      <c r="Q1000" s="16" t="n">
        <f aca="false">MAX(P1000+K1000,Q999+N1000)</f>
        <v>46556</v>
      </c>
      <c r="R1000" s="12"/>
      <c r="S1000" s="12"/>
    </row>
    <row r="1001" customFormat="false" ht="15" hidden="false" customHeight="false" outlineLevel="0" collapsed="false">
      <c r="A1001" s="15" t="s">
        <v>4371</v>
      </c>
      <c r="B1001" s="15" t="s">
        <v>4364</v>
      </c>
      <c r="C1001" s="15" t="s">
        <v>397</v>
      </c>
      <c r="D1001" s="15" t="s">
        <v>819</v>
      </c>
      <c r="E1001" s="15" t="s">
        <v>820</v>
      </c>
      <c r="F1001" s="15" t="s">
        <v>3017</v>
      </c>
      <c r="G1001" s="15" t="s">
        <v>3018</v>
      </c>
      <c r="H1001" s="33" t="n">
        <f aca="false">Packages!$X$96+Packages!$Y$96</f>
        <v>618.906854820705</v>
      </c>
      <c r="I1001" s="15" t="s">
        <v>3019</v>
      </c>
      <c r="J1001" s="34" t="n">
        <f aca="false">MAX(1,ROUNDUP((Packages!$X$96/R_EXS+Packages!$Y$96/R_EXO)/Fronts!$J$9,0))</f>
        <v>2</v>
      </c>
      <c r="K1001" s="34" t="n">
        <f aca="false">IF(J1001=0,0,ROUNDUP(J1001*7/WD,0))</f>
        <v>3</v>
      </c>
      <c r="L1001" s="15" t="s">
        <v>4369</v>
      </c>
      <c r="M1001" s="34" t="n">
        <f aca="false">IF(K1000=0,0,ROUNDUP((K1000-ROUNDUP(DW_DRAW*7/WD,0))*LADDER,0)+ROUNDUP(DW_DRAW*7/WD,0))</f>
        <v>10</v>
      </c>
      <c r="N1001" s="34" t="n">
        <f aca="false">IF(K1001=0,0,FFLAG)</f>
        <v>2</v>
      </c>
      <c r="O1001" s="15" t="s">
        <v>4356</v>
      </c>
      <c r="P1001" s="16" t="n">
        <f aca="false">MAX(P1000+M1001,R990,Q1753,Q1544)</f>
        <v>46556</v>
      </c>
      <c r="Q1001" s="16" t="n">
        <f aca="false">MAX(P1001+K1001,Q1000+N1001)</f>
        <v>46559</v>
      </c>
      <c r="R1001" s="16" t="n">
        <f aca="false">IF(K1001&gt;0,Q1001,R990)</f>
        <v>46559</v>
      </c>
      <c r="S1001" s="15" t="s">
        <v>4355</v>
      </c>
    </row>
    <row r="1002" customFormat="false" ht="15" hidden="false" customHeight="false" outlineLevel="0" collapsed="false">
      <c r="A1002" s="15" t="s">
        <v>4372</v>
      </c>
      <c r="B1002" s="15" t="s">
        <v>4364</v>
      </c>
      <c r="C1002" s="15" t="s">
        <v>397</v>
      </c>
      <c r="D1002" s="15" t="s">
        <v>819</v>
      </c>
      <c r="E1002" s="15" t="s">
        <v>820</v>
      </c>
      <c r="F1002" s="15" t="s">
        <v>3022</v>
      </c>
      <c r="G1002" s="15" t="s">
        <v>3023</v>
      </c>
      <c r="H1002" s="33" t="n">
        <f aca="false">Packages!$O$96</f>
        <v>30.099999999903</v>
      </c>
      <c r="I1002" s="15" t="s">
        <v>118</v>
      </c>
      <c r="J1002" s="34" t="n">
        <f aca="false">MAX(1,ROUNDUP(Packages!$O$96/(R_SLAB*Fronts!$K$9),0))+SLAB_CURE</f>
        <v>6</v>
      </c>
      <c r="K1002" s="34" t="n">
        <f aca="false">IF(J1002=0,0,ROUNDUP(J1002*7/WD,0))</f>
        <v>7</v>
      </c>
      <c r="L1002" s="15" t="s">
        <v>4371</v>
      </c>
      <c r="M1002" s="34" t="n">
        <f aca="false">ROUNDUP(K1001*LADDER,0)</f>
        <v>1</v>
      </c>
      <c r="N1002" s="34" t="n">
        <f aca="false">IF(K1002=0,0,FFLAG)</f>
        <v>2</v>
      </c>
      <c r="O1002" s="15"/>
      <c r="P1002" s="16" t="n">
        <f aca="false">MAX(P1001+M1002,R991)</f>
        <v>46561</v>
      </c>
      <c r="Q1002" s="16" t="n">
        <f aca="false">MAX(P1002+K1002,Q1001+N1002)</f>
        <v>46568</v>
      </c>
      <c r="R1002" s="16" t="n">
        <f aca="false">IF(K1002&gt;0,Q1002,R991)</f>
        <v>46568</v>
      </c>
      <c r="S1002" s="15" t="s">
        <v>4357</v>
      </c>
    </row>
    <row r="1003" customFormat="false" ht="15" hidden="false" customHeight="false" outlineLevel="0" collapsed="false">
      <c r="A1003" s="15" t="s">
        <v>4373</v>
      </c>
      <c r="B1003" s="15" t="s">
        <v>4364</v>
      </c>
      <c r="C1003" s="15" t="s">
        <v>397</v>
      </c>
      <c r="D1003" s="15" t="s">
        <v>819</v>
      </c>
      <c r="E1003" s="15" t="s">
        <v>820</v>
      </c>
      <c r="F1003" s="15" t="s">
        <v>3025</v>
      </c>
      <c r="G1003" s="15" t="s">
        <v>3026</v>
      </c>
      <c r="H1003" s="33" t="n">
        <f aca="false">Packages!$O$96</f>
        <v>30.099999999903</v>
      </c>
      <c r="I1003" s="15" t="s">
        <v>118</v>
      </c>
      <c r="J1003" s="34" t="n">
        <f aca="false">MAX(1,ROUNDUP(Packages!$O$96/(IF(Packages!$N$96&gt;=PIPE_T1,R_PIPE_L,IF(Packages!$N$96&gt;=PIPE_T2,R_PIPE_M,R_PIPE_S))*Fronts!$L$9)+Packages!$M$96*FIT_D+IF(Packages!$G$96&lt;&gt;"Run",TIE_D,0),0))</f>
        <v>3</v>
      </c>
      <c r="K1003" s="34" t="n">
        <f aca="false">IF(J1003=0,0,ROUNDUP(J1003*7/WD,0))</f>
        <v>4</v>
      </c>
      <c r="L1003" s="15" t="s">
        <v>4372</v>
      </c>
      <c r="M1003" s="34" t="n">
        <f aca="false">ROUNDUP(K1002*LADDER,0)</f>
        <v>3</v>
      </c>
      <c r="N1003" s="34" t="n">
        <f aca="false">IF(K1003=0,0,FFLAG)</f>
        <v>2</v>
      </c>
      <c r="O1003" s="15"/>
      <c r="P1003" s="16" t="n">
        <f aca="false">MAX(P1002+M1003,R992)</f>
        <v>46564</v>
      </c>
      <c r="Q1003" s="16" t="n">
        <f aca="false">MAX(P1003+K1003,Q1002+N1003)</f>
        <v>46570</v>
      </c>
      <c r="R1003" s="16" t="n">
        <f aca="false">IF(K1003&gt;0,Q1003,R992)</f>
        <v>46570</v>
      </c>
      <c r="S1003" s="15" t="s">
        <v>4358</v>
      </c>
    </row>
    <row r="1004" customFormat="false" ht="15" hidden="false" customHeight="false" outlineLevel="0" collapsed="false">
      <c r="A1004" s="15" t="s">
        <v>4374</v>
      </c>
      <c r="B1004" s="15" t="s">
        <v>4364</v>
      </c>
      <c r="C1004" s="15" t="s">
        <v>397</v>
      </c>
      <c r="D1004" s="15" t="s">
        <v>819</v>
      </c>
      <c r="E1004" s="15" t="s">
        <v>820</v>
      </c>
      <c r="F1004" s="15" t="s">
        <v>3028</v>
      </c>
      <c r="G1004" s="15" t="s">
        <v>3029</v>
      </c>
      <c r="H1004" s="33" t="n">
        <f aca="false">Packages!$O$96</f>
        <v>30.099999999903</v>
      </c>
      <c r="I1004" s="15" t="s">
        <v>118</v>
      </c>
      <c r="J1004" s="34" t="n">
        <f aca="false">TEST_D+ROUNDUP(Packages!$O$96/R_TEST,0)</f>
        <v>3</v>
      </c>
      <c r="K1004" s="34" t="n">
        <f aca="false">IF(J1004=0,0,ROUNDUP(J1004*7/WD,0))</f>
        <v>4</v>
      </c>
      <c r="L1004" s="15" t="s">
        <v>4373</v>
      </c>
      <c r="M1004" s="34" t="n">
        <f aca="false">ROUNDUP(K1003*LADDER,0)</f>
        <v>2</v>
      </c>
      <c r="N1004" s="34" t="n">
        <f aca="false">IF(K1004=0,0,FFLAG)</f>
        <v>2</v>
      </c>
      <c r="O1004" s="15"/>
      <c r="P1004" s="16" t="n">
        <f aca="false">MAX(P1003+M1004)</f>
        <v>46566</v>
      </c>
      <c r="Q1004" s="16" t="n">
        <f aca="false">MAX(P1004+K1004,Q1003+N1004)</f>
        <v>46572</v>
      </c>
      <c r="R1004" s="12"/>
      <c r="S1004" s="12"/>
    </row>
    <row r="1005" customFormat="false" ht="15" hidden="false" customHeight="false" outlineLevel="0" collapsed="false">
      <c r="A1005" s="15" t="s">
        <v>4375</v>
      </c>
      <c r="B1005" s="15" t="s">
        <v>4364</v>
      </c>
      <c r="C1005" s="15" t="s">
        <v>397</v>
      </c>
      <c r="D1005" s="15" t="s">
        <v>819</v>
      </c>
      <c r="E1005" s="15" t="s">
        <v>820</v>
      </c>
      <c r="F1005" s="15" t="s">
        <v>3031</v>
      </c>
      <c r="G1005" s="15" t="s">
        <v>3032</v>
      </c>
      <c r="H1005" s="33" t="n">
        <f aca="false">Packages!$AB$96</f>
        <v>471.51478399169</v>
      </c>
      <c r="I1005" s="15" t="s">
        <v>3019</v>
      </c>
      <c r="J1005" s="34" t="n">
        <f aca="false">MAX(1,ROUNDUP(Packages!$AB$96/(R_BF*Fronts!$M$9),0))</f>
        <v>2</v>
      </c>
      <c r="K1005" s="34" t="n">
        <f aca="false">IF(J1005=0,0,ROUNDUP(J1005*7/WD,0))</f>
        <v>3</v>
      </c>
      <c r="L1005" s="15" t="s">
        <v>4374</v>
      </c>
      <c r="M1005" s="34" t="n">
        <f aca="false">ROUNDUP(K1004*LADDER,0)</f>
        <v>2</v>
      </c>
      <c r="N1005" s="34" t="n">
        <f aca="false">IF(K1005=0,0,FFLAG)</f>
        <v>2</v>
      </c>
      <c r="O1005" s="15" t="s">
        <v>4376</v>
      </c>
      <c r="P1005" s="16" t="n">
        <f aca="false">MAX(P1004+M1005,R994,Q1036,Q1025,Q1014)</f>
        <v>46591</v>
      </c>
      <c r="Q1005" s="16" t="n">
        <f aca="false">MAX(P1005+K1005,Q1004+N1005)</f>
        <v>46594</v>
      </c>
      <c r="R1005" s="16" t="n">
        <f aca="false">IF(K1005&gt;0,Q1005,R994)</f>
        <v>46594</v>
      </c>
      <c r="S1005" s="15" t="s">
        <v>4360</v>
      </c>
    </row>
    <row r="1006" customFormat="false" ht="15" hidden="false" customHeight="false" outlineLevel="0" collapsed="false">
      <c r="A1006" s="15" t="s">
        <v>4377</v>
      </c>
      <c r="B1006" s="15" t="s">
        <v>4364</v>
      </c>
      <c r="C1006" s="15" t="s">
        <v>397</v>
      </c>
      <c r="D1006" s="15" t="s">
        <v>819</v>
      </c>
      <c r="E1006" s="15" t="s">
        <v>820</v>
      </c>
      <c r="F1006" s="15" t="s">
        <v>3034</v>
      </c>
      <c r="G1006" s="15" t="s">
        <v>3035</v>
      </c>
      <c r="H1006" s="33" t="n">
        <f aca="false">Packages!$AD$96</f>
        <v>0</v>
      </c>
      <c r="I1006" s="15" t="s">
        <v>3012</v>
      </c>
      <c r="J1006" s="34" t="n">
        <f aca="false">IF(Packages!$AD$96&gt;0,ROUNDUP(Packages!$AD$96/R_EXT,0),0)+IF(Packages!$AG$96&gt;0,1,0)</f>
        <v>1</v>
      </c>
      <c r="K1006" s="34" t="n">
        <f aca="false">IF(J1006=0,0,ROUNDUP(J1006*7/WD,0))</f>
        <v>2</v>
      </c>
      <c r="L1006" s="15" t="s">
        <v>4375</v>
      </c>
      <c r="M1006" s="34" t="n">
        <f aca="false">ROUNDUP(K1005*LADDER,0)</f>
        <v>1</v>
      </c>
      <c r="N1006" s="34" t="n">
        <f aca="false">IF(K1006=0,0,FFLAG)</f>
        <v>2</v>
      </c>
      <c r="O1006" s="15"/>
      <c r="P1006" s="16" t="n">
        <f aca="false">MAX(P1005+M1006)</f>
        <v>46592</v>
      </c>
      <c r="Q1006" s="16" t="n">
        <f aca="false">MAX(P1006+K1006,Q1005+N1006)</f>
        <v>46596</v>
      </c>
      <c r="R1006" s="12"/>
      <c r="S1006" s="12"/>
    </row>
    <row r="1007" customFormat="false" ht="15" hidden="false" customHeight="false" outlineLevel="0" collapsed="false">
      <c r="A1007" s="15" t="s">
        <v>4378</v>
      </c>
      <c r="B1007" s="15" t="s">
        <v>4379</v>
      </c>
      <c r="C1007" s="15" t="s">
        <v>397</v>
      </c>
      <c r="D1007" s="15" t="s">
        <v>873</v>
      </c>
      <c r="E1007" s="15" t="s">
        <v>952</v>
      </c>
      <c r="F1007" s="15" t="s">
        <v>2998</v>
      </c>
      <c r="G1007" s="15" t="s">
        <v>2999</v>
      </c>
      <c r="H1007" s="12"/>
      <c r="I1007" s="12"/>
      <c r="J1007" s="34" t="n">
        <f aca="false">0</f>
        <v>0</v>
      </c>
      <c r="K1007" s="34" t="n">
        <f aca="false">IF(J1007=0,0,ROUNDUP(J1007*7/WD,0))</f>
        <v>0</v>
      </c>
      <c r="L1007" s="12"/>
      <c r="M1007" s="12"/>
      <c r="N1007" s="12"/>
      <c r="O1007" s="15" t="s">
        <v>3000</v>
      </c>
      <c r="P1007" s="16" t="n">
        <f aca="false">MAX(START,D_DLU,Packages!$I$97,Packages!$K$97)</f>
        <v>46357</v>
      </c>
      <c r="Q1007" s="16" t="n">
        <f aca="false">P1007+K1007</f>
        <v>46357</v>
      </c>
      <c r="R1007" s="12"/>
      <c r="S1007" s="12"/>
    </row>
    <row r="1008" customFormat="false" ht="15" hidden="false" customHeight="false" outlineLevel="0" collapsed="false">
      <c r="A1008" s="15" t="s">
        <v>4380</v>
      </c>
      <c r="B1008" s="15" t="s">
        <v>4379</v>
      </c>
      <c r="C1008" s="15" t="s">
        <v>397</v>
      </c>
      <c r="D1008" s="15" t="s">
        <v>873</v>
      </c>
      <c r="E1008" s="15" t="s">
        <v>952</v>
      </c>
      <c r="F1008" s="15" t="s">
        <v>3002</v>
      </c>
      <c r="G1008" s="15" t="s">
        <v>205</v>
      </c>
      <c r="H1008" s="33" t="n">
        <f aca="false">Packages!$O$97</f>
        <v>8.16968610462186</v>
      </c>
      <c r="I1008" s="15" t="s">
        <v>118</v>
      </c>
      <c r="J1008" s="34" t="n">
        <f aca="false">MAX(1,ROUNDUP(Packages!$O$97/R_PLAT,0))</f>
        <v>1</v>
      </c>
      <c r="K1008" s="34" t="n">
        <f aca="false">IF(J1008=0,0,ROUNDUP(J1008*7/WD,0))</f>
        <v>2</v>
      </c>
      <c r="L1008" s="15" t="s">
        <v>4378</v>
      </c>
      <c r="M1008" s="12"/>
      <c r="N1008" s="12"/>
      <c r="O1008" s="15" t="s">
        <v>4381</v>
      </c>
      <c r="P1008" s="16" t="n">
        <f aca="false">MAX(Q1007,P998)</f>
        <v>46397</v>
      </c>
      <c r="Q1008" s="16" t="n">
        <f aca="false">P1008+K1008</f>
        <v>46399</v>
      </c>
      <c r="R1008" s="12"/>
      <c r="S1008" s="12"/>
    </row>
    <row r="1009" customFormat="false" ht="15" hidden="false" customHeight="false" outlineLevel="0" collapsed="false">
      <c r="A1009" s="15" t="s">
        <v>4382</v>
      </c>
      <c r="B1009" s="15" t="s">
        <v>4379</v>
      </c>
      <c r="C1009" s="15" t="s">
        <v>397</v>
      </c>
      <c r="D1009" s="15" t="s">
        <v>873</v>
      </c>
      <c r="E1009" s="15" t="s">
        <v>952</v>
      </c>
      <c r="F1009" s="15" t="s">
        <v>3005</v>
      </c>
      <c r="G1009" s="15" t="s">
        <v>3006</v>
      </c>
      <c r="H1009" s="33" t="n">
        <f aca="false">Packages!$AC$97</f>
        <v>8</v>
      </c>
      <c r="I1009" s="15" t="s">
        <v>3007</v>
      </c>
      <c r="J1009" s="34" t="n">
        <f aca="false">IF(Packages!$AC$97=0,0,MAX(1,ROUNDUP(Packages!$AC$97/(R_PILE*Fronts!$H$9),0)))</f>
        <v>2</v>
      </c>
      <c r="K1009" s="34" t="n">
        <f aca="false">IF(J1009=0,0,ROUNDUP(J1009*7/WD,0))</f>
        <v>3</v>
      </c>
      <c r="L1009" s="15" t="s">
        <v>4380</v>
      </c>
      <c r="M1009" s="34" t="n">
        <f aca="false">ROUNDUP(K1008*LADDER,0)</f>
        <v>1</v>
      </c>
      <c r="N1009" s="34" t="n">
        <f aca="false">IF(K1009=0,0,FFLAG)</f>
        <v>2</v>
      </c>
      <c r="O1009" s="15" t="s">
        <v>3008</v>
      </c>
      <c r="P1009" s="16" t="n">
        <f aca="false">MAX(P1008+M1009,D_PILEDES,R998)</f>
        <v>46403</v>
      </c>
      <c r="Q1009" s="16" t="n">
        <f aca="false">MAX(P1009+K1009,Q1008+N1009)</f>
        <v>46406</v>
      </c>
      <c r="R1009" s="16" t="n">
        <f aca="false">IF(K1009&gt;0,Q1009,R998)</f>
        <v>46406</v>
      </c>
      <c r="S1009" s="15" t="s">
        <v>4367</v>
      </c>
    </row>
    <row r="1010" customFormat="false" ht="15" hidden="false" customHeight="false" outlineLevel="0" collapsed="false">
      <c r="A1010" s="15" t="s">
        <v>4383</v>
      </c>
      <c r="B1010" s="15" t="s">
        <v>4379</v>
      </c>
      <c r="C1010" s="15" t="s">
        <v>397</v>
      </c>
      <c r="D1010" s="15" t="s">
        <v>873</v>
      </c>
      <c r="E1010" s="15" t="s">
        <v>952</v>
      </c>
      <c r="F1010" s="15" t="s">
        <v>3010</v>
      </c>
      <c r="G1010" s="15" t="s">
        <v>3011</v>
      </c>
      <c r="H1010" s="33" t="n">
        <f aca="false">Packages!$AD$97</f>
        <v>0</v>
      </c>
      <c r="I1010" s="15" t="s">
        <v>3012</v>
      </c>
      <c r="J1010" s="34" t="n">
        <f aca="false">IF(Packages!$AD$97=0,0,MAX(1,ROUNDUP(Packages!$AD$97/(R_SHEET*Fronts!$I$9),0)))</f>
        <v>0</v>
      </c>
      <c r="K1010" s="34" t="n">
        <f aca="false">IF(J1010=0,0,ROUNDUP(J1010*7/WD,0))</f>
        <v>0</v>
      </c>
      <c r="L1010" s="15" t="s">
        <v>4382</v>
      </c>
      <c r="M1010" s="34" t="n">
        <f aca="false">ROUNDUP(K1009*LADDER,0)</f>
        <v>1</v>
      </c>
      <c r="N1010" s="34" t="n">
        <f aca="false">IF(K1010=0,0,FFLAG)</f>
        <v>0</v>
      </c>
      <c r="O1010" s="15"/>
      <c r="P1010" s="16" t="n">
        <f aca="false">MAX(P1009+M1010,R999)</f>
        <v>46404</v>
      </c>
      <c r="Q1010" s="16" t="n">
        <f aca="false">MAX(P1010+K1010,Q1009+N1010)</f>
        <v>46406</v>
      </c>
      <c r="R1010" s="16" t="n">
        <f aca="false">IF(K1010&gt;0,Q1010,R999)</f>
        <v>46395</v>
      </c>
      <c r="S1010" s="15" t="s">
        <v>4368</v>
      </c>
    </row>
    <row r="1011" customFormat="false" ht="15" hidden="false" customHeight="false" outlineLevel="0" collapsed="false">
      <c r="A1011" s="15" t="s">
        <v>4384</v>
      </c>
      <c r="B1011" s="15" t="s">
        <v>4379</v>
      </c>
      <c r="C1011" s="15" t="s">
        <v>397</v>
      </c>
      <c r="D1011" s="15" t="s">
        <v>873</v>
      </c>
      <c r="E1011" s="15" t="s">
        <v>952</v>
      </c>
      <c r="F1011" s="15" t="s">
        <v>3014</v>
      </c>
      <c r="G1011" s="15" t="s">
        <v>3015</v>
      </c>
      <c r="H1011" s="33" t="n">
        <f aca="false">Packages!$O$97</f>
        <v>8.16968610462186</v>
      </c>
      <c r="I1011" s="15" t="s">
        <v>118</v>
      </c>
      <c r="J1011" s="34" t="n">
        <f aca="false">IF(Packages!$AG$97=0,0,ROUNDUP(Packages!$O$97/R_DW,0)+DW_DRAW)</f>
        <v>8</v>
      </c>
      <c r="K1011" s="34" t="n">
        <f aca="false">IF(J1011=0,0,ROUNDUP(J1011*7/WD,0))</f>
        <v>10</v>
      </c>
      <c r="L1011" s="15" t="s">
        <v>4383</v>
      </c>
      <c r="M1011" s="34" t="n">
        <f aca="false">ROUNDUP(K1010*LADDER,0)</f>
        <v>0</v>
      </c>
      <c r="N1011" s="34" t="n">
        <f aca="false">IF(K1011=0,0,FFLAG)</f>
        <v>2</v>
      </c>
      <c r="O1011" s="15" t="s">
        <v>4385</v>
      </c>
      <c r="P1011" s="16" t="n">
        <f aca="false">MAX(P1010+M1011,Q1001-K1011)</f>
        <v>46549</v>
      </c>
      <c r="Q1011" s="16" t="n">
        <f aca="false">MAX(P1011+K1011,Q1010+N1011)</f>
        <v>46559</v>
      </c>
      <c r="R1011" s="12"/>
      <c r="S1011" s="12"/>
    </row>
    <row r="1012" customFormat="false" ht="15" hidden="false" customHeight="false" outlineLevel="0" collapsed="false">
      <c r="A1012" s="15" t="s">
        <v>4386</v>
      </c>
      <c r="B1012" s="15" t="s">
        <v>4379</v>
      </c>
      <c r="C1012" s="15" t="s">
        <v>397</v>
      </c>
      <c r="D1012" s="15" t="s">
        <v>873</v>
      </c>
      <c r="E1012" s="15" t="s">
        <v>952</v>
      </c>
      <c r="F1012" s="15" t="s">
        <v>3017</v>
      </c>
      <c r="G1012" s="15" t="s">
        <v>3018</v>
      </c>
      <c r="H1012" s="33" t="n">
        <f aca="false">Packages!$X$97+Packages!$Y$97</f>
        <v>110.725411524243</v>
      </c>
      <c r="I1012" s="15" t="s">
        <v>3019</v>
      </c>
      <c r="J1012" s="34" t="n">
        <f aca="false">MAX(1,ROUNDUP((Packages!$X$97/R_EXS+Packages!$Y$97/R_EXO)/Fronts!$J$9,0))</f>
        <v>1</v>
      </c>
      <c r="K1012" s="34" t="n">
        <f aca="false">IF(J1012=0,0,ROUNDUP(J1012*7/WD,0))</f>
        <v>2</v>
      </c>
      <c r="L1012" s="15" t="s">
        <v>4384</v>
      </c>
      <c r="M1012" s="34" t="n">
        <f aca="false">IF(K1011=0,0,ROUNDUP((K1011-ROUNDUP(DW_DRAW*7/WD,0))*LADDER,0)+ROUNDUP(DW_DRAW*7/WD,0))</f>
        <v>10</v>
      </c>
      <c r="N1012" s="34" t="n">
        <f aca="false">IF(K1012=0,0,FFLAG)</f>
        <v>2</v>
      </c>
      <c r="O1012" s="15" t="s">
        <v>4387</v>
      </c>
      <c r="P1012" s="16" t="n">
        <f aca="false">MAX(P1011+M1012,R1001,Q1544,P1001,P990)</f>
        <v>46559</v>
      </c>
      <c r="Q1012" s="16" t="n">
        <f aca="false">MAX(P1012+K1012,Q1011+N1012)</f>
        <v>46561</v>
      </c>
      <c r="R1012" s="16" t="n">
        <f aca="false">IF(K1012&gt;0,Q1012,R1001)</f>
        <v>46561</v>
      </c>
      <c r="S1012" s="15" t="s">
        <v>4371</v>
      </c>
    </row>
    <row r="1013" customFormat="false" ht="15" hidden="false" customHeight="false" outlineLevel="0" collapsed="false">
      <c r="A1013" s="15" t="s">
        <v>4388</v>
      </c>
      <c r="B1013" s="15" t="s">
        <v>4379</v>
      </c>
      <c r="C1013" s="15" t="s">
        <v>397</v>
      </c>
      <c r="D1013" s="15" t="s">
        <v>873</v>
      </c>
      <c r="E1013" s="15" t="s">
        <v>952</v>
      </c>
      <c r="F1013" s="15" t="s">
        <v>3022</v>
      </c>
      <c r="G1013" s="15" t="s">
        <v>3023</v>
      </c>
      <c r="H1013" s="33" t="n">
        <f aca="false">Packages!$O$97</f>
        <v>8.16968610462186</v>
      </c>
      <c r="I1013" s="15" t="s">
        <v>118</v>
      </c>
      <c r="J1013" s="34" t="n">
        <f aca="false">MAX(1,ROUNDUP(Packages!$O$97/(R_SLAB*Fronts!$K$9),0))+SLAB_CURE</f>
        <v>4</v>
      </c>
      <c r="K1013" s="34" t="n">
        <f aca="false">IF(J1013=0,0,ROUNDUP(J1013*7/WD,0))</f>
        <v>5</v>
      </c>
      <c r="L1013" s="15" t="s">
        <v>4386</v>
      </c>
      <c r="M1013" s="34" t="n">
        <f aca="false">ROUNDUP(K1012*LADDER,0)</f>
        <v>1</v>
      </c>
      <c r="N1013" s="34" t="n">
        <f aca="false">IF(K1013=0,0,FFLAG)</f>
        <v>2</v>
      </c>
      <c r="O1013" s="15"/>
      <c r="P1013" s="16" t="n">
        <f aca="false">MAX(P1012+M1013,R1002)</f>
        <v>46568</v>
      </c>
      <c r="Q1013" s="16" t="n">
        <f aca="false">MAX(P1013+K1013,Q1012+N1013)</f>
        <v>46573</v>
      </c>
      <c r="R1013" s="16" t="n">
        <f aca="false">IF(K1013&gt;0,Q1013,R1002)</f>
        <v>46573</v>
      </c>
      <c r="S1013" s="15" t="s">
        <v>4372</v>
      </c>
    </row>
    <row r="1014" customFormat="false" ht="15" hidden="false" customHeight="false" outlineLevel="0" collapsed="false">
      <c r="A1014" s="15" t="s">
        <v>4389</v>
      </c>
      <c r="B1014" s="15" t="s">
        <v>4379</v>
      </c>
      <c r="C1014" s="15" t="s">
        <v>397</v>
      </c>
      <c r="D1014" s="15" t="s">
        <v>873</v>
      </c>
      <c r="E1014" s="15" t="s">
        <v>952</v>
      </c>
      <c r="F1014" s="15" t="s">
        <v>3025</v>
      </c>
      <c r="G1014" s="15" t="s">
        <v>3026</v>
      </c>
      <c r="H1014" s="33" t="n">
        <f aca="false">Packages!$O$97</f>
        <v>8.16968610462186</v>
      </c>
      <c r="I1014" s="15" t="s">
        <v>118</v>
      </c>
      <c r="J1014" s="34" t="n">
        <f aca="false">MAX(1,ROUNDUP(Packages!$O$97/(IF(Packages!$N$97&gt;=PIPE_T1,R_PIPE_L,IF(Packages!$N$97&gt;=PIPE_T2,R_PIPE_M,R_PIPE_S))*Fronts!$L$9)+Packages!$M$97*FIT_D+IF(Packages!$G$97&lt;&gt;"Run",TIE_D,0),0))</f>
        <v>1</v>
      </c>
      <c r="K1014" s="34" t="n">
        <f aca="false">IF(J1014=0,0,ROUNDUP(J1014*7/WD,0))</f>
        <v>2</v>
      </c>
      <c r="L1014" s="15" t="s">
        <v>4388</v>
      </c>
      <c r="M1014" s="34" t="n">
        <f aca="false">ROUNDUP(K1013*LADDER,0)</f>
        <v>2</v>
      </c>
      <c r="N1014" s="34" t="n">
        <f aca="false">IF(K1014=0,0,FFLAG)</f>
        <v>2</v>
      </c>
      <c r="O1014" s="15"/>
      <c r="P1014" s="16" t="n">
        <f aca="false">MAX(P1013+M1014,R1003)</f>
        <v>46570</v>
      </c>
      <c r="Q1014" s="16" t="n">
        <f aca="false">MAX(P1014+K1014,Q1013+N1014)</f>
        <v>46575</v>
      </c>
      <c r="R1014" s="16" t="n">
        <f aca="false">IF(K1014&gt;0,Q1014,R1003)</f>
        <v>46575</v>
      </c>
      <c r="S1014" s="15" t="s">
        <v>4373</v>
      </c>
    </row>
    <row r="1015" customFormat="false" ht="15" hidden="false" customHeight="false" outlineLevel="0" collapsed="false">
      <c r="A1015" s="15" t="s">
        <v>4390</v>
      </c>
      <c r="B1015" s="15" t="s">
        <v>4379</v>
      </c>
      <c r="C1015" s="15" t="s">
        <v>397</v>
      </c>
      <c r="D1015" s="15" t="s">
        <v>873</v>
      </c>
      <c r="E1015" s="15" t="s">
        <v>952</v>
      </c>
      <c r="F1015" s="15" t="s">
        <v>3028</v>
      </c>
      <c r="G1015" s="15" t="s">
        <v>3029</v>
      </c>
      <c r="H1015" s="33" t="n">
        <f aca="false">Packages!$O$97</f>
        <v>8.16968610462186</v>
      </c>
      <c r="I1015" s="15" t="s">
        <v>118</v>
      </c>
      <c r="J1015" s="34" t="n">
        <f aca="false">TEST_D+ROUNDUP(Packages!$O$97/R_TEST,0)</f>
        <v>3</v>
      </c>
      <c r="K1015" s="34" t="n">
        <f aca="false">IF(J1015=0,0,ROUNDUP(J1015*7/WD,0))</f>
        <v>4</v>
      </c>
      <c r="L1015" s="15" t="s">
        <v>4389</v>
      </c>
      <c r="M1015" s="34" t="n">
        <f aca="false">ROUNDUP(K1014*LADDER,0)</f>
        <v>1</v>
      </c>
      <c r="N1015" s="34" t="n">
        <f aca="false">IF(K1015=0,0,FFLAG)</f>
        <v>2</v>
      </c>
      <c r="O1015" s="15"/>
      <c r="P1015" s="16" t="n">
        <f aca="false">MAX(P1014+M1015)</f>
        <v>46571</v>
      </c>
      <c r="Q1015" s="16" t="n">
        <f aca="false">MAX(P1015+K1015,Q1014+N1015)</f>
        <v>46577</v>
      </c>
      <c r="R1015" s="12"/>
      <c r="S1015" s="12"/>
    </row>
    <row r="1016" customFormat="false" ht="15" hidden="false" customHeight="false" outlineLevel="0" collapsed="false">
      <c r="A1016" s="15" t="s">
        <v>4391</v>
      </c>
      <c r="B1016" s="15" t="s">
        <v>4379</v>
      </c>
      <c r="C1016" s="15" t="s">
        <v>397</v>
      </c>
      <c r="D1016" s="15" t="s">
        <v>873</v>
      </c>
      <c r="E1016" s="15" t="s">
        <v>952</v>
      </c>
      <c r="F1016" s="15" t="s">
        <v>3031</v>
      </c>
      <c r="G1016" s="15" t="s">
        <v>3032</v>
      </c>
      <c r="H1016" s="33" t="n">
        <f aca="false">Packages!$AB$97</f>
        <v>92.2324678997107</v>
      </c>
      <c r="I1016" s="15" t="s">
        <v>3019</v>
      </c>
      <c r="J1016" s="34" t="n">
        <f aca="false">MAX(1,ROUNDUP(Packages!$AB$97/(R_BF*Fronts!$M$9),0))</f>
        <v>1</v>
      </c>
      <c r="K1016" s="34" t="n">
        <f aca="false">IF(J1016=0,0,ROUNDUP(J1016*7/WD,0))</f>
        <v>2</v>
      </c>
      <c r="L1016" s="15" t="s">
        <v>4390</v>
      </c>
      <c r="M1016" s="34" t="n">
        <f aca="false">ROUNDUP(K1015*LADDER,0)</f>
        <v>2</v>
      </c>
      <c r="N1016" s="34" t="n">
        <f aca="false">IF(K1016=0,0,FFLAG)</f>
        <v>2</v>
      </c>
      <c r="O1016" s="15" t="s">
        <v>4392</v>
      </c>
      <c r="P1016" s="16" t="n">
        <f aca="false">MAX(P1015+M1016,R1005,Q1003,Q992)</f>
        <v>46594</v>
      </c>
      <c r="Q1016" s="16" t="n">
        <f aca="false">MAX(P1016+K1016,Q1015+N1016)</f>
        <v>46596</v>
      </c>
      <c r="R1016" s="16" t="n">
        <f aca="false">IF(K1016&gt;0,Q1016,R1005)</f>
        <v>46596</v>
      </c>
      <c r="S1016" s="15" t="s">
        <v>4375</v>
      </c>
    </row>
    <row r="1017" customFormat="false" ht="15" hidden="false" customHeight="false" outlineLevel="0" collapsed="false">
      <c r="A1017" s="15" t="s">
        <v>4393</v>
      </c>
      <c r="B1017" s="15" t="s">
        <v>4379</v>
      </c>
      <c r="C1017" s="15" t="s">
        <v>397</v>
      </c>
      <c r="D1017" s="15" t="s">
        <v>873</v>
      </c>
      <c r="E1017" s="15" t="s">
        <v>952</v>
      </c>
      <c r="F1017" s="15" t="s">
        <v>3034</v>
      </c>
      <c r="G1017" s="15" t="s">
        <v>3035</v>
      </c>
      <c r="H1017" s="33" t="n">
        <f aca="false">Packages!$AD$97</f>
        <v>0</v>
      </c>
      <c r="I1017" s="15" t="s">
        <v>3012</v>
      </c>
      <c r="J1017" s="34" t="n">
        <f aca="false">IF(Packages!$AD$97&gt;0,ROUNDUP(Packages!$AD$97/R_EXT,0),0)+IF(Packages!$AG$97&gt;0,1,0)</f>
        <v>1</v>
      </c>
      <c r="K1017" s="34" t="n">
        <f aca="false">IF(J1017=0,0,ROUNDUP(J1017*7/WD,0))</f>
        <v>2</v>
      </c>
      <c r="L1017" s="15" t="s">
        <v>4391</v>
      </c>
      <c r="M1017" s="34" t="n">
        <f aca="false">ROUNDUP(K1016*LADDER,0)</f>
        <v>1</v>
      </c>
      <c r="N1017" s="34" t="n">
        <f aca="false">IF(K1017=0,0,FFLAG)</f>
        <v>2</v>
      </c>
      <c r="O1017" s="15"/>
      <c r="P1017" s="16" t="n">
        <f aca="false">MAX(P1016+M1017)</f>
        <v>46595</v>
      </c>
      <c r="Q1017" s="16" t="n">
        <f aca="false">MAX(P1017+K1017,Q1016+N1017)</f>
        <v>46598</v>
      </c>
      <c r="R1017" s="12"/>
      <c r="S1017" s="12"/>
    </row>
    <row r="1018" customFormat="false" ht="15" hidden="false" customHeight="false" outlineLevel="0" collapsed="false">
      <c r="A1018" s="15" t="s">
        <v>4394</v>
      </c>
      <c r="B1018" s="15" t="s">
        <v>4395</v>
      </c>
      <c r="C1018" s="15" t="s">
        <v>397</v>
      </c>
      <c r="D1018" s="15" t="s">
        <v>873</v>
      </c>
      <c r="E1018" s="15" t="s">
        <v>943</v>
      </c>
      <c r="F1018" s="15" t="s">
        <v>2998</v>
      </c>
      <c r="G1018" s="15" t="s">
        <v>2999</v>
      </c>
      <c r="H1018" s="12"/>
      <c r="I1018" s="12"/>
      <c r="J1018" s="34" t="n">
        <f aca="false">0</f>
        <v>0</v>
      </c>
      <c r="K1018" s="34" t="n">
        <f aca="false">IF(J1018=0,0,ROUNDUP(J1018*7/WD,0))</f>
        <v>0</v>
      </c>
      <c r="L1018" s="12"/>
      <c r="M1018" s="12"/>
      <c r="N1018" s="12"/>
      <c r="O1018" s="15" t="s">
        <v>3000</v>
      </c>
      <c r="P1018" s="16" t="n">
        <f aca="false">MAX(START,D_DLU,Packages!$I$98,Packages!$K$98)</f>
        <v>46357</v>
      </c>
      <c r="Q1018" s="16" t="n">
        <f aca="false">P1018+K1018</f>
        <v>46357</v>
      </c>
      <c r="R1018" s="12"/>
      <c r="S1018" s="12"/>
    </row>
    <row r="1019" customFormat="false" ht="15" hidden="false" customHeight="false" outlineLevel="0" collapsed="false">
      <c r="A1019" s="15" t="s">
        <v>4396</v>
      </c>
      <c r="B1019" s="15" t="s">
        <v>4395</v>
      </c>
      <c r="C1019" s="15" t="s">
        <v>397</v>
      </c>
      <c r="D1019" s="15" t="s">
        <v>873</v>
      </c>
      <c r="E1019" s="15" t="s">
        <v>943</v>
      </c>
      <c r="F1019" s="15" t="s">
        <v>3002</v>
      </c>
      <c r="G1019" s="15" t="s">
        <v>205</v>
      </c>
      <c r="H1019" s="33" t="n">
        <f aca="false">Packages!$O$98</f>
        <v>29.2588357753108</v>
      </c>
      <c r="I1019" s="15" t="s">
        <v>118</v>
      </c>
      <c r="J1019" s="34" t="n">
        <f aca="false">MAX(1,ROUNDUP(Packages!$O$98/R_PLAT,0))</f>
        <v>1</v>
      </c>
      <c r="K1019" s="34" t="n">
        <f aca="false">IF(J1019=0,0,ROUNDUP(J1019*7/WD,0))</f>
        <v>2</v>
      </c>
      <c r="L1019" s="15" t="s">
        <v>4394</v>
      </c>
      <c r="M1019" s="12"/>
      <c r="N1019" s="12"/>
      <c r="O1019" s="15" t="s">
        <v>4397</v>
      </c>
      <c r="P1019" s="16" t="n">
        <f aca="false">MAX(Q1018,P1009)</f>
        <v>46403</v>
      </c>
      <c r="Q1019" s="16" t="n">
        <f aca="false">P1019+K1019</f>
        <v>46405</v>
      </c>
      <c r="R1019" s="12"/>
      <c r="S1019" s="12"/>
    </row>
    <row r="1020" customFormat="false" ht="15" hidden="false" customHeight="false" outlineLevel="0" collapsed="false">
      <c r="A1020" s="15" t="s">
        <v>4398</v>
      </c>
      <c r="B1020" s="15" t="s">
        <v>4395</v>
      </c>
      <c r="C1020" s="15" t="s">
        <v>397</v>
      </c>
      <c r="D1020" s="15" t="s">
        <v>873</v>
      </c>
      <c r="E1020" s="15" t="s">
        <v>943</v>
      </c>
      <c r="F1020" s="15" t="s">
        <v>3005</v>
      </c>
      <c r="G1020" s="15" t="s">
        <v>3006</v>
      </c>
      <c r="H1020" s="33" t="n">
        <f aca="false">Packages!$AC$98</f>
        <v>22</v>
      </c>
      <c r="I1020" s="15" t="s">
        <v>3007</v>
      </c>
      <c r="J1020" s="34" t="n">
        <f aca="false">IF(Packages!$AC$98=0,0,MAX(1,ROUNDUP(Packages!$AC$98/(R_PILE*Fronts!$H$9),0)))</f>
        <v>5</v>
      </c>
      <c r="K1020" s="34" t="n">
        <f aca="false">IF(J1020=0,0,ROUNDUP(J1020*7/WD,0))</f>
        <v>6</v>
      </c>
      <c r="L1020" s="15" t="s">
        <v>4396</v>
      </c>
      <c r="M1020" s="34" t="n">
        <f aca="false">ROUNDUP(K1019*LADDER,0)</f>
        <v>1</v>
      </c>
      <c r="N1020" s="34" t="n">
        <f aca="false">IF(K1020=0,0,FFLAG)</f>
        <v>2</v>
      </c>
      <c r="O1020" s="15" t="s">
        <v>3008</v>
      </c>
      <c r="P1020" s="16" t="n">
        <f aca="false">MAX(P1019+M1020,D_PILEDES,R1009)</f>
        <v>46406</v>
      </c>
      <c r="Q1020" s="16" t="n">
        <f aca="false">MAX(P1020+K1020,Q1019+N1020)</f>
        <v>46412</v>
      </c>
      <c r="R1020" s="16" t="n">
        <f aca="false">IF(K1020&gt;0,Q1020,R1009)</f>
        <v>46412</v>
      </c>
      <c r="S1020" s="15" t="s">
        <v>4382</v>
      </c>
    </row>
    <row r="1021" customFormat="false" ht="15" hidden="false" customHeight="false" outlineLevel="0" collapsed="false">
      <c r="A1021" s="15" t="s">
        <v>4399</v>
      </c>
      <c r="B1021" s="15" t="s">
        <v>4395</v>
      </c>
      <c r="C1021" s="15" t="s">
        <v>397</v>
      </c>
      <c r="D1021" s="15" t="s">
        <v>873</v>
      </c>
      <c r="E1021" s="15" t="s">
        <v>943</v>
      </c>
      <c r="F1021" s="15" t="s">
        <v>3010</v>
      </c>
      <c r="G1021" s="15" t="s">
        <v>3011</v>
      </c>
      <c r="H1021" s="33" t="n">
        <f aca="false">Packages!$AD$98</f>
        <v>0</v>
      </c>
      <c r="I1021" s="15" t="s">
        <v>3012</v>
      </c>
      <c r="J1021" s="34" t="n">
        <f aca="false">IF(Packages!$AD$98=0,0,MAX(1,ROUNDUP(Packages!$AD$98/(R_SHEET*Fronts!$I$9),0)))</f>
        <v>0</v>
      </c>
      <c r="K1021" s="34" t="n">
        <f aca="false">IF(J1021=0,0,ROUNDUP(J1021*7/WD,0))</f>
        <v>0</v>
      </c>
      <c r="L1021" s="15" t="s">
        <v>4398</v>
      </c>
      <c r="M1021" s="34" t="n">
        <f aca="false">ROUNDUP(K1020*LADDER,0)</f>
        <v>2</v>
      </c>
      <c r="N1021" s="34" t="n">
        <f aca="false">IF(K1021=0,0,FFLAG)</f>
        <v>0</v>
      </c>
      <c r="O1021" s="15"/>
      <c r="P1021" s="16" t="n">
        <f aca="false">MAX(P1020+M1021,R1010)</f>
        <v>46408</v>
      </c>
      <c r="Q1021" s="16" t="n">
        <f aca="false">MAX(P1021+K1021,Q1020+N1021)</f>
        <v>46412</v>
      </c>
      <c r="R1021" s="16" t="n">
        <f aca="false">IF(K1021&gt;0,Q1021,R1010)</f>
        <v>46395</v>
      </c>
      <c r="S1021" s="15" t="s">
        <v>4383</v>
      </c>
    </row>
    <row r="1022" customFormat="false" ht="15" hidden="false" customHeight="false" outlineLevel="0" collapsed="false">
      <c r="A1022" s="15" t="s">
        <v>4400</v>
      </c>
      <c r="B1022" s="15" t="s">
        <v>4395</v>
      </c>
      <c r="C1022" s="15" t="s">
        <v>397</v>
      </c>
      <c r="D1022" s="15" t="s">
        <v>873</v>
      </c>
      <c r="E1022" s="15" t="s">
        <v>943</v>
      </c>
      <c r="F1022" s="15" t="s">
        <v>3014</v>
      </c>
      <c r="G1022" s="15" t="s">
        <v>3015</v>
      </c>
      <c r="H1022" s="33" t="n">
        <f aca="false">Packages!$O$98</f>
        <v>29.2588357753108</v>
      </c>
      <c r="I1022" s="15" t="s">
        <v>118</v>
      </c>
      <c r="J1022" s="34" t="n">
        <f aca="false">IF(Packages!$AG$98=0,0,ROUNDUP(Packages!$O$98/R_DW,0)+DW_DRAW)</f>
        <v>8</v>
      </c>
      <c r="K1022" s="34" t="n">
        <f aca="false">IF(J1022=0,0,ROUNDUP(J1022*7/WD,0))</f>
        <v>10</v>
      </c>
      <c r="L1022" s="15" t="s">
        <v>4399</v>
      </c>
      <c r="M1022" s="34" t="n">
        <f aca="false">ROUNDUP(K1021*LADDER,0)</f>
        <v>0</v>
      </c>
      <c r="N1022" s="34" t="n">
        <f aca="false">IF(K1022=0,0,FFLAG)</f>
        <v>2</v>
      </c>
      <c r="O1022" s="15" t="s">
        <v>4401</v>
      </c>
      <c r="P1022" s="16" t="n">
        <f aca="false">MAX(P1021+M1022,Q1012-K1022)</f>
        <v>46551</v>
      </c>
      <c r="Q1022" s="16" t="n">
        <f aca="false">MAX(P1022+K1022,Q1021+N1022)</f>
        <v>46561</v>
      </c>
      <c r="R1022" s="12"/>
      <c r="S1022" s="12"/>
    </row>
    <row r="1023" customFormat="false" ht="15" hidden="false" customHeight="false" outlineLevel="0" collapsed="false">
      <c r="A1023" s="15" t="s">
        <v>4402</v>
      </c>
      <c r="B1023" s="15" t="s">
        <v>4395</v>
      </c>
      <c r="C1023" s="15" t="s">
        <v>397</v>
      </c>
      <c r="D1023" s="15" t="s">
        <v>873</v>
      </c>
      <c r="E1023" s="15" t="s">
        <v>943</v>
      </c>
      <c r="F1023" s="15" t="s">
        <v>3017</v>
      </c>
      <c r="G1023" s="15" t="s">
        <v>3018</v>
      </c>
      <c r="H1023" s="33" t="n">
        <f aca="false">Packages!$X$98+Packages!$Y$98</f>
        <v>392.829812752098</v>
      </c>
      <c r="I1023" s="15" t="s">
        <v>3019</v>
      </c>
      <c r="J1023" s="34" t="n">
        <f aca="false">MAX(1,ROUNDUP((Packages!$X$98/R_EXS+Packages!$Y$98/R_EXO)/Fronts!$J$9,0))</f>
        <v>1</v>
      </c>
      <c r="K1023" s="34" t="n">
        <f aca="false">IF(J1023=0,0,ROUNDUP(J1023*7/WD,0))</f>
        <v>2</v>
      </c>
      <c r="L1023" s="15" t="s">
        <v>4400</v>
      </c>
      <c r="M1023" s="34" t="n">
        <f aca="false">IF(K1022=0,0,ROUNDUP((K1022-ROUNDUP(DW_DRAW*7/WD,0))*LADDER,0)+ROUNDUP(DW_DRAW*7/WD,0))</f>
        <v>10</v>
      </c>
      <c r="N1023" s="34" t="n">
        <f aca="false">IF(K1023=0,0,FFLAG)</f>
        <v>2</v>
      </c>
      <c r="O1023" s="15" t="s">
        <v>4403</v>
      </c>
      <c r="P1023" s="16" t="n">
        <f aca="false">MAX(P1022+M1023,R1012,P1001)</f>
        <v>46561</v>
      </c>
      <c r="Q1023" s="16" t="n">
        <f aca="false">MAX(P1023+K1023,Q1022+N1023)</f>
        <v>46563</v>
      </c>
      <c r="R1023" s="16" t="n">
        <f aca="false">IF(K1023&gt;0,Q1023,R1012)</f>
        <v>46563</v>
      </c>
      <c r="S1023" s="15" t="s">
        <v>4386</v>
      </c>
    </row>
    <row r="1024" customFormat="false" ht="15" hidden="false" customHeight="false" outlineLevel="0" collapsed="false">
      <c r="A1024" s="15" t="s">
        <v>4404</v>
      </c>
      <c r="B1024" s="15" t="s">
        <v>4395</v>
      </c>
      <c r="C1024" s="15" t="s">
        <v>397</v>
      </c>
      <c r="D1024" s="15" t="s">
        <v>873</v>
      </c>
      <c r="E1024" s="15" t="s">
        <v>943</v>
      </c>
      <c r="F1024" s="15" t="s">
        <v>3022</v>
      </c>
      <c r="G1024" s="15" t="s">
        <v>3023</v>
      </c>
      <c r="H1024" s="33" t="n">
        <f aca="false">Packages!$O$98</f>
        <v>29.2588357753108</v>
      </c>
      <c r="I1024" s="15" t="s">
        <v>118</v>
      </c>
      <c r="J1024" s="34" t="n">
        <f aca="false">MAX(1,ROUNDUP(Packages!$O$98/(R_SLAB*Fronts!$K$9),0))+SLAB_CURE</f>
        <v>6</v>
      </c>
      <c r="K1024" s="34" t="n">
        <f aca="false">IF(J1024=0,0,ROUNDUP(J1024*7/WD,0))</f>
        <v>7</v>
      </c>
      <c r="L1024" s="15" t="s">
        <v>4402</v>
      </c>
      <c r="M1024" s="34" t="n">
        <f aca="false">ROUNDUP(K1023*LADDER,0)</f>
        <v>1</v>
      </c>
      <c r="N1024" s="34" t="n">
        <f aca="false">IF(K1024=0,0,FFLAG)</f>
        <v>2</v>
      </c>
      <c r="O1024" s="15"/>
      <c r="P1024" s="16" t="n">
        <f aca="false">MAX(P1023+M1024,R1013)</f>
        <v>46573</v>
      </c>
      <c r="Q1024" s="16" t="n">
        <f aca="false">MAX(P1024+K1024,Q1023+N1024)</f>
        <v>46580</v>
      </c>
      <c r="R1024" s="16" t="n">
        <f aca="false">IF(K1024&gt;0,Q1024,R1013)</f>
        <v>46580</v>
      </c>
      <c r="S1024" s="15" t="s">
        <v>4388</v>
      </c>
    </row>
    <row r="1025" customFormat="false" ht="15" hidden="false" customHeight="false" outlineLevel="0" collapsed="false">
      <c r="A1025" s="15" t="s">
        <v>4405</v>
      </c>
      <c r="B1025" s="15" t="s">
        <v>4395</v>
      </c>
      <c r="C1025" s="15" t="s">
        <v>397</v>
      </c>
      <c r="D1025" s="15" t="s">
        <v>873</v>
      </c>
      <c r="E1025" s="15" t="s">
        <v>943</v>
      </c>
      <c r="F1025" s="15" t="s">
        <v>3025</v>
      </c>
      <c r="G1025" s="15" t="s">
        <v>3026</v>
      </c>
      <c r="H1025" s="33" t="n">
        <f aca="false">Packages!$O$98</f>
        <v>29.2588357753108</v>
      </c>
      <c r="I1025" s="15" t="s">
        <v>118</v>
      </c>
      <c r="J1025" s="34" t="n">
        <f aca="false">MAX(1,ROUNDUP(Packages!$O$98/(IF(Packages!$N$98&gt;=PIPE_T1,R_PIPE_L,IF(Packages!$N$98&gt;=PIPE_T2,R_PIPE_M,R_PIPE_S))*Fronts!$L$9)+Packages!$M$98*FIT_D+IF(Packages!$G$98&lt;&gt;"Run",TIE_D,0),0))</f>
        <v>2</v>
      </c>
      <c r="K1025" s="34" t="n">
        <f aca="false">IF(J1025=0,0,ROUNDUP(J1025*7/WD,0))</f>
        <v>3</v>
      </c>
      <c r="L1025" s="15" t="s">
        <v>4404</v>
      </c>
      <c r="M1025" s="34" t="n">
        <f aca="false">ROUNDUP(K1024*LADDER,0)</f>
        <v>3</v>
      </c>
      <c r="N1025" s="34" t="n">
        <f aca="false">IF(K1025=0,0,FFLAG)</f>
        <v>2</v>
      </c>
      <c r="O1025" s="15"/>
      <c r="P1025" s="16" t="n">
        <f aca="false">MAX(P1024+M1025,R1014)</f>
        <v>46576</v>
      </c>
      <c r="Q1025" s="16" t="n">
        <f aca="false">MAX(P1025+K1025,Q1024+N1025)</f>
        <v>46582</v>
      </c>
      <c r="R1025" s="16" t="n">
        <f aca="false">IF(K1025&gt;0,Q1025,R1014)</f>
        <v>46582</v>
      </c>
      <c r="S1025" s="15" t="s">
        <v>4389</v>
      </c>
    </row>
    <row r="1026" customFormat="false" ht="15" hidden="false" customHeight="false" outlineLevel="0" collapsed="false">
      <c r="A1026" s="15" t="s">
        <v>4406</v>
      </c>
      <c r="B1026" s="15" t="s">
        <v>4395</v>
      </c>
      <c r="C1026" s="15" t="s">
        <v>397</v>
      </c>
      <c r="D1026" s="15" t="s">
        <v>873</v>
      </c>
      <c r="E1026" s="15" t="s">
        <v>943</v>
      </c>
      <c r="F1026" s="15" t="s">
        <v>3028</v>
      </c>
      <c r="G1026" s="15" t="s">
        <v>3029</v>
      </c>
      <c r="H1026" s="33" t="n">
        <f aca="false">Packages!$O$98</f>
        <v>29.2588357753108</v>
      </c>
      <c r="I1026" s="15" t="s">
        <v>118</v>
      </c>
      <c r="J1026" s="34" t="n">
        <f aca="false">TEST_D+ROUNDUP(Packages!$O$98/R_TEST,0)</f>
        <v>3</v>
      </c>
      <c r="K1026" s="34" t="n">
        <f aca="false">IF(J1026=0,0,ROUNDUP(J1026*7/WD,0))</f>
        <v>4</v>
      </c>
      <c r="L1026" s="15" t="s">
        <v>4405</v>
      </c>
      <c r="M1026" s="34" t="n">
        <f aca="false">ROUNDUP(K1025*LADDER,0)</f>
        <v>1</v>
      </c>
      <c r="N1026" s="34" t="n">
        <f aca="false">IF(K1026=0,0,FFLAG)</f>
        <v>2</v>
      </c>
      <c r="O1026" s="15"/>
      <c r="P1026" s="16" t="n">
        <f aca="false">MAX(P1025+M1026)</f>
        <v>46577</v>
      </c>
      <c r="Q1026" s="16" t="n">
        <f aca="false">MAX(P1026+K1026,Q1025+N1026)</f>
        <v>46584</v>
      </c>
      <c r="R1026" s="12"/>
      <c r="S1026" s="12"/>
    </row>
    <row r="1027" customFormat="false" ht="15" hidden="false" customHeight="false" outlineLevel="0" collapsed="false">
      <c r="A1027" s="15" t="s">
        <v>4407</v>
      </c>
      <c r="B1027" s="15" t="s">
        <v>4395</v>
      </c>
      <c r="C1027" s="15" t="s">
        <v>397</v>
      </c>
      <c r="D1027" s="15" t="s">
        <v>873</v>
      </c>
      <c r="E1027" s="15" t="s">
        <v>943</v>
      </c>
      <c r="F1027" s="15" t="s">
        <v>3031</v>
      </c>
      <c r="G1027" s="15" t="s">
        <v>3032</v>
      </c>
      <c r="H1027" s="33" t="n">
        <f aca="false">Packages!$AB$98</f>
        <v>326.890526116301</v>
      </c>
      <c r="I1027" s="15" t="s">
        <v>3019</v>
      </c>
      <c r="J1027" s="34" t="n">
        <f aca="false">MAX(1,ROUNDUP(Packages!$AB$98/(R_BF*Fronts!$M$9),0))</f>
        <v>1</v>
      </c>
      <c r="K1027" s="34" t="n">
        <f aca="false">IF(J1027=0,0,ROUNDUP(J1027*7/WD,0))</f>
        <v>2</v>
      </c>
      <c r="L1027" s="15" t="s">
        <v>4406</v>
      </c>
      <c r="M1027" s="34" t="n">
        <f aca="false">ROUNDUP(K1026*LADDER,0)</f>
        <v>2</v>
      </c>
      <c r="N1027" s="34" t="n">
        <f aca="false">IF(K1027=0,0,FFLAG)</f>
        <v>2</v>
      </c>
      <c r="O1027" s="15" t="s">
        <v>4408</v>
      </c>
      <c r="P1027" s="16" t="n">
        <f aca="false">MAX(P1026+M1027,R1016,Q1003)</f>
        <v>46596</v>
      </c>
      <c r="Q1027" s="16" t="n">
        <f aca="false">MAX(P1027+K1027,Q1026+N1027)</f>
        <v>46598</v>
      </c>
      <c r="R1027" s="16" t="n">
        <f aca="false">IF(K1027&gt;0,Q1027,R1016)</f>
        <v>46598</v>
      </c>
      <c r="S1027" s="15" t="s">
        <v>4391</v>
      </c>
    </row>
    <row r="1028" customFormat="false" ht="15" hidden="false" customHeight="false" outlineLevel="0" collapsed="false">
      <c r="A1028" s="15" t="s">
        <v>4409</v>
      </c>
      <c r="B1028" s="15" t="s">
        <v>4395</v>
      </c>
      <c r="C1028" s="15" t="s">
        <v>397</v>
      </c>
      <c r="D1028" s="15" t="s">
        <v>873</v>
      </c>
      <c r="E1028" s="15" t="s">
        <v>943</v>
      </c>
      <c r="F1028" s="15" t="s">
        <v>3034</v>
      </c>
      <c r="G1028" s="15" t="s">
        <v>3035</v>
      </c>
      <c r="H1028" s="33" t="n">
        <f aca="false">Packages!$AD$98</f>
        <v>0</v>
      </c>
      <c r="I1028" s="15" t="s">
        <v>3012</v>
      </c>
      <c r="J1028" s="34" t="n">
        <f aca="false">IF(Packages!$AD$98&gt;0,ROUNDUP(Packages!$AD$98/R_EXT,0),0)+IF(Packages!$AG$98&gt;0,1,0)</f>
        <v>1</v>
      </c>
      <c r="K1028" s="34" t="n">
        <f aca="false">IF(J1028=0,0,ROUNDUP(J1028*7/WD,0))</f>
        <v>2</v>
      </c>
      <c r="L1028" s="15" t="s">
        <v>4407</v>
      </c>
      <c r="M1028" s="34" t="n">
        <f aca="false">ROUNDUP(K1027*LADDER,0)</f>
        <v>1</v>
      </c>
      <c r="N1028" s="34" t="n">
        <f aca="false">IF(K1028=0,0,FFLAG)</f>
        <v>2</v>
      </c>
      <c r="O1028" s="15"/>
      <c r="P1028" s="16" t="n">
        <f aca="false">MAX(P1027+M1028)</f>
        <v>46597</v>
      </c>
      <c r="Q1028" s="16" t="n">
        <f aca="false">MAX(P1028+K1028,Q1027+N1028)</f>
        <v>46600</v>
      </c>
      <c r="R1028" s="12"/>
      <c r="S1028" s="12"/>
    </row>
    <row r="1029" customFormat="false" ht="15" hidden="false" customHeight="false" outlineLevel="0" collapsed="false">
      <c r="A1029" s="15" t="s">
        <v>4410</v>
      </c>
      <c r="B1029" s="15" t="s">
        <v>4411</v>
      </c>
      <c r="C1029" s="15" t="s">
        <v>397</v>
      </c>
      <c r="D1029" s="15" t="s">
        <v>873</v>
      </c>
      <c r="E1029" s="15" t="s">
        <v>926</v>
      </c>
      <c r="F1029" s="15" t="s">
        <v>2998</v>
      </c>
      <c r="G1029" s="15" t="s">
        <v>2999</v>
      </c>
      <c r="H1029" s="12"/>
      <c r="I1029" s="12"/>
      <c r="J1029" s="34" t="n">
        <f aca="false">0</f>
        <v>0</v>
      </c>
      <c r="K1029" s="34" t="n">
        <f aca="false">IF(J1029=0,0,ROUNDUP(J1029*7/WD,0))</f>
        <v>0</v>
      </c>
      <c r="L1029" s="12"/>
      <c r="M1029" s="12"/>
      <c r="N1029" s="12"/>
      <c r="O1029" s="15" t="s">
        <v>3000</v>
      </c>
      <c r="P1029" s="16" t="n">
        <f aca="false">MAX(START,D_DLU,Packages!$I$99,Packages!$K$99)</f>
        <v>46357</v>
      </c>
      <c r="Q1029" s="16" t="n">
        <f aca="false">P1029+K1029</f>
        <v>46357</v>
      </c>
      <c r="R1029" s="12"/>
      <c r="S1029" s="12"/>
    </row>
    <row r="1030" customFormat="false" ht="15" hidden="false" customHeight="false" outlineLevel="0" collapsed="false">
      <c r="A1030" s="15" t="s">
        <v>4412</v>
      </c>
      <c r="B1030" s="15" t="s">
        <v>4411</v>
      </c>
      <c r="C1030" s="15" t="s">
        <v>397</v>
      </c>
      <c r="D1030" s="15" t="s">
        <v>873</v>
      </c>
      <c r="E1030" s="15" t="s">
        <v>926</v>
      </c>
      <c r="F1030" s="15" t="s">
        <v>3002</v>
      </c>
      <c r="G1030" s="15" t="s">
        <v>205</v>
      </c>
      <c r="H1030" s="33" t="n">
        <f aca="false">Packages!$O$99</f>
        <v>39.043511490623</v>
      </c>
      <c r="I1030" s="15" t="s">
        <v>118</v>
      </c>
      <c r="J1030" s="34" t="n">
        <f aca="false">MAX(1,ROUNDUP(Packages!$O$99/R_PLAT,0))</f>
        <v>1</v>
      </c>
      <c r="K1030" s="34" t="n">
        <f aca="false">IF(J1030=0,0,ROUNDUP(J1030*7/WD,0))</f>
        <v>2</v>
      </c>
      <c r="L1030" s="15" t="s">
        <v>4410</v>
      </c>
      <c r="M1030" s="12"/>
      <c r="N1030" s="12"/>
      <c r="O1030" s="15" t="s">
        <v>4413</v>
      </c>
      <c r="P1030" s="16" t="n">
        <f aca="false">MAX(Q1029,P1020)</f>
        <v>46406</v>
      </c>
      <c r="Q1030" s="16" t="n">
        <f aca="false">P1030+K1030</f>
        <v>46408</v>
      </c>
      <c r="R1030" s="12"/>
      <c r="S1030" s="12"/>
    </row>
    <row r="1031" customFormat="false" ht="15" hidden="false" customHeight="false" outlineLevel="0" collapsed="false">
      <c r="A1031" s="15" t="s">
        <v>4414</v>
      </c>
      <c r="B1031" s="15" t="s">
        <v>4411</v>
      </c>
      <c r="C1031" s="15" t="s">
        <v>397</v>
      </c>
      <c r="D1031" s="15" t="s">
        <v>873</v>
      </c>
      <c r="E1031" s="15" t="s">
        <v>926</v>
      </c>
      <c r="F1031" s="15" t="s">
        <v>3005</v>
      </c>
      <c r="G1031" s="15" t="s">
        <v>3006</v>
      </c>
      <c r="H1031" s="33" t="n">
        <f aca="false">Packages!$AC$99</f>
        <v>30</v>
      </c>
      <c r="I1031" s="15" t="s">
        <v>3007</v>
      </c>
      <c r="J1031" s="34" t="n">
        <f aca="false">IF(Packages!$AC$99=0,0,MAX(1,ROUNDUP(Packages!$AC$99/(R_PILE*Fronts!$H$9),0)))</f>
        <v>6</v>
      </c>
      <c r="K1031" s="34" t="n">
        <f aca="false">IF(J1031=0,0,ROUNDUP(J1031*7/WD,0))</f>
        <v>7</v>
      </c>
      <c r="L1031" s="15" t="s">
        <v>4412</v>
      </c>
      <c r="M1031" s="34" t="n">
        <f aca="false">ROUNDUP(K1030*LADDER,0)</f>
        <v>1</v>
      </c>
      <c r="N1031" s="34" t="n">
        <f aca="false">IF(K1031=0,0,FFLAG)</f>
        <v>2</v>
      </c>
      <c r="O1031" s="15" t="s">
        <v>3008</v>
      </c>
      <c r="P1031" s="16" t="n">
        <f aca="false">MAX(P1030+M1031,D_PILEDES,R1020)</f>
        <v>46412</v>
      </c>
      <c r="Q1031" s="16" t="n">
        <f aca="false">MAX(P1031+K1031,Q1030+N1031)</f>
        <v>46419</v>
      </c>
      <c r="R1031" s="16" t="n">
        <f aca="false">IF(K1031&gt;0,Q1031,R1020)</f>
        <v>46419</v>
      </c>
      <c r="S1031" s="15" t="s">
        <v>4398</v>
      </c>
    </row>
    <row r="1032" customFormat="false" ht="15" hidden="false" customHeight="false" outlineLevel="0" collapsed="false">
      <c r="A1032" s="15" t="s">
        <v>4415</v>
      </c>
      <c r="B1032" s="15" t="s">
        <v>4411</v>
      </c>
      <c r="C1032" s="15" t="s">
        <v>397</v>
      </c>
      <c r="D1032" s="15" t="s">
        <v>873</v>
      </c>
      <c r="E1032" s="15" t="s">
        <v>926</v>
      </c>
      <c r="F1032" s="15" t="s">
        <v>3010</v>
      </c>
      <c r="G1032" s="15" t="s">
        <v>3011</v>
      </c>
      <c r="H1032" s="33" t="n">
        <f aca="false">Packages!$AD$99</f>
        <v>0</v>
      </c>
      <c r="I1032" s="15" t="s">
        <v>3012</v>
      </c>
      <c r="J1032" s="34" t="n">
        <f aca="false">IF(Packages!$AD$99=0,0,MAX(1,ROUNDUP(Packages!$AD$99/(R_SHEET*Fronts!$I$9),0)))</f>
        <v>0</v>
      </c>
      <c r="K1032" s="34" t="n">
        <f aca="false">IF(J1032=0,0,ROUNDUP(J1032*7/WD,0))</f>
        <v>0</v>
      </c>
      <c r="L1032" s="15" t="s">
        <v>4414</v>
      </c>
      <c r="M1032" s="34" t="n">
        <f aca="false">ROUNDUP(K1031*LADDER,0)</f>
        <v>3</v>
      </c>
      <c r="N1032" s="34" t="n">
        <f aca="false">IF(K1032=0,0,FFLAG)</f>
        <v>0</v>
      </c>
      <c r="O1032" s="15"/>
      <c r="P1032" s="16" t="n">
        <f aca="false">MAX(P1031+M1032,R1021)</f>
        <v>46415</v>
      </c>
      <c r="Q1032" s="16" t="n">
        <f aca="false">MAX(P1032+K1032,Q1031+N1032)</f>
        <v>46419</v>
      </c>
      <c r="R1032" s="16" t="n">
        <f aca="false">IF(K1032&gt;0,Q1032,R1021)</f>
        <v>46395</v>
      </c>
      <c r="S1032" s="15" t="s">
        <v>4399</v>
      </c>
    </row>
    <row r="1033" customFormat="false" ht="15" hidden="false" customHeight="false" outlineLevel="0" collapsed="false">
      <c r="A1033" s="15" t="s">
        <v>4416</v>
      </c>
      <c r="B1033" s="15" t="s">
        <v>4411</v>
      </c>
      <c r="C1033" s="15" t="s">
        <v>397</v>
      </c>
      <c r="D1033" s="15" t="s">
        <v>873</v>
      </c>
      <c r="E1033" s="15" t="s">
        <v>926</v>
      </c>
      <c r="F1033" s="15" t="s">
        <v>3014</v>
      </c>
      <c r="G1033" s="15" t="s">
        <v>3015</v>
      </c>
      <c r="H1033" s="33" t="n">
        <f aca="false">Packages!$O$99</f>
        <v>39.043511490623</v>
      </c>
      <c r="I1033" s="15" t="s">
        <v>118</v>
      </c>
      <c r="J1033" s="34" t="n">
        <f aca="false">IF(Packages!$AG$99=0,0,ROUNDUP(Packages!$O$99/R_DW,0)+DW_DRAW)</f>
        <v>8</v>
      </c>
      <c r="K1033" s="34" t="n">
        <f aca="false">IF(J1033=0,0,ROUNDUP(J1033*7/WD,0))</f>
        <v>10</v>
      </c>
      <c r="L1033" s="15" t="s">
        <v>4415</v>
      </c>
      <c r="M1033" s="34" t="n">
        <f aca="false">ROUNDUP(K1032*LADDER,0)</f>
        <v>0</v>
      </c>
      <c r="N1033" s="34" t="n">
        <f aca="false">IF(K1033=0,0,FFLAG)</f>
        <v>2</v>
      </c>
      <c r="O1033" s="15" t="s">
        <v>4417</v>
      </c>
      <c r="P1033" s="16" t="n">
        <f aca="false">MAX(P1032+M1033,Q1023-K1033)</f>
        <v>46553</v>
      </c>
      <c r="Q1033" s="16" t="n">
        <f aca="false">MAX(P1033+K1033,Q1032+N1033)</f>
        <v>46563</v>
      </c>
      <c r="R1033" s="12"/>
      <c r="S1033" s="12"/>
    </row>
    <row r="1034" customFormat="false" ht="15" hidden="false" customHeight="false" outlineLevel="0" collapsed="false">
      <c r="A1034" s="15" t="s">
        <v>4418</v>
      </c>
      <c r="B1034" s="15" t="s">
        <v>4411</v>
      </c>
      <c r="C1034" s="15" t="s">
        <v>397</v>
      </c>
      <c r="D1034" s="15" t="s">
        <v>873</v>
      </c>
      <c r="E1034" s="15" t="s">
        <v>926</v>
      </c>
      <c r="F1034" s="15" t="s">
        <v>3017</v>
      </c>
      <c r="G1034" s="15" t="s">
        <v>3018</v>
      </c>
      <c r="H1034" s="33" t="n">
        <f aca="false">Packages!$X$99+Packages!$Y$99</f>
        <v>641.750110620644</v>
      </c>
      <c r="I1034" s="15" t="s">
        <v>3019</v>
      </c>
      <c r="J1034" s="34" t="n">
        <f aca="false">MAX(1,ROUNDUP((Packages!$X$99/R_EXS+Packages!$Y$99/R_EXO)/Fronts!$J$9,0))</f>
        <v>2</v>
      </c>
      <c r="K1034" s="34" t="n">
        <f aca="false">IF(J1034=0,0,ROUNDUP(J1034*7/WD,0))</f>
        <v>3</v>
      </c>
      <c r="L1034" s="15" t="s">
        <v>4416</v>
      </c>
      <c r="M1034" s="34" t="n">
        <f aca="false">IF(K1033=0,0,ROUNDUP((K1033-ROUNDUP(DW_DRAW*7/WD,0))*LADDER,0)+ROUNDUP(DW_DRAW*7/WD,0))</f>
        <v>10</v>
      </c>
      <c r="N1034" s="34" t="n">
        <f aca="false">IF(K1034=0,0,FFLAG)</f>
        <v>2</v>
      </c>
      <c r="O1034" s="15" t="s">
        <v>4403</v>
      </c>
      <c r="P1034" s="16" t="n">
        <f aca="false">MAX(P1033+M1034,R1023,P1001)</f>
        <v>46563</v>
      </c>
      <c r="Q1034" s="16" t="n">
        <f aca="false">MAX(P1034+K1034,Q1033+N1034)</f>
        <v>46566</v>
      </c>
      <c r="R1034" s="16" t="n">
        <f aca="false">IF(K1034&gt;0,Q1034,R1023)</f>
        <v>46566</v>
      </c>
      <c r="S1034" s="15" t="s">
        <v>4402</v>
      </c>
    </row>
    <row r="1035" customFormat="false" ht="15" hidden="false" customHeight="false" outlineLevel="0" collapsed="false">
      <c r="A1035" s="15" t="s">
        <v>4419</v>
      </c>
      <c r="B1035" s="15" t="s">
        <v>4411</v>
      </c>
      <c r="C1035" s="15" t="s">
        <v>397</v>
      </c>
      <c r="D1035" s="15" t="s">
        <v>873</v>
      </c>
      <c r="E1035" s="15" t="s">
        <v>926</v>
      </c>
      <c r="F1035" s="15" t="s">
        <v>3022</v>
      </c>
      <c r="G1035" s="15" t="s">
        <v>3023</v>
      </c>
      <c r="H1035" s="33" t="n">
        <f aca="false">Packages!$O$99</f>
        <v>39.043511490623</v>
      </c>
      <c r="I1035" s="15" t="s">
        <v>118</v>
      </c>
      <c r="J1035" s="34" t="n">
        <f aca="false">MAX(1,ROUNDUP(Packages!$O$99/(R_SLAB*Fronts!$K$9),0))+SLAB_CURE</f>
        <v>7</v>
      </c>
      <c r="K1035" s="34" t="n">
        <f aca="false">IF(J1035=0,0,ROUNDUP(J1035*7/WD,0))</f>
        <v>9</v>
      </c>
      <c r="L1035" s="15" t="s">
        <v>4418</v>
      </c>
      <c r="M1035" s="34" t="n">
        <f aca="false">ROUNDUP(K1034*LADDER,0)</f>
        <v>1</v>
      </c>
      <c r="N1035" s="34" t="n">
        <f aca="false">IF(K1035=0,0,FFLAG)</f>
        <v>2</v>
      </c>
      <c r="O1035" s="15"/>
      <c r="P1035" s="16" t="n">
        <f aca="false">MAX(P1034+M1035,R1024)</f>
        <v>46580</v>
      </c>
      <c r="Q1035" s="16" t="n">
        <f aca="false">MAX(P1035+K1035,Q1034+N1035)</f>
        <v>46589</v>
      </c>
      <c r="R1035" s="16" t="n">
        <f aca="false">IF(K1035&gt;0,Q1035,R1024)</f>
        <v>46589</v>
      </c>
      <c r="S1035" s="15" t="s">
        <v>4404</v>
      </c>
    </row>
    <row r="1036" customFormat="false" ht="15" hidden="false" customHeight="false" outlineLevel="0" collapsed="false">
      <c r="A1036" s="15" t="s">
        <v>4420</v>
      </c>
      <c r="B1036" s="15" t="s">
        <v>4411</v>
      </c>
      <c r="C1036" s="15" t="s">
        <v>397</v>
      </c>
      <c r="D1036" s="15" t="s">
        <v>873</v>
      </c>
      <c r="E1036" s="15" t="s">
        <v>926</v>
      </c>
      <c r="F1036" s="15" t="s">
        <v>3025</v>
      </c>
      <c r="G1036" s="15" t="s">
        <v>3026</v>
      </c>
      <c r="H1036" s="33" t="n">
        <f aca="false">Packages!$O$99</f>
        <v>39.043511490623</v>
      </c>
      <c r="I1036" s="15" t="s">
        <v>118</v>
      </c>
      <c r="J1036" s="34" t="n">
        <f aca="false">MAX(1,ROUNDUP(Packages!$O$99/(IF(Packages!$N$99&gt;=PIPE_T1,R_PIPE_L,IF(Packages!$N$99&gt;=PIPE_T2,R_PIPE_M,R_PIPE_S))*Fronts!$L$9)+Packages!$M$99*FIT_D+IF(Packages!$G$99&lt;&gt;"Run",TIE_D,0),0))</f>
        <v>2</v>
      </c>
      <c r="K1036" s="34" t="n">
        <f aca="false">IF(J1036=0,0,ROUNDUP(J1036*7/WD,0))</f>
        <v>3</v>
      </c>
      <c r="L1036" s="15" t="s">
        <v>4419</v>
      </c>
      <c r="M1036" s="34" t="n">
        <f aca="false">ROUNDUP(K1035*LADDER,0)</f>
        <v>3</v>
      </c>
      <c r="N1036" s="34" t="n">
        <f aca="false">IF(K1036=0,0,FFLAG)</f>
        <v>2</v>
      </c>
      <c r="O1036" s="15"/>
      <c r="P1036" s="16" t="n">
        <f aca="false">MAX(P1035+M1036,R1025)</f>
        <v>46583</v>
      </c>
      <c r="Q1036" s="16" t="n">
        <f aca="false">MAX(P1036+K1036,Q1035+N1036)</f>
        <v>46591</v>
      </c>
      <c r="R1036" s="16" t="n">
        <f aca="false">IF(K1036&gt;0,Q1036,R1025)</f>
        <v>46591</v>
      </c>
      <c r="S1036" s="15" t="s">
        <v>4405</v>
      </c>
    </row>
    <row r="1037" customFormat="false" ht="15" hidden="false" customHeight="false" outlineLevel="0" collapsed="false">
      <c r="A1037" s="15" t="s">
        <v>4421</v>
      </c>
      <c r="B1037" s="15" t="s">
        <v>4411</v>
      </c>
      <c r="C1037" s="15" t="s">
        <v>397</v>
      </c>
      <c r="D1037" s="15" t="s">
        <v>873</v>
      </c>
      <c r="E1037" s="15" t="s">
        <v>926</v>
      </c>
      <c r="F1037" s="15" t="s">
        <v>3028</v>
      </c>
      <c r="G1037" s="15" t="s">
        <v>3029</v>
      </c>
      <c r="H1037" s="33" t="n">
        <f aca="false">Packages!$O$99</f>
        <v>39.043511490623</v>
      </c>
      <c r="I1037" s="15" t="s">
        <v>118</v>
      </c>
      <c r="J1037" s="34" t="n">
        <f aca="false">TEST_D+ROUNDUP(Packages!$O$99/R_TEST,0)</f>
        <v>3</v>
      </c>
      <c r="K1037" s="34" t="n">
        <f aca="false">IF(J1037=0,0,ROUNDUP(J1037*7/WD,0))</f>
        <v>4</v>
      </c>
      <c r="L1037" s="15" t="s">
        <v>4420</v>
      </c>
      <c r="M1037" s="34" t="n">
        <f aca="false">ROUNDUP(K1036*LADDER,0)</f>
        <v>1</v>
      </c>
      <c r="N1037" s="34" t="n">
        <f aca="false">IF(K1037=0,0,FFLAG)</f>
        <v>2</v>
      </c>
      <c r="O1037" s="15"/>
      <c r="P1037" s="16" t="n">
        <f aca="false">MAX(P1036+M1037)</f>
        <v>46584</v>
      </c>
      <c r="Q1037" s="16" t="n">
        <f aca="false">MAX(P1037+K1037,Q1036+N1037)</f>
        <v>46593</v>
      </c>
      <c r="R1037" s="12"/>
      <c r="S1037" s="12"/>
    </row>
    <row r="1038" customFormat="false" ht="15" hidden="false" customHeight="false" outlineLevel="0" collapsed="false">
      <c r="A1038" s="15" t="s">
        <v>4422</v>
      </c>
      <c r="B1038" s="15" t="s">
        <v>4411</v>
      </c>
      <c r="C1038" s="15" t="s">
        <v>397</v>
      </c>
      <c r="D1038" s="15" t="s">
        <v>873</v>
      </c>
      <c r="E1038" s="15" t="s">
        <v>926</v>
      </c>
      <c r="F1038" s="15" t="s">
        <v>3031</v>
      </c>
      <c r="G1038" s="15" t="s">
        <v>3032</v>
      </c>
      <c r="H1038" s="33" t="n">
        <f aca="false">Packages!$AB$99</f>
        <v>512.279558139941</v>
      </c>
      <c r="I1038" s="15" t="s">
        <v>3019</v>
      </c>
      <c r="J1038" s="34" t="n">
        <f aca="false">MAX(1,ROUNDUP(Packages!$AB$99/(R_BF*Fronts!$M$9),0))</f>
        <v>2</v>
      </c>
      <c r="K1038" s="34" t="n">
        <f aca="false">IF(J1038=0,0,ROUNDUP(J1038*7/WD,0))</f>
        <v>3</v>
      </c>
      <c r="L1038" s="15" t="s">
        <v>4421</v>
      </c>
      <c r="M1038" s="34" t="n">
        <f aca="false">ROUNDUP(K1037*LADDER,0)</f>
        <v>2</v>
      </c>
      <c r="N1038" s="34" t="n">
        <f aca="false">IF(K1038=0,0,FFLAG)</f>
        <v>2</v>
      </c>
      <c r="O1038" s="15" t="s">
        <v>4408</v>
      </c>
      <c r="P1038" s="16" t="n">
        <f aca="false">MAX(P1037+M1038,R1027,Q1003)</f>
        <v>46598</v>
      </c>
      <c r="Q1038" s="16" t="n">
        <f aca="false">MAX(P1038+K1038,Q1037+N1038)</f>
        <v>46601</v>
      </c>
      <c r="R1038" s="16" t="n">
        <f aca="false">IF(K1038&gt;0,Q1038,R1027)</f>
        <v>46601</v>
      </c>
      <c r="S1038" s="15" t="s">
        <v>4407</v>
      </c>
    </row>
    <row r="1039" customFormat="false" ht="15" hidden="false" customHeight="false" outlineLevel="0" collapsed="false">
      <c r="A1039" s="15" t="s">
        <v>4423</v>
      </c>
      <c r="B1039" s="15" t="s">
        <v>4411</v>
      </c>
      <c r="C1039" s="15" t="s">
        <v>397</v>
      </c>
      <c r="D1039" s="15" t="s">
        <v>873</v>
      </c>
      <c r="E1039" s="15" t="s">
        <v>926</v>
      </c>
      <c r="F1039" s="15" t="s">
        <v>3034</v>
      </c>
      <c r="G1039" s="15" t="s">
        <v>3035</v>
      </c>
      <c r="H1039" s="33" t="n">
        <f aca="false">Packages!$AD$99</f>
        <v>0</v>
      </c>
      <c r="I1039" s="15" t="s">
        <v>3012</v>
      </c>
      <c r="J1039" s="34" t="n">
        <f aca="false">IF(Packages!$AD$99&gt;0,ROUNDUP(Packages!$AD$99/R_EXT,0),0)+IF(Packages!$AG$99&gt;0,1,0)</f>
        <v>1</v>
      </c>
      <c r="K1039" s="34" t="n">
        <f aca="false">IF(J1039=0,0,ROUNDUP(J1039*7/WD,0))</f>
        <v>2</v>
      </c>
      <c r="L1039" s="15" t="s">
        <v>4422</v>
      </c>
      <c r="M1039" s="34" t="n">
        <f aca="false">ROUNDUP(K1038*LADDER,0)</f>
        <v>1</v>
      </c>
      <c r="N1039" s="34" t="n">
        <f aca="false">IF(K1039=0,0,FFLAG)</f>
        <v>2</v>
      </c>
      <c r="O1039" s="15"/>
      <c r="P1039" s="16" t="n">
        <f aca="false">MAX(P1038+M1039)</f>
        <v>46599</v>
      </c>
      <c r="Q1039" s="16" t="n">
        <f aca="false">MAX(P1039+K1039,Q1038+N1039)</f>
        <v>46603</v>
      </c>
      <c r="R1039" s="12"/>
      <c r="S1039" s="12"/>
    </row>
    <row r="1040" customFormat="false" ht="15" hidden="false" customHeight="false" outlineLevel="0" collapsed="false">
      <c r="A1040" s="15" t="s">
        <v>4424</v>
      </c>
      <c r="B1040" s="15" t="s">
        <v>4425</v>
      </c>
      <c r="C1040" s="15" t="s">
        <v>397</v>
      </c>
      <c r="D1040" s="15" t="s">
        <v>873</v>
      </c>
      <c r="E1040" s="15" t="s">
        <v>919</v>
      </c>
      <c r="F1040" s="15" t="s">
        <v>2998</v>
      </c>
      <c r="G1040" s="15" t="s">
        <v>2999</v>
      </c>
      <c r="H1040" s="12"/>
      <c r="I1040" s="12"/>
      <c r="J1040" s="34" t="n">
        <f aca="false">0</f>
        <v>0</v>
      </c>
      <c r="K1040" s="34" t="n">
        <f aca="false">IF(J1040=0,0,ROUNDUP(J1040*7/WD,0))</f>
        <v>0</v>
      </c>
      <c r="L1040" s="12"/>
      <c r="M1040" s="12"/>
      <c r="N1040" s="12"/>
      <c r="O1040" s="15" t="s">
        <v>3000</v>
      </c>
      <c r="P1040" s="16" t="n">
        <f aca="false">MAX(START,D_DLU,Packages!$I$100,Packages!$K$100)</f>
        <v>46357</v>
      </c>
      <c r="Q1040" s="16" t="n">
        <f aca="false">P1040+K1040</f>
        <v>46357</v>
      </c>
      <c r="R1040" s="12"/>
      <c r="S1040" s="12"/>
    </row>
    <row r="1041" customFormat="false" ht="15" hidden="false" customHeight="false" outlineLevel="0" collapsed="false">
      <c r="A1041" s="15" t="s">
        <v>4426</v>
      </c>
      <c r="B1041" s="15" t="s">
        <v>4425</v>
      </c>
      <c r="C1041" s="15" t="s">
        <v>397</v>
      </c>
      <c r="D1041" s="15" t="s">
        <v>873</v>
      </c>
      <c r="E1041" s="15" t="s">
        <v>919</v>
      </c>
      <c r="F1041" s="15" t="s">
        <v>3002</v>
      </c>
      <c r="G1041" s="15" t="s">
        <v>205</v>
      </c>
      <c r="H1041" s="33" t="n">
        <f aca="false">Packages!$O$100</f>
        <v>15.0999999997423</v>
      </c>
      <c r="I1041" s="15" t="s">
        <v>118</v>
      </c>
      <c r="J1041" s="34" t="n">
        <f aca="false">MAX(1,ROUNDUP(Packages!$O$100/R_PLAT,0))</f>
        <v>1</v>
      </c>
      <c r="K1041" s="34" t="n">
        <f aca="false">IF(J1041=0,0,ROUNDUP(J1041*7/WD,0))</f>
        <v>2</v>
      </c>
      <c r="L1041" s="15" t="s">
        <v>4424</v>
      </c>
      <c r="M1041" s="12"/>
      <c r="N1041" s="12"/>
      <c r="O1041" s="15" t="s">
        <v>4427</v>
      </c>
      <c r="P1041" s="16" t="n">
        <f aca="false">MAX(Q1040,P1031)</f>
        <v>46412</v>
      </c>
      <c r="Q1041" s="16" t="n">
        <f aca="false">P1041+K1041</f>
        <v>46414</v>
      </c>
      <c r="R1041" s="12"/>
      <c r="S1041" s="12"/>
    </row>
    <row r="1042" customFormat="false" ht="15" hidden="false" customHeight="false" outlineLevel="0" collapsed="false">
      <c r="A1042" s="15" t="s">
        <v>4428</v>
      </c>
      <c r="B1042" s="15" t="s">
        <v>4425</v>
      </c>
      <c r="C1042" s="15" t="s">
        <v>397</v>
      </c>
      <c r="D1042" s="15" t="s">
        <v>873</v>
      </c>
      <c r="E1042" s="15" t="s">
        <v>919</v>
      </c>
      <c r="F1042" s="15" t="s">
        <v>3005</v>
      </c>
      <c r="G1042" s="15" t="s">
        <v>3006</v>
      </c>
      <c r="H1042" s="33" t="n">
        <f aca="false">Packages!$AC$100</f>
        <v>14</v>
      </c>
      <c r="I1042" s="15" t="s">
        <v>3007</v>
      </c>
      <c r="J1042" s="34" t="n">
        <f aca="false">IF(Packages!$AC$100=0,0,MAX(1,ROUNDUP(Packages!$AC$100/(R_PILE*Fronts!$H$9),0)))</f>
        <v>3</v>
      </c>
      <c r="K1042" s="34" t="n">
        <f aca="false">IF(J1042=0,0,ROUNDUP(J1042*7/WD,0))</f>
        <v>4</v>
      </c>
      <c r="L1042" s="15" t="s">
        <v>4426</v>
      </c>
      <c r="M1042" s="34" t="n">
        <f aca="false">ROUNDUP(K1041*LADDER,0)</f>
        <v>1</v>
      </c>
      <c r="N1042" s="34" t="n">
        <f aca="false">IF(K1042=0,0,FFLAG)</f>
        <v>2</v>
      </c>
      <c r="O1042" s="15" t="s">
        <v>3008</v>
      </c>
      <c r="P1042" s="16" t="n">
        <f aca="false">MAX(P1041+M1042,D_PILEDES,R1031)</f>
        <v>46419</v>
      </c>
      <c r="Q1042" s="16" t="n">
        <f aca="false">MAX(P1042+K1042,Q1041+N1042)</f>
        <v>46423</v>
      </c>
      <c r="R1042" s="16" t="n">
        <f aca="false">IF(K1042&gt;0,Q1042,R1031)</f>
        <v>46423</v>
      </c>
      <c r="S1042" s="15" t="s">
        <v>4414</v>
      </c>
    </row>
    <row r="1043" customFormat="false" ht="15" hidden="false" customHeight="false" outlineLevel="0" collapsed="false">
      <c r="A1043" s="15" t="s">
        <v>4429</v>
      </c>
      <c r="B1043" s="15" t="s">
        <v>4425</v>
      </c>
      <c r="C1043" s="15" t="s">
        <v>397</v>
      </c>
      <c r="D1043" s="15" t="s">
        <v>873</v>
      </c>
      <c r="E1043" s="15" t="s">
        <v>919</v>
      </c>
      <c r="F1043" s="15" t="s">
        <v>3010</v>
      </c>
      <c r="G1043" s="15" t="s">
        <v>3011</v>
      </c>
      <c r="H1043" s="33" t="n">
        <f aca="false">Packages!$AD$100</f>
        <v>0</v>
      </c>
      <c r="I1043" s="15" t="s">
        <v>3012</v>
      </c>
      <c r="J1043" s="34" t="n">
        <f aca="false">IF(Packages!$AD$100=0,0,MAX(1,ROUNDUP(Packages!$AD$100/(R_SHEET*Fronts!$I$9),0)))</f>
        <v>0</v>
      </c>
      <c r="K1043" s="34" t="n">
        <f aca="false">IF(J1043=0,0,ROUNDUP(J1043*7/WD,0))</f>
        <v>0</v>
      </c>
      <c r="L1043" s="15" t="s">
        <v>4428</v>
      </c>
      <c r="M1043" s="34" t="n">
        <f aca="false">ROUNDUP(K1042*LADDER,0)</f>
        <v>2</v>
      </c>
      <c r="N1043" s="34" t="n">
        <f aca="false">IF(K1043=0,0,FFLAG)</f>
        <v>0</v>
      </c>
      <c r="O1043" s="15"/>
      <c r="P1043" s="16" t="n">
        <f aca="false">MAX(P1042+M1043,R1032)</f>
        <v>46421</v>
      </c>
      <c r="Q1043" s="16" t="n">
        <f aca="false">MAX(P1043+K1043,Q1042+N1043)</f>
        <v>46423</v>
      </c>
      <c r="R1043" s="16" t="n">
        <f aca="false">IF(K1043&gt;0,Q1043,R1032)</f>
        <v>46395</v>
      </c>
      <c r="S1043" s="15" t="s">
        <v>4415</v>
      </c>
    </row>
    <row r="1044" customFormat="false" ht="15" hidden="false" customHeight="false" outlineLevel="0" collapsed="false">
      <c r="A1044" s="15" t="s">
        <v>4430</v>
      </c>
      <c r="B1044" s="15" t="s">
        <v>4425</v>
      </c>
      <c r="C1044" s="15" t="s">
        <v>397</v>
      </c>
      <c r="D1044" s="15" t="s">
        <v>873</v>
      </c>
      <c r="E1044" s="15" t="s">
        <v>919</v>
      </c>
      <c r="F1044" s="15" t="s">
        <v>3014</v>
      </c>
      <c r="G1044" s="15" t="s">
        <v>3015</v>
      </c>
      <c r="H1044" s="33" t="n">
        <f aca="false">Packages!$O$100</f>
        <v>15.0999999997423</v>
      </c>
      <c r="I1044" s="15" t="s">
        <v>118</v>
      </c>
      <c r="J1044" s="34" t="n">
        <f aca="false">IF(Packages!$AG$100=0,0,ROUNDUP(Packages!$O$100/R_DW,0)+DW_DRAW)</f>
        <v>8</v>
      </c>
      <c r="K1044" s="34" t="n">
        <f aca="false">IF(J1044=0,0,ROUNDUP(J1044*7/WD,0))</f>
        <v>10</v>
      </c>
      <c r="L1044" s="15" t="s">
        <v>4429</v>
      </c>
      <c r="M1044" s="34" t="n">
        <f aca="false">ROUNDUP(K1043*LADDER,0)</f>
        <v>0</v>
      </c>
      <c r="N1044" s="34" t="n">
        <f aca="false">IF(K1044=0,0,FFLAG)</f>
        <v>2</v>
      </c>
      <c r="O1044" s="15" t="s">
        <v>4431</v>
      </c>
      <c r="P1044" s="16" t="n">
        <f aca="false">MAX(P1043+M1044,Q1034-K1044)</f>
        <v>46556</v>
      </c>
      <c r="Q1044" s="16" t="n">
        <f aca="false">MAX(P1044+K1044,Q1043+N1044)</f>
        <v>46566</v>
      </c>
      <c r="R1044" s="12"/>
      <c r="S1044" s="12"/>
    </row>
    <row r="1045" customFormat="false" ht="15" hidden="false" customHeight="false" outlineLevel="0" collapsed="false">
      <c r="A1045" s="15" t="s">
        <v>4432</v>
      </c>
      <c r="B1045" s="15" t="s">
        <v>4425</v>
      </c>
      <c r="C1045" s="15" t="s">
        <v>397</v>
      </c>
      <c r="D1045" s="15" t="s">
        <v>873</v>
      </c>
      <c r="E1045" s="15" t="s">
        <v>919</v>
      </c>
      <c r="F1045" s="15" t="s">
        <v>3017</v>
      </c>
      <c r="G1045" s="15" t="s">
        <v>3018</v>
      </c>
      <c r="H1045" s="33" t="n">
        <f aca="false">Packages!$X$100+Packages!$Y$100</f>
        <v>247.968521166883</v>
      </c>
      <c r="I1045" s="15" t="s">
        <v>3019</v>
      </c>
      <c r="J1045" s="34" t="n">
        <f aca="false">MAX(1,ROUNDUP((Packages!$X$100/R_EXS+Packages!$Y$100/R_EXO)/Fronts!$J$9,0))</f>
        <v>1</v>
      </c>
      <c r="K1045" s="34" t="n">
        <f aca="false">IF(J1045=0,0,ROUNDUP(J1045*7/WD,0))</f>
        <v>2</v>
      </c>
      <c r="L1045" s="15" t="s">
        <v>4430</v>
      </c>
      <c r="M1045" s="34" t="n">
        <f aca="false">IF(K1044=0,0,ROUNDUP((K1044-ROUNDUP(DW_DRAW*7/WD,0))*LADDER,0)+ROUNDUP(DW_DRAW*7/WD,0))</f>
        <v>10</v>
      </c>
      <c r="N1045" s="34" t="n">
        <f aca="false">IF(K1045=0,0,FFLAG)</f>
        <v>2</v>
      </c>
      <c r="O1045" s="15" t="s">
        <v>4433</v>
      </c>
      <c r="P1045" s="16" t="n">
        <f aca="false">MAX(P1044+M1045,R1034,Q246)</f>
        <v>46566</v>
      </c>
      <c r="Q1045" s="16" t="n">
        <f aca="false">MAX(P1045+K1045,Q1044+N1045)</f>
        <v>46568</v>
      </c>
      <c r="R1045" s="16" t="n">
        <f aca="false">IF(K1045&gt;0,Q1045,R1034)</f>
        <v>46568</v>
      </c>
      <c r="S1045" s="15" t="s">
        <v>4418</v>
      </c>
    </row>
    <row r="1046" customFormat="false" ht="15" hidden="false" customHeight="false" outlineLevel="0" collapsed="false">
      <c r="A1046" s="15" t="s">
        <v>4434</v>
      </c>
      <c r="B1046" s="15" t="s">
        <v>4425</v>
      </c>
      <c r="C1046" s="15" t="s">
        <v>397</v>
      </c>
      <c r="D1046" s="15" t="s">
        <v>873</v>
      </c>
      <c r="E1046" s="15" t="s">
        <v>919</v>
      </c>
      <c r="F1046" s="15" t="s">
        <v>3022</v>
      </c>
      <c r="G1046" s="15" t="s">
        <v>3023</v>
      </c>
      <c r="H1046" s="33" t="n">
        <f aca="false">Packages!$O$100</f>
        <v>15.0999999997423</v>
      </c>
      <c r="I1046" s="15" t="s">
        <v>118</v>
      </c>
      <c r="J1046" s="34" t="n">
        <f aca="false">MAX(1,ROUNDUP(Packages!$O$100/(R_SLAB*Fronts!$K$9),0))+SLAB_CURE</f>
        <v>5</v>
      </c>
      <c r="K1046" s="34" t="n">
        <f aca="false">IF(J1046=0,0,ROUNDUP(J1046*7/WD,0))</f>
        <v>6</v>
      </c>
      <c r="L1046" s="15" t="s">
        <v>4432</v>
      </c>
      <c r="M1046" s="34" t="n">
        <f aca="false">ROUNDUP(K1045*LADDER,0)</f>
        <v>1</v>
      </c>
      <c r="N1046" s="34" t="n">
        <f aca="false">IF(K1046=0,0,FFLAG)</f>
        <v>2</v>
      </c>
      <c r="O1046" s="15"/>
      <c r="P1046" s="16" t="n">
        <f aca="false">MAX(P1045+M1046,R1035)</f>
        <v>46589</v>
      </c>
      <c r="Q1046" s="16" t="n">
        <f aca="false">MAX(P1046+K1046,Q1045+N1046)</f>
        <v>46595</v>
      </c>
      <c r="R1046" s="16" t="n">
        <f aca="false">IF(K1046&gt;0,Q1046,R1035)</f>
        <v>46595</v>
      </c>
      <c r="S1046" s="15" t="s">
        <v>4419</v>
      </c>
    </row>
    <row r="1047" customFormat="false" ht="15" hidden="false" customHeight="false" outlineLevel="0" collapsed="false">
      <c r="A1047" s="15" t="s">
        <v>4435</v>
      </c>
      <c r="B1047" s="15" t="s">
        <v>4425</v>
      </c>
      <c r="C1047" s="15" t="s">
        <v>397</v>
      </c>
      <c r="D1047" s="15" t="s">
        <v>873</v>
      </c>
      <c r="E1047" s="15" t="s">
        <v>919</v>
      </c>
      <c r="F1047" s="15" t="s">
        <v>3025</v>
      </c>
      <c r="G1047" s="15" t="s">
        <v>3026</v>
      </c>
      <c r="H1047" s="33" t="n">
        <f aca="false">Packages!$O$100</f>
        <v>15.0999999997423</v>
      </c>
      <c r="I1047" s="15" t="s">
        <v>118</v>
      </c>
      <c r="J1047" s="34" t="n">
        <f aca="false">MAX(1,ROUNDUP(Packages!$O$100/(IF(Packages!$N$100&gt;=PIPE_T1,R_PIPE_L,IF(Packages!$N$100&gt;=PIPE_T2,R_PIPE_M,R_PIPE_S))*Fronts!$L$9)+Packages!$M$100*FIT_D+IF(Packages!$G$100&lt;&gt;"Run",TIE_D,0),0))</f>
        <v>2</v>
      </c>
      <c r="K1047" s="34" t="n">
        <f aca="false">IF(J1047=0,0,ROUNDUP(J1047*7/WD,0))</f>
        <v>3</v>
      </c>
      <c r="L1047" s="15" t="s">
        <v>4434</v>
      </c>
      <c r="M1047" s="34" t="n">
        <f aca="false">ROUNDUP(K1046*LADDER,0)</f>
        <v>2</v>
      </c>
      <c r="N1047" s="34" t="n">
        <f aca="false">IF(K1047=0,0,FFLAG)</f>
        <v>2</v>
      </c>
      <c r="O1047" s="15"/>
      <c r="P1047" s="16" t="n">
        <f aca="false">MAX(P1046+M1047,R1036)</f>
        <v>46591</v>
      </c>
      <c r="Q1047" s="16" t="n">
        <f aca="false">MAX(P1047+K1047,Q1046+N1047)</f>
        <v>46597</v>
      </c>
      <c r="R1047" s="16" t="n">
        <f aca="false">IF(K1047&gt;0,Q1047,R1036)</f>
        <v>46597</v>
      </c>
      <c r="S1047" s="15" t="s">
        <v>4420</v>
      </c>
    </row>
    <row r="1048" customFormat="false" ht="15" hidden="false" customHeight="false" outlineLevel="0" collapsed="false">
      <c r="A1048" s="15" t="s">
        <v>4436</v>
      </c>
      <c r="B1048" s="15" t="s">
        <v>4425</v>
      </c>
      <c r="C1048" s="15" t="s">
        <v>397</v>
      </c>
      <c r="D1048" s="15" t="s">
        <v>873</v>
      </c>
      <c r="E1048" s="15" t="s">
        <v>919</v>
      </c>
      <c r="F1048" s="15" t="s">
        <v>3028</v>
      </c>
      <c r="G1048" s="15" t="s">
        <v>3029</v>
      </c>
      <c r="H1048" s="33" t="n">
        <f aca="false">Packages!$O$100</f>
        <v>15.0999999997423</v>
      </c>
      <c r="I1048" s="15" t="s">
        <v>118</v>
      </c>
      <c r="J1048" s="34" t="n">
        <f aca="false">TEST_D+ROUNDUP(Packages!$O$100/R_TEST,0)</f>
        <v>3</v>
      </c>
      <c r="K1048" s="34" t="n">
        <f aca="false">IF(J1048=0,0,ROUNDUP(J1048*7/WD,0))</f>
        <v>4</v>
      </c>
      <c r="L1048" s="15" t="s">
        <v>4435</v>
      </c>
      <c r="M1048" s="34" t="n">
        <f aca="false">ROUNDUP(K1047*LADDER,0)</f>
        <v>1</v>
      </c>
      <c r="N1048" s="34" t="n">
        <f aca="false">IF(K1048=0,0,FFLAG)</f>
        <v>2</v>
      </c>
      <c r="O1048" s="15"/>
      <c r="P1048" s="16" t="n">
        <f aca="false">MAX(P1047+M1048)</f>
        <v>46592</v>
      </c>
      <c r="Q1048" s="16" t="n">
        <f aca="false">MAX(P1048+K1048,Q1047+N1048)</f>
        <v>46599</v>
      </c>
      <c r="R1048" s="12"/>
      <c r="S1048" s="12"/>
    </row>
    <row r="1049" customFormat="false" ht="15" hidden="false" customHeight="false" outlineLevel="0" collapsed="false">
      <c r="A1049" s="15" t="s">
        <v>4437</v>
      </c>
      <c r="B1049" s="15" t="s">
        <v>4425</v>
      </c>
      <c r="C1049" s="15" t="s">
        <v>397</v>
      </c>
      <c r="D1049" s="15" t="s">
        <v>873</v>
      </c>
      <c r="E1049" s="15" t="s">
        <v>919</v>
      </c>
      <c r="F1049" s="15" t="s">
        <v>3031</v>
      </c>
      <c r="G1049" s="15" t="s">
        <v>3032</v>
      </c>
      <c r="H1049" s="33" t="n">
        <f aca="false">Packages!$AB$100</f>
        <v>197.978412160288</v>
      </c>
      <c r="I1049" s="15" t="s">
        <v>3019</v>
      </c>
      <c r="J1049" s="34" t="n">
        <f aca="false">MAX(1,ROUNDUP(Packages!$AB$100/(R_BF*Fronts!$M$9),0))</f>
        <v>1</v>
      </c>
      <c r="K1049" s="34" t="n">
        <f aca="false">IF(J1049=0,0,ROUNDUP(J1049*7/WD,0))</f>
        <v>2</v>
      </c>
      <c r="L1049" s="15" t="s">
        <v>4436</v>
      </c>
      <c r="M1049" s="34" t="n">
        <f aca="false">ROUNDUP(K1048*LADDER,0)</f>
        <v>2</v>
      </c>
      <c r="N1049" s="34" t="n">
        <f aca="false">IF(K1049=0,0,FFLAG)</f>
        <v>2</v>
      </c>
      <c r="O1049" s="15"/>
      <c r="P1049" s="16" t="n">
        <f aca="false">MAX(P1048+M1049,R1038)</f>
        <v>46601</v>
      </c>
      <c r="Q1049" s="16" t="n">
        <f aca="false">MAX(P1049+K1049,Q1048+N1049)</f>
        <v>46603</v>
      </c>
      <c r="R1049" s="16" t="n">
        <f aca="false">IF(K1049&gt;0,Q1049,R1038)</f>
        <v>46603</v>
      </c>
      <c r="S1049" s="15" t="s">
        <v>4422</v>
      </c>
    </row>
    <row r="1050" customFormat="false" ht="15" hidden="false" customHeight="false" outlineLevel="0" collapsed="false">
      <c r="A1050" s="15" t="s">
        <v>4438</v>
      </c>
      <c r="B1050" s="15" t="s">
        <v>4425</v>
      </c>
      <c r="C1050" s="15" t="s">
        <v>397</v>
      </c>
      <c r="D1050" s="15" t="s">
        <v>873</v>
      </c>
      <c r="E1050" s="15" t="s">
        <v>919</v>
      </c>
      <c r="F1050" s="15" t="s">
        <v>3034</v>
      </c>
      <c r="G1050" s="15" t="s">
        <v>3035</v>
      </c>
      <c r="H1050" s="33" t="n">
        <f aca="false">Packages!$AD$100</f>
        <v>0</v>
      </c>
      <c r="I1050" s="15" t="s">
        <v>3012</v>
      </c>
      <c r="J1050" s="34" t="n">
        <f aca="false">IF(Packages!$AD$100&gt;0,ROUNDUP(Packages!$AD$100/R_EXT,0),0)+IF(Packages!$AG$100&gt;0,1,0)</f>
        <v>1</v>
      </c>
      <c r="K1050" s="34" t="n">
        <f aca="false">IF(J1050=0,0,ROUNDUP(J1050*7/WD,0))</f>
        <v>2</v>
      </c>
      <c r="L1050" s="15" t="s">
        <v>4437</v>
      </c>
      <c r="M1050" s="34" t="n">
        <f aca="false">ROUNDUP(K1049*LADDER,0)</f>
        <v>1</v>
      </c>
      <c r="N1050" s="34" t="n">
        <f aca="false">IF(K1050=0,0,FFLAG)</f>
        <v>2</v>
      </c>
      <c r="O1050" s="15"/>
      <c r="P1050" s="16" t="n">
        <f aca="false">MAX(P1049+M1050)</f>
        <v>46602</v>
      </c>
      <c r="Q1050" s="16" t="n">
        <f aca="false">MAX(P1050+K1050,Q1049+N1050)</f>
        <v>46605</v>
      </c>
      <c r="R1050" s="12"/>
      <c r="S1050" s="12"/>
    </row>
    <row r="1051" customFormat="false" ht="15" hidden="false" customHeight="false" outlineLevel="0" collapsed="false">
      <c r="A1051" s="15" t="s">
        <v>4439</v>
      </c>
      <c r="B1051" s="15" t="s">
        <v>4440</v>
      </c>
      <c r="C1051" s="15" t="s">
        <v>397</v>
      </c>
      <c r="D1051" s="15" t="s">
        <v>873</v>
      </c>
      <c r="E1051" s="15" t="s">
        <v>906</v>
      </c>
      <c r="F1051" s="15" t="s">
        <v>2998</v>
      </c>
      <c r="G1051" s="15" t="s">
        <v>2999</v>
      </c>
      <c r="H1051" s="12"/>
      <c r="I1051" s="12"/>
      <c r="J1051" s="34" t="n">
        <f aca="false">0</f>
        <v>0</v>
      </c>
      <c r="K1051" s="34" t="n">
        <f aca="false">IF(J1051=0,0,ROUNDUP(J1051*7/WD,0))</f>
        <v>0</v>
      </c>
      <c r="L1051" s="12"/>
      <c r="M1051" s="12"/>
      <c r="N1051" s="12"/>
      <c r="O1051" s="15" t="s">
        <v>3000</v>
      </c>
      <c r="P1051" s="16" t="n">
        <f aca="false">MAX(START,D_DLU,Packages!$I$101,Packages!$K$101)</f>
        <v>46357</v>
      </c>
      <c r="Q1051" s="16" t="n">
        <f aca="false">P1051+K1051</f>
        <v>46357</v>
      </c>
      <c r="R1051" s="12"/>
      <c r="S1051" s="12"/>
    </row>
    <row r="1052" customFormat="false" ht="15" hidden="false" customHeight="false" outlineLevel="0" collapsed="false">
      <c r="A1052" s="15" t="s">
        <v>4441</v>
      </c>
      <c r="B1052" s="15" t="s">
        <v>4440</v>
      </c>
      <c r="C1052" s="15" t="s">
        <v>397</v>
      </c>
      <c r="D1052" s="15" t="s">
        <v>873</v>
      </c>
      <c r="E1052" s="15" t="s">
        <v>906</v>
      </c>
      <c r="F1052" s="15" t="s">
        <v>3002</v>
      </c>
      <c r="G1052" s="15" t="s">
        <v>205</v>
      </c>
      <c r="H1052" s="33" t="n">
        <f aca="false">Packages!$O$101</f>
        <v>76.6740023055451</v>
      </c>
      <c r="I1052" s="15" t="s">
        <v>118</v>
      </c>
      <c r="J1052" s="34" t="n">
        <f aca="false">MAX(1,ROUNDUP(Packages!$O$101/R_PLAT,0))</f>
        <v>1</v>
      </c>
      <c r="K1052" s="34" t="n">
        <f aca="false">IF(J1052=0,0,ROUNDUP(J1052*7/WD,0))</f>
        <v>2</v>
      </c>
      <c r="L1052" s="15" t="s">
        <v>4439</v>
      </c>
      <c r="M1052" s="12"/>
      <c r="N1052" s="12"/>
      <c r="O1052" s="15" t="s">
        <v>4442</v>
      </c>
      <c r="P1052" s="16" t="n">
        <f aca="false">MAX(Q1051,P1042)</f>
        <v>46419</v>
      </c>
      <c r="Q1052" s="16" t="n">
        <f aca="false">P1052+K1052</f>
        <v>46421</v>
      </c>
      <c r="R1052" s="12"/>
      <c r="S1052" s="12"/>
    </row>
    <row r="1053" customFormat="false" ht="15" hidden="false" customHeight="false" outlineLevel="0" collapsed="false">
      <c r="A1053" s="15" t="s">
        <v>4443</v>
      </c>
      <c r="B1053" s="15" t="s">
        <v>4440</v>
      </c>
      <c r="C1053" s="15" t="s">
        <v>397</v>
      </c>
      <c r="D1053" s="15" t="s">
        <v>873</v>
      </c>
      <c r="E1053" s="15" t="s">
        <v>906</v>
      </c>
      <c r="F1053" s="15" t="s">
        <v>3005</v>
      </c>
      <c r="G1053" s="15" t="s">
        <v>3006</v>
      </c>
      <c r="H1053" s="33" t="n">
        <f aca="false">Packages!$AC$101</f>
        <v>54</v>
      </c>
      <c r="I1053" s="15" t="s">
        <v>3007</v>
      </c>
      <c r="J1053" s="34" t="n">
        <f aca="false">IF(Packages!$AC$101=0,0,MAX(1,ROUNDUP(Packages!$AC$101/(R_PILE*Fronts!$H$9),0)))</f>
        <v>11</v>
      </c>
      <c r="K1053" s="34" t="n">
        <f aca="false">IF(J1053=0,0,ROUNDUP(J1053*7/WD,0))</f>
        <v>13</v>
      </c>
      <c r="L1053" s="15" t="s">
        <v>4441</v>
      </c>
      <c r="M1053" s="34" t="n">
        <f aca="false">ROUNDUP(K1052*LADDER,0)</f>
        <v>1</v>
      </c>
      <c r="N1053" s="34" t="n">
        <f aca="false">IF(K1053=0,0,FFLAG)</f>
        <v>2</v>
      </c>
      <c r="O1053" s="15" t="s">
        <v>3008</v>
      </c>
      <c r="P1053" s="16" t="n">
        <f aca="false">MAX(P1052+M1053,D_PILEDES,R1042)</f>
        <v>46423</v>
      </c>
      <c r="Q1053" s="16" t="n">
        <f aca="false">MAX(P1053+K1053,Q1052+N1053)</f>
        <v>46436</v>
      </c>
      <c r="R1053" s="16" t="n">
        <f aca="false">IF(K1053&gt;0,Q1053,R1042)</f>
        <v>46436</v>
      </c>
      <c r="S1053" s="15" t="s">
        <v>4428</v>
      </c>
    </row>
    <row r="1054" customFormat="false" ht="15" hidden="false" customHeight="false" outlineLevel="0" collapsed="false">
      <c r="A1054" s="15" t="s">
        <v>4444</v>
      </c>
      <c r="B1054" s="15" t="s">
        <v>4440</v>
      </c>
      <c r="C1054" s="15" t="s">
        <v>397</v>
      </c>
      <c r="D1054" s="15" t="s">
        <v>873</v>
      </c>
      <c r="E1054" s="15" t="s">
        <v>906</v>
      </c>
      <c r="F1054" s="15" t="s">
        <v>3010</v>
      </c>
      <c r="G1054" s="15" t="s">
        <v>3011</v>
      </c>
      <c r="H1054" s="33" t="n">
        <f aca="false">Packages!$AD$101</f>
        <v>72.2152635710877</v>
      </c>
      <c r="I1054" s="15" t="s">
        <v>3012</v>
      </c>
      <c r="J1054" s="34" t="n">
        <f aca="false">IF(Packages!$AD$101=0,0,MAX(1,ROUNDUP(Packages!$AD$101/(R_SHEET*Fronts!$I$9),0)))</f>
        <v>3</v>
      </c>
      <c r="K1054" s="34" t="n">
        <f aca="false">IF(J1054=0,0,ROUNDUP(J1054*7/WD,0))</f>
        <v>4</v>
      </c>
      <c r="L1054" s="15" t="s">
        <v>4443</v>
      </c>
      <c r="M1054" s="34" t="n">
        <f aca="false">ROUNDUP(K1053*LADDER,0)</f>
        <v>4</v>
      </c>
      <c r="N1054" s="34" t="n">
        <f aca="false">IF(K1054=0,0,FFLAG)</f>
        <v>2</v>
      </c>
      <c r="O1054" s="15"/>
      <c r="P1054" s="16" t="n">
        <f aca="false">MAX(P1053+M1054,R1043)</f>
        <v>46427</v>
      </c>
      <c r="Q1054" s="16" t="n">
        <f aca="false">MAX(P1054+K1054,Q1053+N1054)</f>
        <v>46438</v>
      </c>
      <c r="R1054" s="16" t="n">
        <f aca="false">IF(K1054&gt;0,Q1054,R1043)</f>
        <v>46438</v>
      </c>
      <c r="S1054" s="15" t="s">
        <v>4429</v>
      </c>
    </row>
    <row r="1055" customFormat="false" ht="15" hidden="false" customHeight="false" outlineLevel="0" collapsed="false">
      <c r="A1055" s="15" t="s">
        <v>4445</v>
      </c>
      <c r="B1055" s="15" t="s">
        <v>4440</v>
      </c>
      <c r="C1055" s="15" t="s">
        <v>397</v>
      </c>
      <c r="D1055" s="15" t="s">
        <v>873</v>
      </c>
      <c r="E1055" s="15" t="s">
        <v>906</v>
      </c>
      <c r="F1055" s="15" t="s">
        <v>3014</v>
      </c>
      <c r="G1055" s="15" t="s">
        <v>3015</v>
      </c>
      <c r="H1055" s="33" t="n">
        <f aca="false">Packages!$O$101</f>
        <v>76.6740023055451</v>
      </c>
      <c r="I1055" s="15" t="s">
        <v>118</v>
      </c>
      <c r="J1055" s="34" t="n">
        <f aca="false">IF(Packages!$AG$101=0,0,ROUNDUP(Packages!$O$101/R_DW,0)+DW_DRAW)</f>
        <v>9</v>
      </c>
      <c r="K1055" s="34" t="n">
        <f aca="false">IF(J1055=0,0,ROUNDUP(J1055*7/WD,0))</f>
        <v>11</v>
      </c>
      <c r="L1055" s="15" t="s">
        <v>4444</v>
      </c>
      <c r="M1055" s="34" t="n">
        <f aca="false">ROUNDUP(K1054*LADDER,0)</f>
        <v>2</v>
      </c>
      <c r="N1055" s="34" t="n">
        <f aca="false">IF(K1055=0,0,FFLAG)</f>
        <v>2</v>
      </c>
      <c r="O1055" s="15" t="s">
        <v>4446</v>
      </c>
      <c r="P1055" s="16" t="n">
        <f aca="false">MAX(P1054+M1055,Q1045-K1055)</f>
        <v>46557</v>
      </c>
      <c r="Q1055" s="16" t="n">
        <f aca="false">MAX(P1055+K1055,Q1054+N1055)</f>
        <v>46568</v>
      </c>
      <c r="R1055" s="12"/>
      <c r="S1055" s="12"/>
    </row>
    <row r="1056" customFormat="false" ht="15" hidden="false" customHeight="false" outlineLevel="0" collapsed="false">
      <c r="A1056" s="15" t="s">
        <v>4447</v>
      </c>
      <c r="B1056" s="15" t="s">
        <v>4440</v>
      </c>
      <c r="C1056" s="15" t="s">
        <v>397</v>
      </c>
      <c r="D1056" s="15" t="s">
        <v>873</v>
      </c>
      <c r="E1056" s="15" t="s">
        <v>906</v>
      </c>
      <c r="F1056" s="15" t="s">
        <v>3017</v>
      </c>
      <c r="G1056" s="15" t="s">
        <v>3018</v>
      </c>
      <c r="H1056" s="33" t="n">
        <f aca="false">Packages!$X$101+Packages!$Y$101</f>
        <v>957.532354831363</v>
      </c>
      <c r="I1056" s="15" t="s">
        <v>3019</v>
      </c>
      <c r="J1056" s="34" t="n">
        <f aca="false">MAX(1,ROUNDUP((Packages!$X$101/R_EXS+Packages!$Y$101/R_EXO)/Fronts!$J$9,0))</f>
        <v>3</v>
      </c>
      <c r="K1056" s="34" t="n">
        <f aca="false">IF(J1056=0,0,ROUNDUP(J1056*7/WD,0))</f>
        <v>4</v>
      </c>
      <c r="L1056" s="15" t="s">
        <v>4445</v>
      </c>
      <c r="M1056" s="34" t="n">
        <f aca="false">IF(K1055=0,0,ROUNDUP((K1055-ROUNDUP(DW_DRAW*7/WD,0))*LADDER,0)+ROUNDUP(DW_DRAW*7/WD,0))</f>
        <v>10</v>
      </c>
      <c r="N1056" s="34" t="n">
        <f aca="false">IF(K1056=0,0,FFLAG)</f>
        <v>2</v>
      </c>
      <c r="O1056" s="15" t="s">
        <v>4448</v>
      </c>
      <c r="P1056" s="16" t="n">
        <f aca="false">MAX(P1055+M1056,R1045,Q257,Q224)</f>
        <v>46568</v>
      </c>
      <c r="Q1056" s="16" t="n">
        <f aca="false">MAX(P1056+K1056,Q1055+N1056)</f>
        <v>46572</v>
      </c>
      <c r="R1056" s="16" t="n">
        <f aca="false">IF(K1056&gt;0,Q1056,R1045)</f>
        <v>46572</v>
      </c>
      <c r="S1056" s="15" t="s">
        <v>4432</v>
      </c>
    </row>
    <row r="1057" customFormat="false" ht="15" hidden="false" customHeight="false" outlineLevel="0" collapsed="false">
      <c r="A1057" s="15" t="s">
        <v>4449</v>
      </c>
      <c r="B1057" s="15" t="s">
        <v>4440</v>
      </c>
      <c r="C1057" s="15" t="s">
        <v>397</v>
      </c>
      <c r="D1057" s="15" t="s">
        <v>873</v>
      </c>
      <c r="E1057" s="15" t="s">
        <v>906</v>
      </c>
      <c r="F1057" s="15" t="s">
        <v>3022</v>
      </c>
      <c r="G1057" s="15" t="s">
        <v>3023</v>
      </c>
      <c r="H1057" s="33" t="n">
        <f aca="false">Packages!$O$101</f>
        <v>76.6740023055451</v>
      </c>
      <c r="I1057" s="15" t="s">
        <v>118</v>
      </c>
      <c r="J1057" s="34" t="n">
        <f aca="false">MAX(1,ROUNDUP(Packages!$O$101/(R_SLAB*Fronts!$K$9),0))+SLAB_CURE</f>
        <v>10</v>
      </c>
      <c r="K1057" s="34" t="n">
        <f aca="false">IF(J1057=0,0,ROUNDUP(J1057*7/WD,0))</f>
        <v>12</v>
      </c>
      <c r="L1057" s="15" t="s">
        <v>4447</v>
      </c>
      <c r="M1057" s="34" t="n">
        <f aca="false">ROUNDUP(K1056*LADDER,0)</f>
        <v>2</v>
      </c>
      <c r="N1057" s="34" t="n">
        <f aca="false">IF(K1057=0,0,FFLAG)</f>
        <v>2</v>
      </c>
      <c r="O1057" s="15"/>
      <c r="P1057" s="16" t="n">
        <f aca="false">MAX(P1056+M1057,R1046)</f>
        <v>46595</v>
      </c>
      <c r="Q1057" s="16" t="n">
        <f aca="false">MAX(P1057+K1057,Q1056+N1057)</f>
        <v>46607</v>
      </c>
      <c r="R1057" s="16" t="n">
        <f aca="false">IF(K1057&gt;0,Q1057,R1046)</f>
        <v>46607</v>
      </c>
      <c r="S1057" s="15" t="s">
        <v>4434</v>
      </c>
    </row>
    <row r="1058" customFormat="false" ht="15" hidden="false" customHeight="false" outlineLevel="0" collapsed="false">
      <c r="A1058" s="15" t="s">
        <v>4450</v>
      </c>
      <c r="B1058" s="15" t="s">
        <v>4440</v>
      </c>
      <c r="C1058" s="15" t="s">
        <v>397</v>
      </c>
      <c r="D1058" s="15" t="s">
        <v>873</v>
      </c>
      <c r="E1058" s="15" t="s">
        <v>906</v>
      </c>
      <c r="F1058" s="15" t="s">
        <v>3025</v>
      </c>
      <c r="G1058" s="15" t="s">
        <v>3026</v>
      </c>
      <c r="H1058" s="33" t="n">
        <f aca="false">Packages!$O$101</f>
        <v>76.6740023055451</v>
      </c>
      <c r="I1058" s="15" t="s">
        <v>118</v>
      </c>
      <c r="J1058" s="34" t="n">
        <f aca="false">MAX(1,ROUNDUP(Packages!$O$101/(IF(Packages!$N$101&gt;=PIPE_T1,R_PIPE_L,IF(Packages!$N$101&gt;=PIPE_T2,R_PIPE_M,R_PIPE_S))*Fronts!$L$9)+Packages!$M$101*FIT_D+IF(Packages!$G$101&lt;&gt;"Run",TIE_D,0),0))</f>
        <v>4</v>
      </c>
      <c r="K1058" s="34" t="n">
        <f aca="false">IF(J1058=0,0,ROUNDUP(J1058*7/WD,0))</f>
        <v>5</v>
      </c>
      <c r="L1058" s="15" t="s">
        <v>4449</v>
      </c>
      <c r="M1058" s="34" t="n">
        <f aca="false">ROUNDUP(K1057*LADDER,0)</f>
        <v>4</v>
      </c>
      <c r="N1058" s="34" t="n">
        <f aca="false">IF(K1058=0,0,FFLAG)</f>
        <v>2</v>
      </c>
      <c r="O1058" s="15"/>
      <c r="P1058" s="16" t="n">
        <f aca="false">MAX(P1057+M1058,R1047)</f>
        <v>46599</v>
      </c>
      <c r="Q1058" s="16" t="n">
        <f aca="false">MAX(P1058+K1058,Q1057+N1058)</f>
        <v>46609</v>
      </c>
      <c r="R1058" s="16" t="n">
        <f aca="false">IF(K1058&gt;0,Q1058,R1047)</f>
        <v>46609</v>
      </c>
      <c r="S1058" s="15" t="s">
        <v>4435</v>
      </c>
    </row>
    <row r="1059" customFormat="false" ht="15" hidden="false" customHeight="false" outlineLevel="0" collapsed="false">
      <c r="A1059" s="15" t="s">
        <v>4451</v>
      </c>
      <c r="B1059" s="15" t="s">
        <v>4440</v>
      </c>
      <c r="C1059" s="15" t="s">
        <v>397</v>
      </c>
      <c r="D1059" s="15" t="s">
        <v>873</v>
      </c>
      <c r="E1059" s="15" t="s">
        <v>906</v>
      </c>
      <c r="F1059" s="15" t="s">
        <v>3028</v>
      </c>
      <c r="G1059" s="15" t="s">
        <v>3029</v>
      </c>
      <c r="H1059" s="33" t="n">
        <f aca="false">Packages!$O$101</f>
        <v>76.6740023055451</v>
      </c>
      <c r="I1059" s="15" t="s">
        <v>118</v>
      </c>
      <c r="J1059" s="34" t="n">
        <f aca="false">TEST_D+ROUNDUP(Packages!$O$101/R_TEST,0)</f>
        <v>3</v>
      </c>
      <c r="K1059" s="34" t="n">
        <f aca="false">IF(J1059=0,0,ROUNDUP(J1059*7/WD,0))</f>
        <v>4</v>
      </c>
      <c r="L1059" s="15" t="s">
        <v>4450</v>
      </c>
      <c r="M1059" s="34" t="n">
        <f aca="false">ROUNDUP(K1058*LADDER,0)</f>
        <v>2</v>
      </c>
      <c r="N1059" s="34" t="n">
        <f aca="false">IF(K1059=0,0,FFLAG)</f>
        <v>2</v>
      </c>
      <c r="O1059" s="15"/>
      <c r="P1059" s="16" t="n">
        <f aca="false">MAX(P1058+M1059)</f>
        <v>46601</v>
      </c>
      <c r="Q1059" s="16" t="n">
        <f aca="false">MAX(P1059+K1059,Q1058+N1059)</f>
        <v>46611</v>
      </c>
      <c r="R1059" s="12"/>
      <c r="S1059" s="12"/>
    </row>
    <row r="1060" customFormat="false" ht="15" hidden="false" customHeight="false" outlineLevel="0" collapsed="false">
      <c r="A1060" s="15" t="s">
        <v>4452</v>
      </c>
      <c r="B1060" s="15" t="s">
        <v>4440</v>
      </c>
      <c r="C1060" s="15" t="s">
        <v>397</v>
      </c>
      <c r="D1060" s="15" t="s">
        <v>873</v>
      </c>
      <c r="E1060" s="15" t="s">
        <v>906</v>
      </c>
      <c r="F1060" s="15" t="s">
        <v>3031</v>
      </c>
      <c r="G1060" s="15" t="s">
        <v>3032</v>
      </c>
      <c r="H1060" s="33" t="n">
        <f aca="false">Packages!$AB$101</f>
        <v>703.694266465672</v>
      </c>
      <c r="I1060" s="15" t="s">
        <v>3019</v>
      </c>
      <c r="J1060" s="34" t="n">
        <f aca="false">MAX(1,ROUNDUP(Packages!$AB$101/(R_BF*Fronts!$M$9),0))</f>
        <v>3</v>
      </c>
      <c r="K1060" s="34" t="n">
        <f aca="false">IF(J1060=0,0,ROUNDUP(J1060*7/WD,0))</f>
        <v>4</v>
      </c>
      <c r="L1060" s="15" t="s">
        <v>4451</v>
      </c>
      <c r="M1060" s="34" t="n">
        <f aca="false">ROUNDUP(K1059*LADDER,0)</f>
        <v>2</v>
      </c>
      <c r="N1060" s="34" t="n">
        <f aca="false">IF(K1060=0,0,FFLAG)</f>
        <v>2</v>
      </c>
      <c r="O1060" s="15"/>
      <c r="P1060" s="16" t="n">
        <f aca="false">MAX(P1059+M1060,R1049)</f>
        <v>46603</v>
      </c>
      <c r="Q1060" s="16" t="n">
        <f aca="false">MAX(P1060+K1060,Q1059+N1060)</f>
        <v>46613</v>
      </c>
      <c r="R1060" s="16" t="n">
        <f aca="false">IF(K1060&gt;0,Q1060,R1049)</f>
        <v>46613</v>
      </c>
      <c r="S1060" s="15" t="s">
        <v>4437</v>
      </c>
    </row>
    <row r="1061" customFormat="false" ht="15" hidden="false" customHeight="false" outlineLevel="0" collapsed="false">
      <c r="A1061" s="15" t="s">
        <v>4453</v>
      </c>
      <c r="B1061" s="15" t="s">
        <v>4440</v>
      </c>
      <c r="C1061" s="15" t="s">
        <v>397</v>
      </c>
      <c r="D1061" s="15" t="s">
        <v>873</v>
      </c>
      <c r="E1061" s="15" t="s">
        <v>906</v>
      </c>
      <c r="F1061" s="15" t="s">
        <v>3034</v>
      </c>
      <c r="G1061" s="15" t="s">
        <v>3035</v>
      </c>
      <c r="H1061" s="33" t="n">
        <f aca="false">Packages!$AD$101</f>
        <v>72.2152635710877</v>
      </c>
      <c r="I1061" s="15" t="s">
        <v>3012</v>
      </c>
      <c r="J1061" s="34" t="n">
        <f aca="false">IF(Packages!$AD$101&gt;0,ROUNDUP(Packages!$AD$101/R_EXT,0),0)+IF(Packages!$AG$101&gt;0,1,0)</f>
        <v>3</v>
      </c>
      <c r="K1061" s="34" t="n">
        <f aca="false">IF(J1061=0,0,ROUNDUP(J1061*7/WD,0))</f>
        <v>4</v>
      </c>
      <c r="L1061" s="15" t="s">
        <v>4452</v>
      </c>
      <c r="M1061" s="34" t="n">
        <f aca="false">ROUNDUP(K1060*LADDER,0)</f>
        <v>2</v>
      </c>
      <c r="N1061" s="34" t="n">
        <f aca="false">IF(K1061=0,0,FFLAG)</f>
        <v>2</v>
      </c>
      <c r="O1061" s="15"/>
      <c r="P1061" s="16" t="n">
        <f aca="false">MAX(P1060+M1061)</f>
        <v>46605</v>
      </c>
      <c r="Q1061" s="16" t="n">
        <f aca="false">MAX(P1061+K1061,Q1060+N1061)</f>
        <v>46615</v>
      </c>
      <c r="R1061" s="12"/>
      <c r="S1061" s="12"/>
    </row>
    <row r="1062" customFormat="false" ht="15" hidden="false" customHeight="false" outlineLevel="0" collapsed="false">
      <c r="A1062" s="15" t="s">
        <v>4454</v>
      </c>
      <c r="B1062" s="15" t="s">
        <v>4455</v>
      </c>
      <c r="C1062" s="15" t="s">
        <v>397</v>
      </c>
      <c r="D1062" s="15" t="s">
        <v>873</v>
      </c>
      <c r="E1062" s="15" t="s">
        <v>891</v>
      </c>
      <c r="F1062" s="15" t="s">
        <v>2998</v>
      </c>
      <c r="G1062" s="15" t="s">
        <v>2999</v>
      </c>
      <c r="H1062" s="12"/>
      <c r="I1062" s="12"/>
      <c r="J1062" s="34" t="n">
        <f aca="false">0</f>
        <v>0</v>
      </c>
      <c r="K1062" s="34" t="n">
        <f aca="false">IF(J1062=0,0,ROUNDUP(J1062*7/WD,0))</f>
        <v>0</v>
      </c>
      <c r="L1062" s="12"/>
      <c r="M1062" s="12"/>
      <c r="N1062" s="12"/>
      <c r="O1062" s="15" t="s">
        <v>3000</v>
      </c>
      <c r="P1062" s="16" t="n">
        <f aca="false">MAX(START,D_DLU,Packages!$I$102,Packages!$K$102)</f>
        <v>46357</v>
      </c>
      <c r="Q1062" s="16" t="n">
        <f aca="false">P1062+K1062</f>
        <v>46357</v>
      </c>
      <c r="R1062" s="12"/>
      <c r="S1062" s="12"/>
    </row>
    <row r="1063" customFormat="false" ht="15" hidden="false" customHeight="false" outlineLevel="0" collapsed="false">
      <c r="A1063" s="15" t="s">
        <v>4456</v>
      </c>
      <c r="B1063" s="15" t="s">
        <v>4455</v>
      </c>
      <c r="C1063" s="15" t="s">
        <v>397</v>
      </c>
      <c r="D1063" s="15" t="s">
        <v>873</v>
      </c>
      <c r="E1063" s="15" t="s">
        <v>891</v>
      </c>
      <c r="F1063" s="15" t="s">
        <v>3002</v>
      </c>
      <c r="G1063" s="15" t="s">
        <v>205</v>
      </c>
      <c r="H1063" s="33" t="n">
        <f aca="false">Packages!$O$102</f>
        <v>64.5259976942913</v>
      </c>
      <c r="I1063" s="15" t="s">
        <v>118</v>
      </c>
      <c r="J1063" s="34" t="n">
        <f aca="false">MAX(1,ROUNDUP(Packages!$O$102/R_PLAT,0))</f>
        <v>1</v>
      </c>
      <c r="K1063" s="34" t="n">
        <f aca="false">IF(J1063=0,0,ROUNDUP(J1063*7/WD,0))</f>
        <v>2</v>
      </c>
      <c r="L1063" s="15" t="s">
        <v>4454</v>
      </c>
      <c r="M1063" s="12"/>
      <c r="N1063" s="12"/>
      <c r="O1063" s="15" t="s">
        <v>4457</v>
      </c>
      <c r="P1063" s="16" t="n">
        <f aca="false">MAX(Q1062,P1053)</f>
        <v>46423</v>
      </c>
      <c r="Q1063" s="16" t="n">
        <f aca="false">P1063+K1063</f>
        <v>46425</v>
      </c>
      <c r="R1063" s="12"/>
      <c r="S1063" s="12"/>
    </row>
    <row r="1064" customFormat="false" ht="15" hidden="false" customHeight="false" outlineLevel="0" collapsed="false">
      <c r="A1064" s="15" t="s">
        <v>4458</v>
      </c>
      <c r="B1064" s="15" t="s">
        <v>4455</v>
      </c>
      <c r="C1064" s="15" t="s">
        <v>397</v>
      </c>
      <c r="D1064" s="15" t="s">
        <v>873</v>
      </c>
      <c r="E1064" s="15" t="s">
        <v>891</v>
      </c>
      <c r="F1064" s="15" t="s">
        <v>3005</v>
      </c>
      <c r="G1064" s="15" t="s">
        <v>3006</v>
      </c>
      <c r="H1064" s="33" t="n">
        <f aca="false">Packages!$AC$102</f>
        <v>46</v>
      </c>
      <c r="I1064" s="15" t="s">
        <v>3007</v>
      </c>
      <c r="J1064" s="34" t="n">
        <f aca="false">IF(Packages!$AC$102=0,0,MAX(1,ROUNDUP(Packages!$AC$102/(R_PILE*Fronts!$H$9),0)))</f>
        <v>10</v>
      </c>
      <c r="K1064" s="34" t="n">
        <f aca="false">IF(J1064=0,0,ROUNDUP(J1064*7/WD,0))</f>
        <v>12</v>
      </c>
      <c r="L1064" s="15" t="s">
        <v>4456</v>
      </c>
      <c r="M1064" s="34" t="n">
        <f aca="false">ROUNDUP(K1063*LADDER,0)</f>
        <v>1</v>
      </c>
      <c r="N1064" s="34" t="n">
        <f aca="false">IF(K1064=0,0,FFLAG)</f>
        <v>2</v>
      </c>
      <c r="O1064" s="15" t="s">
        <v>3008</v>
      </c>
      <c r="P1064" s="16" t="n">
        <f aca="false">MAX(P1063+M1064,D_PILEDES,R1053)</f>
        <v>46436</v>
      </c>
      <c r="Q1064" s="16" t="n">
        <f aca="false">MAX(P1064+K1064,Q1063+N1064)</f>
        <v>46448</v>
      </c>
      <c r="R1064" s="16" t="n">
        <f aca="false">IF(K1064&gt;0,Q1064,R1053)</f>
        <v>46448</v>
      </c>
      <c r="S1064" s="15" t="s">
        <v>4443</v>
      </c>
    </row>
    <row r="1065" customFormat="false" ht="15" hidden="false" customHeight="false" outlineLevel="0" collapsed="false">
      <c r="A1065" s="15" t="s">
        <v>4459</v>
      </c>
      <c r="B1065" s="15" t="s">
        <v>4455</v>
      </c>
      <c r="C1065" s="15" t="s">
        <v>397</v>
      </c>
      <c r="D1065" s="15" t="s">
        <v>873</v>
      </c>
      <c r="E1065" s="15" t="s">
        <v>891</v>
      </c>
      <c r="F1065" s="15" t="s">
        <v>3010</v>
      </c>
      <c r="G1065" s="15" t="s">
        <v>3011</v>
      </c>
      <c r="H1065" s="33" t="n">
        <f aca="false">Packages!$AD$102</f>
        <v>80.0000000009377</v>
      </c>
      <c r="I1065" s="15" t="s">
        <v>3012</v>
      </c>
      <c r="J1065" s="34" t="n">
        <f aca="false">IF(Packages!$AD$102=0,0,MAX(1,ROUNDUP(Packages!$AD$102/(R_SHEET*Fronts!$I$9),0)))</f>
        <v>4</v>
      </c>
      <c r="K1065" s="34" t="n">
        <f aca="false">IF(J1065=0,0,ROUNDUP(J1065*7/WD,0))</f>
        <v>5</v>
      </c>
      <c r="L1065" s="15" t="s">
        <v>4458</v>
      </c>
      <c r="M1065" s="34" t="n">
        <f aca="false">ROUNDUP(K1064*LADDER,0)</f>
        <v>4</v>
      </c>
      <c r="N1065" s="34" t="n">
        <f aca="false">IF(K1065=0,0,FFLAG)</f>
        <v>2</v>
      </c>
      <c r="O1065" s="15"/>
      <c r="P1065" s="16" t="n">
        <f aca="false">MAX(P1064+M1065,R1054)</f>
        <v>46440</v>
      </c>
      <c r="Q1065" s="16" t="n">
        <f aca="false">MAX(P1065+K1065,Q1064+N1065)</f>
        <v>46450</v>
      </c>
      <c r="R1065" s="16" t="n">
        <f aca="false">IF(K1065&gt;0,Q1065,R1054)</f>
        <v>46450</v>
      </c>
      <c r="S1065" s="15" t="s">
        <v>4444</v>
      </c>
    </row>
    <row r="1066" customFormat="false" ht="15" hidden="false" customHeight="false" outlineLevel="0" collapsed="false">
      <c r="A1066" s="15" t="s">
        <v>4460</v>
      </c>
      <c r="B1066" s="15" t="s">
        <v>4455</v>
      </c>
      <c r="C1066" s="15" t="s">
        <v>397</v>
      </c>
      <c r="D1066" s="15" t="s">
        <v>873</v>
      </c>
      <c r="E1066" s="15" t="s">
        <v>891</v>
      </c>
      <c r="F1066" s="15" t="s">
        <v>3014</v>
      </c>
      <c r="G1066" s="15" t="s">
        <v>3015</v>
      </c>
      <c r="H1066" s="33" t="n">
        <f aca="false">Packages!$O$102</f>
        <v>64.5259976942913</v>
      </c>
      <c r="I1066" s="15" t="s">
        <v>118</v>
      </c>
      <c r="J1066" s="34" t="n">
        <f aca="false">IF(Packages!$AG$102=0,0,ROUNDUP(Packages!$O$102/R_DW,0)+DW_DRAW)</f>
        <v>9</v>
      </c>
      <c r="K1066" s="34" t="n">
        <f aca="false">IF(J1066=0,0,ROUNDUP(J1066*7/WD,0))</f>
        <v>11</v>
      </c>
      <c r="L1066" s="15" t="s">
        <v>4459</v>
      </c>
      <c r="M1066" s="34" t="n">
        <f aca="false">ROUNDUP(K1065*LADDER,0)</f>
        <v>2</v>
      </c>
      <c r="N1066" s="34" t="n">
        <f aca="false">IF(K1066=0,0,FFLAG)</f>
        <v>2</v>
      </c>
      <c r="O1066" s="15" t="s">
        <v>4461</v>
      </c>
      <c r="P1066" s="16" t="n">
        <f aca="false">MAX(P1065+M1066,Q1056-K1066)</f>
        <v>46561</v>
      </c>
      <c r="Q1066" s="16" t="n">
        <f aca="false">MAX(P1066+K1066,Q1065+N1066)</f>
        <v>46572</v>
      </c>
      <c r="R1066" s="12"/>
      <c r="S1066" s="12"/>
    </row>
    <row r="1067" customFormat="false" ht="15" hidden="false" customHeight="false" outlineLevel="0" collapsed="false">
      <c r="A1067" s="15" t="s">
        <v>4462</v>
      </c>
      <c r="B1067" s="15" t="s">
        <v>4455</v>
      </c>
      <c r="C1067" s="15" t="s">
        <v>397</v>
      </c>
      <c r="D1067" s="15" t="s">
        <v>873</v>
      </c>
      <c r="E1067" s="15" t="s">
        <v>891</v>
      </c>
      <c r="F1067" s="15" t="s">
        <v>3017</v>
      </c>
      <c r="G1067" s="15" t="s">
        <v>3018</v>
      </c>
      <c r="H1067" s="33" t="n">
        <f aca="false">Packages!$X$102+Packages!$Y$102</f>
        <v>607.39536065368</v>
      </c>
      <c r="I1067" s="15" t="s">
        <v>3019</v>
      </c>
      <c r="J1067" s="34" t="n">
        <f aca="false">MAX(1,ROUNDUP((Packages!$X$102/R_EXS+Packages!$Y$102/R_EXO)/Fronts!$J$9,0))</f>
        <v>2</v>
      </c>
      <c r="K1067" s="34" t="n">
        <f aca="false">IF(J1067=0,0,ROUNDUP(J1067*7/WD,0))</f>
        <v>3</v>
      </c>
      <c r="L1067" s="15" t="s">
        <v>4460</v>
      </c>
      <c r="M1067" s="34" t="n">
        <f aca="false">IF(K1066=0,0,ROUNDUP((K1066-ROUNDUP(DW_DRAW*7/WD,0))*LADDER,0)+ROUNDUP(DW_DRAW*7/WD,0))</f>
        <v>10</v>
      </c>
      <c r="N1067" s="34" t="n">
        <f aca="false">IF(K1067=0,0,FFLAG)</f>
        <v>2</v>
      </c>
      <c r="O1067" s="15" t="s">
        <v>4463</v>
      </c>
      <c r="P1067" s="16" t="n">
        <f aca="false">MAX(P1066+M1067,R1056,Q257,Q224,Q213)</f>
        <v>46572</v>
      </c>
      <c r="Q1067" s="16" t="n">
        <f aca="false">MAX(P1067+K1067,Q1066+N1067)</f>
        <v>46575</v>
      </c>
      <c r="R1067" s="16" t="n">
        <f aca="false">IF(K1067&gt;0,Q1067,R1056)</f>
        <v>46575</v>
      </c>
      <c r="S1067" s="15" t="s">
        <v>4447</v>
      </c>
    </row>
    <row r="1068" customFormat="false" ht="15" hidden="false" customHeight="false" outlineLevel="0" collapsed="false">
      <c r="A1068" s="15" t="s">
        <v>4464</v>
      </c>
      <c r="B1068" s="15" t="s">
        <v>4455</v>
      </c>
      <c r="C1068" s="15" t="s">
        <v>397</v>
      </c>
      <c r="D1068" s="15" t="s">
        <v>873</v>
      </c>
      <c r="E1068" s="15" t="s">
        <v>891</v>
      </c>
      <c r="F1068" s="15" t="s">
        <v>3022</v>
      </c>
      <c r="G1068" s="15" t="s">
        <v>3023</v>
      </c>
      <c r="H1068" s="33" t="n">
        <f aca="false">Packages!$O$102</f>
        <v>64.5259976942913</v>
      </c>
      <c r="I1068" s="15" t="s">
        <v>118</v>
      </c>
      <c r="J1068" s="34" t="n">
        <f aca="false">MAX(1,ROUNDUP(Packages!$O$102/(R_SLAB*Fronts!$K$9),0))+SLAB_CURE</f>
        <v>9</v>
      </c>
      <c r="K1068" s="34" t="n">
        <f aca="false">IF(J1068=0,0,ROUNDUP(J1068*7/WD,0))</f>
        <v>11</v>
      </c>
      <c r="L1068" s="15" t="s">
        <v>4462</v>
      </c>
      <c r="M1068" s="34" t="n">
        <f aca="false">ROUNDUP(K1067*LADDER,0)</f>
        <v>1</v>
      </c>
      <c r="N1068" s="34" t="n">
        <f aca="false">IF(K1068=0,0,FFLAG)</f>
        <v>2</v>
      </c>
      <c r="O1068" s="15"/>
      <c r="P1068" s="16" t="n">
        <f aca="false">MAX(P1067+M1068,R1057)</f>
        <v>46607</v>
      </c>
      <c r="Q1068" s="16" t="n">
        <f aca="false">MAX(P1068+K1068,Q1067+N1068)</f>
        <v>46618</v>
      </c>
      <c r="R1068" s="16" t="n">
        <f aca="false">IF(K1068&gt;0,Q1068,R1057)</f>
        <v>46618</v>
      </c>
      <c r="S1068" s="15" t="s">
        <v>4449</v>
      </c>
    </row>
    <row r="1069" customFormat="false" ht="15" hidden="false" customHeight="false" outlineLevel="0" collapsed="false">
      <c r="A1069" s="15" t="s">
        <v>4465</v>
      </c>
      <c r="B1069" s="15" t="s">
        <v>4455</v>
      </c>
      <c r="C1069" s="15" t="s">
        <v>397</v>
      </c>
      <c r="D1069" s="15" t="s">
        <v>873</v>
      </c>
      <c r="E1069" s="15" t="s">
        <v>891</v>
      </c>
      <c r="F1069" s="15" t="s">
        <v>3025</v>
      </c>
      <c r="G1069" s="15" t="s">
        <v>3026</v>
      </c>
      <c r="H1069" s="33" t="n">
        <f aca="false">Packages!$O$102</f>
        <v>64.5259976942913</v>
      </c>
      <c r="I1069" s="15" t="s">
        <v>118</v>
      </c>
      <c r="J1069" s="34" t="n">
        <f aca="false">MAX(1,ROUNDUP(Packages!$O$102/(IF(Packages!$N$102&gt;=PIPE_T1,R_PIPE_L,IF(Packages!$N$102&gt;=PIPE_T2,R_PIPE_M,R_PIPE_S))*Fronts!$L$9)+Packages!$M$102*FIT_D+IF(Packages!$G$102&lt;&gt;"Run",TIE_D,0),0))</f>
        <v>5</v>
      </c>
      <c r="K1069" s="34" t="n">
        <f aca="false">IF(J1069=0,0,ROUNDUP(J1069*7/WD,0))</f>
        <v>6</v>
      </c>
      <c r="L1069" s="15" t="s">
        <v>4464</v>
      </c>
      <c r="M1069" s="34" t="n">
        <f aca="false">ROUNDUP(K1068*LADDER,0)</f>
        <v>4</v>
      </c>
      <c r="N1069" s="34" t="n">
        <f aca="false">IF(K1069=0,0,FFLAG)</f>
        <v>2</v>
      </c>
      <c r="O1069" s="15"/>
      <c r="P1069" s="16" t="n">
        <f aca="false">MAX(P1068+M1069,R1058)</f>
        <v>46611</v>
      </c>
      <c r="Q1069" s="16" t="n">
        <f aca="false">MAX(P1069+K1069,Q1068+N1069)</f>
        <v>46620</v>
      </c>
      <c r="R1069" s="16" t="n">
        <f aca="false">IF(K1069&gt;0,Q1069,R1058)</f>
        <v>46620</v>
      </c>
      <c r="S1069" s="15" t="s">
        <v>4450</v>
      </c>
    </row>
    <row r="1070" customFormat="false" ht="15" hidden="false" customHeight="false" outlineLevel="0" collapsed="false">
      <c r="A1070" s="15" t="s">
        <v>4466</v>
      </c>
      <c r="B1070" s="15" t="s">
        <v>4455</v>
      </c>
      <c r="C1070" s="15" t="s">
        <v>397</v>
      </c>
      <c r="D1070" s="15" t="s">
        <v>873</v>
      </c>
      <c r="E1070" s="15" t="s">
        <v>891</v>
      </c>
      <c r="F1070" s="15" t="s">
        <v>3028</v>
      </c>
      <c r="G1070" s="15" t="s">
        <v>3029</v>
      </c>
      <c r="H1070" s="33" t="n">
        <f aca="false">Packages!$O$102</f>
        <v>64.5259976942913</v>
      </c>
      <c r="I1070" s="15" t="s">
        <v>118</v>
      </c>
      <c r="J1070" s="34" t="n">
        <f aca="false">TEST_D+ROUNDUP(Packages!$O$102/R_TEST,0)</f>
        <v>3</v>
      </c>
      <c r="K1070" s="34" t="n">
        <f aca="false">IF(J1070=0,0,ROUNDUP(J1070*7/WD,0))</f>
        <v>4</v>
      </c>
      <c r="L1070" s="15" t="s">
        <v>4465</v>
      </c>
      <c r="M1070" s="34" t="n">
        <f aca="false">ROUNDUP(K1069*LADDER,0)</f>
        <v>2</v>
      </c>
      <c r="N1070" s="34" t="n">
        <f aca="false">IF(K1070=0,0,FFLAG)</f>
        <v>2</v>
      </c>
      <c r="O1070" s="15"/>
      <c r="P1070" s="16" t="n">
        <f aca="false">MAX(P1069+M1070)</f>
        <v>46613</v>
      </c>
      <c r="Q1070" s="16" t="n">
        <f aca="false">MAX(P1070+K1070,Q1069+N1070)</f>
        <v>46622</v>
      </c>
      <c r="R1070" s="12"/>
      <c r="S1070" s="12"/>
    </row>
    <row r="1071" customFormat="false" ht="15" hidden="false" customHeight="false" outlineLevel="0" collapsed="false">
      <c r="A1071" s="15" t="s">
        <v>4467</v>
      </c>
      <c r="B1071" s="15" t="s">
        <v>4455</v>
      </c>
      <c r="C1071" s="15" t="s">
        <v>397</v>
      </c>
      <c r="D1071" s="15" t="s">
        <v>873</v>
      </c>
      <c r="E1071" s="15" t="s">
        <v>891</v>
      </c>
      <c r="F1071" s="15" t="s">
        <v>3031</v>
      </c>
      <c r="G1071" s="15" t="s">
        <v>3032</v>
      </c>
      <c r="H1071" s="33" t="n">
        <f aca="false">Packages!$AB$102</f>
        <v>455.32146831523</v>
      </c>
      <c r="I1071" s="15" t="s">
        <v>3019</v>
      </c>
      <c r="J1071" s="34" t="n">
        <f aca="false">MAX(1,ROUNDUP(Packages!$AB$102/(R_BF*Fronts!$M$9),0))</f>
        <v>2</v>
      </c>
      <c r="K1071" s="34" t="n">
        <f aca="false">IF(J1071=0,0,ROUNDUP(J1071*7/WD,0))</f>
        <v>3</v>
      </c>
      <c r="L1071" s="15" t="s">
        <v>4466</v>
      </c>
      <c r="M1071" s="34" t="n">
        <f aca="false">ROUNDUP(K1070*LADDER,0)</f>
        <v>2</v>
      </c>
      <c r="N1071" s="34" t="n">
        <f aca="false">IF(K1071=0,0,FFLAG)</f>
        <v>2</v>
      </c>
      <c r="O1071" s="15"/>
      <c r="P1071" s="16" t="n">
        <f aca="false">MAX(P1070+M1071,R1060)</f>
        <v>46615</v>
      </c>
      <c r="Q1071" s="16" t="n">
        <f aca="false">MAX(P1071+K1071,Q1070+N1071)</f>
        <v>46624</v>
      </c>
      <c r="R1071" s="16" t="n">
        <f aca="false">IF(K1071&gt;0,Q1071,R1060)</f>
        <v>46624</v>
      </c>
      <c r="S1071" s="15" t="s">
        <v>4452</v>
      </c>
    </row>
    <row r="1072" customFormat="false" ht="15" hidden="false" customHeight="false" outlineLevel="0" collapsed="false">
      <c r="A1072" s="15" t="s">
        <v>4468</v>
      </c>
      <c r="B1072" s="15" t="s">
        <v>4455</v>
      </c>
      <c r="C1072" s="15" t="s">
        <v>397</v>
      </c>
      <c r="D1072" s="15" t="s">
        <v>873</v>
      </c>
      <c r="E1072" s="15" t="s">
        <v>891</v>
      </c>
      <c r="F1072" s="15" t="s">
        <v>3034</v>
      </c>
      <c r="G1072" s="15" t="s">
        <v>3035</v>
      </c>
      <c r="H1072" s="33" t="n">
        <f aca="false">Packages!$AD$102</f>
        <v>80.0000000009377</v>
      </c>
      <c r="I1072" s="15" t="s">
        <v>3012</v>
      </c>
      <c r="J1072" s="34" t="n">
        <f aca="false">IF(Packages!$AD$102&gt;0,ROUNDUP(Packages!$AD$102/R_EXT,0),0)+IF(Packages!$AG$102&gt;0,1,0)</f>
        <v>3</v>
      </c>
      <c r="K1072" s="34" t="n">
        <f aca="false">IF(J1072=0,0,ROUNDUP(J1072*7/WD,0))</f>
        <v>4</v>
      </c>
      <c r="L1072" s="15" t="s">
        <v>4467</v>
      </c>
      <c r="M1072" s="34" t="n">
        <f aca="false">ROUNDUP(K1071*LADDER,0)</f>
        <v>1</v>
      </c>
      <c r="N1072" s="34" t="n">
        <f aca="false">IF(K1072=0,0,FFLAG)</f>
        <v>2</v>
      </c>
      <c r="O1072" s="15"/>
      <c r="P1072" s="16" t="n">
        <f aca="false">MAX(P1071+M1072)</f>
        <v>46616</v>
      </c>
      <c r="Q1072" s="16" t="n">
        <f aca="false">MAX(P1072+K1072,Q1071+N1072)</f>
        <v>46626</v>
      </c>
      <c r="R1072" s="12"/>
      <c r="S1072" s="12"/>
    </row>
    <row r="1073" customFormat="false" ht="15" hidden="false" customHeight="false" outlineLevel="0" collapsed="false">
      <c r="A1073" s="15" t="s">
        <v>4469</v>
      </c>
      <c r="B1073" s="15" t="s">
        <v>4470</v>
      </c>
      <c r="C1073" s="15" t="s">
        <v>397</v>
      </c>
      <c r="D1073" s="15" t="s">
        <v>873</v>
      </c>
      <c r="E1073" s="15" t="s">
        <v>879</v>
      </c>
      <c r="F1073" s="15" t="s">
        <v>2998</v>
      </c>
      <c r="G1073" s="15" t="s">
        <v>2999</v>
      </c>
      <c r="H1073" s="12"/>
      <c r="I1073" s="12"/>
      <c r="J1073" s="34" t="n">
        <f aca="false">0</f>
        <v>0</v>
      </c>
      <c r="K1073" s="34" t="n">
        <f aca="false">IF(J1073=0,0,ROUNDUP(J1073*7/WD,0))</f>
        <v>0</v>
      </c>
      <c r="L1073" s="12"/>
      <c r="M1073" s="12"/>
      <c r="N1073" s="12"/>
      <c r="O1073" s="15" t="s">
        <v>3000</v>
      </c>
      <c r="P1073" s="16" t="n">
        <f aca="false">MAX(START,D_DLU,Packages!$I$103,Packages!$K$103)</f>
        <v>46357</v>
      </c>
      <c r="Q1073" s="16" t="n">
        <f aca="false">P1073+K1073</f>
        <v>46357</v>
      </c>
      <c r="R1073" s="12"/>
      <c r="S1073" s="12"/>
    </row>
    <row r="1074" customFormat="false" ht="15" hidden="false" customHeight="false" outlineLevel="0" collapsed="false">
      <c r="A1074" s="15" t="s">
        <v>4471</v>
      </c>
      <c r="B1074" s="15" t="s">
        <v>4470</v>
      </c>
      <c r="C1074" s="15" t="s">
        <v>397</v>
      </c>
      <c r="D1074" s="15" t="s">
        <v>873</v>
      </c>
      <c r="E1074" s="15" t="s">
        <v>879</v>
      </c>
      <c r="F1074" s="15" t="s">
        <v>3002</v>
      </c>
      <c r="G1074" s="15" t="s">
        <v>205</v>
      </c>
      <c r="H1074" s="33" t="n">
        <f aca="false">Packages!$O$103</f>
        <v>69.9458040947557</v>
      </c>
      <c r="I1074" s="15" t="s">
        <v>118</v>
      </c>
      <c r="J1074" s="34" t="n">
        <f aca="false">MAX(1,ROUNDUP(Packages!$O$103/R_PLAT,0))</f>
        <v>1</v>
      </c>
      <c r="K1074" s="34" t="n">
        <f aca="false">IF(J1074=0,0,ROUNDUP(J1074*7/WD,0))</f>
        <v>2</v>
      </c>
      <c r="L1074" s="15" t="s">
        <v>4469</v>
      </c>
      <c r="M1074" s="12"/>
      <c r="N1074" s="12"/>
      <c r="O1074" s="15" t="s">
        <v>4472</v>
      </c>
      <c r="P1074" s="16" t="n">
        <f aca="false">MAX(Q1073,P1064)</f>
        <v>46436</v>
      </c>
      <c r="Q1074" s="16" t="n">
        <f aca="false">P1074+K1074</f>
        <v>46438</v>
      </c>
      <c r="R1074" s="12"/>
      <c r="S1074" s="12"/>
    </row>
    <row r="1075" customFormat="false" ht="15" hidden="false" customHeight="false" outlineLevel="0" collapsed="false">
      <c r="A1075" s="15" t="s">
        <v>4473</v>
      </c>
      <c r="B1075" s="15" t="s">
        <v>4470</v>
      </c>
      <c r="C1075" s="15" t="s">
        <v>397</v>
      </c>
      <c r="D1075" s="15" t="s">
        <v>873</v>
      </c>
      <c r="E1075" s="15" t="s">
        <v>879</v>
      </c>
      <c r="F1075" s="15" t="s">
        <v>3005</v>
      </c>
      <c r="G1075" s="15" t="s">
        <v>3006</v>
      </c>
      <c r="H1075" s="33" t="n">
        <f aca="false">Packages!$AC$103</f>
        <v>50</v>
      </c>
      <c r="I1075" s="15" t="s">
        <v>3007</v>
      </c>
      <c r="J1075" s="34" t="n">
        <f aca="false">IF(Packages!$AC$103=0,0,MAX(1,ROUNDUP(Packages!$AC$103/(R_PILE*Fronts!$H$9),0)))</f>
        <v>10</v>
      </c>
      <c r="K1075" s="34" t="n">
        <f aca="false">IF(J1075=0,0,ROUNDUP(J1075*7/WD,0))</f>
        <v>12</v>
      </c>
      <c r="L1075" s="15" t="s">
        <v>4471</v>
      </c>
      <c r="M1075" s="34" t="n">
        <f aca="false">ROUNDUP(K1074*LADDER,0)</f>
        <v>1</v>
      </c>
      <c r="N1075" s="34" t="n">
        <f aca="false">IF(K1075=0,0,FFLAG)</f>
        <v>2</v>
      </c>
      <c r="O1075" s="15" t="s">
        <v>3008</v>
      </c>
      <c r="P1075" s="16" t="n">
        <f aca="false">MAX(P1074+M1075,D_PILEDES,R1064)</f>
        <v>46448</v>
      </c>
      <c r="Q1075" s="16" t="n">
        <f aca="false">MAX(P1075+K1075,Q1074+N1075)</f>
        <v>46460</v>
      </c>
      <c r="R1075" s="16" t="n">
        <f aca="false">IF(K1075&gt;0,Q1075,R1064)</f>
        <v>46460</v>
      </c>
      <c r="S1075" s="15" t="s">
        <v>4458</v>
      </c>
    </row>
    <row r="1076" customFormat="false" ht="15" hidden="false" customHeight="false" outlineLevel="0" collapsed="false">
      <c r="A1076" s="15" t="s">
        <v>4474</v>
      </c>
      <c r="B1076" s="15" t="s">
        <v>4470</v>
      </c>
      <c r="C1076" s="15" t="s">
        <v>397</v>
      </c>
      <c r="D1076" s="15" t="s">
        <v>873</v>
      </c>
      <c r="E1076" s="15" t="s">
        <v>879</v>
      </c>
      <c r="F1076" s="15" t="s">
        <v>3010</v>
      </c>
      <c r="G1076" s="15" t="s">
        <v>3011</v>
      </c>
      <c r="H1076" s="33" t="n">
        <f aca="false">Packages!$AD$103</f>
        <v>0</v>
      </c>
      <c r="I1076" s="15" t="s">
        <v>3012</v>
      </c>
      <c r="J1076" s="34" t="n">
        <f aca="false">IF(Packages!$AD$103=0,0,MAX(1,ROUNDUP(Packages!$AD$103/(R_SHEET*Fronts!$I$9),0)))</f>
        <v>0</v>
      </c>
      <c r="K1076" s="34" t="n">
        <f aca="false">IF(J1076=0,0,ROUNDUP(J1076*7/WD,0))</f>
        <v>0</v>
      </c>
      <c r="L1076" s="15" t="s">
        <v>4473</v>
      </c>
      <c r="M1076" s="34" t="n">
        <f aca="false">ROUNDUP(K1075*LADDER,0)</f>
        <v>4</v>
      </c>
      <c r="N1076" s="34" t="n">
        <f aca="false">IF(K1076=0,0,FFLAG)</f>
        <v>0</v>
      </c>
      <c r="O1076" s="15"/>
      <c r="P1076" s="16" t="n">
        <f aca="false">MAX(P1075+M1076,R1065)</f>
        <v>46452</v>
      </c>
      <c r="Q1076" s="16" t="n">
        <f aca="false">MAX(P1076+K1076,Q1075+N1076)</f>
        <v>46460</v>
      </c>
      <c r="R1076" s="16" t="n">
        <f aca="false">IF(K1076&gt;0,Q1076,R1065)</f>
        <v>46450</v>
      </c>
      <c r="S1076" s="15" t="s">
        <v>4459</v>
      </c>
    </row>
    <row r="1077" customFormat="false" ht="15" hidden="false" customHeight="false" outlineLevel="0" collapsed="false">
      <c r="A1077" s="15" t="s">
        <v>4475</v>
      </c>
      <c r="B1077" s="15" t="s">
        <v>4470</v>
      </c>
      <c r="C1077" s="15" t="s">
        <v>397</v>
      </c>
      <c r="D1077" s="15" t="s">
        <v>873</v>
      </c>
      <c r="E1077" s="15" t="s">
        <v>879</v>
      </c>
      <c r="F1077" s="15" t="s">
        <v>3014</v>
      </c>
      <c r="G1077" s="15" t="s">
        <v>3015</v>
      </c>
      <c r="H1077" s="33" t="n">
        <f aca="false">Packages!$O$103</f>
        <v>69.9458040947557</v>
      </c>
      <c r="I1077" s="15" t="s">
        <v>118</v>
      </c>
      <c r="J1077" s="34" t="n">
        <f aca="false">IF(Packages!$AG$103=0,0,ROUNDUP(Packages!$O$103/R_DW,0)+DW_DRAW)</f>
        <v>9</v>
      </c>
      <c r="K1077" s="34" t="n">
        <f aca="false">IF(J1077=0,0,ROUNDUP(J1077*7/WD,0))</f>
        <v>11</v>
      </c>
      <c r="L1077" s="15" t="s">
        <v>4474</v>
      </c>
      <c r="M1077" s="34" t="n">
        <f aca="false">ROUNDUP(K1076*LADDER,0)</f>
        <v>0</v>
      </c>
      <c r="N1077" s="34" t="n">
        <f aca="false">IF(K1077=0,0,FFLAG)</f>
        <v>2</v>
      </c>
      <c r="O1077" s="15" t="s">
        <v>4476</v>
      </c>
      <c r="P1077" s="16" t="n">
        <f aca="false">MAX(P1076+M1077,Q1067-K1077)</f>
        <v>46564</v>
      </c>
      <c r="Q1077" s="16" t="n">
        <f aca="false">MAX(P1077+K1077,Q1076+N1077)</f>
        <v>46575</v>
      </c>
      <c r="R1077" s="12"/>
      <c r="S1077" s="12"/>
    </row>
    <row r="1078" customFormat="false" ht="15" hidden="false" customHeight="false" outlineLevel="0" collapsed="false">
      <c r="A1078" s="15" t="s">
        <v>4477</v>
      </c>
      <c r="B1078" s="15" t="s">
        <v>4470</v>
      </c>
      <c r="C1078" s="15" t="s">
        <v>397</v>
      </c>
      <c r="D1078" s="15" t="s">
        <v>873</v>
      </c>
      <c r="E1078" s="15" t="s">
        <v>879</v>
      </c>
      <c r="F1078" s="15" t="s">
        <v>3017</v>
      </c>
      <c r="G1078" s="15" t="s">
        <v>3018</v>
      </c>
      <c r="H1078" s="33" t="n">
        <f aca="false">Packages!$X$103+Packages!$Y$103</f>
        <v>952.931866307583</v>
      </c>
      <c r="I1078" s="15" t="s">
        <v>3019</v>
      </c>
      <c r="J1078" s="34" t="n">
        <f aca="false">MAX(1,ROUNDUP((Packages!$X$103/R_EXS+Packages!$Y$103/R_EXO)/Fronts!$J$9,0))</f>
        <v>3</v>
      </c>
      <c r="K1078" s="34" t="n">
        <f aca="false">IF(J1078=0,0,ROUNDUP(J1078*7/WD,0))</f>
        <v>4</v>
      </c>
      <c r="L1078" s="15" t="s">
        <v>4475</v>
      </c>
      <c r="M1078" s="34" t="n">
        <f aca="false">IF(K1077=0,0,ROUNDUP((K1077-ROUNDUP(DW_DRAW*7/WD,0))*LADDER,0)+ROUNDUP(DW_DRAW*7/WD,0))</f>
        <v>10</v>
      </c>
      <c r="N1078" s="34" t="n">
        <f aca="false">IF(K1078=0,0,FFLAG)</f>
        <v>2</v>
      </c>
      <c r="O1078" s="15"/>
      <c r="P1078" s="16" t="n">
        <f aca="false">MAX(P1077+M1078,R1067)</f>
        <v>46575</v>
      </c>
      <c r="Q1078" s="16" t="n">
        <f aca="false">MAX(P1078+K1078,Q1077+N1078)</f>
        <v>46579</v>
      </c>
      <c r="R1078" s="16" t="n">
        <f aca="false">IF(K1078&gt;0,Q1078,R1067)</f>
        <v>46579</v>
      </c>
      <c r="S1078" s="15" t="s">
        <v>4462</v>
      </c>
    </row>
    <row r="1079" customFormat="false" ht="15" hidden="false" customHeight="false" outlineLevel="0" collapsed="false">
      <c r="A1079" s="15" t="s">
        <v>4478</v>
      </c>
      <c r="B1079" s="15" t="s">
        <v>4470</v>
      </c>
      <c r="C1079" s="15" t="s">
        <v>397</v>
      </c>
      <c r="D1079" s="15" t="s">
        <v>873</v>
      </c>
      <c r="E1079" s="15" t="s">
        <v>879</v>
      </c>
      <c r="F1079" s="15" t="s">
        <v>3022</v>
      </c>
      <c r="G1079" s="15" t="s">
        <v>3023</v>
      </c>
      <c r="H1079" s="33" t="n">
        <f aca="false">Packages!$O$103</f>
        <v>69.9458040947557</v>
      </c>
      <c r="I1079" s="15" t="s">
        <v>118</v>
      </c>
      <c r="J1079" s="34" t="n">
        <f aca="false">MAX(1,ROUNDUP(Packages!$O$103/(R_SLAB*Fronts!$K$9),0))+SLAB_CURE</f>
        <v>9</v>
      </c>
      <c r="K1079" s="34" t="n">
        <f aca="false">IF(J1079=0,0,ROUNDUP(J1079*7/WD,0))</f>
        <v>11</v>
      </c>
      <c r="L1079" s="15" t="s">
        <v>4477</v>
      </c>
      <c r="M1079" s="34" t="n">
        <f aca="false">ROUNDUP(K1078*LADDER,0)</f>
        <v>2</v>
      </c>
      <c r="N1079" s="34" t="n">
        <f aca="false">IF(K1079=0,0,FFLAG)</f>
        <v>2</v>
      </c>
      <c r="O1079" s="15"/>
      <c r="P1079" s="16" t="n">
        <f aca="false">MAX(P1078+M1079,R1068)</f>
        <v>46618</v>
      </c>
      <c r="Q1079" s="16" t="n">
        <f aca="false">MAX(P1079+K1079,Q1078+N1079)</f>
        <v>46629</v>
      </c>
      <c r="R1079" s="16" t="n">
        <f aca="false">IF(K1079&gt;0,Q1079,R1068)</f>
        <v>46629</v>
      </c>
      <c r="S1079" s="15" t="s">
        <v>4464</v>
      </c>
    </row>
    <row r="1080" customFormat="false" ht="15" hidden="false" customHeight="false" outlineLevel="0" collapsed="false">
      <c r="A1080" s="15" t="s">
        <v>4479</v>
      </c>
      <c r="B1080" s="15" t="s">
        <v>4470</v>
      </c>
      <c r="C1080" s="15" t="s">
        <v>397</v>
      </c>
      <c r="D1080" s="15" t="s">
        <v>873</v>
      </c>
      <c r="E1080" s="15" t="s">
        <v>879</v>
      </c>
      <c r="F1080" s="15" t="s">
        <v>3025</v>
      </c>
      <c r="G1080" s="15" t="s">
        <v>3026</v>
      </c>
      <c r="H1080" s="33" t="n">
        <f aca="false">Packages!$O$103</f>
        <v>69.9458040947557</v>
      </c>
      <c r="I1080" s="15" t="s">
        <v>118</v>
      </c>
      <c r="J1080" s="34" t="n">
        <f aca="false">MAX(1,ROUNDUP(Packages!$O$103/(IF(Packages!$N$103&gt;=PIPE_T1,R_PIPE_L,IF(Packages!$N$103&gt;=PIPE_T2,R_PIPE_M,R_PIPE_S))*Fronts!$L$9)+Packages!$M$103*FIT_D+IF(Packages!$G$103&lt;&gt;"Run",TIE_D,0),0))</f>
        <v>3</v>
      </c>
      <c r="K1080" s="34" t="n">
        <f aca="false">IF(J1080=0,0,ROUNDUP(J1080*7/WD,0))</f>
        <v>4</v>
      </c>
      <c r="L1080" s="15" t="s">
        <v>4478</v>
      </c>
      <c r="M1080" s="34" t="n">
        <f aca="false">ROUNDUP(K1079*LADDER,0)</f>
        <v>4</v>
      </c>
      <c r="N1080" s="34" t="n">
        <f aca="false">IF(K1080=0,0,FFLAG)</f>
        <v>2</v>
      </c>
      <c r="O1080" s="15"/>
      <c r="P1080" s="16" t="n">
        <f aca="false">MAX(P1079+M1080,R1069)</f>
        <v>46622</v>
      </c>
      <c r="Q1080" s="16" t="n">
        <f aca="false">MAX(P1080+K1080,Q1079+N1080)</f>
        <v>46631</v>
      </c>
      <c r="R1080" s="16" t="n">
        <f aca="false">IF(K1080&gt;0,Q1080,R1069)</f>
        <v>46631</v>
      </c>
      <c r="S1080" s="15" t="s">
        <v>4465</v>
      </c>
    </row>
    <row r="1081" customFormat="false" ht="15" hidden="false" customHeight="false" outlineLevel="0" collapsed="false">
      <c r="A1081" s="15" t="s">
        <v>4480</v>
      </c>
      <c r="B1081" s="15" t="s">
        <v>4470</v>
      </c>
      <c r="C1081" s="15" t="s">
        <v>397</v>
      </c>
      <c r="D1081" s="15" t="s">
        <v>873</v>
      </c>
      <c r="E1081" s="15" t="s">
        <v>879</v>
      </c>
      <c r="F1081" s="15" t="s">
        <v>3028</v>
      </c>
      <c r="G1081" s="15" t="s">
        <v>3029</v>
      </c>
      <c r="H1081" s="33" t="n">
        <f aca="false">Packages!$O$103</f>
        <v>69.9458040947557</v>
      </c>
      <c r="I1081" s="15" t="s">
        <v>118</v>
      </c>
      <c r="J1081" s="34" t="n">
        <f aca="false">TEST_D+ROUNDUP(Packages!$O$103/R_TEST,0)</f>
        <v>3</v>
      </c>
      <c r="K1081" s="34" t="n">
        <f aca="false">IF(J1081=0,0,ROUNDUP(J1081*7/WD,0))</f>
        <v>4</v>
      </c>
      <c r="L1081" s="15" t="s">
        <v>4479</v>
      </c>
      <c r="M1081" s="34" t="n">
        <f aca="false">ROUNDUP(K1080*LADDER,0)</f>
        <v>2</v>
      </c>
      <c r="N1081" s="34" t="n">
        <f aca="false">IF(K1081=0,0,FFLAG)</f>
        <v>2</v>
      </c>
      <c r="O1081" s="15"/>
      <c r="P1081" s="16" t="n">
        <f aca="false">MAX(P1080+M1081)</f>
        <v>46624</v>
      </c>
      <c r="Q1081" s="16" t="n">
        <f aca="false">MAX(P1081+K1081,Q1080+N1081)</f>
        <v>46633</v>
      </c>
      <c r="R1081" s="12"/>
      <c r="S1081" s="12"/>
    </row>
    <row r="1082" customFormat="false" ht="15" hidden="false" customHeight="false" outlineLevel="0" collapsed="false">
      <c r="A1082" s="15" t="s">
        <v>4481</v>
      </c>
      <c r="B1082" s="15" t="s">
        <v>4470</v>
      </c>
      <c r="C1082" s="15" t="s">
        <v>397</v>
      </c>
      <c r="D1082" s="15" t="s">
        <v>873</v>
      </c>
      <c r="E1082" s="15" t="s">
        <v>879</v>
      </c>
      <c r="F1082" s="15" t="s">
        <v>3031</v>
      </c>
      <c r="G1082" s="15" t="s">
        <v>3032</v>
      </c>
      <c r="H1082" s="33" t="n">
        <f aca="false">Packages!$AB$103</f>
        <v>796.884794588959</v>
      </c>
      <c r="I1082" s="15" t="s">
        <v>3019</v>
      </c>
      <c r="J1082" s="34" t="n">
        <f aca="false">MAX(1,ROUNDUP(Packages!$AB$103/(R_BF*Fronts!$M$9),0))</f>
        <v>3</v>
      </c>
      <c r="K1082" s="34" t="n">
        <f aca="false">IF(J1082=0,0,ROUNDUP(J1082*7/WD,0))</f>
        <v>4</v>
      </c>
      <c r="L1082" s="15" t="s">
        <v>4480</v>
      </c>
      <c r="M1082" s="34" t="n">
        <f aca="false">ROUNDUP(K1081*LADDER,0)</f>
        <v>2</v>
      </c>
      <c r="N1082" s="34" t="n">
        <f aca="false">IF(K1082=0,0,FFLAG)</f>
        <v>2</v>
      </c>
      <c r="O1082" s="15"/>
      <c r="P1082" s="16" t="n">
        <f aca="false">MAX(P1081+M1082,R1071)</f>
        <v>46626</v>
      </c>
      <c r="Q1082" s="16" t="n">
        <f aca="false">MAX(P1082+K1082,Q1081+N1082)</f>
        <v>46635</v>
      </c>
      <c r="R1082" s="16" t="n">
        <f aca="false">IF(K1082&gt;0,Q1082,R1071)</f>
        <v>46635</v>
      </c>
      <c r="S1082" s="15" t="s">
        <v>4467</v>
      </c>
    </row>
    <row r="1083" customFormat="false" ht="15" hidden="false" customHeight="false" outlineLevel="0" collapsed="false">
      <c r="A1083" s="15" t="s">
        <v>4482</v>
      </c>
      <c r="B1083" s="15" t="s">
        <v>4470</v>
      </c>
      <c r="C1083" s="15" t="s">
        <v>397</v>
      </c>
      <c r="D1083" s="15" t="s">
        <v>873</v>
      </c>
      <c r="E1083" s="15" t="s">
        <v>879</v>
      </c>
      <c r="F1083" s="15" t="s">
        <v>3034</v>
      </c>
      <c r="G1083" s="15" t="s">
        <v>3035</v>
      </c>
      <c r="H1083" s="33" t="n">
        <f aca="false">Packages!$AD$103</f>
        <v>0</v>
      </c>
      <c r="I1083" s="15" t="s">
        <v>3012</v>
      </c>
      <c r="J1083" s="34" t="n">
        <f aca="false">IF(Packages!$AD$103&gt;0,ROUNDUP(Packages!$AD$103/R_EXT,0),0)+IF(Packages!$AG$103&gt;0,1,0)</f>
        <v>1</v>
      </c>
      <c r="K1083" s="34" t="n">
        <f aca="false">IF(J1083=0,0,ROUNDUP(J1083*7/WD,0))</f>
        <v>2</v>
      </c>
      <c r="L1083" s="15" t="s">
        <v>4481</v>
      </c>
      <c r="M1083" s="34" t="n">
        <f aca="false">ROUNDUP(K1082*LADDER,0)</f>
        <v>2</v>
      </c>
      <c r="N1083" s="34" t="n">
        <f aca="false">IF(K1083=0,0,FFLAG)</f>
        <v>2</v>
      </c>
      <c r="O1083" s="15"/>
      <c r="P1083" s="16" t="n">
        <f aca="false">MAX(P1082+M1083)</f>
        <v>46628</v>
      </c>
      <c r="Q1083" s="16" t="n">
        <f aca="false">MAX(P1083+K1083,Q1082+N1083)</f>
        <v>46637</v>
      </c>
      <c r="R1083" s="12"/>
      <c r="S1083" s="12"/>
    </row>
    <row r="1084" customFormat="false" ht="15" hidden="false" customHeight="false" outlineLevel="0" collapsed="false">
      <c r="A1084" s="15" t="s">
        <v>4483</v>
      </c>
      <c r="B1084" s="15" t="s">
        <v>4484</v>
      </c>
      <c r="C1084" s="15" t="s">
        <v>397</v>
      </c>
      <c r="D1084" s="15" t="s">
        <v>873</v>
      </c>
      <c r="E1084" s="15" t="s">
        <v>874</v>
      </c>
      <c r="F1084" s="15" t="s">
        <v>2998</v>
      </c>
      <c r="G1084" s="15" t="s">
        <v>2999</v>
      </c>
      <c r="H1084" s="12"/>
      <c r="I1084" s="12"/>
      <c r="J1084" s="34" t="n">
        <f aca="false">0</f>
        <v>0</v>
      </c>
      <c r="K1084" s="34" t="n">
        <f aca="false">IF(J1084=0,0,ROUNDUP(J1084*7/WD,0))</f>
        <v>0</v>
      </c>
      <c r="L1084" s="12"/>
      <c r="M1084" s="12"/>
      <c r="N1084" s="12"/>
      <c r="O1084" s="15" t="s">
        <v>3038</v>
      </c>
      <c r="P1084" s="16" t="n">
        <f aca="false">MAX(START,D_DLU,Packages!$I$104,Packages!$K$104)</f>
        <v>46357</v>
      </c>
      <c r="Q1084" s="16" t="n">
        <f aca="false">P1084+K1084</f>
        <v>46357</v>
      </c>
      <c r="R1084" s="12"/>
      <c r="S1084" s="12"/>
    </row>
    <row r="1085" customFormat="false" ht="15" hidden="false" customHeight="false" outlineLevel="0" collapsed="false">
      <c r="A1085" s="15" t="s">
        <v>4485</v>
      </c>
      <c r="B1085" s="15" t="s">
        <v>4484</v>
      </c>
      <c r="C1085" s="15" t="s">
        <v>397</v>
      </c>
      <c r="D1085" s="15" t="s">
        <v>873</v>
      </c>
      <c r="E1085" s="15" t="s">
        <v>874</v>
      </c>
      <c r="F1085" s="15" t="s">
        <v>3002</v>
      </c>
      <c r="G1085" s="15" t="s">
        <v>205</v>
      </c>
      <c r="H1085" s="33" t="n">
        <f aca="false">Packages!$O$104</f>
        <v>15.254195905686</v>
      </c>
      <c r="I1085" s="15" t="s">
        <v>118</v>
      </c>
      <c r="J1085" s="34" t="n">
        <f aca="false">MAX(1,ROUNDUP(Packages!$O$104/R_PLAT,0))</f>
        <v>1</v>
      </c>
      <c r="K1085" s="34" t="n">
        <f aca="false">IF(J1085=0,0,ROUNDUP(J1085*7/WD,0))</f>
        <v>2</v>
      </c>
      <c r="L1085" s="15" t="s">
        <v>4483</v>
      </c>
      <c r="M1085" s="12"/>
      <c r="N1085" s="12"/>
      <c r="O1085" s="15" t="s">
        <v>4486</v>
      </c>
      <c r="P1085" s="16" t="n">
        <f aca="false">MAX(Q1084,P1075)</f>
        <v>46448</v>
      </c>
      <c r="Q1085" s="16" t="n">
        <f aca="false">P1085+K1085</f>
        <v>46450</v>
      </c>
      <c r="R1085" s="12"/>
      <c r="S1085" s="12"/>
    </row>
    <row r="1086" customFormat="false" ht="15" hidden="false" customHeight="false" outlineLevel="0" collapsed="false">
      <c r="A1086" s="15" t="s">
        <v>4487</v>
      </c>
      <c r="B1086" s="15" t="s">
        <v>4484</v>
      </c>
      <c r="C1086" s="15" t="s">
        <v>397</v>
      </c>
      <c r="D1086" s="15" t="s">
        <v>873</v>
      </c>
      <c r="E1086" s="15" t="s">
        <v>874</v>
      </c>
      <c r="F1086" s="15" t="s">
        <v>3005</v>
      </c>
      <c r="G1086" s="15" t="s">
        <v>3006</v>
      </c>
      <c r="H1086" s="33" t="n">
        <f aca="false">Packages!$AC$104</f>
        <v>14</v>
      </c>
      <c r="I1086" s="15" t="s">
        <v>3007</v>
      </c>
      <c r="J1086" s="34" t="n">
        <f aca="false">IF(Packages!$AC$104=0,0,MAX(1,ROUNDUP(Packages!$AC$104/(R_PILE*Fronts!$H$9),0)))</f>
        <v>3</v>
      </c>
      <c r="K1086" s="34" t="n">
        <f aca="false">IF(J1086=0,0,ROUNDUP(J1086*7/WD,0))</f>
        <v>4</v>
      </c>
      <c r="L1086" s="15" t="s">
        <v>4485</v>
      </c>
      <c r="M1086" s="34" t="n">
        <f aca="false">ROUNDUP(K1085*LADDER,0)</f>
        <v>1</v>
      </c>
      <c r="N1086" s="34" t="n">
        <f aca="false">IF(K1086=0,0,FFLAG)</f>
        <v>2</v>
      </c>
      <c r="O1086" s="15" t="s">
        <v>3008</v>
      </c>
      <c r="P1086" s="16" t="n">
        <f aca="false">MAX(P1085+M1086,D_PILEDES)</f>
        <v>46449</v>
      </c>
      <c r="Q1086" s="16" t="n">
        <f aca="false">MAX(P1086+K1086,Q1085+N1086)</f>
        <v>46453</v>
      </c>
      <c r="R1086" s="16" t="n">
        <f aca="false">IF(K1086&gt;0,Q1086,0)</f>
        <v>46453</v>
      </c>
      <c r="S1086" s="12"/>
    </row>
    <row r="1087" customFormat="false" ht="15" hidden="false" customHeight="false" outlineLevel="0" collapsed="false">
      <c r="A1087" s="15" t="s">
        <v>4488</v>
      </c>
      <c r="B1087" s="15" t="s">
        <v>4484</v>
      </c>
      <c r="C1087" s="15" t="s">
        <v>397</v>
      </c>
      <c r="D1087" s="15" t="s">
        <v>873</v>
      </c>
      <c r="E1087" s="15" t="s">
        <v>874</v>
      </c>
      <c r="F1087" s="15" t="s">
        <v>3010</v>
      </c>
      <c r="G1087" s="15" t="s">
        <v>3011</v>
      </c>
      <c r="H1087" s="33" t="n">
        <f aca="false">Packages!$AD$104</f>
        <v>0</v>
      </c>
      <c r="I1087" s="15" t="s">
        <v>3012</v>
      </c>
      <c r="J1087" s="34" t="n">
        <f aca="false">IF(Packages!$AD$104=0,0,MAX(1,ROUNDUP(Packages!$AD$104/(R_SHEET*Fronts!$I$9),0)))</f>
        <v>0</v>
      </c>
      <c r="K1087" s="34" t="n">
        <f aca="false">IF(J1087=0,0,ROUNDUP(J1087*7/WD,0))</f>
        <v>0</v>
      </c>
      <c r="L1087" s="15" t="s">
        <v>4487</v>
      </c>
      <c r="M1087" s="34" t="n">
        <f aca="false">ROUNDUP(K1086*LADDER,0)</f>
        <v>2</v>
      </c>
      <c r="N1087" s="34" t="n">
        <f aca="false">IF(K1087=0,0,FFLAG)</f>
        <v>0</v>
      </c>
      <c r="O1087" s="15"/>
      <c r="P1087" s="16" t="n">
        <f aca="false">MAX(P1086+M1087)</f>
        <v>46451</v>
      </c>
      <c r="Q1087" s="16" t="n">
        <f aca="false">MAX(P1087+K1087,Q1086+N1087)</f>
        <v>46453</v>
      </c>
      <c r="R1087" s="16" t="n">
        <f aca="false">IF(K1087&gt;0,Q1087,0)</f>
        <v>0</v>
      </c>
      <c r="S1087" s="12"/>
    </row>
    <row r="1088" customFormat="false" ht="15" hidden="false" customHeight="false" outlineLevel="0" collapsed="false">
      <c r="A1088" s="15" t="s">
        <v>4489</v>
      </c>
      <c r="B1088" s="15" t="s">
        <v>4484</v>
      </c>
      <c r="C1088" s="15" t="s">
        <v>397</v>
      </c>
      <c r="D1088" s="15" t="s">
        <v>873</v>
      </c>
      <c r="E1088" s="15" t="s">
        <v>874</v>
      </c>
      <c r="F1088" s="15" t="s">
        <v>3014</v>
      </c>
      <c r="G1088" s="15" t="s">
        <v>3015</v>
      </c>
      <c r="H1088" s="33" t="n">
        <f aca="false">Packages!$O$104</f>
        <v>15.254195905686</v>
      </c>
      <c r="I1088" s="15" t="s">
        <v>118</v>
      </c>
      <c r="J1088" s="34" t="n">
        <f aca="false">IF(Packages!$AG$104=0,0,ROUNDUP(Packages!$O$104/R_DW,0)+DW_DRAW)</f>
        <v>8</v>
      </c>
      <c r="K1088" s="34" t="n">
        <f aca="false">IF(J1088=0,0,ROUNDUP(J1088*7/WD,0))</f>
        <v>10</v>
      </c>
      <c r="L1088" s="15" t="s">
        <v>4488</v>
      </c>
      <c r="M1088" s="34" t="n">
        <f aca="false">ROUNDUP(K1087*LADDER,0)</f>
        <v>0</v>
      </c>
      <c r="N1088" s="34" t="n">
        <f aca="false">IF(K1088=0,0,FFLAG)</f>
        <v>2</v>
      </c>
      <c r="O1088" s="15"/>
      <c r="P1088" s="16" t="n">
        <f aca="false">MAX(P1087+M1088)</f>
        <v>46451</v>
      </c>
      <c r="Q1088" s="16" t="n">
        <f aca="false">MAX(P1088+K1088,Q1087+N1088)</f>
        <v>46461</v>
      </c>
      <c r="R1088" s="12"/>
      <c r="S1088" s="12"/>
    </row>
    <row r="1089" customFormat="false" ht="15" hidden="false" customHeight="false" outlineLevel="0" collapsed="false">
      <c r="A1089" s="15" t="s">
        <v>4490</v>
      </c>
      <c r="B1089" s="15" t="s">
        <v>4484</v>
      </c>
      <c r="C1089" s="15" t="s">
        <v>397</v>
      </c>
      <c r="D1089" s="15" t="s">
        <v>873</v>
      </c>
      <c r="E1089" s="15" t="s">
        <v>874</v>
      </c>
      <c r="F1089" s="15" t="s">
        <v>3017</v>
      </c>
      <c r="G1089" s="15" t="s">
        <v>3018</v>
      </c>
      <c r="H1089" s="33" t="n">
        <f aca="false">Packages!$X$104+Packages!$Y$104</f>
        <v>214.684895358001</v>
      </c>
      <c r="I1089" s="15" t="s">
        <v>3019</v>
      </c>
      <c r="J1089" s="34" t="n">
        <f aca="false">MAX(1,ROUNDUP((Packages!$X$104/R_EXS+Packages!$Y$104/R_EXO)/Fronts!$J$9,0))</f>
        <v>1</v>
      </c>
      <c r="K1089" s="34" t="n">
        <f aca="false">IF(J1089=0,0,ROUNDUP(J1089*7/WD,0))</f>
        <v>2</v>
      </c>
      <c r="L1089" s="15" t="s">
        <v>4489</v>
      </c>
      <c r="M1089" s="34" t="n">
        <f aca="false">IF(K1088=0,0,ROUNDUP((K1088-ROUNDUP(DW_DRAW*7/WD,0))*LADDER,0)+ROUNDUP(DW_DRAW*7/WD,0))</f>
        <v>10</v>
      </c>
      <c r="N1089" s="34" t="n">
        <f aca="false">IF(K1089=0,0,FFLAG)</f>
        <v>2</v>
      </c>
      <c r="O1089" s="15"/>
      <c r="P1089" s="16" t="n">
        <f aca="false">MAX(P1088+M1089)</f>
        <v>46461</v>
      </c>
      <c r="Q1089" s="16" t="n">
        <f aca="false">MAX(P1089+K1089,Q1088+N1089)</f>
        <v>46463</v>
      </c>
      <c r="R1089" s="16" t="n">
        <f aca="false">IF(K1089&gt;0,Q1089,0)</f>
        <v>46463</v>
      </c>
      <c r="S1089" s="12"/>
    </row>
    <row r="1090" customFormat="false" ht="15" hidden="false" customHeight="false" outlineLevel="0" collapsed="false">
      <c r="A1090" s="15" t="s">
        <v>4491</v>
      </c>
      <c r="B1090" s="15" t="s">
        <v>4484</v>
      </c>
      <c r="C1090" s="15" t="s">
        <v>397</v>
      </c>
      <c r="D1090" s="15" t="s">
        <v>873</v>
      </c>
      <c r="E1090" s="15" t="s">
        <v>874</v>
      </c>
      <c r="F1090" s="15" t="s">
        <v>3022</v>
      </c>
      <c r="G1090" s="15" t="s">
        <v>3023</v>
      </c>
      <c r="H1090" s="33" t="n">
        <f aca="false">Packages!$O$104</f>
        <v>15.254195905686</v>
      </c>
      <c r="I1090" s="15" t="s">
        <v>118</v>
      </c>
      <c r="J1090" s="34" t="n">
        <f aca="false">MAX(1,ROUNDUP(Packages!$O$104/(R_SLAB*Fronts!$K$9),0))+SLAB_CURE</f>
        <v>5</v>
      </c>
      <c r="K1090" s="34" t="n">
        <f aca="false">IF(J1090=0,0,ROUNDUP(J1090*7/WD,0))</f>
        <v>6</v>
      </c>
      <c r="L1090" s="15" t="s">
        <v>4490</v>
      </c>
      <c r="M1090" s="34" t="n">
        <f aca="false">ROUNDUP(K1089*LADDER,0)</f>
        <v>1</v>
      </c>
      <c r="N1090" s="34" t="n">
        <f aca="false">IF(K1090=0,0,FFLAG)</f>
        <v>2</v>
      </c>
      <c r="O1090" s="15"/>
      <c r="P1090" s="16" t="n">
        <f aca="false">MAX(P1089+M1090)</f>
        <v>46462</v>
      </c>
      <c r="Q1090" s="16" t="n">
        <f aca="false">MAX(P1090+K1090,Q1089+N1090)</f>
        <v>46468</v>
      </c>
      <c r="R1090" s="16" t="n">
        <f aca="false">IF(K1090&gt;0,Q1090,0)</f>
        <v>46468</v>
      </c>
      <c r="S1090" s="12"/>
    </row>
    <row r="1091" customFormat="false" ht="15" hidden="false" customHeight="false" outlineLevel="0" collapsed="false">
      <c r="A1091" s="15" t="s">
        <v>4492</v>
      </c>
      <c r="B1091" s="15" t="s">
        <v>4484</v>
      </c>
      <c r="C1091" s="15" t="s">
        <v>397</v>
      </c>
      <c r="D1091" s="15" t="s">
        <v>873</v>
      </c>
      <c r="E1091" s="15" t="s">
        <v>874</v>
      </c>
      <c r="F1091" s="15" t="s">
        <v>3025</v>
      </c>
      <c r="G1091" s="15" t="s">
        <v>3026</v>
      </c>
      <c r="H1091" s="33" t="n">
        <f aca="false">Packages!$O$104</f>
        <v>15.254195905686</v>
      </c>
      <c r="I1091" s="15" t="s">
        <v>118</v>
      </c>
      <c r="J1091" s="34" t="n">
        <f aca="false">MAX(1,ROUNDUP(Packages!$O$104/(IF(Packages!$N$104&gt;=PIPE_T1,R_PIPE_L,IF(Packages!$N$104&gt;=PIPE_T2,R_PIPE_M,R_PIPE_S))*Fronts!$L$9)+Packages!$M$104*FIT_D+IF(Packages!$G$104&lt;&gt;"Run",TIE_D,0),0))</f>
        <v>5</v>
      </c>
      <c r="K1091" s="34" t="n">
        <f aca="false">IF(J1091=0,0,ROUNDUP(J1091*7/WD,0))</f>
        <v>6</v>
      </c>
      <c r="L1091" s="15" t="s">
        <v>4491</v>
      </c>
      <c r="M1091" s="34" t="n">
        <f aca="false">ROUNDUP(K1090*LADDER,0)</f>
        <v>2</v>
      </c>
      <c r="N1091" s="34" t="n">
        <f aca="false">IF(K1091=0,0,FFLAG)</f>
        <v>2</v>
      </c>
      <c r="O1091" s="15" t="s">
        <v>4493</v>
      </c>
      <c r="P1091" s="16" t="n">
        <f aca="false">MAX(P1090+M1091,Q1080)</f>
        <v>46631</v>
      </c>
      <c r="Q1091" s="16" t="n">
        <f aca="false">MAX(P1091+K1091,Q1090+N1091)</f>
        <v>46637</v>
      </c>
      <c r="R1091" s="16" t="n">
        <f aca="false">IF(K1091&gt;0,Q1091,0)</f>
        <v>46637</v>
      </c>
      <c r="S1091" s="12"/>
    </row>
    <row r="1092" customFormat="false" ht="15" hidden="false" customHeight="false" outlineLevel="0" collapsed="false">
      <c r="A1092" s="15" t="s">
        <v>4494</v>
      </c>
      <c r="B1092" s="15" t="s">
        <v>4484</v>
      </c>
      <c r="C1092" s="15" t="s">
        <v>397</v>
      </c>
      <c r="D1092" s="15" t="s">
        <v>873</v>
      </c>
      <c r="E1092" s="15" t="s">
        <v>874</v>
      </c>
      <c r="F1092" s="15" t="s">
        <v>3028</v>
      </c>
      <c r="G1092" s="15" t="s">
        <v>3029</v>
      </c>
      <c r="H1092" s="33" t="n">
        <f aca="false">Packages!$O$104</f>
        <v>15.254195905686</v>
      </c>
      <c r="I1092" s="15" t="s">
        <v>118</v>
      </c>
      <c r="J1092" s="34" t="n">
        <f aca="false">TEST_D+ROUNDUP(Packages!$O$104/R_TEST,0)</f>
        <v>3</v>
      </c>
      <c r="K1092" s="34" t="n">
        <f aca="false">IF(J1092=0,0,ROUNDUP(J1092*7/WD,0))</f>
        <v>4</v>
      </c>
      <c r="L1092" s="15" t="s">
        <v>4492</v>
      </c>
      <c r="M1092" s="34" t="n">
        <f aca="false">ROUNDUP(K1091*LADDER,0)</f>
        <v>2</v>
      </c>
      <c r="N1092" s="34" t="n">
        <f aca="false">IF(K1092=0,0,FFLAG)</f>
        <v>2</v>
      </c>
      <c r="O1092" s="15"/>
      <c r="P1092" s="16" t="n">
        <f aca="false">MAX(P1091+M1092)</f>
        <v>46633</v>
      </c>
      <c r="Q1092" s="16" t="n">
        <f aca="false">MAX(P1092+K1092,Q1091+N1092)</f>
        <v>46639</v>
      </c>
      <c r="R1092" s="12"/>
      <c r="S1092" s="12"/>
    </row>
    <row r="1093" customFormat="false" ht="15" hidden="false" customHeight="false" outlineLevel="0" collapsed="false">
      <c r="A1093" s="15" t="s">
        <v>4495</v>
      </c>
      <c r="B1093" s="15" t="s">
        <v>4484</v>
      </c>
      <c r="C1093" s="15" t="s">
        <v>397</v>
      </c>
      <c r="D1093" s="15" t="s">
        <v>873</v>
      </c>
      <c r="E1093" s="15" t="s">
        <v>874</v>
      </c>
      <c r="F1093" s="15" t="s">
        <v>3031</v>
      </c>
      <c r="G1093" s="15" t="s">
        <v>3032</v>
      </c>
      <c r="H1093" s="33" t="n">
        <f aca="false">Packages!$AB$104</f>
        <v>180.653318425133</v>
      </c>
      <c r="I1093" s="15" t="s">
        <v>3019</v>
      </c>
      <c r="J1093" s="34" t="n">
        <f aca="false">MAX(1,ROUNDUP(Packages!$AB$104/(R_BF*Fronts!$M$9),0))</f>
        <v>1</v>
      </c>
      <c r="K1093" s="34" t="n">
        <f aca="false">IF(J1093=0,0,ROUNDUP(J1093*7/WD,0))</f>
        <v>2</v>
      </c>
      <c r="L1093" s="15" t="s">
        <v>4494</v>
      </c>
      <c r="M1093" s="34" t="n">
        <f aca="false">ROUNDUP(K1092*LADDER,0)</f>
        <v>2</v>
      </c>
      <c r="N1093" s="34" t="n">
        <f aca="false">IF(K1093=0,0,FFLAG)</f>
        <v>2</v>
      </c>
      <c r="O1093" s="15"/>
      <c r="P1093" s="16" t="n">
        <f aca="false">MAX(P1092+M1093)</f>
        <v>46635</v>
      </c>
      <c r="Q1093" s="16" t="n">
        <f aca="false">MAX(P1093+K1093,Q1092+N1093)</f>
        <v>46641</v>
      </c>
      <c r="R1093" s="16" t="n">
        <f aca="false">IF(K1093&gt;0,Q1093,0)</f>
        <v>46641</v>
      </c>
      <c r="S1093" s="12"/>
    </row>
    <row r="1094" customFormat="false" ht="15" hidden="false" customHeight="false" outlineLevel="0" collapsed="false">
      <c r="A1094" s="15" t="s">
        <v>4496</v>
      </c>
      <c r="B1094" s="15" t="s">
        <v>4484</v>
      </c>
      <c r="C1094" s="15" t="s">
        <v>397</v>
      </c>
      <c r="D1094" s="15" t="s">
        <v>873</v>
      </c>
      <c r="E1094" s="15" t="s">
        <v>874</v>
      </c>
      <c r="F1094" s="15" t="s">
        <v>3034</v>
      </c>
      <c r="G1094" s="15" t="s">
        <v>3035</v>
      </c>
      <c r="H1094" s="33" t="n">
        <f aca="false">Packages!$AD$104</f>
        <v>0</v>
      </c>
      <c r="I1094" s="15" t="s">
        <v>3012</v>
      </c>
      <c r="J1094" s="34" t="n">
        <f aca="false">IF(Packages!$AD$104&gt;0,ROUNDUP(Packages!$AD$104/R_EXT,0),0)+IF(Packages!$AG$104&gt;0,1,0)</f>
        <v>1</v>
      </c>
      <c r="K1094" s="34" t="n">
        <f aca="false">IF(J1094=0,0,ROUNDUP(J1094*7/WD,0))</f>
        <v>2</v>
      </c>
      <c r="L1094" s="15" t="s">
        <v>4495</v>
      </c>
      <c r="M1094" s="34" t="n">
        <f aca="false">ROUNDUP(K1093*LADDER,0)</f>
        <v>1</v>
      </c>
      <c r="N1094" s="34" t="n">
        <f aca="false">IF(K1094=0,0,FFLAG)</f>
        <v>2</v>
      </c>
      <c r="O1094" s="15"/>
      <c r="P1094" s="16" t="n">
        <f aca="false">MAX(P1093+M1094)</f>
        <v>46636</v>
      </c>
      <c r="Q1094" s="16" t="n">
        <f aca="false">MAX(P1094+K1094,Q1093+N1094)</f>
        <v>46643</v>
      </c>
      <c r="R1094" s="12"/>
      <c r="S1094" s="12"/>
    </row>
    <row r="1095" customFormat="false" ht="15" hidden="false" customHeight="false" outlineLevel="0" collapsed="false">
      <c r="A1095" s="15" t="s">
        <v>4497</v>
      </c>
      <c r="B1095" s="15" t="s">
        <v>4498</v>
      </c>
      <c r="C1095" s="15" t="s">
        <v>397</v>
      </c>
      <c r="D1095" s="15" t="s">
        <v>873</v>
      </c>
      <c r="E1095" s="15" t="s">
        <v>939</v>
      </c>
      <c r="F1095" s="15" t="s">
        <v>2998</v>
      </c>
      <c r="G1095" s="15" t="s">
        <v>2999</v>
      </c>
      <c r="H1095" s="12"/>
      <c r="I1095" s="12"/>
      <c r="J1095" s="34" t="n">
        <f aca="false">0</f>
        <v>0</v>
      </c>
      <c r="K1095" s="34" t="n">
        <f aca="false">IF(J1095=0,0,ROUNDUP(J1095*7/WD,0))</f>
        <v>0</v>
      </c>
      <c r="L1095" s="12"/>
      <c r="M1095" s="12"/>
      <c r="N1095" s="12"/>
      <c r="O1095" s="15" t="s">
        <v>3000</v>
      </c>
      <c r="P1095" s="16" t="n">
        <f aca="false">MAX(START,D_DLU,Packages!$I$105,Packages!$K$105)</f>
        <v>46357</v>
      </c>
      <c r="Q1095" s="16" t="n">
        <f aca="false">P1095+K1095</f>
        <v>46357</v>
      </c>
      <c r="R1095" s="12"/>
      <c r="S1095" s="12"/>
    </row>
    <row r="1096" customFormat="false" ht="15" hidden="false" customHeight="false" outlineLevel="0" collapsed="false">
      <c r="A1096" s="15" t="s">
        <v>4499</v>
      </c>
      <c r="B1096" s="15" t="s">
        <v>4498</v>
      </c>
      <c r="C1096" s="15" t="s">
        <v>397</v>
      </c>
      <c r="D1096" s="15" t="s">
        <v>873</v>
      </c>
      <c r="E1096" s="15" t="s">
        <v>939</v>
      </c>
      <c r="F1096" s="15" t="s">
        <v>3002</v>
      </c>
      <c r="G1096" s="15" t="s">
        <v>205</v>
      </c>
      <c r="H1096" s="33" t="n">
        <f aca="false">Packages!$O$105</f>
        <v>5.27439258061504</v>
      </c>
      <c r="I1096" s="15" t="s">
        <v>118</v>
      </c>
      <c r="J1096" s="34" t="n">
        <f aca="false">MAX(1,ROUNDUP(Packages!$O$105/R_PLAT,0))</f>
        <v>1</v>
      </c>
      <c r="K1096" s="34" t="n">
        <f aca="false">IF(J1096=0,0,ROUNDUP(J1096*7/WD,0))</f>
        <v>2</v>
      </c>
      <c r="L1096" s="15" t="s">
        <v>4497</v>
      </c>
      <c r="M1096" s="12"/>
      <c r="N1096" s="12"/>
      <c r="O1096" s="15" t="s">
        <v>4500</v>
      </c>
      <c r="P1096" s="16" t="n">
        <f aca="false">MAX(Q1095,P1075)</f>
        <v>46448</v>
      </c>
      <c r="Q1096" s="16" t="n">
        <f aca="false">P1096+K1096</f>
        <v>46450</v>
      </c>
      <c r="R1096" s="12"/>
      <c r="S1096" s="12"/>
    </row>
    <row r="1097" customFormat="false" ht="15" hidden="false" customHeight="false" outlineLevel="0" collapsed="false">
      <c r="A1097" s="15" t="s">
        <v>4501</v>
      </c>
      <c r="B1097" s="15" t="s">
        <v>4498</v>
      </c>
      <c r="C1097" s="15" t="s">
        <v>397</v>
      </c>
      <c r="D1097" s="15" t="s">
        <v>873</v>
      </c>
      <c r="E1097" s="15" t="s">
        <v>939</v>
      </c>
      <c r="F1097" s="15" t="s">
        <v>3005</v>
      </c>
      <c r="G1097" s="15" t="s">
        <v>3006</v>
      </c>
      <c r="H1097" s="33" t="n">
        <f aca="false">Packages!$AC$105</f>
        <v>6</v>
      </c>
      <c r="I1097" s="15" t="s">
        <v>3007</v>
      </c>
      <c r="J1097" s="34" t="n">
        <f aca="false">IF(Packages!$AC$105=0,0,MAX(1,ROUNDUP(Packages!$AC$105/(R_PILE*Fronts!$H$9),0)))</f>
        <v>2</v>
      </c>
      <c r="K1097" s="34" t="n">
        <f aca="false">IF(J1097=0,0,ROUNDUP(J1097*7/WD,0))</f>
        <v>3</v>
      </c>
      <c r="L1097" s="15" t="s">
        <v>4499</v>
      </c>
      <c r="M1097" s="34" t="n">
        <f aca="false">ROUNDUP(K1096*LADDER,0)</f>
        <v>1</v>
      </c>
      <c r="N1097" s="34" t="n">
        <f aca="false">IF(K1097=0,0,FFLAG)</f>
        <v>2</v>
      </c>
      <c r="O1097" s="15" t="s">
        <v>3008</v>
      </c>
      <c r="P1097" s="16" t="n">
        <f aca="false">MAX(P1096+M1097,D_PILEDES,R1075)</f>
        <v>46460</v>
      </c>
      <c r="Q1097" s="16" t="n">
        <f aca="false">MAX(P1097+K1097,Q1096+N1097)</f>
        <v>46463</v>
      </c>
      <c r="R1097" s="16" t="n">
        <f aca="false">IF(K1097&gt;0,Q1097,R1075)</f>
        <v>46463</v>
      </c>
      <c r="S1097" s="15" t="s">
        <v>4473</v>
      </c>
    </row>
    <row r="1098" customFormat="false" ht="15" hidden="false" customHeight="false" outlineLevel="0" collapsed="false">
      <c r="A1098" s="15" t="s">
        <v>4502</v>
      </c>
      <c r="B1098" s="15" t="s">
        <v>4498</v>
      </c>
      <c r="C1098" s="15" t="s">
        <v>397</v>
      </c>
      <c r="D1098" s="15" t="s">
        <v>873</v>
      </c>
      <c r="E1098" s="15" t="s">
        <v>939</v>
      </c>
      <c r="F1098" s="15" t="s">
        <v>3010</v>
      </c>
      <c r="G1098" s="15" t="s">
        <v>3011</v>
      </c>
      <c r="H1098" s="33" t="n">
        <f aca="false">Packages!$AD$105</f>
        <v>0</v>
      </c>
      <c r="I1098" s="15" t="s">
        <v>3012</v>
      </c>
      <c r="J1098" s="34" t="n">
        <f aca="false">IF(Packages!$AD$105=0,0,MAX(1,ROUNDUP(Packages!$AD$105/(R_SHEET*Fronts!$I$9),0)))</f>
        <v>0</v>
      </c>
      <c r="K1098" s="34" t="n">
        <f aca="false">IF(J1098=0,0,ROUNDUP(J1098*7/WD,0))</f>
        <v>0</v>
      </c>
      <c r="L1098" s="15" t="s">
        <v>4501</v>
      </c>
      <c r="M1098" s="34" t="n">
        <f aca="false">ROUNDUP(K1097*LADDER,0)</f>
        <v>1</v>
      </c>
      <c r="N1098" s="34" t="n">
        <f aca="false">IF(K1098=0,0,FFLAG)</f>
        <v>0</v>
      </c>
      <c r="O1098" s="15"/>
      <c r="P1098" s="16" t="n">
        <f aca="false">MAX(P1097+M1098,R1076)</f>
        <v>46461</v>
      </c>
      <c r="Q1098" s="16" t="n">
        <f aca="false">MAX(P1098+K1098,Q1097+N1098)</f>
        <v>46463</v>
      </c>
      <c r="R1098" s="16" t="n">
        <f aca="false">IF(K1098&gt;0,Q1098,R1076)</f>
        <v>46450</v>
      </c>
      <c r="S1098" s="15" t="s">
        <v>4474</v>
      </c>
    </row>
    <row r="1099" customFormat="false" ht="15" hidden="false" customHeight="false" outlineLevel="0" collapsed="false">
      <c r="A1099" s="15" t="s">
        <v>4503</v>
      </c>
      <c r="B1099" s="15" t="s">
        <v>4498</v>
      </c>
      <c r="C1099" s="15" t="s">
        <v>397</v>
      </c>
      <c r="D1099" s="15" t="s">
        <v>873</v>
      </c>
      <c r="E1099" s="15" t="s">
        <v>939</v>
      </c>
      <c r="F1099" s="15" t="s">
        <v>3014</v>
      </c>
      <c r="G1099" s="15" t="s">
        <v>3015</v>
      </c>
      <c r="H1099" s="33" t="n">
        <f aca="false">Packages!$O$105</f>
        <v>5.27439258061504</v>
      </c>
      <c r="I1099" s="15" t="s">
        <v>118</v>
      </c>
      <c r="J1099" s="34" t="n">
        <f aca="false">IF(Packages!$AG$105=0,0,ROUNDUP(Packages!$O$105/R_DW,0)+DW_DRAW)</f>
        <v>8</v>
      </c>
      <c r="K1099" s="34" t="n">
        <f aca="false">IF(J1099=0,0,ROUNDUP(J1099*7/WD,0))</f>
        <v>10</v>
      </c>
      <c r="L1099" s="15" t="s">
        <v>4502</v>
      </c>
      <c r="M1099" s="34" t="n">
        <f aca="false">ROUNDUP(K1098*LADDER,0)</f>
        <v>0</v>
      </c>
      <c r="N1099" s="34" t="n">
        <f aca="false">IF(K1099=0,0,FFLAG)</f>
        <v>2</v>
      </c>
      <c r="O1099" s="15" t="s">
        <v>4504</v>
      </c>
      <c r="P1099" s="16" t="n">
        <f aca="false">MAX(P1098+M1099,Q1078-K1099)</f>
        <v>46569</v>
      </c>
      <c r="Q1099" s="16" t="n">
        <f aca="false">MAX(P1099+K1099,Q1098+N1099)</f>
        <v>46579</v>
      </c>
      <c r="R1099" s="12"/>
      <c r="S1099" s="12"/>
    </row>
    <row r="1100" customFormat="false" ht="15" hidden="false" customHeight="false" outlineLevel="0" collapsed="false">
      <c r="A1100" s="15" t="s">
        <v>4505</v>
      </c>
      <c r="B1100" s="15" t="s">
        <v>4498</v>
      </c>
      <c r="C1100" s="15" t="s">
        <v>397</v>
      </c>
      <c r="D1100" s="15" t="s">
        <v>873</v>
      </c>
      <c r="E1100" s="15" t="s">
        <v>939</v>
      </c>
      <c r="F1100" s="15" t="s">
        <v>3017</v>
      </c>
      <c r="G1100" s="15" t="s">
        <v>3018</v>
      </c>
      <c r="H1100" s="33" t="n">
        <f aca="false">Packages!$X$105+Packages!$Y$105</f>
        <v>73.9439465317243</v>
      </c>
      <c r="I1100" s="15" t="s">
        <v>3019</v>
      </c>
      <c r="J1100" s="34" t="n">
        <f aca="false">MAX(1,ROUNDUP((Packages!$X$105/R_EXS+Packages!$Y$105/R_EXO)/Fronts!$J$9,0))</f>
        <v>1</v>
      </c>
      <c r="K1100" s="34" t="n">
        <f aca="false">IF(J1100=0,0,ROUNDUP(J1100*7/WD,0))</f>
        <v>2</v>
      </c>
      <c r="L1100" s="15" t="s">
        <v>4503</v>
      </c>
      <c r="M1100" s="34" t="n">
        <f aca="false">IF(K1099=0,0,ROUNDUP((K1099-ROUNDUP(DW_DRAW*7/WD,0))*LADDER,0)+ROUNDUP(DW_DRAW*7/WD,0))</f>
        <v>10</v>
      </c>
      <c r="N1100" s="34" t="n">
        <f aca="false">IF(K1100=0,0,FFLAG)</f>
        <v>2</v>
      </c>
      <c r="O1100" s="15" t="s">
        <v>4448</v>
      </c>
      <c r="P1100" s="16" t="n">
        <f aca="false">MAX(P1099+M1100,R1078,Q257,Q224)</f>
        <v>46579</v>
      </c>
      <c r="Q1100" s="16" t="n">
        <f aca="false">MAX(P1100+K1100,Q1099+N1100)</f>
        <v>46581</v>
      </c>
      <c r="R1100" s="16" t="n">
        <f aca="false">IF(K1100&gt;0,Q1100,R1078)</f>
        <v>46581</v>
      </c>
      <c r="S1100" s="15" t="s">
        <v>4477</v>
      </c>
    </row>
    <row r="1101" customFormat="false" ht="15" hidden="false" customHeight="false" outlineLevel="0" collapsed="false">
      <c r="A1101" s="15" t="s">
        <v>4506</v>
      </c>
      <c r="B1101" s="15" t="s">
        <v>4498</v>
      </c>
      <c r="C1101" s="15" t="s">
        <v>397</v>
      </c>
      <c r="D1101" s="15" t="s">
        <v>873</v>
      </c>
      <c r="E1101" s="15" t="s">
        <v>939</v>
      </c>
      <c r="F1101" s="15" t="s">
        <v>3022</v>
      </c>
      <c r="G1101" s="15" t="s">
        <v>3023</v>
      </c>
      <c r="H1101" s="33" t="n">
        <f aca="false">Packages!$O$105</f>
        <v>5.27439258061504</v>
      </c>
      <c r="I1101" s="15" t="s">
        <v>118</v>
      </c>
      <c r="J1101" s="34" t="n">
        <f aca="false">MAX(1,ROUNDUP(Packages!$O$105/(R_SLAB*Fronts!$K$9),0))+SLAB_CURE</f>
        <v>4</v>
      </c>
      <c r="K1101" s="34" t="n">
        <f aca="false">IF(J1101=0,0,ROUNDUP(J1101*7/WD,0))</f>
        <v>5</v>
      </c>
      <c r="L1101" s="15" t="s">
        <v>4505</v>
      </c>
      <c r="M1101" s="34" t="n">
        <f aca="false">ROUNDUP(K1100*LADDER,0)</f>
        <v>1</v>
      </c>
      <c r="N1101" s="34" t="n">
        <f aca="false">IF(K1101=0,0,FFLAG)</f>
        <v>2</v>
      </c>
      <c r="O1101" s="15"/>
      <c r="P1101" s="16" t="n">
        <f aca="false">MAX(P1100+M1101,R1079)</f>
        <v>46629</v>
      </c>
      <c r="Q1101" s="16" t="n">
        <f aca="false">MAX(P1101+K1101,Q1100+N1101)</f>
        <v>46634</v>
      </c>
      <c r="R1101" s="16" t="n">
        <f aca="false">IF(K1101&gt;0,Q1101,R1079)</f>
        <v>46634</v>
      </c>
      <c r="S1101" s="15" t="s">
        <v>4478</v>
      </c>
    </row>
    <row r="1102" customFormat="false" ht="15" hidden="false" customHeight="false" outlineLevel="0" collapsed="false">
      <c r="A1102" s="15" t="s">
        <v>4507</v>
      </c>
      <c r="B1102" s="15" t="s">
        <v>4498</v>
      </c>
      <c r="C1102" s="15" t="s">
        <v>397</v>
      </c>
      <c r="D1102" s="15" t="s">
        <v>873</v>
      </c>
      <c r="E1102" s="15" t="s">
        <v>939</v>
      </c>
      <c r="F1102" s="15" t="s">
        <v>3025</v>
      </c>
      <c r="G1102" s="15" t="s">
        <v>3026</v>
      </c>
      <c r="H1102" s="33" t="n">
        <f aca="false">Packages!$O$105</f>
        <v>5.27439258061504</v>
      </c>
      <c r="I1102" s="15" t="s">
        <v>118</v>
      </c>
      <c r="J1102" s="34" t="n">
        <f aca="false">MAX(1,ROUNDUP(Packages!$O$105/(IF(Packages!$N$105&gt;=PIPE_T1,R_PIPE_L,IF(Packages!$N$105&gt;=PIPE_T2,R_PIPE_M,R_PIPE_S))*Fronts!$L$9)+Packages!$M$105*FIT_D+IF(Packages!$G$105&lt;&gt;"Run",TIE_D,0),0))</f>
        <v>1</v>
      </c>
      <c r="K1102" s="34" t="n">
        <f aca="false">IF(J1102=0,0,ROUNDUP(J1102*7/WD,0))</f>
        <v>2</v>
      </c>
      <c r="L1102" s="15" t="s">
        <v>4506</v>
      </c>
      <c r="M1102" s="34" t="n">
        <f aca="false">ROUNDUP(K1101*LADDER,0)</f>
        <v>2</v>
      </c>
      <c r="N1102" s="34" t="n">
        <f aca="false">IF(K1102=0,0,FFLAG)</f>
        <v>2</v>
      </c>
      <c r="O1102" s="15"/>
      <c r="P1102" s="16" t="n">
        <f aca="false">MAX(P1101+M1102,R1080)</f>
        <v>46631</v>
      </c>
      <c r="Q1102" s="16" t="n">
        <f aca="false">MAX(P1102+K1102,Q1101+N1102)</f>
        <v>46636</v>
      </c>
      <c r="R1102" s="16" t="n">
        <f aca="false">IF(K1102&gt;0,Q1102,R1080)</f>
        <v>46636</v>
      </c>
      <c r="S1102" s="15" t="s">
        <v>4479</v>
      </c>
    </row>
    <row r="1103" customFormat="false" ht="15" hidden="false" customHeight="false" outlineLevel="0" collapsed="false">
      <c r="A1103" s="15" t="s">
        <v>4508</v>
      </c>
      <c r="B1103" s="15" t="s">
        <v>4498</v>
      </c>
      <c r="C1103" s="15" t="s">
        <v>397</v>
      </c>
      <c r="D1103" s="15" t="s">
        <v>873</v>
      </c>
      <c r="E1103" s="15" t="s">
        <v>939</v>
      </c>
      <c r="F1103" s="15" t="s">
        <v>3028</v>
      </c>
      <c r="G1103" s="15" t="s">
        <v>3029</v>
      </c>
      <c r="H1103" s="33" t="n">
        <f aca="false">Packages!$O$105</f>
        <v>5.27439258061504</v>
      </c>
      <c r="I1103" s="15" t="s">
        <v>118</v>
      </c>
      <c r="J1103" s="34" t="n">
        <f aca="false">TEST_D+ROUNDUP(Packages!$O$105/R_TEST,0)</f>
        <v>3</v>
      </c>
      <c r="K1103" s="34" t="n">
        <f aca="false">IF(J1103=0,0,ROUNDUP(J1103*7/WD,0))</f>
        <v>4</v>
      </c>
      <c r="L1103" s="15" t="s">
        <v>4507</v>
      </c>
      <c r="M1103" s="34" t="n">
        <f aca="false">ROUNDUP(K1102*LADDER,0)</f>
        <v>1</v>
      </c>
      <c r="N1103" s="34" t="n">
        <f aca="false">IF(K1103=0,0,FFLAG)</f>
        <v>2</v>
      </c>
      <c r="O1103" s="15"/>
      <c r="P1103" s="16" t="n">
        <f aca="false">MAX(P1102+M1103)</f>
        <v>46632</v>
      </c>
      <c r="Q1103" s="16" t="n">
        <f aca="false">MAX(P1103+K1103,Q1102+N1103)</f>
        <v>46638</v>
      </c>
      <c r="R1103" s="12"/>
      <c r="S1103" s="12"/>
    </row>
    <row r="1104" customFormat="false" ht="15" hidden="false" customHeight="false" outlineLevel="0" collapsed="false">
      <c r="A1104" s="15" t="s">
        <v>4509</v>
      </c>
      <c r="B1104" s="15" t="s">
        <v>4498</v>
      </c>
      <c r="C1104" s="15" t="s">
        <v>397</v>
      </c>
      <c r="D1104" s="15" t="s">
        <v>873</v>
      </c>
      <c r="E1104" s="15" t="s">
        <v>939</v>
      </c>
      <c r="F1104" s="15" t="s">
        <v>3031</v>
      </c>
      <c r="G1104" s="15" t="s">
        <v>3032</v>
      </c>
      <c r="H1104" s="33" t="n">
        <f aca="false">Packages!$AB$105</f>
        <v>62.1769875844965</v>
      </c>
      <c r="I1104" s="15" t="s">
        <v>3019</v>
      </c>
      <c r="J1104" s="34" t="n">
        <f aca="false">MAX(1,ROUNDUP(Packages!$AB$105/(R_BF*Fronts!$M$9),0))</f>
        <v>1</v>
      </c>
      <c r="K1104" s="34" t="n">
        <f aca="false">IF(J1104=0,0,ROUNDUP(J1104*7/WD,0))</f>
        <v>2</v>
      </c>
      <c r="L1104" s="15" t="s">
        <v>4508</v>
      </c>
      <c r="M1104" s="34" t="n">
        <f aca="false">ROUNDUP(K1103*LADDER,0)</f>
        <v>2</v>
      </c>
      <c r="N1104" s="34" t="n">
        <f aca="false">IF(K1104=0,0,FFLAG)</f>
        <v>2</v>
      </c>
      <c r="O1104" s="15"/>
      <c r="P1104" s="16" t="n">
        <f aca="false">MAX(P1103+M1104,R1082)</f>
        <v>46635</v>
      </c>
      <c r="Q1104" s="16" t="n">
        <f aca="false">MAX(P1104+K1104,Q1103+N1104)</f>
        <v>46640</v>
      </c>
      <c r="R1104" s="16" t="n">
        <f aca="false">IF(K1104&gt;0,Q1104,R1082)</f>
        <v>46640</v>
      </c>
      <c r="S1104" s="15" t="s">
        <v>4481</v>
      </c>
    </row>
    <row r="1105" customFormat="false" ht="15" hidden="false" customHeight="false" outlineLevel="0" collapsed="false">
      <c r="A1105" s="15" t="s">
        <v>4510</v>
      </c>
      <c r="B1105" s="15" t="s">
        <v>4498</v>
      </c>
      <c r="C1105" s="15" t="s">
        <v>397</v>
      </c>
      <c r="D1105" s="15" t="s">
        <v>873</v>
      </c>
      <c r="E1105" s="15" t="s">
        <v>939</v>
      </c>
      <c r="F1105" s="15" t="s">
        <v>3034</v>
      </c>
      <c r="G1105" s="15" t="s">
        <v>3035</v>
      </c>
      <c r="H1105" s="33" t="n">
        <f aca="false">Packages!$AD$105</f>
        <v>0</v>
      </c>
      <c r="I1105" s="15" t="s">
        <v>3012</v>
      </c>
      <c r="J1105" s="34" t="n">
        <f aca="false">IF(Packages!$AD$105&gt;0,ROUNDUP(Packages!$AD$105/R_EXT,0),0)+IF(Packages!$AG$105&gt;0,1,0)</f>
        <v>1</v>
      </c>
      <c r="K1105" s="34" t="n">
        <f aca="false">IF(J1105=0,0,ROUNDUP(J1105*7/WD,0))</f>
        <v>2</v>
      </c>
      <c r="L1105" s="15" t="s">
        <v>4509</v>
      </c>
      <c r="M1105" s="34" t="n">
        <f aca="false">ROUNDUP(K1104*LADDER,0)</f>
        <v>1</v>
      </c>
      <c r="N1105" s="34" t="n">
        <f aca="false">IF(K1105=0,0,FFLAG)</f>
        <v>2</v>
      </c>
      <c r="O1105" s="15"/>
      <c r="P1105" s="16" t="n">
        <f aca="false">MAX(P1104+M1105)</f>
        <v>46636</v>
      </c>
      <c r="Q1105" s="16" t="n">
        <f aca="false">MAX(P1105+K1105,Q1104+N1105)</f>
        <v>46642</v>
      </c>
      <c r="R1105" s="12"/>
      <c r="S1105" s="12"/>
    </row>
    <row r="1106" customFormat="false" ht="15" hidden="false" customHeight="false" outlineLevel="0" collapsed="false">
      <c r="A1106" s="15" t="s">
        <v>4511</v>
      </c>
      <c r="B1106" s="15" t="s">
        <v>4512</v>
      </c>
      <c r="C1106" s="15" t="s">
        <v>397</v>
      </c>
      <c r="D1106" s="15" t="s">
        <v>873</v>
      </c>
      <c r="E1106" s="15" t="s">
        <v>934</v>
      </c>
      <c r="F1106" s="15" t="s">
        <v>2998</v>
      </c>
      <c r="G1106" s="15" t="s">
        <v>2999</v>
      </c>
      <c r="H1106" s="12"/>
      <c r="I1106" s="12"/>
      <c r="J1106" s="34" t="n">
        <f aca="false">0</f>
        <v>0</v>
      </c>
      <c r="K1106" s="34" t="n">
        <f aca="false">IF(J1106=0,0,ROUNDUP(J1106*7/WD,0))</f>
        <v>0</v>
      </c>
      <c r="L1106" s="12"/>
      <c r="M1106" s="12"/>
      <c r="N1106" s="12"/>
      <c r="O1106" s="15" t="s">
        <v>3038</v>
      </c>
      <c r="P1106" s="16" t="n">
        <f aca="false">MAX(START,D_DLU,Packages!$I$106,Packages!$K$106)</f>
        <v>46357</v>
      </c>
      <c r="Q1106" s="16" t="n">
        <f aca="false">P1106+K1106</f>
        <v>46357</v>
      </c>
      <c r="R1106" s="12"/>
      <c r="S1106" s="12"/>
    </row>
    <row r="1107" customFormat="false" ht="15" hidden="false" customHeight="false" outlineLevel="0" collapsed="false">
      <c r="A1107" s="15" t="s">
        <v>4513</v>
      </c>
      <c r="B1107" s="15" t="s">
        <v>4512</v>
      </c>
      <c r="C1107" s="15" t="s">
        <v>397</v>
      </c>
      <c r="D1107" s="15" t="s">
        <v>873</v>
      </c>
      <c r="E1107" s="15" t="s">
        <v>934</v>
      </c>
      <c r="F1107" s="15" t="s">
        <v>3002</v>
      </c>
      <c r="G1107" s="15" t="s">
        <v>205</v>
      </c>
      <c r="H1107" s="33" t="n">
        <f aca="false">Packages!$O$106</f>
        <v>11.1247691312714</v>
      </c>
      <c r="I1107" s="15" t="s">
        <v>118</v>
      </c>
      <c r="J1107" s="34" t="n">
        <f aca="false">MAX(1,ROUNDUP(Packages!$O$106/R_PLAT,0))</f>
        <v>1</v>
      </c>
      <c r="K1107" s="34" t="n">
        <f aca="false">IF(J1107=0,0,ROUNDUP(J1107*7/WD,0))</f>
        <v>2</v>
      </c>
      <c r="L1107" s="15" t="s">
        <v>4511</v>
      </c>
      <c r="M1107" s="12"/>
      <c r="N1107" s="12"/>
      <c r="O1107" s="15" t="s">
        <v>4514</v>
      </c>
      <c r="P1107" s="16" t="n">
        <f aca="false">MAX(Q1106,P1097)</f>
        <v>46460</v>
      </c>
      <c r="Q1107" s="16" t="n">
        <f aca="false">P1107+K1107</f>
        <v>46462</v>
      </c>
      <c r="R1107" s="12"/>
      <c r="S1107" s="12"/>
    </row>
    <row r="1108" customFormat="false" ht="15" hidden="false" customHeight="false" outlineLevel="0" collapsed="false">
      <c r="A1108" s="15" t="s">
        <v>4515</v>
      </c>
      <c r="B1108" s="15" t="s">
        <v>4512</v>
      </c>
      <c r="C1108" s="15" t="s">
        <v>397</v>
      </c>
      <c r="D1108" s="15" t="s">
        <v>873</v>
      </c>
      <c r="E1108" s="15" t="s">
        <v>934</v>
      </c>
      <c r="F1108" s="15" t="s">
        <v>3005</v>
      </c>
      <c r="G1108" s="15" t="s">
        <v>3006</v>
      </c>
      <c r="H1108" s="33" t="n">
        <f aca="false">Packages!$AC$106</f>
        <v>10</v>
      </c>
      <c r="I1108" s="15" t="s">
        <v>3007</v>
      </c>
      <c r="J1108" s="34" t="n">
        <f aca="false">IF(Packages!$AC$106=0,0,MAX(1,ROUNDUP(Packages!$AC$106/(R_PILE*Fronts!$H$9),0)))</f>
        <v>2</v>
      </c>
      <c r="K1108" s="34" t="n">
        <f aca="false">IF(J1108=0,0,ROUNDUP(J1108*7/WD,0))</f>
        <v>3</v>
      </c>
      <c r="L1108" s="15" t="s">
        <v>4513</v>
      </c>
      <c r="M1108" s="34" t="n">
        <f aca="false">ROUNDUP(K1107*LADDER,0)</f>
        <v>1</v>
      </c>
      <c r="N1108" s="34" t="n">
        <f aca="false">IF(K1108=0,0,FFLAG)</f>
        <v>2</v>
      </c>
      <c r="O1108" s="15" t="s">
        <v>3008</v>
      </c>
      <c r="P1108" s="16" t="n">
        <f aca="false">MAX(P1107+M1108,D_PILEDES)</f>
        <v>46461</v>
      </c>
      <c r="Q1108" s="16" t="n">
        <f aca="false">MAX(P1108+K1108,Q1107+N1108)</f>
        <v>46464</v>
      </c>
      <c r="R1108" s="16" t="n">
        <f aca="false">IF(K1108&gt;0,Q1108,0)</f>
        <v>46464</v>
      </c>
      <c r="S1108" s="12"/>
    </row>
    <row r="1109" customFormat="false" ht="15" hidden="false" customHeight="false" outlineLevel="0" collapsed="false">
      <c r="A1109" s="15" t="s">
        <v>4516</v>
      </c>
      <c r="B1109" s="15" t="s">
        <v>4512</v>
      </c>
      <c r="C1109" s="15" t="s">
        <v>397</v>
      </c>
      <c r="D1109" s="15" t="s">
        <v>873</v>
      </c>
      <c r="E1109" s="15" t="s">
        <v>934</v>
      </c>
      <c r="F1109" s="15" t="s">
        <v>3010</v>
      </c>
      <c r="G1109" s="15" t="s">
        <v>3011</v>
      </c>
      <c r="H1109" s="33" t="n">
        <f aca="false">Packages!$AD$106</f>
        <v>0</v>
      </c>
      <c r="I1109" s="15" t="s">
        <v>3012</v>
      </c>
      <c r="J1109" s="34" t="n">
        <f aca="false">IF(Packages!$AD$106=0,0,MAX(1,ROUNDUP(Packages!$AD$106/(R_SHEET*Fronts!$I$9),0)))</f>
        <v>0</v>
      </c>
      <c r="K1109" s="34" t="n">
        <f aca="false">IF(J1109=0,0,ROUNDUP(J1109*7/WD,0))</f>
        <v>0</v>
      </c>
      <c r="L1109" s="15" t="s">
        <v>4515</v>
      </c>
      <c r="M1109" s="34" t="n">
        <f aca="false">ROUNDUP(K1108*LADDER,0)</f>
        <v>1</v>
      </c>
      <c r="N1109" s="34" t="n">
        <f aca="false">IF(K1109=0,0,FFLAG)</f>
        <v>0</v>
      </c>
      <c r="O1109" s="15"/>
      <c r="P1109" s="16" t="n">
        <f aca="false">MAX(P1108+M1109)</f>
        <v>46462</v>
      </c>
      <c r="Q1109" s="16" t="n">
        <f aca="false">MAX(P1109+K1109,Q1108+N1109)</f>
        <v>46464</v>
      </c>
      <c r="R1109" s="16" t="n">
        <f aca="false">IF(K1109&gt;0,Q1109,0)</f>
        <v>0</v>
      </c>
      <c r="S1109" s="12"/>
    </row>
    <row r="1110" customFormat="false" ht="15" hidden="false" customHeight="false" outlineLevel="0" collapsed="false">
      <c r="A1110" s="15" t="s">
        <v>4517</v>
      </c>
      <c r="B1110" s="15" t="s">
        <v>4512</v>
      </c>
      <c r="C1110" s="15" t="s">
        <v>397</v>
      </c>
      <c r="D1110" s="15" t="s">
        <v>873</v>
      </c>
      <c r="E1110" s="15" t="s">
        <v>934</v>
      </c>
      <c r="F1110" s="15" t="s">
        <v>3014</v>
      </c>
      <c r="G1110" s="15" t="s">
        <v>3015</v>
      </c>
      <c r="H1110" s="33" t="n">
        <f aca="false">Packages!$O$106</f>
        <v>11.1247691312714</v>
      </c>
      <c r="I1110" s="15" t="s">
        <v>118</v>
      </c>
      <c r="J1110" s="34" t="n">
        <f aca="false">IF(Packages!$AG$106=0,0,ROUNDUP(Packages!$O$106/R_DW,0)+DW_DRAW)</f>
        <v>8</v>
      </c>
      <c r="K1110" s="34" t="n">
        <f aca="false">IF(J1110=0,0,ROUNDUP(J1110*7/WD,0))</f>
        <v>10</v>
      </c>
      <c r="L1110" s="15" t="s">
        <v>4516</v>
      </c>
      <c r="M1110" s="34" t="n">
        <f aca="false">ROUNDUP(K1109*LADDER,0)</f>
        <v>0</v>
      </c>
      <c r="N1110" s="34" t="n">
        <f aca="false">IF(K1110=0,0,FFLAG)</f>
        <v>2</v>
      </c>
      <c r="O1110" s="15"/>
      <c r="P1110" s="16" t="n">
        <f aca="false">MAX(P1109+M1110)</f>
        <v>46462</v>
      </c>
      <c r="Q1110" s="16" t="n">
        <f aca="false">MAX(P1110+K1110,Q1109+N1110)</f>
        <v>46472</v>
      </c>
      <c r="R1110" s="12"/>
      <c r="S1110" s="12"/>
    </row>
    <row r="1111" customFormat="false" ht="15" hidden="false" customHeight="false" outlineLevel="0" collapsed="false">
      <c r="A1111" s="15" t="s">
        <v>4518</v>
      </c>
      <c r="B1111" s="15" t="s">
        <v>4512</v>
      </c>
      <c r="C1111" s="15" t="s">
        <v>397</v>
      </c>
      <c r="D1111" s="15" t="s">
        <v>873</v>
      </c>
      <c r="E1111" s="15" t="s">
        <v>934</v>
      </c>
      <c r="F1111" s="15" t="s">
        <v>3017</v>
      </c>
      <c r="G1111" s="15" t="s">
        <v>3018</v>
      </c>
      <c r="H1111" s="33" t="n">
        <f aca="false">Packages!$X$106+Packages!$Y$106</f>
        <v>156.636551317639</v>
      </c>
      <c r="I1111" s="15" t="s">
        <v>3019</v>
      </c>
      <c r="J1111" s="34" t="n">
        <f aca="false">MAX(1,ROUNDUP((Packages!$X$106/R_EXS+Packages!$Y$106/R_EXO)/Fronts!$J$9,0))</f>
        <v>1</v>
      </c>
      <c r="K1111" s="34" t="n">
        <f aca="false">IF(J1111=0,0,ROUNDUP(J1111*7/WD,0))</f>
        <v>2</v>
      </c>
      <c r="L1111" s="15" t="s">
        <v>4517</v>
      </c>
      <c r="M1111" s="34" t="n">
        <f aca="false">IF(K1110=0,0,ROUNDUP((K1110-ROUNDUP(DW_DRAW*7/WD,0))*LADDER,0)+ROUNDUP(DW_DRAW*7/WD,0))</f>
        <v>10</v>
      </c>
      <c r="N1111" s="34" t="n">
        <f aca="false">IF(K1111=0,0,FFLAG)</f>
        <v>2</v>
      </c>
      <c r="O1111" s="15" t="s">
        <v>4519</v>
      </c>
      <c r="P1111" s="16" t="n">
        <f aca="false">MAX(P1110+M1111,Q224)</f>
        <v>46528</v>
      </c>
      <c r="Q1111" s="16" t="n">
        <f aca="false">MAX(P1111+K1111,Q1110+N1111)</f>
        <v>46530</v>
      </c>
      <c r="R1111" s="16" t="n">
        <f aca="false">IF(K1111&gt;0,Q1111,0)</f>
        <v>46530</v>
      </c>
      <c r="S1111" s="12"/>
    </row>
    <row r="1112" customFormat="false" ht="15" hidden="false" customHeight="false" outlineLevel="0" collapsed="false">
      <c r="A1112" s="15" t="s">
        <v>4520</v>
      </c>
      <c r="B1112" s="15" t="s">
        <v>4512</v>
      </c>
      <c r="C1112" s="15" t="s">
        <v>397</v>
      </c>
      <c r="D1112" s="15" t="s">
        <v>873</v>
      </c>
      <c r="E1112" s="15" t="s">
        <v>934</v>
      </c>
      <c r="F1112" s="15" t="s">
        <v>3022</v>
      </c>
      <c r="G1112" s="15" t="s">
        <v>3023</v>
      </c>
      <c r="H1112" s="33" t="n">
        <f aca="false">Packages!$O$106</f>
        <v>11.1247691312714</v>
      </c>
      <c r="I1112" s="15" t="s">
        <v>118</v>
      </c>
      <c r="J1112" s="34" t="n">
        <f aca="false">MAX(1,ROUNDUP(Packages!$O$106/(R_SLAB*Fronts!$K$9),0))+SLAB_CURE</f>
        <v>4</v>
      </c>
      <c r="K1112" s="34" t="n">
        <f aca="false">IF(J1112=0,0,ROUNDUP(J1112*7/WD,0))</f>
        <v>5</v>
      </c>
      <c r="L1112" s="15" t="s">
        <v>4518</v>
      </c>
      <c r="M1112" s="34" t="n">
        <f aca="false">ROUNDUP(K1111*LADDER,0)</f>
        <v>1</v>
      </c>
      <c r="N1112" s="34" t="n">
        <f aca="false">IF(K1112=0,0,FFLAG)</f>
        <v>2</v>
      </c>
      <c r="O1112" s="15"/>
      <c r="P1112" s="16" t="n">
        <f aca="false">MAX(P1111+M1112)</f>
        <v>46529</v>
      </c>
      <c r="Q1112" s="16" t="n">
        <f aca="false">MAX(P1112+K1112,Q1111+N1112)</f>
        <v>46534</v>
      </c>
      <c r="R1112" s="16" t="n">
        <f aca="false">IF(K1112&gt;0,Q1112,0)</f>
        <v>46534</v>
      </c>
      <c r="S1112" s="12"/>
    </row>
    <row r="1113" customFormat="false" ht="15" hidden="false" customHeight="false" outlineLevel="0" collapsed="false">
      <c r="A1113" s="15" t="s">
        <v>4521</v>
      </c>
      <c r="B1113" s="15" t="s">
        <v>4512</v>
      </c>
      <c r="C1113" s="15" t="s">
        <v>397</v>
      </c>
      <c r="D1113" s="15" t="s">
        <v>873</v>
      </c>
      <c r="E1113" s="15" t="s">
        <v>934</v>
      </c>
      <c r="F1113" s="15" t="s">
        <v>3025</v>
      </c>
      <c r="G1113" s="15" t="s">
        <v>3026</v>
      </c>
      <c r="H1113" s="33" t="n">
        <f aca="false">Packages!$O$106</f>
        <v>11.1247691312714</v>
      </c>
      <c r="I1113" s="15" t="s">
        <v>118</v>
      </c>
      <c r="J1113" s="34" t="n">
        <f aca="false">MAX(1,ROUNDUP(Packages!$O$106/(IF(Packages!$N$106&gt;=PIPE_T1,R_PIPE_L,IF(Packages!$N$106&gt;=PIPE_T2,R_PIPE_M,R_PIPE_S))*Fronts!$L$9)+Packages!$M$106*FIT_D+IF(Packages!$G$106&lt;&gt;"Run",TIE_D,0),0))</f>
        <v>5</v>
      </c>
      <c r="K1113" s="34" t="n">
        <f aca="false">IF(J1113=0,0,ROUNDUP(J1113*7/WD,0))</f>
        <v>6</v>
      </c>
      <c r="L1113" s="15" t="s">
        <v>4520</v>
      </c>
      <c r="M1113" s="34" t="n">
        <f aca="false">ROUNDUP(K1112*LADDER,0)</f>
        <v>2</v>
      </c>
      <c r="N1113" s="34" t="n">
        <f aca="false">IF(K1113=0,0,FFLAG)</f>
        <v>2</v>
      </c>
      <c r="O1113" s="15" t="s">
        <v>4522</v>
      </c>
      <c r="P1113" s="16" t="n">
        <f aca="false">MAX(P1112+M1113,Q1102)</f>
        <v>46636</v>
      </c>
      <c r="Q1113" s="16" t="n">
        <f aca="false">MAX(P1113+K1113,Q1112+N1113)</f>
        <v>46642</v>
      </c>
      <c r="R1113" s="16" t="n">
        <f aca="false">IF(K1113&gt;0,Q1113,0)</f>
        <v>46642</v>
      </c>
      <c r="S1113" s="12"/>
    </row>
    <row r="1114" customFormat="false" ht="15" hidden="false" customHeight="false" outlineLevel="0" collapsed="false">
      <c r="A1114" s="15" t="s">
        <v>4523</v>
      </c>
      <c r="B1114" s="15" t="s">
        <v>4512</v>
      </c>
      <c r="C1114" s="15" t="s">
        <v>397</v>
      </c>
      <c r="D1114" s="15" t="s">
        <v>873</v>
      </c>
      <c r="E1114" s="15" t="s">
        <v>934</v>
      </c>
      <c r="F1114" s="15" t="s">
        <v>3028</v>
      </c>
      <c r="G1114" s="15" t="s">
        <v>3029</v>
      </c>
      <c r="H1114" s="33" t="n">
        <f aca="false">Packages!$O$106</f>
        <v>11.1247691312714</v>
      </c>
      <c r="I1114" s="15" t="s">
        <v>118</v>
      </c>
      <c r="J1114" s="34" t="n">
        <f aca="false">TEST_D+ROUNDUP(Packages!$O$106/R_TEST,0)</f>
        <v>3</v>
      </c>
      <c r="K1114" s="34" t="n">
        <f aca="false">IF(J1114=0,0,ROUNDUP(J1114*7/WD,0))</f>
        <v>4</v>
      </c>
      <c r="L1114" s="15" t="s">
        <v>4521</v>
      </c>
      <c r="M1114" s="34" t="n">
        <f aca="false">ROUNDUP(K1113*LADDER,0)</f>
        <v>2</v>
      </c>
      <c r="N1114" s="34" t="n">
        <f aca="false">IF(K1114=0,0,FFLAG)</f>
        <v>2</v>
      </c>
      <c r="O1114" s="15"/>
      <c r="P1114" s="16" t="n">
        <f aca="false">MAX(P1113+M1114)</f>
        <v>46638</v>
      </c>
      <c r="Q1114" s="16" t="n">
        <f aca="false">MAX(P1114+K1114,Q1113+N1114)</f>
        <v>46644</v>
      </c>
      <c r="R1114" s="12"/>
      <c r="S1114" s="12"/>
    </row>
    <row r="1115" customFormat="false" ht="15" hidden="false" customHeight="false" outlineLevel="0" collapsed="false">
      <c r="A1115" s="15" t="s">
        <v>4524</v>
      </c>
      <c r="B1115" s="15" t="s">
        <v>4512</v>
      </c>
      <c r="C1115" s="15" t="s">
        <v>397</v>
      </c>
      <c r="D1115" s="15" t="s">
        <v>873</v>
      </c>
      <c r="E1115" s="15" t="s">
        <v>934</v>
      </c>
      <c r="F1115" s="15" t="s">
        <v>3031</v>
      </c>
      <c r="G1115" s="15" t="s">
        <v>3032</v>
      </c>
      <c r="H1115" s="33" t="n">
        <f aca="false">Packages!$AB$106</f>
        <v>131.817549952233</v>
      </c>
      <c r="I1115" s="15" t="s">
        <v>3019</v>
      </c>
      <c r="J1115" s="34" t="n">
        <f aca="false">MAX(1,ROUNDUP(Packages!$AB$106/(R_BF*Fronts!$M$9),0))</f>
        <v>1</v>
      </c>
      <c r="K1115" s="34" t="n">
        <f aca="false">IF(J1115=0,0,ROUNDUP(J1115*7/WD,0))</f>
        <v>2</v>
      </c>
      <c r="L1115" s="15" t="s">
        <v>4523</v>
      </c>
      <c r="M1115" s="34" t="n">
        <f aca="false">ROUNDUP(K1114*LADDER,0)</f>
        <v>2</v>
      </c>
      <c r="N1115" s="34" t="n">
        <f aca="false">IF(K1115=0,0,FFLAG)</f>
        <v>2</v>
      </c>
      <c r="O1115" s="15"/>
      <c r="P1115" s="16" t="n">
        <f aca="false">MAX(P1114+M1115)</f>
        <v>46640</v>
      </c>
      <c r="Q1115" s="16" t="n">
        <f aca="false">MAX(P1115+K1115,Q1114+N1115)</f>
        <v>46646</v>
      </c>
      <c r="R1115" s="16" t="n">
        <f aca="false">IF(K1115&gt;0,Q1115,0)</f>
        <v>46646</v>
      </c>
      <c r="S1115" s="12"/>
    </row>
    <row r="1116" customFormat="false" ht="15" hidden="false" customHeight="false" outlineLevel="0" collapsed="false">
      <c r="A1116" s="15" t="s">
        <v>4525</v>
      </c>
      <c r="B1116" s="15" t="s">
        <v>4512</v>
      </c>
      <c r="C1116" s="15" t="s">
        <v>397</v>
      </c>
      <c r="D1116" s="15" t="s">
        <v>873</v>
      </c>
      <c r="E1116" s="15" t="s">
        <v>934</v>
      </c>
      <c r="F1116" s="15" t="s">
        <v>3034</v>
      </c>
      <c r="G1116" s="15" t="s">
        <v>3035</v>
      </c>
      <c r="H1116" s="33" t="n">
        <f aca="false">Packages!$AD$106</f>
        <v>0</v>
      </c>
      <c r="I1116" s="15" t="s">
        <v>3012</v>
      </c>
      <c r="J1116" s="34" t="n">
        <f aca="false">IF(Packages!$AD$106&gt;0,ROUNDUP(Packages!$AD$106/R_EXT,0),0)+IF(Packages!$AG$106&gt;0,1,0)</f>
        <v>1</v>
      </c>
      <c r="K1116" s="34" t="n">
        <f aca="false">IF(J1116=0,0,ROUNDUP(J1116*7/WD,0))</f>
        <v>2</v>
      </c>
      <c r="L1116" s="15" t="s">
        <v>4524</v>
      </c>
      <c r="M1116" s="34" t="n">
        <f aca="false">ROUNDUP(K1115*LADDER,0)</f>
        <v>1</v>
      </c>
      <c r="N1116" s="34" t="n">
        <f aca="false">IF(K1116=0,0,FFLAG)</f>
        <v>2</v>
      </c>
      <c r="O1116" s="15"/>
      <c r="P1116" s="16" t="n">
        <f aca="false">MAX(P1115+M1116)</f>
        <v>46641</v>
      </c>
      <c r="Q1116" s="16" t="n">
        <f aca="false">MAX(P1116+K1116,Q1115+N1116)</f>
        <v>46648</v>
      </c>
      <c r="R1116" s="12"/>
      <c r="S1116" s="12"/>
    </row>
    <row r="1117" customFormat="false" ht="15" hidden="false" customHeight="false" outlineLevel="0" collapsed="false">
      <c r="A1117" s="15" t="s">
        <v>4526</v>
      </c>
      <c r="B1117" s="15" t="s">
        <v>4527</v>
      </c>
      <c r="C1117" s="15" t="s">
        <v>397</v>
      </c>
      <c r="D1117" s="15" t="s">
        <v>873</v>
      </c>
      <c r="E1117" s="15" t="s">
        <v>941</v>
      </c>
      <c r="F1117" s="15" t="s">
        <v>2998</v>
      </c>
      <c r="G1117" s="15" t="s">
        <v>2999</v>
      </c>
      <c r="H1117" s="12"/>
      <c r="I1117" s="12"/>
      <c r="J1117" s="34" t="n">
        <f aca="false">0</f>
        <v>0</v>
      </c>
      <c r="K1117" s="34" t="n">
        <f aca="false">IF(J1117=0,0,ROUNDUP(J1117*7/WD,0))</f>
        <v>0</v>
      </c>
      <c r="L1117" s="12"/>
      <c r="M1117" s="12"/>
      <c r="N1117" s="12"/>
      <c r="O1117" s="15" t="s">
        <v>3038</v>
      </c>
      <c r="P1117" s="16" t="n">
        <f aca="false">MAX(START,D_DLU,Packages!$I$107,Packages!$K$107)</f>
        <v>46357</v>
      </c>
      <c r="Q1117" s="16" t="n">
        <f aca="false">P1117+K1117</f>
        <v>46357</v>
      </c>
      <c r="R1117" s="12"/>
      <c r="S1117" s="12"/>
    </row>
    <row r="1118" customFormat="false" ht="15" hidden="false" customHeight="false" outlineLevel="0" collapsed="false">
      <c r="A1118" s="15" t="s">
        <v>4528</v>
      </c>
      <c r="B1118" s="15" t="s">
        <v>4527</v>
      </c>
      <c r="C1118" s="15" t="s">
        <v>397</v>
      </c>
      <c r="D1118" s="15" t="s">
        <v>873</v>
      </c>
      <c r="E1118" s="15" t="s">
        <v>941</v>
      </c>
      <c r="F1118" s="15" t="s">
        <v>3002</v>
      </c>
      <c r="G1118" s="15" t="s">
        <v>205</v>
      </c>
      <c r="H1118" s="33" t="n">
        <f aca="false">Packages!$O$107</f>
        <v>6.00000000015761</v>
      </c>
      <c r="I1118" s="15" t="s">
        <v>118</v>
      </c>
      <c r="J1118" s="34" t="n">
        <f aca="false">MAX(1,ROUNDUP(Packages!$O$107/R_PLAT,0))</f>
        <v>1</v>
      </c>
      <c r="K1118" s="34" t="n">
        <f aca="false">IF(J1118=0,0,ROUNDUP(J1118*7/WD,0))</f>
        <v>2</v>
      </c>
      <c r="L1118" s="15" t="s">
        <v>4526</v>
      </c>
      <c r="M1118" s="12"/>
      <c r="N1118" s="12"/>
      <c r="O1118" s="15" t="s">
        <v>4529</v>
      </c>
      <c r="P1118" s="16" t="n">
        <f aca="false">MAX(Q1117,P1020)</f>
        <v>46406</v>
      </c>
      <c r="Q1118" s="16" t="n">
        <f aca="false">P1118+K1118</f>
        <v>46408</v>
      </c>
      <c r="R1118" s="12"/>
      <c r="S1118" s="12"/>
    </row>
    <row r="1119" customFormat="false" ht="15" hidden="false" customHeight="false" outlineLevel="0" collapsed="false">
      <c r="A1119" s="15" t="s">
        <v>4530</v>
      </c>
      <c r="B1119" s="15" t="s">
        <v>4527</v>
      </c>
      <c r="C1119" s="15" t="s">
        <v>397</v>
      </c>
      <c r="D1119" s="15" t="s">
        <v>873</v>
      </c>
      <c r="E1119" s="15" t="s">
        <v>941</v>
      </c>
      <c r="F1119" s="15" t="s">
        <v>3005</v>
      </c>
      <c r="G1119" s="15" t="s">
        <v>3006</v>
      </c>
      <c r="H1119" s="33" t="n">
        <f aca="false">Packages!$AC$107</f>
        <v>8</v>
      </c>
      <c r="I1119" s="15" t="s">
        <v>3007</v>
      </c>
      <c r="J1119" s="34" t="n">
        <f aca="false">IF(Packages!$AC$107=0,0,MAX(1,ROUNDUP(Packages!$AC$107/(R_PILE*Fronts!$H$9),0)))</f>
        <v>2</v>
      </c>
      <c r="K1119" s="34" t="n">
        <f aca="false">IF(J1119=0,0,ROUNDUP(J1119*7/WD,0))</f>
        <v>3</v>
      </c>
      <c r="L1119" s="15" t="s">
        <v>4528</v>
      </c>
      <c r="M1119" s="34" t="n">
        <f aca="false">ROUNDUP(K1118*LADDER,0)</f>
        <v>1</v>
      </c>
      <c r="N1119" s="34" t="n">
        <f aca="false">IF(K1119=0,0,FFLAG)</f>
        <v>2</v>
      </c>
      <c r="O1119" s="15" t="s">
        <v>3008</v>
      </c>
      <c r="P1119" s="16" t="n">
        <f aca="false">MAX(P1118+M1119,D_PILEDES)</f>
        <v>46407</v>
      </c>
      <c r="Q1119" s="16" t="n">
        <f aca="false">MAX(P1119+K1119,Q1118+N1119)</f>
        <v>46410</v>
      </c>
      <c r="R1119" s="16" t="n">
        <f aca="false">IF(K1119&gt;0,Q1119,0)</f>
        <v>46410</v>
      </c>
      <c r="S1119" s="12"/>
    </row>
    <row r="1120" customFormat="false" ht="15" hidden="false" customHeight="false" outlineLevel="0" collapsed="false">
      <c r="A1120" s="15" t="s">
        <v>4531</v>
      </c>
      <c r="B1120" s="15" t="s">
        <v>4527</v>
      </c>
      <c r="C1120" s="15" t="s">
        <v>397</v>
      </c>
      <c r="D1120" s="15" t="s">
        <v>873</v>
      </c>
      <c r="E1120" s="15" t="s">
        <v>941</v>
      </c>
      <c r="F1120" s="15" t="s">
        <v>3010</v>
      </c>
      <c r="G1120" s="15" t="s">
        <v>3011</v>
      </c>
      <c r="H1120" s="33" t="n">
        <f aca="false">Packages!$AD$107</f>
        <v>0</v>
      </c>
      <c r="I1120" s="15" t="s">
        <v>3012</v>
      </c>
      <c r="J1120" s="34" t="n">
        <f aca="false">IF(Packages!$AD$107=0,0,MAX(1,ROUNDUP(Packages!$AD$107/(R_SHEET*Fronts!$I$9),0)))</f>
        <v>0</v>
      </c>
      <c r="K1120" s="34" t="n">
        <f aca="false">IF(J1120=0,0,ROUNDUP(J1120*7/WD,0))</f>
        <v>0</v>
      </c>
      <c r="L1120" s="15" t="s">
        <v>4530</v>
      </c>
      <c r="M1120" s="34" t="n">
        <f aca="false">ROUNDUP(K1119*LADDER,0)</f>
        <v>1</v>
      </c>
      <c r="N1120" s="34" t="n">
        <f aca="false">IF(K1120=0,0,FFLAG)</f>
        <v>0</v>
      </c>
      <c r="O1120" s="15"/>
      <c r="P1120" s="16" t="n">
        <f aca="false">MAX(P1119+M1120)</f>
        <v>46408</v>
      </c>
      <c r="Q1120" s="16" t="n">
        <f aca="false">MAX(P1120+K1120,Q1119+N1120)</f>
        <v>46410</v>
      </c>
      <c r="R1120" s="16" t="n">
        <f aca="false">IF(K1120&gt;0,Q1120,0)</f>
        <v>0</v>
      </c>
      <c r="S1120" s="12"/>
    </row>
    <row r="1121" customFormat="false" ht="15" hidden="false" customHeight="false" outlineLevel="0" collapsed="false">
      <c r="A1121" s="15" t="s">
        <v>4532</v>
      </c>
      <c r="B1121" s="15" t="s">
        <v>4527</v>
      </c>
      <c r="C1121" s="15" t="s">
        <v>397</v>
      </c>
      <c r="D1121" s="15" t="s">
        <v>873</v>
      </c>
      <c r="E1121" s="15" t="s">
        <v>941</v>
      </c>
      <c r="F1121" s="15" t="s">
        <v>3014</v>
      </c>
      <c r="G1121" s="15" t="s">
        <v>3015</v>
      </c>
      <c r="H1121" s="33" t="n">
        <f aca="false">Packages!$O$107</f>
        <v>6.00000000015761</v>
      </c>
      <c r="I1121" s="15" t="s">
        <v>118</v>
      </c>
      <c r="J1121" s="34" t="n">
        <f aca="false">IF(Packages!$AG$107=0,0,ROUNDUP(Packages!$O$107/R_DW,0)+DW_DRAW)</f>
        <v>8</v>
      </c>
      <c r="K1121" s="34" t="n">
        <f aca="false">IF(J1121=0,0,ROUNDUP(J1121*7/WD,0))</f>
        <v>10</v>
      </c>
      <c r="L1121" s="15" t="s">
        <v>4531</v>
      </c>
      <c r="M1121" s="34" t="n">
        <f aca="false">ROUNDUP(K1120*LADDER,0)</f>
        <v>0</v>
      </c>
      <c r="N1121" s="34" t="n">
        <f aca="false">IF(K1121=0,0,FFLAG)</f>
        <v>2</v>
      </c>
      <c r="O1121" s="15"/>
      <c r="P1121" s="16" t="n">
        <f aca="false">MAX(P1120+M1121)</f>
        <v>46408</v>
      </c>
      <c r="Q1121" s="16" t="n">
        <f aca="false">MAX(P1121+K1121,Q1120+N1121)</f>
        <v>46418</v>
      </c>
      <c r="R1121" s="12"/>
      <c r="S1121" s="12"/>
    </row>
    <row r="1122" customFormat="false" ht="15" hidden="false" customHeight="false" outlineLevel="0" collapsed="false">
      <c r="A1122" s="15" t="s">
        <v>4533</v>
      </c>
      <c r="B1122" s="15" t="s">
        <v>4527</v>
      </c>
      <c r="C1122" s="15" t="s">
        <v>397</v>
      </c>
      <c r="D1122" s="15" t="s">
        <v>873</v>
      </c>
      <c r="E1122" s="15" t="s">
        <v>941</v>
      </c>
      <c r="F1122" s="15" t="s">
        <v>3017</v>
      </c>
      <c r="G1122" s="15" t="s">
        <v>3018</v>
      </c>
      <c r="H1122" s="33" t="n">
        <f aca="false">Packages!$X$107+Packages!$Y$107</f>
        <v>80.1356855538977</v>
      </c>
      <c r="I1122" s="15" t="s">
        <v>3019</v>
      </c>
      <c r="J1122" s="34" t="n">
        <f aca="false">MAX(1,ROUNDUP((Packages!$X$107/R_EXS+Packages!$Y$107/R_EXO)/Fronts!$J$9,0))</f>
        <v>1</v>
      </c>
      <c r="K1122" s="34" t="n">
        <f aca="false">IF(J1122=0,0,ROUNDUP(J1122*7/WD,0))</f>
        <v>2</v>
      </c>
      <c r="L1122" s="15" t="s">
        <v>4532</v>
      </c>
      <c r="M1122" s="34" t="n">
        <f aca="false">IF(K1121=0,0,ROUNDUP((K1121-ROUNDUP(DW_DRAW*7/WD,0))*LADDER,0)+ROUNDUP(DW_DRAW*7/WD,0))</f>
        <v>10</v>
      </c>
      <c r="N1122" s="34" t="n">
        <f aca="false">IF(K1122=0,0,FFLAG)</f>
        <v>2</v>
      </c>
      <c r="O1122" s="15" t="s">
        <v>3873</v>
      </c>
      <c r="P1122" s="16" t="n">
        <f aca="false">MAX(P1121+M1122,Q1929)</f>
        <v>46561</v>
      </c>
      <c r="Q1122" s="16" t="n">
        <f aca="false">MAX(P1122+K1122,Q1121+N1122)</f>
        <v>46563</v>
      </c>
      <c r="R1122" s="16" t="n">
        <f aca="false">IF(K1122&gt;0,Q1122,0)</f>
        <v>46563</v>
      </c>
      <c r="S1122" s="12"/>
    </row>
    <row r="1123" customFormat="false" ht="15" hidden="false" customHeight="false" outlineLevel="0" collapsed="false">
      <c r="A1123" s="15" t="s">
        <v>4534</v>
      </c>
      <c r="B1123" s="15" t="s">
        <v>4527</v>
      </c>
      <c r="C1123" s="15" t="s">
        <v>397</v>
      </c>
      <c r="D1123" s="15" t="s">
        <v>873</v>
      </c>
      <c r="E1123" s="15" t="s">
        <v>941</v>
      </c>
      <c r="F1123" s="15" t="s">
        <v>3022</v>
      </c>
      <c r="G1123" s="15" t="s">
        <v>3023</v>
      </c>
      <c r="H1123" s="33" t="n">
        <f aca="false">Packages!$O$107</f>
        <v>6.00000000015761</v>
      </c>
      <c r="I1123" s="15" t="s">
        <v>118</v>
      </c>
      <c r="J1123" s="34" t="n">
        <f aca="false">MAX(1,ROUNDUP(Packages!$O$107/(R_SLAB*Fronts!$K$9),0))+SLAB_CURE</f>
        <v>4</v>
      </c>
      <c r="K1123" s="34" t="n">
        <f aca="false">IF(J1123=0,0,ROUNDUP(J1123*7/WD,0))</f>
        <v>5</v>
      </c>
      <c r="L1123" s="15" t="s">
        <v>4533</v>
      </c>
      <c r="M1123" s="34" t="n">
        <f aca="false">ROUNDUP(K1122*LADDER,0)</f>
        <v>1</v>
      </c>
      <c r="N1123" s="34" t="n">
        <f aca="false">IF(K1123=0,0,FFLAG)</f>
        <v>2</v>
      </c>
      <c r="O1123" s="15"/>
      <c r="P1123" s="16" t="n">
        <f aca="false">MAX(P1122+M1123)</f>
        <v>46562</v>
      </c>
      <c r="Q1123" s="16" t="n">
        <f aca="false">MAX(P1123+K1123,Q1122+N1123)</f>
        <v>46567</v>
      </c>
      <c r="R1123" s="16" t="n">
        <f aca="false">IF(K1123&gt;0,Q1123,0)</f>
        <v>46567</v>
      </c>
      <c r="S1123" s="12"/>
    </row>
    <row r="1124" customFormat="false" ht="15" hidden="false" customHeight="false" outlineLevel="0" collapsed="false">
      <c r="A1124" s="15" t="s">
        <v>4535</v>
      </c>
      <c r="B1124" s="15" t="s">
        <v>4527</v>
      </c>
      <c r="C1124" s="15" t="s">
        <v>397</v>
      </c>
      <c r="D1124" s="15" t="s">
        <v>873</v>
      </c>
      <c r="E1124" s="15" t="s">
        <v>941</v>
      </c>
      <c r="F1124" s="15" t="s">
        <v>3025</v>
      </c>
      <c r="G1124" s="15" t="s">
        <v>3026</v>
      </c>
      <c r="H1124" s="33" t="n">
        <f aca="false">Packages!$O$107</f>
        <v>6.00000000015761</v>
      </c>
      <c r="I1124" s="15" t="s">
        <v>118</v>
      </c>
      <c r="J1124" s="34" t="n">
        <f aca="false">MAX(1,ROUNDUP(Packages!$O$107/(IF(Packages!$N$107&gt;=PIPE_T1,R_PIPE_L,IF(Packages!$N$107&gt;=PIPE_T2,R_PIPE_M,R_PIPE_S))*Fronts!$L$9)+Packages!$M$107*FIT_D+IF(Packages!$G$107&lt;&gt;"Run",TIE_D,0),0))</f>
        <v>4</v>
      </c>
      <c r="K1124" s="34" t="n">
        <f aca="false">IF(J1124=0,0,ROUNDUP(J1124*7/WD,0))</f>
        <v>5</v>
      </c>
      <c r="L1124" s="15" t="s">
        <v>4534</v>
      </c>
      <c r="M1124" s="34" t="n">
        <f aca="false">ROUNDUP(K1123*LADDER,0)</f>
        <v>2</v>
      </c>
      <c r="N1124" s="34" t="n">
        <f aca="false">IF(K1124=0,0,FFLAG)</f>
        <v>2</v>
      </c>
      <c r="O1124" s="15" t="s">
        <v>4536</v>
      </c>
      <c r="P1124" s="16" t="n">
        <f aca="false">MAX(P1123+M1124,Q1025)</f>
        <v>46582</v>
      </c>
      <c r="Q1124" s="16" t="n">
        <f aca="false">MAX(P1124+K1124,Q1123+N1124)</f>
        <v>46587</v>
      </c>
      <c r="R1124" s="16" t="n">
        <f aca="false">IF(K1124&gt;0,Q1124,0)</f>
        <v>46587</v>
      </c>
      <c r="S1124" s="12"/>
    </row>
    <row r="1125" customFormat="false" ht="15" hidden="false" customHeight="false" outlineLevel="0" collapsed="false">
      <c r="A1125" s="15" t="s">
        <v>4537</v>
      </c>
      <c r="B1125" s="15" t="s">
        <v>4527</v>
      </c>
      <c r="C1125" s="15" t="s">
        <v>397</v>
      </c>
      <c r="D1125" s="15" t="s">
        <v>873</v>
      </c>
      <c r="E1125" s="15" t="s">
        <v>941</v>
      </c>
      <c r="F1125" s="15" t="s">
        <v>3028</v>
      </c>
      <c r="G1125" s="15" t="s">
        <v>3029</v>
      </c>
      <c r="H1125" s="33" t="n">
        <f aca="false">Packages!$O$107</f>
        <v>6.00000000015761</v>
      </c>
      <c r="I1125" s="15" t="s">
        <v>118</v>
      </c>
      <c r="J1125" s="34" t="n">
        <f aca="false">TEST_D+ROUNDUP(Packages!$O$107/R_TEST,0)</f>
        <v>3</v>
      </c>
      <c r="K1125" s="34" t="n">
        <f aca="false">IF(J1125=0,0,ROUNDUP(J1125*7/WD,0))</f>
        <v>4</v>
      </c>
      <c r="L1125" s="15" t="s">
        <v>4535</v>
      </c>
      <c r="M1125" s="34" t="n">
        <f aca="false">ROUNDUP(K1124*LADDER,0)</f>
        <v>2</v>
      </c>
      <c r="N1125" s="34" t="n">
        <f aca="false">IF(K1125=0,0,FFLAG)</f>
        <v>2</v>
      </c>
      <c r="O1125" s="15"/>
      <c r="P1125" s="16" t="n">
        <f aca="false">MAX(P1124+M1125)</f>
        <v>46584</v>
      </c>
      <c r="Q1125" s="16" t="n">
        <f aca="false">MAX(P1125+K1125,Q1124+N1125)</f>
        <v>46589</v>
      </c>
      <c r="R1125" s="12"/>
      <c r="S1125" s="12"/>
    </row>
    <row r="1126" customFormat="false" ht="15" hidden="false" customHeight="false" outlineLevel="0" collapsed="false">
      <c r="A1126" s="15" t="s">
        <v>4538</v>
      </c>
      <c r="B1126" s="15" t="s">
        <v>4527</v>
      </c>
      <c r="C1126" s="15" t="s">
        <v>397</v>
      </c>
      <c r="D1126" s="15" t="s">
        <v>873</v>
      </c>
      <c r="E1126" s="15" t="s">
        <v>941</v>
      </c>
      <c r="F1126" s="15" t="s">
        <v>3031</v>
      </c>
      <c r="G1126" s="15" t="s">
        <v>3032</v>
      </c>
      <c r="H1126" s="33" t="n">
        <f aca="false">Packages!$AB$107</f>
        <v>66.7498789440737</v>
      </c>
      <c r="I1126" s="15" t="s">
        <v>3019</v>
      </c>
      <c r="J1126" s="34" t="n">
        <f aca="false">MAX(1,ROUNDUP(Packages!$AB$107/(R_BF*Fronts!$M$9),0))</f>
        <v>1</v>
      </c>
      <c r="K1126" s="34" t="n">
        <f aca="false">IF(J1126=0,0,ROUNDUP(J1126*7/WD,0))</f>
        <v>2</v>
      </c>
      <c r="L1126" s="15" t="s">
        <v>4537</v>
      </c>
      <c r="M1126" s="34" t="n">
        <f aca="false">ROUNDUP(K1125*LADDER,0)</f>
        <v>2</v>
      </c>
      <c r="N1126" s="34" t="n">
        <f aca="false">IF(K1126=0,0,FFLAG)</f>
        <v>2</v>
      </c>
      <c r="O1126" s="15"/>
      <c r="P1126" s="16" t="n">
        <f aca="false">MAX(P1125+M1126)</f>
        <v>46586</v>
      </c>
      <c r="Q1126" s="16" t="n">
        <f aca="false">MAX(P1126+K1126,Q1125+N1126)</f>
        <v>46591</v>
      </c>
      <c r="R1126" s="16" t="n">
        <f aca="false">IF(K1126&gt;0,Q1126,0)</f>
        <v>46591</v>
      </c>
      <c r="S1126" s="12"/>
    </row>
    <row r="1127" customFormat="false" ht="15" hidden="false" customHeight="false" outlineLevel="0" collapsed="false">
      <c r="A1127" s="15" t="s">
        <v>4539</v>
      </c>
      <c r="B1127" s="15" t="s">
        <v>4527</v>
      </c>
      <c r="C1127" s="15" t="s">
        <v>397</v>
      </c>
      <c r="D1127" s="15" t="s">
        <v>873</v>
      </c>
      <c r="E1127" s="15" t="s">
        <v>941</v>
      </c>
      <c r="F1127" s="15" t="s">
        <v>3034</v>
      </c>
      <c r="G1127" s="15" t="s">
        <v>3035</v>
      </c>
      <c r="H1127" s="33" t="n">
        <f aca="false">Packages!$AD$107</f>
        <v>0</v>
      </c>
      <c r="I1127" s="15" t="s">
        <v>3012</v>
      </c>
      <c r="J1127" s="34" t="n">
        <f aca="false">IF(Packages!$AD$107&gt;0,ROUNDUP(Packages!$AD$107/R_EXT,0),0)+IF(Packages!$AG$107&gt;0,1,0)</f>
        <v>1</v>
      </c>
      <c r="K1127" s="34" t="n">
        <f aca="false">IF(J1127=0,0,ROUNDUP(J1127*7/WD,0))</f>
        <v>2</v>
      </c>
      <c r="L1127" s="15" t="s">
        <v>4538</v>
      </c>
      <c r="M1127" s="34" t="n">
        <f aca="false">ROUNDUP(K1126*LADDER,0)</f>
        <v>1</v>
      </c>
      <c r="N1127" s="34" t="n">
        <f aca="false">IF(K1127=0,0,FFLAG)</f>
        <v>2</v>
      </c>
      <c r="O1127" s="15"/>
      <c r="P1127" s="16" t="n">
        <f aca="false">MAX(P1126+M1127)</f>
        <v>46587</v>
      </c>
      <c r="Q1127" s="16" t="n">
        <f aca="false">MAX(P1127+K1127,Q1126+N1127)</f>
        <v>46593</v>
      </c>
      <c r="R1127" s="12"/>
      <c r="S1127" s="12"/>
    </row>
    <row r="1128" customFormat="false" ht="15" hidden="false" customHeight="false" outlineLevel="0" collapsed="false">
      <c r="A1128" s="15" t="s">
        <v>4540</v>
      </c>
      <c r="B1128" s="15" t="s">
        <v>4541</v>
      </c>
      <c r="C1128" s="15" t="s">
        <v>397</v>
      </c>
      <c r="D1128" s="15" t="s">
        <v>873</v>
      </c>
      <c r="E1128" s="15" t="s">
        <v>950</v>
      </c>
      <c r="F1128" s="15" t="s">
        <v>2998</v>
      </c>
      <c r="G1128" s="15" t="s">
        <v>2999</v>
      </c>
      <c r="H1128" s="12"/>
      <c r="I1128" s="12"/>
      <c r="J1128" s="34" t="n">
        <f aca="false">0</f>
        <v>0</v>
      </c>
      <c r="K1128" s="34" t="n">
        <f aca="false">IF(J1128=0,0,ROUNDUP(J1128*7/WD,0))</f>
        <v>0</v>
      </c>
      <c r="L1128" s="12"/>
      <c r="M1128" s="12"/>
      <c r="N1128" s="12"/>
      <c r="O1128" s="15" t="s">
        <v>3038</v>
      </c>
      <c r="P1128" s="16" t="n">
        <f aca="false">MAX(START,D_DLU,Packages!$I$108,Packages!$K$108)</f>
        <v>46357</v>
      </c>
      <c r="Q1128" s="16" t="n">
        <f aca="false">P1128+K1128</f>
        <v>46357</v>
      </c>
      <c r="R1128" s="12"/>
      <c r="S1128" s="12"/>
    </row>
    <row r="1129" customFormat="false" ht="15" hidden="false" customHeight="false" outlineLevel="0" collapsed="false">
      <c r="A1129" s="15" t="s">
        <v>4542</v>
      </c>
      <c r="B1129" s="15" t="s">
        <v>4541</v>
      </c>
      <c r="C1129" s="15" t="s">
        <v>397</v>
      </c>
      <c r="D1129" s="15" t="s">
        <v>873</v>
      </c>
      <c r="E1129" s="15" t="s">
        <v>950</v>
      </c>
      <c r="F1129" s="15" t="s">
        <v>3002</v>
      </c>
      <c r="G1129" s="15" t="s">
        <v>205</v>
      </c>
      <c r="H1129" s="33" t="n">
        <f aca="false">Packages!$O$108</f>
        <v>5.9999999998824</v>
      </c>
      <c r="I1129" s="15" t="s">
        <v>118</v>
      </c>
      <c r="J1129" s="34" t="n">
        <f aca="false">MAX(1,ROUNDUP(Packages!$O$108/R_PLAT,0))</f>
        <v>1</v>
      </c>
      <c r="K1129" s="34" t="n">
        <f aca="false">IF(J1129=0,0,ROUNDUP(J1129*7/WD,0))</f>
        <v>2</v>
      </c>
      <c r="L1129" s="15" t="s">
        <v>4540</v>
      </c>
      <c r="M1129" s="12"/>
      <c r="N1129" s="12"/>
      <c r="O1129" s="15" t="s">
        <v>4543</v>
      </c>
      <c r="P1129" s="16" t="n">
        <f aca="false">MAX(Q1128,P1009)</f>
        <v>46403</v>
      </c>
      <c r="Q1129" s="16" t="n">
        <f aca="false">P1129+K1129</f>
        <v>46405</v>
      </c>
      <c r="R1129" s="12"/>
      <c r="S1129" s="12"/>
    </row>
    <row r="1130" customFormat="false" ht="15" hidden="false" customHeight="false" outlineLevel="0" collapsed="false">
      <c r="A1130" s="15" t="s">
        <v>4544</v>
      </c>
      <c r="B1130" s="15" t="s">
        <v>4541</v>
      </c>
      <c r="C1130" s="15" t="s">
        <v>397</v>
      </c>
      <c r="D1130" s="15" t="s">
        <v>873</v>
      </c>
      <c r="E1130" s="15" t="s">
        <v>950</v>
      </c>
      <c r="F1130" s="15" t="s">
        <v>3005</v>
      </c>
      <c r="G1130" s="15" t="s">
        <v>3006</v>
      </c>
      <c r="H1130" s="33" t="n">
        <f aca="false">Packages!$AC$108</f>
        <v>6</v>
      </c>
      <c r="I1130" s="15" t="s">
        <v>3007</v>
      </c>
      <c r="J1130" s="34" t="n">
        <f aca="false">IF(Packages!$AC$108=0,0,MAX(1,ROUNDUP(Packages!$AC$108/(R_PILE*Fronts!$H$9),0)))</f>
        <v>2</v>
      </c>
      <c r="K1130" s="34" t="n">
        <f aca="false">IF(J1130=0,0,ROUNDUP(J1130*7/WD,0))</f>
        <v>3</v>
      </c>
      <c r="L1130" s="15" t="s">
        <v>4542</v>
      </c>
      <c r="M1130" s="34" t="n">
        <f aca="false">ROUNDUP(K1129*LADDER,0)</f>
        <v>1</v>
      </c>
      <c r="N1130" s="34" t="n">
        <f aca="false">IF(K1130=0,0,FFLAG)</f>
        <v>2</v>
      </c>
      <c r="O1130" s="15" t="s">
        <v>3008</v>
      </c>
      <c r="P1130" s="16" t="n">
        <f aca="false">MAX(P1129+M1130,D_PILEDES)</f>
        <v>46404</v>
      </c>
      <c r="Q1130" s="16" t="n">
        <f aca="false">MAX(P1130+K1130,Q1129+N1130)</f>
        <v>46407</v>
      </c>
      <c r="R1130" s="16" t="n">
        <f aca="false">IF(K1130&gt;0,Q1130,0)</f>
        <v>46407</v>
      </c>
      <c r="S1130" s="12"/>
    </row>
    <row r="1131" customFormat="false" ht="15" hidden="false" customHeight="false" outlineLevel="0" collapsed="false">
      <c r="A1131" s="15" t="s">
        <v>4545</v>
      </c>
      <c r="B1131" s="15" t="s">
        <v>4541</v>
      </c>
      <c r="C1131" s="15" t="s">
        <v>397</v>
      </c>
      <c r="D1131" s="15" t="s">
        <v>873</v>
      </c>
      <c r="E1131" s="15" t="s">
        <v>950</v>
      </c>
      <c r="F1131" s="15" t="s">
        <v>3010</v>
      </c>
      <c r="G1131" s="15" t="s">
        <v>3011</v>
      </c>
      <c r="H1131" s="33" t="n">
        <f aca="false">Packages!$AD$108</f>
        <v>0</v>
      </c>
      <c r="I1131" s="15" t="s">
        <v>3012</v>
      </c>
      <c r="J1131" s="34" t="n">
        <f aca="false">IF(Packages!$AD$108=0,0,MAX(1,ROUNDUP(Packages!$AD$108/(R_SHEET*Fronts!$I$9),0)))</f>
        <v>0</v>
      </c>
      <c r="K1131" s="34" t="n">
        <f aca="false">IF(J1131=0,0,ROUNDUP(J1131*7/WD,0))</f>
        <v>0</v>
      </c>
      <c r="L1131" s="15" t="s">
        <v>4544</v>
      </c>
      <c r="M1131" s="34" t="n">
        <f aca="false">ROUNDUP(K1130*LADDER,0)</f>
        <v>1</v>
      </c>
      <c r="N1131" s="34" t="n">
        <f aca="false">IF(K1131=0,0,FFLAG)</f>
        <v>0</v>
      </c>
      <c r="O1131" s="15"/>
      <c r="P1131" s="16" t="n">
        <f aca="false">MAX(P1130+M1131)</f>
        <v>46405</v>
      </c>
      <c r="Q1131" s="16" t="n">
        <f aca="false">MAX(P1131+K1131,Q1130+N1131)</f>
        <v>46407</v>
      </c>
      <c r="R1131" s="16" t="n">
        <f aca="false">IF(K1131&gt;0,Q1131,0)</f>
        <v>0</v>
      </c>
      <c r="S1131" s="12"/>
    </row>
    <row r="1132" customFormat="false" ht="15" hidden="false" customHeight="false" outlineLevel="0" collapsed="false">
      <c r="A1132" s="15" t="s">
        <v>4546</v>
      </c>
      <c r="B1132" s="15" t="s">
        <v>4541</v>
      </c>
      <c r="C1132" s="15" t="s">
        <v>397</v>
      </c>
      <c r="D1132" s="15" t="s">
        <v>873</v>
      </c>
      <c r="E1132" s="15" t="s">
        <v>950</v>
      </c>
      <c r="F1132" s="15" t="s">
        <v>3014</v>
      </c>
      <c r="G1132" s="15" t="s">
        <v>3015</v>
      </c>
      <c r="H1132" s="33" t="n">
        <f aca="false">Packages!$O$108</f>
        <v>5.9999999998824</v>
      </c>
      <c r="I1132" s="15" t="s">
        <v>118</v>
      </c>
      <c r="J1132" s="34" t="n">
        <f aca="false">IF(Packages!$AG$108=0,0,ROUNDUP(Packages!$O$108/R_DW,0)+DW_DRAW)</f>
        <v>8</v>
      </c>
      <c r="K1132" s="34" t="n">
        <f aca="false">IF(J1132=0,0,ROUNDUP(J1132*7/WD,0))</f>
        <v>10</v>
      </c>
      <c r="L1132" s="15" t="s">
        <v>4545</v>
      </c>
      <c r="M1132" s="34" t="n">
        <f aca="false">ROUNDUP(K1131*LADDER,0)</f>
        <v>0</v>
      </c>
      <c r="N1132" s="34" t="n">
        <f aca="false">IF(K1132=0,0,FFLAG)</f>
        <v>2</v>
      </c>
      <c r="O1132" s="15"/>
      <c r="P1132" s="16" t="n">
        <f aca="false">MAX(P1131+M1132)</f>
        <v>46405</v>
      </c>
      <c r="Q1132" s="16" t="n">
        <f aca="false">MAX(P1132+K1132,Q1131+N1132)</f>
        <v>46415</v>
      </c>
      <c r="R1132" s="12"/>
      <c r="S1132" s="12"/>
    </row>
    <row r="1133" customFormat="false" ht="15" hidden="false" customHeight="false" outlineLevel="0" collapsed="false">
      <c r="A1133" s="15" t="s">
        <v>4547</v>
      </c>
      <c r="B1133" s="15" t="s">
        <v>4541</v>
      </c>
      <c r="C1133" s="15" t="s">
        <v>397</v>
      </c>
      <c r="D1133" s="15" t="s">
        <v>873</v>
      </c>
      <c r="E1133" s="15" t="s">
        <v>950</v>
      </c>
      <c r="F1133" s="15" t="s">
        <v>3017</v>
      </c>
      <c r="G1133" s="15" t="s">
        <v>3018</v>
      </c>
      <c r="H1133" s="33" t="n">
        <f aca="false">Packages!$X$108+Packages!$Y$108</f>
        <v>80.7122064215134</v>
      </c>
      <c r="I1133" s="15" t="s">
        <v>3019</v>
      </c>
      <c r="J1133" s="34" t="n">
        <f aca="false">MAX(1,ROUNDUP((Packages!$X$108/R_EXS+Packages!$Y$108/R_EXO)/Fronts!$J$9,0))</f>
        <v>1</v>
      </c>
      <c r="K1133" s="34" t="n">
        <f aca="false">IF(J1133=0,0,ROUNDUP(J1133*7/WD,0))</f>
        <v>2</v>
      </c>
      <c r="L1133" s="15" t="s">
        <v>4546</v>
      </c>
      <c r="M1133" s="34" t="n">
        <f aca="false">IF(K1132=0,0,ROUNDUP((K1132-ROUNDUP(DW_DRAW*7/WD,0))*LADDER,0)+ROUNDUP(DW_DRAW*7/WD,0))</f>
        <v>10</v>
      </c>
      <c r="N1133" s="34" t="n">
        <f aca="false">IF(K1133=0,0,FFLAG)</f>
        <v>2</v>
      </c>
      <c r="O1133" s="15" t="s">
        <v>4548</v>
      </c>
      <c r="P1133" s="16" t="n">
        <f aca="false">MAX(P1132+M1133,Q1544)</f>
        <v>46415</v>
      </c>
      <c r="Q1133" s="16" t="n">
        <f aca="false">MAX(P1133+K1133,Q1132+N1133)</f>
        <v>46417</v>
      </c>
      <c r="R1133" s="16" t="n">
        <f aca="false">IF(K1133&gt;0,Q1133,0)</f>
        <v>46417</v>
      </c>
      <c r="S1133" s="12"/>
    </row>
    <row r="1134" customFormat="false" ht="15" hidden="false" customHeight="false" outlineLevel="0" collapsed="false">
      <c r="A1134" s="15" t="s">
        <v>4549</v>
      </c>
      <c r="B1134" s="15" t="s">
        <v>4541</v>
      </c>
      <c r="C1134" s="15" t="s">
        <v>397</v>
      </c>
      <c r="D1134" s="15" t="s">
        <v>873</v>
      </c>
      <c r="E1134" s="15" t="s">
        <v>950</v>
      </c>
      <c r="F1134" s="15" t="s">
        <v>3022</v>
      </c>
      <c r="G1134" s="15" t="s">
        <v>3023</v>
      </c>
      <c r="H1134" s="33" t="n">
        <f aca="false">Packages!$O$108</f>
        <v>5.9999999998824</v>
      </c>
      <c r="I1134" s="15" t="s">
        <v>118</v>
      </c>
      <c r="J1134" s="34" t="n">
        <f aca="false">MAX(1,ROUNDUP(Packages!$O$108/(R_SLAB*Fronts!$K$9),0))+SLAB_CURE</f>
        <v>4</v>
      </c>
      <c r="K1134" s="34" t="n">
        <f aca="false">IF(J1134=0,0,ROUNDUP(J1134*7/WD,0))</f>
        <v>5</v>
      </c>
      <c r="L1134" s="15" t="s">
        <v>4547</v>
      </c>
      <c r="M1134" s="34" t="n">
        <f aca="false">ROUNDUP(K1133*LADDER,0)</f>
        <v>1</v>
      </c>
      <c r="N1134" s="34" t="n">
        <f aca="false">IF(K1134=0,0,FFLAG)</f>
        <v>2</v>
      </c>
      <c r="O1134" s="15"/>
      <c r="P1134" s="16" t="n">
        <f aca="false">MAX(P1133+M1134)</f>
        <v>46416</v>
      </c>
      <c r="Q1134" s="16" t="n">
        <f aca="false">MAX(P1134+K1134,Q1133+N1134)</f>
        <v>46421</v>
      </c>
      <c r="R1134" s="16" t="n">
        <f aca="false">IF(K1134&gt;0,Q1134,0)</f>
        <v>46421</v>
      </c>
      <c r="S1134" s="12"/>
    </row>
    <row r="1135" customFormat="false" ht="15" hidden="false" customHeight="false" outlineLevel="0" collapsed="false">
      <c r="A1135" s="15" t="s">
        <v>4550</v>
      </c>
      <c r="B1135" s="15" t="s">
        <v>4541</v>
      </c>
      <c r="C1135" s="15" t="s">
        <v>397</v>
      </c>
      <c r="D1135" s="15" t="s">
        <v>873</v>
      </c>
      <c r="E1135" s="15" t="s">
        <v>950</v>
      </c>
      <c r="F1135" s="15" t="s">
        <v>3025</v>
      </c>
      <c r="G1135" s="15" t="s">
        <v>3026</v>
      </c>
      <c r="H1135" s="33" t="n">
        <f aca="false">Packages!$O$108</f>
        <v>5.9999999998824</v>
      </c>
      <c r="I1135" s="15" t="s">
        <v>118</v>
      </c>
      <c r="J1135" s="34" t="n">
        <f aca="false">MAX(1,ROUNDUP(Packages!$O$108/(IF(Packages!$N$108&gt;=PIPE_T1,R_PIPE_L,IF(Packages!$N$108&gt;=PIPE_T2,R_PIPE_M,R_PIPE_S))*Fronts!$L$9)+Packages!$M$108*FIT_D+IF(Packages!$G$108&lt;&gt;"Run",TIE_D,0),0))</f>
        <v>4</v>
      </c>
      <c r="K1135" s="34" t="n">
        <f aca="false">IF(J1135=0,0,ROUNDUP(J1135*7/WD,0))</f>
        <v>5</v>
      </c>
      <c r="L1135" s="15" t="s">
        <v>4549</v>
      </c>
      <c r="M1135" s="34" t="n">
        <f aca="false">ROUNDUP(K1134*LADDER,0)</f>
        <v>2</v>
      </c>
      <c r="N1135" s="34" t="n">
        <f aca="false">IF(K1135=0,0,FFLAG)</f>
        <v>2</v>
      </c>
      <c r="O1135" s="15" t="s">
        <v>4551</v>
      </c>
      <c r="P1135" s="16" t="n">
        <f aca="false">MAX(P1134+M1135,Q1014)</f>
        <v>46575</v>
      </c>
      <c r="Q1135" s="16" t="n">
        <f aca="false">MAX(P1135+K1135,Q1134+N1135)</f>
        <v>46580</v>
      </c>
      <c r="R1135" s="16" t="n">
        <f aca="false">IF(K1135&gt;0,Q1135,0)</f>
        <v>46580</v>
      </c>
      <c r="S1135" s="12"/>
    </row>
    <row r="1136" customFormat="false" ht="15" hidden="false" customHeight="false" outlineLevel="0" collapsed="false">
      <c r="A1136" s="15" t="s">
        <v>4552</v>
      </c>
      <c r="B1136" s="15" t="s">
        <v>4541</v>
      </c>
      <c r="C1136" s="15" t="s">
        <v>397</v>
      </c>
      <c r="D1136" s="15" t="s">
        <v>873</v>
      </c>
      <c r="E1136" s="15" t="s">
        <v>950</v>
      </c>
      <c r="F1136" s="15" t="s">
        <v>3028</v>
      </c>
      <c r="G1136" s="15" t="s">
        <v>3029</v>
      </c>
      <c r="H1136" s="33" t="n">
        <f aca="false">Packages!$O$108</f>
        <v>5.9999999998824</v>
      </c>
      <c r="I1136" s="15" t="s">
        <v>118</v>
      </c>
      <c r="J1136" s="34" t="n">
        <f aca="false">TEST_D+ROUNDUP(Packages!$O$108/R_TEST,0)</f>
        <v>3</v>
      </c>
      <c r="K1136" s="34" t="n">
        <f aca="false">IF(J1136=0,0,ROUNDUP(J1136*7/WD,0))</f>
        <v>4</v>
      </c>
      <c r="L1136" s="15" t="s">
        <v>4550</v>
      </c>
      <c r="M1136" s="34" t="n">
        <f aca="false">ROUNDUP(K1135*LADDER,0)</f>
        <v>2</v>
      </c>
      <c r="N1136" s="34" t="n">
        <f aca="false">IF(K1136=0,0,FFLAG)</f>
        <v>2</v>
      </c>
      <c r="O1136" s="15"/>
      <c r="P1136" s="16" t="n">
        <f aca="false">MAX(P1135+M1136)</f>
        <v>46577</v>
      </c>
      <c r="Q1136" s="16" t="n">
        <f aca="false">MAX(P1136+K1136,Q1135+N1136)</f>
        <v>46582</v>
      </c>
      <c r="R1136" s="12"/>
      <c r="S1136" s="12"/>
    </row>
    <row r="1137" customFormat="false" ht="15" hidden="false" customHeight="false" outlineLevel="0" collapsed="false">
      <c r="A1137" s="15" t="s">
        <v>4553</v>
      </c>
      <c r="B1137" s="15" t="s">
        <v>4541</v>
      </c>
      <c r="C1137" s="15" t="s">
        <v>397</v>
      </c>
      <c r="D1137" s="15" t="s">
        <v>873</v>
      </c>
      <c r="E1137" s="15" t="s">
        <v>950</v>
      </c>
      <c r="F1137" s="15" t="s">
        <v>3031</v>
      </c>
      <c r="G1137" s="15" t="s">
        <v>3032</v>
      </c>
      <c r="H1137" s="33" t="n">
        <f aca="false">Packages!$AB$108</f>
        <v>67.3263928202245</v>
      </c>
      <c r="I1137" s="15" t="s">
        <v>3019</v>
      </c>
      <c r="J1137" s="34" t="n">
        <f aca="false">MAX(1,ROUNDUP(Packages!$AB$108/(R_BF*Fronts!$M$9),0))</f>
        <v>1</v>
      </c>
      <c r="K1137" s="34" t="n">
        <f aca="false">IF(J1137=0,0,ROUNDUP(J1137*7/WD,0))</f>
        <v>2</v>
      </c>
      <c r="L1137" s="15" t="s">
        <v>4552</v>
      </c>
      <c r="M1137" s="34" t="n">
        <f aca="false">ROUNDUP(K1136*LADDER,0)</f>
        <v>2</v>
      </c>
      <c r="N1137" s="34" t="n">
        <f aca="false">IF(K1137=0,0,FFLAG)</f>
        <v>2</v>
      </c>
      <c r="O1137" s="15"/>
      <c r="P1137" s="16" t="n">
        <f aca="false">MAX(P1136+M1137)</f>
        <v>46579</v>
      </c>
      <c r="Q1137" s="16" t="n">
        <f aca="false">MAX(P1137+K1137,Q1136+N1137)</f>
        <v>46584</v>
      </c>
      <c r="R1137" s="16" t="n">
        <f aca="false">IF(K1137&gt;0,Q1137,0)</f>
        <v>46584</v>
      </c>
      <c r="S1137" s="12"/>
    </row>
    <row r="1138" customFormat="false" ht="15" hidden="false" customHeight="false" outlineLevel="0" collapsed="false">
      <c r="A1138" s="15" t="s">
        <v>4554</v>
      </c>
      <c r="B1138" s="15" t="s">
        <v>4541</v>
      </c>
      <c r="C1138" s="15" t="s">
        <v>397</v>
      </c>
      <c r="D1138" s="15" t="s">
        <v>873</v>
      </c>
      <c r="E1138" s="15" t="s">
        <v>950</v>
      </c>
      <c r="F1138" s="15" t="s">
        <v>3034</v>
      </c>
      <c r="G1138" s="15" t="s">
        <v>3035</v>
      </c>
      <c r="H1138" s="33" t="n">
        <f aca="false">Packages!$AD$108</f>
        <v>0</v>
      </c>
      <c r="I1138" s="15" t="s">
        <v>3012</v>
      </c>
      <c r="J1138" s="34" t="n">
        <f aca="false">IF(Packages!$AD$108&gt;0,ROUNDUP(Packages!$AD$108/R_EXT,0),0)+IF(Packages!$AG$108&gt;0,1,0)</f>
        <v>1</v>
      </c>
      <c r="K1138" s="34" t="n">
        <f aca="false">IF(J1138=0,0,ROUNDUP(J1138*7/WD,0))</f>
        <v>2</v>
      </c>
      <c r="L1138" s="15" t="s">
        <v>4553</v>
      </c>
      <c r="M1138" s="34" t="n">
        <f aca="false">ROUNDUP(K1137*LADDER,0)</f>
        <v>1</v>
      </c>
      <c r="N1138" s="34" t="n">
        <f aca="false">IF(K1138=0,0,FFLAG)</f>
        <v>2</v>
      </c>
      <c r="O1138" s="15"/>
      <c r="P1138" s="16" t="n">
        <f aca="false">MAX(P1137+M1138)</f>
        <v>46580</v>
      </c>
      <c r="Q1138" s="16" t="n">
        <f aca="false">MAX(P1138+K1138,Q1137+N1138)</f>
        <v>46586</v>
      </c>
      <c r="R1138" s="12"/>
      <c r="S1138" s="12"/>
    </row>
    <row r="1139" customFormat="false" ht="15" hidden="false" customHeight="false" outlineLevel="0" collapsed="false">
      <c r="A1139" s="15" t="s">
        <v>4555</v>
      </c>
      <c r="B1139" s="15" t="s">
        <v>4556</v>
      </c>
      <c r="C1139" s="15" t="s">
        <v>400</v>
      </c>
      <c r="D1139" s="15" t="s">
        <v>1240</v>
      </c>
      <c r="E1139" s="15" t="s">
        <v>1251</v>
      </c>
      <c r="F1139" s="15" t="s">
        <v>2998</v>
      </c>
      <c r="G1139" s="15" t="s">
        <v>2999</v>
      </c>
      <c r="H1139" s="12"/>
      <c r="I1139" s="12"/>
      <c r="J1139" s="34" t="n">
        <f aca="false">0</f>
        <v>0</v>
      </c>
      <c r="K1139" s="34" t="n">
        <f aca="false">IF(J1139=0,0,ROUNDUP(J1139*7/WD,0))</f>
        <v>0</v>
      </c>
      <c r="L1139" s="12"/>
      <c r="M1139" s="12"/>
      <c r="N1139" s="12"/>
      <c r="O1139" s="15" t="s">
        <v>3000</v>
      </c>
      <c r="P1139" s="16" t="n">
        <f aca="false">MAX(START,D_DLU,Packages!$I$109,Packages!$K$109)</f>
        <v>46357</v>
      </c>
      <c r="Q1139" s="16" t="n">
        <f aca="false">P1139+K1139</f>
        <v>46357</v>
      </c>
      <c r="R1139" s="12"/>
      <c r="S1139" s="12"/>
    </row>
    <row r="1140" customFormat="false" ht="15" hidden="false" customHeight="false" outlineLevel="0" collapsed="false">
      <c r="A1140" s="15" t="s">
        <v>4557</v>
      </c>
      <c r="B1140" s="15" t="s">
        <v>4556</v>
      </c>
      <c r="C1140" s="15" t="s">
        <v>400</v>
      </c>
      <c r="D1140" s="15" t="s">
        <v>1240</v>
      </c>
      <c r="E1140" s="15" t="s">
        <v>1251</v>
      </c>
      <c r="F1140" s="15" t="s">
        <v>3002</v>
      </c>
      <c r="G1140" s="15" t="s">
        <v>205</v>
      </c>
      <c r="H1140" s="33" t="n">
        <f aca="false">Packages!$O$109</f>
        <v>26.2460390795656</v>
      </c>
      <c r="I1140" s="15" t="s">
        <v>118</v>
      </c>
      <c r="J1140" s="34" t="n">
        <f aca="false">MAX(1,ROUNDUP(Packages!$O$109/R_PLAT,0))</f>
        <v>1</v>
      </c>
      <c r="K1140" s="34" t="n">
        <f aca="false">IF(J1140=0,0,ROUNDUP(J1140*7/WD,0))</f>
        <v>2</v>
      </c>
      <c r="L1140" s="15" t="s">
        <v>4555</v>
      </c>
      <c r="M1140" s="12"/>
      <c r="N1140" s="12"/>
      <c r="O1140" s="15" t="s">
        <v>3003</v>
      </c>
      <c r="P1140" s="16" t="n">
        <f aca="false">MAX(Q1139)</f>
        <v>46357</v>
      </c>
      <c r="Q1140" s="16" t="n">
        <f aca="false">P1140+K1140</f>
        <v>46359</v>
      </c>
      <c r="R1140" s="12"/>
      <c r="S1140" s="12"/>
    </row>
    <row r="1141" customFormat="false" ht="15" hidden="false" customHeight="false" outlineLevel="0" collapsed="false">
      <c r="A1141" s="15" t="s">
        <v>4558</v>
      </c>
      <c r="B1141" s="15" t="s">
        <v>4556</v>
      </c>
      <c r="C1141" s="15" t="s">
        <v>400</v>
      </c>
      <c r="D1141" s="15" t="s">
        <v>1240</v>
      </c>
      <c r="E1141" s="15" t="s">
        <v>1251</v>
      </c>
      <c r="F1141" s="15" t="s">
        <v>3005</v>
      </c>
      <c r="G1141" s="15" t="s">
        <v>3006</v>
      </c>
      <c r="H1141" s="33" t="n">
        <f aca="false">Packages!$AC$109</f>
        <v>20</v>
      </c>
      <c r="I1141" s="15" t="s">
        <v>3007</v>
      </c>
      <c r="J1141" s="34" t="n">
        <f aca="false">IF(Packages!$AC$109=0,0,MAX(1,ROUNDUP(Packages!$AC$109/(R_PILE*Fronts!$H$10),0)))</f>
        <v>4</v>
      </c>
      <c r="K1141" s="34" t="n">
        <f aca="false">IF(J1141=0,0,ROUNDUP(J1141*7/WD,0))</f>
        <v>5</v>
      </c>
      <c r="L1141" s="15" t="s">
        <v>4557</v>
      </c>
      <c r="M1141" s="34" t="n">
        <f aca="false">ROUNDUP(K1140*LADDER,0)</f>
        <v>1</v>
      </c>
      <c r="N1141" s="34" t="n">
        <f aca="false">IF(K1141=0,0,FFLAG)</f>
        <v>2</v>
      </c>
      <c r="O1141" s="15" t="s">
        <v>3008</v>
      </c>
      <c r="P1141" s="16" t="n">
        <f aca="false">MAX(P1140+M1141,D_PILEDES)</f>
        <v>46358</v>
      </c>
      <c r="Q1141" s="16" t="n">
        <f aca="false">MAX(P1141+K1141,Q1140+N1141)</f>
        <v>46363</v>
      </c>
      <c r="R1141" s="16" t="n">
        <f aca="false">IF(K1141&gt;0,Q1141,0)</f>
        <v>46363</v>
      </c>
      <c r="S1141" s="12"/>
    </row>
    <row r="1142" customFormat="false" ht="15" hidden="false" customHeight="false" outlineLevel="0" collapsed="false">
      <c r="A1142" s="15" t="s">
        <v>4559</v>
      </c>
      <c r="B1142" s="15" t="s">
        <v>4556</v>
      </c>
      <c r="C1142" s="15" t="s">
        <v>400</v>
      </c>
      <c r="D1142" s="15" t="s">
        <v>1240</v>
      </c>
      <c r="E1142" s="15" t="s">
        <v>1251</v>
      </c>
      <c r="F1142" s="15" t="s">
        <v>3010</v>
      </c>
      <c r="G1142" s="15" t="s">
        <v>3011</v>
      </c>
      <c r="H1142" s="33" t="n">
        <f aca="false">Packages!$AD$109</f>
        <v>52.4920781591311</v>
      </c>
      <c r="I1142" s="15" t="s">
        <v>3012</v>
      </c>
      <c r="J1142" s="34" t="n">
        <f aca="false">IF(Packages!$AD$109=0,0,MAX(1,ROUNDUP(Packages!$AD$109/(R_SHEET*Fronts!$I$10),0)))</f>
        <v>3</v>
      </c>
      <c r="K1142" s="34" t="n">
        <f aca="false">IF(J1142=0,0,ROUNDUP(J1142*7/WD,0))</f>
        <v>4</v>
      </c>
      <c r="L1142" s="15" t="s">
        <v>4558</v>
      </c>
      <c r="M1142" s="34" t="n">
        <f aca="false">ROUNDUP(K1141*LADDER,0)</f>
        <v>2</v>
      </c>
      <c r="N1142" s="34" t="n">
        <f aca="false">IF(K1142=0,0,FFLAG)</f>
        <v>2</v>
      </c>
      <c r="O1142" s="15"/>
      <c r="P1142" s="16" t="n">
        <f aca="false">MAX(P1141+M1142)</f>
        <v>46360</v>
      </c>
      <c r="Q1142" s="16" t="n">
        <f aca="false">MAX(P1142+K1142,Q1141+N1142)</f>
        <v>46365</v>
      </c>
      <c r="R1142" s="16" t="n">
        <f aca="false">IF(K1142&gt;0,Q1142,0)</f>
        <v>46365</v>
      </c>
      <c r="S1142" s="12"/>
    </row>
    <row r="1143" customFormat="false" ht="15" hidden="false" customHeight="false" outlineLevel="0" collapsed="false">
      <c r="A1143" s="15" t="s">
        <v>4560</v>
      </c>
      <c r="B1143" s="15" t="s">
        <v>4556</v>
      </c>
      <c r="C1143" s="15" t="s">
        <v>400</v>
      </c>
      <c r="D1143" s="15" t="s">
        <v>1240</v>
      </c>
      <c r="E1143" s="15" t="s">
        <v>1251</v>
      </c>
      <c r="F1143" s="15" t="s">
        <v>3014</v>
      </c>
      <c r="G1143" s="15" t="s">
        <v>3015</v>
      </c>
      <c r="H1143" s="33" t="n">
        <f aca="false">Packages!$O$109</f>
        <v>26.2460390795656</v>
      </c>
      <c r="I1143" s="15" t="s">
        <v>118</v>
      </c>
      <c r="J1143" s="34" t="n">
        <f aca="false">IF(Packages!$AG$109=0,0,ROUNDUP(Packages!$O$109/R_DW,0)+DW_DRAW)</f>
        <v>8</v>
      </c>
      <c r="K1143" s="34" t="n">
        <f aca="false">IF(J1143=0,0,ROUNDUP(J1143*7/WD,0))</f>
        <v>10</v>
      </c>
      <c r="L1143" s="15" t="s">
        <v>4559</v>
      </c>
      <c r="M1143" s="34" t="n">
        <f aca="false">ROUNDUP(K1142*LADDER,0)</f>
        <v>2</v>
      </c>
      <c r="N1143" s="34" t="n">
        <f aca="false">IF(K1143=0,0,FFLAG)</f>
        <v>2</v>
      </c>
      <c r="O1143" s="15"/>
      <c r="P1143" s="16" t="n">
        <f aca="false">MAX(P1142+M1143)</f>
        <v>46362</v>
      </c>
      <c r="Q1143" s="16" t="n">
        <f aca="false">MAX(P1143+K1143,Q1142+N1143)</f>
        <v>46372</v>
      </c>
      <c r="R1143" s="12"/>
      <c r="S1143" s="12"/>
    </row>
    <row r="1144" customFormat="false" ht="15" hidden="false" customHeight="false" outlineLevel="0" collapsed="false">
      <c r="A1144" s="15" t="s">
        <v>4561</v>
      </c>
      <c r="B1144" s="15" t="s">
        <v>4556</v>
      </c>
      <c r="C1144" s="15" t="s">
        <v>400</v>
      </c>
      <c r="D1144" s="15" t="s">
        <v>1240</v>
      </c>
      <c r="E1144" s="15" t="s">
        <v>1251</v>
      </c>
      <c r="F1144" s="15" t="s">
        <v>3017</v>
      </c>
      <c r="G1144" s="15" t="s">
        <v>3018</v>
      </c>
      <c r="H1144" s="33" t="n">
        <f aca="false">Packages!$X$109+Packages!$Y$109</f>
        <v>384.347960841194</v>
      </c>
      <c r="I1144" s="15" t="s">
        <v>3019</v>
      </c>
      <c r="J1144" s="34" t="n">
        <f aca="false">MAX(1,ROUNDUP((Packages!$X$109/R_EXS+Packages!$Y$109/R_EXO)/Fronts!$J$10,0))</f>
        <v>2</v>
      </c>
      <c r="K1144" s="34" t="n">
        <f aca="false">IF(J1144=0,0,ROUNDUP(J1144*7/WD,0))</f>
        <v>3</v>
      </c>
      <c r="L1144" s="15" t="s">
        <v>4560</v>
      </c>
      <c r="M1144" s="34" t="n">
        <f aca="false">IF(K1143=0,0,ROUNDUP((K1143-ROUNDUP(DW_DRAW*7/WD,0))*LADDER,0)+ROUNDUP(DW_DRAW*7/WD,0))</f>
        <v>10</v>
      </c>
      <c r="N1144" s="34" t="n">
        <f aca="false">IF(K1144=0,0,FFLAG)</f>
        <v>2</v>
      </c>
      <c r="O1144" s="15"/>
      <c r="P1144" s="16" t="n">
        <f aca="false">MAX(P1143+M1144)</f>
        <v>46372</v>
      </c>
      <c r="Q1144" s="16" t="n">
        <f aca="false">MAX(P1144+K1144,Q1143+N1144)</f>
        <v>46375</v>
      </c>
      <c r="R1144" s="16" t="n">
        <f aca="false">IF(K1144&gt;0,Q1144,0)</f>
        <v>46375</v>
      </c>
      <c r="S1144" s="12"/>
    </row>
    <row r="1145" customFormat="false" ht="15" hidden="false" customHeight="false" outlineLevel="0" collapsed="false">
      <c r="A1145" s="15" t="s">
        <v>4562</v>
      </c>
      <c r="B1145" s="15" t="s">
        <v>4556</v>
      </c>
      <c r="C1145" s="15" t="s">
        <v>400</v>
      </c>
      <c r="D1145" s="15" t="s">
        <v>1240</v>
      </c>
      <c r="E1145" s="15" t="s">
        <v>1251</v>
      </c>
      <c r="F1145" s="15" t="s">
        <v>3022</v>
      </c>
      <c r="G1145" s="15" t="s">
        <v>3023</v>
      </c>
      <c r="H1145" s="33" t="n">
        <f aca="false">Packages!$O$109</f>
        <v>26.2460390795656</v>
      </c>
      <c r="I1145" s="15" t="s">
        <v>118</v>
      </c>
      <c r="J1145" s="34" t="n">
        <f aca="false">MAX(1,ROUNDUP(Packages!$O$109/(R_SLAB*Fronts!$K$10),0))+SLAB_CURE</f>
        <v>6</v>
      </c>
      <c r="K1145" s="34" t="n">
        <f aca="false">IF(J1145=0,0,ROUNDUP(J1145*7/WD,0))</f>
        <v>7</v>
      </c>
      <c r="L1145" s="15" t="s">
        <v>4561</v>
      </c>
      <c r="M1145" s="34" t="n">
        <f aca="false">ROUNDUP(K1144*LADDER,0)</f>
        <v>1</v>
      </c>
      <c r="N1145" s="34" t="n">
        <f aca="false">IF(K1145=0,0,FFLAG)</f>
        <v>2</v>
      </c>
      <c r="O1145" s="15"/>
      <c r="P1145" s="16" t="n">
        <f aca="false">MAX(P1144+M1145)</f>
        <v>46373</v>
      </c>
      <c r="Q1145" s="16" t="n">
        <f aca="false">MAX(P1145+K1145,Q1144+N1145)</f>
        <v>46380</v>
      </c>
      <c r="R1145" s="16" t="n">
        <f aca="false">IF(K1145&gt;0,Q1145,0)</f>
        <v>46380</v>
      </c>
      <c r="S1145" s="12"/>
    </row>
    <row r="1146" customFormat="false" ht="15" hidden="false" customHeight="false" outlineLevel="0" collapsed="false">
      <c r="A1146" s="15" t="s">
        <v>4563</v>
      </c>
      <c r="B1146" s="15" t="s">
        <v>4556</v>
      </c>
      <c r="C1146" s="15" t="s">
        <v>400</v>
      </c>
      <c r="D1146" s="15" t="s">
        <v>1240</v>
      </c>
      <c r="E1146" s="15" t="s">
        <v>1251</v>
      </c>
      <c r="F1146" s="15" t="s">
        <v>3025</v>
      </c>
      <c r="G1146" s="15" t="s">
        <v>3026</v>
      </c>
      <c r="H1146" s="33" t="n">
        <f aca="false">Packages!$O$109</f>
        <v>26.2460390795656</v>
      </c>
      <c r="I1146" s="15" t="s">
        <v>118</v>
      </c>
      <c r="J1146" s="34" t="n">
        <f aca="false">MAX(1,ROUNDUP(Packages!$O$109/(IF(Packages!$N$109&gt;=PIPE_T1,R_PIPE_L,IF(Packages!$N$109&gt;=PIPE_T2,R_PIPE_M,R_PIPE_S))*Fronts!$L$10)+Packages!$M$109*FIT_D+IF(Packages!$G$109&lt;&gt;"Run",TIE_D,0),0))</f>
        <v>4</v>
      </c>
      <c r="K1146" s="34" t="n">
        <f aca="false">IF(J1146=0,0,ROUNDUP(J1146*7/WD,0))</f>
        <v>5</v>
      </c>
      <c r="L1146" s="15" t="s">
        <v>4562</v>
      </c>
      <c r="M1146" s="34" t="n">
        <f aca="false">ROUNDUP(K1145*LADDER,0)</f>
        <v>3</v>
      </c>
      <c r="N1146" s="34" t="n">
        <f aca="false">IF(K1146=0,0,FFLAG)</f>
        <v>2</v>
      </c>
      <c r="O1146" s="15"/>
      <c r="P1146" s="16" t="n">
        <f aca="false">MAX(P1145+M1146)</f>
        <v>46376</v>
      </c>
      <c r="Q1146" s="16" t="n">
        <f aca="false">MAX(P1146+K1146,Q1145+N1146)</f>
        <v>46382</v>
      </c>
      <c r="R1146" s="16" t="n">
        <f aca="false">IF(K1146&gt;0,Q1146,0)</f>
        <v>46382</v>
      </c>
      <c r="S1146" s="12"/>
    </row>
    <row r="1147" customFormat="false" ht="15" hidden="false" customHeight="false" outlineLevel="0" collapsed="false">
      <c r="A1147" s="15" t="s">
        <v>4564</v>
      </c>
      <c r="B1147" s="15" t="s">
        <v>4556</v>
      </c>
      <c r="C1147" s="15" t="s">
        <v>400</v>
      </c>
      <c r="D1147" s="15" t="s">
        <v>1240</v>
      </c>
      <c r="E1147" s="15" t="s">
        <v>1251</v>
      </c>
      <c r="F1147" s="15" t="s">
        <v>3028</v>
      </c>
      <c r="G1147" s="15" t="s">
        <v>3029</v>
      </c>
      <c r="H1147" s="33" t="n">
        <f aca="false">Packages!$O$109</f>
        <v>26.2460390795656</v>
      </c>
      <c r="I1147" s="15" t="s">
        <v>118</v>
      </c>
      <c r="J1147" s="34" t="n">
        <f aca="false">TEST_D+ROUNDUP(Packages!$O$109/R_TEST,0)</f>
        <v>3</v>
      </c>
      <c r="K1147" s="34" t="n">
        <f aca="false">IF(J1147=0,0,ROUNDUP(J1147*7/WD,0))</f>
        <v>4</v>
      </c>
      <c r="L1147" s="15" t="s">
        <v>4563</v>
      </c>
      <c r="M1147" s="34" t="n">
        <f aca="false">ROUNDUP(K1146*LADDER,0)</f>
        <v>2</v>
      </c>
      <c r="N1147" s="34" t="n">
        <f aca="false">IF(K1147=0,0,FFLAG)</f>
        <v>2</v>
      </c>
      <c r="O1147" s="15"/>
      <c r="P1147" s="16" t="n">
        <f aca="false">MAX(P1146+M1147)</f>
        <v>46378</v>
      </c>
      <c r="Q1147" s="16" t="n">
        <f aca="false">MAX(P1147+K1147,Q1146+N1147)</f>
        <v>46384</v>
      </c>
      <c r="R1147" s="12"/>
      <c r="S1147" s="12"/>
    </row>
    <row r="1148" customFormat="false" ht="15" hidden="false" customHeight="false" outlineLevel="0" collapsed="false">
      <c r="A1148" s="15" t="s">
        <v>4565</v>
      </c>
      <c r="B1148" s="15" t="s">
        <v>4556</v>
      </c>
      <c r="C1148" s="15" t="s">
        <v>400</v>
      </c>
      <c r="D1148" s="15" t="s">
        <v>1240</v>
      </c>
      <c r="E1148" s="15" t="s">
        <v>1251</v>
      </c>
      <c r="F1148" s="15" t="s">
        <v>3031</v>
      </c>
      <c r="G1148" s="15" t="s">
        <v>3032</v>
      </c>
      <c r="H1148" s="33" t="n">
        <f aca="false">Packages!$AB$109</f>
        <v>275.823395077079</v>
      </c>
      <c r="I1148" s="15" t="s">
        <v>3019</v>
      </c>
      <c r="J1148" s="34" t="n">
        <f aca="false">MAX(1,ROUNDUP(Packages!$AB$109/(R_BF*Fronts!$M$10),0))</f>
        <v>1</v>
      </c>
      <c r="K1148" s="34" t="n">
        <f aca="false">IF(J1148=0,0,ROUNDUP(J1148*7/WD,0))</f>
        <v>2</v>
      </c>
      <c r="L1148" s="15" t="s">
        <v>4564</v>
      </c>
      <c r="M1148" s="34" t="n">
        <f aca="false">ROUNDUP(K1147*LADDER,0)</f>
        <v>2</v>
      </c>
      <c r="N1148" s="34" t="n">
        <f aca="false">IF(K1148=0,0,FFLAG)</f>
        <v>2</v>
      </c>
      <c r="O1148" s="15" t="s">
        <v>4566</v>
      </c>
      <c r="P1148" s="16" t="n">
        <f aca="false">MAX(P1147+M1148,Q1157)</f>
        <v>46391</v>
      </c>
      <c r="Q1148" s="16" t="n">
        <f aca="false">MAX(P1148+K1148,Q1147+N1148)</f>
        <v>46393</v>
      </c>
      <c r="R1148" s="16" t="n">
        <f aca="false">IF(K1148&gt;0,Q1148,0)</f>
        <v>46393</v>
      </c>
      <c r="S1148" s="12"/>
    </row>
    <row r="1149" customFormat="false" ht="15" hidden="false" customHeight="false" outlineLevel="0" collapsed="false">
      <c r="A1149" s="15" t="s">
        <v>4567</v>
      </c>
      <c r="B1149" s="15" t="s">
        <v>4556</v>
      </c>
      <c r="C1149" s="15" t="s">
        <v>400</v>
      </c>
      <c r="D1149" s="15" t="s">
        <v>1240</v>
      </c>
      <c r="E1149" s="15" t="s">
        <v>1251</v>
      </c>
      <c r="F1149" s="15" t="s">
        <v>3034</v>
      </c>
      <c r="G1149" s="15" t="s">
        <v>3035</v>
      </c>
      <c r="H1149" s="33" t="n">
        <f aca="false">Packages!$AD$109</f>
        <v>52.4920781591311</v>
      </c>
      <c r="I1149" s="15" t="s">
        <v>3012</v>
      </c>
      <c r="J1149" s="34" t="n">
        <f aca="false">IF(Packages!$AD$109&gt;0,ROUNDUP(Packages!$AD$109/R_EXT,0),0)+IF(Packages!$AG$109&gt;0,1,0)</f>
        <v>3</v>
      </c>
      <c r="K1149" s="34" t="n">
        <f aca="false">IF(J1149=0,0,ROUNDUP(J1149*7/WD,0))</f>
        <v>4</v>
      </c>
      <c r="L1149" s="15" t="s">
        <v>4565</v>
      </c>
      <c r="M1149" s="34" t="n">
        <f aca="false">ROUNDUP(K1148*LADDER,0)</f>
        <v>1</v>
      </c>
      <c r="N1149" s="34" t="n">
        <f aca="false">IF(K1149=0,0,FFLAG)</f>
        <v>2</v>
      </c>
      <c r="O1149" s="15"/>
      <c r="P1149" s="16" t="n">
        <f aca="false">MAX(P1148+M1149)</f>
        <v>46392</v>
      </c>
      <c r="Q1149" s="16" t="n">
        <f aca="false">MAX(P1149+K1149,Q1148+N1149)</f>
        <v>46396</v>
      </c>
      <c r="R1149" s="12"/>
      <c r="S1149" s="12"/>
    </row>
    <row r="1150" customFormat="false" ht="15" hidden="false" customHeight="false" outlineLevel="0" collapsed="false">
      <c r="A1150" s="15" t="s">
        <v>4568</v>
      </c>
      <c r="B1150" s="15" t="s">
        <v>4569</v>
      </c>
      <c r="C1150" s="15" t="s">
        <v>400</v>
      </c>
      <c r="D1150" s="15" t="s">
        <v>1293</v>
      </c>
      <c r="E1150" s="15" t="s">
        <v>1321</v>
      </c>
      <c r="F1150" s="15" t="s">
        <v>2998</v>
      </c>
      <c r="G1150" s="15" t="s">
        <v>2999</v>
      </c>
      <c r="H1150" s="12"/>
      <c r="I1150" s="12"/>
      <c r="J1150" s="34" t="n">
        <f aca="false">0</f>
        <v>0</v>
      </c>
      <c r="K1150" s="34" t="n">
        <f aca="false">IF(J1150=0,0,ROUNDUP(J1150*7/WD,0))</f>
        <v>0</v>
      </c>
      <c r="L1150" s="12"/>
      <c r="M1150" s="12"/>
      <c r="N1150" s="12"/>
      <c r="O1150" s="15" t="s">
        <v>3000</v>
      </c>
      <c r="P1150" s="16" t="n">
        <f aca="false">MAX(START,D_DLU,Packages!$I$110,Packages!$K$110)</f>
        <v>46357</v>
      </c>
      <c r="Q1150" s="16" t="n">
        <f aca="false">P1150+K1150</f>
        <v>46357</v>
      </c>
      <c r="R1150" s="12"/>
      <c r="S1150" s="12"/>
    </row>
    <row r="1151" customFormat="false" ht="15" hidden="false" customHeight="false" outlineLevel="0" collapsed="false">
      <c r="A1151" s="15" t="s">
        <v>4570</v>
      </c>
      <c r="B1151" s="15" t="s">
        <v>4569</v>
      </c>
      <c r="C1151" s="15" t="s">
        <v>400</v>
      </c>
      <c r="D1151" s="15" t="s">
        <v>1293</v>
      </c>
      <c r="E1151" s="15" t="s">
        <v>1321</v>
      </c>
      <c r="F1151" s="15" t="s">
        <v>3002</v>
      </c>
      <c r="G1151" s="15" t="s">
        <v>205</v>
      </c>
      <c r="H1151" s="33" t="n">
        <f aca="false">Packages!$O$110</f>
        <v>40.1906314725438</v>
      </c>
      <c r="I1151" s="15" t="s">
        <v>118</v>
      </c>
      <c r="J1151" s="34" t="n">
        <f aca="false">MAX(1,ROUNDUP(Packages!$O$110/R_PLAT,0))</f>
        <v>1</v>
      </c>
      <c r="K1151" s="34" t="n">
        <f aca="false">IF(J1151=0,0,ROUNDUP(J1151*7/WD,0))</f>
        <v>2</v>
      </c>
      <c r="L1151" s="15" t="s">
        <v>4568</v>
      </c>
      <c r="M1151" s="12"/>
      <c r="N1151" s="12"/>
      <c r="O1151" s="15" t="s">
        <v>4571</v>
      </c>
      <c r="P1151" s="16" t="n">
        <f aca="false">MAX(Q1150,P1141)</f>
        <v>46358</v>
      </c>
      <c r="Q1151" s="16" t="n">
        <f aca="false">P1151+K1151</f>
        <v>46360</v>
      </c>
      <c r="R1151" s="12"/>
      <c r="S1151" s="12"/>
    </row>
    <row r="1152" customFormat="false" ht="15" hidden="false" customHeight="false" outlineLevel="0" collapsed="false">
      <c r="A1152" s="15" t="s">
        <v>4572</v>
      </c>
      <c r="B1152" s="15" t="s">
        <v>4569</v>
      </c>
      <c r="C1152" s="15" t="s">
        <v>400</v>
      </c>
      <c r="D1152" s="15" t="s">
        <v>1293</v>
      </c>
      <c r="E1152" s="15" t="s">
        <v>1321</v>
      </c>
      <c r="F1152" s="15" t="s">
        <v>3005</v>
      </c>
      <c r="G1152" s="15" t="s">
        <v>3006</v>
      </c>
      <c r="H1152" s="33" t="n">
        <f aca="false">Packages!$AC$110</f>
        <v>30</v>
      </c>
      <c r="I1152" s="15" t="s">
        <v>3007</v>
      </c>
      <c r="J1152" s="34" t="n">
        <f aca="false">IF(Packages!$AC$110=0,0,MAX(1,ROUNDUP(Packages!$AC$110/(R_PILE*Fronts!$H$10),0)))</f>
        <v>6</v>
      </c>
      <c r="K1152" s="34" t="n">
        <f aca="false">IF(J1152=0,0,ROUNDUP(J1152*7/WD,0))</f>
        <v>7</v>
      </c>
      <c r="L1152" s="15" t="s">
        <v>4570</v>
      </c>
      <c r="M1152" s="34" t="n">
        <f aca="false">ROUNDUP(K1151*LADDER,0)</f>
        <v>1</v>
      </c>
      <c r="N1152" s="34" t="n">
        <f aca="false">IF(K1152=0,0,FFLAG)</f>
        <v>2</v>
      </c>
      <c r="O1152" s="15" t="s">
        <v>3008</v>
      </c>
      <c r="P1152" s="16" t="n">
        <f aca="false">MAX(P1151+M1152,D_PILEDES,R1141)</f>
        <v>46363</v>
      </c>
      <c r="Q1152" s="16" t="n">
        <f aca="false">MAX(P1152+K1152,Q1151+N1152)</f>
        <v>46370</v>
      </c>
      <c r="R1152" s="16" t="n">
        <f aca="false">IF(K1152&gt;0,Q1152,R1141)</f>
        <v>46370</v>
      </c>
      <c r="S1152" s="15" t="s">
        <v>4558</v>
      </c>
    </row>
    <row r="1153" customFormat="false" ht="15" hidden="false" customHeight="false" outlineLevel="0" collapsed="false">
      <c r="A1153" s="15" t="s">
        <v>4573</v>
      </c>
      <c r="B1153" s="15" t="s">
        <v>4569</v>
      </c>
      <c r="C1153" s="15" t="s">
        <v>400</v>
      </c>
      <c r="D1153" s="15" t="s">
        <v>1293</v>
      </c>
      <c r="E1153" s="15" t="s">
        <v>1321</v>
      </c>
      <c r="F1153" s="15" t="s">
        <v>3010</v>
      </c>
      <c r="G1153" s="15" t="s">
        <v>3011</v>
      </c>
      <c r="H1153" s="33" t="n">
        <f aca="false">Packages!$AD$110</f>
        <v>80.3812629450876</v>
      </c>
      <c r="I1153" s="15" t="s">
        <v>3012</v>
      </c>
      <c r="J1153" s="34" t="n">
        <f aca="false">IF(Packages!$AD$110=0,0,MAX(1,ROUNDUP(Packages!$AD$110/(R_SHEET*Fronts!$I$10),0)))</f>
        <v>4</v>
      </c>
      <c r="K1153" s="34" t="n">
        <f aca="false">IF(J1153=0,0,ROUNDUP(J1153*7/WD,0))</f>
        <v>5</v>
      </c>
      <c r="L1153" s="15" t="s">
        <v>4572</v>
      </c>
      <c r="M1153" s="34" t="n">
        <f aca="false">ROUNDUP(K1152*LADDER,0)</f>
        <v>3</v>
      </c>
      <c r="N1153" s="34" t="n">
        <f aca="false">IF(K1153=0,0,FFLAG)</f>
        <v>2</v>
      </c>
      <c r="O1153" s="15"/>
      <c r="P1153" s="16" t="n">
        <f aca="false">MAX(P1152+M1153,R1142)</f>
        <v>46366</v>
      </c>
      <c r="Q1153" s="16" t="n">
        <f aca="false">MAX(P1153+K1153,Q1152+N1153)</f>
        <v>46372</v>
      </c>
      <c r="R1153" s="16" t="n">
        <f aca="false">IF(K1153&gt;0,Q1153,R1142)</f>
        <v>46372</v>
      </c>
      <c r="S1153" s="15" t="s">
        <v>4559</v>
      </c>
    </row>
    <row r="1154" customFormat="false" ht="15" hidden="false" customHeight="false" outlineLevel="0" collapsed="false">
      <c r="A1154" s="15" t="s">
        <v>4574</v>
      </c>
      <c r="B1154" s="15" t="s">
        <v>4569</v>
      </c>
      <c r="C1154" s="15" t="s">
        <v>400</v>
      </c>
      <c r="D1154" s="15" t="s">
        <v>1293</v>
      </c>
      <c r="E1154" s="15" t="s">
        <v>1321</v>
      </c>
      <c r="F1154" s="15" t="s">
        <v>3014</v>
      </c>
      <c r="G1154" s="15" t="s">
        <v>3015</v>
      </c>
      <c r="H1154" s="33" t="n">
        <f aca="false">Packages!$O$110</f>
        <v>40.1906314725438</v>
      </c>
      <c r="I1154" s="15" t="s">
        <v>118</v>
      </c>
      <c r="J1154" s="34" t="n">
        <f aca="false">IF(Packages!$AG$110=0,0,ROUNDUP(Packages!$O$110/R_DW,0)+DW_DRAW)</f>
        <v>9</v>
      </c>
      <c r="K1154" s="34" t="n">
        <f aca="false">IF(J1154=0,0,ROUNDUP(J1154*7/WD,0))</f>
        <v>11</v>
      </c>
      <c r="L1154" s="15" t="s">
        <v>4573</v>
      </c>
      <c r="M1154" s="34" t="n">
        <f aca="false">ROUNDUP(K1153*LADDER,0)</f>
        <v>2</v>
      </c>
      <c r="N1154" s="34" t="n">
        <f aca="false">IF(K1154=0,0,FFLAG)</f>
        <v>2</v>
      </c>
      <c r="O1154" s="15" t="s">
        <v>4575</v>
      </c>
      <c r="P1154" s="16" t="n">
        <f aca="false">MAX(P1153+M1154,Q1144-K1154)</f>
        <v>46368</v>
      </c>
      <c r="Q1154" s="16" t="n">
        <f aca="false">MAX(P1154+K1154,Q1153+N1154)</f>
        <v>46379</v>
      </c>
      <c r="R1154" s="12"/>
      <c r="S1154" s="12"/>
    </row>
    <row r="1155" customFormat="false" ht="15" hidden="false" customHeight="false" outlineLevel="0" collapsed="false">
      <c r="A1155" s="15" t="s">
        <v>4576</v>
      </c>
      <c r="B1155" s="15" t="s">
        <v>4569</v>
      </c>
      <c r="C1155" s="15" t="s">
        <v>400</v>
      </c>
      <c r="D1155" s="15" t="s">
        <v>1293</v>
      </c>
      <c r="E1155" s="15" t="s">
        <v>1321</v>
      </c>
      <c r="F1155" s="15" t="s">
        <v>3017</v>
      </c>
      <c r="G1155" s="15" t="s">
        <v>3018</v>
      </c>
      <c r="H1155" s="33" t="n">
        <f aca="false">Packages!$X$110+Packages!$Y$110</f>
        <v>490.58939462551</v>
      </c>
      <c r="I1155" s="15" t="s">
        <v>3019</v>
      </c>
      <c r="J1155" s="34" t="n">
        <f aca="false">MAX(1,ROUNDUP((Packages!$X$110/R_EXS+Packages!$Y$110/R_EXO)/Fronts!$J$10,0))</f>
        <v>2</v>
      </c>
      <c r="K1155" s="34" t="n">
        <f aca="false">IF(J1155=0,0,ROUNDUP(J1155*7/WD,0))</f>
        <v>3</v>
      </c>
      <c r="L1155" s="15" t="s">
        <v>4574</v>
      </c>
      <c r="M1155" s="34" t="n">
        <f aca="false">IF(K1154=0,0,ROUNDUP((K1154-ROUNDUP(DW_DRAW*7/WD,0))*LADDER,0)+ROUNDUP(DW_DRAW*7/WD,0))</f>
        <v>10</v>
      </c>
      <c r="N1155" s="34" t="n">
        <f aca="false">IF(K1155=0,0,FFLAG)</f>
        <v>2</v>
      </c>
      <c r="O1155" s="15" t="s">
        <v>4577</v>
      </c>
      <c r="P1155" s="16" t="n">
        <f aca="false">MAX(P1154+M1155,R1144,P1144)</f>
        <v>46378</v>
      </c>
      <c r="Q1155" s="16" t="n">
        <f aca="false">MAX(P1155+K1155,Q1154+N1155)</f>
        <v>46381</v>
      </c>
      <c r="R1155" s="16" t="n">
        <f aca="false">IF(K1155&gt;0,Q1155,R1144)</f>
        <v>46381</v>
      </c>
      <c r="S1155" s="15" t="s">
        <v>4561</v>
      </c>
    </row>
    <row r="1156" customFormat="false" ht="15" hidden="false" customHeight="false" outlineLevel="0" collapsed="false">
      <c r="A1156" s="15" t="s">
        <v>4578</v>
      </c>
      <c r="B1156" s="15" t="s">
        <v>4569</v>
      </c>
      <c r="C1156" s="15" t="s">
        <v>400</v>
      </c>
      <c r="D1156" s="15" t="s">
        <v>1293</v>
      </c>
      <c r="E1156" s="15" t="s">
        <v>1321</v>
      </c>
      <c r="F1156" s="15" t="s">
        <v>3022</v>
      </c>
      <c r="G1156" s="15" t="s">
        <v>3023</v>
      </c>
      <c r="H1156" s="33" t="n">
        <f aca="false">Packages!$O$110</f>
        <v>40.1906314725438</v>
      </c>
      <c r="I1156" s="15" t="s">
        <v>118</v>
      </c>
      <c r="J1156" s="34" t="n">
        <f aca="false">MAX(1,ROUNDUP(Packages!$O$110/(R_SLAB*Fronts!$K$10),0))+SLAB_CURE</f>
        <v>7</v>
      </c>
      <c r="K1156" s="34" t="n">
        <f aca="false">IF(J1156=0,0,ROUNDUP(J1156*7/WD,0))</f>
        <v>9</v>
      </c>
      <c r="L1156" s="15" t="s">
        <v>4576</v>
      </c>
      <c r="M1156" s="34" t="n">
        <f aca="false">ROUNDUP(K1155*LADDER,0)</f>
        <v>1</v>
      </c>
      <c r="N1156" s="34" t="n">
        <f aca="false">IF(K1156=0,0,FFLAG)</f>
        <v>2</v>
      </c>
      <c r="O1156" s="15"/>
      <c r="P1156" s="16" t="n">
        <f aca="false">MAX(P1155+M1156,R1145)</f>
        <v>46380</v>
      </c>
      <c r="Q1156" s="16" t="n">
        <f aca="false">MAX(P1156+K1156,Q1155+N1156)</f>
        <v>46389</v>
      </c>
      <c r="R1156" s="16" t="n">
        <f aca="false">IF(K1156&gt;0,Q1156,R1145)</f>
        <v>46389</v>
      </c>
      <c r="S1156" s="15" t="s">
        <v>4562</v>
      </c>
    </row>
    <row r="1157" customFormat="false" ht="15" hidden="false" customHeight="false" outlineLevel="0" collapsed="false">
      <c r="A1157" s="15" t="s">
        <v>4579</v>
      </c>
      <c r="B1157" s="15" t="s">
        <v>4569</v>
      </c>
      <c r="C1157" s="15" t="s">
        <v>400</v>
      </c>
      <c r="D1157" s="15" t="s">
        <v>1293</v>
      </c>
      <c r="E1157" s="15" t="s">
        <v>1321</v>
      </c>
      <c r="F1157" s="15" t="s">
        <v>3025</v>
      </c>
      <c r="G1157" s="15" t="s">
        <v>3026</v>
      </c>
      <c r="H1157" s="33" t="n">
        <f aca="false">Packages!$O$110</f>
        <v>40.1906314725438</v>
      </c>
      <c r="I1157" s="15" t="s">
        <v>118</v>
      </c>
      <c r="J1157" s="34" t="n">
        <f aca="false">MAX(1,ROUNDUP(Packages!$O$110/(IF(Packages!$N$110&gt;=PIPE_T1,R_PIPE_L,IF(Packages!$N$110&gt;=PIPE_T2,R_PIPE_M,R_PIPE_S))*Fronts!$L$10)+Packages!$M$110*FIT_D+IF(Packages!$G$110&lt;&gt;"Run",TIE_D,0),0))</f>
        <v>2</v>
      </c>
      <c r="K1157" s="34" t="n">
        <f aca="false">IF(J1157=0,0,ROUNDUP(J1157*7/WD,0))</f>
        <v>3</v>
      </c>
      <c r="L1157" s="15" t="s">
        <v>4578</v>
      </c>
      <c r="M1157" s="34" t="n">
        <f aca="false">ROUNDUP(K1156*LADDER,0)</f>
        <v>3</v>
      </c>
      <c r="N1157" s="34" t="n">
        <f aca="false">IF(K1157=0,0,FFLAG)</f>
        <v>2</v>
      </c>
      <c r="O1157" s="15"/>
      <c r="P1157" s="16" t="n">
        <f aca="false">MAX(P1156+M1157,R1146)</f>
        <v>46383</v>
      </c>
      <c r="Q1157" s="16" t="n">
        <f aca="false">MAX(P1157+K1157,Q1156+N1157)</f>
        <v>46391</v>
      </c>
      <c r="R1157" s="16" t="n">
        <f aca="false">IF(K1157&gt;0,Q1157,R1146)</f>
        <v>46391</v>
      </c>
      <c r="S1157" s="15" t="s">
        <v>4563</v>
      </c>
    </row>
    <row r="1158" customFormat="false" ht="15" hidden="false" customHeight="false" outlineLevel="0" collapsed="false">
      <c r="A1158" s="15" t="s">
        <v>4580</v>
      </c>
      <c r="B1158" s="15" t="s">
        <v>4569</v>
      </c>
      <c r="C1158" s="15" t="s">
        <v>400</v>
      </c>
      <c r="D1158" s="15" t="s">
        <v>1293</v>
      </c>
      <c r="E1158" s="15" t="s">
        <v>1321</v>
      </c>
      <c r="F1158" s="15" t="s">
        <v>3028</v>
      </c>
      <c r="G1158" s="15" t="s">
        <v>3029</v>
      </c>
      <c r="H1158" s="33" t="n">
        <f aca="false">Packages!$O$110</f>
        <v>40.1906314725438</v>
      </c>
      <c r="I1158" s="15" t="s">
        <v>118</v>
      </c>
      <c r="J1158" s="34" t="n">
        <f aca="false">TEST_D+ROUNDUP(Packages!$O$110/R_TEST,0)</f>
        <v>3</v>
      </c>
      <c r="K1158" s="34" t="n">
        <f aca="false">IF(J1158=0,0,ROUNDUP(J1158*7/WD,0))</f>
        <v>4</v>
      </c>
      <c r="L1158" s="15" t="s">
        <v>4579</v>
      </c>
      <c r="M1158" s="34" t="n">
        <f aca="false">ROUNDUP(K1157*LADDER,0)</f>
        <v>1</v>
      </c>
      <c r="N1158" s="34" t="n">
        <f aca="false">IF(K1158=0,0,FFLAG)</f>
        <v>2</v>
      </c>
      <c r="O1158" s="15"/>
      <c r="P1158" s="16" t="n">
        <f aca="false">MAX(P1157+M1158)</f>
        <v>46384</v>
      </c>
      <c r="Q1158" s="16" t="n">
        <f aca="false">MAX(P1158+K1158,Q1157+N1158)</f>
        <v>46393</v>
      </c>
      <c r="R1158" s="12"/>
      <c r="S1158" s="12"/>
    </row>
    <row r="1159" customFormat="false" ht="15" hidden="false" customHeight="false" outlineLevel="0" collapsed="false">
      <c r="A1159" s="15" t="s">
        <v>4581</v>
      </c>
      <c r="B1159" s="15" t="s">
        <v>4569</v>
      </c>
      <c r="C1159" s="15" t="s">
        <v>400</v>
      </c>
      <c r="D1159" s="15" t="s">
        <v>1293</v>
      </c>
      <c r="E1159" s="15" t="s">
        <v>1321</v>
      </c>
      <c r="F1159" s="15" t="s">
        <v>3031</v>
      </c>
      <c r="G1159" s="15" t="s">
        <v>3032</v>
      </c>
      <c r="H1159" s="33" t="n">
        <f aca="false">Packages!$AB$110</f>
        <v>380.480418896017</v>
      </c>
      <c r="I1159" s="15" t="s">
        <v>3019</v>
      </c>
      <c r="J1159" s="34" t="n">
        <f aca="false">MAX(1,ROUNDUP(Packages!$AB$110/(R_BF*Fronts!$M$10),0))</f>
        <v>2</v>
      </c>
      <c r="K1159" s="34" t="n">
        <f aca="false">IF(J1159=0,0,ROUNDUP(J1159*7/WD,0))</f>
        <v>3</v>
      </c>
      <c r="L1159" s="15" t="s">
        <v>4580</v>
      </c>
      <c r="M1159" s="34" t="n">
        <f aca="false">ROUNDUP(K1158*LADDER,0)</f>
        <v>2</v>
      </c>
      <c r="N1159" s="34" t="n">
        <f aca="false">IF(K1159=0,0,FFLAG)</f>
        <v>2</v>
      </c>
      <c r="O1159" s="15" t="s">
        <v>4582</v>
      </c>
      <c r="P1159" s="16" t="n">
        <f aca="false">MAX(P1158+M1159,R1148,Q1146)</f>
        <v>46393</v>
      </c>
      <c r="Q1159" s="16" t="n">
        <f aca="false">MAX(P1159+K1159,Q1158+N1159)</f>
        <v>46396</v>
      </c>
      <c r="R1159" s="16" t="n">
        <f aca="false">IF(K1159&gt;0,Q1159,R1148)</f>
        <v>46396</v>
      </c>
      <c r="S1159" s="15" t="s">
        <v>4565</v>
      </c>
    </row>
    <row r="1160" customFormat="false" ht="15" hidden="false" customHeight="false" outlineLevel="0" collapsed="false">
      <c r="A1160" s="15" t="s">
        <v>4583</v>
      </c>
      <c r="B1160" s="15" t="s">
        <v>4569</v>
      </c>
      <c r="C1160" s="15" t="s">
        <v>400</v>
      </c>
      <c r="D1160" s="15" t="s">
        <v>1293</v>
      </c>
      <c r="E1160" s="15" t="s">
        <v>1321</v>
      </c>
      <c r="F1160" s="15" t="s">
        <v>3034</v>
      </c>
      <c r="G1160" s="15" t="s">
        <v>3035</v>
      </c>
      <c r="H1160" s="33" t="n">
        <f aca="false">Packages!$AD$110</f>
        <v>80.3812629450876</v>
      </c>
      <c r="I1160" s="15" t="s">
        <v>3012</v>
      </c>
      <c r="J1160" s="34" t="n">
        <f aca="false">IF(Packages!$AD$110&gt;0,ROUNDUP(Packages!$AD$110/R_EXT,0),0)+IF(Packages!$AG$110&gt;0,1,0)</f>
        <v>3</v>
      </c>
      <c r="K1160" s="34" t="n">
        <f aca="false">IF(J1160=0,0,ROUNDUP(J1160*7/WD,0))</f>
        <v>4</v>
      </c>
      <c r="L1160" s="15" t="s">
        <v>4581</v>
      </c>
      <c r="M1160" s="34" t="n">
        <f aca="false">ROUNDUP(K1159*LADDER,0)</f>
        <v>1</v>
      </c>
      <c r="N1160" s="34" t="n">
        <f aca="false">IF(K1160=0,0,FFLAG)</f>
        <v>2</v>
      </c>
      <c r="O1160" s="15"/>
      <c r="P1160" s="16" t="n">
        <f aca="false">MAX(P1159+M1160)</f>
        <v>46394</v>
      </c>
      <c r="Q1160" s="16" t="n">
        <f aca="false">MAX(P1160+K1160,Q1159+N1160)</f>
        <v>46398</v>
      </c>
      <c r="R1160" s="12"/>
      <c r="S1160" s="12"/>
    </row>
    <row r="1161" customFormat="false" ht="15" hidden="false" customHeight="false" outlineLevel="0" collapsed="false">
      <c r="A1161" s="15" t="s">
        <v>4584</v>
      </c>
      <c r="B1161" s="15" t="s">
        <v>4585</v>
      </c>
      <c r="C1161" s="15" t="s">
        <v>400</v>
      </c>
      <c r="D1161" s="15" t="s">
        <v>1240</v>
      </c>
      <c r="E1161" s="15" t="s">
        <v>1286</v>
      </c>
      <c r="F1161" s="15" t="s">
        <v>2998</v>
      </c>
      <c r="G1161" s="15" t="s">
        <v>2999</v>
      </c>
      <c r="H1161" s="12"/>
      <c r="I1161" s="12"/>
      <c r="J1161" s="34" t="n">
        <f aca="false">0</f>
        <v>0</v>
      </c>
      <c r="K1161" s="34" t="n">
        <f aca="false">IF(J1161=0,0,ROUNDUP(J1161*7/WD,0))</f>
        <v>0</v>
      </c>
      <c r="L1161" s="12"/>
      <c r="M1161" s="12"/>
      <c r="N1161" s="12"/>
      <c r="O1161" s="15" t="s">
        <v>3000</v>
      </c>
      <c r="P1161" s="16" t="n">
        <f aca="false">MAX(START,D_DLU,Packages!$I$111,Packages!$K$111)</f>
        <v>46357</v>
      </c>
      <c r="Q1161" s="16" t="n">
        <f aca="false">P1161+K1161</f>
        <v>46357</v>
      </c>
      <c r="R1161" s="12"/>
      <c r="S1161" s="12"/>
    </row>
    <row r="1162" customFormat="false" ht="15" hidden="false" customHeight="false" outlineLevel="0" collapsed="false">
      <c r="A1162" s="15" t="s">
        <v>4586</v>
      </c>
      <c r="B1162" s="15" t="s">
        <v>4585</v>
      </c>
      <c r="C1162" s="15" t="s">
        <v>400</v>
      </c>
      <c r="D1162" s="15" t="s">
        <v>1240</v>
      </c>
      <c r="E1162" s="15" t="s">
        <v>1286</v>
      </c>
      <c r="F1162" s="15" t="s">
        <v>3002</v>
      </c>
      <c r="G1162" s="15" t="s">
        <v>205</v>
      </c>
      <c r="H1162" s="33" t="n">
        <f aca="false">Packages!$O$111</f>
        <v>43.2041964427442</v>
      </c>
      <c r="I1162" s="15" t="s">
        <v>118</v>
      </c>
      <c r="J1162" s="34" t="n">
        <f aca="false">MAX(1,ROUNDUP(Packages!$O$111/R_PLAT,0))</f>
        <v>1</v>
      </c>
      <c r="K1162" s="34" t="n">
        <f aca="false">IF(J1162=0,0,ROUNDUP(J1162*7/WD,0))</f>
        <v>2</v>
      </c>
      <c r="L1162" s="15" t="s">
        <v>4584</v>
      </c>
      <c r="M1162" s="12"/>
      <c r="N1162" s="12"/>
      <c r="O1162" s="15" t="s">
        <v>4587</v>
      </c>
      <c r="P1162" s="16" t="n">
        <f aca="false">MAX(Q1161,P1152)</f>
        <v>46363</v>
      </c>
      <c r="Q1162" s="16" t="n">
        <f aca="false">P1162+K1162</f>
        <v>46365</v>
      </c>
      <c r="R1162" s="12"/>
      <c r="S1162" s="12"/>
    </row>
    <row r="1163" customFormat="false" ht="15" hidden="false" customHeight="false" outlineLevel="0" collapsed="false">
      <c r="A1163" s="15" t="s">
        <v>4588</v>
      </c>
      <c r="B1163" s="15" t="s">
        <v>4585</v>
      </c>
      <c r="C1163" s="15" t="s">
        <v>400</v>
      </c>
      <c r="D1163" s="15" t="s">
        <v>1240</v>
      </c>
      <c r="E1163" s="15" t="s">
        <v>1286</v>
      </c>
      <c r="F1163" s="15" t="s">
        <v>3005</v>
      </c>
      <c r="G1163" s="15" t="s">
        <v>3006</v>
      </c>
      <c r="H1163" s="33" t="n">
        <f aca="false">Packages!$AC$111</f>
        <v>32</v>
      </c>
      <c r="I1163" s="15" t="s">
        <v>3007</v>
      </c>
      <c r="J1163" s="34" t="n">
        <f aca="false">IF(Packages!$AC$111=0,0,MAX(1,ROUNDUP(Packages!$AC$111/(R_PILE*Fronts!$H$10),0)))</f>
        <v>7</v>
      </c>
      <c r="K1163" s="34" t="n">
        <f aca="false">IF(J1163=0,0,ROUNDUP(J1163*7/WD,0))</f>
        <v>9</v>
      </c>
      <c r="L1163" s="15" t="s">
        <v>4586</v>
      </c>
      <c r="M1163" s="34" t="n">
        <f aca="false">ROUNDUP(K1162*LADDER,0)</f>
        <v>1</v>
      </c>
      <c r="N1163" s="34" t="n">
        <f aca="false">IF(K1163=0,0,FFLAG)</f>
        <v>2</v>
      </c>
      <c r="O1163" s="15" t="s">
        <v>3008</v>
      </c>
      <c r="P1163" s="16" t="n">
        <f aca="false">MAX(P1162+M1163,D_PILEDES,R1152)</f>
        <v>46370</v>
      </c>
      <c r="Q1163" s="16" t="n">
        <f aca="false">MAX(P1163+K1163,Q1162+N1163)</f>
        <v>46379</v>
      </c>
      <c r="R1163" s="16" t="n">
        <f aca="false">IF(K1163&gt;0,Q1163,R1152)</f>
        <v>46379</v>
      </c>
      <c r="S1163" s="15" t="s">
        <v>4572</v>
      </c>
    </row>
    <row r="1164" customFormat="false" ht="15" hidden="false" customHeight="false" outlineLevel="0" collapsed="false">
      <c r="A1164" s="15" t="s">
        <v>4589</v>
      </c>
      <c r="B1164" s="15" t="s">
        <v>4585</v>
      </c>
      <c r="C1164" s="15" t="s">
        <v>400</v>
      </c>
      <c r="D1164" s="15" t="s">
        <v>1240</v>
      </c>
      <c r="E1164" s="15" t="s">
        <v>1286</v>
      </c>
      <c r="F1164" s="15" t="s">
        <v>3010</v>
      </c>
      <c r="G1164" s="15" t="s">
        <v>3011</v>
      </c>
      <c r="H1164" s="33" t="n">
        <f aca="false">Packages!$AD$111</f>
        <v>86.4083928854885</v>
      </c>
      <c r="I1164" s="15" t="s">
        <v>3012</v>
      </c>
      <c r="J1164" s="34" t="n">
        <f aca="false">IF(Packages!$AD$111=0,0,MAX(1,ROUNDUP(Packages!$AD$111/(R_SHEET*Fronts!$I$10),0)))</f>
        <v>4</v>
      </c>
      <c r="K1164" s="34" t="n">
        <f aca="false">IF(J1164=0,0,ROUNDUP(J1164*7/WD,0))</f>
        <v>5</v>
      </c>
      <c r="L1164" s="15" t="s">
        <v>4588</v>
      </c>
      <c r="M1164" s="34" t="n">
        <f aca="false">ROUNDUP(K1163*LADDER,0)</f>
        <v>3</v>
      </c>
      <c r="N1164" s="34" t="n">
        <f aca="false">IF(K1164=0,0,FFLAG)</f>
        <v>2</v>
      </c>
      <c r="O1164" s="15"/>
      <c r="P1164" s="16" t="n">
        <f aca="false">MAX(P1163+M1164,R1153)</f>
        <v>46373</v>
      </c>
      <c r="Q1164" s="16" t="n">
        <f aca="false">MAX(P1164+K1164,Q1163+N1164)</f>
        <v>46381</v>
      </c>
      <c r="R1164" s="16" t="n">
        <f aca="false">IF(K1164&gt;0,Q1164,R1153)</f>
        <v>46381</v>
      </c>
      <c r="S1164" s="15" t="s">
        <v>4573</v>
      </c>
    </row>
    <row r="1165" customFormat="false" ht="15" hidden="false" customHeight="false" outlineLevel="0" collapsed="false">
      <c r="A1165" s="15" t="s">
        <v>4590</v>
      </c>
      <c r="B1165" s="15" t="s">
        <v>4585</v>
      </c>
      <c r="C1165" s="15" t="s">
        <v>400</v>
      </c>
      <c r="D1165" s="15" t="s">
        <v>1240</v>
      </c>
      <c r="E1165" s="15" t="s">
        <v>1286</v>
      </c>
      <c r="F1165" s="15" t="s">
        <v>3014</v>
      </c>
      <c r="G1165" s="15" t="s">
        <v>3015</v>
      </c>
      <c r="H1165" s="33" t="n">
        <f aca="false">Packages!$O$111</f>
        <v>43.2041964427442</v>
      </c>
      <c r="I1165" s="15" t="s">
        <v>118</v>
      </c>
      <c r="J1165" s="34" t="n">
        <f aca="false">IF(Packages!$AG$111=0,0,ROUNDUP(Packages!$O$111/R_DW,0)+DW_DRAW)</f>
        <v>9</v>
      </c>
      <c r="K1165" s="34" t="n">
        <f aca="false">IF(J1165=0,0,ROUNDUP(J1165*7/WD,0))</f>
        <v>11</v>
      </c>
      <c r="L1165" s="15" t="s">
        <v>4589</v>
      </c>
      <c r="M1165" s="34" t="n">
        <f aca="false">ROUNDUP(K1164*LADDER,0)</f>
        <v>2</v>
      </c>
      <c r="N1165" s="34" t="n">
        <f aca="false">IF(K1165=0,0,FFLAG)</f>
        <v>2</v>
      </c>
      <c r="O1165" s="15" t="s">
        <v>4591</v>
      </c>
      <c r="P1165" s="16" t="n">
        <f aca="false">MAX(P1164+M1165,Q1155-K1165)</f>
        <v>46375</v>
      </c>
      <c r="Q1165" s="16" t="n">
        <f aca="false">MAX(P1165+K1165,Q1164+N1165)</f>
        <v>46386</v>
      </c>
      <c r="R1165" s="12"/>
      <c r="S1165" s="12"/>
    </row>
    <row r="1166" customFormat="false" ht="15" hidden="false" customHeight="false" outlineLevel="0" collapsed="false">
      <c r="A1166" s="15" t="s">
        <v>4592</v>
      </c>
      <c r="B1166" s="15" t="s">
        <v>4585</v>
      </c>
      <c r="C1166" s="15" t="s">
        <v>400</v>
      </c>
      <c r="D1166" s="15" t="s">
        <v>1240</v>
      </c>
      <c r="E1166" s="15" t="s">
        <v>1286</v>
      </c>
      <c r="F1166" s="15" t="s">
        <v>3017</v>
      </c>
      <c r="G1166" s="15" t="s">
        <v>3018</v>
      </c>
      <c r="H1166" s="33" t="n">
        <f aca="false">Packages!$X$111+Packages!$Y$111</f>
        <v>1210.82376692864</v>
      </c>
      <c r="I1166" s="15" t="s">
        <v>3019</v>
      </c>
      <c r="J1166" s="34" t="n">
        <f aca="false">MAX(1,ROUNDUP((Packages!$X$111/R_EXS+Packages!$Y$111/R_EXO)/Fronts!$J$10,0))</f>
        <v>5</v>
      </c>
      <c r="K1166" s="34" t="n">
        <f aca="false">IF(J1166=0,0,ROUNDUP(J1166*7/WD,0))</f>
        <v>6</v>
      </c>
      <c r="L1166" s="15" t="s">
        <v>4590</v>
      </c>
      <c r="M1166" s="34" t="n">
        <f aca="false">IF(K1165=0,0,ROUNDUP((K1165-ROUNDUP(DW_DRAW*7/WD,0))*LADDER,0)+ROUNDUP(DW_DRAW*7/WD,0))</f>
        <v>10</v>
      </c>
      <c r="N1166" s="34" t="n">
        <f aca="false">IF(K1166=0,0,FFLAG)</f>
        <v>2</v>
      </c>
      <c r="O1166" s="15"/>
      <c r="P1166" s="16" t="n">
        <f aca="false">MAX(P1165+M1166,R1155)</f>
        <v>46385</v>
      </c>
      <c r="Q1166" s="16" t="n">
        <f aca="false">MAX(P1166+K1166,Q1165+N1166)</f>
        <v>46391</v>
      </c>
      <c r="R1166" s="16" t="n">
        <f aca="false">IF(K1166&gt;0,Q1166,R1155)</f>
        <v>46391</v>
      </c>
      <c r="S1166" s="15" t="s">
        <v>4576</v>
      </c>
    </row>
    <row r="1167" customFormat="false" ht="15" hidden="false" customHeight="false" outlineLevel="0" collapsed="false">
      <c r="A1167" s="15" t="s">
        <v>4593</v>
      </c>
      <c r="B1167" s="15" t="s">
        <v>4585</v>
      </c>
      <c r="C1167" s="15" t="s">
        <v>400</v>
      </c>
      <c r="D1167" s="15" t="s">
        <v>1240</v>
      </c>
      <c r="E1167" s="15" t="s">
        <v>1286</v>
      </c>
      <c r="F1167" s="15" t="s">
        <v>3022</v>
      </c>
      <c r="G1167" s="15" t="s">
        <v>3023</v>
      </c>
      <c r="H1167" s="33" t="n">
        <f aca="false">Packages!$O$111</f>
        <v>43.2041964427442</v>
      </c>
      <c r="I1167" s="15" t="s">
        <v>118</v>
      </c>
      <c r="J1167" s="34" t="n">
        <f aca="false">MAX(1,ROUNDUP(Packages!$O$111/(R_SLAB*Fronts!$K$10),0))+SLAB_CURE</f>
        <v>7</v>
      </c>
      <c r="K1167" s="34" t="n">
        <f aca="false">IF(J1167=0,0,ROUNDUP(J1167*7/WD,0))</f>
        <v>9</v>
      </c>
      <c r="L1167" s="15" t="s">
        <v>4592</v>
      </c>
      <c r="M1167" s="34" t="n">
        <f aca="false">ROUNDUP(K1166*LADDER,0)</f>
        <v>2</v>
      </c>
      <c r="N1167" s="34" t="n">
        <f aca="false">IF(K1167=0,0,FFLAG)</f>
        <v>2</v>
      </c>
      <c r="O1167" s="15"/>
      <c r="P1167" s="16" t="n">
        <f aca="false">MAX(P1166+M1167,R1156)</f>
        <v>46389</v>
      </c>
      <c r="Q1167" s="16" t="n">
        <f aca="false">MAX(P1167+K1167,Q1166+N1167)</f>
        <v>46398</v>
      </c>
      <c r="R1167" s="16" t="n">
        <f aca="false">IF(K1167&gt;0,Q1167,R1156)</f>
        <v>46398</v>
      </c>
      <c r="S1167" s="15" t="s">
        <v>4578</v>
      </c>
    </row>
    <row r="1168" customFormat="false" ht="15" hidden="false" customHeight="false" outlineLevel="0" collapsed="false">
      <c r="A1168" s="15" t="s">
        <v>4594</v>
      </c>
      <c r="B1168" s="15" t="s">
        <v>4585</v>
      </c>
      <c r="C1168" s="15" t="s">
        <v>400</v>
      </c>
      <c r="D1168" s="15" t="s">
        <v>1240</v>
      </c>
      <c r="E1168" s="15" t="s">
        <v>1286</v>
      </c>
      <c r="F1168" s="15" t="s">
        <v>3025</v>
      </c>
      <c r="G1168" s="15" t="s">
        <v>3026</v>
      </c>
      <c r="H1168" s="33" t="n">
        <f aca="false">Packages!$O$111</f>
        <v>43.2041964427442</v>
      </c>
      <c r="I1168" s="15" t="s">
        <v>118</v>
      </c>
      <c r="J1168" s="34" t="n">
        <f aca="false">MAX(1,ROUNDUP(Packages!$O$111/(IF(Packages!$N$111&gt;=PIPE_T1,R_PIPE_L,IF(Packages!$N$111&gt;=PIPE_T2,R_PIPE_M,R_PIPE_S))*Fronts!$L$10)+Packages!$M$111*FIT_D+IF(Packages!$G$111&lt;&gt;"Run",TIE_D,0),0))</f>
        <v>3</v>
      </c>
      <c r="K1168" s="34" t="n">
        <f aca="false">IF(J1168=0,0,ROUNDUP(J1168*7/WD,0))</f>
        <v>4</v>
      </c>
      <c r="L1168" s="15" t="s">
        <v>4593</v>
      </c>
      <c r="M1168" s="34" t="n">
        <f aca="false">ROUNDUP(K1167*LADDER,0)</f>
        <v>3</v>
      </c>
      <c r="N1168" s="34" t="n">
        <f aca="false">IF(K1168=0,0,FFLAG)</f>
        <v>2</v>
      </c>
      <c r="O1168" s="15"/>
      <c r="P1168" s="16" t="n">
        <f aca="false">MAX(P1167+M1168,R1157)</f>
        <v>46392</v>
      </c>
      <c r="Q1168" s="16" t="n">
        <f aca="false">MAX(P1168+K1168,Q1167+N1168)</f>
        <v>46400</v>
      </c>
      <c r="R1168" s="16" t="n">
        <f aca="false">IF(K1168&gt;0,Q1168,R1157)</f>
        <v>46400</v>
      </c>
      <c r="S1168" s="15" t="s">
        <v>4579</v>
      </c>
    </row>
    <row r="1169" customFormat="false" ht="15" hidden="false" customHeight="false" outlineLevel="0" collapsed="false">
      <c r="A1169" s="15" t="s">
        <v>4595</v>
      </c>
      <c r="B1169" s="15" t="s">
        <v>4585</v>
      </c>
      <c r="C1169" s="15" t="s">
        <v>400</v>
      </c>
      <c r="D1169" s="15" t="s">
        <v>1240</v>
      </c>
      <c r="E1169" s="15" t="s">
        <v>1286</v>
      </c>
      <c r="F1169" s="15" t="s">
        <v>3028</v>
      </c>
      <c r="G1169" s="15" t="s">
        <v>3029</v>
      </c>
      <c r="H1169" s="33" t="n">
        <f aca="false">Packages!$O$111</f>
        <v>43.2041964427442</v>
      </c>
      <c r="I1169" s="15" t="s">
        <v>118</v>
      </c>
      <c r="J1169" s="34" t="n">
        <f aca="false">TEST_D+ROUNDUP(Packages!$O$111/R_TEST,0)</f>
        <v>3</v>
      </c>
      <c r="K1169" s="34" t="n">
        <f aca="false">IF(J1169=0,0,ROUNDUP(J1169*7/WD,0))</f>
        <v>4</v>
      </c>
      <c r="L1169" s="15" t="s">
        <v>4594</v>
      </c>
      <c r="M1169" s="34" t="n">
        <f aca="false">ROUNDUP(K1168*LADDER,0)</f>
        <v>2</v>
      </c>
      <c r="N1169" s="34" t="n">
        <f aca="false">IF(K1169=0,0,FFLAG)</f>
        <v>2</v>
      </c>
      <c r="O1169" s="15"/>
      <c r="P1169" s="16" t="n">
        <f aca="false">MAX(P1168+M1169)</f>
        <v>46394</v>
      </c>
      <c r="Q1169" s="16" t="n">
        <f aca="false">MAX(P1169+K1169,Q1168+N1169)</f>
        <v>46402</v>
      </c>
      <c r="R1169" s="12"/>
      <c r="S1169" s="12"/>
    </row>
    <row r="1170" customFormat="false" ht="15" hidden="false" customHeight="false" outlineLevel="0" collapsed="false">
      <c r="A1170" s="15" t="s">
        <v>4596</v>
      </c>
      <c r="B1170" s="15" t="s">
        <v>4585</v>
      </c>
      <c r="C1170" s="15" t="s">
        <v>400</v>
      </c>
      <c r="D1170" s="15" t="s">
        <v>1240</v>
      </c>
      <c r="E1170" s="15" t="s">
        <v>1286</v>
      </c>
      <c r="F1170" s="15" t="s">
        <v>3031</v>
      </c>
      <c r="G1170" s="15" t="s">
        <v>3032</v>
      </c>
      <c r="H1170" s="33" t="n">
        <f aca="false">Packages!$AB$111</f>
        <v>999.954871822454</v>
      </c>
      <c r="I1170" s="15" t="s">
        <v>3019</v>
      </c>
      <c r="J1170" s="34" t="n">
        <f aca="false">MAX(1,ROUNDUP(Packages!$AB$111/(R_BF*Fronts!$M$10),0))</f>
        <v>3</v>
      </c>
      <c r="K1170" s="34" t="n">
        <f aca="false">IF(J1170=0,0,ROUNDUP(J1170*7/WD,0))</f>
        <v>4</v>
      </c>
      <c r="L1170" s="15" t="s">
        <v>4595</v>
      </c>
      <c r="M1170" s="34" t="n">
        <f aca="false">ROUNDUP(K1169*LADDER,0)</f>
        <v>2</v>
      </c>
      <c r="N1170" s="34" t="n">
        <f aca="false">IF(K1170=0,0,FFLAG)</f>
        <v>2</v>
      </c>
      <c r="O1170" s="15"/>
      <c r="P1170" s="16" t="n">
        <f aca="false">MAX(P1169+M1170,R1159)</f>
        <v>46396</v>
      </c>
      <c r="Q1170" s="16" t="n">
        <f aca="false">MAX(P1170+K1170,Q1169+N1170)</f>
        <v>46404</v>
      </c>
      <c r="R1170" s="16" t="n">
        <f aca="false">IF(K1170&gt;0,Q1170,R1159)</f>
        <v>46404</v>
      </c>
      <c r="S1170" s="15" t="s">
        <v>4581</v>
      </c>
    </row>
    <row r="1171" customFormat="false" ht="15" hidden="false" customHeight="false" outlineLevel="0" collapsed="false">
      <c r="A1171" s="15" t="s">
        <v>4597</v>
      </c>
      <c r="B1171" s="15" t="s">
        <v>4585</v>
      </c>
      <c r="C1171" s="15" t="s">
        <v>400</v>
      </c>
      <c r="D1171" s="15" t="s">
        <v>1240</v>
      </c>
      <c r="E1171" s="15" t="s">
        <v>1286</v>
      </c>
      <c r="F1171" s="15" t="s">
        <v>3034</v>
      </c>
      <c r="G1171" s="15" t="s">
        <v>3035</v>
      </c>
      <c r="H1171" s="33" t="n">
        <f aca="false">Packages!$AD$111</f>
        <v>86.4083928854885</v>
      </c>
      <c r="I1171" s="15" t="s">
        <v>3012</v>
      </c>
      <c r="J1171" s="34" t="n">
        <f aca="false">IF(Packages!$AD$111&gt;0,ROUNDUP(Packages!$AD$111/R_EXT,0),0)+IF(Packages!$AG$111&gt;0,1,0)</f>
        <v>3</v>
      </c>
      <c r="K1171" s="34" t="n">
        <f aca="false">IF(J1171=0,0,ROUNDUP(J1171*7/WD,0))</f>
        <v>4</v>
      </c>
      <c r="L1171" s="15" t="s">
        <v>4596</v>
      </c>
      <c r="M1171" s="34" t="n">
        <f aca="false">ROUNDUP(K1170*LADDER,0)</f>
        <v>2</v>
      </c>
      <c r="N1171" s="34" t="n">
        <f aca="false">IF(K1171=0,0,FFLAG)</f>
        <v>2</v>
      </c>
      <c r="O1171" s="15"/>
      <c r="P1171" s="16" t="n">
        <f aca="false">MAX(P1170+M1171)</f>
        <v>46398</v>
      </c>
      <c r="Q1171" s="16" t="n">
        <f aca="false">MAX(P1171+K1171,Q1170+N1171)</f>
        <v>46406</v>
      </c>
      <c r="R1171" s="12"/>
      <c r="S1171" s="12"/>
    </row>
    <row r="1172" customFormat="false" ht="15" hidden="false" customHeight="false" outlineLevel="0" collapsed="false">
      <c r="A1172" s="15" t="s">
        <v>4598</v>
      </c>
      <c r="B1172" s="15" t="s">
        <v>4599</v>
      </c>
      <c r="C1172" s="15" t="s">
        <v>400</v>
      </c>
      <c r="D1172" s="15" t="s">
        <v>1240</v>
      </c>
      <c r="E1172" s="15" t="s">
        <v>1275</v>
      </c>
      <c r="F1172" s="15" t="s">
        <v>2998</v>
      </c>
      <c r="G1172" s="15" t="s">
        <v>2999</v>
      </c>
      <c r="H1172" s="12"/>
      <c r="I1172" s="12"/>
      <c r="J1172" s="34" t="n">
        <f aca="false">0</f>
        <v>0</v>
      </c>
      <c r="K1172" s="34" t="n">
        <f aca="false">IF(J1172=0,0,ROUNDUP(J1172*7/WD,0))</f>
        <v>0</v>
      </c>
      <c r="L1172" s="12"/>
      <c r="M1172" s="12"/>
      <c r="N1172" s="12"/>
      <c r="O1172" s="15" t="s">
        <v>3000</v>
      </c>
      <c r="P1172" s="16" t="n">
        <f aca="false">MAX(START,D_DLU,Packages!$I$112,Packages!$K$112)</f>
        <v>46357</v>
      </c>
      <c r="Q1172" s="16" t="n">
        <f aca="false">P1172+K1172</f>
        <v>46357</v>
      </c>
      <c r="R1172" s="12"/>
      <c r="S1172" s="12"/>
    </row>
    <row r="1173" customFormat="false" ht="15" hidden="false" customHeight="false" outlineLevel="0" collapsed="false">
      <c r="A1173" s="15" t="s">
        <v>4600</v>
      </c>
      <c r="B1173" s="15" t="s">
        <v>4599</v>
      </c>
      <c r="C1173" s="15" t="s">
        <v>400</v>
      </c>
      <c r="D1173" s="15" t="s">
        <v>1240</v>
      </c>
      <c r="E1173" s="15" t="s">
        <v>1275</v>
      </c>
      <c r="F1173" s="15" t="s">
        <v>3002</v>
      </c>
      <c r="G1173" s="15" t="s">
        <v>205</v>
      </c>
      <c r="H1173" s="33" t="n">
        <f aca="false">Packages!$O$112</f>
        <v>41.3000000007397</v>
      </c>
      <c r="I1173" s="15" t="s">
        <v>118</v>
      </c>
      <c r="J1173" s="34" t="n">
        <f aca="false">MAX(1,ROUNDUP(Packages!$O$112/R_PLAT,0))</f>
        <v>1</v>
      </c>
      <c r="K1173" s="34" t="n">
        <f aca="false">IF(J1173=0,0,ROUNDUP(J1173*7/WD,0))</f>
        <v>2</v>
      </c>
      <c r="L1173" s="15" t="s">
        <v>4598</v>
      </c>
      <c r="M1173" s="12"/>
      <c r="N1173" s="12"/>
      <c r="O1173" s="15" t="s">
        <v>4601</v>
      </c>
      <c r="P1173" s="16" t="n">
        <f aca="false">MAX(Q1172,P1163)</f>
        <v>46370</v>
      </c>
      <c r="Q1173" s="16" t="n">
        <f aca="false">P1173+K1173</f>
        <v>46372</v>
      </c>
      <c r="R1173" s="12"/>
      <c r="S1173" s="12"/>
    </row>
    <row r="1174" customFormat="false" ht="15" hidden="false" customHeight="false" outlineLevel="0" collapsed="false">
      <c r="A1174" s="15" t="s">
        <v>4602</v>
      </c>
      <c r="B1174" s="15" t="s">
        <v>4599</v>
      </c>
      <c r="C1174" s="15" t="s">
        <v>400</v>
      </c>
      <c r="D1174" s="15" t="s">
        <v>1240</v>
      </c>
      <c r="E1174" s="15" t="s">
        <v>1275</v>
      </c>
      <c r="F1174" s="15" t="s">
        <v>3005</v>
      </c>
      <c r="G1174" s="15" t="s">
        <v>3006</v>
      </c>
      <c r="H1174" s="33" t="n">
        <f aca="false">Packages!$AC$112</f>
        <v>30</v>
      </c>
      <c r="I1174" s="15" t="s">
        <v>3007</v>
      </c>
      <c r="J1174" s="34" t="n">
        <f aca="false">IF(Packages!$AC$112=0,0,MAX(1,ROUNDUP(Packages!$AC$112/(R_PILE*Fronts!$H$10),0)))</f>
        <v>6</v>
      </c>
      <c r="K1174" s="34" t="n">
        <f aca="false">IF(J1174=0,0,ROUNDUP(J1174*7/WD,0))</f>
        <v>7</v>
      </c>
      <c r="L1174" s="15" t="s">
        <v>4600</v>
      </c>
      <c r="M1174" s="34" t="n">
        <f aca="false">ROUNDUP(K1173*LADDER,0)</f>
        <v>1</v>
      </c>
      <c r="N1174" s="34" t="n">
        <f aca="false">IF(K1174=0,0,FFLAG)</f>
        <v>2</v>
      </c>
      <c r="O1174" s="15" t="s">
        <v>3008</v>
      </c>
      <c r="P1174" s="16" t="n">
        <f aca="false">MAX(P1173+M1174,D_PILEDES,R1163)</f>
        <v>46379</v>
      </c>
      <c r="Q1174" s="16" t="n">
        <f aca="false">MAX(P1174+K1174,Q1173+N1174)</f>
        <v>46386</v>
      </c>
      <c r="R1174" s="16" t="n">
        <f aca="false">IF(K1174&gt;0,Q1174,R1163)</f>
        <v>46386</v>
      </c>
      <c r="S1174" s="15" t="s">
        <v>4588</v>
      </c>
    </row>
    <row r="1175" customFormat="false" ht="15" hidden="false" customHeight="false" outlineLevel="0" collapsed="false">
      <c r="A1175" s="15" t="s">
        <v>4603</v>
      </c>
      <c r="B1175" s="15" t="s">
        <v>4599</v>
      </c>
      <c r="C1175" s="15" t="s">
        <v>400</v>
      </c>
      <c r="D1175" s="15" t="s">
        <v>1240</v>
      </c>
      <c r="E1175" s="15" t="s">
        <v>1275</v>
      </c>
      <c r="F1175" s="15" t="s">
        <v>3010</v>
      </c>
      <c r="G1175" s="15" t="s">
        <v>3011</v>
      </c>
      <c r="H1175" s="33" t="n">
        <f aca="false">Packages!$AD$112</f>
        <v>82.6000000014794</v>
      </c>
      <c r="I1175" s="15" t="s">
        <v>3012</v>
      </c>
      <c r="J1175" s="34" t="n">
        <f aca="false">IF(Packages!$AD$112=0,0,MAX(1,ROUNDUP(Packages!$AD$112/(R_SHEET*Fronts!$I$10),0)))</f>
        <v>4</v>
      </c>
      <c r="K1175" s="34" t="n">
        <f aca="false">IF(J1175=0,0,ROUNDUP(J1175*7/WD,0))</f>
        <v>5</v>
      </c>
      <c r="L1175" s="15" t="s">
        <v>4602</v>
      </c>
      <c r="M1175" s="34" t="n">
        <f aca="false">ROUNDUP(K1174*LADDER,0)</f>
        <v>3</v>
      </c>
      <c r="N1175" s="34" t="n">
        <f aca="false">IF(K1175=0,0,FFLAG)</f>
        <v>2</v>
      </c>
      <c r="O1175" s="15"/>
      <c r="P1175" s="16" t="n">
        <f aca="false">MAX(P1174+M1175,R1164)</f>
        <v>46382</v>
      </c>
      <c r="Q1175" s="16" t="n">
        <f aca="false">MAX(P1175+K1175,Q1174+N1175)</f>
        <v>46388</v>
      </c>
      <c r="R1175" s="16" t="n">
        <f aca="false">IF(K1175&gt;0,Q1175,R1164)</f>
        <v>46388</v>
      </c>
      <c r="S1175" s="15" t="s">
        <v>4589</v>
      </c>
    </row>
    <row r="1176" customFormat="false" ht="15" hidden="false" customHeight="false" outlineLevel="0" collapsed="false">
      <c r="A1176" s="15" t="s">
        <v>4604</v>
      </c>
      <c r="B1176" s="15" t="s">
        <v>4599</v>
      </c>
      <c r="C1176" s="15" t="s">
        <v>400</v>
      </c>
      <c r="D1176" s="15" t="s">
        <v>1240</v>
      </c>
      <c r="E1176" s="15" t="s">
        <v>1275</v>
      </c>
      <c r="F1176" s="15" t="s">
        <v>3014</v>
      </c>
      <c r="G1176" s="15" t="s">
        <v>3015</v>
      </c>
      <c r="H1176" s="33" t="n">
        <f aca="false">Packages!$O$112</f>
        <v>41.3000000007397</v>
      </c>
      <c r="I1176" s="15" t="s">
        <v>118</v>
      </c>
      <c r="J1176" s="34" t="n">
        <f aca="false">IF(Packages!$AG$112=0,0,ROUNDUP(Packages!$O$112/R_DW,0)+DW_DRAW)</f>
        <v>9</v>
      </c>
      <c r="K1176" s="34" t="n">
        <f aca="false">IF(J1176=0,0,ROUNDUP(J1176*7/WD,0))</f>
        <v>11</v>
      </c>
      <c r="L1176" s="15" t="s">
        <v>4603</v>
      </c>
      <c r="M1176" s="34" t="n">
        <f aca="false">ROUNDUP(K1175*LADDER,0)</f>
        <v>2</v>
      </c>
      <c r="N1176" s="34" t="n">
        <f aca="false">IF(K1176=0,0,FFLAG)</f>
        <v>2</v>
      </c>
      <c r="O1176" s="15" t="s">
        <v>4605</v>
      </c>
      <c r="P1176" s="16" t="n">
        <f aca="false">MAX(P1175+M1176,Q1166-K1176)</f>
        <v>46384</v>
      </c>
      <c r="Q1176" s="16" t="n">
        <f aca="false">MAX(P1176+K1176,Q1175+N1176)</f>
        <v>46395</v>
      </c>
      <c r="R1176" s="12"/>
      <c r="S1176" s="12"/>
    </row>
    <row r="1177" customFormat="false" ht="15" hidden="false" customHeight="false" outlineLevel="0" collapsed="false">
      <c r="A1177" s="15" t="s">
        <v>4606</v>
      </c>
      <c r="B1177" s="15" t="s">
        <v>4599</v>
      </c>
      <c r="C1177" s="15" t="s">
        <v>400</v>
      </c>
      <c r="D1177" s="15" t="s">
        <v>1240</v>
      </c>
      <c r="E1177" s="15" t="s">
        <v>1275</v>
      </c>
      <c r="F1177" s="15" t="s">
        <v>3017</v>
      </c>
      <c r="G1177" s="15" t="s">
        <v>3018</v>
      </c>
      <c r="H1177" s="33" t="n">
        <f aca="false">Packages!$X$112+Packages!$Y$112</f>
        <v>1102.99871942733</v>
      </c>
      <c r="I1177" s="15" t="s">
        <v>3019</v>
      </c>
      <c r="J1177" s="34" t="n">
        <f aca="false">MAX(1,ROUNDUP((Packages!$X$112/R_EXS+Packages!$Y$112/R_EXO)/Fronts!$J$10,0))</f>
        <v>5</v>
      </c>
      <c r="K1177" s="34" t="n">
        <f aca="false">IF(J1177=0,0,ROUNDUP(J1177*7/WD,0))</f>
        <v>6</v>
      </c>
      <c r="L1177" s="15" t="s">
        <v>4604</v>
      </c>
      <c r="M1177" s="34" t="n">
        <f aca="false">IF(K1176=0,0,ROUNDUP((K1176-ROUNDUP(DW_DRAW*7/WD,0))*LADDER,0)+ROUNDUP(DW_DRAW*7/WD,0))</f>
        <v>10</v>
      </c>
      <c r="N1177" s="34" t="n">
        <f aca="false">IF(K1177=0,0,FFLAG)</f>
        <v>2</v>
      </c>
      <c r="O1177" s="15"/>
      <c r="P1177" s="16" t="n">
        <f aca="false">MAX(P1176+M1177,R1166)</f>
        <v>46394</v>
      </c>
      <c r="Q1177" s="16" t="n">
        <f aca="false">MAX(P1177+K1177,Q1176+N1177)</f>
        <v>46400</v>
      </c>
      <c r="R1177" s="16" t="n">
        <f aca="false">IF(K1177&gt;0,Q1177,R1166)</f>
        <v>46400</v>
      </c>
      <c r="S1177" s="15" t="s">
        <v>4592</v>
      </c>
    </row>
    <row r="1178" customFormat="false" ht="15" hidden="false" customHeight="false" outlineLevel="0" collapsed="false">
      <c r="A1178" s="15" t="s">
        <v>4607</v>
      </c>
      <c r="B1178" s="15" t="s">
        <v>4599</v>
      </c>
      <c r="C1178" s="15" t="s">
        <v>400</v>
      </c>
      <c r="D1178" s="15" t="s">
        <v>1240</v>
      </c>
      <c r="E1178" s="15" t="s">
        <v>1275</v>
      </c>
      <c r="F1178" s="15" t="s">
        <v>3022</v>
      </c>
      <c r="G1178" s="15" t="s">
        <v>3023</v>
      </c>
      <c r="H1178" s="33" t="n">
        <f aca="false">Packages!$O$112</f>
        <v>41.3000000007397</v>
      </c>
      <c r="I1178" s="15" t="s">
        <v>118</v>
      </c>
      <c r="J1178" s="34" t="n">
        <f aca="false">MAX(1,ROUNDUP(Packages!$O$112/(R_SLAB*Fronts!$K$10),0))+SLAB_CURE</f>
        <v>7</v>
      </c>
      <c r="K1178" s="34" t="n">
        <f aca="false">IF(J1178=0,0,ROUNDUP(J1178*7/WD,0))</f>
        <v>9</v>
      </c>
      <c r="L1178" s="15" t="s">
        <v>4606</v>
      </c>
      <c r="M1178" s="34" t="n">
        <f aca="false">ROUNDUP(K1177*LADDER,0)</f>
        <v>2</v>
      </c>
      <c r="N1178" s="34" t="n">
        <f aca="false">IF(K1178=0,0,FFLAG)</f>
        <v>2</v>
      </c>
      <c r="O1178" s="15"/>
      <c r="P1178" s="16" t="n">
        <f aca="false">MAX(P1177+M1178,R1167)</f>
        <v>46398</v>
      </c>
      <c r="Q1178" s="16" t="n">
        <f aca="false">MAX(P1178+K1178,Q1177+N1178)</f>
        <v>46407</v>
      </c>
      <c r="R1178" s="16" t="n">
        <f aca="false">IF(K1178&gt;0,Q1178,R1167)</f>
        <v>46407</v>
      </c>
      <c r="S1178" s="15" t="s">
        <v>4593</v>
      </c>
    </row>
    <row r="1179" customFormat="false" ht="15" hidden="false" customHeight="false" outlineLevel="0" collapsed="false">
      <c r="A1179" s="15" t="s">
        <v>4608</v>
      </c>
      <c r="B1179" s="15" t="s">
        <v>4599</v>
      </c>
      <c r="C1179" s="15" t="s">
        <v>400</v>
      </c>
      <c r="D1179" s="15" t="s">
        <v>1240</v>
      </c>
      <c r="E1179" s="15" t="s">
        <v>1275</v>
      </c>
      <c r="F1179" s="15" t="s">
        <v>3025</v>
      </c>
      <c r="G1179" s="15" t="s">
        <v>3026</v>
      </c>
      <c r="H1179" s="33" t="n">
        <f aca="false">Packages!$O$112</f>
        <v>41.3000000007397</v>
      </c>
      <c r="I1179" s="15" t="s">
        <v>118</v>
      </c>
      <c r="J1179" s="34" t="n">
        <f aca="false">MAX(1,ROUNDUP(Packages!$O$112/(IF(Packages!$N$112&gt;=PIPE_T1,R_PIPE_L,IF(Packages!$N$112&gt;=PIPE_T2,R_PIPE_M,R_PIPE_S))*Fronts!$L$10)+Packages!$M$112*FIT_D+IF(Packages!$G$112&lt;&gt;"Run",TIE_D,0),0))</f>
        <v>5</v>
      </c>
      <c r="K1179" s="34" t="n">
        <f aca="false">IF(J1179=0,0,ROUNDUP(J1179*7/WD,0))</f>
        <v>6</v>
      </c>
      <c r="L1179" s="15" t="s">
        <v>4607</v>
      </c>
      <c r="M1179" s="34" t="n">
        <f aca="false">ROUNDUP(K1178*LADDER,0)</f>
        <v>3</v>
      </c>
      <c r="N1179" s="34" t="n">
        <f aca="false">IF(K1179=0,0,FFLAG)</f>
        <v>2</v>
      </c>
      <c r="O1179" s="15"/>
      <c r="P1179" s="16" t="n">
        <f aca="false">MAX(P1178+M1179,R1168)</f>
        <v>46401</v>
      </c>
      <c r="Q1179" s="16" t="n">
        <f aca="false">MAX(P1179+K1179,Q1178+N1179)</f>
        <v>46409</v>
      </c>
      <c r="R1179" s="16" t="n">
        <f aca="false">IF(K1179&gt;0,Q1179,R1168)</f>
        <v>46409</v>
      </c>
      <c r="S1179" s="15" t="s">
        <v>4594</v>
      </c>
    </row>
    <row r="1180" customFormat="false" ht="15" hidden="false" customHeight="false" outlineLevel="0" collapsed="false">
      <c r="A1180" s="15" t="s">
        <v>4609</v>
      </c>
      <c r="B1180" s="15" t="s">
        <v>4599</v>
      </c>
      <c r="C1180" s="15" t="s">
        <v>400</v>
      </c>
      <c r="D1180" s="15" t="s">
        <v>1240</v>
      </c>
      <c r="E1180" s="15" t="s">
        <v>1275</v>
      </c>
      <c r="F1180" s="15" t="s">
        <v>3028</v>
      </c>
      <c r="G1180" s="15" t="s">
        <v>3029</v>
      </c>
      <c r="H1180" s="33" t="n">
        <f aca="false">Packages!$O$112</f>
        <v>41.3000000007397</v>
      </c>
      <c r="I1180" s="15" t="s">
        <v>118</v>
      </c>
      <c r="J1180" s="34" t="n">
        <f aca="false">TEST_D+ROUNDUP(Packages!$O$112/R_TEST,0)</f>
        <v>3</v>
      </c>
      <c r="K1180" s="34" t="n">
        <f aca="false">IF(J1180=0,0,ROUNDUP(J1180*7/WD,0))</f>
        <v>4</v>
      </c>
      <c r="L1180" s="15" t="s">
        <v>4608</v>
      </c>
      <c r="M1180" s="34" t="n">
        <f aca="false">ROUNDUP(K1179*LADDER,0)</f>
        <v>2</v>
      </c>
      <c r="N1180" s="34" t="n">
        <f aca="false">IF(K1180=0,0,FFLAG)</f>
        <v>2</v>
      </c>
      <c r="O1180" s="15"/>
      <c r="P1180" s="16" t="n">
        <f aca="false">MAX(P1179+M1180)</f>
        <v>46403</v>
      </c>
      <c r="Q1180" s="16" t="n">
        <f aca="false">MAX(P1180+K1180,Q1179+N1180)</f>
        <v>46411</v>
      </c>
      <c r="R1180" s="12"/>
      <c r="S1180" s="12"/>
    </row>
    <row r="1181" customFormat="false" ht="15" hidden="false" customHeight="false" outlineLevel="0" collapsed="false">
      <c r="A1181" s="15" t="s">
        <v>4610</v>
      </c>
      <c r="B1181" s="15" t="s">
        <v>4599</v>
      </c>
      <c r="C1181" s="15" t="s">
        <v>400</v>
      </c>
      <c r="D1181" s="15" t="s">
        <v>1240</v>
      </c>
      <c r="E1181" s="15" t="s">
        <v>1275</v>
      </c>
      <c r="F1181" s="15" t="s">
        <v>3031</v>
      </c>
      <c r="G1181" s="15" t="s">
        <v>3032</v>
      </c>
      <c r="H1181" s="33" t="n">
        <f aca="false">Packages!$AB$112</f>
        <v>919.685085286401</v>
      </c>
      <c r="I1181" s="15" t="s">
        <v>3019</v>
      </c>
      <c r="J1181" s="34" t="n">
        <f aca="false">MAX(1,ROUNDUP(Packages!$AB$112/(R_BF*Fronts!$M$10),0))</f>
        <v>3</v>
      </c>
      <c r="K1181" s="34" t="n">
        <f aca="false">IF(J1181=0,0,ROUNDUP(J1181*7/WD,0))</f>
        <v>4</v>
      </c>
      <c r="L1181" s="15" t="s">
        <v>4609</v>
      </c>
      <c r="M1181" s="34" t="n">
        <f aca="false">ROUNDUP(K1180*LADDER,0)</f>
        <v>2</v>
      </c>
      <c r="N1181" s="34" t="n">
        <f aca="false">IF(K1181=0,0,FFLAG)</f>
        <v>2</v>
      </c>
      <c r="O1181" s="15"/>
      <c r="P1181" s="16" t="n">
        <f aca="false">MAX(P1180+M1181,R1170)</f>
        <v>46405</v>
      </c>
      <c r="Q1181" s="16" t="n">
        <f aca="false">MAX(P1181+K1181,Q1180+N1181)</f>
        <v>46413</v>
      </c>
      <c r="R1181" s="16" t="n">
        <f aca="false">IF(K1181&gt;0,Q1181,R1170)</f>
        <v>46413</v>
      </c>
      <c r="S1181" s="15" t="s">
        <v>4596</v>
      </c>
    </row>
    <row r="1182" customFormat="false" ht="15" hidden="false" customHeight="false" outlineLevel="0" collapsed="false">
      <c r="A1182" s="15" t="s">
        <v>4611</v>
      </c>
      <c r="B1182" s="15" t="s">
        <v>4599</v>
      </c>
      <c r="C1182" s="15" t="s">
        <v>400</v>
      </c>
      <c r="D1182" s="15" t="s">
        <v>1240</v>
      </c>
      <c r="E1182" s="15" t="s">
        <v>1275</v>
      </c>
      <c r="F1182" s="15" t="s">
        <v>3034</v>
      </c>
      <c r="G1182" s="15" t="s">
        <v>3035</v>
      </c>
      <c r="H1182" s="33" t="n">
        <f aca="false">Packages!$AD$112</f>
        <v>82.6000000014794</v>
      </c>
      <c r="I1182" s="15" t="s">
        <v>3012</v>
      </c>
      <c r="J1182" s="34" t="n">
        <f aca="false">IF(Packages!$AD$112&gt;0,ROUNDUP(Packages!$AD$112/R_EXT,0),0)+IF(Packages!$AG$112&gt;0,1,0)</f>
        <v>3</v>
      </c>
      <c r="K1182" s="34" t="n">
        <f aca="false">IF(J1182=0,0,ROUNDUP(J1182*7/WD,0))</f>
        <v>4</v>
      </c>
      <c r="L1182" s="15" t="s">
        <v>4610</v>
      </c>
      <c r="M1182" s="34" t="n">
        <f aca="false">ROUNDUP(K1181*LADDER,0)</f>
        <v>2</v>
      </c>
      <c r="N1182" s="34" t="n">
        <f aca="false">IF(K1182=0,0,FFLAG)</f>
        <v>2</v>
      </c>
      <c r="O1182" s="15"/>
      <c r="P1182" s="16" t="n">
        <f aca="false">MAX(P1181+M1182)</f>
        <v>46407</v>
      </c>
      <c r="Q1182" s="16" t="n">
        <f aca="false">MAX(P1182+K1182,Q1181+N1182)</f>
        <v>46415</v>
      </c>
      <c r="R1182" s="12"/>
      <c r="S1182" s="12"/>
    </row>
    <row r="1183" customFormat="false" ht="15" hidden="false" customHeight="false" outlineLevel="0" collapsed="false">
      <c r="A1183" s="15" t="s">
        <v>4612</v>
      </c>
      <c r="B1183" s="15" t="s">
        <v>4613</v>
      </c>
      <c r="C1183" s="15" t="s">
        <v>400</v>
      </c>
      <c r="D1183" s="15" t="s">
        <v>1240</v>
      </c>
      <c r="E1183" s="15" t="s">
        <v>1271</v>
      </c>
      <c r="F1183" s="15" t="s">
        <v>2998</v>
      </c>
      <c r="G1183" s="15" t="s">
        <v>2999</v>
      </c>
      <c r="H1183" s="12"/>
      <c r="I1183" s="12"/>
      <c r="J1183" s="34" t="n">
        <f aca="false">0</f>
        <v>0</v>
      </c>
      <c r="K1183" s="34" t="n">
        <f aca="false">IF(J1183=0,0,ROUNDUP(J1183*7/WD,0))</f>
        <v>0</v>
      </c>
      <c r="L1183" s="12"/>
      <c r="M1183" s="12"/>
      <c r="N1183" s="12"/>
      <c r="O1183" s="15" t="s">
        <v>3000</v>
      </c>
      <c r="P1183" s="16" t="n">
        <f aca="false">MAX(START,D_DLU,Packages!$I$113,Packages!$K$113)</f>
        <v>46357</v>
      </c>
      <c r="Q1183" s="16" t="n">
        <f aca="false">P1183+K1183</f>
        <v>46357</v>
      </c>
      <c r="R1183" s="12"/>
      <c r="S1183" s="12"/>
    </row>
    <row r="1184" customFormat="false" ht="15" hidden="false" customHeight="false" outlineLevel="0" collapsed="false">
      <c r="A1184" s="15" t="s">
        <v>4614</v>
      </c>
      <c r="B1184" s="15" t="s">
        <v>4613</v>
      </c>
      <c r="C1184" s="15" t="s">
        <v>400</v>
      </c>
      <c r="D1184" s="15" t="s">
        <v>1240</v>
      </c>
      <c r="E1184" s="15" t="s">
        <v>1271</v>
      </c>
      <c r="F1184" s="15" t="s">
        <v>3002</v>
      </c>
      <c r="G1184" s="15" t="s">
        <v>205</v>
      </c>
      <c r="H1184" s="33" t="n">
        <f aca="false">Packages!$O$113</f>
        <v>18.0999999987461</v>
      </c>
      <c r="I1184" s="15" t="s">
        <v>118</v>
      </c>
      <c r="J1184" s="34" t="n">
        <f aca="false">MAX(1,ROUNDUP(Packages!$O$113/R_PLAT,0))</f>
        <v>1</v>
      </c>
      <c r="K1184" s="34" t="n">
        <f aca="false">IF(J1184=0,0,ROUNDUP(J1184*7/WD,0))</f>
        <v>2</v>
      </c>
      <c r="L1184" s="15" t="s">
        <v>4612</v>
      </c>
      <c r="M1184" s="12"/>
      <c r="N1184" s="12"/>
      <c r="O1184" s="15" t="s">
        <v>4615</v>
      </c>
      <c r="P1184" s="16" t="n">
        <f aca="false">MAX(Q1183,P1174)</f>
        <v>46379</v>
      </c>
      <c r="Q1184" s="16" t="n">
        <f aca="false">P1184+K1184</f>
        <v>46381</v>
      </c>
      <c r="R1184" s="12"/>
      <c r="S1184" s="12"/>
    </row>
    <row r="1185" customFormat="false" ht="15" hidden="false" customHeight="false" outlineLevel="0" collapsed="false">
      <c r="A1185" s="15" t="s">
        <v>4616</v>
      </c>
      <c r="B1185" s="15" t="s">
        <v>4613</v>
      </c>
      <c r="C1185" s="15" t="s">
        <v>400</v>
      </c>
      <c r="D1185" s="15" t="s">
        <v>1240</v>
      </c>
      <c r="E1185" s="15" t="s">
        <v>1271</v>
      </c>
      <c r="F1185" s="15" t="s">
        <v>3005</v>
      </c>
      <c r="G1185" s="15" t="s">
        <v>3006</v>
      </c>
      <c r="H1185" s="33" t="n">
        <f aca="false">Packages!$AC$113</f>
        <v>16</v>
      </c>
      <c r="I1185" s="15" t="s">
        <v>3007</v>
      </c>
      <c r="J1185" s="34" t="n">
        <f aca="false">IF(Packages!$AC$113=0,0,MAX(1,ROUNDUP(Packages!$AC$113/(R_PILE*Fronts!$H$10),0)))</f>
        <v>4</v>
      </c>
      <c r="K1185" s="34" t="n">
        <f aca="false">IF(J1185=0,0,ROUNDUP(J1185*7/WD,0))</f>
        <v>5</v>
      </c>
      <c r="L1185" s="15" t="s">
        <v>4614</v>
      </c>
      <c r="M1185" s="34" t="n">
        <f aca="false">ROUNDUP(K1184*LADDER,0)</f>
        <v>1</v>
      </c>
      <c r="N1185" s="34" t="n">
        <f aca="false">IF(K1185=0,0,FFLAG)</f>
        <v>2</v>
      </c>
      <c r="O1185" s="15" t="s">
        <v>3008</v>
      </c>
      <c r="P1185" s="16" t="n">
        <f aca="false">MAX(P1184+M1185,D_PILEDES,R1174)</f>
        <v>46386</v>
      </c>
      <c r="Q1185" s="16" t="n">
        <f aca="false">MAX(P1185+K1185,Q1184+N1185)</f>
        <v>46391</v>
      </c>
      <c r="R1185" s="16" t="n">
        <f aca="false">IF(K1185&gt;0,Q1185,R1174)</f>
        <v>46391</v>
      </c>
      <c r="S1185" s="15" t="s">
        <v>4602</v>
      </c>
    </row>
    <row r="1186" customFormat="false" ht="15" hidden="false" customHeight="false" outlineLevel="0" collapsed="false">
      <c r="A1186" s="15" t="s">
        <v>4617</v>
      </c>
      <c r="B1186" s="15" t="s">
        <v>4613</v>
      </c>
      <c r="C1186" s="15" t="s">
        <v>400</v>
      </c>
      <c r="D1186" s="15" t="s">
        <v>1240</v>
      </c>
      <c r="E1186" s="15" t="s">
        <v>1271</v>
      </c>
      <c r="F1186" s="15" t="s">
        <v>3010</v>
      </c>
      <c r="G1186" s="15" t="s">
        <v>3011</v>
      </c>
      <c r="H1186" s="33" t="n">
        <f aca="false">Packages!$AD$113</f>
        <v>36.1999999974921</v>
      </c>
      <c r="I1186" s="15" t="s">
        <v>3012</v>
      </c>
      <c r="J1186" s="34" t="n">
        <f aca="false">IF(Packages!$AD$113=0,0,MAX(1,ROUNDUP(Packages!$AD$113/(R_SHEET*Fronts!$I$10),0)))</f>
        <v>2</v>
      </c>
      <c r="K1186" s="34" t="n">
        <f aca="false">IF(J1186=0,0,ROUNDUP(J1186*7/WD,0))</f>
        <v>3</v>
      </c>
      <c r="L1186" s="15" t="s">
        <v>4616</v>
      </c>
      <c r="M1186" s="34" t="n">
        <f aca="false">ROUNDUP(K1185*LADDER,0)</f>
        <v>2</v>
      </c>
      <c r="N1186" s="34" t="n">
        <f aca="false">IF(K1186=0,0,FFLAG)</f>
        <v>2</v>
      </c>
      <c r="O1186" s="15"/>
      <c r="P1186" s="16" t="n">
        <f aca="false">MAX(P1185+M1186,R1175)</f>
        <v>46388</v>
      </c>
      <c r="Q1186" s="16" t="n">
        <f aca="false">MAX(P1186+K1186,Q1185+N1186)</f>
        <v>46393</v>
      </c>
      <c r="R1186" s="16" t="n">
        <f aca="false">IF(K1186&gt;0,Q1186,R1175)</f>
        <v>46393</v>
      </c>
      <c r="S1186" s="15" t="s">
        <v>4603</v>
      </c>
    </row>
    <row r="1187" customFormat="false" ht="15" hidden="false" customHeight="false" outlineLevel="0" collapsed="false">
      <c r="A1187" s="15" t="s">
        <v>4618</v>
      </c>
      <c r="B1187" s="15" t="s">
        <v>4613</v>
      </c>
      <c r="C1187" s="15" t="s">
        <v>400</v>
      </c>
      <c r="D1187" s="15" t="s">
        <v>1240</v>
      </c>
      <c r="E1187" s="15" t="s">
        <v>1271</v>
      </c>
      <c r="F1187" s="15" t="s">
        <v>3014</v>
      </c>
      <c r="G1187" s="15" t="s">
        <v>3015</v>
      </c>
      <c r="H1187" s="33" t="n">
        <f aca="false">Packages!$O$113</f>
        <v>18.0999999987461</v>
      </c>
      <c r="I1187" s="15" t="s">
        <v>118</v>
      </c>
      <c r="J1187" s="34" t="n">
        <f aca="false">IF(Packages!$AG$113=0,0,ROUNDUP(Packages!$O$113/R_DW,0)+DW_DRAW)</f>
        <v>8</v>
      </c>
      <c r="K1187" s="34" t="n">
        <f aca="false">IF(J1187=0,0,ROUNDUP(J1187*7/WD,0))</f>
        <v>10</v>
      </c>
      <c r="L1187" s="15" t="s">
        <v>4617</v>
      </c>
      <c r="M1187" s="34" t="n">
        <f aca="false">ROUNDUP(K1186*LADDER,0)</f>
        <v>1</v>
      </c>
      <c r="N1187" s="34" t="n">
        <f aca="false">IF(K1187=0,0,FFLAG)</f>
        <v>2</v>
      </c>
      <c r="O1187" s="15" t="s">
        <v>4619</v>
      </c>
      <c r="P1187" s="16" t="n">
        <f aca="false">MAX(P1186+M1187,Q1177-K1187)</f>
        <v>46390</v>
      </c>
      <c r="Q1187" s="16" t="n">
        <f aca="false">MAX(P1187+K1187,Q1186+N1187)</f>
        <v>46400</v>
      </c>
      <c r="R1187" s="12"/>
      <c r="S1187" s="12"/>
    </row>
    <row r="1188" customFormat="false" ht="15" hidden="false" customHeight="false" outlineLevel="0" collapsed="false">
      <c r="A1188" s="15" t="s">
        <v>4620</v>
      </c>
      <c r="B1188" s="15" t="s">
        <v>4613</v>
      </c>
      <c r="C1188" s="15" t="s">
        <v>400</v>
      </c>
      <c r="D1188" s="15" t="s">
        <v>1240</v>
      </c>
      <c r="E1188" s="15" t="s">
        <v>1271</v>
      </c>
      <c r="F1188" s="15" t="s">
        <v>3017</v>
      </c>
      <c r="G1188" s="15" t="s">
        <v>3018</v>
      </c>
      <c r="H1188" s="33" t="n">
        <f aca="false">Packages!$X$113+Packages!$Y$113</f>
        <v>506.87888518508</v>
      </c>
      <c r="I1188" s="15" t="s">
        <v>3019</v>
      </c>
      <c r="J1188" s="34" t="n">
        <f aca="false">MAX(1,ROUNDUP((Packages!$X$113/R_EXS+Packages!$Y$113/R_EXO)/Fronts!$J$10,0))</f>
        <v>3</v>
      </c>
      <c r="K1188" s="34" t="n">
        <f aca="false">IF(J1188=0,0,ROUNDUP(J1188*7/WD,0))</f>
        <v>4</v>
      </c>
      <c r="L1188" s="15" t="s">
        <v>4618</v>
      </c>
      <c r="M1188" s="34" t="n">
        <f aca="false">IF(K1187=0,0,ROUNDUP((K1187-ROUNDUP(DW_DRAW*7/WD,0))*LADDER,0)+ROUNDUP(DW_DRAW*7/WD,0))</f>
        <v>10</v>
      </c>
      <c r="N1188" s="34" t="n">
        <f aca="false">IF(K1188=0,0,FFLAG)</f>
        <v>2</v>
      </c>
      <c r="O1188" s="15"/>
      <c r="P1188" s="16" t="n">
        <f aca="false">MAX(P1187+M1188,R1177)</f>
        <v>46400</v>
      </c>
      <c r="Q1188" s="16" t="n">
        <f aca="false">MAX(P1188+K1188,Q1187+N1188)</f>
        <v>46404</v>
      </c>
      <c r="R1188" s="16" t="n">
        <f aca="false">IF(K1188&gt;0,Q1188,R1177)</f>
        <v>46404</v>
      </c>
      <c r="S1188" s="15" t="s">
        <v>4606</v>
      </c>
    </row>
    <row r="1189" customFormat="false" ht="15" hidden="false" customHeight="false" outlineLevel="0" collapsed="false">
      <c r="A1189" s="15" t="s">
        <v>4621</v>
      </c>
      <c r="B1189" s="15" t="s">
        <v>4613</v>
      </c>
      <c r="C1189" s="15" t="s">
        <v>400</v>
      </c>
      <c r="D1189" s="15" t="s">
        <v>1240</v>
      </c>
      <c r="E1189" s="15" t="s">
        <v>1271</v>
      </c>
      <c r="F1189" s="15" t="s">
        <v>3022</v>
      </c>
      <c r="G1189" s="15" t="s">
        <v>3023</v>
      </c>
      <c r="H1189" s="33" t="n">
        <f aca="false">Packages!$O$113</f>
        <v>18.0999999987461</v>
      </c>
      <c r="I1189" s="15" t="s">
        <v>118</v>
      </c>
      <c r="J1189" s="34" t="n">
        <f aca="false">MAX(1,ROUNDUP(Packages!$O$113/(R_SLAB*Fronts!$K$10),0))+SLAB_CURE</f>
        <v>5</v>
      </c>
      <c r="K1189" s="34" t="n">
        <f aca="false">IF(J1189=0,0,ROUNDUP(J1189*7/WD,0))</f>
        <v>6</v>
      </c>
      <c r="L1189" s="15" t="s">
        <v>4620</v>
      </c>
      <c r="M1189" s="34" t="n">
        <f aca="false">ROUNDUP(K1188*LADDER,0)</f>
        <v>2</v>
      </c>
      <c r="N1189" s="34" t="n">
        <f aca="false">IF(K1189=0,0,FFLAG)</f>
        <v>2</v>
      </c>
      <c r="O1189" s="15"/>
      <c r="P1189" s="16" t="n">
        <f aca="false">MAX(P1188+M1189,R1178)</f>
        <v>46407</v>
      </c>
      <c r="Q1189" s="16" t="n">
        <f aca="false">MAX(P1189+K1189,Q1188+N1189)</f>
        <v>46413</v>
      </c>
      <c r="R1189" s="16" t="n">
        <f aca="false">IF(K1189&gt;0,Q1189,R1178)</f>
        <v>46413</v>
      </c>
      <c r="S1189" s="15" t="s">
        <v>4607</v>
      </c>
    </row>
    <row r="1190" customFormat="false" ht="15" hidden="false" customHeight="false" outlineLevel="0" collapsed="false">
      <c r="A1190" s="15" t="s">
        <v>4622</v>
      </c>
      <c r="B1190" s="15" t="s">
        <v>4613</v>
      </c>
      <c r="C1190" s="15" t="s">
        <v>400</v>
      </c>
      <c r="D1190" s="15" t="s">
        <v>1240</v>
      </c>
      <c r="E1190" s="15" t="s">
        <v>1271</v>
      </c>
      <c r="F1190" s="15" t="s">
        <v>3025</v>
      </c>
      <c r="G1190" s="15" t="s">
        <v>3026</v>
      </c>
      <c r="H1190" s="33" t="n">
        <f aca="false">Packages!$O$113</f>
        <v>18.0999999987461</v>
      </c>
      <c r="I1190" s="15" t="s">
        <v>118</v>
      </c>
      <c r="J1190" s="34" t="n">
        <f aca="false">MAX(1,ROUNDUP(Packages!$O$113/(IF(Packages!$N$113&gt;=PIPE_T1,R_PIPE_L,IF(Packages!$N$113&gt;=PIPE_T2,R_PIPE_M,R_PIPE_S))*Fronts!$L$10)+Packages!$M$113*FIT_D+IF(Packages!$G$113&lt;&gt;"Run",TIE_D,0),0))</f>
        <v>1</v>
      </c>
      <c r="K1190" s="34" t="n">
        <f aca="false">IF(J1190=0,0,ROUNDUP(J1190*7/WD,0))</f>
        <v>2</v>
      </c>
      <c r="L1190" s="15" t="s">
        <v>4621</v>
      </c>
      <c r="M1190" s="34" t="n">
        <f aca="false">ROUNDUP(K1189*LADDER,0)</f>
        <v>2</v>
      </c>
      <c r="N1190" s="34" t="n">
        <f aca="false">IF(K1190=0,0,FFLAG)</f>
        <v>2</v>
      </c>
      <c r="O1190" s="15"/>
      <c r="P1190" s="16" t="n">
        <f aca="false">MAX(P1189+M1190,R1179)</f>
        <v>46409</v>
      </c>
      <c r="Q1190" s="16" t="n">
        <f aca="false">MAX(P1190+K1190,Q1189+N1190)</f>
        <v>46415</v>
      </c>
      <c r="R1190" s="16" t="n">
        <f aca="false">IF(K1190&gt;0,Q1190,R1179)</f>
        <v>46415</v>
      </c>
      <c r="S1190" s="15" t="s">
        <v>4608</v>
      </c>
    </row>
    <row r="1191" customFormat="false" ht="15" hidden="false" customHeight="false" outlineLevel="0" collapsed="false">
      <c r="A1191" s="15" t="s">
        <v>4623</v>
      </c>
      <c r="B1191" s="15" t="s">
        <v>4613</v>
      </c>
      <c r="C1191" s="15" t="s">
        <v>400</v>
      </c>
      <c r="D1191" s="15" t="s">
        <v>1240</v>
      </c>
      <c r="E1191" s="15" t="s">
        <v>1271</v>
      </c>
      <c r="F1191" s="15" t="s">
        <v>3028</v>
      </c>
      <c r="G1191" s="15" t="s">
        <v>3029</v>
      </c>
      <c r="H1191" s="33" t="n">
        <f aca="false">Packages!$O$113</f>
        <v>18.0999999987461</v>
      </c>
      <c r="I1191" s="15" t="s">
        <v>118</v>
      </c>
      <c r="J1191" s="34" t="n">
        <f aca="false">TEST_D+ROUNDUP(Packages!$O$113/R_TEST,0)</f>
        <v>3</v>
      </c>
      <c r="K1191" s="34" t="n">
        <f aca="false">IF(J1191=0,0,ROUNDUP(J1191*7/WD,0))</f>
        <v>4</v>
      </c>
      <c r="L1191" s="15" t="s">
        <v>4622</v>
      </c>
      <c r="M1191" s="34" t="n">
        <f aca="false">ROUNDUP(K1190*LADDER,0)</f>
        <v>1</v>
      </c>
      <c r="N1191" s="34" t="n">
        <f aca="false">IF(K1191=0,0,FFLAG)</f>
        <v>2</v>
      </c>
      <c r="O1191" s="15"/>
      <c r="P1191" s="16" t="n">
        <f aca="false">MAX(P1190+M1191)</f>
        <v>46410</v>
      </c>
      <c r="Q1191" s="16" t="n">
        <f aca="false">MAX(P1191+K1191,Q1190+N1191)</f>
        <v>46417</v>
      </c>
      <c r="R1191" s="12"/>
      <c r="S1191" s="12"/>
    </row>
    <row r="1192" customFormat="false" ht="15" hidden="false" customHeight="false" outlineLevel="0" collapsed="false">
      <c r="A1192" s="15" t="s">
        <v>4624</v>
      </c>
      <c r="B1192" s="15" t="s">
        <v>4613</v>
      </c>
      <c r="C1192" s="15" t="s">
        <v>400</v>
      </c>
      <c r="D1192" s="15" t="s">
        <v>1240</v>
      </c>
      <c r="E1192" s="15" t="s">
        <v>1271</v>
      </c>
      <c r="F1192" s="15" t="s">
        <v>3031</v>
      </c>
      <c r="G1192" s="15" t="s">
        <v>3032</v>
      </c>
      <c r="H1192" s="33" t="n">
        <f aca="false">Packages!$AB$113</f>
        <v>418.209662241915</v>
      </c>
      <c r="I1192" s="15" t="s">
        <v>3019</v>
      </c>
      <c r="J1192" s="34" t="n">
        <f aca="false">MAX(1,ROUNDUP(Packages!$AB$113/(R_BF*Fronts!$M$10),0))</f>
        <v>2</v>
      </c>
      <c r="K1192" s="34" t="n">
        <f aca="false">IF(J1192=0,0,ROUNDUP(J1192*7/WD,0))</f>
        <v>3</v>
      </c>
      <c r="L1192" s="15" t="s">
        <v>4623</v>
      </c>
      <c r="M1192" s="34" t="n">
        <f aca="false">ROUNDUP(K1191*LADDER,0)</f>
        <v>2</v>
      </c>
      <c r="N1192" s="34" t="n">
        <f aca="false">IF(K1192=0,0,FFLAG)</f>
        <v>2</v>
      </c>
      <c r="O1192" s="15"/>
      <c r="P1192" s="16" t="n">
        <f aca="false">MAX(P1191+M1192,R1181)</f>
        <v>46413</v>
      </c>
      <c r="Q1192" s="16" t="n">
        <f aca="false">MAX(P1192+K1192,Q1191+N1192)</f>
        <v>46419</v>
      </c>
      <c r="R1192" s="16" t="n">
        <f aca="false">IF(K1192&gt;0,Q1192,R1181)</f>
        <v>46419</v>
      </c>
      <c r="S1192" s="15" t="s">
        <v>4610</v>
      </c>
    </row>
    <row r="1193" customFormat="false" ht="15" hidden="false" customHeight="false" outlineLevel="0" collapsed="false">
      <c r="A1193" s="15" t="s">
        <v>4625</v>
      </c>
      <c r="B1193" s="15" t="s">
        <v>4613</v>
      </c>
      <c r="C1193" s="15" t="s">
        <v>400</v>
      </c>
      <c r="D1193" s="15" t="s">
        <v>1240</v>
      </c>
      <c r="E1193" s="15" t="s">
        <v>1271</v>
      </c>
      <c r="F1193" s="15" t="s">
        <v>3034</v>
      </c>
      <c r="G1193" s="15" t="s">
        <v>3035</v>
      </c>
      <c r="H1193" s="33" t="n">
        <f aca="false">Packages!$AD$113</f>
        <v>36.1999999974921</v>
      </c>
      <c r="I1193" s="15" t="s">
        <v>3012</v>
      </c>
      <c r="J1193" s="34" t="n">
        <f aca="false">IF(Packages!$AD$113&gt;0,ROUNDUP(Packages!$AD$113/R_EXT,0),0)+IF(Packages!$AG$113&gt;0,1,0)</f>
        <v>2</v>
      </c>
      <c r="K1193" s="34" t="n">
        <f aca="false">IF(J1193=0,0,ROUNDUP(J1193*7/WD,0))</f>
        <v>3</v>
      </c>
      <c r="L1193" s="15" t="s">
        <v>4624</v>
      </c>
      <c r="M1193" s="34" t="n">
        <f aca="false">ROUNDUP(K1192*LADDER,0)</f>
        <v>1</v>
      </c>
      <c r="N1193" s="34" t="n">
        <f aca="false">IF(K1193=0,0,FFLAG)</f>
        <v>2</v>
      </c>
      <c r="O1193" s="15"/>
      <c r="P1193" s="16" t="n">
        <f aca="false">MAX(P1192+M1193)</f>
        <v>46414</v>
      </c>
      <c r="Q1193" s="16" t="n">
        <f aca="false">MAX(P1193+K1193,Q1192+N1193)</f>
        <v>46421</v>
      </c>
      <c r="R1193" s="12"/>
      <c r="S1193" s="12"/>
    </row>
    <row r="1194" customFormat="false" ht="15" hidden="false" customHeight="false" outlineLevel="0" collapsed="false">
      <c r="A1194" s="15" t="s">
        <v>4626</v>
      </c>
      <c r="B1194" s="15" t="s">
        <v>4627</v>
      </c>
      <c r="C1194" s="15" t="s">
        <v>400</v>
      </c>
      <c r="D1194" s="15" t="s">
        <v>1240</v>
      </c>
      <c r="E1194" s="15" t="s">
        <v>1262</v>
      </c>
      <c r="F1194" s="15" t="s">
        <v>2998</v>
      </c>
      <c r="G1194" s="15" t="s">
        <v>2999</v>
      </c>
      <c r="H1194" s="12"/>
      <c r="I1194" s="12"/>
      <c r="J1194" s="34" t="n">
        <f aca="false">0</f>
        <v>0</v>
      </c>
      <c r="K1194" s="34" t="n">
        <f aca="false">IF(J1194=0,0,ROUNDUP(J1194*7/WD,0))</f>
        <v>0</v>
      </c>
      <c r="L1194" s="12"/>
      <c r="M1194" s="12"/>
      <c r="N1194" s="12"/>
      <c r="O1194" s="15" t="s">
        <v>3000</v>
      </c>
      <c r="P1194" s="16" t="n">
        <f aca="false">MAX(START,D_DLU,Packages!$I$114,Packages!$K$114)</f>
        <v>46357</v>
      </c>
      <c r="Q1194" s="16" t="n">
        <f aca="false">P1194+K1194</f>
        <v>46357</v>
      </c>
      <c r="R1194" s="12"/>
      <c r="S1194" s="12"/>
    </row>
    <row r="1195" customFormat="false" ht="15" hidden="false" customHeight="false" outlineLevel="0" collapsed="false">
      <c r="A1195" s="15" t="s">
        <v>4628</v>
      </c>
      <c r="B1195" s="15" t="s">
        <v>4627</v>
      </c>
      <c r="C1195" s="15" t="s">
        <v>400</v>
      </c>
      <c r="D1195" s="15" t="s">
        <v>1240</v>
      </c>
      <c r="E1195" s="15" t="s">
        <v>1262</v>
      </c>
      <c r="F1195" s="15" t="s">
        <v>3002</v>
      </c>
      <c r="G1195" s="15" t="s">
        <v>205</v>
      </c>
      <c r="H1195" s="33" t="n">
        <f aca="false">Packages!$O$114</f>
        <v>23.1000000005952</v>
      </c>
      <c r="I1195" s="15" t="s">
        <v>118</v>
      </c>
      <c r="J1195" s="34" t="n">
        <f aca="false">MAX(1,ROUNDUP(Packages!$O$114/R_PLAT,0))</f>
        <v>1</v>
      </c>
      <c r="K1195" s="34" t="n">
        <f aca="false">IF(J1195=0,0,ROUNDUP(J1195*7/WD,0))</f>
        <v>2</v>
      </c>
      <c r="L1195" s="15" t="s">
        <v>4626</v>
      </c>
      <c r="M1195" s="12"/>
      <c r="N1195" s="12"/>
      <c r="O1195" s="15" t="s">
        <v>4629</v>
      </c>
      <c r="P1195" s="16" t="n">
        <f aca="false">MAX(Q1194,P1185)</f>
        <v>46386</v>
      </c>
      <c r="Q1195" s="16" t="n">
        <f aca="false">P1195+K1195</f>
        <v>46388</v>
      </c>
      <c r="R1195" s="12"/>
      <c r="S1195" s="12"/>
    </row>
    <row r="1196" customFormat="false" ht="15" hidden="false" customHeight="false" outlineLevel="0" collapsed="false">
      <c r="A1196" s="15" t="s">
        <v>4630</v>
      </c>
      <c r="B1196" s="15" t="s">
        <v>4627</v>
      </c>
      <c r="C1196" s="15" t="s">
        <v>400</v>
      </c>
      <c r="D1196" s="15" t="s">
        <v>1240</v>
      </c>
      <c r="E1196" s="15" t="s">
        <v>1262</v>
      </c>
      <c r="F1196" s="15" t="s">
        <v>3005</v>
      </c>
      <c r="G1196" s="15" t="s">
        <v>3006</v>
      </c>
      <c r="H1196" s="33" t="n">
        <f aca="false">Packages!$AC$114</f>
        <v>18</v>
      </c>
      <c r="I1196" s="15" t="s">
        <v>3007</v>
      </c>
      <c r="J1196" s="34" t="n">
        <f aca="false">IF(Packages!$AC$114=0,0,MAX(1,ROUNDUP(Packages!$AC$114/(R_PILE*Fronts!$H$10),0)))</f>
        <v>4</v>
      </c>
      <c r="K1196" s="34" t="n">
        <f aca="false">IF(J1196=0,0,ROUNDUP(J1196*7/WD,0))</f>
        <v>5</v>
      </c>
      <c r="L1196" s="15" t="s">
        <v>4628</v>
      </c>
      <c r="M1196" s="34" t="n">
        <f aca="false">ROUNDUP(K1195*LADDER,0)</f>
        <v>1</v>
      </c>
      <c r="N1196" s="34" t="n">
        <f aca="false">IF(K1196=0,0,FFLAG)</f>
        <v>2</v>
      </c>
      <c r="O1196" s="15" t="s">
        <v>3008</v>
      </c>
      <c r="P1196" s="16" t="n">
        <f aca="false">MAX(P1195+M1196,D_PILEDES,R1185)</f>
        <v>46391</v>
      </c>
      <c r="Q1196" s="16" t="n">
        <f aca="false">MAX(P1196+K1196,Q1195+N1196)</f>
        <v>46396</v>
      </c>
      <c r="R1196" s="16" t="n">
        <f aca="false">IF(K1196&gt;0,Q1196,R1185)</f>
        <v>46396</v>
      </c>
      <c r="S1196" s="15" t="s">
        <v>4616</v>
      </c>
    </row>
    <row r="1197" customFormat="false" ht="15" hidden="false" customHeight="false" outlineLevel="0" collapsed="false">
      <c r="A1197" s="15" t="s">
        <v>4631</v>
      </c>
      <c r="B1197" s="15" t="s">
        <v>4627</v>
      </c>
      <c r="C1197" s="15" t="s">
        <v>400</v>
      </c>
      <c r="D1197" s="15" t="s">
        <v>1240</v>
      </c>
      <c r="E1197" s="15" t="s">
        <v>1262</v>
      </c>
      <c r="F1197" s="15" t="s">
        <v>3010</v>
      </c>
      <c r="G1197" s="15" t="s">
        <v>3011</v>
      </c>
      <c r="H1197" s="33" t="n">
        <f aca="false">Packages!$AD$114</f>
        <v>46.2000000011904</v>
      </c>
      <c r="I1197" s="15" t="s">
        <v>3012</v>
      </c>
      <c r="J1197" s="34" t="n">
        <f aca="false">IF(Packages!$AD$114=0,0,MAX(1,ROUNDUP(Packages!$AD$114/(R_SHEET*Fronts!$I$10),0)))</f>
        <v>2</v>
      </c>
      <c r="K1197" s="34" t="n">
        <f aca="false">IF(J1197=0,0,ROUNDUP(J1197*7/WD,0))</f>
        <v>3</v>
      </c>
      <c r="L1197" s="15" t="s">
        <v>4630</v>
      </c>
      <c r="M1197" s="34" t="n">
        <f aca="false">ROUNDUP(K1196*LADDER,0)</f>
        <v>2</v>
      </c>
      <c r="N1197" s="34" t="n">
        <f aca="false">IF(K1197=0,0,FFLAG)</f>
        <v>2</v>
      </c>
      <c r="O1197" s="15"/>
      <c r="P1197" s="16" t="n">
        <f aca="false">MAX(P1196+M1197,R1186)</f>
        <v>46393</v>
      </c>
      <c r="Q1197" s="16" t="n">
        <f aca="false">MAX(P1197+K1197,Q1196+N1197)</f>
        <v>46398</v>
      </c>
      <c r="R1197" s="16" t="n">
        <f aca="false">IF(K1197&gt;0,Q1197,R1186)</f>
        <v>46398</v>
      </c>
      <c r="S1197" s="15" t="s">
        <v>4617</v>
      </c>
    </row>
    <row r="1198" customFormat="false" ht="15" hidden="false" customHeight="false" outlineLevel="0" collapsed="false">
      <c r="A1198" s="15" t="s">
        <v>4632</v>
      </c>
      <c r="B1198" s="15" t="s">
        <v>4627</v>
      </c>
      <c r="C1198" s="15" t="s">
        <v>400</v>
      </c>
      <c r="D1198" s="15" t="s">
        <v>1240</v>
      </c>
      <c r="E1198" s="15" t="s">
        <v>1262</v>
      </c>
      <c r="F1198" s="15" t="s">
        <v>3014</v>
      </c>
      <c r="G1198" s="15" t="s">
        <v>3015</v>
      </c>
      <c r="H1198" s="33" t="n">
        <f aca="false">Packages!$O$114</f>
        <v>23.1000000005952</v>
      </c>
      <c r="I1198" s="15" t="s">
        <v>118</v>
      </c>
      <c r="J1198" s="34" t="n">
        <f aca="false">IF(Packages!$AG$114=0,0,ROUNDUP(Packages!$O$114/R_DW,0)+DW_DRAW)</f>
        <v>8</v>
      </c>
      <c r="K1198" s="34" t="n">
        <f aca="false">IF(J1198=0,0,ROUNDUP(J1198*7/WD,0))</f>
        <v>10</v>
      </c>
      <c r="L1198" s="15" t="s">
        <v>4631</v>
      </c>
      <c r="M1198" s="34" t="n">
        <f aca="false">ROUNDUP(K1197*LADDER,0)</f>
        <v>1</v>
      </c>
      <c r="N1198" s="34" t="n">
        <f aca="false">IF(K1198=0,0,FFLAG)</f>
        <v>2</v>
      </c>
      <c r="O1198" s="15" t="s">
        <v>4633</v>
      </c>
      <c r="P1198" s="16" t="n">
        <f aca="false">MAX(P1197+M1198,Q1188-K1198)</f>
        <v>46394</v>
      </c>
      <c r="Q1198" s="16" t="n">
        <f aca="false">MAX(P1198+K1198,Q1197+N1198)</f>
        <v>46404</v>
      </c>
      <c r="R1198" s="12"/>
      <c r="S1198" s="12"/>
    </row>
    <row r="1199" customFormat="false" ht="15" hidden="false" customHeight="false" outlineLevel="0" collapsed="false">
      <c r="A1199" s="15" t="s">
        <v>4634</v>
      </c>
      <c r="B1199" s="15" t="s">
        <v>4627</v>
      </c>
      <c r="C1199" s="15" t="s">
        <v>400</v>
      </c>
      <c r="D1199" s="15" t="s">
        <v>1240</v>
      </c>
      <c r="E1199" s="15" t="s">
        <v>1262</v>
      </c>
      <c r="F1199" s="15" t="s">
        <v>3017</v>
      </c>
      <c r="G1199" s="15" t="s">
        <v>3018</v>
      </c>
      <c r="H1199" s="33" t="n">
        <f aca="false">Packages!$X$114+Packages!$Y$114</f>
        <v>646.432839143945</v>
      </c>
      <c r="I1199" s="15" t="s">
        <v>3019</v>
      </c>
      <c r="J1199" s="34" t="n">
        <f aca="false">MAX(1,ROUNDUP((Packages!$X$114/R_EXS+Packages!$Y$114/R_EXO)/Fronts!$J$10,0))</f>
        <v>3</v>
      </c>
      <c r="K1199" s="34" t="n">
        <f aca="false">IF(J1199=0,0,ROUNDUP(J1199*7/WD,0))</f>
        <v>4</v>
      </c>
      <c r="L1199" s="15" t="s">
        <v>4632</v>
      </c>
      <c r="M1199" s="34" t="n">
        <f aca="false">IF(K1198=0,0,ROUNDUP((K1198-ROUNDUP(DW_DRAW*7/WD,0))*LADDER,0)+ROUNDUP(DW_DRAW*7/WD,0))</f>
        <v>10</v>
      </c>
      <c r="N1199" s="34" t="n">
        <f aca="false">IF(K1199=0,0,FFLAG)</f>
        <v>2</v>
      </c>
      <c r="O1199" s="15"/>
      <c r="P1199" s="16" t="n">
        <f aca="false">MAX(P1198+M1199,R1188)</f>
        <v>46404</v>
      </c>
      <c r="Q1199" s="16" t="n">
        <f aca="false">MAX(P1199+K1199,Q1198+N1199)</f>
        <v>46408</v>
      </c>
      <c r="R1199" s="16" t="n">
        <f aca="false">IF(K1199&gt;0,Q1199,R1188)</f>
        <v>46408</v>
      </c>
      <c r="S1199" s="15" t="s">
        <v>4620</v>
      </c>
    </row>
    <row r="1200" customFormat="false" ht="15" hidden="false" customHeight="false" outlineLevel="0" collapsed="false">
      <c r="A1200" s="15" t="s">
        <v>4635</v>
      </c>
      <c r="B1200" s="15" t="s">
        <v>4627</v>
      </c>
      <c r="C1200" s="15" t="s">
        <v>400</v>
      </c>
      <c r="D1200" s="15" t="s">
        <v>1240</v>
      </c>
      <c r="E1200" s="15" t="s">
        <v>1262</v>
      </c>
      <c r="F1200" s="15" t="s">
        <v>3022</v>
      </c>
      <c r="G1200" s="15" t="s">
        <v>3023</v>
      </c>
      <c r="H1200" s="33" t="n">
        <f aca="false">Packages!$O$114</f>
        <v>23.1000000005952</v>
      </c>
      <c r="I1200" s="15" t="s">
        <v>118</v>
      </c>
      <c r="J1200" s="34" t="n">
        <f aca="false">MAX(1,ROUNDUP(Packages!$O$114/(R_SLAB*Fronts!$K$10),0))+SLAB_CURE</f>
        <v>5</v>
      </c>
      <c r="K1200" s="34" t="n">
        <f aca="false">IF(J1200=0,0,ROUNDUP(J1200*7/WD,0))</f>
        <v>6</v>
      </c>
      <c r="L1200" s="15" t="s">
        <v>4634</v>
      </c>
      <c r="M1200" s="34" t="n">
        <f aca="false">ROUNDUP(K1199*LADDER,0)</f>
        <v>2</v>
      </c>
      <c r="N1200" s="34" t="n">
        <f aca="false">IF(K1200=0,0,FFLAG)</f>
        <v>2</v>
      </c>
      <c r="O1200" s="15"/>
      <c r="P1200" s="16" t="n">
        <f aca="false">MAX(P1199+M1200,R1189)</f>
        <v>46413</v>
      </c>
      <c r="Q1200" s="16" t="n">
        <f aca="false">MAX(P1200+K1200,Q1199+N1200)</f>
        <v>46419</v>
      </c>
      <c r="R1200" s="16" t="n">
        <f aca="false">IF(K1200&gt;0,Q1200,R1189)</f>
        <v>46419</v>
      </c>
      <c r="S1200" s="15" t="s">
        <v>4621</v>
      </c>
    </row>
    <row r="1201" customFormat="false" ht="15" hidden="false" customHeight="false" outlineLevel="0" collapsed="false">
      <c r="A1201" s="15" t="s">
        <v>4636</v>
      </c>
      <c r="B1201" s="15" t="s">
        <v>4627</v>
      </c>
      <c r="C1201" s="15" t="s">
        <v>400</v>
      </c>
      <c r="D1201" s="15" t="s">
        <v>1240</v>
      </c>
      <c r="E1201" s="15" t="s">
        <v>1262</v>
      </c>
      <c r="F1201" s="15" t="s">
        <v>3025</v>
      </c>
      <c r="G1201" s="15" t="s">
        <v>3026</v>
      </c>
      <c r="H1201" s="33" t="n">
        <f aca="false">Packages!$O$114</f>
        <v>23.1000000005952</v>
      </c>
      <c r="I1201" s="15" t="s">
        <v>118</v>
      </c>
      <c r="J1201" s="34" t="n">
        <f aca="false">MAX(1,ROUNDUP(Packages!$O$114/(IF(Packages!$N$114&gt;=PIPE_T1,R_PIPE_L,IF(Packages!$N$114&gt;=PIPE_T2,R_PIPE_M,R_PIPE_S))*Fronts!$L$10)+Packages!$M$114*FIT_D+IF(Packages!$G$114&lt;&gt;"Run",TIE_D,0),0))</f>
        <v>2</v>
      </c>
      <c r="K1201" s="34" t="n">
        <f aca="false">IF(J1201=0,0,ROUNDUP(J1201*7/WD,0))</f>
        <v>3</v>
      </c>
      <c r="L1201" s="15" t="s">
        <v>4635</v>
      </c>
      <c r="M1201" s="34" t="n">
        <f aca="false">ROUNDUP(K1200*LADDER,0)</f>
        <v>2</v>
      </c>
      <c r="N1201" s="34" t="n">
        <f aca="false">IF(K1201=0,0,FFLAG)</f>
        <v>2</v>
      </c>
      <c r="O1201" s="15"/>
      <c r="P1201" s="16" t="n">
        <f aca="false">MAX(P1200+M1201,R1190)</f>
        <v>46415</v>
      </c>
      <c r="Q1201" s="16" t="n">
        <f aca="false">MAX(P1201+K1201,Q1200+N1201)</f>
        <v>46421</v>
      </c>
      <c r="R1201" s="16" t="n">
        <f aca="false">IF(K1201&gt;0,Q1201,R1190)</f>
        <v>46421</v>
      </c>
      <c r="S1201" s="15" t="s">
        <v>4622</v>
      </c>
    </row>
    <row r="1202" customFormat="false" ht="15" hidden="false" customHeight="false" outlineLevel="0" collapsed="false">
      <c r="A1202" s="15" t="s">
        <v>4637</v>
      </c>
      <c r="B1202" s="15" t="s">
        <v>4627</v>
      </c>
      <c r="C1202" s="15" t="s">
        <v>400</v>
      </c>
      <c r="D1202" s="15" t="s">
        <v>1240</v>
      </c>
      <c r="E1202" s="15" t="s">
        <v>1262</v>
      </c>
      <c r="F1202" s="15" t="s">
        <v>3028</v>
      </c>
      <c r="G1202" s="15" t="s">
        <v>3029</v>
      </c>
      <c r="H1202" s="33" t="n">
        <f aca="false">Packages!$O$114</f>
        <v>23.1000000005952</v>
      </c>
      <c r="I1202" s="15" t="s">
        <v>118</v>
      </c>
      <c r="J1202" s="34" t="n">
        <f aca="false">TEST_D+ROUNDUP(Packages!$O$114/R_TEST,0)</f>
        <v>3</v>
      </c>
      <c r="K1202" s="34" t="n">
        <f aca="false">IF(J1202=0,0,ROUNDUP(J1202*7/WD,0))</f>
        <v>4</v>
      </c>
      <c r="L1202" s="15" t="s">
        <v>4636</v>
      </c>
      <c r="M1202" s="34" t="n">
        <f aca="false">ROUNDUP(K1201*LADDER,0)</f>
        <v>1</v>
      </c>
      <c r="N1202" s="34" t="n">
        <f aca="false">IF(K1202=0,0,FFLAG)</f>
        <v>2</v>
      </c>
      <c r="O1202" s="15"/>
      <c r="P1202" s="16" t="n">
        <f aca="false">MAX(P1201+M1202)</f>
        <v>46416</v>
      </c>
      <c r="Q1202" s="16" t="n">
        <f aca="false">MAX(P1202+K1202,Q1201+N1202)</f>
        <v>46423</v>
      </c>
      <c r="R1202" s="12"/>
      <c r="S1202" s="12"/>
    </row>
    <row r="1203" customFormat="false" ht="15" hidden="false" customHeight="false" outlineLevel="0" collapsed="false">
      <c r="A1203" s="15" t="s">
        <v>4638</v>
      </c>
      <c r="B1203" s="15" t="s">
        <v>4627</v>
      </c>
      <c r="C1203" s="15" t="s">
        <v>400</v>
      </c>
      <c r="D1203" s="15" t="s">
        <v>1240</v>
      </c>
      <c r="E1203" s="15" t="s">
        <v>1262</v>
      </c>
      <c r="F1203" s="15" t="s">
        <v>3031</v>
      </c>
      <c r="G1203" s="15" t="s">
        <v>3032</v>
      </c>
      <c r="H1203" s="33" t="n">
        <f aca="false">Packages!$AB$114</f>
        <v>533.269355708487</v>
      </c>
      <c r="I1203" s="15" t="s">
        <v>3019</v>
      </c>
      <c r="J1203" s="34" t="n">
        <f aca="false">MAX(1,ROUNDUP(Packages!$AB$114/(R_BF*Fronts!$M$10),0))</f>
        <v>2</v>
      </c>
      <c r="K1203" s="34" t="n">
        <f aca="false">IF(J1203=0,0,ROUNDUP(J1203*7/WD,0))</f>
        <v>3</v>
      </c>
      <c r="L1203" s="15" t="s">
        <v>4637</v>
      </c>
      <c r="M1203" s="34" t="n">
        <f aca="false">ROUNDUP(K1202*LADDER,0)</f>
        <v>2</v>
      </c>
      <c r="N1203" s="34" t="n">
        <f aca="false">IF(K1203=0,0,FFLAG)</f>
        <v>2</v>
      </c>
      <c r="O1203" s="15"/>
      <c r="P1203" s="16" t="n">
        <f aca="false">MAX(P1202+M1203,R1192)</f>
        <v>46419</v>
      </c>
      <c r="Q1203" s="16" t="n">
        <f aca="false">MAX(P1203+K1203,Q1202+N1203)</f>
        <v>46425</v>
      </c>
      <c r="R1203" s="16" t="n">
        <f aca="false">IF(K1203&gt;0,Q1203,R1192)</f>
        <v>46425</v>
      </c>
      <c r="S1203" s="15" t="s">
        <v>4624</v>
      </c>
    </row>
    <row r="1204" customFormat="false" ht="15" hidden="false" customHeight="false" outlineLevel="0" collapsed="false">
      <c r="A1204" s="15" t="s">
        <v>4639</v>
      </c>
      <c r="B1204" s="15" t="s">
        <v>4627</v>
      </c>
      <c r="C1204" s="15" t="s">
        <v>400</v>
      </c>
      <c r="D1204" s="15" t="s">
        <v>1240</v>
      </c>
      <c r="E1204" s="15" t="s">
        <v>1262</v>
      </c>
      <c r="F1204" s="15" t="s">
        <v>3034</v>
      </c>
      <c r="G1204" s="15" t="s">
        <v>3035</v>
      </c>
      <c r="H1204" s="33" t="n">
        <f aca="false">Packages!$AD$114</f>
        <v>46.2000000011904</v>
      </c>
      <c r="I1204" s="15" t="s">
        <v>3012</v>
      </c>
      <c r="J1204" s="34" t="n">
        <f aca="false">IF(Packages!$AD$114&gt;0,ROUNDUP(Packages!$AD$114/R_EXT,0),0)+IF(Packages!$AG$114&gt;0,1,0)</f>
        <v>2</v>
      </c>
      <c r="K1204" s="34" t="n">
        <f aca="false">IF(J1204=0,0,ROUNDUP(J1204*7/WD,0))</f>
        <v>3</v>
      </c>
      <c r="L1204" s="15" t="s">
        <v>4638</v>
      </c>
      <c r="M1204" s="34" t="n">
        <f aca="false">ROUNDUP(K1203*LADDER,0)</f>
        <v>1</v>
      </c>
      <c r="N1204" s="34" t="n">
        <f aca="false">IF(K1204=0,0,FFLAG)</f>
        <v>2</v>
      </c>
      <c r="O1204" s="15"/>
      <c r="P1204" s="16" t="n">
        <f aca="false">MAX(P1203+M1204)</f>
        <v>46420</v>
      </c>
      <c r="Q1204" s="16" t="n">
        <f aca="false">MAX(P1204+K1204,Q1203+N1204)</f>
        <v>46427</v>
      </c>
      <c r="R1204" s="12"/>
      <c r="S1204" s="12"/>
    </row>
    <row r="1205" customFormat="false" ht="15" hidden="false" customHeight="false" outlineLevel="0" collapsed="false">
      <c r="A1205" s="15" t="s">
        <v>4640</v>
      </c>
      <c r="B1205" s="15" t="s">
        <v>4641</v>
      </c>
      <c r="C1205" s="15" t="s">
        <v>400</v>
      </c>
      <c r="D1205" s="15" t="s">
        <v>2066</v>
      </c>
      <c r="E1205" s="15" t="s">
        <v>2123</v>
      </c>
      <c r="F1205" s="15" t="s">
        <v>2998</v>
      </c>
      <c r="G1205" s="15" t="s">
        <v>2999</v>
      </c>
      <c r="H1205" s="12"/>
      <c r="I1205" s="12"/>
      <c r="J1205" s="34" t="n">
        <f aca="false">0</f>
        <v>0</v>
      </c>
      <c r="K1205" s="34" t="n">
        <f aca="false">IF(J1205=0,0,ROUNDUP(J1205*7/WD,0))</f>
        <v>0</v>
      </c>
      <c r="L1205" s="12"/>
      <c r="M1205" s="12"/>
      <c r="N1205" s="12"/>
      <c r="O1205" s="15" t="s">
        <v>3000</v>
      </c>
      <c r="P1205" s="16" t="n">
        <f aca="false">MAX(START,D_DLU,Packages!$I$115,Packages!$K$115)</f>
        <v>46357</v>
      </c>
      <c r="Q1205" s="16" t="n">
        <f aca="false">P1205+K1205</f>
        <v>46357</v>
      </c>
      <c r="R1205" s="12"/>
      <c r="S1205" s="12"/>
    </row>
    <row r="1206" customFormat="false" ht="15" hidden="false" customHeight="false" outlineLevel="0" collapsed="false">
      <c r="A1206" s="15" t="s">
        <v>4642</v>
      </c>
      <c r="B1206" s="15" t="s">
        <v>4641</v>
      </c>
      <c r="C1206" s="15" t="s">
        <v>400</v>
      </c>
      <c r="D1206" s="15" t="s">
        <v>2066</v>
      </c>
      <c r="E1206" s="15" t="s">
        <v>2123</v>
      </c>
      <c r="F1206" s="15" t="s">
        <v>3002</v>
      </c>
      <c r="G1206" s="15" t="s">
        <v>205</v>
      </c>
      <c r="H1206" s="33" t="n">
        <f aca="false">Packages!$O$115</f>
        <v>90.0789999992223</v>
      </c>
      <c r="I1206" s="15" t="s">
        <v>118</v>
      </c>
      <c r="J1206" s="34" t="n">
        <f aca="false">MAX(1,ROUNDUP(Packages!$O$115/R_PLAT,0))</f>
        <v>2</v>
      </c>
      <c r="K1206" s="34" t="n">
        <f aca="false">IF(J1206=0,0,ROUNDUP(J1206*7/WD,0))</f>
        <v>3</v>
      </c>
      <c r="L1206" s="15" t="s">
        <v>4640</v>
      </c>
      <c r="M1206" s="12"/>
      <c r="N1206" s="12"/>
      <c r="O1206" s="15" t="s">
        <v>4643</v>
      </c>
      <c r="P1206" s="16" t="n">
        <f aca="false">MAX(Q1205,P1196)</f>
        <v>46391</v>
      </c>
      <c r="Q1206" s="16" t="n">
        <f aca="false">P1206+K1206</f>
        <v>46394</v>
      </c>
      <c r="R1206" s="12"/>
      <c r="S1206" s="12"/>
    </row>
    <row r="1207" customFormat="false" ht="15" hidden="false" customHeight="false" outlineLevel="0" collapsed="false">
      <c r="A1207" s="15" t="s">
        <v>4644</v>
      </c>
      <c r="B1207" s="15" t="s">
        <v>4641</v>
      </c>
      <c r="C1207" s="15" t="s">
        <v>400</v>
      </c>
      <c r="D1207" s="15" t="s">
        <v>2066</v>
      </c>
      <c r="E1207" s="15" t="s">
        <v>2123</v>
      </c>
      <c r="F1207" s="15" t="s">
        <v>3005</v>
      </c>
      <c r="G1207" s="15" t="s">
        <v>3006</v>
      </c>
      <c r="H1207" s="33" t="n">
        <f aca="false">Packages!$AC$115</f>
        <v>32</v>
      </c>
      <c r="I1207" s="15" t="s">
        <v>3007</v>
      </c>
      <c r="J1207" s="34" t="n">
        <f aca="false">IF(Packages!$AC$115=0,0,MAX(1,ROUNDUP(Packages!$AC$115/(R_PILE*Fronts!$H$10),0)))</f>
        <v>7</v>
      </c>
      <c r="K1207" s="34" t="n">
        <f aca="false">IF(J1207=0,0,ROUNDUP(J1207*7/WD,0))</f>
        <v>9</v>
      </c>
      <c r="L1207" s="15" t="s">
        <v>4642</v>
      </c>
      <c r="M1207" s="34" t="n">
        <f aca="false">ROUNDUP(K1206*LADDER,0)</f>
        <v>1</v>
      </c>
      <c r="N1207" s="34" t="n">
        <f aca="false">IF(K1207=0,0,FFLAG)</f>
        <v>2</v>
      </c>
      <c r="O1207" s="15" t="s">
        <v>3008</v>
      </c>
      <c r="P1207" s="16" t="n">
        <f aca="false">MAX(P1206+M1207,D_PILEDES,R1196)</f>
        <v>46396</v>
      </c>
      <c r="Q1207" s="16" t="n">
        <f aca="false">MAX(P1207+K1207,Q1206+N1207)</f>
        <v>46405</v>
      </c>
      <c r="R1207" s="16" t="n">
        <f aca="false">IF(K1207&gt;0,Q1207,R1196)</f>
        <v>46405</v>
      </c>
      <c r="S1207" s="15" t="s">
        <v>4630</v>
      </c>
    </row>
    <row r="1208" customFormat="false" ht="15" hidden="false" customHeight="false" outlineLevel="0" collapsed="false">
      <c r="A1208" s="15" t="s">
        <v>4645</v>
      </c>
      <c r="B1208" s="15" t="s">
        <v>4641</v>
      </c>
      <c r="C1208" s="15" t="s">
        <v>400</v>
      </c>
      <c r="D1208" s="15" t="s">
        <v>2066</v>
      </c>
      <c r="E1208" s="15" t="s">
        <v>2123</v>
      </c>
      <c r="F1208" s="15" t="s">
        <v>3010</v>
      </c>
      <c r="G1208" s="15" t="s">
        <v>3011</v>
      </c>
      <c r="H1208" s="33" t="n">
        <f aca="false">Packages!$AD$115</f>
        <v>0</v>
      </c>
      <c r="I1208" s="15" t="s">
        <v>3012</v>
      </c>
      <c r="J1208" s="34" t="n">
        <f aca="false">IF(Packages!$AD$115=0,0,MAX(1,ROUNDUP(Packages!$AD$115/(R_SHEET*Fronts!$I$10),0)))</f>
        <v>0</v>
      </c>
      <c r="K1208" s="34" t="n">
        <f aca="false">IF(J1208=0,0,ROUNDUP(J1208*7/WD,0))</f>
        <v>0</v>
      </c>
      <c r="L1208" s="15" t="s">
        <v>4644</v>
      </c>
      <c r="M1208" s="34" t="n">
        <f aca="false">ROUNDUP(K1207*LADDER,0)</f>
        <v>3</v>
      </c>
      <c r="N1208" s="34" t="n">
        <f aca="false">IF(K1208=0,0,FFLAG)</f>
        <v>0</v>
      </c>
      <c r="O1208" s="15"/>
      <c r="P1208" s="16" t="n">
        <f aca="false">MAX(P1207+M1208,R1197)</f>
        <v>46399</v>
      </c>
      <c r="Q1208" s="16" t="n">
        <f aca="false">MAX(P1208+K1208,Q1207+N1208)</f>
        <v>46405</v>
      </c>
      <c r="R1208" s="16" t="n">
        <f aca="false">IF(K1208&gt;0,Q1208,R1197)</f>
        <v>46398</v>
      </c>
      <c r="S1208" s="15" t="s">
        <v>4631</v>
      </c>
    </row>
    <row r="1209" customFormat="false" ht="15" hidden="false" customHeight="false" outlineLevel="0" collapsed="false">
      <c r="A1209" s="15" t="s">
        <v>4646</v>
      </c>
      <c r="B1209" s="15" t="s">
        <v>4641</v>
      </c>
      <c r="C1209" s="15" t="s">
        <v>400</v>
      </c>
      <c r="D1209" s="15" t="s">
        <v>2066</v>
      </c>
      <c r="E1209" s="15" t="s">
        <v>2123</v>
      </c>
      <c r="F1209" s="15" t="s">
        <v>3014</v>
      </c>
      <c r="G1209" s="15" t="s">
        <v>3015</v>
      </c>
      <c r="H1209" s="33" t="n">
        <f aca="false">Packages!$O$115</f>
        <v>90.0789999992223</v>
      </c>
      <c r="I1209" s="15" t="s">
        <v>118</v>
      </c>
      <c r="J1209" s="34" t="n">
        <f aca="false">IF(Packages!$AG$115=0,0,ROUNDUP(Packages!$O$115/R_DW,0)+DW_DRAW)</f>
        <v>10</v>
      </c>
      <c r="K1209" s="34" t="n">
        <f aca="false">IF(J1209=0,0,ROUNDUP(J1209*7/WD,0))</f>
        <v>12</v>
      </c>
      <c r="L1209" s="15" t="s">
        <v>4645</v>
      </c>
      <c r="M1209" s="34" t="n">
        <f aca="false">ROUNDUP(K1208*LADDER,0)</f>
        <v>0</v>
      </c>
      <c r="N1209" s="34" t="n">
        <f aca="false">IF(K1209=0,0,FFLAG)</f>
        <v>2</v>
      </c>
      <c r="O1209" s="15" t="s">
        <v>4647</v>
      </c>
      <c r="P1209" s="16" t="n">
        <f aca="false">MAX(P1208+M1209,Q1199-K1209)</f>
        <v>46399</v>
      </c>
      <c r="Q1209" s="16" t="n">
        <f aca="false">MAX(P1209+K1209,Q1208+N1209)</f>
        <v>46411</v>
      </c>
      <c r="R1209" s="12"/>
      <c r="S1209" s="12"/>
    </row>
    <row r="1210" customFormat="false" ht="15" hidden="false" customHeight="false" outlineLevel="0" collapsed="false">
      <c r="A1210" s="15" t="s">
        <v>4648</v>
      </c>
      <c r="B1210" s="15" t="s">
        <v>4641</v>
      </c>
      <c r="C1210" s="15" t="s">
        <v>400</v>
      </c>
      <c r="D1210" s="15" t="s">
        <v>2066</v>
      </c>
      <c r="E1210" s="15" t="s">
        <v>2123</v>
      </c>
      <c r="F1210" s="15" t="s">
        <v>3017</v>
      </c>
      <c r="G1210" s="15" t="s">
        <v>3018</v>
      </c>
      <c r="H1210" s="33" t="n">
        <f aca="false">Packages!$X$115+Packages!$Y$115</f>
        <v>559.156884225967</v>
      </c>
      <c r="I1210" s="15" t="s">
        <v>3019</v>
      </c>
      <c r="J1210" s="34" t="n">
        <f aca="false">MAX(1,ROUNDUP((Packages!$X$115/R_EXS+Packages!$Y$115/R_EXO)/Fronts!$J$10,0))</f>
        <v>2</v>
      </c>
      <c r="K1210" s="34" t="n">
        <f aca="false">IF(J1210=0,0,ROUNDUP(J1210*7/WD,0))</f>
        <v>3</v>
      </c>
      <c r="L1210" s="15" t="s">
        <v>4646</v>
      </c>
      <c r="M1210" s="34" t="n">
        <f aca="false">IF(K1209=0,0,ROUNDUP((K1209-ROUNDUP(DW_DRAW*7/WD,0))*LADDER,0)+ROUNDUP(DW_DRAW*7/WD,0))</f>
        <v>10</v>
      </c>
      <c r="N1210" s="34" t="n">
        <f aca="false">IF(K1210=0,0,FFLAG)</f>
        <v>2</v>
      </c>
      <c r="O1210" s="15"/>
      <c r="P1210" s="16" t="n">
        <f aca="false">MAX(P1209+M1210,R1199)</f>
        <v>46409</v>
      </c>
      <c r="Q1210" s="16" t="n">
        <f aca="false">MAX(P1210+K1210,Q1209+N1210)</f>
        <v>46413</v>
      </c>
      <c r="R1210" s="16" t="n">
        <f aca="false">IF(K1210&gt;0,Q1210,R1199)</f>
        <v>46413</v>
      </c>
      <c r="S1210" s="15" t="s">
        <v>4634</v>
      </c>
    </row>
    <row r="1211" customFormat="false" ht="15" hidden="false" customHeight="false" outlineLevel="0" collapsed="false">
      <c r="A1211" s="15" t="s">
        <v>4649</v>
      </c>
      <c r="B1211" s="15" t="s">
        <v>4641</v>
      </c>
      <c r="C1211" s="15" t="s">
        <v>400</v>
      </c>
      <c r="D1211" s="15" t="s">
        <v>2066</v>
      </c>
      <c r="E1211" s="15" t="s">
        <v>2123</v>
      </c>
      <c r="F1211" s="15" t="s">
        <v>3022</v>
      </c>
      <c r="G1211" s="15" t="s">
        <v>3023</v>
      </c>
      <c r="H1211" s="33" t="n">
        <f aca="false">Packages!$O$115</f>
        <v>90.0789999992223</v>
      </c>
      <c r="I1211" s="15" t="s">
        <v>118</v>
      </c>
      <c r="J1211" s="34" t="n">
        <f aca="false">MAX(1,ROUNDUP(Packages!$O$115/(R_SLAB*Fronts!$K$10),0))+SLAB_CURE</f>
        <v>11</v>
      </c>
      <c r="K1211" s="34" t="n">
        <f aca="false">IF(J1211=0,0,ROUNDUP(J1211*7/WD,0))</f>
        <v>13</v>
      </c>
      <c r="L1211" s="15" t="s">
        <v>4648</v>
      </c>
      <c r="M1211" s="34" t="n">
        <f aca="false">ROUNDUP(K1210*LADDER,0)</f>
        <v>1</v>
      </c>
      <c r="N1211" s="34" t="n">
        <f aca="false">IF(K1211=0,0,FFLAG)</f>
        <v>2</v>
      </c>
      <c r="O1211" s="15"/>
      <c r="P1211" s="16" t="n">
        <f aca="false">MAX(P1210+M1211,R1200)</f>
        <v>46419</v>
      </c>
      <c r="Q1211" s="16" t="n">
        <f aca="false">MAX(P1211+K1211,Q1210+N1211)</f>
        <v>46432</v>
      </c>
      <c r="R1211" s="16" t="n">
        <f aca="false">IF(K1211&gt;0,Q1211,R1200)</f>
        <v>46432</v>
      </c>
      <c r="S1211" s="15" t="s">
        <v>4635</v>
      </c>
    </row>
    <row r="1212" customFormat="false" ht="15" hidden="false" customHeight="false" outlineLevel="0" collapsed="false">
      <c r="A1212" s="15" t="s">
        <v>4650</v>
      </c>
      <c r="B1212" s="15" t="s">
        <v>4641</v>
      </c>
      <c r="C1212" s="15" t="s">
        <v>400</v>
      </c>
      <c r="D1212" s="15" t="s">
        <v>2066</v>
      </c>
      <c r="E1212" s="15" t="s">
        <v>2123</v>
      </c>
      <c r="F1212" s="15" t="s">
        <v>3025</v>
      </c>
      <c r="G1212" s="15" t="s">
        <v>3026</v>
      </c>
      <c r="H1212" s="33" t="n">
        <f aca="false">Packages!$O$115</f>
        <v>90.0789999992223</v>
      </c>
      <c r="I1212" s="15" t="s">
        <v>118</v>
      </c>
      <c r="J1212" s="34" t="n">
        <f aca="false">MAX(1,ROUNDUP(Packages!$O$115/(IF(Packages!$N$115&gt;=PIPE_T1,R_PIPE_L,IF(Packages!$N$115&gt;=PIPE_T2,R_PIPE_M,R_PIPE_S))*Fronts!$L$10)+Packages!$M$115*FIT_D+IF(Packages!$G$115&lt;&gt;"Run",TIE_D,0),0))</f>
        <v>4</v>
      </c>
      <c r="K1212" s="34" t="n">
        <f aca="false">IF(J1212=0,0,ROUNDUP(J1212*7/WD,0))</f>
        <v>5</v>
      </c>
      <c r="L1212" s="15" t="s">
        <v>4649</v>
      </c>
      <c r="M1212" s="34" t="n">
        <f aca="false">ROUNDUP(K1211*LADDER,0)</f>
        <v>4</v>
      </c>
      <c r="N1212" s="34" t="n">
        <f aca="false">IF(K1212=0,0,FFLAG)</f>
        <v>2</v>
      </c>
      <c r="O1212" s="15"/>
      <c r="P1212" s="16" t="n">
        <f aca="false">MAX(P1211+M1212,R1201)</f>
        <v>46423</v>
      </c>
      <c r="Q1212" s="16" t="n">
        <f aca="false">MAX(P1212+K1212,Q1211+N1212)</f>
        <v>46434</v>
      </c>
      <c r="R1212" s="16" t="n">
        <f aca="false">IF(K1212&gt;0,Q1212,R1201)</f>
        <v>46434</v>
      </c>
      <c r="S1212" s="15" t="s">
        <v>4636</v>
      </c>
    </row>
    <row r="1213" customFormat="false" ht="15" hidden="false" customHeight="false" outlineLevel="0" collapsed="false">
      <c r="A1213" s="15" t="s">
        <v>4651</v>
      </c>
      <c r="B1213" s="15" t="s">
        <v>4641</v>
      </c>
      <c r="C1213" s="15" t="s">
        <v>400</v>
      </c>
      <c r="D1213" s="15" t="s">
        <v>2066</v>
      </c>
      <c r="E1213" s="15" t="s">
        <v>2123</v>
      </c>
      <c r="F1213" s="15" t="s">
        <v>3028</v>
      </c>
      <c r="G1213" s="15" t="s">
        <v>3029</v>
      </c>
      <c r="H1213" s="33" t="n">
        <f aca="false">Packages!$O$115</f>
        <v>90.0789999992223</v>
      </c>
      <c r="I1213" s="15" t="s">
        <v>118</v>
      </c>
      <c r="J1213" s="34" t="n">
        <f aca="false">TEST_D+ROUNDUP(Packages!$O$115/R_TEST,0)</f>
        <v>3</v>
      </c>
      <c r="K1213" s="34" t="n">
        <f aca="false">IF(J1213=0,0,ROUNDUP(J1213*7/WD,0))</f>
        <v>4</v>
      </c>
      <c r="L1213" s="15" t="s">
        <v>4650</v>
      </c>
      <c r="M1213" s="34" t="n">
        <f aca="false">ROUNDUP(K1212*LADDER,0)</f>
        <v>2</v>
      </c>
      <c r="N1213" s="34" t="n">
        <f aca="false">IF(K1213=0,0,FFLAG)</f>
        <v>2</v>
      </c>
      <c r="O1213" s="15"/>
      <c r="P1213" s="16" t="n">
        <f aca="false">MAX(P1212+M1213)</f>
        <v>46425</v>
      </c>
      <c r="Q1213" s="16" t="n">
        <f aca="false">MAX(P1213+K1213,Q1212+N1213)</f>
        <v>46436</v>
      </c>
      <c r="R1213" s="12"/>
      <c r="S1213" s="12"/>
    </row>
    <row r="1214" customFormat="false" ht="15" hidden="false" customHeight="false" outlineLevel="0" collapsed="false">
      <c r="A1214" s="15" t="s">
        <v>4652</v>
      </c>
      <c r="B1214" s="15" t="s">
        <v>4641</v>
      </c>
      <c r="C1214" s="15" t="s">
        <v>400</v>
      </c>
      <c r="D1214" s="15" t="s">
        <v>2066</v>
      </c>
      <c r="E1214" s="15" t="s">
        <v>2123</v>
      </c>
      <c r="F1214" s="15" t="s">
        <v>3031</v>
      </c>
      <c r="G1214" s="15" t="s">
        <v>3032</v>
      </c>
      <c r="H1214" s="33" t="n">
        <f aca="false">Packages!$AB$115</f>
        <v>457.662519547086</v>
      </c>
      <c r="I1214" s="15" t="s">
        <v>3019</v>
      </c>
      <c r="J1214" s="34" t="n">
        <f aca="false">MAX(1,ROUNDUP(Packages!$AB$115/(R_BF*Fronts!$M$10),0))</f>
        <v>2</v>
      </c>
      <c r="K1214" s="34" t="n">
        <f aca="false">IF(J1214=0,0,ROUNDUP(J1214*7/WD,0))</f>
        <v>3</v>
      </c>
      <c r="L1214" s="15" t="s">
        <v>4651</v>
      </c>
      <c r="M1214" s="34" t="n">
        <f aca="false">ROUNDUP(K1213*LADDER,0)</f>
        <v>2</v>
      </c>
      <c r="N1214" s="34" t="n">
        <f aca="false">IF(K1214=0,0,FFLAG)</f>
        <v>2</v>
      </c>
      <c r="O1214" s="15"/>
      <c r="P1214" s="16" t="n">
        <f aca="false">MAX(P1213+M1214,R1203)</f>
        <v>46427</v>
      </c>
      <c r="Q1214" s="16" t="n">
        <f aca="false">MAX(P1214+K1214,Q1213+N1214)</f>
        <v>46438</v>
      </c>
      <c r="R1214" s="16" t="n">
        <f aca="false">IF(K1214&gt;0,Q1214,R1203)</f>
        <v>46438</v>
      </c>
      <c r="S1214" s="15" t="s">
        <v>4638</v>
      </c>
    </row>
    <row r="1215" customFormat="false" ht="15" hidden="false" customHeight="false" outlineLevel="0" collapsed="false">
      <c r="A1215" s="15" t="s">
        <v>4653</v>
      </c>
      <c r="B1215" s="15" t="s">
        <v>4641</v>
      </c>
      <c r="C1215" s="15" t="s">
        <v>400</v>
      </c>
      <c r="D1215" s="15" t="s">
        <v>2066</v>
      </c>
      <c r="E1215" s="15" t="s">
        <v>2123</v>
      </c>
      <c r="F1215" s="15" t="s">
        <v>3034</v>
      </c>
      <c r="G1215" s="15" t="s">
        <v>3035</v>
      </c>
      <c r="H1215" s="33" t="n">
        <f aca="false">Packages!$AD$115</f>
        <v>0</v>
      </c>
      <c r="I1215" s="15" t="s">
        <v>3012</v>
      </c>
      <c r="J1215" s="34" t="n">
        <f aca="false">IF(Packages!$AD$115&gt;0,ROUNDUP(Packages!$AD$115/R_EXT,0),0)+IF(Packages!$AG$115&gt;0,1,0)</f>
        <v>1</v>
      </c>
      <c r="K1215" s="34" t="n">
        <f aca="false">IF(J1215=0,0,ROUNDUP(J1215*7/WD,0))</f>
        <v>2</v>
      </c>
      <c r="L1215" s="15" t="s">
        <v>4652</v>
      </c>
      <c r="M1215" s="34" t="n">
        <f aca="false">ROUNDUP(K1214*LADDER,0)</f>
        <v>1</v>
      </c>
      <c r="N1215" s="34" t="n">
        <f aca="false">IF(K1215=0,0,FFLAG)</f>
        <v>2</v>
      </c>
      <c r="O1215" s="15"/>
      <c r="P1215" s="16" t="n">
        <f aca="false">MAX(P1214+M1215)</f>
        <v>46428</v>
      </c>
      <c r="Q1215" s="16" t="n">
        <f aca="false">MAX(P1215+K1215,Q1214+N1215)</f>
        <v>46440</v>
      </c>
      <c r="R1215" s="12"/>
      <c r="S1215" s="12"/>
    </row>
    <row r="1216" customFormat="false" ht="15" hidden="false" customHeight="false" outlineLevel="0" collapsed="false">
      <c r="A1216" s="15" t="s">
        <v>4654</v>
      </c>
      <c r="B1216" s="15" t="s">
        <v>4655</v>
      </c>
      <c r="C1216" s="15" t="s">
        <v>400</v>
      </c>
      <c r="D1216" s="15" t="s">
        <v>2066</v>
      </c>
      <c r="E1216" s="15" t="s">
        <v>2137</v>
      </c>
      <c r="F1216" s="15" t="s">
        <v>2998</v>
      </c>
      <c r="G1216" s="15" t="s">
        <v>2999</v>
      </c>
      <c r="H1216" s="12"/>
      <c r="I1216" s="12"/>
      <c r="J1216" s="34" t="n">
        <f aca="false">0</f>
        <v>0</v>
      </c>
      <c r="K1216" s="34" t="n">
        <f aca="false">IF(J1216=0,0,ROUNDUP(J1216*7/WD,0))</f>
        <v>0</v>
      </c>
      <c r="L1216" s="12"/>
      <c r="M1216" s="12"/>
      <c r="N1216" s="12"/>
      <c r="O1216" s="15" t="s">
        <v>3038</v>
      </c>
      <c r="P1216" s="16" t="n">
        <f aca="false">MAX(START,D_DLU,Packages!$I$116,Packages!$K$116)</f>
        <v>46357</v>
      </c>
      <c r="Q1216" s="16" t="n">
        <f aca="false">P1216+K1216</f>
        <v>46357</v>
      </c>
      <c r="R1216" s="12"/>
      <c r="S1216" s="12"/>
    </row>
    <row r="1217" customFormat="false" ht="15" hidden="false" customHeight="false" outlineLevel="0" collapsed="false">
      <c r="A1217" s="15" t="s">
        <v>4656</v>
      </c>
      <c r="B1217" s="15" t="s">
        <v>4655</v>
      </c>
      <c r="C1217" s="15" t="s">
        <v>400</v>
      </c>
      <c r="D1217" s="15" t="s">
        <v>2066</v>
      </c>
      <c r="E1217" s="15" t="s">
        <v>2137</v>
      </c>
      <c r="F1217" s="15" t="s">
        <v>3002</v>
      </c>
      <c r="G1217" s="15" t="s">
        <v>205</v>
      </c>
      <c r="H1217" s="33" t="n">
        <f aca="false">Packages!$O$116</f>
        <v>5.99994235871932</v>
      </c>
      <c r="I1217" s="15" t="s">
        <v>118</v>
      </c>
      <c r="J1217" s="34" t="n">
        <f aca="false">MAX(1,ROUNDUP(Packages!$O$116/R_PLAT,0))</f>
        <v>1</v>
      </c>
      <c r="K1217" s="34" t="n">
        <f aca="false">IF(J1217=0,0,ROUNDUP(J1217*7/WD,0))</f>
        <v>2</v>
      </c>
      <c r="L1217" s="15" t="s">
        <v>4654</v>
      </c>
      <c r="M1217" s="12"/>
      <c r="N1217" s="12"/>
      <c r="O1217" s="15" t="s">
        <v>4657</v>
      </c>
      <c r="P1217" s="16" t="n">
        <f aca="false">MAX(Q1216,P1207)</f>
        <v>46396</v>
      </c>
      <c r="Q1217" s="16" t="n">
        <f aca="false">P1217+K1217</f>
        <v>46398</v>
      </c>
      <c r="R1217" s="12"/>
      <c r="S1217" s="12"/>
    </row>
    <row r="1218" customFormat="false" ht="15" hidden="false" customHeight="false" outlineLevel="0" collapsed="false">
      <c r="A1218" s="15" t="s">
        <v>4658</v>
      </c>
      <c r="B1218" s="15" t="s">
        <v>4655</v>
      </c>
      <c r="C1218" s="15" t="s">
        <v>400</v>
      </c>
      <c r="D1218" s="15" t="s">
        <v>2066</v>
      </c>
      <c r="E1218" s="15" t="s">
        <v>2137</v>
      </c>
      <c r="F1218" s="15" t="s">
        <v>3005</v>
      </c>
      <c r="G1218" s="15" t="s">
        <v>3006</v>
      </c>
      <c r="H1218" s="33" t="n">
        <f aca="false">Packages!$AC$116</f>
        <v>3</v>
      </c>
      <c r="I1218" s="15" t="s">
        <v>3007</v>
      </c>
      <c r="J1218" s="34" t="n">
        <f aca="false">IF(Packages!$AC$116=0,0,MAX(1,ROUNDUP(Packages!$AC$116/(R_PILE*Fronts!$H$10),0)))</f>
        <v>1</v>
      </c>
      <c r="K1218" s="34" t="n">
        <f aca="false">IF(J1218=0,0,ROUNDUP(J1218*7/WD,0))</f>
        <v>2</v>
      </c>
      <c r="L1218" s="15" t="s">
        <v>4656</v>
      </c>
      <c r="M1218" s="34" t="n">
        <f aca="false">ROUNDUP(K1217*LADDER,0)</f>
        <v>1</v>
      </c>
      <c r="N1218" s="34" t="n">
        <f aca="false">IF(K1218=0,0,FFLAG)</f>
        <v>2</v>
      </c>
      <c r="O1218" s="15" t="s">
        <v>3008</v>
      </c>
      <c r="P1218" s="16" t="n">
        <f aca="false">MAX(P1217+M1218,D_PILEDES)</f>
        <v>46397</v>
      </c>
      <c r="Q1218" s="16" t="n">
        <f aca="false">MAX(P1218+K1218,Q1217+N1218)</f>
        <v>46400</v>
      </c>
      <c r="R1218" s="16" t="n">
        <f aca="false">IF(K1218&gt;0,Q1218,0)</f>
        <v>46400</v>
      </c>
      <c r="S1218" s="12"/>
    </row>
    <row r="1219" customFormat="false" ht="15" hidden="false" customHeight="false" outlineLevel="0" collapsed="false">
      <c r="A1219" s="15" t="s">
        <v>4659</v>
      </c>
      <c r="B1219" s="15" t="s">
        <v>4655</v>
      </c>
      <c r="C1219" s="15" t="s">
        <v>400</v>
      </c>
      <c r="D1219" s="15" t="s">
        <v>2066</v>
      </c>
      <c r="E1219" s="15" t="s">
        <v>2137</v>
      </c>
      <c r="F1219" s="15" t="s">
        <v>3010</v>
      </c>
      <c r="G1219" s="15" t="s">
        <v>3011</v>
      </c>
      <c r="H1219" s="33" t="n">
        <f aca="false">Packages!$AD$116</f>
        <v>0</v>
      </c>
      <c r="I1219" s="15" t="s">
        <v>3012</v>
      </c>
      <c r="J1219" s="34" t="n">
        <f aca="false">IF(Packages!$AD$116=0,0,MAX(1,ROUNDUP(Packages!$AD$116/(R_SHEET*Fronts!$I$10),0)))</f>
        <v>0</v>
      </c>
      <c r="K1219" s="34" t="n">
        <f aca="false">IF(J1219=0,0,ROUNDUP(J1219*7/WD,0))</f>
        <v>0</v>
      </c>
      <c r="L1219" s="15" t="s">
        <v>4658</v>
      </c>
      <c r="M1219" s="34" t="n">
        <f aca="false">ROUNDUP(K1218*LADDER,0)</f>
        <v>1</v>
      </c>
      <c r="N1219" s="34" t="n">
        <f aca="false">IF(K1219=0,0,FFLAG)</f>
        <v>0</v>
      </c>
      <c r="O1219" s="15"/>
      <c r="P1219" s="16" t="n">
        <f aca="false">MAX(P1218+M1219)</f>
        <v>46398</v>
      </c>
      <c r="Q1219" s="16" t="n">
        <f aca="false">MAX(P1219+K1219,Q1218+N1219)</f>
        <v>46400</v>
      </c>
      <c r="R1219" s="16" t="n">
        <f aca="false">IF(K1219&gt;0,Q1219,0)</f>
        <v>0</v>
      </c>
      <c r="S1219" s="12"/>
    </row>
    <row r="1220" customFormat="false" ht="15" hidden="false" customHeight="false" outlineLevel="0" collapsed="false">
      <c r="A1220" s="15" t="s">
        <v>4660</v>
      </c>
      <c r="B1220" s="15" t="s">
        <v>4655</v>
      </c>
      <c r="C1220" s="15" t="s">
        <v>400</v>
      </c>
      <c r="D1220" s="15" t="s">
        <v>2066</v>
      </c>
      <c r="E1220" s="15" t="s">
        <v>2137</v>
      </c>
      <c r="F1220" s="15" t="s">
        <v>3014</v>
      </c>
      <c r="G1220" s="15" t="s">
        <v>3015</v>
      </c>
      <c r="H1220" s="33" t="n">
        <f aca="false">Packages!$O$116</f>
        <v>5.99994235871932</v>
      </c>
      <c r="I1220" s="15" t="s">
        <v>118</v>
      </c>
      <c r="J1220" s="34" t="n">
        <f aca="false">IF(Packages!$AG$116=0,0,ROUNDUP(Packages!$O$116/R_DW,0)+DW_DRAW)</f>
        <v>8</v>
      </c>
      <c r="K1220" s="34" t="n">
        <f aca="false">IF(J1220=0,0,ROUNDUP(J1220*7/WD,0))</f>
        <v>10</v>
      </c>
      <c r="L1220" s="15" t="s">
        <v>4659</v>
      </c>
      <c r="M1220" s="34" t="n">
        <f aca="false">ROUNDUP(K1219*LADDER,0)</f>
        <v>0</v>
      </c>
      <c r="N1220" s="34" t="n">
        <f aca="false">IF(K1220=0,0,FFLAG)</f>
        <v>2</v>
      </c>
      <c r="O1220" s="15"/>
      <c r="P1220" s="16" t="n">
        <f aca="false">MAX(P1219+M1220)</f>
        <v>46398</v>
      </c>
      <c r="Q1220" s="16" t="n">
        <f aca="false">MAX(P1220+K1220,Q1219+N1220)</f>
        <v>46408</v>
      </c>
      <c r="R1220" s="12"/>
      <c r="S1220" s="12"/>
    </row>
    <row r="1221" customFormat="false" ht="15" hidden="false" customHeight="false" outlineLevel="0" collapsed="false">
      <c r="A1221" s="15" t="s">
        <v>4661</v>
      </c>
      <c r="B1221" s="15" t="s">
        <v>4655</v>
      </c>
      <c r="C1221" s="15" t="s">
        <v>400</v>
      </c>
      <c r="D1221" s="15" t="s">
        <v>2066</v>
      </c>
      <c r="E1221" s="15" t="s">
        <v>2137</v>
      </c>
      <c r="F1221" s="15" t="s">
        <v>3017</v>
      </c>
      <c r="G1221" s="15" t="s">
        <v>3018</v>
      </c>
      <c r="H1221" s="33" t="n">
        <f aca="false">Packages!$X$116+Packages!$Y$116</f>
        <v>37.2441753545311</v>
      </c>
      <c r="I1221" s="15" t="s">
        <v>3019</v>
      </c>
      <c r="J1221" s="34" t="n">
        <f aca="false">MAX(1,ROUNDUP((Packages!$X$116/R_EXS+Packages!$Y$116/R_EXO)/Fronts!$J$10,0))</f>
        <v>1</v>
      </c>
      <c r="K1221" s="34" t="n">
        <f aca="false">IF(J1221=0,0,ROUNDUP(J1221*7/WD,0))</f>
        <v>2</v>
      </c>
      <c r="L1221" s="15" t="s">
        <v>4660</v>
      </c>
      <c r="M1221" s="34" t="n">
        <f aca="false">IF(K1220=0,0,ROUNDUP((K1220-ROUNDUP(DW_DRAW*7/WD,0))*LADDER,0)+ROUNDUP(DW_DRAW*7/WD,0))</f>
        <v>10</v>
      </c>
      <c r="N1221" s="34" t="n">
        <f aca="false">IF(K1221=0,0,FFLAG)</f>
        <v>2</v>
      </c>
      <c r="O1221" s="15"/>
      <c r="P1221" s="16" t="n">
        <f aca="false">MAX(P1220+M1221)</f>
        <v>46408</v>
      </c>
      <c r="Q1221" s="16" t="n">
        <f aca="false">MAX(P1221+K1221,Q1220+N1221)</f>
        <v>46410</v>
      </c>
      <c r="R1221" s="16" t="n">
        <f aca="false">IF(K1221&gt;0,Q1221,0)</f>
        <v>46410</v>
      </c>
      <c r="S1221" s="12"/>
    </row>
    <row r="1222" customFormat="false" ht="15" hidden="false" customHeight="false" outlineLevel="0" collapsed="false">
      <c r="A1222" s="15" t="s">
        <v>4662</v>
      </c>
      <c r="B1222" s="15" t="s">
        <v>4655</v>
      </c>
      <c r="C1222" s="15" t="s">
        <v>400</v>
      </c>
      <c r="D1222" s="15" t="s">
        <v>2066</v>
      </c>
      <c r="E1222" s="15" t="s">
        <v>2137</v>
      </c>
      <c r="F1222" s="15" t="s">
        <v>3022</v>
      </c>
      <c r="G1222" s="15" t="s">
        <v>3023</v>
      </c>
      <c r="H1222" s="33" t="n">
        <f aca="false">Packages!$O$116</f>
        <v>5.99994235871932</v>
      </c>
      <c r="I1222" s="15" t="s">
        <v>118</v>
      </c>
      <c r="J1222" s="34" t="n">
        <f aca="false">MAX(1,ROUNDUP(Packages!$O$116/(R_SLAB*Fronts!$K$10),0))+SLAB_CURE</f>
        <v>4</v>
      </c>
      <c r="K1222" s="34" t="n">
        <f aca="false">IF(J1222=0,0,ROUNDUP(J1222*7/WD,0))</f>
        <v>5</v>
      </c>
      <c r="L1222" s="15" t="s">
        <v>4661</v>
      </c>
      <c r="M1222" s="34" t="n">
        <f aca="false">ROUNDUP(K1221*LADDER,0)</f>
        <v>1</v>
      </c>
      <c r="N1222" s="34" t="n">
        <f aca="false">IF(K1222=0,0,FFLAG)</f>
        <v>2</v>
      </c>
      <c r="O1222" s="15"/>
      <c r="P1222" s="16" t="n">
        <f aca="false">MAX(P1221+M1222)</f>
        <v>46409</v>
      </c>
      <c r="Q1222" s="16" t="n">
        <f aca="false">MAX(P1222+K1222,Q1221+N1222)</f>
        <v>46414</v>
      </c>
      <c r="R1222" s="16" t="n">
        <f aca="false">IF(K1222&gt;0,Q1222,0)</f>
        <v>46414</v>
      </c>
      <c r="S1222" s="12"/>
    </row>
    <row r="1223" customFormat="false" ht="15" hidden="false" customHeight="false" outlineLevel="0" collapsed="false">
      <c r="A1223" s="15" t="s">
        <v>4663</v>
      </c>
      <c r="B1223" s="15" t="s">
        <v>4655</v>
      </c>
      <c r="C1223" s="15" t="s">
        <v>400</v>
      </c>
      <c r="D1223" s="15" t="s">
        <v>2066</v>
      </c>
      <c r="E1223" s="15" t="s">
        <v>2137</v>
      </c>
      <c r="F1223" s="15" t="s">
        <v>3025</v>
      </c>
      <c r="G1223" s="15" t="s">
        <v>3026</v>
      </c>
      <c r="H1223" s="33" t="n">
        <f aca="false">Packages!$O$116</f>
        <v>5.99994235871932</v>
      </c>
      <c r="I1223" s="15" t="s">
        <v>118</v>
      </c>
      <c r="J1223" s="34" t="n">
        <f aca="false">MAX(1,ROUNDUP(Packages!$O$116/(IF(Packages!$N$116&gt;=PIPE_T1,R_PIPE_L,IF(Packages!$N$116&gt;=PIPE_T2,R_PIPE_M,R_PIPE_S))*Fronts!$L$10)+Packages!$M$116*FIT_D+IF(Packages!$G$116&lt;&gt;"Run",TIE_D,0),0))</f>
        <v>4</v>
      </c>
      <c r="K1223" s="34" t="n">
        <f aca="false">IF(J1223=0,0,ROUNDUP(J1223*7/WD,0))</f>
        <v>5</v>
      </c>
      <c r="L1223" s="15" t="s">
        <v>4662</v>
      </c>
      <c r="M1223" s="34" t="n">
        <f aca="false">ROUNDUP(K1222*LADDER,0)</f>
        <v>2</v>
      </c>
      <c r="N1223" s="34" t="n">
        <f aca="false">IF(K1223=0,0,FFLAG)</f>
        <v>2</v>
      </c>
      <c r="O1223" s="15" t="s">
        <v>4664</v>
      </c>
      <c r="P1223" s="16" t="n">
        <f aca="false">MAX(P1222+M1223,Q1212)</f>
        <v>46434</v>
      </c>
      <c r="Q1223" s="16" t="n">
        <f aca="false">MAX(P1223+K1223,Q1222+N1223)</f>
        <v>46439</v>
      </c>
      <c r="R1223" s="16" t="n">
        <f aca="false">IF(K1223&gt;0,Q1223,0)</f>
        <v>46439</v>
      </c>
      <c r="S1223" s="12"/>
    </row>
    <row r="1224" customFormat="false" ht="15" hidden="false" customHeight="false" outlineLevel="0" collapsed="false">
      <c r="A1224" s="15" t="s">
        <v>4665</v>
      </c>
      <c r="B1224" s="15" t="s">
        <v>4655</v>
      </c>
      <c r="C1224" s="15" t="s">
        <v>400</v>
      </c>
      <c r="D1224" s="15" t="s">
        <v>2066</v>
      </c>
      <c r="E1224" s="15" t="s">
        <v>2137</v>
      </c>
      <c r="F1224" s="15" t="s">
        <v>3028</v>
      </c>
      <c r="G1224" s="15" t="s">
        <v>3029</v>
      </c>
      <c r="H1224" s="33" t="n">
        <f aca="false">Packages!$O$116</f>
        <v>5.99994235871932</v>
      </c>
      <c r="I1224" s="15" t="s">
        <v>118</v>
      </c>
      <c r="J1224" s="34" t="n">
        <f aca="false">TEST_D+ROUNDUP(Packages!$O$116/R_TEST,0)</f>
        <v>3</v>
      </c>
      <c r="K1224" s="34" t="n">
        <f aca="false">IF(J1224=0,0,ROUNDUP(J1224*7/WD,0))</f>
        <v>4</v>
      </c>
      <c r="L1224" s="15" t="s">
        <v>4663</v>
      </c>
      <c r="M1224" s="34" t="n">
        <f aca="false">ROUNDUP(K1223*LADDER,0)</f>
        <v>2</v>
      </c>
      <c r="N1224" s="34" t="n">
        <f aca="false">IF(K1224=0,0,FFLAG)</f>
        <v>2</v>
      </c>
      <c r="O1224" s="15"/>
      <c r="P1224" s="16" t="n">
        <f aca="false">MAX(P1223+M1224)</f>
        <v>46436</v>
      </c>
      <c r="Q1224" s="16" t="n">
        <f aca="false">MAX(P1224+K1224,Q1223+N1224)</f>
        <v>46441</v>
      </c>
      <c r="R1224" s="12"/>
      <c r="S1224" s="12"/>
    </row>
    <row r="1225" customFormat="false" ht="15" hidden="false" customHeight="false" outlineLevel="0" collapsed="false">
      <c r="A1225" s="15" t="s">
        <v>4666</v>
      </c>
      <c r="B1225" s="15" t="s">
        <v>4655</v>
      </c>
      <c r="C1225" s="15" t="s">
        <v>400</v>
      </c>
      <c r="D1225" s="15" t="s">
        <v>2066</v>
      </c>
      <c r="E1225" s="15" t="s">
        <v>2137</v>
      </c>
      <c r="F1225" s="15" t="s">
        <v>3031</v>
      </c>
      <c r="G1225" s="15" t="s">
        <v>3032</v>
      </c>
      <c r="H1225" s="33" t="n">
        <f aca="false">Packages!$AB$116</f>
        <v>30.4838542977791</v>
      </c>
      <c r="I1225" s="15" t="s">
        <v>3019</v>
      </c>
      <c r="J1225" s="34" t="n">
        <f aca="false">MAX(1,ROUNDUP(Packages!$AB$116/(R_BF*Fronts!$M$10),0))</f>
        <v>1</v>
      </c>
      <c r="K1225" s="34" t="n">
        <f aca="false">IF(J1225=0,0,ROUNDUP(J1225*7/WD,0))</f>
        <v>2</v>
      </c>
      <c r="L1225" s="15" t="s">
        <v>4665</v>
      </c>
      <c r="M1225" s="34" t="n">
        <f aca="false">ROUNDUP(K1224*LADDER,0)</f>
        <v>2</v>
      </c>
      <c r="N1225" s="34" t="n">
        <f aca="false">IF(K1225=0,0,FFLAG)</f>
        <v>2</v>
      </c>
      <c r="O1225" s="15"/>
      <c r="P1225" s="16" t="n">
        <f aca="false">MAX(P1224+M1225)</f>
        <v>46438</v>
      </c>
      <c r="Q1225" s="16" t="n">
        <f aca="false">MAX(P1225+K1225,Q1224+N1225)</f>
        <v>46443</v>
      </c>
      <c r="R1225" s="16" t="n">
        <f aca="false">IF(K1225&gt;0,Q1225,0)</f>
        <v>46443</v>
      </c>
      <c r="S1225" s="12"/>
    </row>
    <row r="1226" customFormat="false" ht="15" hidden="false" customHeight="false" outlineLevel="0" collapsed="false">
      <c r="A1226" s="15" t="s">
        <v>4667</v>
      </c>
      <c r="B1226" s="15" t="s">
        <v>4655</v>
      </c>
      <c r="C1226" s="15" t="s">
        <v>400</v>
      </c>
      <c r="D1226" s="15" t="s">
        <v>2066</v>
      </c>
      <c r="E1226" s="15" t="s">
        <v>2137</v>
      </c>
      <c r="F1226" s="15" t="s">
        <v>3034</v>
      </c>
      <c r="G1226" s="15" t="s">
        <v>3035</v>
      </c>
      <c r="H1226" s="33" t="n">
        <f aca="false">Packages!$AD$116</f>
        <v>0</v>
      </c>
      <c r="I1226" s="15" t="s">
        <v>3012</v>
      </c>
      <c r="J1226" s="34" t="n">
        <f aca="false">IF(Packages!$AD$116&gt;0,ROUNDUP(Packages!$AD$116/R_EXT,0),0)+IF(Packages!$AG$116&gt;0,1,0)</f>
        <v>1</v>
      </c>
      <c r="K1226" s="34" t="n">
        <f aca="false">IF(J1226=0,0,ROUNDUP(J1226*7/WD,0))</f>
        <v>2</v>
      </c>
      <c r="L1226" s="15" t="s">
        <v>4666</v>
      </c>
      <c r="M1226" s="34" t="n">
        <f aca="false">ROUNDUP(K1225*LADDER,0)</f>
        <v>1</v>
      </c>
      <c r="N1226" s="34" t="n">
        <f aca="false">IF(K1226=0,0,FFLAG)</f>
        <v>2</v>
      </c>
      <c r="O1226" s="15"/>
      <c r="P1226" s="16" t="n">
        <f aca="false">MAX(P1225+M1226)</f>
        <v>46439</v>
      </c>
      <c r="Q1226" s="16" t="n">
        <f aca="false">MAX(P1226+K1226,Q1225+N1226)</f>
        <v>46445</v>
      </c>
      <c r="R1226" s="12"/>
      <c r="S1226" s="12"/>
    </row>
    <row r="1227" customFormat="false" ht="15" hidden="false" customHeight="false" outlineLevel="0" collapsed="false">
      <c r="A1227" s="15" t="s">
        <v>4668</v>
      </c>
      <c r="B1227" s="15" t="s">
        <v>4669</v>
      </c>
      <c r="C1227" s="15" t="s">
        <v>400</v>
      </c>
      <c r="D1227" s="15" t="s">
        <v>2066</v>
      </c>
      <c r="E1227" s="15" t="s">
        <v>2117</v>
      </c>
      <c r="F1227" s="15" t="s">
        <v>2998</v>
      </c>
      <c r="G1227" s="15" t="s">
        <v>2999</v>
      </c>
      <c r="H1227" s="12"/>
      <c r="I1227" s="12"/>
      <c r="J1227" s="34" t="n">
        <f aca="false">0</f>
        <v>0</v>
      </c>
      <c r="K1227" s="34" t="n">
        <f aca="false">IF(J1227=0,0,ROUNDUP(J1227*7/WD,0))</f>
        <v>0</v>
      </c>
      <c r="L1227" s="12"/>
      <c r="M1227" s="12"/>
      <c r="N1227" s="12"/>
      <c r="O1227" s="15" t="s">
        <v>3000</v>
      </c>
      <c r="P1227" s="16" t="n">
        <f aca="false">MAX(START,D_DLU,Packages!$I$117,Packages!$K$117)</f>
        <v>46357</v>
      </c>
      <c r="Q1227" s="16" t="n">
        <f aca="false">P1227+K1227</f>
        <v>46357</v>
      </c>
      <c r="R1227" s="12"/>
      <c r="S1227" s="12"/>
    </row>
    <row r="1228" customFormat="false" ht="15" hidden="false" customHeight="false" outlineLevel="0" collapsed="false">
      <c r="A1228" s="15" t="s">
        <v>4670</v>
      </c>
      <c r="B1228" s="15" t="s">
        <v>4669</v>
      </c>
      <c r="C1228" s="15" t="s">
        <v>400</v>
      </c>
      <c r="D1228" s="15" t="s">
        <v>2066</v>
      </c>
      <c r="E1228" s="15" t="s">
        <v>2117</v>
      </c>
      <c r="F1228" s="15" t="s">
        <v>3002</v>
      </c>
      <c r="G1228" s="15" t="s">
        <v>205</v>
      </c>
      <c r="H1228" s="33" t="n">
        <f aca="false">Packages!$O$117</f>
        <v>46.0000000004943</v>
      </c>
      <c r="I1228" s="15" t="s">
        <v>118</v>
      </c>
      <c r="J1228" s="34" t="n">
        <f aca="false">MAX(1,ROUNDUP(Packages!$O$117/R_PLAT,0))</f>
        <v>1</v>
      </c>
      <c r="K1228" s="34" t="n">
        <f aca="false">IF(J1228=0,0,ROUNDUP(J1228*7/WD,0))</f>
        <v>2</v>
      </c>
      <c r="L1228" s="15" t="s">
        <v>4668</v>
      </c>
      <c r="M1228" s="12"/>
      <c r="N1228" s="12"/>
      <c r="O1228" s="15" t="s">
        <v>4671</v>
      </c>
      <c r="P1228" s="16" t="n">
        <f aca="false">MAX(Q1227,P1207)</f>
        <v>46396</v>
      </c>
      <c r="Q1228" s="16" t="n">
        <f aca="false">P1228+K1228</f>
        <v>46398</v>
      </c>
      <c r="R1228" s="12"/>
      <c r="S1228" s="12"/>
    </row>
    <row r="1229" customFormat="false" ht="15" hidden="false" customHeight="false" outlineLevel="0" collapsed="false">
      <c r="A1229" s="15" t="s">
        <v>4672</v>
      </c>
      <c r="B1229" s="15" t="s">
        <v>4669</v>
      </c>
      <c r="C1229" s="15" t="s">
        <v>400</v>
      </c>
      <c r="D1229" s="15" t="s">
        <v>2066</v>
      </c>
      <c r="E1229" s="15" t="s">
        <v>2117</v>
      </c>
      <c r="F1229" s="15" t="s">
        <v>3005</v>
      </c>
      <c r="G1229" s="15" t="s">
        <v>3006</v>
      </c>
      <c r="H1229" s="33" t="n">
        <f aca="false">Packages!$AC$117</f>
        <v>17</v>
      </c>
      <c r="I1229" s="15" t="s">
        <v>3007</v>
      </c>
      <c r="J1229" s="34" t="n">
        <f aca="false">IF(Packages!$AC$117=0,0,MAX(1,ROUNDUP(Packages!$AC$117/(R_PILE*Fronts!$H$10),0)))</f>
        <v>4</v>
      </c>
      <c r="K1229" s="34" t="n">
        <f aca="false">IF(J1229=0,0,ROUNDUP(J1229*7/WD,0))</f>
        <v>5</v>
      </c>
      <c r="L1229" s="15" t="s">
        <v>4670</v>
      </c>
      <c r="M1229" s="34" t="n">
        <f aca="false">ROUNDUP(K1228*LADDER,0)</f>
        <v>1</v>
      </c>
      <c r="N1229" s="34" t="n">
        <f aca="false">IF(K1229=0,0,FFLAG)</f>
        <v>2</v>
      </c>
      <c r="O1229" s="15" t="s">
        <v>3008</v>
      </c>
      <c r="P1229" s="16" t="n">
        <f aca="false">MAX(P1228+M1229,D_PILEDES,R1207)</f>
        <v>46405</v>
      </c>
      <c r="Q1229" s="16" t="n">
        <f aca="false">MAX(P1229+K1229,Q1228+N1229)</f>
        <v>46410</v>
      </c>
      <c r="R1229" s="16" t="n">
        <f aca="false">IF(K1229&gt;0,Q1229,R1207)</f>
        <v>46410</v>
      </c>
      <c r="S1229" s="15" t="s">
        <v>4644</v>
      </c>
    </row>
    <row r="1230" customFormat="false" ht="15" hidden="false" customHeight="false" outlineLevel="0" collapsed="false">
      <c r="A1230" s="15" t="s">
        <v>4673</v>
      </c>
      <c r="B1230" s="15" t="s">
        <v>4669</v>
      </c>
      <c r="C1230" s="15" t="s">
        <v>400</v>
      </c>
      <c r="D1230" s="15" t="s">
        <v>2066</v>
      </c>
      <c r="E1230" s="15" t="s">
        <v>2117</v>
      </c>
      <c r="F1230" s="15" t="s">
        <v>3010</v>
      </c>
      <c r="G1230" s="15" t="s">
        <v>3011</v>
      </c>
      <c r="H1230" s="33" t="n">
        <f aca="false">Packages!$AD$117</f>
        <v>0</v>
      </c>
      <c r="I1230" s="15" t="s">
        <v>3012</v>
      </c>
      <c r="J1230" s="34" t="n">
        <f aca="false">IF(Packages!$AD$117=0,0,MAX(1,ROUNDUP(Packages!$AD$117/(R_SHEET*Fronts!$I$10),0)))</f>
        <v>0</v>
      </c>
      <c r="K1230" s="34" t="n">
        <f aca="false">IF(J1230=0,0,ROUNDUP(J1230*7/WD,0))</f>
        <v>0</v>
      </c>
      <c r="L1230" s="15" t="s">
        <v>4672</v>
      </c>
      <c r="M1230" s="34" t="n">
        <f aca="false">ROUNDUP(K1229*LADDER,0)</f>
        <v>2</v>
      </c>
      <c r="N1230" s="34" t="n">
        <f aca="false">IF(K1230=0,0,FFLAG)</f>
        <v>0</v>
      </c>
      <c r="O1230" s="15"/>
      <c r="P1230" s="16" t="n">
        <f aca="false">MAX(P1229+M1230,R1208)</f>
        <v>46407</v>
      </c>
      <c r="Q1230" s="16" t="n">
        <f aca="false">MAX(P1230+K1230,Q1229+N1230)</f>
        <v>46410</v>
      </c>
      <c r="R1230" s="16" t="n">
        <f aca="false">IF(K1230&gt;0,Q1230,R1208)</f>
        <v>46398</v>
      </c>
      <c r="S1230" s="15" t="s">
        <v>4645</v>
      </c>
    </row>
    <row r="1231" customFormat="false" ht="15" hidden="false" customHeight="false" outlineLevel="0" collapsed="false">
      <c r="A1231" s="15" t="s">
        <v>4674</v>
      </c>
      <c r="B1231" s="15" t="s">
        <v>4669</v>
      </c>
      <c r="C1231" s="15" t="s">
        <v>400</v>
      </c>
      <c r="D1231" s="15" t="s">
        <v>2066</v>
      </c>
      <c r="E1231" s="15" t="s">
        <v>2117</v>
      </c>
      <c r="F1231" s="15" t="s">
        <v>3014</v>
      </c>
      <c r="G1231" s="15" t="s">
        <v>3015</v>
      </c>
      <c r="H1231" s="33" t="n">
        <f aca="false">Packages!$O$117</f>
        <v>46.0000000004943</v>
      </c>
      <c r="I1231" s="15" t="s">
        <v>118</v>
      </c>
      <c r="J1231" s="34" t="n">
        <f aca="false">IF(Packages!$AG$117=0,0,ROUNDUP(Packages!$O$117/R_DW,0)+DW_DRAW)</f>
        <v>9</v>
      </c>
      <c r="K1231" s="34" t="n">
        <f aca="false">IF(J1231=0,0,ROUNDUP(J1231*7/WD,0))</f>
        <v>11</v>
      </c>
      <c r="L1231" s="15" t="s">
        <v>4673</v>
      </c>
      <c r="M1231" s="34" t="n">
        <f aca="false">ROUNDUP(K1230*LADDER,0)</f>
        <v>0</v>
      </c>
      <c r="N1231" s="34" t="n">
        <f aca="false">IF(K1231=0,0,FFLAG)</f>
        <v>2</v>
      </c>
      <c r="O1231" s="15" t="s">
        <v>4675</v>
      </c>
      <c r="P1231" s="16" t="n">
        <f aca="false">MAX(P1230+M1231,Q1210-K1231)</f>
        <v>46407</v>
      </c>
      <c r="Q1231" s="16" t="n">
        <f aca="false">MAX(P1231+K1231,Q1230+N1231)</f>
        <v>46418</v>
      </c>
      <c r="R1231" s="12"/>
      <c r="S1231" s="12"/>
    </row>
    <row r="1232" customFormat="false" ht="15" hidden="false" customHeight="false" outlineLevel="0" collapsed="false">
      <c r="A1232" s="15" t="s">
        <v>4676</v>
      </c>
      <c r="B1232" s="15" t="s">
        <v>4669</v>
      </c>
      <c r="C1232" s="15" t="s">
        <v>400</v>
      </c>
      <c r="D1232" s="15" t="s">
        <v>2066</v>
      </c>
      <c r="E1232" s="15" t="s">
        <v>2117</v>
      </c>
      <c r="F1232" s="15" t="s">
        <v>3017</v>
      </c>
      <c r="G1232" s="15" t="s">
        <v>3018</v>
      </c>
      <c r="H1232" s="33" t="n">
        <f aca="false">Packages!$X$117+Packages!$Y$117</f>
        <v>285.539051682146</v>
      </c>
      <c r="I1232" s="15" t="s">
        <v>3019</v>
      </c>
      <c r="J1232" s="34" t="n">
        <f aca="false">MAX(1,ROUNDUP((Packages!$X$117/R_EXS+Packages!$Y$117/R_EXO)/Fronts!$J$10,0))</f>
        <v>1</v>
      </c>
      <c r="K1232" s="34" t="n">
        <f aca="false">IF(J1232=0,0,ROUNDUP(J1232*7/WD,0))</f>
        <v>2</v>
      </c>
      <c r="L1232" s="15" t="s">
        <v>4674</v>
      </c>
      <c r="M1232" s="34" t="n">
        <f aca="false">IF(K1231=0,0,ROUNDUP((K1231-ROUNDUP(DW_DRAW*7/WD,0))*LADDER,0)+ROUNDUP(DW_DRAW*7/WD,0))</f>
        <v>10</v>
      </c>
      <c r="N1232" s="34" t="n">
        <f aca="false">IF(K1232=0,0,FFLAG)</f>
        <v>2</v>
      </c>
      <c r="O1232" s="15" t="s">
        <v>4677</v>
      </c>
      <c r="P1232" s="16" t="n">
        <f aca="false">MAX(P1231+M1232,R1210,Q972,Q1148,Q928)</f>
        <v>46456</v>
      </c>
      <c r="Q1232" s="16" t="n">
        <f aca="false">MAX(P1232+K1232,Q1231+N1232)</f>
        <v>46458</v>
      </c>
      <c r="R1232" s="16" t="n">
        <f aca="false">IF(K1232&gt;0,Q1232,R1210)</f>
        <v>46458</v>
      </c>
      <c r="S1232" s="15" t="s">
        <v>4648</v>
      </c>
    </row>
    <row r="1233" customFormat="false" ht="15" hidden="false" customHeight="false" outlineLevel="0" collapsed="false">
      <c r="A1233" s="15" t="s">
        <v>4678</v>
      </c>
      <c r="B1233" s="15" t="s">
        <v>4669</v>
      </c>
      <c r="C1233" s="15" t="s">
        <v>400</v>
      </c>
      <c r="D1233" s="15" t="s">
        <v>2066</v>
      </c>
      <c r="E1233" s="15" t="s">
        <v>2117</v>
      </c>
      <c r="F1233" s="15" t="s">
        <v>3022</v>
      </c>
      <c r="G1233" s="15" t="s">
        <v>3023</v>
      </c>
      <c r="H1233" s="33" t="n">
        <f aca="false">Packages!$O$117</f>
        <v>46.0000000004943</v>
      </c>
      <c r="I1233" s="15" t="s">
        <v>118</v>
      </c>
      <c r="J1233" s="34" t="n">
        <f aca="false">MAX(1,ROUNDUP(Packages!$O$117/(R_SLAB*Fronts!$K$10),0))+SLAB_CURE</f>
        <v>7</v>
      </c>
      <c r="K1233" s="34" t="n">
        <f aca="false">IF(J1233=0,0,ROUNDUP(J1233*7/WD,0))</f>
        <v>9</v>
      </c>
      <c r="L1233" s="15" t="s">
        <v>4676</v>
      </c>
      <c r="M1233" s="34" t="n">
        <f aca="false">ROUNDUP(K1232*LADDER,0)</f>
        <v>1</v>
      </c>
      <c r="N1233" s="34" t="n">
        <f aca="false">IF(K1233=0,0,FFLAG)</f>
        <v>2</v>
      </c>
      <c r="O1233" s="15"/>
      <c r="P1233" s="16" t="n">
        <f aca="false">MAX(P1232+M1233,R1211)</f>
        <v>46457</v>
      </c>
      <c r="Q1233" s="16" t="n">
        <f aca="false">MAX(P1233+K1233,Q1232+N1233)</f>
        <v>46466</v>
      </c>
      <c r="R1233" s="16" t="n">
        <f aca="false">IF(K1233&gt;0,Q1233,R1211)</f>
        <v>46466</v>
      </c>
      <c r="S1233" s="15" t="s">
        <v>4649</v>
      </c>
    </row>
    <row r="1234" customFormat="false" ht="15" hidden="false" customHeight="false" outlineLevel="0" collapsed="false">
      <c r="A1234" s="15" t="s">
        <v>4679</v>
      </c>
      <c r="B1234" s="15" t="s">
        <v>4669</v>
      </c>
      <c r="C1234" s="15" t="s">
        <v>400</v>
      </c>
      <c r="D1234" s="15" t="s">
        <v>2066</v>
      </c>
      <c r="E1234" s="15" t="s">
        <v>2117</v>
      </c>
      <c r="F1234" s="15" t="s">
        <v>3025</v>
      </c>
      <c r="G1234" s="15" t="s">
        <v>3026</v>
      </c>
      <c r="H1234" s="33" t="n">
        <f aca="false">Packages!$O$117</f>
        <v>46.0000000004943</v>
      </c>
      <c r="I1234" s="15" t="s">
        <v>118</v>
      </c>
      <c r="J1234" s="34" t="n">
        <f aca="false">MAX(1,ROUNDUP(Packages!$O$117/(IF(Packages!$N$117&gt;=PIPE_T1,R_PIPE_L,IF(Packages!$N$117&gt;=PIPE_T2,R_PIPE_M,R_PIPE_S))*Fronts!$L$10)+Packages!$M$117*FIT_D+IF(Packages!$G$117&lt;&gt;"Run",TIE_D,0),0))</f>
        <v>2</v>
      </c>
      <c r="K1234" s="34" t="n">
        <f aca="false">IF(J1234=0,0,ROUNDUP(J1234*7/WD,0))</f>
        <v>3</v>
      </c>
      <c r="L1234" s="15" t="s">
        <v>4678</v>
      </c>
      <c r="M1234" s="34" t="n">
        <f aca="false">ROUNDUP(K1233*LADDER,0)</f>
        <v>3</v>
      </c>
      <c r="N1234" s="34" t="n">
        <f aca="false">IF(K1234=0,0,FFLAG)</f>
        <v>2</v>
      </c>
      <c r="O1234" s="15"/>
      <c r="P1234" s="16" t="n">
        <f aca="false">MAX(P1233+M1234,R1212)</f>
        <v>46460</v>
      </c>
      <c r="Q1234" s="16" t="n">
        <f aca="false">MAX(P1234+K1234,Q1233+N1234)</f>
        <v>46468</v>
      </c>
      <c r="R1234" s="16" t="n">
        <f aca="false">IF(K1234&gt;0,Q1234,R1212)</f>
        <v>46468</v>
      </c>
      <c r="S1234" s="15" t="s">
        <v>4650</v>
      </c>
    </row>
    <row r="1235" customFormat="false" ht="15" hidden="false" customHeight="false" outlineLevel="0" collapsed="false">
      <c r="A1235" s="15" t="s">
        <v>4680</v>
      </c>
      <c r="B1235" s="15" t="s">
        <v>4669</v>
      </c>
      <c r="C1235" s="15" t="s">
        <v>400</v>
      </c>
      <c r="D1235" s="15" t="s">
        <v>2066</v>
      </c>
      <c r="E1235" s="15" t="s">
        <v>2117</v>
      </c>
      <c r="F1235" s="15" t="s">
        <v>3028</v>
      </c>
      <c r="G1235" s="15" t="s">
        <v>3029</v>
      </c>
      <c r="H1235" s="33" t="n">
        <f aca="false">Packages!$O$117</f>
        <v>46.0000000004943</v>
      </c>
      <c r="I1235" s="15" t="s">
        <v>118</v>
      </c>
      <c r="J1235" s="34" t="n">
        <f aca="false">TEST_D+ROUNDUP(Packages!$O$117/R_TEST,0)</f>
        <v>3</v>
      </c>
      <c r="K1235" s="34" t="n">
        <f aca="false">IF(J1235=0,0,ROUNDUP(J1235*7/WD,0))</f>
        <v>4</v>
      </c>
      <c r="L1235" s="15" t="s">
        <v>4679</v>
      </c>
      <c r="M1235" s="34" t="n">
        <f aca="false">ROUNDUP(K1234*LADDER,0)</f>
        <v>1</v>
      </c>
      <c r="N1235" s="34" t="n">
        <f aca="false">IF(K1235=0,0,FFLAG)</f>
        <v>2</v>
      </c>
      <c r="O1235" s="15"/>
      <c r="P1235" s="16" t="n">
        <f aca="false">MAX(P1234+M1235)</f>
        <v>46461</v>
      </c>
      <c r="Q1235" s="16" t="n">
        <f aca="false">MAX(P1235+K1235,Q1234+N1235)</f>
        <v>46470</v>
      </c>
      <c r="R1235" s="12"/>
      <c r="S1235" s="12"/>
    </row>
    <row r="1236" customFormat="false" ht="15" hidden="false" customHeight="false" outlineLevel="0" collapsed="false">
      <c r="A1236" s="15" t="s">
        <v>4681</v>
      </c>
      <c r="B1236" s="15" t="s">
        <v>4669</v>
      </c>
      <c r="C1236" s="15" t="s">
        <v>400</v>
      </c>
      <c r="D1236" s="15" t="s">
        <v>2066</v>
      </c>
      <c r="E1236" s="15" t="s">
        <v>2117</v>
      </c>
      <c r="F1236" s="15" t="s">
        <v>3031</v>
      </c>
      <c r="G1236" s="15" t="s">
        <v>3032</v>
      </c>
      <c r="H1236" s="33" t="n">
        <f aca="false">Packages!$AB$117</f>
        <v>233.710116297658</v>
      </c>
      <c r="I1236" s="15" t="s">
        <v>3019</v>
      </c>
      <c r="J1236" s="34" t="n">
        <f aca="false">MAX(1,ROUNDUP(Packages!$AB$117/(R_BF*Fronts!$M$10),0))</f>
        <v>1</v>
      </c>
      <c r="K1236" s="34" t="n">
        <f aca="false">IF(J1236=0,0,ROUNDUP(J1236*7/WD,0))</f>
        <v>2</v>
      </c>
      <c r="L1236" s="15" t="s">
        <v>4680</v>
      </c>
      <c r="M1236" s="34" t="n">
        <f aca="false">ROUNDUP(K1235*LADDER,0)</f>
        <v>2</v>
      </c>
      <c r="N1236" s="34" t="n">
        <f aca="false">IF(K1236=0,0,FFLAG)</f>
        <v>2</v>
      </c>
      <c r="O1236" s="15"/>
      <c r="P1236" s="16" t="n">
        <f aca="false">MAX(P1235+M1236,R1214)</f>
        <v>46463</v>
      </c>
      <c r="Q1236" s="16" t="n">
        <f aca="false">MAX(P1236+K1236,Q1235+N1236)</f>
        <v>46472</v>
      </c>
      <c r="R1236" s="16" t="n">
        <f aca="false">IF(K1236&gt;0,Q1236,R1214)</f>
        <v>46472</v>
      </c>
      <c r="S1236" s="15" t="s">
        <v>4652</v>
      </c>
    </row>
    <row r="1237" customFormat="false" ht="15" hidden="false" customHeight="false" outlineLevel="0" collapsed="false">
      <c r="A1237" s="15" t="s">
        <v>4682</v>
      </c>
      <c r="B1237" s="15" t="s">
        <v>4669</v>
      </c>
      <c r="C1237" s="15" t="s">
        <v>400</v>
      </c>
      <c r="D1237" s="15" t="s">
        <v>2066</v>
      </c>
      <c r="E1237" s="15" t="s">
        <v>2117</v>
      </c>
      <c r="F1237" s="15" t="s">
        <v>3034</v>
      </c>
      <c r="G1237" s="15" t="s">
        <v>3035</v>
      </c>
      <c r="H1237" s="33" t="n">
        <f aca="false">Packages!$AD$117</f>
        <v>0</v>
      </c>
      <c r="I1237" s="15" t="s">
        <v>3012</v>
      </c>
      <c r="J1237" s="34" t="n">
        <f aca="false">IF(Packages!$AD$117&gt;0,ROUNDUP(Packages!$AD$117/R_EXT,0),0)+IF(Packages!$AG$117&gt;0,1,0)</f>
        <v>1</v>
      </c>
      <c r="K1237" s="34" t="n">
        <f aca="false">IF(J1237=0,0,ROUNDUP(J1237*7/WD,0))</f>
        <v>2</v>
      </c>
      <c r="L1237" s="15" t="s">
        <v>4681</v>
      </c>
      <c r="M1237" s="34" t="n">
        <f aca="false">ROUNDUP(K1236*LADDER,0)</f>
        <v>1</v>
      </c>
      <c r="N1237" s="34" t="n">
        <f aca="false">IF(K1237=0,0,FFLAG)</f>
        <v>2</v>
      </c>
      <c r="O1237" s="15"/>
      <c r="P1237" s="16" t="n">
        <f aca="false">MAX(P1236+M1237)</f>
        <v>46464</v>
      </c>
      <c r="Q1237" s="16" t="n">
        <f aca="false">MAX(P1237+K1237,Q1236+N1237)</f>
        <v>46474</v>
      </c>
      <c r="R1237" s="12"/>
      <c r="S1237" s="12"/>
    </row>
    <row r="1238" customFormat="false" ht="15" hidden="false" customHeight="false" outlineLevel="0" collapsed="false">
      <c r="A1238" s="15" t="s">
        <v>4683</v>
      </c>
      <c r="B1238" s="15" t="s">
        <v>4684</v>
      </c>
      <c r="C1238" s="15" t="s">
        <v>400</v>
      </c>
      <c r="D1238" s="15" t="s">
        <v>2066</v>
      </c>
      <c r="E1238" s="15" t="s">
        <v>2113</v>
      </c>
      <c r="F1238" s="15" t="s">
        <v>2998</v>
      </c>
      <c r="G1238" s="15" t="s">
        <v>2999</v>
      </c>
      <c r="H1238" s="12"/>
      <c r="I1238" s="12"/>
      <c r="J1238" s="34" t="n">
        <f aca="false">0</f>
        <v>0</v>
      </c>
      <c r="K1238" s="34" t="n">
        <f aca="false">IF(J1238=0,0,ROUNDUP(J1238*7/WD,0))</f>
        <v>0</v>
      </c>
      <c r="L1238" s="12"/>
      <c r="M1238" s="12"/>
      <c r="N1238" s="12"/>
      <c r="O1238" s="15" t="s">
        <v>3000</v>
      </c>
      <c r="P1238" s="16" t="n">
        <f aca="false">MAX(START,D_DLU,Packages!$I$118,Packages!$K$118)</f>
        <v>46357</v>
      </c>
      <c r="Q1238" s="16" t="n">
        <f aca="false">P1238+K1238</f>
        <v>46357</v>
      </c>
      <c r="R1238" s="12"/>
      <c r="S1238" s="12"/>
    </row>
    <row r="1239" customFormat="false" ht="15" hidden="false" customHeight="false" outlineLevel="0" collapsed="false">
      <c r="A1239" s="15" t="s">
        <v>4685</v>
      </c>
      <c r="B1239" s="15" t="s">
        <v>4684</v>
      </c>
      <c r="C1239" s="15" t="s">
        <v>400</v>
      </c>
      <c r="D1239" s="15" t="s">
        <v>2066</v>
      </c>
      <c r="E1239" s="15" t="s">
        <v>2113</v>
      </c>
      <c r="F1239" s="15" t="s">
        <v>3002</v>
      </c>
      <c r="G1239" s="15" t="s">
        <v>205</v>
      </c>
      <c r="H1239" s="33" t="n">
        <f aca="false">Packages!$O$118</f>
        <v>16.0000000003377</v>
      </c>
      <c r="I1239" s="15" t="s">
        <v>118</v>
      </c>
      <c r="J1239" s="34" t="n">
        <f aca="false">MAX(1,ROUNDUP(Packages!$O$118/R_PLAT,0))</f>
        <v>1</v>
      </c>
      <c r="K1239" s="34" t="n">
        <f aca="false">IF(J1239=0,0,ROUNDUP(J1239*7/WD,0))</f>
        <v>2</v>
      </c>
      <c r="L1239" s="15" t="s">
        <v>4683</v>
      </c>
      <c r="M1239" s="12"/>
      <c r="N1239" s="12"/>
      <c r="O1239" s="15" t="s">
        <v>4686</v>
      </c>
      <c r="P1239" s="16" t="n">
        <f aca="false">MAX(Q1238,P1229)</f>
        <v>46405</v>
      </c>
      <c r="Q1239" s="16" t="n">
        <f aca="false">P1239+K1239</f>
        <v>46407</v>
      </c>
      <c r="R1239" s="12"/>
      <c r="S1239" s="12"/>
    </row>
    <row r="1240" customFormat="false" ht="15" hidden="false" customHeight="false" outlineLevel="0" collapsed="false">
      <c r="A1240" s="15" t="s">
        <v>4687</v>
      </c>
      <c r="B1240" s="15" t="s">
        <v>4684</v>
      </c>
      <c r="C1240" s="15" t="s">
        <v>400</v>
      </c>
      <c r="D1240" s="15" t="s">
        <v>2066</v>
      </c>
      <c r="E1240" s="15" t="s">
        <v>2113</v>
      </c>
      <c r="F1240" s="15" t="s">
        <v>3005</v>
      </c>
      <c r="G1240" s="15" t="s">
        <v>3006</v>
      </c>
      <c r="H1240" s="33" t="n">
        <f aca="false">Packages!$AC$118</f>
        <v>7</v>
      </c>
      <c r="I1240" s="15" t="s">
        <v>3007</v>
      </c>
      <c r="J1240" s="34" t="n">
        <f aca="false">IF(Packages!$AC$118=0,0,MAX(1,ROUNDUP(Packages!$AC$118/(R_PILE*Fronts!$H$10),0)))</f>
        <v>2</v>
      </c>
      <c r="K1240" s="34" t="n">
        <f aca="false">IF(J1240=0,0,ROUNDUP(J1240*7/WD,0))</f>
        <v>3</v>
      </c>
      <c r="L1240" s="15" t="s">
        <v>4685</v>
      </c>
      <c r="M1240" s="34" t="n">
        <f aca="false">ROUNDUP(K1239*LADDER,0)</f>
        <v>1</v>
      </c>
      <c r="N1240" s="34" t="n">
        <f aca="false">IF(K1240=0,0,FFLAG)</f>
        <v>2</v>
      </c>
      <c r="O1240" s="15" t="s">
        <v>3008</v>
      </c>
      <c r="P1240" s="16" t="n">
        <f aca="false">MAX(P1239+M1240,D_PILEDES,R1229)</f>
        <v>46410</v>
      </c>
      <c r="Q1240" s="16" t="n">
        <f aca="false">MAX(P1240+K1240,Q1239+N1240)</f>
        <v>46413</v>
      </c>
      <c r="R1240" s="16" t="n">
        <f aca="false">IF(K1240&gt;0,Q1240,R1229)</f>
        <v>46413</v>
      </c>
      <c r="S1240" s="15" t="s">
        <v>4672</v>
      </c>
    </row>
    <row r="1241" customFormat="false" ht="15" hidden="false" customHeight="false" outlineLevel="0" collapsed="false">
      <c r="A1241" s="15" t="s">
        <v>4688</v>
      </c>
      <c r="B1241" s="15" t="s">
        <v>4684</v>
      </c>
      <c r="C1241" s="15" t="s">
        <v>400</v>
      </c>
      <c r="D1241" s="15" t="s">
        <v>2066</v>
      </c>
      <c r="E1241" s="15" t="s">
        <v>2113</v>
      </c>
      <c r="F1241" s="15" t="s">
        <v>3010</v>
      </c>
      <c r="G1241" s="15" t="s">
        <v>3011</v>
      </c>
      <c r="H1241" s="33" t="n">
        <f aca="false">Packages!$AD$118</f>
        <v>0</v>
      </c>
      <c r="I1241" s="15" t="s">
        <v>3012</v>
      </c>
      <c r="J1241" s="34" t="n">
        <f aca="false">IF(Packages!$AD$118=0,0,MAX(1,ROUNDUP(Packages!$AD$118/(R_SHEET*Fronts!$I$10),0)))</f>
        <v>0</v>
      </c>
      <c r="K1241" s="34" t="n">
        <f aca="false">IF(J1241=0,0,ROUNDUP(J1241*7/WD,0))</f>
        <v>0</v>
      </c>
      <c r="L1241" s="15" t="s">
        <v>4687</v>
      </c>
      <c r="M1241" s="34" t="n">
        <f aca="false">ROUNDUP(K1240*LADDER,0)</f>
        <v>1</v>
      </c>
      <c r="N1241" s="34" t="n">
        <f aca="false">IF(K1241=0,0,FFLAG)</f>
        <v>0</v>
      </c>
      <c r="O1241" s="15"/>
      <c r="P1241" s="16" t="n">
        <f aca="false">MAX(P1240+M1241,R1230)</f>
        <v>46411</v>
      </c>
      <c r="Q1241" s="16" t="n">
        <f aca="false">MAX(P1241+K1241,Q1240+N1241)</f>
        <v>46413</v>
      </c>
      <c r="R1241" s="16" t="n">
        <f aca="false">IF(K1241&gt;0,Q1241,R1230)</f>
        <v>46398</v>
      </c>
      <c r="S1241" s="15" t="s">
        <v>4673</v>
      </c>
    </row>
    <row r="1242" customFormat="false" ht="15" hidden="false" customHeight="false" outlineLevel="0" collapsed="false">
      <c r="A1242" s="15" t="s">
        <v>4689</v>
      </c>
      <c r="B1242" s="15" t="s">
        <v>4684</v>
      </c>
      <c r="C1242" s="15" t="s">
        <v>400</v>
      </c>
      <c r="D1242" s="15" t="s">
        <v>2066</v>
      </c>
      <c r="E1242" s="15" t="s">
        <v>2113</v>
      </c>
      <c r="F1242" s="15" t="s">
        <v>3014</v>
      </c>
      <c r="G1242" s="15" t="s">
        <v>3015</v>
      </c>
      <c r="H1242" s="33" t="n">
        <f aca="false">Packages!$O$118</f>
        <v>16.0000000003377</v>
      </c>
      <c r="I1242" s="15" t="s">
        <v>118</v>
      </c>
      <c r="J1242" s="34" t="n">
        <f aca="false">IF(Packages!$AG$118=0,0,ROUNDUP(Packages!$O$118/R_DW,0)+DW_DRAW)</f>
        <v>8</v>
      </c>
      <c r="K1242" s="34" t="n">
        <f aca="false">IF(J1242=0,0,ROUNDUP(J1242*7/WD,0))</f>
        <v>10</v>
      </c>
      <c r="L1242" s="15" t="s">
        <v>4688</v>
      </c>
      <c r="M1242" s="34" t="n">
        <f aca="false">ROUNDUP(K1241*LADDER,0)</f>
        <v>0</v>
      </c>
      <c r="N1242" s="34" t="n">
        <f aca="false">IF(K1242=0,0,FFLAG)</f>
        <v>2</v>
      </c>
      <c r="O1242" s="15" t="s">
        <v>4690</v>
      </c>
      <c r="P1242" s="16" t="n">
        <f aca="false">MAX(P1241+M1242,Q1232-K1242)</f>
        <v>46448</v>
      </c>
      <c r="Q1242" s="16" t="n">
        <f aca="false">MAX(P1242+K1242,Q1241+N1242)</f>
        <v>46458</v>
      </c>
      <c r="R1242" s="12"/>
      <c r="S1242" s="12"/>
    </row>
    <row r="1243" customFormat="false" ht="15" hidden="false" customHeight="false" outlineLevel="0" collapsed="false">
      <c r="A1243" s="15" t="s">
        <v>4691</v>
      </c>
      <c r="B1243" s="15" t="s">
        <v>4684</v>
      </c>
      <c r="C1243" s="15" t="s">
        <v>400</v>
      </c>
      <c r="D1243" s="15" t="s">
        <v>2066</v>
      </c>
      <c r="E1243" s="15" t="s">
        <v>2113</v>
      </c>
      <c r="F1243" s="15" t="s">
        <v>3017</v>
      </c>
      <c r="G1243" s="15" t="s">
        <v>3018</v>
      </c>
      <c r="H1243" s="33" t="n">
        <f aca="false">Packages!$X$118+Packages!$Y$118</f>
        <v>99.3179310209058</v>
      </c>
      <c r="I1243" s="15" t="s">
        <v>3019</v>
      </c>
      <c r="J1243" s="34" t="n">
        <f aca="false">MAX(1,ROUNDUP((Packages!$X$118/R_EXS+Packages!$Y$118/R_EXO)/Fronts!$J$10,0))</f>
        <v>1</v>
      </c>
      <c r="K1243" s="34" t="n">
        <f aca="false">IF(J1243=0,0,ROUNDUP(J1243*7/WD,0))</f>
        <v>2</v>
      </c>
      <c r="L1243" s="15" t="s">
        <v>4689</v>
      </c>
      <c r="M1243" s="34" t="n">
        <f aca="false">IF(K1242=0,0,ROUNDUP((K1242-ROUNDUP(DW_DRAW*7/WD,0))*LADDER,0)+ROUNDUP(DW_DRAW*7/WD,0))</f>
        <v>10</v>
      </c>
      <c r="N1243" s="34" t="n">
        <f aca="false">IF(K1243=0,0,FFLAG)</f>
        <v>2</v>
      </c>
      <c r="O1243" s="15" t="s">
        <v>4692</v>
      </c>
      <c r="P1243" s="16" t="n">
        <f aca="false">MAX(P1242+M1243,R1232,Q950,Q972,Q1170,Q906)</f>
        <v>46458</v>
      </c>
      <c r="Q1243" s="16" t="n">
        <f aca="false">MAX(P1243+K1243,Q1242+N1243)</f>
        <v>46460</v>
      </c>
      <c r="R1243" s="16" t="n">
        <f aca="false">IF(K1243&gt;0,Q1243,R1232)</f>
        <v>46460</v>
      </c>
      <c r="S1243" s="15" t="s">
        <v>4676</v>
      </c>
    </row>
    <row r="1244" customFormat="false" ht="15" hidden="false" customHeight="false" outlineLevel="0" collapsed="false">
      <c r="A1244" s="15" t="s">
        <v>4693</v>
      </c>
      <c r="B1244" s="15" t="s">
        <v>4684</v>
      </c>
      <c r="C1244" s="15" t="s">
        <v>400</v>
      </c>
      <c r="D1244" s="15" t="s">
        <v>2066</v>
      </c>
      <c r="E1244" s="15" t="s">
        <v>2113</v>
      </c>
      <c r="F1244" s="15" t="s">
        <v>3022</v>
      </c>
      <c r="G1244" s="15" t="s">
        <v>3023</v>
      </c>
      <c r="H1244" s="33" t="n">
        <f aca="false">Packages!$O$118</f>
        <v>16.0000000003377</v>
      </c>
      <c r="I1244" s="15" t="s">
        <v>118</v>
      </c>
      <c r="J1244" s="34" t="n">
        <f aca="false">MAX(1,ROUNDUP(Packages!$O$118/(R_SLAB*Fronts!$K$10),0))+SLAB_CURE</f>
        <v>5</v>
      </c>
      <c r="K1244" s="34" t="n">
        <f aca="false">IF(J1244=0,0,ROUNDUP(J1244*7/WD,0))</f>
        <v>6</v>
      </c>
      <c r="L1244" s="15" t="s">
        <v>4691</v>
      </c>
      <c r="M1244" s="34" t="n">
        <f aca="false">ROUNDUP(K1243*LADDER,0)</f>
        <v>1</v>
      </c>
      <c r="N1244" s="34" t="n">
        <f aca="false">IF(K1244=0,0,FFLAG)</f>
        <v>2</v>
      </c>
      <c r="O1244" s="15"/>
      <c r="P1244" s="16" t="n">
        <f aca="false">MAX(P1243+M1244,R1233)</f>
        <v>46466</v>
      </c>
      <c r="Q1244" s="16" t="n">
        <f aca="false">MAX(P1244+K1244,Q1243+N1244)</f>
        <v>46472</v>
      </c>
      <c r="R1244" s="16" t="n">
        <f aca="false">IF(K1244&gt;0,Q1244,R1233)</f>
        <v>46472</v>
      </c>
      <c r="S1244" s="15" t="s">
        <v>4678</v>
      </c>
    </row>
    <row r="1245" customFormat="false" ht="15" hidden="false" customHeight="false" outlineLevel="0" collapsed="false">
      <c r="A1245" s="15" t="s">
        <v>4694</v>
      </c>
      <c r="B1245" s="15" t="s">
        <v>4684</v>
      </c>
      <c r="C1245" s="15" t="s">
        <v>400</v>
      </c>
      <c r="D1245" s="15" t="s">
        <v>2066</v>
      </c>
      <c r="E1245" s="15" t="s">
        <v>2113</v>
      </c>
      <c r="F1245" s="15" t="s">
        <v>3025</v>
      </c>
      <c r="G1245" s="15" t="s">
        <v>3026</v>
      </c>
      <c r="H1245" s="33" t="n">
        <f aca="false">Packages!$O$118</f>
        <v>16.0000000003377</v>
      </c>
      <c r="I1245" s="15" t="s">
        <v>118</v>
      </c>
      <c r="J1245" s="34" t="n">
        <f aca="false">MAX(1,ROUNDUP(Packages!$O$118/(IF(Packages!$N$118&gt;=PIPE_T1,R_PIPE_L,IF(Packages!$N$118&gt;=PIPE_T2,R_PIPE_M,R_PIPE_S))*Fronts!$L$10)+Packages!$M$118*FIT_D+IF(Packages!$G$118&lt;&gt;"Run",TIE_D,0),0))</f>
        <v>1</v>
      </c>
      <c r="K1245" s="34" t="n">
        <f aca="false">IF(J1245=0,0,ROUNDUP(J1245*7/WD,0))</f>
        <v>2</v>
      </c>
      <c r="L1245" s="15" t="s">
        <v>4693</v>
      </c>
      <c r="M1245" s="34" t="n">
        <f aca="false">ROUNDUP(K1244*LADDER,0)</f>
        <v>2</v>
      </c>
      <c r="N1245" s="34" t="n">
        <f aca="false">IF(K1245=0,0,FFLAG)</f>
        <v>2</v>
      </c>
      <c r="O1245" s="15"/>
      <c r="P1245" s="16" t="n">
        <f aca="false">MAX(P1244+M1245,R1234)</f>
        <v>46468</v>
      </c>
      <c r="Q1245" s="16" t="n">
        <f aca="false">MAX(P1245+K1245,Q1244+N1245)</f>
        <v>46474</v>
      </c>
      <c r="R1245" s="16" t="n">
        <f aca="false">IF(K1245&gt;0,Q1245,R1234)</f>
        <v>46474</v>
      </c>
      <c r="S1245" s="15" t="s">
        <v>4679</v>
      </c>
    </row>
    <row r="1246" customFormat="false" ht="15" hidden="false" customHeight="false" outlineLevel="0" collapsed="false">
      <c r="A1246" s="15" t="s">
        <v>4695</v>
      </c>
      <c r="B1246" s="15" t="s">
        <v>4684</v>
      </c>
      <c r="C1246" s="15" t="s">
        <v>400</v>
      </c>
      <c r="D1246" s="15" t="s">
        <v>2066</v>
      </c>
      <c r="E1246" s="15" t="s">
        <v>2113</v>
      </c>
      <c r="F1246" s="15" t="s">
        <v>3028</v>
      </c>
      <c r="G1246" s="15" t="s">
        <v>3029</v>
      </c>
      <c r="H1246" s="33" t="n">
        <f aca="false">Packages!$O$118</f>
        <v>16.0000000003377</v>
      </c>
      <c r="I1246" s="15" t="s">
        <v>118</v>
      </c>
      <c r="J1246" s="34" t="n">
        <f aca="false">TEST_D+ROUNDUP(Packages!$O$118/R_TEST,0)</f>
        <v>3</v>
      </c>
      <c r="K1246" s="34" t="n">
        <f aca="false">IF(J1246=0,0,ROUNDUP(J1246*7/WD,0))</f>
        <v>4</v>
      </c>
      <c r="L1246" s="15" t="s">
        <v>4694</v>
      </c>
      <c r="M1246" s="34" t="n">
        <f aca="false">ROUNDUP(K1245*LADDER,0)</f>
        <v>1</v>
      </c>
      <c r="N1246" s="34" t="n">
        <f aca="false">IF(K1246=0,0,FFLAG)</f>
        <v>2</v>
      </c>
      <c r="O1246" s="15"/>
      <c r="P1246" s="16" t="n">
        <f aca="false">MAX(P1245+M1246)</f>
        <v>46469</v>
      </c>
      <c r="Q1246" s="16" t="n">
        <f aca="false">MAX(P1246+K1246,Q1245+N1246)</f>
        <v>46476</v>
      </c>
      <c r="R1246" s="12"/>
      <c r="S1246" s="12"/>
    </row>
    <row r="1247" customFormat="false" ht="15" hidden="false" customHeight="false" outlineLevel="0" collapsed="false">
      <c r="A1247" s="15" t="s">
        <v>4696</v>
      </c>
      <c r="B1247" s="15" t="s">
        <v>4684</v>
      </c>
      <c r="C1247" s="15" t="s">
        <v>400</v>
      </c>
      <c r="D1247" s="15" t="s">
        <v>2066</v>
      </c>
      <c r="E1247" s="15" t="s">
        <v>2113</v>
      </c>
      <c r="F1247" s="15" t="s">
        <v>3031</v>
      </c>
      <c r="G1247" s="15" t="s">
        <v>3032</v>
      </c>
      <c r="H1247" s="33" t="n">
        <f aca="false">Packages!$AB$118</f>
        <v>81.2904752348101</v>
      </c>
      <c r="I1247" s="15" t="s">
        <v>3019</v>
      </c>
      <c r="J1247" s="34" t="n">
        <f aca="false">MAX(1,ROUNDUP(Packages!$AB$118/(R_BF*Fronts!$M$10),0))</f>
        <v>1</v>
      </c>
      <c r="K1247" s="34" t="n">
        <f aca="false">IF(J1247=0,0,ROUNDUP(J1247*7/WD,0))</f>
        <v>2</v>
      </c>
      <c r="L1247" s="15" t="s">
        <v>4695</v>
      </c>
      <c r="M1247" s="34" t="n">
        <f aca="false">ROUNDUP(K1246*LADDER,0)</f>
        <v>2</v>
      </c>
      <c r="N1247" s="34" t="n">
        <f aca="false">IF(K1247=0,0,FFLAG)</f>
        <v>2</v>
      </c>
      <c r="O1247" s="15"/>
      <c r="P1247" s="16" t="n">
        <f aca="false">MAX(P1246+M1247,R1236)</f>
        <v>46472</v>
      </c>
      <c r="Q1247" s="16" t="n">
        <f aca="false">MAX(P1247+K1247,Q1246+N1247)</f>
        <v>46478</v>
      </c>
      <c r="R1247" s="16" t="n">
        <f aca="false">IF(K1247&gt;0,Q1247,R1236)</f>
        <v>46478</v>
      </c>
      <c r="S1247" s="15" t="s">
        <v>4681</v>
      </c>
    </row>
    <row r="1248" customFormat="false" ht="15" hidden="false" customHeight="false" outlineLevel="0" collapsed="false">
      <c r="A1248" s="15" t="s">
        <v>4697</v>
      </c>
      <c r="B1248" s="15" t="s">
        <v>4684</v>
      </c>
      <c r="C1248" s="15" t="s">
        <v>400</v>
      </c>
      <c r="D1248" s="15" t="s">
        <v>2066</v>
      </c>
      <c r="E1248" s="15" t="s">
        <v>2113</v>
      </c>
      <c r="F1248" s="15" t="s">
        <v>3034</v>
      </c>
      <c r="G1248" s="15" t="s">
        <v>3035</v>
      </c>
      <c r="H1248" s="33" t="n">
        <f aca="false">Packages!$AD$118</f>
        <v>0</v>
      </c>
      <c r="I1248" s="15" t="s">
        <v>3012</v>
      </c>
      <c r="J1248" s="34" t="n">
        <f aca="false">IF(Packages!$AD$118&gt;0,ROUNDUP(Packages!$AD$118/R_EXT,0),0)+IF(Packages!$AG$118&gt;0,1,0)</f>
        <v>1</v>
      </c>
      <c r="K1248" s="34" t="n">
        <f aca="false">IF(J1248=0,0,ROUNDUP(J1248*7/WD,0))</f>
        <v>2</v>
      </c>
      <c r="L1248" s="15" t="s">
        <v>4696</v>
      </c>
      <c r="M1248" s="34" t="n">
        <f aca="false">ROUNDUP(K1247*LADDER,0)</f>
        <v>1</v>
      </c>
      <c r="N1248" s="34" t="n">
        <f aca="false">IF(K1248=0,0,FFLAG)</f>
        <v>2</v>
      </c>
      <c r="O1248" s="15"/>
      <c r="P1248" s="16" t="n">
        <f aca="false">MAX(P1247+M1248)</f>
        <v>46473</v>
      </c>
      <c r="Q1248" s="16" t="n">
        <f aca="false">MAX(P1248+K1248,Q1247+N1248)</f>
        <v>46480</v>
      </c>
      <c r="R1248" s="12"/>
      <c r="S1248" s="12"/>
    </row>
    <row r="1249" customFormat="false" ht="15" hidden="false" customHeight="false" outlineLevel="0" collapsed="false">
      <c r="A1249" s="15" t="s">
        <v>4698</v>
      </c>
      <c r="B1249" s="15" t="s">
        <v>4699</v>
      </c>
      <c r="C1249" s="15" t="s">
        <v>400</v>
      </c>
      <c r="D1249" s="15" t="s">
        <v>2066</v>
      </c>
      <c r="E1249" s="15" t="s">
        <v>2095</v>
      </c>
      <c r="F1249" s="15" t="s">
        <v>2998</v>
      </c>
      <c r="G1249" s="15" t="s">
        <v>2999</v>
      </c>
      <c r="H1249" s="12"/>
      <c r="I1249" s="12"/>
      <c r="J1249" s="34" t="n">
        <f aca="false">0</f>
        <v>0</v>
      </c>
      <c r="K1249" s="34" t="n">
        <f aca="false">IF(J1249=0,0,ROUNDUP(J1249*7/WD,0))</f>
        <v>0</v>
      </c>
      <c r="L1249" s="12"/>
      <c r="M1249" s="12"/>
      <c r="N1249" s="12"/>
      <c r="O1249" s="15" t="s">
        <v>3000</v>
      </c>
      <c r="P1249" s="16" t="n">
        <f aca="false">MAX(START,D_DLU,Packages!$I$119,Packages!$K$119)</f>
        <v>46357</v>
      </c>
      <c r="Q1249" s="16" t="n">
        <f aca="false">P1249+K1249</f>
        <v>46357</v>
      </c>
      <c r="R1249" s="12"/>
      <c r="S1249" s="12"/>
    </row>
    <row r="1250" customFormat="false" ht="15" hidden="false" customHeight="false" outlineLevel="0" collapsed="false">
      <c r="A1250" s="15" t="s">
        <v>4700</v>
      </c>
      <c r="B1250" s="15" t="s">
        <v>4699</v>
      </c>
      <c r="C1250" s="15" t="s">
        <v>400</v>
      </c>
      <c r="D1250" s="15" t="s">
        <v>2066</v>
      </c>
      <c r="E1250" s="15" t="s">
        <v>2095</v>
      </c>
      <c r="F1250" s="15" t="s">
        <v>3002</v>
      </c>
      <c r="G1250" s="15" t="s">
        <v>205</v>
      </c>
      <c r="H1250" s="33" t="n">
        <f aca="false">Packages!$O$119</f>
        <v>45.3874709630171</v>
      </c>
      <c r="I1250" s="15" t="s">
        <v>118</v>
      </c>
      <c r="J1250" s="34" t="n">
        <f aca="false">MAX(1,ROUNDUP(Packages!$O$119/R_PLAT,0))</f>
        <v>1</v>
      </c>
      <c r="K1250" s="34" t="n">
        <f aca="false">IF(J1250=0,0,ROUNDUP(J1250*7/WD,0))</f>
        <v>2</v>
      </c>
      <c r="L1250" s="15" t="s">
        <v>4698</v>
      </c>
      <c r="M1250" s="12"/>
      <c r="N1250" s="12"/>
      <c r="O1250" s="15" t="s">
        <v>4701</v>
      </c>
      <c r="P1250" s="16" t="n">
        <f aca="false">MAX(Q1249,P1240)</f>
        <v>46410</v>
      </c>
      <c r="Q1250" s="16" t="n">
        <f aca="false">P1250+K1250</f>
        <v>46412</v>
      </c>
      <c r="R1250" s="12"/>
      <c r="S1250" s="12"/>
    </row>
    <row r="1251" customFormat="false" ht="15" hidden="false" customHeight="false" outlineLevel="0" collapsed="false">
      <c r="A1251" s="15" t="s">
        <v>4702</v>
      </c>
      <c r="B1251" s="15" t="s">
        <v>4699</v>
      </c>
      <c r="C1251" s="15" t="s">
        <v>400</v>
      </c>
      <c r="D1251" s="15" t="s">
        <v>2066</v>
      </c>
      <c r="E1251" s="15" t="s">
        <v>2095</v>
      </c>
      <c r="F1251" s="15" t="s">
        <v>3005</v>
      </c>
      <c r="G1251" s="15" t="s">
        <v>3006</v>
      </c>
      <c r="H1251" s="33" t="n">
        <f aca="false">Packages!$AC$119</f>
        <v>17</v>
      </c>
      <c r="I1251" s="15" t="s">
        <v>3007</v>
      </c>
      <c r="J1251" s="34" t="n">
        <f aca="false">IF(Packages!$AC$119=0,0,MAX(1,ROUNDUP(Packages!$AC$119/(R_PILE*Fronts!$H$10),0)))</f>
        <v>4</v>
      </c>
      <c r="K1251" s="34" t="n">
        <f aca="false">IF(J1251=0,0,ROUNDUP(J1251*7/WD,0))</f>
        <v>5</v>
      </c>
      <c r="L1251" s="15" t="s">
        <v>4700</v>
      </c>
      <c r="M1251" s="34" t="n">
        <f aca="false">ROUNDUP(K1250*LADDER,0)</f>
        <v>1</v>
      </c>
      <c r="N1251" s="34" t="n">
        <f aca="false">IF(K1251=0,0,FFLAG)</f>
        <v>2</v>
      </c>
      <c r="O1251" s="15" t="s">
        <v>3008</v>
      </c>
      <c r="P1251" s="16" t="n">
        <f aca="false">MAX(P1250+M1251,D_PILEDES,R1240)</f>
        <v>46413</v>
      </c>
      <c r="Q1251" s="16" t="n">
        <f aca="false">MAX(P1251+K1251,Q1250+N1251)</f>
        <v>46418</v>
      </c>
      <c r="R1251" s="16" t="n">
        <f aca="false">IF(K1251&gt;0,Q1251,R1240)</f>
        <v>46418</v>
      </c>
      <c r="S1251" s="15" t="s">
        <v>4687</v>
      </c>
    </row>
    <row r="1252" customFormat="false" ht="15" hidden="false" customHeight="false" outlineLevel="0" collapsed="false">
      <c r="A1252" s="15" t="s">
        <v>4703</v>
      </c>
      <c r="B1252" s="15" t="s">
        <v>4699</v>
      </c>
      <c r="C1252" s="15" t="s">
        <v>400</v>
      </c>
      <c r="D1252" s="15" t="s">
        <v>2066</v>
      </c>
      <c r="E1252" s="15" t="s">
        <v>2095</v>
      </c>
      <c r="F1252" s="15" t="s">
        <v>3010</v>
      </c>
      <c r="G1252" s="15" t="s">
        <v>3011</v>
      </c>
      <c r="H1252" s="33" t="n">
        <f aca="false">Packages!$AD$119</f>
        <v>27.978103222119</v>
      </c>
      <c r="I1252" s="15" t="s">
        <v>3012</v>
      </c>
      <c r="J1252" s="34" t="n">
        <f aca="false">IF(Packages!$AD$119=0,0,MAX(1,ROUNDUP(Packages!$AD$119/(R_SHEET*Fronts!$I$10),0)))</f>
        <v>2</v>
      </c>
      <c r="K1252" s="34" t="n">
        <f aca="false">IF(J1252=0,0,ROUNDUP(J1252*7/WD,0))</f>
        <v>3</v>
      </c>
      <c r="L1252" s="15" t="s">
        <v>4702</v>
      </c>
      <c r="M1252" s="34" t="n">
        <f aca="false">ROUNDUP(K1251*LADDER,0)</f>
        <v>2</v>
      </c>
      <c r="N1252" s="34" t="n">
        <f aca="false">IF(K1252=0,0,FFLAG)</f>
        <v>2</v>
      </c>
      <c r="O1252" s="15"/>
      <c r="P1252" s="16" t="n">
        <f aca="false">MAX(P1251+M1252,R1241)</f>
        <v>46415</v>
      </c>
      <c r="Q1252" s="16" t="n">
        <f aca="false">MAX(P1252+K1252,Q1251+N1252)</f>
        <v>46420</v>
      </c>
      <c r="R1252" s="16" t="n">
        <f aca="false">IF(K1252&gt;0,Q1252,R1241)</f>
        <v>46420</v>
      </c>
      <c r="S1252" s="15" t="s">
        <v>4688</v>
      </c>
    </row>
    <row r="1253" customFormat="false" ht="15" hidden="false" customHeight="false" outlineLevel="0" collapsed="false">
      <c r="A1253" s="15" t="s">
        <v>4704</v>
      </c>
      <c r="B1253" s="15" t="s">
        <v>4699</v>
      </c>
      <c r="C1253" s="15" t="s">
        <v>400</v>
      </c>
      <c r="D1253" s="15" t="s">
        <v>2066</v>
      </c>
      <c r="E1253" s="15" t="s">
        <v>2095</v>
      </c>
      <c r="F1253" s="15" t="s">
        <v>3014</v>
      </c>
      <c r="G1253" s="15" t="s">
        <v>3015</v>
      </c>
      <c r="H1253" s="33" t="n">
        <f aca="false">Packages!$O$119</f>
        <v>45.3874709630171</v>
      </c>
      <c r="I1253" s="15" t="s">
        <v>118</v>
      </c>
      <c r="J1253" s="34" t="n">
        <f aca="false">IF(Packages!$AG$119=0,0,ROUNDUP(Packages!$O$119/R_DW,0)+DW_DRAW)</f>
        <v>9</v>
      </c>
      <c r="K1253" s="34" t="n">
        <f aca="false">IF(J1253=0,0,ROUNDUP(J1253*7/WD,0))</f>
        <v>11</v>
      </c>
      <c r="L1253" s="15" t="s">
        <v>4703</v>
      </c>
      <c r="M1253" s="34" t="n">
        <f aca="false">ROUNDUP(K1252*LADDER,0)</f>
        <v>1</v>
      </c>
      <c r="N1253" s="34" t="n">
        <f aca="false">IF(K1253=0,0,FFLAG)</f>
        <v>2</v>
      </c>
      <c r="O1253" s="15" t="s">
        <v>4705</v>
      </c>
      <c r="P1253" s="16" t="n">
        <f aca="false">MAX(P1252+M1253,Q1243-K1253)</f>
        <v>46449</v>
      </c>
      <c r="Q1253" s="16" t="n">
        <f aca="false">MAX(P1253+K1253,Q1252+N1253)</f>
        <v>46460</v>
      </c>
      <c r="R1253" s="12"/>
      <c r="S1253" s="12"/>
    </row>
    <row r="1254" customFormat="false" ht="15" hidden="false" customHeight="false" outlineLevel="0" collapsed="false">
      <c r="A1254" s="15" t="s">
        <v>4706</v>
      </c>
      <c r="B1254" s="15" t="s">
        <v>4699</v>
      </c>
      <c r="C1254" s="15" t="s">
        <v>400</v>
      </c>
      <c r="D1254" s="15" t="s">
        <v>2066</v>
      </c>
      <c r="E1254" s="15" t="s">
        <v>2095</v>
      </c>
      <c r="F1254" s="15" t="s">
        <v>3017</v>
      </c>
      <c r="G1254" s="15" t="s">
        <v>3018</v>
      </c>
      <c r="H1254" s="33" t="n">
        <f aca="false">Packages!$X$119+Packages!$Y$119</f>
        <v>247.401393771596</v>
      </c>
      <c r="I1254" s="15" t="s">
        <v>3019</v>
      </c>
      <c r="J1254" s="34" t="n">
        <f aca="false">MAX(1,ROUNDUP((Packages!$X$119/R_EXS+Packages!$Y$119/R_EXO)/Fronts!$J$10,0))</f>
        <v>1</v>
      </c>
      <c r="K1254" s="34" t="n">
        <f aca="false">IF(J1254=0,0,ROUNDUP(J1254*7/WD,0))</f>
        <v>2</v>
      </c>
      <c r="L1254" s="15" t="s">
        <v>4704</v>
      </c>
      <c r="M1254" s="34" t="n">
        <f aca="false">IF(K1253=0,0,ROUNDUP((K1253-ROUNDUP(DW_DRAW*7/WD,0))*LADDER,0)+ROUNDUP(DW_DRAW*7/WD,0))</f>
        <v>10</v>
      </c>
      <c r="N1254" s="34" t="n">
        <f aca="false">IF(K1254=0,0,FFLAG)</f>
        <v>2</v>
      </c>
      <c r="O1254" s="15" t="s">
        <v>4707</v>
      </c>
      <c r="P1254" s="16" t="n">
        <f aca="false">MAX(P1253+M1254,R1243,Q950,Q1181,Q1170,Q906)</f>
        <v>46460</v>
      </c>
      <c r="Q1254" s="16" t="n">
        <f aca="false">MAX(P1254+K1254,Q1253+N1254)</f>
        <v>46462</v>
      </c>
      <c r="R1254" s="16" t="n">
        <f aca="false">IF(K1254&gt;0,Q1254,R1243)</f>
        <v>46462</v>
      </c>
      <c r="S1254" s="15" t="s">
        <v>4691</v>
      </c>
    </row>
    <row r="1255" customFormat="false" ht="15" hidden="false" customHeight="false" outlineLevel="0" collapsed="false">
      <c r="A1255" s="15" t="s">
        <v>4708</v>
      </c>
      <c r="B1255" s="15" t="s">
        <v>4699</v>
      </c>
      <c r="C1255" s="15" t="s">
        <v>400</v>
      </c>
      <c r="D1255" s="15" t="s">
        <v>2066</v>
      </c>
      <c r="E1255" s="15" t="s">
        <v>2095</v>
      </c>
      <c r="F1255" s="15" t="s">
        <v>3022</v>
      </c>
      <c r="G1255" s="15" t="s">
        <v>3023</v>
      </c>
      <c r="H1255" s="33" t="n">
        <f aca="false">Packages!$O$119</f>
        <v>45.3874709630171</v>
      </c>
      <c r="I1255" s="15" t="s">
        <v>118</v>
      </c>
      <c r="J1255" s="34" t="n">
        <f aca="false">MAX(1,ROUNDUP(Packages!$O$119/(R_SLAB*Fronts!$K$10),0))+SLAB_CURE</f>
        <v>7</v>
      </c>
      <c r="K1255" s="34" t="n">
        <f aca="false">IF(J1255=0,0,ROUNDUP(J1255*7/WD,0))</f>
        <v>9</v>
      </c>
      <c r="L1255" s="15" t="s">
        <v>4706</v>
      </c>
      <c r="M1255" s="34" t="n">
        <f aca="false">ROUNDUP(K1254*LADDER,0)</f>
        <v>1</v>
      </c>
      <c r="N1255" s="34" t="n">
        <f aca="false">IF(K1255=0,0,FFLAG)</f>
        <v>2</v>
      </c>
      <c r="O1255" s="15"/>
      <c r="P1255" s="16" t="n">
        <f aca="false">MAX(P1254+M1255,R1244)</f>
        <v>46472</v>
      </c>
      <c r="Q1255" s="16" t="n">
        <f aca="false">MAX(P1255+K1255,Q1254+N1255)</f>
        <v>46481</v>
      </c>
      <c r="R1255" s="16" t="n">
        <f aca="false">IF(K1255&gt;0,Q1255,R1244)</f>
        <v>46481</v>
      </c>
      <c r="S1255" s="15" t="s">
        <v>4693</v>
      </c>
    </row>
    <row r="1256" customFormat="false" ht="15" hidden="false" customHeight="false" outlineLevel="0" collapsed="false">
      <c r="A1256" s="15" t="s">
        <v>4709</v>
      </c>
      <c r="B1256" s="15" t="s">
        <v>4699</v>
      </c>
      <c r="C1256" s="15" t="s">
        <v>400</v>
      </c>
      <c r="D1256" s="15" t="s">
        <v>2066</v>
      </c>
      <c r="E1256" s="15" t="s">
        <v>2095</v>
      </c>
      <c r="F1256" s="15" t="s">
        <v>3025</v>
      </c>
      <c r="G1256" s="15" t="s">
        <v>3026</v>
      </c>
      <c r="H1256" s="33" t="n">
        <f aca="false">Packages!$O$119</f>
        <v>45.3874709630171</v>
      </c>
      <c r="I1256" s="15" t="s">
        <v>118</v>
      </c>
      <c r="J1256" s="34" t="n">
        <f aca="false">MAX(1,ROUNDUP(Packages!$O$119/(IF(Packages!$N$119&gt;=PIPE_T1,R_PIPE_L,IF(Packages!$N$119&gt;=PIPE_T2,R_PIPE_M,R_PIPE_S))*Fronts!$L$10)+Packages!$M$119*FIT_D+IF(Packages!$G$119&lt;&gt;"Run",TIE_D,0),0))</f>
        <v>6</v>
      </c>
      <c r="K1256" s="34" t="n">
        <f aca="false">IF(J1256=0,0,ROUNDUP(J1256*7/WD,0))</f>
        <v>7</v>
      </c>
      <c r="L1256" s="15" t="s">
        <v>4708</v>
      </c>
      <c r="M1256" s="34" t="n">
        <f aca="false">ROUNDUP(K1255*LADDER,0)</f>
        <v>3</v>
      </c>
      <c r="N1256" s="34" t="n">
        <f aca="false">IF(K1256=0,0,FFLAG)</f>
        <v>2</v>
      </c>
      <c r="O1256" s="15"/>
      <c r="P1256" s="16" t="n">
        <f aca="false">MAX(P1255+M1256,R1245)</f>
        <v>46475</v>
      </c>
      <c r="Q1256" s="16" t="n">
        <f aca="false">MAX(P1256+K1256,Q1255+N1256)</f>
        <v>46483</v>
      </c>
      <c r="R1256" s="16" t="n">
        <f aca="false">IF(K1256&gt;0,Q1256,R1245)</f>
        <v>46483</v>
      </c>
      <c r="S1256" s="15" t="s">
        <v>4694</v>
      </c>
    </row>
    <row r="1257" customFormat="false" ht="15" hidden="false" customHeight="false" outlineLevel="0" collapsed="false">
      <c r="A1257" s="15" t="s">
        <v>4710</v>
      </c>
      <c r="B1257" s="15" t="s">
        <v>4699</v>
      </c>
      <c r="C1257" s="15" t="s">
        <v>400</v>
      </c>
      <c r="D1257" s="15" t="s">
        <v>2066</v>
      </c>
      <c r="E1257" s="15" t="s">
        <v>2095</v>
      </c>
      <c r="F1257" s="15" t="s">
        <v>3028</v>
      </c>
      <c r="G1257" s="15" t="s">
        <v>3029</v>
      </c>
      <c r="H1257" s="33" t="n">
        <f aca="false">Packages!$O$119</f>
        <v>45.3874709630171</v>
      </c>
      <c r="I1257" s="15" t="s">
        <v>118</v>
      </c>
      <c r="J1257" s="34" t="n">
        <f aca="false">TEST_D+ROUNDUP(Packages!$O$119/R_TEST,0)</f>
        <v>3</v>
      </c>
      <c r="K1257" s="34" t="n">
        <f aca="false">IF(J1257=0,0,ROUNDUP(J1257*7/WD,0))</f>
        <v>4</v>
      </c>
      <c r="L1257" s="15" t="s">
        <v>4709</v>
      </c>
      <c r="M1257" s="34" t="n">
        <f aca="false">ROUNDUP(K1256*LADDER,0)</f>
        <v>3</v>
      </c>
      <c r="N1257" s="34" t="n">
        <f aca="false">IF(K1257=0,0,FFLAG)</f>
        <v>2</v>
      </c>
      <c r="O1257" s="15"/>
      <c r="P1257" s="16" t="n">
        <f aca="false">MAX(P1256+M1257)</f>
        <v>46478</v>
      </c>
      <c r="Q1257" s="16" t="n">
        <f aca="false">MAX(P1257+K1257,Q1256+N1257)</f>
        <v>46485</v>
      </c>
      <c r="R1257" s="12"/>
      <c r="S1257" s="12"/>
    </row>
    <row r="1258" customFormat="false" ht="15" hidden="false" customHeight="false" outlineLevel="0" collapsed="false">
      <c r="A1258" s="15" t="s">
        <v>4711</v>
      </c>
      <c r="B1258" s="15" t="s">
        <v>4699</v>
      </c>
      <c r="C1258" s="15" t="s">
        <v>400</v>
      </c>
      <c r="D1258" s="15" t="s">
        <v>2066</v>
      </c>
      <c r="E1258" s="15" t="s">
        <v>2095</v>
      </c>
      <c r="F1258" s="15" t="s">
        <v>3031</v>
      </c>
      <c r="G1258" s="15" t="s">
        <v>3032</v>
      </c>
      <c r="H1258" s="33" t="n">
        <f aca="false">Packages!$AB$119</f>
        <v>196.262509880381</v>
      </c>
      <c r="I1258" s="15" t="s">
        <v>3019</v>
      </c>
      <c r="J1258" s="34" t="n">
        <f aca="false">MAX(1,ROUNDUP(Packages!$AB$119/(R_BF*Fronts!$M$10),0))</f>
        <v>1</v>
      </c>
      <c r="K1258" s="34" t="n">
        <f aca="false">IF(J1258=0,0,ROUNDUP(J1258*7/WD,0))</f>
        <v>2</v>
      </c>
      <c r="L1258" s="15" t="s">
        <v>4710</v>
      </c>
      <c r="M1258" s="34" t="n">
        <f aca="false">ROUNDUP(K1257*LADDER,0)</f>
        <v>2</v>
      </c>
      <c r="N1258" s="34" t="n">
        <f aca="false">IF(K1258=0,0,FFLAG)</f>
        <v>2</v>
      </c>
      <c r="O1258" s="15"/>
      <c r="P1258" s="16" t="n">
        <f aca="false">MAX(P1257+M1258,R1247)</f>
        <v>46480</v>
      </c>
      <c r="Q1258" s="16" t="n">
        <f aca="false">MAX(P1258+K1258,Q1257+N1258)</f>
        <v>46487</v>
      </c>
      <c r="R1258" s="16" t="n">
        <f aca="false">IF(K1258&gt;0,Q1258,R1247)</f>
        <v>46487</v>
      </c>
      <c r="S1258" s="15" t="s">
        <v>4696</v>
      </c>
    </row>
    <row r="1259" customFormat="false" ht="15" hidden="false" customHeight="false" outlineLevel="0" collapsed="false">
      <c r="A1259" s="15" t="s">
        <v>4712</v>
      </c>
      <c r="B1259" s="15" t="s">
        <v>4699</v>
      </c>
      <c r="C1259" s="15" t="s">
        <v>400</v>
      </c>
      <c r="D1259" s="15" t="s">
        <v>2066</v>
      </c>
      <c r="E1259" s="15" t="s">
        <v>2095</v>
      </c>
      <c r="F1259" s="15" t="s">
        <v>3034</v>
      </c>
      <c r="G1259" s="15" t="s">
        <v>3035</v>
      </c>
      <c r="H1259" s="33" t="n">
        <f aca="false">Packages!$AD$119</f>
        <v>27.978103222119</v>
      </c>
      <c r="I1259" s="15" t="s">
        <v>3012</v>
      </c>
      <c r="J1259" s="34" t="n">
        <f aca="false">IF(Packages!$AD$119&gt;0,ROUNDUP(Packages!$AD$119/R_EXT,0),0)+IF(Packages!$AG$119&gt;0,1,0)</f>
        <v>2</v>
      </c>
      <c r="K1259" s="34" t="n">
        <f aca="false">IF(J1259=0,0,ROUNDUP(J1259*7/WD,0))</f>
        <v>3</v>
      </c>
      <c r="L1259" s="15" t="s">
        <v>4711</v>
      </c>
      <c r="M1259" s="34" t="n">
        <f aca="false">ROUNDUP(K1258*LADDER,0)</f>
        <v>1</v>
      </c>
      <c r="N1259" s="34" t="n">
        <f aca="false">IF(K1259=0,0,FFLAG)</f>
        <v>2</v>
      </c>
      <c r="O1259" s="15"/>
      <c r="P1259" s="16" t="n">
        <f aca="false">MAX(P1258+M1259)</f>
        <v>46481</v>
      </c>
      <c r="Q1259" s="16" t="n">
        <f aca="false">MAX(P1259+K1259,Q1258+N1259)</f>
        <v>46489</v>
      </c>
      <c r="R1259" s="12"/>
      <c r="S1259" s="12"/>
    </row>
    <row r="1260" customFormat="false" ht="15" hidden="false" customHeight="false" outlineLevel="0" collapsed="false">
      <c r="A1260" s="15" t="s">
        <v>4713</v>
      </c>
      <c r="B1260" s="15" t="s">
        <v>4714</v>
      </c>
      <c r="C1260" s="15" t="s">
        <v>400</v>
      </c>
      <c r="D1260" s="15" t="s">
        <v>2066</v>
      </c>
      <c r="E1260" s="15" t="s">
        <v>2085</v>
      </c>
      <c r="F1260" s="15" t="s">
        <v>2998</v>
      </c>
      <c r="G1260" s="15" t="s">
        <v>2999</v>
      </c>
      <c r="H1260" s="12"/>
      <c r="I1260" s="12"/>
      <c r="J1260" s="34" t="n">
        <f aca="false">0</f>
        <v>0</v>
      </c>
      <c r="K1260" s="34" t="n">
        <f aca="false">IF(J1260=0,0,ROUNDUP(J1260*7/WD,0))</f>
        <v>0</v>
      </c>
      <c r="L1260" s="12"/>
      <c r="M1260" s="12"/>
      <c r="N1260" s="12"/>
      <c r="O1260" s="15" t="s">
        <v>3000</v>
      </c>
      <c r="P1260" s="16" t="n">
        <f aca="false">MAX(START,D_DLU,Packages!$I$120,Packages!$K$120)</f>
        <v>46357</v>
      </c>
      <c r="Q1260" s="16" t="n">
        <f aca="false">P1260+K1260</f>
        <v>46357</v>
      </c>
      <c r="R1260" s="12"/>
      <c r="S1260" s="12"/>
    </row>
    <row r="1261" customFormat="false" ht="15" hidden="false" customHeight="false" outlineLevel="0" collapsed="false">
      <c r="A1261" s="15" t="s">
        <v>4715</v>
      </c>
      <c r="B1261" s="15" t="s">
        <v>4714</v>
      </c>
      <c r="C1261" s="15" t="s">
        <v>400</v>
      </c>
      <c r="D1261" s="15" t="s">
        <v>2066</v>
      </c>
      <c r="E1261" s="15" t="s">
        <v>2085</v>
      </c>
      <c r="F1261" s="15" t="s">
        <v>3002</v>
      </c>
      <c r="G1261" s="15" t="s">
        <v>205</v>
      </c>
      <c r="H1261" s="33" t="n">
        <f aca="false">Packages!$O$120</f>
        <v>32.6261990361808</v>
      </c>
      <c r="I1261" s="15" t="s">
        <v>118</v>
      </c>
      <c r="J1261" s="34" t="n">
        <f aca="false">MAX(1,ROUNDUP(Packages!$O$120/R_PLAT,0))</f>
        <v>1</v>
      </c>
      <c r="K1261" s="34" t="n">
        <f aca="false">IF(J1261=0,0,ROUNDUP(J1261*7/WD,0))</f>
        <v>2</v>
      </c>
      <c r="L1261" s="15" t="s">
        <v>4713</v>
      </c>
      <c r="M1261" s="12"/>
      <c r="N1261" s="12"/>
      <c r="O1261" s="15" t="s">
        <v>4716</v>
      </c>
      <c r="P1261" s="16" t="n">
        <f aca="false">MAX(Q1260,P1251)</f>
        <v>46413</v>
      </c>
      <c r="Q1261" s="16" t="n">
        <f aca="false">P1261+K1261</f>
        <v>46415</v>
      </c>
      <c r="R1261" s="12"/>
      <c r="S1261" s="12"/>
    </row>
    <row r="1262" customFormat="false" ht="15" hidden="false" customHeight="false" outlineLevel="0" collapsed="false">
      <c r="A1262" s="15" t="s">
        <v>4717</v>
      </c>
      <c r="B1262" s="15" t="s">
        <v>4714</v>
      </c>
      <c r="C1262" s="15" t="s">
        <v>400</v>
      </c>
      <c r="D1262" s="15" t="s">
        <v>2066</v>
      </c>
      <c r="E1262" s="15" t="s">
        <v>2085</v>
      </c>
      <c r="F1262" s="15" t="s">
        <v>3005</v>
      </c>
      <c r="G1262" s="15" t="s">
        <v>3006</v>
      </c>
      <c r="H1262" s="33" t="n">
        <f aca="false">Packages!$AC$120</f>
        <v>12</v>
      </c>
      <c r="I1262" s="15" t="s">
        <v>3007</v>
      </c>
      <c r="J1262" s="34" t="n">
        <f aca="false">IF(Packages!$AC$120=0,0,MAX(1,ROUNDUP(Packages!$AC$120/(R_PILE*Fronts!$H$10),0)))</f>
        <v>3</v>
      </c>
      <c r="K1262" s="34" t="n">
        <f aca="false">IF(J1262=0,0,ROUNDUP(J1262*7/WD,0))</f>
        <v>4</v>
      </c>
      <c r="L1262" s="15" t="s">
        <v>4715</v>
      </c>
      <c r="M1262" s="34" t="n">
        <f aca="false">ROUNDUP(K1261*LADDER,0)</f>
        <v>1</v>
      </c>
      <c r="N1262" s="34" t="n">
        <f aca="false">IF(K1262=0,0,FFLAG)</f>
        <v>2</v>
      </c>
      <c r="O1262" s="15" t="s">
        <v>3008</v>
      </c>
      <c r="P1262" s="16" t="n">
        <f aca="false">MAX(P1261+M1262,D_PILEDES,R1251)</f>
        <v>46418</v>
      </c>
      <c r="Q1262" s="16" t="n">
        <f aca="false">MAX(P1262+K1262,Q1261+N1262)</f>
        <v>46422</v>
      </c>
      <c r="R1262" s="16" t="n">
        <f aca="false">IF(K1262&gt;0,Q1262,R1251)</f>
        <v>46422</v>
      </c>
      <c r="S1262" s="15" t="s">
        <v>4702</v>
      </c>
    </row>
    <row r="1263" customFormat="false" ht="15" hidden="false" customHeight="false" outlineLevel="0" collapsed="false">
      <c r="A1263" s="15" t="s">
        <v>4718</v>
      </c>
      <c r="B1263" s="15" t="s">
        <v>4714</v>
      </c>
      <c r="C1263" s="15" t="s">
        <v>400</v>
      </c>
      <c r="D1263" s="15" t="s">
        <v>2066</v>
      </c>
      <c r="E1263" s="15" t="s">
        <v>2085</v>
      </c>
      <c r="F1263" s="15" t="s">
        <v>3010</v>
      </c>
      <c r="G1263" s="15" t="s">
        <v>3011</v>
      </c>
      <c r="H1263" s="33" t="n">
        <f aca="false">Packages!$AD$120</f>
        <v>65.1109780719413</v>
      </c>
      <c r="I1263" s="15" t="s">
        <v>3012</v>
      </c>
      <c r="J1263" s="34" t="n">
        <f aca="false">IF(Packages!$AD$120=0,0,MAX(1,ROUNDUP(Packages!$AD$120/(R_SHEET*Fronts!$I$10),0)))</f>
        <v>3</v>
      </c>
      <c r="K1263" s="34" t="n">
        <f aca="false">IF(J1263=0,0,ROUNDUP(J1263*7/WD,0))</f>
        <v>4</v>
      </c>
      <c r="L1263" s="15" t="s">
        <v>4717</v>
      </c>
      <c r="M1263" s="34" t="n">
        <f aca="false">ROUNDUP(K1262*LADDER,0)</f>
        <v>2</v>
      </c>
      <c r="N1263" s="34" t="n">
        <f aca="false">IF(K1263=0,0,FFLAG)</f>
        <v>2</v>
      </c>
      <c r="O1263" s="15"/>
      <c r="P1263" s="16" t="n">
        <f aca="false">MAX(P1262+M1263,R1252)</f>
        <v>46420</v>
      </c>
      <c r="Q1263" s="16" t="n">
        <f aca="false">MAX(P1263+K1263,Q1262+N1263)</f>
        <v>46424</v>
      </c>
      <c r="R1263" s="16" t="n">
        <f aca="false">IF(K1263&gt;0,Q1263,R1252)</f>
        <v>46424</v>
      </c>
      <c r="S1263" s="15" t="s">
        <v>4703</v>
      </c>
    </row>
    <row r="1264" customFormat="false" ht="15" hidden="false" customHeight="false" outlineLevel="0" collapsed="false">
      <c r="A1264" s="15" t="s">
        <v>4719</v>
      </c>
      <c r="B1264" s="15" t="s">
        <v>4714</v>
      </c>
      <c r="C1264" s="15" t="s">
        <v>400</v>
      </c>
      <c r="D1264" s="15" t="s">
        <v>2066</v>
      </c>
      <c r="E1264" s="15" t="s">
        <v>2085</v>
      </c>
      <c r="F1264" s="15" t="s">
        <v>3014</v>
      </c>
      <c r="G1264" s="15" t="s">
        <v>3015</v>
      </c>
      <c r="H1264" s="33" t="n">
        <f aca="false">Packages!$O$120</f>
        <v>32.6261990361808</v>
      </c>
      <c r="I1264" s="15" t="s">
        <v>118</v>
      </c>
      <c r="J1264" s="34" t="n">
        <f aca="false">IF(Packages!$AG$120=0,0,ROUNDUP(Packages!$O$120/R_DW,0)+DW_DRAW)</f>
        <v>8</v>
      </c>
      <c r="K1264" s="34" t="n">
        <f aca="false">IF(J1264=0,0,ROUNDUP(J1264*7/WD,0))</f>
        <v>10</v>
      </c>
      <c r="L1264" s="15" t="s">
        <v>4718</v>
      </c>
      <c r="M1264" s="34" t="n">
        <f aca="false">ROUNDUP(K1263*LADDER,0)</f>
        <v>2</v>
      </c>
      <c r="N1264" s="34" t="n">
        <f aca="false">IF(K1264=0,0,FFLAG)</f>
        <v>2</v>
      </c>
      <c r="O1264" s="15" t="s">
        <v>4720</v>
      </c>
      <c r="P1264" s="16" t="n">
        <f aca="false">MAX(P1263+M1264,Q1254-K1264)</f>
        <v>46452</v>
      </c>
      <c r="Q1264" s="16" t="n">
        <f aca="false">MAX(P1264+K1264,Q1263+N1264)</f>
        <v>46462</v>
      </c>
      <c r="R1264" s="12"/>
      <c r="S1264" s="12"/>
    </row>
    <row r="1265" customFormat="false" ht="15" hidden="false" customHeight="false" outlineLevel="0" collapsed="false">
      <c r="A1265" s="15" t="s">
        <v>4721</v>
      </c>
      <c r="B1265" s="15" t="s">
        <v>4714</v>
      </c>
      <c r="C1265" s="15" t="s">
        <v>400</v>
      </c>
      <c r="D1265" s="15" t="s">
        <v>2066</v>
      </c>
      <c r="E1265" s="15" t="s">
        <v>2085</v>
      </c>
      <c r="F1265" s="15" t="s">
        <v>3017</v>
      </c>
      <c r="G1265" s="15" t="s">
        <v>3018</v>
      </c>
      <c r="H1265" s="33" t="n">
        <f aca="false">Packages!$X$120+Packages!$Y$120</f>
        <v>366.815746197011</v>
      </c>
      <c r="I1265" s="15" t="s">
        <v>3019</v>
      </c>
      <c r="J1265" s="34" t="n">
        <f aca="false">MAX(1,ROUNDUP((Packages!$X$120/R_EXS+Packages!$Y$120/R_EXO)/Fronts!$J$10,0))</f>
        <v>2</v>
      </c>
      <c r="K1265" s="34" t="n">
        <f aca="false">IF(J1265=0,0,ROUNDUP(J1265*7/WD,0))</f>
        <v>3</v>
      </c>
      <c r="L1265" s="15" t="s">
        <v>4719</v>
      </c>
      <c r="M1265" s="34" t="n">
        <f aca="false">IF(K1264=0,0,ROUNDUP((K1264-ROUNDUP(DW_DRAW*7/WD,0))*LADDER,0)+ROUNDUP(DW_DRAW*7/WD,0))</f>
        <v>10</v>
      </c>
      <c r="N1265" s="34" t="n">
        <f aca="false">IF(K1265=0,0,FFLAG)</f>
        <v>2</v>
      </c>
      <c r="O1265" s="15"/>
      <c r="P1265" s="16" t="n">
        <f aca="false">MAX(P1264+M1265,R1254)</f>
        <v>46462</v>
      </c>
      <c r="Q1265" s="16" t="n">
        <f aca="false">MAX(P1265+K1265,Q1264+N1265)</f>
        <v>46465</v>
      </c>
      <c r="R1265" s="16" t="n">
        <f aca="false">IF(K1265&gt;0,Q1265,R1254)</f>
        <v>46465</v>
      </c>
      <c r="S1265" s="15" t="s">
        <v>4706</v>
      </c>
    </row>
    <row r="1266" customFormat="false" ht="15" hidden="false" customHeight="false" outlineLevel="0" collapsed="false">
      <c r="A1266" s="15" t="s">
        <v>4722</v>
      </c>
      <c r="B1266" s="15" t="s">
        <v>4714</v>
      </c>
      <c r="C1266" s="15" t="s">
        <v>400</v>
      </c>
      <c r="D1266" s="15" t="s">
        <v>2066</v>
      </c>
      <c r="E1266" s="15" t="s">
        <v>2085</v>
      </c>
      <c r="F1266" s="15" t="s">
        <v>3022</v>
      </c>
      <c r="G1266" s="15" t="s">
        <v>3023</v>
      </c>
      <c r="H1266" s="33" t="n">
        <f aca="false">Packages!$O$120</f>
        <v>32.6261990361808</v>
      </c>
      <c r="I1266" s="15" t="s">
        <v>118</v>
      </c>
      <c r="J1266" s="34" t="n">
        <f aca="false">MAX(1,ROUNDUP(Packages!$O$120/(R_SLAB*Fronts!$K$10),0))+SLAB_CURE</f>
        <v>6</v>
      </c>
      <c r="K1266" s="34" t="n">
        <f aca="false">IF(J1266=0,0,ROUNDUP(J1266*7/WD,0))</f>
        <v>7</v>
      </c>
      <c r="L1266" s="15" t="s">
        <v>4721</v>
      </c>
      <c r="M1266" s="34" t="n">
        <f aca="false">ROUNDUP(K1265*LADDER,0)</f>
        <v>1</v>
      </c>
      <c r="N1266" s="34" t="n">
        <f aca="false">IF(K1266=0,0,FFLAG)</f>
        <v>2</v>
      </c>
      <c r="O1266" s="15"/>
      <c r="P1266" s="16" t="n">
        <f aca="false">MAX(P1265+M1266,R1255)</f>
        <v>46481</v>
      </c>
      <c r="Q1266" s="16" t="n">
        <f aca="false">MAX(P1266+K1266,Q1265+N1266)</f>
        <v>46488</v>
      </c>
      <c r="R1266" s="16" t="n">
        <f aca="false">IF(K1266&gt;0,Q1266,R1255)</f>
        <v>46488</v>
      </c>
      <c r="S1266" s="15" t="s">
        <v>4708</v>
      </c>
    </row>
    <row r="1267" customFormat="false" ht="15" hidden="false" customHeight="false" outlineLevel="0" collapsed="false">
      <c r="A1267" s="15" t="s">
        <v>4723</v>
      </c>
      <c r="B1267" s="15" t="s">
        <v>4714</v>
      </c>
      <c r="C1267" s="15" t="s">
        <v>400</v>
      </c>
      <c r="D1267" s="15" t="s">
        <v>2066</v>
      </c>
      <c r="E1267" s="15" t="s">
        <v>2085</v>
      </c>
      <c r="F1267" s="15" t="s">
        <v>3025</v>
      </c>
      <c r="G1267" s="15" t="s">
        <v>3026</v>
      </c>
      <c r="H1267" s="33" t="n">
        <f aca="false">Packages!$O$120</f>
        <v>32.6261990361808</v>
      </c>
      <c r="I1267" s="15" t="s">
        <v>118</v>
      </c>
      <c r="J1267" s="34" t="n">
        <f aca="false">MAX(1,ROUNDUP(Packages!$O$120/(IF(Packages!$N$120&gt;=PIPE_T1,R_PIPE_L,IF(Packages!$N$120&gt;=PIPE_T2,R_PIPE_M,R_PIPE_S))*Fronts!$L$10)+Packages!$M$120*FIT_D+IF(Packages!$G$120&lt;&gt;"Run",TIE_D,0),0))</f>
        <v>4</v>
      </c>
      <c r="K1267" s="34" t="n">
        <f aca="false">IF(J1267=0,0,ROUNDUP(J1267*7/WD,0))</f>
        <v>5</v>
      </c>
      <c r="L1267" s="15" t="s">
        <v>4722</v>
      </c>
      <c r="M1267" s="34" t="n">
        <f aca="false">ROUNDUP(K1266*LADDER,0)</f>
        <v>3</v>
      </c>
      <c r="N1267" s="34" t="n">
        <f aca="false">IF(K1267=0,0,FFLAG)</f>
        <v>2</v>
      </c>
      <c r="O1267" s="15"/>
      <c r="P1267" s="16" t="n">
        <f aca="false">MAX(P1266+M1267,R1256)</f>
        <v>46484</v>
      </c>
      <c r="Q1267" s="16" t="n">
        <f aca="false">MAX(P1267+K1267,Q1266+N1267)</f>
        <v>46490</v>
      </c>
      <c r="R1267" s="16" t="n">
        <f aca="false">IF(K1267&gt;0,Q1267,R1256)</f>
        <v>46490</v>
      </c>
      <c r="S1267" s="15" t="s">
        <v>4709</v>
      </c>
    </row>
    <row r="1268" customFormat="false" ht="15" hidden="false" customHeight="false" outlineLevel="0" collapsed="false">
      <c r="A1268" s="15" t="s">
        <v>4724</v>
      </c>
      <c r="B1268" s="15" t="s">
        <v>4714</v>
      </c>
      <c r="C1268" s="15" t="s">
        <v>400</v>
      </c>
      <c r="D1268" s="15" t="s">
        <v>2066</v>
      </c>
      <c r="E1268" s="15" t="s">
        <v>2085</v>
      </c>
      <c r="F1268" s="15" t="s">
        <v>3028</v>
      </c>
      <c r="G1268" s="15" t="s">
        <v>3029</v>
      </c>
      <c r="H1268" s="33" t="n">
        <f aca="false">Packages!$O$120</f>
        <v>32.6261990361808</v>
      </c>
      <c r="I1268" s="15" t="s">
        <v>118</v>
      </c>
      <c r="J1268" s="34" t="n">
        <f aca="false">TEST_D+ROUNDUP(Packages!$O$120/R_TEST,0)</f>
        <v>3</v>
      </c>
      <c r="K1268" s="34" t="n">
        <f aca="false">IF(J1268=0,0,ROUNDUP(J1268*7/WD,0))</f>
        <v>4</v>
      </c>
      <c r="L1268" s="15" t="s">
        <v>4723</v>
      </c>
      <c r="M1268" s="34" t="n">
        <f aca="false">ROUNDUP(K1267*LADDER,0)</f>
        <v>2</v>
      </c>
      <c r="N1268" s="34" t="n">
        <f aca="false">IF(K1268=0,0,FFLAG)</f>
        <v>2</v>
      </c>
      <c r="O1268" s="15"/>
      <c r="P1268" s="16" t="n">
        <f aca="false">MAX(P1267+M1268)</f>
        <v>46486</v>
      </c>
      <c r="Q1268" s="16" t="n">
        <f aca="false">MAX(P1268+K1268,Q1267+N1268)</f>
        <v>46492</v>
      </c>
      <c r="R1268" s="12"/>
      <c r="S1268" s="12"/>
    </row>
    <row r="1269" customFormat="false" ht="15" hidden="false" customHeight="false" outlineLevel="0" collapsed="false">
      <c r="A1269" s="15" t="s">
        <v>4725</v>
      </c>
      <c r="B1269" s="15" t="s">
        <v>4714</v>
      </c>
      <c r="C1269" s="15" t="s">
        <v>400</v>
      </c>
      <c r="D1269" s="15" t="s">
        <v>2066</v>
      </c>
      <c r="E1269" s="15" t="s">
        <v>2085</v>
      </c>
      <c r="F1269" s="15" t="s">
        <v>3031</v>
      </c>
      <c r="G1269" s="15" t="s">
        <v>3032</v>
      </c>
      <c r="H1269" s="33" t="n">
        <f aca="false">Packages!$AB$120</f>
        <v>330.070148838601</v>
      </c>
      <c r="I1269" s="15" t="s">
        <v>3019</v>
      </c>
      <c r="J1269" s="34" t="n">
        <f aca="false">MAX(1,ROUNDUP(Packages!$AB$120/(R_BF*Fronts!$M$10),0))</f>
        <v>1</v>
      </c>
      <c r="K1269" s="34" t="n">
        <f aca="false">IF(J1269=0,0,ROUNDUP(J1269*7/WD,0))</f>
        <v>2</v>
      </c>
      <c r="L1269" s="15" t="s">
        <v>4724</v>
      </c>
      <c r="M1269" s="34" t="n">
        <f aca="false">ROUNDUP(K1268*LADDER,0)</f>
        <v>2</v>
      </c>
      <c r="N1269" s="34" t="n">
        <f aca="false">IF(K1269=0,0,FFLAG)</f>
        <v>2</v>
      </c>
      <c r="O1269" s="15"/>
      <c r="P1269" s="16" t="n">
        <f aca="false">MAX(P1268+M1269,R1258)</f>
        <v>46488</v>
      </c>
      <c r="Q1269" s="16" t="n">
        <f aca="false">MAX(P1269+K1269,Q1268+N1269)</f>
        <v>46494</v>
      </c>
      <c r="R1269" s="16" t="n">
        <f aca="false">IF(K1269&gt;0,Q1269,R1258)</f>
        <v>46494</v>
      </c>
      <c r="S1269" s="15" t="s">
        <v>4711</v>
      </c>
    </row>
    <row r="1270" customFormat="false" ht="15" hidden="false" customHeight="false" outlineLevel="0" collapsed="false">
      <c r="A1270" s="15" t="s">
        <v>4726</v>
      </c>
      <c r="B1270" s="15" t="s">
        <v>4714</v>
      </c>
      <c r="C1270" s="15" t="s">
        <v>400</v>
      </c>
      <c r="D1270" s="15" t="s">
        <v>2066</v>
      </c>
      <c r="E1270" s="15" t="s">
        <v>2085</v>
      </c>
      <c r="F1270" s="15" t="s">
        <v>3034</v>
      </c>
      <c r="G1270" s="15" t="s">
        <v>3035</v>
      </c>
      <c r="H1270" s="33" t="n">
        <f aca="false">Packages!$AD$120</f>
        <v>65.1109780719413</v>
      </c>
      <c r="I1270" s="15" t="s">
        <v>3012</v>
      </c>
      <c r="J1270" s="34" t="n">
        <f aca="false">IF(Packages!$AD$120&gt;0,ROUNDUP(Packages!$AD$120/R_EXT,0),0)+IF(Packages!$AG$120&gt;0,1,0)</f>
        <v>3</v>
      </c>
      <c r="K1270" s="34" t="n">
        <f aca="false">IF(J1270=0,0,ROUNDUP(J1270*7/WD,0))</f>
        <v>4</v>
      </c>
      <c r="L1270" s="15" t="s">
        <v>4725</v>
      </c>
      <c r="M1270" s="34" t="n">
        <f aca="false">ROUNDUP(K1269*LADDER,0)</f>
        <v>1</v>
      </c>
      <c r="N1270" s="34" t="n">
        <f aca="false">IF(K1270=0,0,FFLAG)</f>
        <v>2</v>
      </c>
      <c r="O1270" s="15"/>
      <c r="P1270" s="16" t="n">
        <f aca="false">MAX(P1269+M1270)</f>
        <v>46489</v>
      </c>
      <c r="Q1270" s="16" t="n">
        <f aca="false">MAX(P1270+K1270,Q1269+N1270)</f>
        <v>46496</v>
      </c>
      <c r="R1270" s="12"/>
      <c r="S1270" s="12"/>
    </row>
    <row r="1271" customFormat="false" ht="15" hidden="false" customHeight="false" outlineLevel="0" collapsed="false">
      <c r="A1271" s="15" t="s">
        <v>4727</v>
      </c>
      <c r="B1271" s="15" t="s">
        <v>4728</v>
      </c>
      <c r="C1271" s="15" t="s">
        <v>400</v>
      </c>
      <c r="D1271" s="15" t="s">
        <v>2066</v>
      </c>
      <c r="E1271" s="15" t="s">
        <v>2081</v>
      </c>
      <c r="F1271" s="15" t="s">
        <v>2998</v>
      </c>
      <c r="G1271" s="15" t="s">
        <v>2999</v>
      </c>
      <c r="H1271" s="12"/>
      <c r="I1271" s="12"/>
      <c r="J1271" s="34" t="n">
        <f aca="false">0</f>
        <v>0</v>
      </c>
      <c r="K1271" s="34" t="n">
        <f aca="false">IF(J1271=0,0,ROUNDUP(J1271*7/WD,0))</f>
        <v>0</v>
      </c>
      <c r="L1271" s="12"/>
      <c r="M1271" s="12"/>
      <c r="N1271" s="12"/>
      <c r="O1271" s="15" t="s">
        <v>3000</v>
      </c>
      <c r="P1271" s="16" t="n">
        <f aca="false">MAX(START,D_DLU,Packages!$I$121,Packages!$K$121)</f>
        <v>46357</v>
      </c>
      <c r="Q1271" s="16" t="n">
        <f aca="false">P1271+K1271</f>
        <v>46357</v>
      </c>
      <c r="R1271" s="12"/>
      <c r="S1271" s="12"/>
    </row>
    <row r="1272" customFormat="false" ht="15" hidden="false" customHeight="false" outlineLevel="0" collapsed="false">
      <c r="A1272" s="15" t="s">
        <v>4729</v>
      </c>
      <c r="B1272" s="15" t="s">
        <v>4728</v>
      </c>
      <c r="C1272" s="15" t="s">
        <v>400</v>
      </c>
      <c r="D1272" s="15" t="s">
        <v>2066</v>
      </c>
      <c r="E1272" s="15" t="s">
        <v>2081</v>
      </c>
      <c r="F1272" s="15" t="s">
        <v>3002</v>
      </c>
      <c r="G1272" s="15" t="s">
        <v>205</v>
      </c>
      <c r="H1272" s="33" t="n">
        <f aca="false">Packages!$O$121</f>
        <v>23.0000000003473</v>
      </c>
      <c r="I1272" s="15" t="s">
        <v>118</v>
      </c>
      <c r="J1272" s="34" t="n">
        <f aca="false">MAX(1,ROUNDUP(Packages!$O$121/R_PLAT,0))</f>
        <v>1</v>
      </c>
      <c r="K1272" s="34" t="n">
        <f aca="false">IF(J1272=0,0,ROUNDUP(J1272*7/WD,0))</f>
        <v>2</v>
      </c>
      <c r="L1272" s="15" t="s">
        <v>4727</v>
      </c>
      <c r="M1272" s="12"/>
      <c r="N1272" s="12"/>
      <c r="O1272" s="15" t="s">
        <v>4730</v>
      </c>
      <c r="P1272" s="16" t="n">
        <f aca="false">MAX(Q1271,P1262)</f>
        <v>46418</v>
      </c>
      <c r="Q1272" s="16" t="n">
        <f aca="false">P1272+K1272</f>
        <v>46420</v>
      </c>
      <c r="R1272" s="12"/>
      <c r="S1272" s="12"/>
    </row>
    <row r="1273" customFormat="false" ht="15" hidden="false" customHeight="false" outlineLevel="0" collapsed="false">
      <c r="A1273" s="15" t="s">
        <v>4731</v>
      </c>
      <c r="B1273" s="15" t="s">
        <v>4728</v>
      </c>
      <c r="C1273" s="15" t="s">
        <v>400</v>
      </c>
      <c r="D1273" s="15" t="s">
        <v>2066</v>
      </c>
      <c r="E1273" s="15" t="s">
        <v>2081</v>
      </c>
      <c r="F1273" s="15" t="s">
        <v>3005</v>
      </c>
      <c r="G1273" s="15" t="s">
        <v>3006</v>
      </c>
      <c r="H1273" s="33" t="n">
        <f aca="false">Packages!$AC$121</f>
        <v>9</v>
      </c>
      <c r="I1273" s="15" t="s">
        <v>3007</v>
      </c>
      <c r="J1273" s="34" t="n">
        <f aca="false">IF(Packages!$AC$121=0,0,MAX(1,ROUNDUP(Packages!$AC$121/(R_PILE*Fronts!$H$10),0)))</f>
        <v>2</v>
      </c>
      <c r="K1273" s="34" t="n">
        <f aca="false">IF(J1273=0,0,ROUNDUP(J1273*7/WD,0))</f>
        <v>3</v>
      </c>
      <c r="L1273" s="15" t="s">
        <v>4729</v>
      </c>
      <c r="M1273" s="34" t="n">
        <f aca="false">ROUNDUP(K1272*LADDER,0)</f>
        <v>1</v>
      </c>
      <c r="N1273" s="34" t="n">
        <f aca="false">IF(K1273=0,0,FFLAG)</f>
        <v>2</v>
      </c>
      <c r="O1273" s="15" t="s">
        <v>3008</v>
      </c>
      <c r="P1273" s="16" t="n">
        <f aca="false">MAX(P1272+M1273,D_PILEDES,R1262)</f>
        <v>46422</v>
      </c>
      <c r="Q1273" s="16" t="n">
        <f aca="false">MAX(P1273+K1273,Q1272+N1273)</f>
        <v>46425</v>
      </c>
      <c r="R1273" s="16" t="n">
        <f aca="false">IF(K1273&gt;0,Q1273,R1262)</f>
        <v>46425</v>
      </c>
      <c r="S1273" s="15" t="s">
        <v>4717</v>
      </c>
    </row>
    <row r="1274" customFormat="false" ht="15" hidden="false" customHeight="false" outlineLevel="0" collapsed="false">
      <c r="A1274" s="15" t="s">
        <v>4732</v>
      </c>
      <c r="B1274" s="15" t="s">
        <v>4728</v>
      </c>
      <c r="C1274" s="15" t="s">
        <v>400</v>
      </c>
      <c r="D1274" s="15" t="s">
        <v>2066</v>
      </c>
      <c r="E1274" s="15" t="s">
        <v>2081</v>
      </c>
      <c r="F1274" s="15" t="s">
        <v>3010</v>
      </c>
      <c r="G1274" s="15" t="s">
        <v>3011</v>
      </c>
      <c r="H1274" s="33" t="n">
        <f aca="false">Packages!$AD$121</f>
        <v>46.0000000006946</v>
      </c>
      <c r="I1274" s="15" t="s">
        <v>3012</v>
      </c>
      <c r="J1274" s="34" t="n">
        <f aca="false">IF(Packages!$AD$121=0,0,MAX(1,ROUNDUP(Packages!$AD$121/(R_SHEET*Fronts!$I$10),0)))</f>
        <v>2</v>
      </c>
      <c r="K1274" s="34" t="n">
        <f aca="false">IF(J1274=0,0,ROUNDUP(J1274*7/WD,0))</f>
        <v>3</v>
      </c>
      <c r="L1274" s="15" t="s">
        <v>4731</v>
      </c>
      <c r="M1274" s="34" t="n">
        <f aca="false">ROUNDUP(K1273*LADDER,0)</f>
        <v>1</v>
      </c>
      <c r="N1274" s="34" t="n">
        <f aca="false">IF(K1274=0,0,FFLAG)</f>
        <v>2</v>
      </c>
      <c r="O1274" s="15"/>
      <c r="P1274" s="16" t="n">
        <f aca="false">MAX(P1273+M1274,R1263)</f>
        <v>46424</v>
      </c>
      <c r="Q1274" s="16" t="n">
        <f aca="false">MAX(P1274+K1274,Q1273+N1274)</f>
        <v>46427</v>
      </c>
      <c r="R1274" s="16" t="n">
        <f aca="false">IF(K1274&gt;0,Q1274,R1263)</f>
        <v>46427</v>
      </c>
      <c r="S1274" s="15" t="s">
        <v>4718</v>
      </c>
    </row>
    <row r="1275" customFormat="false" ht="15" hidden="false" customHeight="false" outlineLevel="0" collapsed="false">
      <c r="A1275" s="15" t="s">
        <v>4733</v>
      </c>
      <c r="B1275" s="15" t="s">
        <v>4728</v>
      </c>
      <c r="C1275" s="15" t="s">
        <v>400</v>
      </c>
      <c r="D1275" s="15" t="s">
        <v>2066</v>
      </c>
      <c r="E1275" s="15" t="s">
        <v>2081</v>
      </c>
      <c r="F1275" s="15" t="s">
        <v>3014</v>
      </c>
      <c r="G1275" s="15" t="s">
        <v>3015</v>
      </c>
      <c r="H1275" s="33" t="n">
        <f aca="false">Packages!$O$121</f>
        <v>23.0000000003473</v>
      </c>
      <c r="I1275" s="15" t="s">
        <v>118</v>
      </c>
      <c r="J1275" s="34" t="n">
        <f aca="false">IF(Packages!$AG$121=0,0,ROUNDUP(Packages!$O$121/R_DW,0)+DW_DRAW)</f>
        <v>8</v>
      </c>
      <c r="K1275" s="34" t="n">
        <f aca="false">IF(J1275=0,0,ROUNDUP(J1275*7/WD,0))</f>
        <v>10</v>
      </c>
      <c r="L1275" s="15" t="s">
        <v>4732</v>
      </c>
      <c r="M1275" s="34" t="n">
        <f aca="false">ROUNDUP(K1274*LADDER,0)</f>
        <v>1</v>
      </c>
      <c r="N1275" s="34" t="n">
        <f aca="false">IF(K1275=0,0,FFLAG)</f>
        <v>2</v>
      </c>
      <c r="O1275" s="15" t="s">
        <v>4734</v>
      </c>
      <c r="P1275" s="16" t="n">
        <f aca="false">MAX(P1274+M1275,Q1265-K1275)</f>
        <v>46455</v>
      </c>
      <c r="Q1275" s="16" t="n">
        <f aca="false">MAX(P1275+K1275,Q1274+N1275)</f>
        <v>46465</v>
      </c>
      <c r="R1275" s="12"/>
      <c r="S1275" s="12"/>
    </row>
    <row r="1276" customFormat="false" ht="15" hidden="false" customHeight="false" outlineLevel="0" collapsed="false">
      <c r="A1276" s="15" t="s">
        <v>4735</v>
      </c>
      <c r="B1276" s="15" t="s">
        <v>4728</v>
      </c>
      <c r="C1276" s="15" t="s">
        <v>400</v>
      </c>
      <c r="D1276" s="15" t="s">
        <v>2066</v>
      </c>
      <c r="E1276" s="15" t="s">
        <v>2081</v>
      </c>
      <c r="F1276" s="15" t="s">
        <v>3017</v>
      </c>
      <c r="G1276" s="15" t="s">
        <v>3018</v>
      </c>
      <c r="H1276" s="33" t="n">
        <f aca="false">Packages!$X$121+Packages!$Y$121</f>
        <v>264.643565748483</v>
      </c>
      <c r="I1276" s="15" t="s">
        <v>3019</v>
      </c>
      <c r="J1276" s="34" t="n">
        <f aca="false">MAX(1,ROUNDUP((Packages!$X$121/R_EXS+Packages!$Y$121/R_EXO)/Fronts!$J$10,0))</f>
        <v>2</v>
      </c>
      <c r="K1276" s="34" t="n">
        <f aca="false">IF(J1276=0,0,ROUNDUP(J1276*7/WD,0))</f>
        <v>3</v>
      </c>
      <c r="L1276" s="15" t="s">
        <v>4733</v>
      </c>
      <c r="M1276" s="34" t="n">
        <f aca="false">IF(K1275=0,0,ROUNDUP((K1275-ROUNDUP(DW_DRAW*7/WD,0))*LADDER,0)+ROUNDUP(DW_DRAW*7/WD,0))</f>
        <v>10</v>
      </c>
      <c r="N1276" s="34" t="n">
        <f aca="false">IF(K1276=0,0,FFLAG)</f>
        <v>2</v>
      </c>
      <c r="O1276" s="15" t="s">
        <v>4736</v>
      </c>
      <c r="P1276" s="16" t="n">
        <f aca="false">MAX(P1275+M1276,R1265,Q1192,Q1181)</f>
        <v>46465</v>
      </c>
      <c r="Q1276" s="16" t="n">
        <f aca="false">MAX(P1276+K1276,Q1275+N1276)</f>
        <v>46468</v>
      </c>
      <c r="R1276" s="16" t="n">
        <f aca="false">IF(K1276&gt;0,Q1276,R1265)</f>
        <v>46468</v>
      </c>
      <c r="S1276" s="15" t="s">
        <v>4721</v>
      </c>
    </row>
    <row r="1277" customFormat="false" ht="15" hidden="false" customHeight="false" outlineLevel="0" collapsed="false">
      <c r="A1277" s="15" t="s">
        <v>4737</v>
      </c>
      <c r="B1277" s="15" t="s">
        <v>4728</v>
      </c>
      <c r="C1277" s="15" t="s">
        <v>400</v>
      </c>
      <c r="D1277" s="15" t="s">
        <v>2066</v>
      </c>
      <c r="E1277" s="15" t="s">
        <v>2081</v>
      </c>
      <c r="F1277" s="15" t="s">
        <v>3022</v>
      </c>
      <c r="G1277" s="15" t="s">
        <v>3023</v>
      </c>
      <c r="H1277" s="33" t="n">
        <f aca="false">Packages!$O$121</f>
        <v>23.0000000003473</v>
      </c>
      <c r="I1277" s="15" t="s">
        <v>118</v>
      </c>
      <c r="J1277" s="34" t="n">
        <f aca="false">MAX(1,ROUNDUP(Packages!$O$121/(R_SLAB*Fronts!$K$10),0))+SLAB_CURE</f>
        <v>5</v>
      </c>
      <c r="K1277" s="34" t="n">
        <f aca="false">IF(J1277=0,0,ROUNDUP(J1277*7/WD,0))</f>
        <v>6</v>
      </c>
      <c r="L1277" s="15" t="s">
        <v>4735</v>
      </c>
      <c r="M1277" s="34" t="n">
        <f aca="false">ROUNDUP(K1276*LADDER,0)</f>
        <v>1</v>
      </c>
      <c r="N1277" s="34" t="n">
        <f aca="false">IF(K1277=0,0,FFLAG)</f>
        <v>2</v>
      </c>
      <c r="O1277" s="15"/>
      <c r="P1277" s="16" t="n">
        <f aca="false">MAX(P1276+M1277,R1266)</f>
        <v>46488</v>
      </c>
      <c r="Q1277" s="16" t="n">
        <f aca="false">MAX(P1277+K1277,Q1276+N1277)</f>
        <v>46494</v>
      </c>
      <c r="R1277" s="16" t="n">
        <f aca="false">IF(K1277&gt;0,Q1277,R1266)</f>
        <v>46494</v>
      </c>
      <c r="S1277" s="15" t="s">
        <v>4722</v>
      </c>
    </row>
    <row r="1278" customFormat="false" ht="15" hidden="false" customHeight="false" outlineLevel="0" collapsed="false">
      <c r="A1278" s="15" t="s">
        <v>4738</v>
      </c>
      <c r="B1278" s="15" t="s">
        <v>4728</v>
      </c>
      <c r="C1278" s="15" t="s">
        <v>400</v>
      </c>
      <c r="D1278" s="15" t="s">
        <v>2066</v>
      </c>
      <c r="E1278" s="15" t="s">
        <v>2081</v>
      </c>
      <c r="F1278" s="15" t="s">
        <v>3025</v>
      </c>
      <c r="G1278" s="15" t="s">
        <v>3026</v>
      </c>
      <c r="H1278" s="33" t="n">
        <f aca="false">Packages!$O$121</f>
        <v>23.0000000003473</v>
      </c>
      <c r="I1278" s="15" t="s">
        <v>118</v>
      </c>
      <c r="J1278" s="34" t="n">
        <f aca="false">MAX(1,ROUNDUP(Packages!$O$121/(IF(Packages!$N$121&gt;=PIPE_T1,R_PIPE_L,IF(Packages!$N$121&gt;=PIPE_T2,R_PIPE_M,R_PIPE_S))*Fronts!$L$10)+Packages!$M$121*FIT_D+IF(Packages!$G$121&lt;&gt;"Run",TIE_D,0),0))</f>
        <v>1</v>
      </c>
      <c r="K1278" s="34" t="n">
        <f aca="false">IF(J1278=0,0,ROUNDUP(J1278*7/WD,0))</f>
        <v>2</v>
      </c>
      <c r="L1278" s="15" t="s">
        <v>4737</v>
      </c>
      <c r="M1278" s="34" t="n">
        <f aca="false">ROUNDUP(K1277*LADDER,0)</f>
        <v>2</v>
      </c>
      <c r="N1278" s="34" t="n">
        <f aca="false">IF(K1278=0,0,FFLAG)</f>
        <v>2</v>
      </c>
      <c r="O1278" s="15"/>
      <c r="P1278" s="16" t="n">
        <f aca="false">MAX(P1277+M1278,R1267)</f>
        <v>46490</v>
      </c>
      <c r="Q1278" s="16" t="n">
        <f aca="false">MAX(P1278+K1278,Q1277+N1278)</f>
        <v>46496</v>
      </c>
      <c r="R1278" s="16" t="n">
        <f aca="false">IF(K1278&gt;0,Q1278,R1267)</f>
        <v>46496</v>
      </c>
      <c r="S1278" s="15" t="s">
        <v>4723</v>
      </c>
    </row>
    <row r="1279" customFormat="false" ht="15" hidden="false" customHeight="false" outlineLevel="0" collapsed="false">
      <c r="A1279" s="15" t="s">
        <v>4739</v>
      </c>
      <c r="B1279" s="15" t="s">
        <v>4728</v>
      </c>
      <c r="C1279" s="15" t="s">
        <v>400</v>
      </c>
      <c r="D1279" s="15" t="s">
        <v>2066</v>
      </c>
      <c r="E1279" s="15" t="s">
        <v>2081</v>
      </c>
      <c r="F1279" s="15" t="s">
        <v>3028</v>
      </c>
      <c r="G1279" s="15" t="s">
        <v>3029</v>
      </c>
      <c r="H1279" s="33" t="n">
        <f aca="false">Packages!$O$121</f>
        <v>23.0000000003473</v>
      </c>
      <c r="I1279" s="15" t="s">
        <v>118</v>
      </c>
      <c r="J1279" s="34" t="n">
        <f aca="false">TEST_D+ROUNDUP(Packages!$O$121/R_TEST,0)</f>
        <v>3</v>
      </c>
      <c r="K1279" s="34" t="n">
        <f aca="false">IF(J1279=0,0,ROUNDUP(J1279*7/WD,0))</f>
        <v>4</v>
      </c>
      <c r="L1279" s="15" t="s">
        <v>4738</v>
      </c>
      <c r="M1279" s="34" t="n">
        <f aca="false">ROUNDUP(K1278*LADDER,0)</f>
        <v>1</v>
      </c>
      <c r="N1279" s="34" t="n">
        <f aca="false">IF(K1279=0,0,FFLAG)</f>
        <v>2</v>
      </c>
      <c r="O1279" s="15"/>
      <c r="P1279" s="16" t="n">
        <f aca="false">MAX(P1278+M1279)</f>
        <v>46491</v>
      </c>
      <c r="Q1279" s="16" t="n">
        <f aca="false">MAX(P1279+K1279,Q1278+N1279)</f>
        <v>46498</v>
      </c>
      <c r="R1279" s="12"/>
      <c r="S1279" s="12"/>
    </row>
    <row r="1280" customFormat="false" ht="15" hidden="false" customHeight="false" outlineLevel="0" collapsed="false">
      <c r="A1280" s="15" t="s">
        <v>4740</v>
      </c>
      <c r="B1280" s="15" t="s">
        <v>4728</v>
      </c>
      <c r="C1280" s="15" t="s">
        <v>400</v>
      </c>
      <c r="D1280" s="15" t="s">
        <v>2066</v>
      </c>
      <c r="E1280" s="15" t="s">
        <v>2081</v>
      </c>
      <c r="F1280" s="15" t="s">
        <v>3031</v>
      </c>
      <c r="G1280" s="15" t="s">
        <v>3032</v>
      </c>
      <c r="H1280" s="33" t="n">
        <f aca="false">Packages!$AB$121</f>
        <v>238.728949770644</v>
      </c>
      <c r="I1280" s="15" t="s">
        <v>3019</v>
      </c>
      <c r="J1280" s="34" t="n">
        <f aca="false">MAX(1,ROUNDUP(Packages!$AB$121/(R_BF*Fronts!$M$10),0))</f>
        <v>1</v>
      </c>
      <c r="K1280" s="34" t="n">
        <f aca="false">IF(J1280=0,0,ROUNDUP(J1280*7/WD,0))</f>
        <v>2</v>
      </c>
      <c r="L1280" s="15" t="s">
        <v>4739</v>
      </c>
      <c r="M1280" s="34" t="n">
        <f aca="false">ROUNDUP(K1279*LADDER,0)</f>
        <v>2</v>
      </c>
      <c r="N1280" s="34" t="n">
        <f aca="false">IF(K1280=0,0,FFLAG)</f>
        <v>2</v>
      </c>
      <c r="O1280" s="15"/>
      <c r="P1280" s="16" t="n">
        <f aca="false">MAX(P1279+M1280,R1269)</f>
        <v>46494</v>
      </c>
      <c r="Q1280" s="16" t="n">
        <f aca="false">MAX(P1280+K1280,Q1279+N1280)</f>
        <v>46500</v>
      </c>
      <c r="R1280" s="16" t="n">
        <f aca="false">IF(K1280&gt;0,Q1280,R1269)</f>
        <v>46500</v>
      </c>
      <c r="S1280" s="15" t="s">
        <v>4725</v>
      </c>
    </row>
    <row r="1281" customFormat="false" ht="15" hidden="false" customHeight="false" outlineLevel="0" collapsed="false">
      <c r="A1281" s="15" t="s">
        <v>4741</v>
      </c>
      <c r="B1281" s="15" t="s">
        <v>4728</v>
      </c>
      <c r="C1281" s="15" t="s">
        <v>400</v>
      </c>
      <c r="D1281" s="15" t="s">
        <v>2066</v>
      </c>
      <c r="E1281" s="15" t="s">
        <v>2081</v>
      </c>
      <c r="F1281" s="15" t="s">
        <v>3034</v>
      </c>
      <c r="G1281" s="15" t="s">
        <v>3035</v>
      </c>
      <c r="H1281" s="33" t="n">
        <f aca="false">Packages!$AD$121</f>
        <v>46.0000000006946</v>
      </c>
      <c r="I1281" s="15" t="s">
        <v>3012</v>
      </c>
      <c r="J1281" s="34" t="n">
        <f aca="false">IF(Packages!$AD$121&gt;0,ROUNDUP(Packages!$AD$121/R_EXT,0),0)+IF(Packages!$AG$121&gt;0,1,0)</f>
        <v>2</v>
      </c>
      <c r="K1281" s="34" t="n">
        <f aca="false">IF(J1281=0,0,ROUNDUP(J1281*7/WD,0))</f>
        <v>3</v>
      </c>
      <c r="L1281" s="15" t="s">
        <v>4740</v>
      </c>
      <c r="M1281" s="34" t="n">
        <f aca="false">ROUNDUP(K1280*LADDER,0)</f>
        <v>1</v>
      </c>
      <c r="N1281" s="34" t="n">
        <f aca="false">IF(K1281=0,0,FFLAG)</f>
        <v>2</v>
      </c>
      <c r="O1281" s="15"/>
      <c r="P1281" s="16" t="n">
        <f aca="false">MAX(P1280+M1281)</f>
        <v>46495</v>
      </c>
      <c r="Q1281" s="16" t="n">
        <f aca="false">MAX(P1281+K1281,Q1280+N1281)</f>
        <v>46502</v>
      </c>
      <c r="R1281" s="12"/>
      <c r="S1281" s="12"/>
    </row>
    <row r="1282" customFormat="false" ht="15" hidden="false" customHeight="false" outlineLevel="0" collapsed="false">
      <c r="A1282" s="15" t="s">
        <v>4742</v>
      </c>
      <c r="B1282" s="15" t="s">
        <v>4743</v>
      </c>
      <c r="C1282" s="15" t="s">
        <v>400</v>
      </c>
      <c r="D1282" s="15" t="s">
        <v>1341</v>
      </c>
      <c r="E1282" s="15" t="s">
        <v>1399</v>
      </c>
      <c r="F1282" s="15" t="s">
        <v>2998</v>
      </c>
      <c r="G1282" s="15" t="s">
        <v>2999</v>
      </c>
      <c r="H1282" s="12"/>
      <c r="I1282" s="12"/>
      <c r="J1282" s="34" t="n">
        <f aca="false">0</f>
        <v>0</v>
      </c>
      <c r="K1282" s="34" t="n">
        <f aca="false">IF(J1282=0,0,ROUNDUP(J1282*7/WD,0))</f>
        <v>0</v>
      </c>
      <c r="L1282" s="12"/>
      <c r="M1282" s="12"/>
      <c r="N1282" s="12"/>
      <c r="O1282" s="15" t="s">
        <v>3000</v>
      </c>
      <c r="P1282" s="16" t="n">
        <f aca="false">MAX(START,D_DLU,Packages!$I$122,Packages!$K$122)</f>
        <v>46357</v>
      </c>
      <c r="Q1282" s="16" t="n">
        <f aca="false">P1282+K1282</f>
        <v>46357</v>
      </c>
      <c r="R1282" s="12"/>
      <c r="S1282" s="12"/>
    </row>
    <row r="1283" customFormat="false" ht="15" hidden="false" customHeight="false" outlineLevel="0" collapsed="false">
      <c r="A1283" s="15" t="s">
        <v>4744</v>
      </c>
      <c r="B1283" s="15" t="s">
        <v>4743</v>
      </c>
      <c r="C1283" s="15" t="s">
        <v>400</v>
      </c>
      <c r="D1283" s="15" t="s">
        <v>1341</v>
      </c>
      <c r="E1283" s="15" t="s">
        <v>1399</v>
      </c>
      <c r="F1283" s="15" t="s">
        <v>3002</v>
      </c>
      <c r="G1283" s="15" t="s">
        <v>205</v>
      </c>
      <c r="H1283" s="33" t="n">
        <f aca="false">Packages!$O$122</f>
        <v>79.9312282294018</v>
      </c>
      <c r="I1283" s="15" t="s">
        <v>118</v>
      </c>
      <c r="J1283" s="34" t="n">
        <f aca="false">MAX(1,ROUNDUP(Packages!$O$122/R_PLAT,0))</f>
        <v>1</v>
      </c>
      <c r="K1283" s="34" t="n">
        <f aca="false">IF(J1283=0,0,ROUNDUP(J1283*7/WD,0))</f>
        <v>2</v>
      </c>
      <c r="L1283" s="15" t="s">
        <v>4742</v>
      </c>
      <c r="M1283" s="12"/>
      <c r="N1283" s="12"/>
      <c r="O1283" s="15" t="s">
        <v>4745</v>
      </c>
      <c r="P1283" s="16" t="n">
        <f aca="false">MAX(Q1282,P1273)</f>
        <v>46422</v>
      </c>
      <c r="Q1283" s="16" t="n">
        <f aca="false">P1283+K1283</f>
        <v>46424</v>
      </c>
      <c r="R1283" s="12"/>
      <c r="S1283" s="12"/>
    </row>
    <row r="1284" customFormat="false" ht="15" hidden="false" customHeight="false" outlineLevel="0" collapsed="false">
      <c r="A1284" s="15" t="s">
        <v>4746</v>
      </c>
      <c r="B1284" s="15" t="s">
        <v>4743</v>
      </c>
      <c r="C1284" s="15" t="s">
        <v>400</v>
      </c>
      <c r="D1284" s="15" t="s">
        <v>1341</v>
      </c>
      <c r="E1284" s="15" t="s">
        <v>1399</v>
      </c>
      <c r="F1284" s="15" t="s">
        <v>3005</v>
      </c>
      <c r="G1284" s="15" t="s">
        <v>3006</v>
      </c>
      <c r="H1284" s="33" t="n">
        <f aca="false">Packages!$AC$122</f>
        <v>56</v>
      </c>
      <c r="I1284" s="15" t="s">
        <v>3007</v>
      </c>
      <c r="J1284" s="34" t="n">
        <f aca="false">IF(Packages!$AC$122=0,0,MAX(1,ROUNDUP(Packages!$AC$122/(R_PILE*Fronts!$H$10),0)))</f>
        <v>12</v>
      </c>
      <c r="K1284" s="34" t="n">
        <f aca="false">IF(J1284=0,0,ROUNDUP(J1284*7/WD,0))</f>
        <v>14</v>
      </c>
      <c r="L1284" s="15" t="s">
        <v>4744</v>
      </c>
      <c r="M1284" s="34" t="n">
        <f aca="false">ROUNDUP(K1283*LADDER,0)</f>
        <v>1</v>
      </c>
      <c r="N1284" s="34" t="n">
        <f aca="false">IF(K1284=0,0,FFLAG)</f>
        <v>2</v>
      </c>
      <c r="O1284" s="15" t="s">
        <v>3008</v>
      </c>
      <c r="P1284" s="16" t="n">
        <f aca="false">MAX(P1283+M1284,D_PILEDES,R1273)</f>
        <v>46425</v>
      </c>
      <c r="Q1284" s="16" t="n">
        <f aca="false">MAX(P1284+K1284,Q1283+N1284)</f>
        <v>46439</v>
      </c>
      <c r="R1284" s="16" t="n">
        <f aca="false">IF(K1284&gt;0,Q1284,R1273)</f>
        <v>46439</v>
      </c>
      <c r="S1284" s="15" t="s">
        <v>4731</v>
      </c>
    </row>
    <row r="1285" customFormat="false" ht="15" hidden="false" customHeight="false" outlineLevel="0" collapsed="false">
      <c r="A1285" s="15" t="s">
        <v>4747</v>
      </c>
      <c r="B1285" s="15" t="s">
        <v>4743</v>
      </c>
      <c r="C1285" s="15" t="s">
        <v>400</v>
      </c>
      <c r="D1285" s="15" t="s">
        <v>1341</v>
      </c>
      <c r="E1285" s="15" t="s">
        <v>1399</v>
      </c>
      <c r="F1285" s="15" t="s">
        <v>3010</v>
      </c>
      <c r="G1285" s="15" t="s">
        <v>3011</v>
      </c>
      <c r="H1285" s="33" t="n">
        <f aca="false">Packages!$AD$122</f>
        <v>159.862456458804</v>
      </c>
      <c r="I1285" s="15" t="s">
        <v>3012</v>
      </c>
      <c r="J1285" s="34" t="n">
        <f aca="false">IF(Packages!$AD$122=0,0,MAX(1,ROUNDUP(Packages!$AD$122/(R_SHEET*Fronts!$I$10),0)))</f>
        <v>7</v>
      </c>
      <c r="K1285" s="34" t="n">
        <f aca="false">IF(J1285=0,0,ROUNDUP(J1285*7/WD,0))</f>
        <v>9</v>
      </c>
      <c r="L1285" s="15" t="s">
        <v>4746</v>
      </c>
      <c r="M1285" s="34" t="n">
        <f aca="false">ROUNDUP(K1284*LADDER,0)</f>
        <v>5</v>
      </c>
      <c r="N1285" s="34" t="n">
        <f aca="false">IF(K1285=0,0,FFLAG)</f>
        <v>2</v>
      </c>
      <c r="O1285" s="15"/>
      <c r="P1285" s="16" t="n">
        <f aca="false">MAX(P1284+M1285,R1274)</f>
        <v>46430</v>
      </c>
      <c r="Q1285" s="16" t="n">
        <f aca="false">MAX(P1285+K1285,Q1284+N1285)</f>
        <v>46441</v>
      </c>
      <c r="R1285" s="16" t="n">
        <f aca="false">IF(K1285&gt;0,Q1285,R1274)</f>
        <v>46441</v>
      </c>
      <c r="S1285" s="15" t="s">
        <v>4732</v>
      </c>
    </row>
    <row r="1286" customFormat="false" ht="15" hidden="false" customHeight="false" outlineLevel="0" collapsed="false">
      <c r="A1286" s="15" t="s">
        <v>4748</v>
      </c>
      <c r="B1286" s="15" t="s">
        <v>4743</v>
      </c>
      <c r="C1286" s="15" t="s">
        <v>400</v>
      </c>
      <c r="D1286" s="15" t="s">
        <v>1341</v>
      </c>
      <c r="E1286" s="15" t="s">
        <v>1399</v>
      </c>
      <c r="F1286" s="15" t="s">
        <v>3014</v>
      </c>
      <c r="G1286" s="15" t="s">
        <v>3015</v>
      </c>
      <c r="H1286" s="33" t="n">
        <f aca="false">Packages!$O$122</f>
        <v>79.9312282294018</v>
      </c>
      <c r="I1286" s="15" t="s">
        <v>118</v>
      </c>
      <c r="J1286" s="34" t="n">
        <f aca="false">IF(Packages!$AG$122=0,0,ROUNDUP(Packages!$O$122/R_DW,0)+DW_DRAW)</f>
        <v>9</v>
      </c>
      <c r="K1286" s="34" t="n">
        <f aca="false">IF(J1286=0,0,ROUNDUP(J1286*7/WD,0))</f>
        <v>11</v>
      </c>
      <c r="L1286" s="15" t="s">
        <v>4747</v>
      </c>
      <c r="M1286" s="34" t="n">
        <f aca="false">ROUNDUP(K1285*LADDER,0)</f>
        <v>3</v>
      </c>
      <c r="N1286" s="34" t="n">
        <f aca="false">IF(K1286=0,0,FFLAG)</f>
        <v>2</v>
      </c>
      <c r="O1286" s="15" t="s">
        <v>4749</v>
      </c>
      <c r="P1286" s="16" t="n">
        <f aca="false">MAX(P1285+M1286,Q1276-K1286)</f>
        <v>46457</v>
      </c>
      <c r="Q1286" s="16" t="n">
        <f aca="false">MAX(P1286+K1286,Q1285+N1286)</f>
        <v>46468</v>
      </c>
      <c r="R1286" s="12"/>
      <c r="S1286" s="12"/>
    </row>
    <row r="1287" customFormat="false" ht="15" hidden="false" customHeight="false" outlineLevel="0" collapsed="false">
      <c r="A1287" s="15" t="s">
        <v>4750</v>
      </c>
      <c r="B1287" s="15" t="s">
        <v>4743</v>
      </c>
      <c r="C1287" s="15" t="s">
        <v>400</v>
      </c>
      <c r="D1287" s="15" t="s">
        <v>1341</v>
      </c>
      <c r="E1287" s="15" t="s">
        <v>1399</v>
      </c>
      <c r="F1287" s="15" t="s">
        <v>3017</v>
      </c>
      <c r="G1287" s="15" t="s">
        <v>3018</v>
      </c>
      <c r="H1287" s="33" t="n">
        <f aca="false">Packages!$X$122+Packages!$Y$122</f>
        <v>843.448964634791</v>
      </c>
      <c r="I1287" s="15" t="s">
        <v>3019</v>
      </c>
      <c r="J1287" s="34" t="n">
        <f aca="false">MAX(1,ROUNDUP((Packages!$X$122/R_EXS+Packages!$Y$122/R_EXO)/Fronts!$J$10,0))</f>
        <v>4</v>
      </c>
      <c r="K1287" s="34" t="n">
        <f aca="false">IF(J1287=0,0,ROUNDUP(J1287*7/WD,0))</f>
        <v>5</v>
      </c>
      <c r="L1287" s="15" t="s">
        <v>4748</v>
      </c>
      <c r="M1287" s="34" t="n">
        <f aca="false">IF(K1286=0,0,ROUNDUP((K1286-ROUNDUP(DW_DRAW*7/WD,0))*LADDER,0)+ROUNDUP(DW_DRAW*7/WD,0))</f>
        <v>10</v>
      </c>
      <c r="N1287" s="34" t="n">
        <f aca="false">IF(K1287=0,0,FFLAG)</f>
        <v>2</v>
      </c>
      <c r="O1287" s="15"/>
      <c r="P1287" s="16" t="n">
        <f aca="false">MAX(P1286+M1287,R1276)</f>
        <v>46468</v>
      </c>
      <c r="Q1287" s="16" t="n">
        <f aca="false">MAX(P1287+K1287,Q1286+N1287)</f>
        <v>46473</v>
      </c>
      <c r="R1287" s="16" t="n">
        <f aca="false">IF(K1287&gt;0,Q1287,R1276)</f>
        <v>46473</v>
      </c>
      <c r="S1287" s="15" t="s">
        <v>4735</v>
      </c>
    </row>
    <row r="1288" customFormat="false" ht="15" hidden="false" customHeight="false" outlineLevel="0" collapsed="false">
      <c r="A1288" s="15" t="s">
        <v>4751</v>
      </c>
      <c r="B1288" s="15" t="s">
        <v>4743</v>
      </c>
      <c r="C1288" s="15" t="s">
        <v>400</v>
      </c>
      <c r="D1288" s="15" t="s">
        <v>1341</v>
      </c>
      <c r="E1288" s="15" t="s">
        <v>1399</v>
      </c>
      <c r="F1288" s="15" t="s">
        <v>3022</v>
      </c>
      <c r="G1288" s="15" t="s">
        <v>3023</v>
      </c>
      <c r="H1288" s="33" t="n">
        <f aca="false">Packages!$O$122</f>
        <v>79.9312282294018</v>
      </c>
      <c r="I1288" s="15" t="s">
        <v>118</v>
      </c>
      <c r="J1288" s="34" t="n">
        <f aca="false">MAX(1,ROUNDUP(Packages!$O$122/(R_SLAB*Fronts!$K$10),0))+SLAB_CURE</f>
        <v>10</v>
      </c>
      <c r="K1288" s="34" t="n">
        <f aca="false">IF(J1288=0,0,ROUNDUP(J1288*7/WD,0))</f>
        <v>12</v>
      </c>
      <c r="L1288" s="15" t="s">
        <v>4750</v>
      </c>
      <c r="M1288" s="34" t="n">
        <f aca="false">ROUNDUP(K1287*LADDER,0)</f>
        <v>2</v>
      </c>
      <c r="N1288" s="34" t="n">
        <f aca="false">IF(K1288=0,0,FFLAG)</f>
        <v>2</v>
      </c>
      <c r="O1288" s="15"/>
      <c r="P1288" s="16" t="n">
        <f aca="false">MAX(P1287+M1288,R1277)</f>
        <v>46494</v>
      </c>
      <c r="Q1288" s="16" t="n">
        <f aca="false">MAX(P1288+K1288,Q1287+N1288)</f>
        <v>46506</v>
      </c>
      <c r="R1288" s="16" t="n">
        <f aca="false">IF(K1288&gt;0,Q1288,R1277)</f>
        <v>46506</v>
      </c>
      <c r="S1288" s="15" t="s">
        <v>4737</v>
      </c>
    </row>
    <row r="1289" customFormat="false" ht="15" hidden="false" customHeight="false" outlineLevel="0" collapsed="false">
      <c r="A1289" s="15" t="s">
        <v>4752</v>
      </c>
      <c r="B1289" s="15" t="s">
        <v>4743</v>
      </c>
      <c r="C1289" s="15" t="s">
        <v>400</v>
      </c>
      <c r="D1289" s="15" t="s">
        <v>1341</v>
      </c>
      <c r="E1289" s="15" t="s">
        <v>1399</v>
      </c>
      <c r="F1289" s="15" t="s">
        <v>3025</v>
      </c>
      <c r="G1289" s="15" t="s">
        <v>3026</v>
      </c>
      <c r="H1289" s="33" t="n">
        <f aca="false">Packages!$O$122</f>
        <v>79.9312282294018</v>
      </c>
      <c r="I1289" s="15" t="s">
        <v>118</v>
      </c>
      <c r="J1289" s="34" t="n">
        <f aca="false">MAX(1,ROUNDUP(Packages!$O$122/(IF(Packages!$N$122&gt;=PIPE_T1,R_PIPE_L,IF(Packages!$N$122&gt;=PIPE_T2,R_PIPE_M,R_PIPE_S))*Fronts!$L$10)+Packages!$M$122*FIT_D+IF(Packages!$G$122&lt;&gt;"Run",TIE_D,0),0))</f>
        <v>8</v>
      </c>
      <c r="K1289" s="34" t="n">
        <f aca="false">IF(J1289=0,0,ROUNDUP(J1289*7/WD,0))</f>
        <v>10</v>
      </c>
      <c r="L1289" s="15" t="s">
        <v>4751</v>
      </c>
      <c r="M1289" s="34" t="n">
        <f aca="false">ROUNDUP(K1288*LADDER,0)</f>
        <v>4</v>
      </c>
      <c r="N1289" s="34" t="n">
        <f aca="false">IF(K1289=0,0,FFLAG)</f>
        <v>2</v>
      </c>
      <c r="O1289" s="15"/>
      <c r="P1289" s="16" t="n">
        <f aca="false">MAX(P1288+M1289,R1278)</f>
        <v>46498</v>
      </c>
      <c r="Q1289" s="16" t="n">
        <f aca="false">MAX(P1289+K1289,Q1288+N1289)</f>
        <v>46508</v>
      </c>
      <c r="R1289" s="16" t="n">
        <f aca="false">IF(K1289&gt;0,Q1289,R1278)</f>
        <v>46508</v>
      </c>
      <c r="S1289" s="15" t="s">
        <v>4738</v>
      </c>
    </row>
    <row r="1290" customFormat="false" ht="15" hidden="false" customHeight="false" outlineLevel="0" collapsed="false">
      <c r="A1290" s="15" t="s">
        <v>4753</v>
      </c>
      <c r="B1290" s="15" t="s">
        <v>4743</v>
      </c>
      <c r="C1290" s="15" t="s">
        <v>400</v>
      </c>
      <c r="D1290" s="15" t="s">
        <v>1341</v>
      </c>
      <c r="E1290" s="15" t="s">
        <v>1399</v>
      </c>
      <c r="F1290" s="15" t="s">
        <v>3028</v>
      </c>
      <c r="G1290" s="15" t="s">
        <v>3029</v>
      </c>
      <c r="H1290" s="33" t="n">
        <f aca="false">Packages!$O$122</f>
        <v>79.9312282294018</v>
      </c>
      <c r="I1290" s="15" t="s">
        <v>118</v>
      </c>
      <c r="J1290" s="34" t="n">
        <f aca="false">TEST_D+ROUNDUP(Packages!$O$122/R_TEST,0)</f>
        <v>3</v>
      </c>
      <c r="K1290" s="34" t="n">
        <f aca="false">IF(J1290=0,0,ROUNDUP(J1290*7/WD,0))</f>
        <v>4</v>
      </c>
      <c r="L1290" s="15" t="s">
        <v>4752</v>
      </c>
      <c r="M1290" s="34" t="n">
        <f aca="false">ROUNDUP(K1289*LADDER,0)</f>
        <v>3</v>
      </c>
      <c r="N1290" s="34" t="n">
        <f aca="false">IF(K1290=0,0,FFLAG)</f>
        <v>2</v>
      </c>
      <c r="O1290" s="15"/>
      <c r="P1290" s="16" t="n">
        <f aca="false">MAX(P1289+M1290)</f>
        <v>46501</v>
      </c>
      <c r="Q1290" s="16" t="n">
        <f aca="false">MAX(P1290+K1290,Q1289+N1290)</f>
        <v>46510</v>
      </c>
      <c r="R1290" s="12"/>
      <c r="S1290" s="12"/>
    </row>
    <row r="1291" customFormat="false" ht="15" hidden="false" customHeight="false" outlineLevel="0" collapsed="false">
      <c r="A1291" s="15" t="s">
        <v>4754</v>
      </c>
      <c r="B1291" s="15" t="s">
        <v>4743</v>
      </c>
      <c r="C1291" s="15" t="s">
        <v>400</v>
      </c>
      <c r="D1291" s="15" t="s">
        <v>1341</v>
      </c>
      <c r="E1291" s="15" t="s">
        <v>1399</v>
      </c>
      <c r="F1291" s="15" t="s">
        <v>3031</v>
      </c>
      <c r="G1291" s="15" t="s">
        <v>3032</v>
      </c>
      <c r="H1291" s="33" t="n">
        <f aca="false">Packages!$AB$122</f>
        <v>687.573868269972</v>
      </c>
      <c r="I1291" s="15" t="s">
        <v>3019</v>
      </c>
      <c r="J1291" s="34" t="n">
        <f aca="false">MAX(1,ROUNDUP(Packages!$AB$122/(R_BF*Fronts!$M$10),0))</f>
        <v>2</v>
      </c>
      <c r="K1291" s="34" t="n">
        <f aca="false">IF(J1291=0,0,ROUNDUP(J1291*7/WD,0))</f>
        <v>3</v>
      </c>
      <c r="L1291" s="15" t="s">
        <v>4753</v>
      </c>
      <c r="M1291" s="34" t="n">
        <f aca="false">ROUNDUP(K1290*LADDER,0)</f>
        <v>2</v>
      </c>
      <c r="N1291" s="34" t="n">
        <f aca="false">IF(K1291=0,0,FFLAG)</f>
        <v>2</v>
      </c>
      <c r="O1291" s="15"/>
      <c r="P1291" s="16" t="n">
        <f aca="false">MAX(P1290+M1291,R1280)</f>
        <v>46503</v>
      </c>
      <c r="Q1291" s="16" t="n">
        <f aca="false">MAX(P1291+K1291,Q1290+N1291)</f>
        <v>46512</v>
      </c>
      <c r="R1291" s="16" t="n">
        <f aca="false">IF(K1291&gt;0,Q1291,R1280)</f>
        <v>46512</v>
      </c>
      <c r="S1291" s="15" t="s">
        <v>4740</v>
      </c>
    </row>
    <row r="1292" customFormat="false" ht="15" hidden="false" customHeight="false" outlineLevel="0" collapsed="false">
      <c r="A1292" s="15" t="s">
        <v>4755</v>
      </c>
      <c r="B1292" s="15" t="s">
        <v>4743</v>
      </c>
      <c r="C1292" s="15" t="s">
        <v>400</v>
      </c>
      <c r="D1292" s="15" t="s">
        <v>1341</v>
      </c>
      <c r="E1292" s="15" t="s">
        <v>1399</v>
      </c>
      <c r="F1292" s="15" t="s">
        <v>3034</v>
      </c>
      <c r="G1292" s="15" t="s">
        <v>3035</v>
      </c>
      <c r="H1292" s="33" t="n">
        <f aca="false">Packages!$AD$122</f>
        <v>159.862456458804</v>
      </c>
      <c r="I1292" s="15" t="s">
        <v>3012</v>
      </c>
      <c r="J1292" s="34" t="n">
        <f aca="false">IF(Packages!$AD$122&gt;0,ROUNDUP(Packages!$AD$122/R_EXT,0),0)+IF(Packages!$AG$122&gt;0,1,0)</f>
        <v>5</v>
      </c>
      <c r="K1292" s="34" t="n">
        <f aca="false">IF(J1292=0,0,ROUNDUP(J1292*7/WD,0))</f>
        <v>6</v>
      </c>
      <c r="L1292" s="15" t="s">
        <v>4754</v>
      </c>
      <c r="M1292" s="34" t="n">
        <f aca="false">ROUNDUP(K1291*LADDER,0)</f>
        <v>1</v>
      </c>
      <c r="N1292" s="34" t="n">
        <f aca="false">IF(K1292=0,0,FFLAG)</f>
        <v>2</v>
      </c>
      <c r="O1292" s="15"/>
      <c r="P1292" s="16" t="n">
        <f aca="false">MAX(P1291+M1292)</f>
        <v>46504</v>
      </c>
      <c r="Q1292" s="16" t="n">
        <f aca="false">MAX(P1292+K1292,Q1291+N1292)</f>
        <v>46514</v>
      </c>
      <c r="R1292" s="12"/>
      <c r="S1292" s="12"/>
    </row>
    <row r="1293" customFormat="false" ht="15" hidden="false" customHeight="false" outlineLevel="0" collapsed="false">
      <c r="A1293" s="15" t="s">
        <v>4756</v>
      </c>
      <c r="B1293" s="15" t="s">
        <v>4757</v>
      </c>
      <c r="C1293" s="15" t="s">
        <v>400</v>
      </c>
      <c r="D1293" s="15" t="s">
        <v>1341</v>
      </c>
      <c r="E1293" s="15" t="s">
        <v>1363</v>
      </c>
      <c r="F1293" s="15" t="s">
        <v>2998</v>
      </c>
      <c r="G1293" s="15" t="s">
        <v>2999</v>
      </c>
      <c r="H1293" s="12"/>
      <c r="I1293" s="12"/>
      <c r="J1293" s="34" t="n">
        <f aca="false">0</f>
        <v>0</v>
      </c>
      <c r="K1293" s="34" t="n">
        <f aca="false">IF(J1293=0,0,ROUNDUP(J1293*7/WD,0))</f>
        <v>0</v>
      </c>
      <c r="L1293" s="12"/>
      <c r="M1293" s="12"/>
      <c r="N1293" s="12"/>
      <c r="O1293" s="15" t="s">
        <v>3000</v>
      </c>
      <c r="P1293" s="16" t="n">
        <f aca="false">MAX(START,D_DLU,Packages!$I$123,Packages!$K$123)</f>
        <v>46357</v>
      </c>
      <c r="Q1293" s="16" t="n">
        <f aca="false">P1293+K1293</f>
        <v>46357</v>
      </c>
      <c r="R1293" s="12"/>
      <c r="S1293" s="12"/>
    </row>
    <row r="1294" customFormat="false" ht="15" hidden="false" customHeight="false" outlineLevel="0" collapsed="false">
      <c r="A1294" s="15" t="s">
        <v>4758</v>
      </c>
      <c r="B1294" s="15" t="s">
        <v>4757</v>
      </c>
      <c r="C1294" s="15" t="s">
        <v>400</v>
      </c>
      <c r="D1294" s="15" t="s">
        <v>1341</v>
      </c>
      <c r="E1294" s="15" t="s">
        <v>1363</v>
      </c>
      <c r="F1294" s="15" t="s">
        <v>3002</v>
      </c>
      <c r="G1294" s="15" t="s">
        <v>205</v>
      </c>
      <c r="H1294" s="33" t="n">
        <f aca="false">Packages!$O$123</f>
        <v>40.2557040593895</v>
      </c>
      <c r="I1294" s="15" t="s">
        <v>118</v>
      </c>
      <c r="J1294" s="34" t="n">
        <f aca="false">MAX(1,ROUNDUP(Packages!$O$123/R_PLAT,0))</f>
        <v>1</v>
      </c>
      <c r="K1294" s="34" t="n">
        <f aca="false">IF(J1294=0,0,ROUNDUP(J1294*7/WD,0))</f>
        <v>2</v>
      </c>
      <c r="L1294" s="15" t="s">
        <v>4756</v>
      </c>
      <c r="M1294" s="12"/>
      <c r="N1294" s="12"/>
      <c r="O1294" s="15" t="s">
        <v>4759</v>
      </c>
      <c r="P1294" s="16" t="n">
        <f aca="false">MAX(Q1293,P1284)</f>
        <v>46425</v>
      </c>
      <c r="Q1294" s="16" t="n">
        <f aca="false">P1294+K1294</f>
        <v>46427</v>
      </c>
      <c r="R1294" s="12"/>
      <c r="S1294" s="12"/>
    </row>
    <row r="1295" customFormat="false" ht="15" hidden="false" customHeight="false" outlineLevel="0" collapsed="false">
      <c r="A1295" s="15" t="s">
        <v>4760</v>
      </c>
      <c r="B1295" s="15" t="s">
        <v>4757</v>
      </c>
      <c r="C1295" s="15" t="s">
        <v>400</v>
      </c>
      <c r="D1295" s="15" t="s">
        <v>1341</v>
      </c>
      <c r="E1295" s="15" t="s">
        <v>1363</v>
      </c>
      <c r="F1295" s="15" t="s">
        <v>3005</v>
      </c>
      <c r="G1295" s="15" t="s">
        <v>3006</v>
      </c>
      <c r="H1295" s="33" t="n">
        <f aca="false">Packages!$AC$123</f>
        <v>30</v>
      </c>
      <c r="I1295" s="15" t="s">
        <v>3007</v>
      </c>
      <c r="J1295" s="34" t="n">
        <f aca="false">IF(Packages!$AC$123=0,0,MAX(1,ROUNDUP(Packages!$AC$123/(R_PILE*Fronts!$H$10),0)))</f>
        <v>6</v>
      </c>
      <c r="K1295" s="34" t="n">
        <f aca="false">IF(J1295=0,0,ROUNDUP(J1295*7/WD,0))</f>
        <v>7</v>
      </c>
      <c r="L1295" s="15" t="s">
        <v>4758</v>
      </c>
      <c r="M1295" s="34" t="n">
        <f aca="false">ROUNDUP(K1294*LADDER,0)</f>
        <v>1</v>
      </c>
      <c r="N1295" s="34" t="n">
        <f aca="false">IF(K1295=0,0,FFLAG)</f>
        <v>2</v>
      </c>
      <c r="O1295" s="15" t="s">
        <v>3008</v>
      </c>
      <c r="P1295" s="16" t="n">
        <f aca="false">MAX(P1294+M1295,D_PILEDES,R1284)</f>
        <v>46439</v>
      </c>
      <c r="Q1295" s="16" t="n">
        <f aca="false">MAX(P1295+K1295,Q1294+N1295)</f>
        <v>46446</v>
      </c>
      <c r="R1295" s="16" t="n">
        <f aca="false">IF(K1295&gt;0,Q1295,R1284)</f>
        <v>46446</v>
      </c>
      <c r="S1295" s="15" t="s">
        <v>4746</v>
      </c>
    </row>
    <row r="1296" customFormat="false" ht="15" hidden="false" customHeight="false" outlineLevel="0" collapsed="false">
      <c r="A1296" s="15" t="s">
        <v>4761</v>
      </c>
      <c r="B1296" s="15" t="s">
        <v>4757</v>
      </c>
      <c r="C1296" s="15" t="s">
        <v>400</v>
      </c>
      <c r="D1296" s="15" t="s">
        <v>1341</v>
      </c>
      <c r="E1296" s="15" t="s">
        <v>1363</v>
      </c>
      <c r="F1296" s="15" t="s">
        <v>3010</v>
      </c>
      <c r="G1296" s="15" t="s">
        <v>3011</v>
      </c>
      <c r="H1296" s="33" t="n">
        <f aca="false">Packages!$AD$123</f>
        <v>80.5114081187791</v>
      </c>
      <c r="I1296" s="15" t="s">
        <v>3012</v>
      </c>
      <c r="J1296" s="34" t="n">
        <f aca="false">IF(Packages!$AD$123=0,0,MAX(1,ROUNDUP(Packages!$AD$123/(R_SHEET*Fronts!$I$10),0)))</f>
        <v>4</v>
      </c>
      <c r="K1296" s="34" t="n">
        <f aca="false">IF(J1296=0,0,ROUNDUP(J1296*7/WD,0))</f>
        <v>5</v>
      </c>
      <c r="L1296" s="15" t="s">
        <v>4760</v>
      </c>
      <c r="M1296" s="34" t="n">
        <f aca="false">ROUNDUP(K1295*LADDER,0)</f>
        <v>3</v>
      </c>
      <c r="N1296" s="34" t="n">
        <f aca="false">IF(K1296=0,0,FFLAG)</f>
        <v>2</v>
      </c>
      <c r="O1296" s="15"/>
      <c r="P1296" s="16" t="n">
        <f aca="false">MAX(P1295+M1296,R1285)</f>
        <v>46442</v>
      </c>
      <c r="Q1296" s="16" t="n">
        <f aca="false">MAX(P1296+K1296,Q1295+N1296)</f>
        <v>46448</v>
      </c>
      <c r="R1296" s="16" t="n">
        <f aca="false">IF(K1296&gt;0,Q1296,R1285)</f>
        <v>46448</v>
      </c>
      <c r="S1296" s="15" t="s">
        <v>4747</v>
      </c>
    </row>
    <row r="1297" customFormat="false" ht="15" hidden="false" customHeight="false" outlineLevel="0" collapsed="false">
      <c r="A1297" s="15" t="s">
        <v>4762</v>
      </c>
      <c r="B1297" s="15" t="s">
        <v>4757</v>
      </c>
      <c r="C1297" s="15" t="s">
        <v>400</v>
      </c>
      <c r="D1297" s="15" t="s">
        <v>1341</v>
      </c>
      <c r="E1297" s="15" t="s">
        <v>1363</v>
      </c>
      <c r="F1297" s="15" t="s">
        <v>3014</v>
      </c>
      <c r="G1297" s="15" t="s">
        <v>3015</v>
      </c>
      <c r="H1297" s="33" t="n">
        <f aca="false">Packages!$O$123</f>
        <v>40.2557040593895</v>
      </c>
      <c r="I1297" s="15" t="s">
        <v>118</v>
      </c>
      <c r="J1297" s="34" t="n">
        <f aca="false">IF(Packages!$AG$123=0,0,ROUNDUP(Packages!$O$123/R_DW,0)+DW_DRAW)</f>
        <v>9</v>
      </c>
      <c r="K1297" s="34" t="n">
        <f aca="false">IF(J1297=0,0,ROUNDUP(J1297*7/WD,0))</f>
        <v>11</v>
      </c>
      <c r="L1297" s="15" t="s">
        <v>4761</v>
      </c>
      <c r="M1297" s="34" t="n">
        <f aca="false">ROUNDUP(K1296*LADDER,0)</f>
        <v>2</v>
      </c>
      <c r="N1297" s="34" t="n">
        <f aca="false">IF(K1297=0,0,FFLAG)</f>
        <v>2</v>
      </c>
      <c r="O1297" s="15" t="s">
        <v>4763</v>
      </c>
      <c r="P1297" s="16" t="n">
        <f aca="false">MAX(P1296+M1297,Q1287-K1297)</f>
        <v>46462</v>
      </c>
      <c r="Q1297" s="16" t="n">
        <f aca="false">MAX(P1297+K1297,Q1296+N1297)</f>
        <v>46473</v>
      </c>
      <c r="R1297" s="12"/>
      <c r="S1297" s="12"/>
    </row>
    <row r="1298" customFormat="false" ht="15" hidden="false" customHeight="false" outlineLevel="0" collapsed="false">
      <c r="A1298" s="15" t="s">
        <v>4764</v>
      </c>
      <c r="B1298" s="15" t="s">
        <v>4757</v>
      </c>
      <c r="C1298" s="15" t="s">
        <v>400</v>
      </c>
      <c r="D1298" s="15" t="s">
        <v>1341</v>
      </c>
      <c r="E1298" s="15" t="s">
        <v>1363</v>
      </c>
      <c r="F1298" s="15" t="s">
        <v>3017</v>
      </c>
      <c r="G1298" s="15" t="s">
        <v>3018</v>
      </c>
      <c r="H1298" s="33" t="n">
        <f aca="false">Packages!$X$123+Packages!$Y$123</f>
        <v>531.155222302649</v>
      </c>
      <c r="I1298" s="15" t="s">
        <v>3019</v>
      </c>
      <c r="J1298" s="34" t="n">
        <f aca="false">MAX(1,ROUNDUP((Packages!$X$123/R_EXS+Packages!$Y$123/R_EXO)/Fronts!$J$10,0))</f>
        <v>3</v>
      </c>
      <c r="K1298" s="34" t="n">
        <f aca="false">IF(J1298=0,0,ROUNDUP(J1298*7/WD,0))</f>
        <v>4</v>
      </c>
      <c r="L1298" s="15" t="s">
        <v>4762</v>
      </c>
      <c r="M1298" s="34" t="n">
        <f aca="false">IF(K1297=0,0,ROUNDUP((K1297-ROUNDUP(DW_DRAW*7/WD,0))*LADDER,0)+ROUNDUP(DW_DRAW*7/WD,0))</f>
        <v>10</v>
      </c>
      <c r="N1298" s="34" t="n">
        <f aca="false">IF(K1298=0,0,FFLAG)</f>
        <v>2</v>
      </c>
      <c r="O1298" s="15"/>
      <c r="P1298" s="16" t="n">
        <f aca="false">MAX(P1297+M1298,R1287)</f>
        <v>46473</v>
      </c>
      <c r="Q1298" s="16" t="n">
        <f aca="false">MAX(P1298+K1298,Q1297+N1298)</f>
        <v>46477</v>
      </c>
      <c r="R1298" s="16" t="n">
        <f aca="false">IF(K1298&gt;0,Q1298,R1287)</f>
        <v>46477</v>
      </c>
      <c r="S1298" s="15" t="s">
        <v>4750</v>
      </c>
    </row>
    <row r="1299" customFormat="false" ht="15" hidden="false" customHeight="false" outlineLevel="0" collapsed="false">
      <c r="A1299" s="15" t="s">
        <v>4765</v>
      </c>
      <c r="B1299" s="15" t="s">
        <v>4757</v>
      </c>
      <c r="C1299" s="15" t="s">
        <v>400</v>
      </c>
      <c r="D1299" s="15" t="s">
        <v>1341</v>
      </c>
      <c r="E1299" s="15" t="s">
        <v>1363</v>
      </c>
      <c r="F1299" s="15" t="s">
        <v>3022</v>
      </c>
      <c r="G1299" s="15" t="s">
        <v>3023</v>
      </c>
      <c r="H1299" s="33" t="n">
        <f aca="false">Packages!$O$123</f>
        <v>40.2557040593895</v>
      </c>
      <c r="I1299" s="15" t="s">
        <v>118</v>
      </c>
      <c r="J1299" s="34" t="n">
        <f aca="false">MAX(1,ROUNDUP(Packages!$O$123/(R_SLAB*Fronts!$K$10),0))+SLAB_CURE</f>
        <v>7</v>
      </c>
      <c r="K1299" s="34" t="n">
        <f aca="false">IF(J1299=0,0,ROUNDUP(J1299*7/WD,0))</f>
        <v>9</v>
      </c>
      <c r="L1299" s="15" t="s">
        <v>4764</v>
      </c>
      <c r="M1299" s="34" t="n">
        <f aca="false">ROUNDUP(K1298*LADDER,0)</f>
        <v>2</v>
      </c>
      <c r="N1299" s="34" t="n">
        <f aca="false">IF(K1299=0,0,FFLAG)</f>
        <v>2</v>
      </c>
      <c r="O1299" s="15"/>
      <c r="P1299" s="16" t="n">
        <f aca="false">MAX(P1298+M1299,R1288)</f>
        <v>46506</v>
      </c>
      <c r="Q1299" s="16" t="n">
        <f aca="false">MAX(P1299+K1299,Q1298+N1299)</f>
        <v>46515</v>
      </c>
      <c r="R1299" s="16" t="n">
        <f aca="false">IF(K1299&gt;0,Q1299,R1288)</f>
        <v>46515</v>
      </c>
      <c r="S1299" s="15" t="s">
        <v>4751</v>
      </c>
    </row>
    <row r="1300" customFormat="false" ht="15" hidden="false" customHeight="false" outlineLevel="0" collapsed="false">
      <c r="A1300" s="15" t="s">
        <v>4766</v>
      </c>
      <c r="B1300" s="15" t="s">
        <v>4757</v>
      </c>
      <c r="C1300" s="15" t="s">
        <v>400</v>
      </c>
      <c r="D1300" s="15" t="s">
        <v>1341</v>
      </c>
      <c r="E1300" s="15" t="s">
        <v>1363</v>
      </c>
      <c r="F1300" s="15" t="s">
        <v>3025</v>
      </c>
      <c r="G1300" s="15" t="s">
        <v>3026</v>
      </c>
      <c r="H1300" s="33" t="n">
        <f aca="false">Packages!$O$123</f>
        <v>40.2557040593895</v>
      </c>
      <c r="I1300" s="15" t="s">
        <v>118</v>
      </c>
      <c r="J1300" s="34" t="n">
        <f aca="false">MAX(1,ROUNDUP(Packages!$O$123/(IF(Packages!$N$123&gt;=PIPE_T1,R_PIPE_L,IF(Packages!$N$123&gt;=PIPE_T2,R_PIPE_M,R_PIPE_S))*Fronts!$L$10)+Packages!$M$123*FIT_D+IF(Packages!$G$123&lt;&gt;"Run",TIE_D,0),0))</f>
        <v>5</v>
      </c>
      <c r="K1300" s="34" t="n">
        <f aca="false">IF(J1300=0,0,ROUNDUP(J1300*7/WD,0))</f>
        <v>6</v>
      </c>
      <c r="L1300" s="15" t="s">
        <v>4765</v>
      </c>
      <c r="M1300" s="34" t="n">
        <f aca="false">ROUNDUP(K1299*LADDER,0)</f>
        <v>3</v>
      </c>
      <c r="N1300" s="34" t="n">
        <f aca="false">IF(K1300=0,0,FFLAG)</f>
        <v>2</v>
      </c>
      <c r="O1300" s="15"/>
      <c r="P1300" s="16" t="n">
        <f aca="false">MAX(P1299+M1300,R1289)</f>
        <v>46509</v>
      </c>
      <c r="Q1300" s="16" t="n">
        <f aca="false">MAX(P1300+K1300,Q1299+N1300)</f>
        <v>46517</v>
      </c>
      <c r="R1300" s="16" t="n">
        <f aca="false">IF(K1300&gt;0,Q1300,R1289)</f>
        <v>46517</v>
      </c>
      <c r="S1300" s="15" t="s">
        <v>4752</v>
      </c>
    </row>
    <row r="1301" customFormat="false" ht="15" hidden="false" customHeight="false" outlineLevel="0" collapsed="false">
      <c r="A1301" s="15" t="s">
        <v>4767</v>
      </c>
      <c r="B1301" s="15" t="s">
        <v>4757</v>
      </c>
      <c r="C1301" s="15" t="s">
        <v>400</v>
      </c>
      <c r="D1301" s="15" t="s">
        <v>1341</v>
      </c>
      <c r="E1301" s="15" t="s">
        <v>1363</v>
      </c>
      <c r="F1301" s="15" t="s">
        <v>3028</v>
      </c>
      <c r="G1301" s="15" t="s">
        <v>3029</v>
      </c>
      <c r="H1301" s="33" t="n">
        <f aca="false">Packages!$O$123</f>
        <v>40.2557040593895</v>
      </c>
      <c r="I1301" s="15" t="s">
        <v>118</v>
      </c>
      <c r="J1301" s="34" t="n">
        <f aca="false">TEST_D+ROUNDUP(Packages!$O$123/R_TEST,0)</f>
        <v>3</v>
      </c>
      <c r="K1301" s="34" t="n">
        <f aca="false">IF(J1301=0,0,ROUNDUP(J1301*7/WD,0))</f>
        <v>4</v>
      </c>
      <c r="L1301" s="15" t="s">
        <v>4766</v>
      </c>
      <c r="M1301" s="34" t="n">
        <f aca="false">ROUNDUP(K1300*LADDER,0)</f>
        <v>2</v>
      </c>
      <c r="N1301" s="34" t="n">
        <f aca="false">IF(K1301=0,0,FFLAG)</f>
        <v>2</v>
      </c>
      <c r="O1301" s="15"/>
      <c r="P1301" s="16" t="n">
        <f aca="false">MAX(P1300+M1301)</f>
        <v>46511</v>
      </c>
      <c r="Q1301" s="16" t="n">
        <f aca="false">MAX(P1301+K1301,Q1300+N1301)</f>
        <v>46519</v>
      </c>
      <c r="R1301" s="12"/>
      <c r="S1301" s="12"/>
    </row>
    <row r="1302" customFormat="false" ht="15" hidden="false" customHeight="false" outlineLevel="0" collapsed="false">
      <c r="A1302" s="15" t="s">
        <v>4768</v>
      </c>
      <c r="B1302" s="15" t="s">
        <v>4757</v>
      </c>
      <c r="C1302" s="15" t="s">
        <v>400</v>
      </c>
      <c r="D1302" s="15" t="s">
        <v>1341</v>
      </c>
      <c r="E1302" s="15" t="s">
        <v>1363</v>
      </c>
      <c r="F1302" s="15" t="s">
        <v>3031</v>
      </c>
      <c r="G1302" s="15" t="s">
        <v>3032</v>
      </c>
      <c r="H1302" s="33" t="n">
        <f aca="false">Packages!$AB$123</f>
        <v>398.921925928026</v>
      </c>
      <c r="I1302" s="15" t="s">
        <v>3019</v>
      </c>
      <c r="J1302" s="34" t="n">
        <f aca="false">MAX(1,ROUNDUP(Packages!$AB$123/(R_BF*Fronts!$M$10),0))</f>
        <v>2</v>
      </c>
      <c r="K1302" s="34" t="n">
        <f aca="false">IF(J1302=0,0,ROUNDUP(J1302*7/WD,0))</f>
        <v>3</v>
      </c>
      <c r="L1302" s="15" t="s">
        <v>4767</v>
      </c>
      <c r="M1302" s="34" t="n">
        <f aca="false">ROUNDUP(K1301*LADDER,0)</f>
        <v>2</v>
      </c>
      <c r="N1302" s="34" t="n">
        <f aca="false">IF(K1302=0,0,FFLAG)</f>
        <v>2</v>
      </c>
      <c r="O1302" s="15"/>
      <c r="P1302" s="16" t="n">
        <f aca="false">MAX(P1301+M1302,R1291)</f>
        <v>46513</v>
      </c>
      <c r="Q1302" s="16" t="n">
        <f aca="false">MAX(P1302+K1302,Q1301+N1302)</f>
        <v>46521</v>
      </c>
      <c r="R1302" s="16" t="n">
        <f aca="false">IF(K1302&gt;0,Q1302,R1291)</f>
        <v>46521</v>
      </c>
      <c r="S1302" s="15" t="s">
        <v>4754</v>
      </c>
    </row>
    <row r="1303" customFormat="false" ht="15" hidden="false" customHeight="false" outlineLevel="0" collapsed="false">
      <c r="A1303" s="15" t="s">
        <v>4769</v>
      </c>
      <c r="B1303" s="15" t="s">
        <v>4757</v>
      </c>
      <c r="C1303" s="15" t="s">
        <v>400</v>
      </c>
      <c r="D1303" s="15" t="s">
        <v>1341</v>
      </c>
      <c r="E1303" s="15" t="s">
        <v>1363</v>
      </c>
      <c r="F1303" s="15" t="s">
        <v>3034</v>
      </c>
      <c r="G1303" s="15" t="s">
        <v>3035</v>
      </c>
      <c r="H1303" s="33" t="n">
        <f aca="false">Packages!$AD$123</f>
        <v>80.5114081187791</v>
      </c>
      <c r="I1303" s="15" t="s">
        <v>3012</v>
      </c>
      <c r="J1303" s="34" t="n">
        <f aca="false">IF(Packages!$AD$123&gt;0,ROUNDUP(Packages!$AD$123/R_EXT,0),0)+IF(Packages!$AG$123&gt;0,1,0)</f>
        <v>3</v>
      </c>
      <c r="K1303" s="34" t="n">
        <f aca="false">IF(J1303=0,0,ROUNDUP(J1303*7/WD,0))</f>
        <v>4</v>
      </c>
      <c r="L1303" s="15" t="s">
        <v>4768</v>
      </c>
      <c r="M1303" s="34" t="n">
        <f aca="false">ROUNDUP(K1302*LADDER,0)</f>
        <v>1</v>
      </c>
      <c r="N1303" s="34" t="n">
        <f aca="false">IF(K1303=0,0,FFLAG)</f>
        <v>2</v>
      </c>
      <c r="O1303" s="15"/>
      <c r="P1303" s="16" t="n">
        <f aca="false">MAX(P1302+M1303)</f>
        <v>46514</v>
      </c>
      <c r="Q1303" s="16" t="n">
        <f aca="false">MAX(P1303+K1303,Q1302+N1303)</f>
        <v>46523</v>
      </c>
      <c r="R1303" s="12"/>
      <c r="S1303" s="12"/>
    </row>
    <row r="1304" customFormat="false" ht="15" hidden="false" customHeight="false" outlineLevel="0" collapsed="false">
      <c r="A1304" s="15" t="s">
        <v>4770</v>
      </c>
      <c r="B1304" s="15" t="s">
        <v>4771</v>
      </c>
      <c r="C1304" s="15" t="s">
        <v>400</v>
      </c>
      <c r="D1304" s="15" t="s">
        <v>1341</v>
      </c>
      <c r="E1304" s="15" t="s">
        <v>1353</v>
      </c>
      <c r="F1304" s="15" t="s">
        <v>2998</v>
      </c>
      <c r="G1304" s="15" t="s">
        <v>2999</v>
      </c>
      <c r="H1304" s="12"/>
      <c r="I1304" s="12"/>
      <c r="J1304" s="34" t="n">
        <f aca="false">0</f>
        <v>0</v>
      </c>
      <c r="K1304" s="34" t="n">
        <f aca="false">IF(J1304=0,0,ROUNDUP(J1304*7/WD,0))</f>
        <v>0</v>
      </c>
      <c r="L1304" s="12"/>
      <c r="M1304" s="12"/>
      <c r="N1304" s="12"/>
      <c r="O1304" s="15" t="s">
        <v>3000</v>
      </c>
      <c r="P1304" s="16" t="n">
        <f aca="false">MAX(START,D_DLU,Packages!$I$124,Packages!$K$124)</f>
        <v>46357</v>
      </c>
      <c r="Q1304" s="16" t="n">
        <f aca="false">P1304+K1304</f>
        <v>46357</v>
      </c>
      <c r="R1304" s="12"/>
      <c r="S1304" s="12"/>
    </row>
    <row r="1305" customFormat="false" ht="15" hidden="false" customHeight="false" outlineLevel="0" collapsed="false">
      <c r="A1305" s="15" t="s">
        <v>4772</v>
      </c>
      <c r="B1305" s="15" t="s">
        <v>4771</v>
      </c>
      <c r="C1305" s="15" t="s">
        <v>400</v>
      </c>
      <c r="D1305" s="15" t="s">
        <v>1341</v>
      </c>
      <c r="E1305" s="15" t="s">
        <v>1353</v>
      </c>
      <c r="F1305" s="15" t="s">
        <v>3002</v>
      </c>
      <c r="G1305" s="15" t="s">
        <v>205</v>
      </c>
      <c r="H1305" s="33" t="n">
        <f aca="false">Packages!$O$124</f>
        <v>70.2152146555513</v>
      </c>
      <c r="I1305" s="15" t="s">
        <v>118</v>
      </c>
      <c r="J1305" s="34" t="n">
        <f aca="false">MAX(1,ROUNDUP(Packages!$O$124/R_PLAT,0))</f>
        <v>1</v>
      </c>
      <c r="K1305" s="34" t="n">
        <f aca="false">IF(J1305=0,0,ROUNDUP(J1305*7/WD,0))</f>
        <v>2</v>
      </c>
      <c r="L1305" s="15" t="s">
        <v>4770</v>
      </c>
      <c r="M1305" s="12"/>
      <c r="N1305" s="12"/>
      <c r="O1305" s="15" t="s">
        <v>4773</v>
      </c>
      <c r="P1305" s="16" t="n">
        <f aca="false">MAX(Q1304,P1295)</f>
        <v>46439</v>
      </c>
      <c r="Q1305" s="16" t="n">
        <f aca="false">P1305+K1305</f>
        <v>46441</v>
      </c>
      <c r="R1305" s="12"/>
      <c r="S1305" s="12"/>
    </row>
    <row r="1306" customFormat="false" ht="15" hidden="false" customHeight="false" outlineLevel="0" collapsed="false">
      <c r="A1306" s="15" t="s">
        <v>4774</v>
      </c>
      <c r="B1306" s="15" t="s">
        <v>4771</v>
      </c>
      <c r="C1306" s="15" t="s">
        <v>400</v>
      </c>
      <c r="D1306" s="15" t="s">
        <v>1341</v>
      </c>
      <c r="E1306" s="15" t="s">
        <v>1353</v>
      </c>
      <c r="F1306" s="15" t="s">
        <v>3005</v>
      </c>
      <c r="G1306" s="15" t="s">
        <v>3006</v>
      </c>
      <c r="H1306" s="33" t="n">
        <f aca="false">Packages!$AC$124</f>
        <v>50</v>
      </c>
      <c r="I1306" s="15" t="s">
        <v>3007</v>
      </c>
      <c r="J1306" s="34" t="n">
        <f aca="false">IF(Packages!$AC$124=0,0,MAX(1,ROUNDUP(Packages!$AC$124/(R_PILE*Fronts!$H$10),0)))</f>
        <v>10</v>
      </c>
      <c r="K1306" s="34" t="n">
        <f aca="false">IF(J1306=0,0,ROUNDUP(J1306*7/WD,0))</f>
        <v>12</v>
      </c>
      <c r="L1306" s="15" t="s">
        <v>4772</v>
      </c>
      <c r="M1306" s="34" t="n">
        <f aca="false">ROUNDUP(K1305*LADDER,0)</f>
        <v>1</v>
      </c>
      <c r="N1306" s="34" t="n">
        <f aca="false">IF(K1306=0,0,FFLAG)</f>
        <v>2</v>
      </c>
      <c r="O1306" s="15" t="s">
        <v>3008</v>
      </c>
      <c r="P1306" s="16" t="n">
        <f aca="false">MAX(P1305+M1306,D_PILEDES,R1295)</f>
        <v>46446</v>
      </c>
      <c r="Q1306" s="16" t="n">
        <f aca="false">MAX(P1306+K1306,Q1305+N1306)</f>
        <v>46458</v>
      </c>
      <c r="R1306" s="16" t="n">
        <f aca="false">IF(K1306&gt;0,Q1306,R1295)</f>
        <v>46458</v>
      </c>
      <c r="S1306" s="15" t="s">
        <v>4760</v>
      </c>
    </row>
    <row r="1307" customFormat="false" ht="15" hidden="false" customHeight="false" outlineLevel="0" collapsed="false">
      <c r="A1307" s="15" t="s">
        <v>4775</v>
      </c>
      <c r="B1307" s="15" t="s">
        <v>4771</v>
      </c>
      <c r="C1307" s="15" t="s">
        <v>400</v>
      </c>
      <c r="D1307" s="15" t="s">
        <v>1341</v>
      </c>
      <c r="E1307" s="15" t="s">
        <v>1353</v>
      </c>
      <c r="F1307" s="15" t="s">
        <v>3010</v>
      </c>
      <c r="G1307" s="15" t="s">
        <v>3011</v>
      </c>
      <c r="H1307" s="33" t="n">
        <f aca="false">Packages!$AD$124</f>
        <v>140.430429311103</v>
      </c>
      <c r="I1307" s="15" t="s">
        <v>3012</v>
      </c>
      <c r="J1307" s="34" t="n">
        <f aca="false">IF(Packages!$AD$124=0,0,MAX(1,ROUNDUP(Packages!$AD$124/(R_SHEET*Fronts!$I$10),0)))</f>
        <v>6</v>
      </c>
      <c r="K1307" s="34" t="n">
        <f aca="false">IF(J1307=0,0,ROUNDUP(J1307*7/WD,0))</f>
        <v>7</v>
      </c>
      <c r="L1307" s="15" t="s">
        <v>4774</v>
      </c>
      <c r="M1307" s="34" t="n">
        <f aca="false">ROUNDUP(K1306*LADDER,0)</f>
        <v>4</v>
      </c>
      <c r="N1307" s="34" t="n">
        <f aca="false">IF(K1307=0,0,FFLAG)</f>
        <v>2</v>
      </c>
      <c r="O1307" s="15"/>
      <c r="P1307" s="16" t="n">
        <f aca="false">MAX(P1306+M1307,R1296)</f>
        <v>46450</v>
      </c>
      <c r="Q1307" s="16" t="n">
        <f aca="false">MAX(P1307+K1307,Q1306+N1307)</f>
        <v>46460</v>
      </c>
      <c r="R1307" s="16" t="n">
        <f aca="false">IF(K1307&gt;0,Q1307,R1296)</f>
        <v>46460</v>
      </c>
      <c r="S1307" s="15" t="s">
        <v>4761</v>
      </c>
    </row>
    <row r="1308" customFormat="false" ht="15" hidden="false" customHeight="false" outlineLevel="0" collapsed="false">
      <c r="A1308" s="15" t="s">
        <v>4776</v>
      </c>
      <c r="B1308" s="15" t="s">
        <v>4771</v>
      </c>
      <c r="C1308" s="15" t="s">
        <v>400</v>
      </c>
      <c r="D1308" s="15" t="s">
        <v>1341</v>
      </c>
      <c r="E1308" s="15" t="s">
        <v>1353</v>
      </c>
      <c r="F1308" s="15" t="s">
        <v>3014</v>
      </c>
      <c r="G1308" s="15" t="s">
        <v>3015</v>
      </c>
      <c r="H1308" s="33" t="n">
        <f aca="false">Packages!$O$124</f>
        <v>70.2152146555513</v>
      </c>
      <c r="I1308" s="15" t="s">
        <v>118</v>
      </c>
      <c r="J1308" s="34" t="n">
        <f aca="false">IF(Packages!$AG$124=0,0,ROUNDUP(Packages!$O$124/R_DW,0)+DW_DRAW)</f>
        <v>9</v>
      </c>
      <c r="K1308" s="34" t="n">
        <f aca="false">IF(J1308=0,0,ROUNDUP(J1308*7/WD,0))</f>
        <v>11</v>
      </c>
      <c r="L1308" s="15" t="s">
        <v>4775</v>
      </c>
      <c r="M1308" s="34" t="n">
        <f aca="false">ROUNDUP(K1307*LADDER,0)</f>
        <v>3</v>
      </c>
      <c r="N1308" s="34" t="n">
        <f aca="false">IF(K1308=0,0,FFLAG)</f>
        <v>2</v>
      </c>
      <c r="O1308" s="15" t="s">
        <v>4777</v>
      </c>
      <c r="P1308" s="16" t="n">
        <f aca="false">MAX(P1307+M1308,Q1298-K1308)</f>
        <v>46466</v>
      </c>
      <c r="Q1308" s="16" t="n">
        <f aca="false">MAX(P1308+K1308,Q1307+N1308)</f>
        <v>46477</v>
      </c>
      <c r="R1308" s="12"/>
      <c r="S1308" s="12"/>
    </row>
    <row r="1309" customFormat="false" ht="15" hidden="false" customHeight="false" outlineLevel="0" collapsed="false">
      <c r="A1309" s="15" t="s">
        <v>4778</v>
      </c>
      <c r="B1309" s="15" t="s">
        <v>4771</v>
      </c>
      <c r="C1309" s="15" t="s">
        <v>400</v>
      </c>
      <c r="D1309" s="15" t="s">
        <v>1341</v>
      </c>
      <c r="E1309" s="15" t="s">
        <v>1353</v>
      </c>
      <c r="F1309" s="15" t="s">
        <v>3017</v>
      </c>
      <c r="G1309" s="15" t="s">
        <v>3018</v>
      </c>
      <c r="H1309" s="33" t="n">
        <f aca="false">Packages!$X$124+Packages!$Y$124</f>
        <v>1124.35899174557</v>
      </c>
      <c r="I1309" s="15" t="s">
        <v>3019</v>
      </c>
      <c r="J1309" s="34" t="n">
        <f aca="false">MAX(1,ROUNDUP((Packages!$X$124/R_EXS+Packages!$Y$124/R_EXO)/Fronts!$J$10,0))</f>
        <v>5</v>
      </c>
      <c r="K1309" s="34" t="n">
        <f aca="false">IF(J1309=0,0,ROUNDUP(J1309*7/WD,0))</f>
        <v>6</v>
      </c>
      <c r="L1309" s="15" t="s">
        <v>4776</v>
      </c>
      <c r="M1309" s="34" t="n">
        <f aca="false">IF(K1308=0,0,ROUNDUP((K1308-ROUNDUP(DW_DRAW*7/WD,0))*LADDER,0)+ROUNDUP(DW_DRAW*7/WD,0))</f>
        <v>10</v>
      </c>
      <c r="N1309" s="34" t="n">
        <f aca="false">IF(K1309=0,0,FFLAG)</f>
        <v>2</v>
      </c>
      <c r="O1309" s="15"/>
      <c r="P1309" s="16" t="n">
        <f aca="false">MAX(P1308+M1309,R1298)</f>
        <v>46477</v>
      </c>
      <c r="Q1309" s="16" t="n">
        <f aca="false">MAX(P1309+K1309,Q1308+N1309)</f>
        <v>46483</v>
      </c>
      <c r="R1309" s="16" t="n">
        <f aca="false">IF(K1309&gt;0,Q1309,R1298)</f>
        <v>46483</v>
      </c>
      <c r="S1309" s="15" t="s">
        <v>4764</v>
      </c>
    </row>
    <row r="1310" customFormat="false" ht="15" hidden="false" customHeight="false" outlineLevel="0" collapsed="false">
      <c r="A1310" s="15" t="s">
        <v>4779</v>
      </c>
      <c r="B1310" s="15" t="s">
        <v>4771</v>
      </c>
      <c r="C1310" s="15" t="s">
        <v>400</v>
      </c>
      <c r="D1310" s="15" t="s">
        <v>1341</v>
      </c>
      <c r="E1310" s="15" t="s">
        <v>1353</v>
      </c>
      <c r="F1310" s="15" t="s">
        <v>3022</v>
      </c>
      <c r="G1310" s="15" t="s">
        <v>3023</v>
      </c>
      <c r="H1310" s="33" t="n">
        <f aca="false">Packages!$O$124</f>
        <v>70.2152146555513</v>
      </c>
      <c r="I1310" s="15" t="s">
        <v>118</v>
      </c>
      <c r="J1310" s="34" t="n">
        <f aca="false">MAX(1,ROUNDUP(Packages!$O$124/(R_SLAB*Fronts!$K$10),0))+SLAB_CURE</f>
        <v>9</v>
      </c>
      <c r="K1310" s="34" t="n">
        <f aca="false">IF(J1310=0,0,ROUNDUP(J1310*7/WD,0))</f>
        <v>11</v>
      </c>
      <c r="L1310" s="15" t="s">
        <v>4778</v>
      </c>
      <c r="M1310" s="34" t="n">
        <f aca="false">ROUNDUP(K1309*LADDER,0)</f>
        <v>2</v>
      </c>
      <c r="N1310" s="34" t="n">
        <f aca="false">IF(K1310=0,0,FFLAG)</f>
        <v>2</v>
      </c>
      <c r="O1310" s="15"/>
      <c r="P1310" s="16" t="n">
        <f aca="false">MAX(P1309+M1310,R1299)</f>
        <v>46515</v>
      </c>
      <c r="Q1310" s="16" t="n">
        <f aca="false">MAX(P1310+K1310,Q1309+N1310)</f>
        <v>46526</v>
      </c>
      <c r="R1310" s="16" t="n">
        <f aca="false">IF(K1310&gt;0,Q1310,R1299)</f>
        <v>46526</v>
      </c>
      <c r="S1310" s="15" t="s">
        <v>4765</v>
      </c>
    </row>
    <row r="1311" customFormat="false" ht="15" hidden="false" customHeight="false" outlineLevel="0" collapsed="false">
      <c r="A1311" s="15" t="s">
        <v>4780</v>
      </c>
      <c r="B1311" s="15" t="s">
        <v>4771</v>
      </c>
      <c r="C1311" s="15" t="s">
        <v>400</v>
      </c>
      <c r="D1311" s="15" t="s">
        <v>1341</v>
      </c>
      <c r="E1311" s="15" t="s">
        <v>1353</v>
      </c>
      <c r="F1311" s="15" t="s">
        <v>3025</v>
      </c>
      <c r="G1311" s="15" t="s">
        <v>3026</v>
      </c>
      <c r="H1311" s="33" t="n">
        <f aca="false">Packages!$O$124</f>
        <v>70.2152146555513</v>
      </c>
      <c r="I1311" s="15" t="s">
        <v>118</v>
      </c>
      <c r="J1311" s="34" t="n">
        <f aca="false">MAX(1,ROUNDUP(Packages!$O$124/(IF(Packages!$N$124&gt;=PIPE_T1,R_PIPE_L,IF(Packages!$N$124&gt;=PIPE_T2,R_PIPE_M,R_PIPE_S))*Fronts!$L$10)+Packages!$M$124*FIT_D+IF(Packages!$G$124&lt;&gt;"Run",TIE_D,0),0))</f>
        <v>4</v>
      </c>
      <c r="K1311" s="34" t="n">
        <f aca="false">IF(J1311=0,0,ROUNDUP(J1311*7/WD,0))</f>
        <v>5</v>
      </c>
      <c r="L1311" s="15" t="s">
        <v>4779</v>
      </c>
      <c r="M1311" s="34" t="n">
        <f aca="false">ROUNDUP(K1310*LADDER,0)</f>
        <v>4</v>
      </c>
      <c r="N1311" s="34" t="n">
        <f aca="false">IF(K1311=0,0,FFLAG)</f>
        <v>2</v>
      </c>
      <c r="O1311" s="15"/>
      <c r="P1311" s="16" t="n">
        <f aca="false">MAX(P1310+M1311,R1300)</f>
        <v>46519</v>
      </c>
      <c r="Q1311" s="16" t="n">
        <f aca="false">MAX(P1311+K1311,Q1310+N1311)</f>
        <v>46528</v>
      </c>
      <c r="R1311" s="16" t="n">
        <f aca="false">IF(K1311&gt;0,Q1311,R1300)</f>
        <v>46528</v>
      </c>
      <c r="S1311" s="15" t="s">
        <v>4766</v>
      </c>
    </row>
    <row r="1312" customFormat="false" ht="15" hidden="false" customHeight="false" outlineLevel="0" collapsed="false">
      <c r="A1312" s="15" t="s">
        <v>4781</v>
      </c>
      <c r="B1312" s="15" t="s">
        <v>4771</v>
      </c>
      <c r="C1312" s="15" t="s">
        <v>400</v>
      </c>
      <c r="D1312" s="15" t="s">
        <v>1341</v>
      </c>
      <c r="E1312" s="15" t="s">
        <v>1353</v>
      </c>
      <c r="F1312" s="15" t="s">
        <v>3028</v>
      </c>
      <c r="G1312" s="15" t="s">
        <v>3029</v>
      </c>
      <c r="H1312" s="33" t="n">
        <f aca="false">Packages!$O$124</f>
        <v>70.2152146555513</v>
      </c>
      <c r="I1312" s="15" t="s">
        <v>118</v>
      </c>
      <c r="J1312" s="34" t="n">
        <f aca="false">TEST_D+ROUNDUP(Packages!$O$124/R_TEST,0)</f>
        <v>3</v>
      </c>
      <c r="K1312" s="34" t="n">
        <f aca="false">IF(J1312=0,0,ROUNDUP(J1312*7/WD,0))</f>
        <v>4</v>
      </c>
      <c r="L1312" s="15" t="s">
        <v>4780</v>
      </c>
      <c r="M1312" s="34" t="n">
        <f aca="false">ROUNDUP(K1311*LADDER,0)</f>
        <v>2</v>
      </c>
      <c r="N1312" s="34" t="n">
        <f aca="false">IF(K1312=0,0,FFLAG)</f>
        <v>2</v>
      </c>
      <c r="O1312" s="15"/>
      <c r="P1312" s="16" t="n">
        <f aca="false">MAX(P1311+M1312)</f>
        <v>46521</v>
      </c>
      <c r="Q1312" s="16" t="n">
        <f aca="false">MAX(P1312+K1312,Q1311+N1312)</f>
        <v>46530</v>
      </c>
      <c r="R1312" s="12"/>
      <c r="S1312" s="12"/>
    </row>
    <row r="1313" customFormat="false" ht="15" hidden="false" customHeight="false" outlineLevel="0" collapsed="false">
      <c r="A1313" s="15" t="s">
        <v>4782</v>
      </c>
      <c r="B1313" s="15" t="s">
        <v>4771</v>
      </c>
      <c r="C1313" s="15" t="s">
        <v>400</v>
      </c>
      <c r="D1313" s="15" t="s">
        <v>1341</v>
      </c>
      <c r="E1313" s="15" t="s">
        <v>1353</v>
      </c>
      <c r="F1313" s="15" t="s">
        <v>3031</v>
      </c>
      <c r="G1313" s="15" t="s">
        <v>3032</v>
      </c>
      <c r="H1313" s="33" t="n">
        <f aca="false">Packages!$AB$124</f>
        <v>780.386045234546</v>
      </c>
      <c r="I1313" s="15" t="s">
        <v>3019</v>
      </c>
      <c r="J1313" s="34" t="n">
        <f aca="false">MAX(1,ROUNDUP(Packages!$AB$124/(R_BF*Fronts!$M$10),0))</f>
        <v>3</v>
      </c>
      <c r="K1313" s="34" t="n">
        <f aca="false">IF(J1313=0,0,ROUNDUP(J1313*7/WD,0))</f>
        <v>4</v>
      </c>
      <c r="L1313" s="15" t="s">
        <v>4781</v>
      </c>
      <c r="M1313" s="34" t="n">
        <f aca="false">ROUNDUP(K1312*LADDER,0)</f>
        <v>2</v>
      </c>
      <c r="N1313" s="34" t="n">
        <f aca="false">IF(K1313=0,0,FFLAG)</f>
        <v>2</v>
      </c>
      <c r="O1313" s="15"/>
      <c r="P1313" s="16" t="n">
        <f aca="false">MAX(P1312+M1313,R1302)</f>
        <v>46523</v>
      </c>
      <c r="Q1313" s="16" t="n">
        <f aca="false">MAX(P1313+K1313,Q1312+N1313)</f>
        <v>46532</v>
      </c>
      <c r="R1313" s="16" t="n">
        <f aca="false">IF(K1313&gt;0,Q1313,R1302)</f>
        <v>46532</v>
      </c>
      <c r="S1313" s="15" t="s">
        <v>4768</v>
      </c>
    </row>
    <row r="1314" customFormat="false" ht="15" hidden="false" customHeight="false" outlineLevel="0" collapsed="false">
      <c r="A1314" s="15" t="s">
        <v>4783</v>
      </c>
      <c r="B1314" s="15" t="s">
        <v>4771</v>
      </c>
      <c r="C1314" s="15" t="s">
        <v>400</v>
      </c>
      <c r="D1314" s="15" t="s">
        <v>1341</v>
      </c>
      <c r="E1314" s="15" t="s">
        <v>1353</v>
      </c>
      <c r="F1314" s="15" t="s">
        <v>3034</v>
      </c>
      <c r="G1314" s="15" t="s">
        <v>3035</v>
      </c>
      <c r="H1314" s="33" t="n">
        <f aca="false">Packages!$AD$124</f>
        <v>140.430429311103</v>
      </c>
      <c r="I1314" s="15" t="s">
        <v>3012</v>
      </c>
      <c r="J1314" s="34" t="n">
        <f aca="false">IF(Packages!$AD$124&gt;0,ROUNDUP(Packages!$AD$124/R_EXT,0),0)+IF(Packages!$AG$124&gt;0,1,0)</f>
        <v>4</v>
      </c>
      <c r="K1314" s="34" t="n">
        <f aca="false">IF(J1314=0,0,ROUNDUP(J1314*7/WD,0))</f>
        <v>5</v>
      </c>
      <c r="L1314" s="15" t="s">
        <v>4782</v>
      </c>
      <c r="M1314" s="34" t="n">
        <f aca="false">ROUNDUP(K1313*LADDER,0)</f>
        <v>2</v>
      </c>
      <c r="N1314" s="34" t="n">
        <f aca="false">IF(K1314=0,0,FFLAG)</f>
        <v>2</v>
      </c>
      <c r="O1314" s="15"/>
      <c r="P1314" s="16" t="n">
        <f aca="false">MAX(P1313+M1314)</f>
        <v>46525</v>
      </c>
      <c r="Q1314" s="16" t="n">
        <f aca="false">MAX(P1314+K1314,Q1313+N1314)</f>
        <v>46534</v>
      </c>
      <c r="R1314" s="12"/>
      <c r="S1314" s="12"/>
    </row>
    <row r="1315" customFormat="false" ht="15" hidden="false" customHeight="false" outlineLevel="0" collapsed="false">
      <c r="A1315" s="15" t="s">
        <v>4784</v>
      </c>
      <c r="B1315" s="15" t="s">
        <v>4785</v>
      </c>
      <c r="C1315" s="15" t="s">
        <v>400</v>
      </c>
      <c r="D1315" s="15" t="s">
        <v>1341</v>
      </c>
      <c r="E1315" s="15" t="s">
        <v>1344</v>
      </c>
      <c r="F1315" s="15" t="s">
        <v>2998</v>
      </c>
      <c r="G1315" s="15" t="s">
        <v>2999</v>
      </c>
      <c r="H1315" s="12"/>
      <c r="I1315" s="12"/>
      <c r="J1315" s="34" t="n">
        <f aca="false">0</f>
        <v>0</v>
      </c>
      <c r="K1315" s="34" t="n">
        <f aca="false">IF(J1315=0,0,ROUNDUP(J1315*7/WD,0))</f>
        <v>0</v>
      </c>
      <c r="L1315" s="12"/>
      <c r="M1315" s="12"/>
      <c r="N1315" s="12"/>
      <c r="O1315" s="15" t="s">
        <v>3000</v>
      </c>
      <c r="P1315" s="16" t="n">
        <f aca="false">MAX(START,D_DLU,Packages!$I$125,Packages!$K$125)</f>
        <v>46357</v>
      </c>
      <c r="Q1315" s="16" t="n">
        <f aca="false">P1315+K1315</f>
        <v>46357</v>
      </c>
      <c r="R1315" s="12"/>
      <c r="S1315" s="12"/>
    </row>
    <row r="1316" customFormat="false" ht="15" hidden="false" customHeight="false" outlineLevel="0" collapsed="false">
      <c r="A1316" s="15" t="s">
        <v>4786</v>
      </c>
      <c r="B1316" s="15" t="s">
        <v>4785</v>
      </c>
      <c r="C1316" s="15" t="s">
        <v>400</v>
      </c>
      <c r="D1316" s="15" t="s">
        <v>1341</v>
      </c>
      <c r="E1316" s="15" t="s">
        <v>1344</v>
      </c>
      <c r="F1316" s="15" t="s">
        <v>3002</v>
      </c>
      <c r="G1316" s="15" t="s">
        <v>205</v>
      </c>
      <c r="H1316" s="33" t="n">
        <f aca="false">Packages!$O$125</f>
        <v>49.6290812856449</v>
      </c>
      <c r="I1316" s="15" t="s">
        <v>118</v>
      </c>
      <c r="J1316" s="34" t="n">
        <f aca="false">MAX(1,ROUNDUP(Packages!$O$125/R_PLAT,0))</f>
        <v>1</v>
      </c>
      <c r="K1316" s="34" t="n">
        <f aca="false">IF(J1316=0,0,ROUNDUP(J1316*7/WD,0))</f>
        <v>2</v>
      </c>
      <c r="L1316" s="15" t="s">
        <v>4784</v>
      </c>
      <c r="M1316" s="12"/>
      <c r="N1316" s="12"/>
      <c r="O1316" s="15" t="s">
        <v>4787</v>
      </c>
      <c r="P1316" s="16" t="n">
        <f aca="false">MAX(Q1315,P1306)</f>
        <v>46446</v>
      </c>
      <c r="Q1316" s="16" t="n">
        <f aca="false">P1316+K1316</f>
        <v>46448</v>
      </c>
      <c r="R1316" s="12"/>
      <c r="S1316" s="12"/>
    </row>
    <row r="1317" customFormat="false" ht="15" hidden="false" customHeight="false" outlineLevel="0" collapsed="false">
      <c r="A1317" s="15" t="s">
        <v>4788</v>
      </c>
      <c r="B1317" s="15" t="s">
        <v>4785</v>
      </c>
      <c r="C1317" s="15" t="s">
        <v>400</v>
      </c>
      <c r="D1317" s="15" t="s">
        <v>1341</v>
      </c>
      <c r="E1317" s="15" t="s">
        <v>1344</v>
      </c>
      <c r="F1317" s="15" t="s">
        <v>3005</v>
      </c>
      <c r="G1317" s="15" t="s">
        <v>3006</v>
      </c>
      <c r="H1317" s="33" t="n">
        <f aca="false">Packages!$AC$125</f>
        <v>36</v>
      </c>
      <c r="I1317" s="15" t="s">
        <v>3007</v>
      </c>
      <c r="J1317" s="34" t="n">
        <f aca="false">IF(Packages!$AC$125=0,0,MAX(1,ROUNDUP(Packages!$AC$125/(R_PILE*Fronts!$H$10),0)))</f>
        <v>8</v>
      </c>
      <c r="K1317" s="34" t="n">
        <f aca="false">IF(J1317=0,0,ROUNDUP(J1317*7/WD,0))</f>
        <v>10</v>
      </c>
      <c r="L1317" s="15" t="s">
        <v>4786</v>
      </c>
      <c r="M1317" s="34" t="n">
        <f aca="false">ROUNDUP(K1316*LADDER,0)</f>
        <v>1</v>
      </c>
      <c r="N1317" s="34" t="n">
        <f aca="false">IF(K1317=0,0,FFLAG)</f>
        <v>2</v>
      </c>
      <c r="O1317" s="15" t="s">
        <v>3008</v>
      </c>
      <c r="P1317" s="16" t="n">
        <f aca="false">MAX(P1316+M1317,D_PILEDES,R1306)</f>
        <v>46458</v>
      </c>
      <c r="Q1317" s="16" t="n">
        <f aca="false">MAX(P1317+K1317,Q1316+N1317)</f>
        <v>46468</v>
      </c>
      <c r="R1317" s="16" t="n">
        <f aca="false">IF(K1317&gt;0,Q1317,R1306)</f>
        <v>46468</v>
      </c>
      <c r="S1317" s="15" t="s">
        <v>4774</v>
      </c>
    </row>
    <row r="1318" customFormat="false" ht="15" hidden="false" customHeight="false" outlineLevel="0" collapsed="false">
      <c r="A1318" s="15" t="s">
        <v>4789</v>
      </c>
      <c r="B1318" s="15" t="s">
        <v>4785</v>
      </c>
      <c r="C1318" s="15" t="s">
        <v>400</v>
      </c>
      <c r="D1318" s="15" t="s">
        <v>1341</v>
      </c>
      <c r="E1318" s="15" t="s">
        <v>1344</v>
      </c>
      <c r="F1318" s="15" t="s">
        <v>3010</v>
      </c>
      <c r="G1318" s="15" t="s">
        <v>3011</v>
      </c>
      <c r="H1318" s="33" t="n">
        <f aca="false">Packages!$AD$125</f>
        <v>99.2581625712898</v>
      </c>
      <c r="I1318" s="15" t="s">
        <v>3012</v>
      </c>
      <c r="J1318" s="34" t="n">
        <f aca="false">IF(Packages!$AD$125=0,0,MAX(1,ROUNDUP(Packages!$AD$125/(R_SHEET*Fronts!$I$10),0)))</f>
        <v>4</v>
      </c>
      <c r="K1318" s="34" t="n">
        <f aca="false">IF(J1318=0,0,ROUNDUP(J1318*7/WD,0))</f>
        <v>5</v>
      </c>
      <c r="L1318" s="15" t="s">
        <v>4788</v>
      </c>
      <c r="M1318" s="34" t="n">
        <f aca="false">ROUNDUP(K1317*LADDER,0)</f>
        <v>3</v>
      </c>
      <c r="N1318" s="34" t="n">
        <f aca="false">IF(K1318=0,0,FFLAG)</f>
        <v>2</v>
      </c>
      <c r="O1318" s="15"/>
      <c r="P1318" s="16" t="n">
        <f aca="false">MAX(P1317+M1318,R1307)</f>
        <v>46461</v>
      </c>
      <c r="Q1318" s="16" t="n">
        <f aca="false">MAX(P1318+K1318,Q1317+N1318)</f>
        <v>46470</v>
      </c>
      <c r="R1318" s="16" t="n">
        <f aca="false">IF(K1318&gt;0,Q1318,R1307)</f>
        <v>46470</v>
      </c>
      <c r="S1318" s="15" t="s">
        <v>4775</v>
      </c>
    </row>
    <row r="1319" customFormat="false" ht="15" hidden="false" customHeight="false" outlineLevel="0" collapsed="false">
      <c r="A1319" s="15" t="s">
        <v>4790</v>
      </c>
      <c r="B1319" s="15" t="s">
        <v>4785</v>
      </c>
      <c r="C1319" s="15" t="s">
        <v>400</v>
      </c>
      <c r="D1319" s="15" t="s">
        <v>1341</v>
      </c>
      <c r="E1319" s="15" t="s">
        <v>1344</v>
      </c>
      <c r="F1319" s="15" t="s">
        <v>3014</v>
      </c>
      <c r="G1319" s="15" t="s">
        <v>3015</v>
      </c>
      <c r="H1319" s="33" t="n">
        <f aca="false">Packages!$O$125</f>
        <v>49.6290812856449</v>
      </c>
      <c r="I1319" s="15" t="s">
        <v>118</v>
      </c>
      <c r="J1319" s="34" t="n">
        <f aca="false">IF(Packages!$AG$125=0,0,ROUNDUP(Packages!$O$125/R_DW,0)+DW_DRAW)</f>
        <v>9</v>
      </c>
      <c r="K1319" s="34" t="n">
        <f aca="false">IF(J1319=0,0,ROUNDUP(J1319*7/WD,0))</f>
        <v>11</v>
      </c>
      <c r="L1319" s="15" t="s">
        <v>4789</v>
      </c>
      <c r="M1319" s="34" t="n">
        <f aca="false">ROUNDUP(K1318*LADDER,0)</f>
        <v>2</v>
      </c>
      <c r="N1319" s="34" t="n">
        <f aca="false">IF(K1319=0,0,FFLAG)</f>
        <v>2</v>
      </c>
      <c r="O1319" s="15" t="s">
        <v>4791</v>
      </c>
      <c r="P1319" s="16" t="n">
        <f aca="false">MAX(P1318+M1319,Q1309-K1319)</f>
        <v>46472</v>
      </c>
      <c r="Q1319" s="16" t="n">
        <f aca="false">MAX(P1319+K1319,Q1318+N1319)</f>
        <v>46483</v>
      </c>
      <c r="R1319" s="12"/>
      <c r="S1319" s="12"/>
    </row>
    <row r="1320" customFormat="false" ht="15" hidden="false" customHeight="false" outlineLevel="0" collapsed="false">
      <c r="A1320" s="15" t="s">
        <v>4792</v>
      </c>
      <c r="B1320" s="15" t="s">
        <v>4785</v>
      </c>
      <c r="C1320" s="15" t="s">
        <v>400</v>
      </c>
      <c r="D1320" s="15" t="s">
        <v>1341</v>
      </c>
      <c r="E1320" s="15" t="s">
        <v>1344</v>
      </c>
      <c r="F1320" s="15" t="s">
        <v>3017</v>
      </c>
      <c r="G1320" s="15" t="s">
        <v>3018</v>
      </c>
      <c r="H1320" s="33" t="n">
        <f aca="false">Packages!$X$125+Packages!$Y$125</f>
        <v>506.934465932216</v>
      </c>
      <c r="I1320" s="15" t="s">
        <v>3019</v>
      </c>
      <c r="J1320" s="34" t="n">
        <f aca="false">MAX(1,ROUNDUP((Packages!$X$125/R_EXS+Packages!$Y$125/R_EXO)/Fronts!$J$10,0))</f>
        <v>3</v>
      </c>
      <c r="K1320" s="34" t="n">
        <f aca="false">IF(J1320=0,0,ROUNDUP(J1320*7/WD,0))</f>
        <v>4</v>
      </c>
      <c r="L1320" s="15" t="s">
        <v>4790</v>
      </c>
      <c r="M1320" s="34" t="n">
        <f aca="false">IF(K1319=0,0,ROUNDUP((K1319-ROUNDUP(DW_DRAW*7/WD,0))*LADDER,0)+ROUNDUP(DW_DRAW*7/WD,0))</f>
        <v>10</v>
      </c>
      <c r="N1320" s="34" t="n">
        <f aca="false">IF(K1320=0,0,FFLAG)</f>
        <v>2</v>
      </c>
      <c r="O1320" s="15"/>
      <c r="P1320" s="16" t="n">
        <f aca="false">MAX(P1319+M1320,R1309)</f>
        <v>46483</v>
      </c>
      <c r="Q1320" s="16" t="n">
        <f aca="false">MAX(P1320+K1320,Q1319+N1320)</f>
        <v>46487</v>
      </c>
      <c r="R1320" s="16" t="n">
        <f aca="false">IF(K1320&gt;0,Q1320,R1309)</f>
        <v>46487</v>
      </c>
      <c r="S1320" s="15" t="s">
        <v>4778</v>
      </c>
    </row>
    <row r="1321" customFormat="false" ht="15" hidden="false" customHeight="false" outlineLevel="0" collapsed="false">
      <c r="A1321" s="15" t="s">
        <v>4793</v>
      </c>
      <c r="B1321" s="15" t="s">
        <v>4785</v>
      </c>
      <c r="C1321" s="15" t="s">
        <v>400</v>
      </c>
      <c r="D1321" s="15" t="s">
        <v>1341</v>
      </c>
      <c r="E1321" s="15" t="s">
        <v>1344</v>
      </c>
      <c r="F1321" s="15" t="s">
        <v>3022</v>
      </c>
      <c r="G1321" s="15" t="s">
        <v>3023</v>
      </c>
      <c r="H1321" s="33" t="n">
        <f aca="false">Packages!$O$125</f>
        <v>49.6290812856449</v>
      </c>
      <c r="I1321" s="15" t="s">
        <v>118</v>
      </c>
      <c r="J1321" s="34" t="n">
        <f aca="false">MAX(1,ROUNDUP(Packages!$O$125/(R_SLAB*Fronts!$K$10),0))+SLAB_CURE</f>
        <v>8</v>
      </c>
      <c r="K1321" s="34" t="n">
        <f aca="false">IF(J1321=0,0,ROUNDUP(J1321*7/WD,0))</f>
        <v>10</v>
      </c>
      <c r="L1321" s="15" t="s">
        <v>4792</v>
      </c>
      <c r="M1321" s="34" t="n">
        <f aca="false">ROUNDUP(K1320*LADDER,0)</f>
        <v>2</v>
      </c>
      <c r="N1321" s="34" t="n">
        <f aca="false">IF(K1321=0,0,FFLAG)</f>
        <v>2</v>
      </c>
      <c r="O1321" s="15"/>
      <c r="P1321" s="16" t="n">
        <f aca="false">MAX(P1320+M1321,R1310)</f>
        <v>46526</v>
      </c>
      <c r="Q1321" s="16" t="n">
        <f aca="false">MAX(P1321+K1321,Q1320+N1321)</f>
        <v>46536</v>
      </c>
      <c r="R1321" s="16" t="n">
        <f aca="false">IF(K1321&gt;0,Q1321,R1310)</f>
        <v>46536</v>
      </c>
      <c r="S1321" s="15" t="s">
        <v>4779</v>
      </c>
    </row>
    <row r="1322" customFormat="false" ht="15" hidden="false" customHeight="false" outlineLevel="0" collapsed="false">
      <c r="A1322" s="15" t="s">
        <v>4794</v>
      </c>
      <c r="B1322" s="15" t="s">
        <v>4785</v>
      </c>
      <c r="C1322" s="15" t="s">
        <v>400</v>
      </c>
      <c r="D1322" s="15" t="s">
        <v>1341</v>
      </c>
      <c r="E1322" s="15" t="s">
        <v>1344</v>
      </c>
      <c r="F1322" s="15" t="s">
        <v>3025</v>
      </c>
      <c r="G1322" s="15" t="s">
        <v>3026</v>
      </c>
      <c r="H1322" s="33" t="n">
        <f aca="false">Packages!$O$125</f>
        <v>49.6290812856449</v>
      </c>
      <c r="I1322" s="15" t="s">
        <v>118</v>
      </c>
      <c r="J1322" s="34" t="n">
        <f aca="false">MAX(1,ROUNDUP(Packages!$O$125/(IF(Packages!$N$125&gt;=PIPE_T1,R_PIPE_L,IF(Packages!$N$125&gt;=PIPE_T2,R_PIPE_M,R_PIPE_S))*Fronts!$L$10)+Packages!$M$125*FIT_D+IF(Packages!$G$125&lt;&gt;"Run",TIE_D,0),0))</f>
        <v>2</v>
      </c>
      <c r="K1322" s="34" t="n">
        <f aca="false">IF(J1322=0,0,ROUNDUP(J1322*7/WD,0))</f>
        <v>3</v>
      </c>
      <c r="L1322" s="15" t="s">
        <v>4793</v>
      </c>
      <c r="M1322" s="34" t="n">
        <f aca="false">ROUNDUP(K1321*LADDER,0)</f>
        <v>3</v>
      </c>
      <c r="N1322" s="34" t="n">
        <f aca="false">IF(K1322=0,0,FFLAG)</f>
        <v>2</v>
      </c>
      <c r="O1322" s="15"/>
      <c r="P1322" s="16" t="n">
        <f aca="false">MAX(P1321+M1322,R1311)</f>
        <v>46529</v>
      </c>
      <c r="Q1322" s="16" t="n">
        <f aca="false">MAX(P1322+K1322,Q1321+N1322)</f>
        <v>46538</v>
      </c>
      <c r="R1322" s="16" t="n">
        <f aca="false">IF(K1322&gt;0,Q1322,R1311)</f>
        <v>46538</v>
      </c>
      <c r="S1322" s="15" t="s">
        <v>4780</v>
      </c>
    </row>
    <row r="1323" customFormat="false" ht="15" hidden="false" customHeight="false" outlineLevel="0" collapsed="false">
      <c r="A1323" s="15" t="s">
        <v>4795</v>
      </c>
      <c r="B1323" s="15" t="s">
        <v>4785</v>
      </c>
      <c r="C1323" s="15" t="s">
        <v>400</v>
      </c>
      <c r="D1323" s="15" t="s">
        <v>1341</v>
      </c>
      <c r="E1323" s="15" t="s">
        <v>1344</v>
      </c>
      <c r="F1323" s="15" t="s">
        <v>3028</v>
      </c>
      <c r="G1323" s="15" t="s">
        <v>3029</v>
      </c>
      <c r="H1323" s="33" t="n">
        <f aca="false">Packages!$O$125</f>
        <v>49.6290812856449</v>
      </c>
      <c r="I1323" s="15" t="s">
        <v>118</v>
      </c>
      <c r="J1323" s="34" t="n">
        <f aca="false">TEST_D+ROUNDUP(Packages!$O$125/R_TEST,0)</f>
        <v>3</v>
      </c>
      <c r="K1323" s="34" t="n">
        <f aca="false">IF(J1323=0,0,ROUNDUP(J1323*7/WD,0))</f>
        <v>4</v>
      </c>
      <c r="L1323" s="15" t="s">
        <v>4794</v>
      </c>
      <c r="M1323" s="34" t="n">
        <f aca="false">ROUNDUP(K1322*LADDER,0)</f>
        <v>1</v>
      </c>
      <c r="N1323" s="34" t="n">
        <f aca="false">IF(K1323=0,0,FFLAG)</f>
        <v>2</v>
      </c>
      <c r="O1323" s="15"/>
      <c r="P1323" s="16" t="n">
        <f aca="false">MAX(P1322+M1323)</f>
        <v>46530</v>
      </c>
      <c r="Q1323" s="16" t="n">
        <f aca="false">MAX(P1323+K1323,Q1322+N1323)</f>
        <v>46540</v>
      </c>
      <c r="R1323" s="12"/>
      <c r="S1323" s="12"/>
    </row>
    <row r="1324" customFormat="false" ht="15" hidden="false" customHeight="false" outlineLevel="0" collapsed="false">
      <c r="A1324" s="15" t="s">
        <v>4796</v>
      </c>
      <c r="B1324" s="15" t="s">
        <v>4785</v>
      </c>
      <c r="C1324" s="15" t="s">
        <v>400</v>
      </c>
      <c r="D1324" s="15" t="s">
        <v>1341</v>
      </c>
      <c r="E1324" s="15" t="s">
        <v>1344</v>
      </c>
      <c r="F1324" s="15" t="s">
        <v>3031</v>
      </c>
      <c r="G1324" s="15" t="s">
        <v>3032</v>
      </c>
      <c r="H1324" s="33" t="n">
        <f aca="false">Packages!$AB$125</f>
        <v>418.021566893176</v>
      </c>
      <c r="I1324" s="15" t="s">
        <v>3019</v>
      </c>
      <c r="J1324" s="34" t="n">
        <f aca="false">MAX(1,ROUNDUP(Packages!$AB$125/(R_BF*Fronts!$M$10),0))</f>
        <v>2</v>
      </c>
      <c r="K1324" s="34" t="n">
        <f aca="false">IF(J1324=0,0,ROUNDUP(J1324*7/WD,0))</f>
        <v>3</v>
      </c>
      <c r="L1324" s="15" t="s">
        <v>4795</v>
      </c>
      <c r="M1324" s="34" t="n">
        <f aca="false">ROUNDUP(K1323*LADDER,0)</f>
        <v>2</v>
      </c>
      <c r="N1324" s="34" t="n">
        <f aca="false">IF(K1324=0,0,FFLAG)</f>
        <v>2</v>
      </c>
      <c r="O1324" s="15" t="s">
        <v>4797</v>
      </c>
      <c r="P1324" s="16" t="n">
        <f aca="false">MAX(P1323+M1324,R1313,Q1344)</f>
        <v>46532</v>
      </c>
      <c r="Q1324" s="16" t="n">
        <f aca="false">MAX(P1324+K1324,Q1323+N1324)</f>
        <v>46542</v>
      </c>
      <c r="R1324" s="16" t="n">
        <f aca="false">IF(K1324&gt;0,Q1324,R1313)</f>
        <v>46542</v>
      </c>
      <c r="S1324" s="15" t="s">
        <v>4782</v>
      </c>
    </row>
    <row r="1325" customFormat="false" ht="15" hidden="false" customHeight="false" outlineLevel="0" collapsed="false">
      <c r="A1325" s="15" t="s">
        <v>4798</v>
      </c>
      <c r="B1325" s="15" t="s">
        <v>4785</v>
      </c>
      <c r="C1325" s="15" t="s">
        <v>400</v>
      </c>
      <c r="D1325" s="15" t="s">
        <v>1341</v>
      </c>
      <c r="E1325" s="15" t="s">
        <v>1344</v>
      </c>
      <c r="F1325" s="15" t="s">
        <v>3034</v>
      </c>
      <c r="G1325" s="15" t="s">
        <v>3035</v>
      </c>
      <c r="H1325" s="33" t="n">
        <f aca="false">Packages!$AD$125</f>
        <v>99.2581625712898</v>
      </c>
      <c r="I1325" s="15" t="s">
        <v>3012</v>
      </c>
      <c r="J1325" s="34" t="n">
        <f aca="false">IF(Packages!$AD$125&gt;0,ROUNDUP(Packages!$AD$125/R_EXT,0),0)+IF(Packages!$AG$125&gt;0,1,0)</f>
        <v>3</v>
      </c>
      <c r="K1325" s="34" t="n">
        <f aca="false">IF(J1325=0,0,ROUNDUP(J1325*7/WD,0))</f>
        <v>4</v>
      </c>
      <c r="L1325" s="15" t="s">
        <v>4796</v>
      </c>
      <c r="M1325" s="34" t="n">
        <f aca="false">ROUNDUP(K1324*LADDER,0)</f>
        <v>1</v>
      </c>
      <c r="N1325" s="34" t="n">
        <f aca="false">IF(K1325=0,0,FFLAG)</f>
        <v>2</v>
      </c>
      <c r="O1325" s="15"/>
      <c r="P1325" s="16" t="n">
        <f aca="false">MAX(P1324+M1325)</f>
        <v>46533</v>
      </c>
      <c r="Q1325" s="16" t="n">
        <f aca="false">MAX(P1325+K1325,Q1324+N1325)</f>
        <v>46544</v>
      </c>
      <c r="R1325" s="12"/>
      <c r="S1325" s="12"/>
    </row>
    <row r="1326" customFormat="false" ht="15" hidden="false" customHeight="false" outlineLevel="0" collapsed="false">
      <c r="A1326" s="15" t="s">
        <v>4799</v>
      </c>
      <c r="B1326" s="15" t="s">
        <v>4800</v>
      </c>
      <c r="C1326" s="15" t="s">
        <v>400</v>
      </c>
      <c r="D1326" s="15" t="s">
        <v>1341</v>
      </c>
      <c r="E1326" s="15" t="s">
        <v>1342</v>
      </c>
      <c r="F1326" s="15" t="s">
        <v>2998</v>
      </c>
      <c r="G1326" s="15" t="s">
        <v>2999</v>
      </c>
      <c r="H1326" s="12"/>
      <c r="I1326" s="12"/>
      <c r="J1326" s="34" t="n">
        <f aca="false">0</f>
        <v>0</v>
      </c>
      <c r="K1326" s="34" t="n">
        <f aca="false">IF(J1326=0,0,ROUNDUP(J1326*7/WD,0))</f>
        <v>0</v>
      </c>
      <c r="L1326" s="12"/>
      <c r="M1326" s="12"/>
      <c r="N1326" s="12"/>
      <c r="O1326" s="15" t="s">
        <v>3038</v>
      </c>
      <c r="P1326" s="16" t="n">
        <f aca="false">MAX(START,D_DLU,Packages!$I$126,Packages!$K$126)</f>
        <v>46357</v>
      </c>
      <c r="Q1326" s="16" t="n">
        <f aca="false">P1326+K1326</f>
        <v>46357</v>
      </c>
      <c r="R1326" s="12"/>
      <c r="S1326" s="12"/>
    </row>
    <row r="1327" customFormat="false" ht="15" hidden="false" customHeight="false" outlineLevel="0" collapsed="false">
      <c r="A1327" s="15" t="s">
        <v>4801</v>
      </c>
      <c r="B1327" s="15" t="s">
        <v>4800</v>
      </c>
      <c r="C1327" s="15" t="s">
        <v>400</v>
      </c>
      <c r="D1327" s="15" t="s">
        <v>1341</v>
      </c>
      <c r="E1327" s="15" t="s">
        <v>1342</v>
      </c>
      <c r="F1327" s="15" t="s">
        <v>3002</v>
      </c>
      <c r="G1327" s="15" t="s">
        <v>205</v>
      </c>
      <c r="H1327" s="33" t="n">
        <f aca="false">Packages!$O$126</f>
        <v>5.99999999957897</v>
      </c>
      <c r="I1327" s="15" t="s">
        <v>118</v>
      </c>
      <c r="J1327" s="34" t="n">
        <f aca="false">MAX(1,ROUNDUP(Packages!$O$126/R_PLAT,0))</f>
        <v>1</v>
      </c>
      <c r="K1327" s="34" t="n">
        <f aca="false">IF(J1327=0,0,ROUNDUP(J1327*7/WD,0))</f>
        <v>2</v>
      </c>
      <c r="L1327" s="15" t="s">
        <v>4799</v>
      </c>
      <c r="M1327" s="12"/>
      <c r="N1327" s="12"/>
      <c r="O1327" s="15" t="s">
        <v>4802</v>
      </c>
      <c r="P1327" s="16" t="n">
        <f aca="false">MAX(Q1326,P1317)</f>
        <v>46458</v>
      </c>
      <c r="Q1327" s="16" t="n">
        <f aca="false">P1327+K1327</f>
        <v>46460</v>
      </c>
      <c r="R1327" s="12"/>
      <c r="S1327" s="12"/>
    </row>
    <row r="1328" customFormat="false" ht="15" hidden="false" customHeight="false" outlineLevel="0" collapsed="false">
      <c r="A1328" s="15" t="s">
        <v>4803</v>
      </c>
      <c r="B1328" s="15" t="s">
        <v>4800</v>
      </c>
      <c r="C1328" s="15" t="s">
        <v>400</v>
      </c>
      <c r="D1328" s="15" t="s">
        <v>1341</v>
      </c>
      <c r="E1328" s="15" t="s">
        <v>1342</v>
      </c>
      <c r="F1328" s="15" t="s">
        <v>3005</v>
      </c>
      <c r="G1328" s="15" t="s">
        <v>3006</v>
      </c>
      <c r="H1328" s="33" t="n">
        <f aca="false">Packages!$AC$126</f>
        <v>3</v>
      </c>
      <c r="I1328" s="15" t="s">
        <v>3007</v>
      </c>
      <c r="J1328" s="34" t="n">
        <f aca="false">IF(Packages!$AC$126=0,0,MAX(1,ROUNDUP(Packages!$AC$126/(R_PILE*Fronts!$H$10),0)))</f>
        <v>1</v>
      </c>
      <c r="K1328" s="34" t="n">
        <f aca="false">IF(J1328=0,0,ROUNDUP(J1328*7/WD,0))</f>
        <v>2</v>
      </c>
      <c r="L1328" s="15" t="s">
        <v>4801</v>
      </c>
      <c r="M1328" s="34" t="n">
        <f aca="false">ROUNDUP(K1327*LADDER,0)</f>
        <v>1</v>
      </c>
      <c r="N1328" s="34" t="n">
        <f aca="false">IF(K1328=0,0,FFLAG)</f>
        <v>2</v>
      </c>
      <c r="O1328" s="15" t="s">
        <v>3008</v>
      </c>
      <c r="P1328" s="16" t="n">
        <f aca="false">MAX(P1327+M1328,D_PILEDES)</f>
        <v>46459</v>
      </c>
      <c r="Q1328" s="16" t="n">
        <f aca="false">MAX(P1328+K1328,Q1327+N1328)</f>
        <v>46462</v>
      </c>
      <c r="R1328" s="16" t="n">
        <f aca="false">IF(K1328&gt;0,Q1328,0)</f>
        <v>46462</v>
      </c>
      <c r="S1328" s="12"/>
    </row>
    <row r="1329" customFormat="false" ht="15" hidden="false" customHeight="false" outlineLevel="0" collapsed="false">
      <c r="A1329" s="15" t="s">
        <v>4804</v>
      </c>
      <c r="B1329" s="15" t="s">
        <v>4800</v>
      </c>
      <c r="C1329" s="15" t="s">
        <v>400</v>
      </c>
      <c r="D1329" s="15" t="s">
        <v>1341</v>
      </c>
      <c r="E1329" s="15" t="s">
        <v>1342</v>
      </c>
      <c r="F1329" s="15" t="s">
        <v>3010</v>
      </c>
      <c r="G1329" s="15" t="s">
        <v>3011</v>
      </c>
      <c r="H1329" s="33" t="n">
        <f aca="false">Packages!$AD$126</f>
        <v>11.9999999991579</v>
      </c>
      <c r="I1329" s="15" t="s">
        <v>3012</v>
      </c>
      <c r="J1329" s="34" t="n">
        <f aca="false">IF(Packages!$AD$126=0,0,MAX(1,ROUNDUP(Packages!$AD$126/(R_SHEET*Fronts!$I$10),0)))</f>
        <v>1</v>
      </c>
      <c r="K1329" s="34" t="n">
        <f aca="false">IF(J1329=0,0,ROUNDUP(J1329*7/WD,0))</f>
        <v>2</v>
      </c>
      <c r="L1329" s="15" t="s">
        <v>4803</v>
      </c>
      <c r="M1329" s="34" t="n">
        <f aca="false">ROUNDUP(K1328*LADDER,0)</f>
        <v>1</v>
      </c>
      <c r="N1329" s="34" t="n">
        <f aca="false">IF(K1329=0,0,FFLAG)</f>
        <v>2</v>
      </c>
      <c r="O1329" s="15"/>
      <c r="P1329" s="16" t="n">
        <f aca="false">MAX(P1328+M1329)</f>
        <v>46460</v>
      </c>
      <c r="Q1329" s="16" t="n">
        <f aca="false">MAX(P1329+K1329,Q1328+N1329)</f>
        <v>46464</v>
      </c>
      <c r="R1329" s="16" t="n">
        <f aca="false">IF(K1329&gt;0,Q1329,0)</f>
        <v>46464</v>
      </c>
      <c r="S1329" s="12"/>
    </row>
    <row r="1330" customFormat="false" ht="15" hidden="false" customHeight="false" outlineLevel="0" collapsed="false">
      <c r="A1330" s="15" t="s">
        <v>4805</v>
      </c>
      <c r="B1330" s="15" t="s">
        <v>4800</v>
      </c>
      <c r="C1330" s="15" t="s">
        <v>400</v>
      </c>
      <c r="D1330" s="15" t="s">
        <v>1341</v>
      </c>
      <c r="E1330" s="15" t="s">
        <v>1342</v>
      </c>
      <c r="F1330" s="15" t="s">
        <v>3014</v>
      </c>
      <c r="G1330" s="15" t="s">
        <v>3015</v>
      </c>
      <c r="H1330" s="33" t="n">
        <f aca="false">Packages!$O$126</f>
        <v>5.99999999957897</v>
      </c>
      <c r="I1330" s="15" t="s">
        <v>118</v>
      </c>
      <c r="J1330" s="34" t="n">
        <f aca="false">IF(Packages!$AG$126=0,0,ROUNDUP(Packages!$O$126/R_DW,0)+DW_DRAW)</f>
        <v>8</v>
      </c>
      <c r="K1330" s="34" t="n">
        <f aca="false">IF(J1330=0,0,ROUNDUP(J1330*7/WD,0))</f>
        <v>10</v>
      </c>
      <c r="L1330" s="15" t="s">
        <v>4804</v>
      </c>
      <c r="M1330" s="34" t="n">
        <f aca="false">ROUNDUP(K1329*LADDER,0)</f>
        <v>1</v>
      </c>
      <c r="N1330" s="34" t="n">
        <f aca="false">IF(K1330=0,0,FFLAG)</f>
        <v>2</v>
      </c>
      <c r="O1330" s="15"/>
      <c r="P1330" s="16" t="n">
        <f aca="false">MAX(P1329+M1330)</f>
        <v>46461</v>
      </c>
      <c r="Q1330" s="16" t="n">
        <f aca="false">MAX(P1330+K1330,Q1329+N1330)</f>
        <v>46471</v>
      </c>
      <c r="R1330" s="12"/>
      <c r="S1330" s="12"/>
    </row>
    <row r="1331" customFormat="false" ht="15" hidden="false" customHeight="false" outlineLevel="0" collapsed="false">
      <c r="A1331" s="15" t="s">
        <v>4806</v>
      </c>
      <c r="B1331" s="15" t="s">
        <v>4800</v>
      </c>
      <c r="C1331" s="15" t="s">
        <v>400</v>
      </c>
      <c r="D1331" s="15" t="s">
        <v>1341</v>
      </c>
      <c r="E1331" s="15" t="s">
        <v>1342</v>
      </c>
      <c r="F1331" s="15" t="s">
        <v>3017</v>
      </c>
      <c r="G1331" s="15" t="s">
        <v>3018</v>
      </c>
      <c r="H1331" s="33" t="n">
        <f aca="false">Packages!$X$126+Packages!$Y$126</f>
        <v>61.1998153539816</v>
      </c>
      <c r="I1331" s="15" t="s">
        <v>3019</v>
      </c>
      <c r="J1331" s="34" t="n">
        <f aca="false">MAX(1,ROUNDUP((Packages!$X$126/R_EXS+Packages!$Y$126/R_EXO)/Fronts!$J$10,0))</f>
        <v>1</v>
      </c>
      <c r="K1331" s="34" t="n">
        <f aca="false">IF(J1331=0,0,ROUNDUP(J1331*7/WD,0))</f>
        <v>2</v>
      </c>
      <c r="L1331" s="15" t="s">
        <v>4805</v>
      </c>
      <c r="M1331" s="34" t="n">
        <f aca="false">IF(K1330=0,0,ROUNDUP((K1330-ROUNDUP(DW_DRAW*7/WD,0))*LADDER,0)+ROUNDUP(DW_DRAW*7/WD,0))</f>
        <v>10</v>
      </c>
      <c r="N1331" s="34" t="n">
        <f aca="false">IF(K1331=0,0,FFLAG)</f>
        <v>2</v>
      </c>
      <c r="O1331" s="15"/>
      <c r="P1331" s="16" t="n">
        <f aca="false">MAX(P1330+M1331)</f>
        <v>46471</v>
      </c>
      <c r="Q1331" s="16" t="n">
        <f aca="false">MAX(P1331+K1331,Q1330+N1331)</f>
        <v>46473</v>
      </c>
      <c r="R1331" s="16" t="n">
        <f aca="false">IF(K1331&gt;0,Q1331,0)</f>
        <v>46473</v>
      </c>
      <c r="S1331" s="12"/>
    </row>
    <row r="1332" customFormat="false" ht="15" hidden="false" customHeight="false" outlineLevel="0" collapsed="false">
      <c r="A1332" s="15" t="s">
        <v>4807</v>
      </c>
      <c r="B1332" s="15" t="s">
        <v>4800</v>
      </c>
      <c r="C1332" s="15" t="s">
        <v>400</v>
      </c>
      <c r="D1332" s="15" t="s">
        <v>1341</v>
      </c>
      <c r="E1332" s="15" t="s">
        <v>1342</v>
      </c>
      <c r="F1332" s="15" t="s">
        <v>3022</v>
      </c>
      <c r="G1332" s="15" t="s">
        <v>3023</v>
      </c>
      <c r="H1332" s="33" t="n">
        <f aca="false">Packages!$O$126</f>
        <v>5.99999999957897</v>
      </c>
      <c r="I1332" s="15" t="s">
        <v>118</v>
      </c>
      <c r="J1332" s="34" t="n">
        <f aca="false">MAX(1,ROUNDUP(Packages!$O$126/(R_SLAB*Fronts!$K$10),0))+SLAB_CURE</f>
        <v>4</v>
      </c>
      <c r="K1332" s="34" t="n">
        <f aca="false">IF(J1332=0,0,ROUNDUP(J1332*7/WD,0))</f>
        <v>5</v>
      </c>
      <c r="L1332" s="15" t="s">
        <v>4806</v>
      </c>
      <c r="M1332" s="34" t="n">
        <f aca="false">ROUNDUP(K1331*LADDER,0)</f>
        <v>1</v>
      </c>
      <c r="N1332" s="34" t="n">
        <f aca="false">IF(K1332=0,0,FFLAG)</f>
        <v>2</v>
      </c>
      <c r="O1332" s="15"/>
      <c r="P1332" s="16" t="n">
        <f aca="false">MAX(P1331+M1332)</f>
        <v>46472</v>
      </c>
      <c r="Q1332" s="16" t="n">
        <f aca="false">MAX(P1332+K1332,Q1331+N1332)</f>
        <v>46477</v>
      </c>
      <c r="R1332" s="16" t="n">
        <f aca="false">IF(K1332&gt;0,Q1332,0)</f>
        <v>46477</v>
      </c>
      <c r="S1332" s="12"/>
    </row>
    <row r="1333" customFormat="false" ht="15" hidden="false" customHeight="false" outlineLevel="0" collapsed="false">
      <c r="A1333" s="15" t="s">
        <v>4808</v>
      </c>
      <c r="B1333" s="15" t="s">
        <v>4800</v>
      </c>
      <c r="C1333" s="15" t="s">
        <v>400</v>
      </c>
      <c r="D1333" s="15" t="s">
        <v>1341</v>
      </c>
      <c r="E1333" s="15" t="s">
        <v>1342</v>
      </c>
      <c r="F1333" s="15" t="s">
        <v>3025</v>
      </c>
      <c r="G1333" s="15" t="s">
        <v>3026</v>
      </c>
      <c r="H1333" s="33" t="n">
        <f aca="false">Packages!$O$126</f>
        <v>5.99999999957897</v>
      </c>
      <c r="I1333" s="15" t="s">
        <v>118</v>
      </c>
      <c r="J1333" s="34" t="n">
        <f aca="false">MAX(1,ROUNDUP(Packages!$O$126/(IF(Packages!$N$126&gt;=PIPE_T1,R_PIPE_L,IF(Packages!$N$126&gt;=PIPE_T2,R_PIPE_M,R_PIPE_S))*Fronts!$L$10)+Packages!$M$126*FIT_D+IF(Packages!$G$126&lt;&gt;"Run",TIE_D,0),0))</f>
        <v>4</v>
      </c>
      <c r="K1333" s="34" t="n">
        <f aca="false">IF(J1333=0,0,ROUNDUP(J1333*7/WD,0))</f>
        <v>5</v>
      </c>
      <c r="L1333" s="15" t="s">
        <v>4807</v>
      </c>
      <c r="M1333" s="34" t="n">
        <f aca="false">ROUNDUP(K1332*LADDER,0)</f>
        <v>2</v>
      </c>
      <c r="N1333" s="34" t="n">
        <f aca="false">IF(K1333=0,0,FFLAG)</f>
        <v>2</v>
      </c>
      <c r="O1333" s="15" t="s">
        <v>4809</v>
      </c>
      <c r="P1333" s="16" t="n">
        <f aca="false">MAX(P1332+M1333,Q1322)</f>
        <v>46538</v>
      </c>
      <c r="Q1333" s="16" t="n">
        <f aca="false">MAX(P1333+K1333,Q1332+N1333)</f>
        <v>46543</v>
      </c>
      <c r="R1333" s="16" t="n">
        <f aca="false">IF(K1333&gt;0,Q1333,0)</f>
        <v>46543</v>
      </c>
      <c r="S1333" s="12"/>
    </row>
    <row r="1334" customFormat="false" ht="15" hidden="false" customHeight="false" outlineLevel="0" collapsed="false">
      <c r="A1334" s="15" t="s">
        <v>4810</v>
      </c>
      <c r="B1334" s="15" t="s">
        <v>4800</v>
      </c>
      <c r="C1334" s="15" t="s">
        <v>400</v>
      </c>
      <c r="D1334" s="15" t="s">
        <v>1341</v>
      </c>
      <c r="E1334" s="15" t="s">
        <v>1342</v>
      </c>
      <c r="F1334" s="15" t="s">
        <v>3028</v>
      </c>
      <c r="G1334" s="15" t="s">
        <v>3029</v>
      </c>
      <c r="H1334" s="33" t="n">
        <f aca="false">Packages!$O$126</f>
        <v>5.99999999957897</v>
      </c>
      <c r="I1334" s="15" t="s">
        <v>118</v>
      </c>
      <c r="J1334" s="34" t="n">
        <f aca="false">TEST_D+ROUNDUP(Packages!$O$126/R_TEST,0)</f>
        <v>3</v>
      </c>
      <c r="K1334" s="34" t="n">
        <f aca="false">IF(J1334=0,0,ROUNDUP(J1334*7/WD,0))</f>
        <v>4</v>
      </c>
      <c r="L1334" s="15" t="s">
        <v>4808</v>
      </c>
      <c r="M1334" s="34" t="n">
        <f aca="false">ROUNDUP(K1333*LADDER,0)</f>
        <v>2</v>
      </c>
      <c r="N1334" s="34" t="n">
        <f aca="false">IF(K1334=0,0,FFLAG)</f>
        <v>2</v>
      </c>
      <c r="O1334" s="15"/>
      <c r="P1334" s="16" t="n">
        <f aca="false">MAX(P1333+M1334)</f>
        <v>46540</v>
      </c>
      <c r="Q1334" s="16" t="n">
        <f aca="false">MAX(P1334+K1334,Q1333+N1334)</f>
        <v>46545</v>
      </c>
      <c r="R1334" s="12"/>
      <c r="S1334" s="12"/>
    </row>
    <row r="1335" customFormat="false" ht="15" hidden="false" customHeight="false" outlineLevel="0" collapsed="false">
      <c r="A1335" s="15" t="s">
        <v>4811</v>
      </c>
      <c r="B1335" s="15" t="s">
        <v>4800</v>
      </c>
      <c r="C1335" s="15" t="s">
        <v>400</v>
      </c>
      <c r="D1335" s="15" t="s">
        <v>1341</v>
      </c>
      <c r="E1335" s="15" t="s">
        <v>1342</v>
      </c>
      <c r="F1335" s="15" t="s">
        <v>3031</v>
      </c>
      <c r="G1335" s="15" t="s">
        <v>3032</v>
      </c>
      <c r="H1335" s="33" t="n">
        <f aca="false">Packages!$AB$126</f>
        <v>50.4875044059278</v>
      </c>
      <c r="I1335" s="15" t="s">
        <v>3019</v>
      </c>
      <c r="J1335" s="34" t="n">
        <f aca="false">MAX(1,ROUNDUP(Packages!$AB$126/(R_BF*Fronts!$M$10),0))</f>
        <v>1</v>
      </c>
      <c r="K1335" s="34" t="n">
        <f aca="false">IF(J1335=0,0,ROUNDUP(J1335*7/WD,0))</f>
        <v>2</v>
      </c>
      <c r="L1335" s="15" t="s">
        <v>4810</v>
      </c>
      <c r="M1335" s="34" t="n">
        <f aca="false">ROUNDUP(K1334*LADDER,0)</f>
        <v>2</v>
      </c>
      <c r="N1335" s="34" t="n">
        <f aca="false">IF(K1335=0,0,FFLAG)</f>
        <v>2</v>
      </c>
      <c r="O1335" s="15" t="s">
        <v>4797</v>
      </c>
      <c r="P1335" s="16" t="n">
        <f aca="false">MAX(P1334+M1335,Q1344)</f>
        <v>46542</v>
      </c>
      <c r="Q1335" s="16" t="n">
        <f aca="false">MAX(P1335+K1335,Q1334+N1335)</f>
        <v>46547</v>
      </c>
      <c r="R1335" s="16" t="n">
        <f aca="false">IF(K1335&gt;0,Q1335,0)</f>
        <v>46547</v>
      </c>
      <c r="S1335" s="12"/>
    </row>
    <row r="1336" customFormat="false" ht="15" hidden="false" customHeight="false" outlineLevel="0" collapsed="false">
      <c r="A1336" s="15" t="s">
        <v>4812</v>
      </c>
      <c r="B1336" s="15" t="s">
        <v>4800</v>
      </c>
      <c r="C1336" s="15" t="s">
        <v>400</v>
      </c>
      <c r="D1336" s="15" t="s">
        <v>1341</v>
      </c>
      <c r="E1336" s="15" t="s">
        <v>1342</v>
      </c>
      <c r="F1336" s="15" t="s">
        <v>3034</v>
      </c>
      <c r="G1336" s="15" t="s">
        <v>3035</v>
      </c>
      <c r="H1336" s="33" t="n">
        <f aca="false">Packages!$AD$126</f>
        <v>11.9999999991579</v>
      </c>
      <c r="I1336" s="15" t="s">
        <v>3012</v>
      </c>
      <c r="J1336" s="34" t="n">
        <f aca="false">IF(Packages!$AD$126&gt;0,ROUNDUP(Packages!$AD$126/R_EXT,0),0)+IF(Packages!$AG$126&gt;0,1,0)</f>
        <v>2</v>
      </c>
      <c r="K1336" s="34" t="n">
        <f aca="false">IF(J1336=0,0,ROUNDUP(J1336*7/WD,0))</f>
        <v>3</v>
      </c>
      <c r="L1336" s="15" t="s">
        <v>4811</v>
      </c>
      <c r="M1336" s="34" t="n">
        <f aca="false">ROUNDUP(K1335*LADDER,0)</f>
        <v>1</v>
      </c>
      <c r="N1336" s="34" t="n">
        <f aca="false">IF(K1336=0,0,FFLAG)</f>
        <v>2</v>
      </c>
      <c r="O1336" s="15"/>
      <c r="P1336" s="16" t="n">
        <f aca="false">MAX(P1335+M1336)</f>
        <v>46543</v>
      </c>
      <c r="Q1336" s="16" t="n">
        <f aca="false">MAX(P1336+K1336,Q1335+N1336)</f>
        <v>46549</v>
      </c>
      <c r="R1336" s="12"/>
      <c r="S1336" s="12"/>
    </row>
    <row r="1337" customFormat="false" ht="15" hidden="false" customHeight="false" outlineLevel="0" collapsed="false">
      <c r="A1337" s="15" t="s">
        <v>4813</v>
      </c>
      <c r="B1337" s="15" t="s">
        <v>4814</v>
      </c>
      <c r="C1337" s="15" t="s">
        <v>400</v>
      </c>
      <c r="D1337" s="15" t="s">
        <v>1747</v>
      </c>
      <c r="E1337" s="15" t="s">
        <v>1748</v>
      </c>
      <c r="F1337" s="15" t="s">
        <v>2998</v>
      </c>
      <c r="G1337" s="15" t="s">
        <v>2999</v>
      </c>
      <c r="H1337" s="12"/>
      <c r="I1337" s="12"/>
      <c r="J1337" s="34" t="n">
        <f aca="false">0</f>
        <v>0</v>
      </c>
      <c r="K1337" s="34" t="n">
        <f aca="false">IF(J1337=0,0,ROUNDUP(J1337*7/WD,0))</f>
        <v>0</v>
      </c>
      <c r="L1337" s="12"/>
      <c r="M1337" s="12"/>
      <c r="N1337" s="12"/>
      <c r="O1337" s="15" t="s">
        <v>3038</v>
      </c>
      <c r="P1337" s="16" t="n">
        <f aca="false">MAX(START,D_DLU,Packages!$I$127,Packages!$K$127)</f>
        <v>46357</v>
      </c>
      <c r="Q1337" s="16" t="n">
        <f aca="false">P1337+K1337</f>
        <v>46357</v>
      </c>
      <c r="R1337" s="12"/>
      <c r="S1337" s="12"/>
    </row>
    <row r="1338" customFormat="false" ht="15" hidden="false" customHeight="false" outlineLevel="0" collapsed="false">
      <c r="A1338" s="15" t="s">
        <v>4815</v>
      </c>
      <c r="B1338" s="15" t="s">
        <v>4814</v>
      </c>
      <c r="C1338" s="15" t="s">
        <v>400</v>
      </c>
      <c r="D1338" s="15" t="s">
        <v>1747</v>
      </c>
      <c r="E1338" s="15" t="s">
        <v>1748</v>
      </c>
      <c r="F1338" s="15" t="s">
        <v>3002</v>
      </c>
      <c r="G1338" s="15" t="s">
        <v>205</v>
      </c>
      <c r="H1338" s="33" t="n">
        <f aca="false">Packages!$O$127</f>
        <v>37.7775329074911</v>
      </c>
      <c r="I1338" s="15" t="s">
        <v>118</v>
      </c>
      <c r="J1338" s="34" t="n">
        <f aca="false">MAX(1,ROUNDUP(Packages!$O$127/R_PLAT,0))</f>
        <v>1</v>
      </c>
      <c r="K1338" s="34" t="n">
        <f aca="false">IF(J1338=0,0,ROUNDUP(J1338*7/WD,0))</f>
        <v>2</v>
      </c>
      <c r="L1338" s="15" t="s">
        <v>4813</v>
      </c>
      <c r="M1338" s="12"/>
      <c r="N1338" s="12"/>
      <c r="O1338" s="15" t="s">
        <v>3003</v>
      </c>
      <c r="P1338" s="16" t="n">
        <f aca="false">MAX(Q1337)</f>
        <v>46357</v>
      </c>
      <c r="Q1338" s="16" t="n">
        <f aca="false">P1338+K1338</f>
        <v>46359</v>
      </c>
      <c r="R1338" s="12"/>
      <c r="S1338" s="12"/>
    </row>
    <row r="1339" customFormat="false" ht="15" hidden="false" customHeight="false" outlineLevel="0" collapsed="false">
      <c r="A1339" s="15" t="s">
        <v>4816</v>
      </c>
      <c r="B1339" s="15" t="s">
        <v>4814</v>
      </c>
      <c r="C1339" s="15" t="s">
        <v>400</v>
      </c>
      <c r="D1339" s="15" t="s">
        <v>1747</v>
      </c>
      <c r="E1339" s="15" t="s">
        <v>1748</v>
      </c>
      <c r="F1339" s="15" t="s">
        <v>3005</v>
      </c>
      <c r="G1339" s="15" t="s">
        <v>3006</v>
      </c>
      <c r="H1339" s="33" t="n">
        <f aca="false">Packages!$AC$127</f>
        <v>28</v>
      </c>
      <c r="I1339" s="15" t="s">
        <v>3007</v>
      </c>
      <c r="J1339" s="34" t="n">
        <f aca="false">IF(Packages!$AC$127=0,0,MAX(1,ROUNDUP(Packages!$AC$127/(R_PILE*Fronts!$H$10),0)))</f>
        <v>6</v>
      </c>
      <c r="K1339" s="34" t="n">
        <f aca="false">IF(J1339=0,0,ROUNDUP(J1339*7/WD,0))</f>
        <v>7</v>
      </c>
      <c r="L1339" s="15" t="s">
        <v>4815</v>
      </c>
      <c r="M1339" s="34" t="n">
        <f aca="false">ROUNDUP(K1338*LADDER,0)</f>
        <v>1</v>
      </c>
      <c r="N1339" s="34" t="n">
        <f aca="false">IF(K1339=0,0,FFLAG)</f>
        <v>2</v>
      </c>
      <c r="O1339" s="15" t="s">
        <v>3008</v>
      </c>
      <c r="P1339" s="16" t="n">
        <f aca="false">MAX(P1338+M1339,D_PILEDES)</f>
        <v>46358</v>
      </c>
      <c r="Q1339" s="16" t="n">
        <f aca="false">MAX(P1339+K1339,Q1338+N1339)</f>
        <v>46365</v>
      </c>
      <c r="R1339" s="16" t="n">
        <f aca="false">IF(K1339&gt;0,Q1339,0)</f>
        <v>46365</v>
      </c>
      <c r="S1339" s="12"/>
    </row>
    <row r="1340" customFormat="false" ht="15" hidden="false" customHeight="false" outlineLevel="0" collapsed="false">
      <c r="A1340" s="15" t="s">
        <v>4817</v>
      </c>
      <c r="B1340" s="15" t="s">
        <v>4814</v>
      </c>
      <c r="C1340" s="15" t="s">
        <v>400</v>
      </c>
      <c r="D1340" s="15" t="s">
        <v>1747</v>
      </c>
      <c r="E1340" s="15" t="s">
        <v>1748</v>
      </c>
      <c r="F1340" s="15" t="s">
        <v>3010</v>
      </c>
      <c r="G1340" s="15" t="s">
        <v>3011</v>
      </c>
      <c r="H1340" s="33" t="n">
        <f aca="false">Packages!$AD$127</f>
        <v>55.5550658154153</v>
      </c>
      <c r="I1340" s="15" t="s">
        <v>3012</v>
      </c>
      <c r="J1340" s="34" t="n">
        <f aca="false">IF(Packages!$AD$127=0,0,MAX(1,ROUNDUP(Packages!$AD$127/(R_SHEET*Fronts!$I$10),0)))</f>
        <v>3</v>
      </c>
      <c r="K1340" s="34" t="n">
        <f aca="false">IF(J1340=0,0,ROUNDUP(J1340*7/WD,0))</f>
        <v>4</v>
      </c>
      <c r="L1340" s="15" t="s">
        <v>4816</v>
      </c>
      <c r="M1340" s="34" t="n">
        <f aca="false">ROUNDUP(K1339*LADDER,0)</f>
        <v>3</v>
      </c>
      <c r="N1340" s="34" t="n">
        <f aca="false">IF(K1340=0,0,FFLAG)</f>
        <v>2</v>
      </c>
      <c r="O1340" s="15"/>
      <c r="P1340" s="16" t="n">
        <f aca="false">MAX(P1339+M1340)</f>
        <v>46361</v>
      </c>
      <c r="Q1340" s="16" t="n">
        <f aca="false">MAX(P1340+K1340,Q1339+N1340)</f>
        <v>46367</v>
      </c>
      <c r="R1340" s="16" t="n">
        <f aca="false">IF(K1340&gt;0,Q1340,0)</f>
        <v>46367</v>
      </c>
      <c r="S1340" s="12"/>
    </row>
    <row r="1341" customFormat="false" ht="15" hidden="false" customHeight="false" outlineLevel="0" collapsed="false">
      <c r="A1341" s="15" t="s">
        <v>4818</v>
      </c>
      <c r="B1341" s="15" t="s">
        <v>4814</v>
      </c>
      <c r="C1341" s="15" t="s">
        <v>400</v>
      </c>
      <c r="D1341" s="15" t="s">
        <v>1747</v>
      </c>
      <c r="E1341" s="15" t="s">
        <v>1748</v>
      </c>
      <c r="F1341" s="15" t="s">
        <v>3014</v>
      </c>
      <c r="G1341" s="15" t="s">
        <v>3015</v>
      </c>
      <c r="H1341" s="33" t="n">
        <f aca="false">Packages!$O$127</f>
        <v>37.7775329074911</v>
      </c>
      <c r="I1341" s="15" t="s">
        <v>118</v>
      </c>
      <c r="J1341" s="34" t="n">
        <f aca="false">IF(Packages!$AG$127=0,0,ROUNDUP(Packages!$O$127/R_DW,0)+DW_DRAW)</f>
        <v>8</v>
      </c>
      <c r="K1341" s="34" t="n">
        <f aca="false">IF(J1341=0,0,ROUNDUP(J1341*7/WD,0))</f>
        <v>10</v>
      </c>
      <c r="L1341" s="15" t="s">
        <v>4817</v>
      </c>
      <c r="M1341" s="34" t="n">
        <f aca="false">ROUNDUP(K1340*LADDER,0)</f>
        <v>2</v>
      </c>
      <c r="N1341" s="34" t="n">
        <f aca="false">IF(K1341=0,0,FFLAG)</f>
        <v>2</v>
      </c>
      <c r="O1341" s="15"/>
      <c r="P1341" s="16" t="n">
        <f aca="false">MAX(P1340+M1341)</f>
        <v>46363</v>
      </c>
      <c r="Q1341" s="16" t="n">
        <f aca="false">MAX(P1341+K1341,Q1340+N1341)</f>
        <v>46373</v>
      </c>
      <c r="R1341" s="12"/>
      <c r="S1341" s="12"/>
    </row>
    <row r="1342" customFormat="false" ht="15" hidden="false" customHeight="false" outlineLevel="0" collapsed="false">
      <c r="A1342" s="15" t="s">
        <v>4819</v>
      </c>
      <c r="B1342" s="15" t="s">
        <v>4814</v>
      </c>
      <c r="C1342" s="15" t="s">
        <v>400</v>
      </c>
      <c r="D1342" s="15" t="s">
        <v>1747</v>
      </c>
      <c r="E1342" s="15" t="s">
        <v>1748</v>
      </c>
      <c r="F1342" s="15" t="s">
        <v>3017</v>
      </c>
      <c r="G1342" s="15" t="s">
        <v>3018</v>
      </c>
      <c r="H1342" s="33" t="n">
        <f aca="false">Packages!$X$127+Packages!$Y$127</f>
        <v>394.901744955013</v>
      </c>
      <c r="I1342" s="15" t="s">
        <v>3019</v>
      </c>
      <c r="J1342" s="34" t="n">
        <f aca="false">MAX(1,ROUNDUP((Packages!$X$127/R_EXS+Packages!$Y$127/R_EXO)/Fronts!$J$10,0))</f>
        <v>2</v>
      </c>
      <c r="K1342" s="34" t="n">
        <f aca="false">IF(J1342=0,0,ROUNDUP(J1342*7/WD,0))</f>
        <v>3</v>
      </c>
      <c r="L1342" s="15" t="s">
        <v>4818</v>
      </c>
      <c r="M1342" s="34" t="n">
        <f aca="false">IF(K1341=0,0,ROUNDUP((K1341-ROUNDUP(DW_DRAW*7/WD,0))*LADDER,0)+ROUNDUP(DW_DRAW*7/WD,0))</f>
        <v>10</v>
      </c>
      <c r="N1342" s="34" t="n">
        <f aca="false">IF(K1342=0,0,FFLAG)</f>
        <v>2</v>
      </c>
      <c r="O1342" s="15" t="s">
        <v>4820</v>
      </c>
      <c r="P1342" s="16" t="n">
        <f aca="false">MAX(P1341+M1342,Q345,P1331,P1320)</f>
        <v>46483</v>
      </c>
      <c r="Q1342" s="16" t="n">
        <f aca="false">MAX(P1342+K1342,Q1341+N1342)</f>
        <v>46486</v>
      </c>
      <c r="R1342" s="16" t="n">
        <f aca="false">IF(K1342&gt;0,Q1342,0)</f>
        <v>46486</v>
      </c>
      <c r="S1342" s="12"/>
    </row>
    <row r="1343" customFormat="false" ht="15" hidden="false" customHeight="false" outlineLevel="0" collapsed="false">
      <c r="A1343" s="15" t="s">
        <v>4821</v>
      </c>
      <c r="B1343" s="15" t="s">
        <v>4814</v>
      </c>
      <c r="C1343" s="15" t="s">
        <v>400</v>
      </c>
      <c r="D1343" s="15" t="s">
        <v>1747</v>
      </c>
      <c r="E1343" s="15" t="s">
        <v>1748</v>
      </c>
      <c r="F1343" s="15" t="s">
        <v>3022</v>
      </c>
      <c r="G1343" s="15" t="s">
        <v>3023</v>
      </c>
      <c r="H1343" s="33" t="n">
        <f aca="false">Packages!$O$127</f>
        <v>37.7775329074911</v>
      </c>
      <c r="I1343" s="15" t="s">
        <v>118</v>
      </c>
      <c r="J1343" s="34" t="n">
        <f aca="false">MAX(1,ROUNDUP(Packages!$O$127/(R_SLAB*Fronts!$K$10),0))+SLAB_CURE</f>
        <v>7</v>
      </c>
      <c r="K1343" s="34" t="n">
        <f aca="false">IF(J1343=0,0,ROUNDUP(J1343*7/WD,0))</f>
        <v>9</v>
      </c>
      <c r="L1343" s="15" t="s">
        <v>4819</v>
      </c>
      <c r="M1343" s="34" t="n">
        <f aca="false">ROUNDUP(K1342*LADDER,0)</f>
        <v>1</v>
      </c>
      <c r="N1343" s="34" t="n">
        <f aca="false">IF(K1343=0,0,FFLAG)</f>
        <v>2</v>
      </c>
      <c r="O1343" s="15"/>
      <c r="P1343" s="16" t="n">
        <f aca="false">MAX(P1342+M1343)</f>
        <v>46484</v>
      </c>
      <c r="Q1343" s="16" t="n">
        <f aca="false">MAX(P1343+K1343,Q1342+N1343)</f>
        <v>46493</v>
      </c>
      <c r="R1343" s="16" t="n">
        <f aca="false">IF(K1343&gt;0,Q1343,0)</f>
        <v>46493</v>
      </c>
      <c r="S1343" s="12"/>
    </row>
    <row r="1344" customFormat="false" ht="15" hidden="false" customHeight="false" outlineLevel="0" collapsed="false">
      <c r="A1344" s="15" t="s">
        <v>4822</v>
      </c>
      <c r="B1344" s="15" t="s">
        <v>4814</v>
      </c>
      <c r="C1344" s="15" t="s">
        <v>400</v>
      </c>
      <c r="D1344" s="15" t="s">
        <v>1747</v>
      </c>
      <c r="E1344" s="15" t="s">
        <v>1748</v>
      </c>
      <c r="F1344" s="15" t="s">
        <v>3025</v>
      </c>
      <c r="G1344" s="15" t="s">
        <v>3026</v>
      </c>
      <c r="H1344" s="33" t="n">
        <f aca="false">Packages!$O$127</f>
        <v>37.7775329074911</v>
      </c>
      <c r="I1344" s="15" t="s">
        <v>118</v>
      </c>
      <c r="J1344" s="34" t="n">
        <f aca="false">MAX(1,ROUNDUP(Packages!$O$127/(IF(Packages!$N$127&gt;=PIPE_T1,R_PIPE_L,IF(Packages!$N$127&gt;=PIPE_T2,R_PIPE_M,R_PIPE_S))*Fronts!$L$10)+Packages!$M$127*FIT_D+IF(Packages!$G$127&lt;&gt;"Run",TIE_D,0),0))</f>
        <v>9</v>
      </c>
      <c r="K1344" s="34" t="n">
        <f aca="false">IF(J1344=0,0,ROUNDUP(J1344*7/WD,0))</f>
        <v>11</v>
      </c>
      <c r="L1344" s="15" t="s">
        <v>4821</v>
      </c>
      <c r="M1344" s="34" t="n">
        <f aca="false">ROUNDUP(K1343*LADDER,0)</f>
        <v>3</v>
      </c>
      <c r="N1344" s="34" t="n">
        <f aca="false">IF(K1344=0,0,FFLAG)</f>
        <v>2</v>
      </c>
      <c r="O1344" s="15"/>
      <c r="P1344" s="16" t="n">
        <f aca="false">MAX(P1343+M1344)</f>
        <v>46487</v>
      </c>
      <c r="Q1344" s="16" t="n">
        <f aca="false">MAX(P1344+K1344,Q1343+N1344)</f>
        <v>46498</v>
      </c>
      <c r="R1344" s="16" t="n">
        <f aca="false">IF(K1344&gt;0,Q1344,0)</f>
        <v>46498</v>
      </c>
      <c r="S1344" s="12"/>
    </row>
    <row r="1345" customFormat="false" ht="15" hidden="false" customHeight="false" outlineLevel="0" collapsed="false">
      <c r="A1345" s="15" t="s">
        <v>4823</v>
      </c>
      <c r="B1345" s="15" t="s">
        <v>4814</v>
      </c>
      <c r="C1345" s="15" t="s">
        <v>400</v>
      </c>
      <c r="D1345" s="15" t="s">
        <v>1747</v>
      </c>
      <c r="E1345" s="15" t="s">
        <v>1748</v>
      </c>
      <c r="F1345" s="15" t="s">
        <v>3028</v>
      </c>
      <c r="G1345" s="15" t="s">
        <v>3029</v>
      </c>
      <c r="H1345" s="33" t="n">
        <f aca="false">Packages!$O$127</f>
        <v>37.7775329074911</v>
      </c>
      <c r="I1345" s="15" t="s">
        <v>118</v>
      </c>
      <c r="J1345" s="34" t="n">
        <f aca="false">TEST_D+ROUNDUP(Packages!$O$127/R_TEST,0)</f>
        <v>3</v>
      </c>
      <c r="K1345" s="34" t="n">
        <f aca="false">IF(J1345=0,0,ROUNDUP(J1345*7/WD,0))</f>
        <v>4</v>
      </c>
      <c r="L1345" s="15" t="s">
        <v>4822</v>
      </c>
      <c r="M1345" s="34" t="n">
        <f aca="false">ROUNDUP(K1344*LADDER,0)</f>
        <v>4</v>
      </c>
      <c r="N1345" s="34" t="n">
        <f aca="false">IF(K1345=0,0,FFLAG)</f>
        <v>2</v>
      </c>
      <c r="O1345" s="15"/>
      <c r="P1345" s="16" t="n">
        <f aca="false">MAX(P1344+M1345)</f>
        <v>46491</v>
      </c>
      <c r="Q1345" s="16" t="n">
        <f aca="false">MAX(P1345+K1345,Q1344+N1345)</f>
        <v>46500</v>
      </c>
      <c r="R1345" s="12"/>
      <c r="S1345" s="12"/>
    </row>
    <row r="1346" customFormat="false" ht="15" hidden="false" customHeight="false" outlineLevel="0" collapsed="false">
      <c r="A1346" s="15" t="s">
        <v>4824</v>
      </c>
      <c r="B1346" s="15" t="s">
        <v>4814</v>
      </c>
      <c r="C1346" s="15" t="s">
        <v>400</v>
      </c>
      <c r="D1346" s="15" t="s">
        <v>1747</v>
      </c>
      <c r="E1346" s="15" t="s">
        <v>1748</v>
      </c>
      <c r="F1346" s="15" t="s">
        <v>3031</v>
      </c>
      <c r="G1346" s="15" t="s">
        <v>3032</v>
      </c>
      <c r="H1346" s="33" t="n">
        <f aca="false">Packages!$AB$127</f>
        <v>280.228920221821</v>
      </c>
      <c r="I1346" s="15" t="s">
        <v>3019</v>
      </c>
      <c r="J1346" s="34" t="n">
        <f aca="false">MAX(1,ROUNDUP(Packages!$AB$127/(R_BF*Fronts!$M$10),0))</f>
        <v>1</v>
      </c>
      <c r="K1346" s="34" t="n">
        <f aca="false">IF(J1346=0,0,ROUNDUP(J1346*7/WD,0))</f>
        <v>2</v>
      </c>
      <c r="L1346" s="15" t="s">
        <v>4823</v>
      </c>
      <c r="M1346" s="34" t="n">
        <f aca="false">ROUNDUP(K1345*LADDER,0)</f>
        <v>2</v>
      </c>
      <c r="N1346" s="34" t="n">
        <f aca="false">IF(K1346=0,0,FFLAG)</f>
        <v>2</v>
      </c>
      <c r="O1346" s="15" t="s">
        <v>4825</v>
      </c>
      <c r="P1346" s="16" t="n">
        <f aca="false">MAX(P1345+M1346,Q1333,Q1322)</f>
        <v>46543</v>
      </c>
      <c r="Q1346" s="16" t="n">
        <f aca="false">MAX(P1346+K1346,Q1345+N1346)</f>
        <v>46545</v>
      </c>
      <c r="R1346" s="16" t="n">
        <f aca="false">IF(K1346&gt;0,Q1346,0)</f>
        <v>46545</v>
      </c>
      <c r="S1346" s="12"/>
    </row>
    <row r="1347" customFormat="false" ht="15" hidden="false" customHeight="false" outlineLevel="0" collapsed="false">
      <c r="A1347" s="15" t="s">
        <v>4826</v>
      </c>
      <c r="B1347" s="15" t="s">
        <v>4814</v>
      </c>
      <c r="C1347" s="15" t="s">
        <v>400</v>
      </c>
      <c r="D1347" s="15" t="s">
        <v>1747</v>
      </c>
      <c r="E1347" s="15" t="s">
        <v>1748</v>
      </c>
      <c r="F1347" s="15" t="s">
        <v>3034</v>
      </c>
      <c r="G1347" s="15" t="s">
        <v>3035</v>
      </c>
      <c r="H1347" s="33" t="n">
        <f aca="false">Packages!$AD$127</f>
        <v>55.5550658154153</v>
      </c>
      <c r="I1347" s="15" t="s">
        <v>3012</v>
      </c>
      <c r="J1347" s="34" t="n">
        <f aca="false">IF(Packages!$AD$127&gt;0,ROUNDUP(Packages!$AD$127/R_EXT,0),0)+IF(Packages!$AG$127&gt;0,1,0)</f>
        <v>3</v>
      </c>
      <c r="K1347" s="34" t="n">
        <f aca="false">IF(J1347=0,0,ROUNDUP(J1347*7/WD,0))</f>
        <v>4</v>
      </c>
      <c r="L1347" s="15" t="s">
        <v>4824</v>
      </c>
      <c r="M1347" s="34" t="n">
        <f aca="false">ROUNDUP(K1346*LADDER,0)</f>
        <v>1</v>
      </c>
      <c r="N1347" s="34" t="n">
        <f aca="false">IF(K1347=0,0,FFLAG)</f>
        <v>2</v>
      </c>
      <c r="O1347" s="15"/>
      <c r="P1347" s="16" t="n">
        <f aca="false">MAX(P1346+M1347)</f>
        <v>46544</v>
      </c>
      <c r="Q1347" s="16" t="n">
        <f aca="false">MAX(P1347+K1347,Q1346+N1347)</f>
        <v>46548</v>
      </c>
      <c r="R1347" s="12"/>
      <c r="S1347" s="12"/>
    </row>
    <row r="1348" customFormat="false" ht="15" hidden="false" customHeight="false" outlineLevel="0" collapsed="false">
      <c r="A1348" s="15" t="s">
        <v>4827</v>
      </c>
      <c r="B1348" s="15" t="s">
        <v>4828</v>
      </c>
      <c r="C1348" s="15" t="s">
        <v>400</v>
      </c>
      <c r="D1348" s="15" t="s">
        <v>1341</v>
      </c>
      <c r="E1348" s="15" t="s">
        <v>1432</v>
      </c>
      <c r="F1348" s="15" t="s">
        <v>2998</v>
      </c>
      <c r="G1348" s="15" t="s">
        <v>2999</v>
      </c>
      <c r="H1348" s="12"/>
      <c r="I1348" s="12"/>
      <c r="J1348" s="34" t="n">
        <f aca="false">0</f>
        <v>0</v>
      </c>
      <c r="K1348" s="34" t="n">
        <f aca="false">IF(J1348=0,0,ROUNDUP(J1348*7/WD,0))</f>
        <v>0</v>
      </c>
      <c r="L1348" s="12"/>
      <c r="M1348" s="12"/>
      <c r="N1348" s="12"/>
      <c r="O1348" s="15" t="s">
        <v>3000</v>
      </c>
      <c r="P1348" s="16" t="n">
        <f aca="false">MAX(START,D_DLU,Packages!$I$128,Packages!$K$128)</f>
        <v>46357</v>
      </c>
      <c r="Q1348" s="16" t="n">
        <f aca="false">P1348+K1348</f>
        <v>46357</v>
      </c>
      <c r="R1348" s="12"/>
      <c r="S1348" s="12"/>
    </row>
    <row r="1349" customFormat="false" ht="15" hidden="false" customHeight="false" outlineLevel="0" collapsed="false">
      <c r="A1349" s="15" t="s">
        <v>4829</v>
      </c>
      <c r="B1349" s="15" t="s">
        <v>4828</v>
      </c>
      <c r="C1349" s="15" t="s">
        <v>400</v>
      </c>
      <c r="D1349" s="15" t="s">
        <v>1341</v>
      </c>
      <c r="E1349" s="15" t="s">
        <v>1432</v>
      </c>
      <c r="F1349" s="15" t="s">
        <v>3002</v>
      </c>
      <c r="G1349" s="15" t="s">
        <v>205</v>
      </c>
      <c r="H1349" s="33" t="n">
        <f aca="false">Packages!$O$128</f>
        <v>49.4447603698385</v>
      </c>
      <c r="I1349" s="15" t="s">
        <v>118</v>
      </c>
      <c r="J1349" s="34" t="n">
        <f aca="false">MAX(1,ROUNDUP(Packages!$O$128/R_PLAT,0))</f>
        <v>1</v>
      </c>
      <c r="K1349" s="34" t="n">
        <f aca="false">IF(J1349=0,0,ROUNDUP(J1349*7/WD,0))</f>
        <v>2</v>
      </c>
      <c r="L1349" s="15" t="s">
        <v>4827</v>
      </c>
      <c r="M1349" s="12"/>
      <c r="N1349" s="12"/>
      <c r="O1349" s="15" t="s">
        <v>4830</v>
      </c>
      <c r="P1349" s="16" t="n">
        <f aca="false">MAX(Q1348,P1317)</f>
        <v>46458</v>
      </c>
      <c r="Q1349" s="16" t="n">
        <f aca="false">P1349+K1349</f>
        <v>46460</v>
      </c>
      <c r="R1349" s="12"/>
      <c r="S1349" s="12"/>
    </row>
    <row r="1350" customFormat="false" ht="15" hidden="false" customHeight="false" outlineLevel="0" collapsed="false">
      <c r="A1350" s="15" t="s">
        <v>4831</v>
      </c>
      <c r="B1350" s="15" t="s">
        <v>4828</v>
      </c>
      <c r="C1350" s="15" t="s">
        <v>400</v>
      </c>
      <c r="D1350" s="15" t="s">
        <v>1341</v>
      </c>
      <c r="E1350" s="15" t="s">
        <v>1432</v>
      </c>
      <c r="F1350" s="15" t="s">
        <v>3005</v>
      </c>
      <c r="G1350" s="15" t="s">
        <v>3006</v>
      </c>
      <c r="H1350" s="33" t="n">
        <f aca="false">Packages!$AC$128</f>
        <v>36</v>
      </c>
      <c r="I1350" s="15" t="s">
        <v>3007</v>
      </c>
      <c r="J1350" s="34" t="n">
        <f aca="false">IF(Packages!$AC$128=0,0,MAX(1,ROUNDUP(Packages!$AC$128/(R_PILE*Fronts!$H$10),0)))</f>
        <v>8</v>
      </c>
      <c r="K1350" s="34" t="n">
        <f aca="false">IF(J1350=0,0,ROUNDUP(J1350*7/WD,0))</f>
        <v>10</v>
      </c>
      <c r="L1350" s="15" t="s">
        <v>4829</v>
      </c>
      <c r="M1350" s="34" t="n">
        <f aca="false">ROUNDUP(K1349*LADDER,0)</f>
        <v>1</v>
      </c>
      <c r="N1350" s="34" t="n">
        <f aca="false">IF(K1350=0,0,FFLAG)</f>
        <v>2</v>
      </c>
      <c r="O1350" s="15" t="s">
        <v>3008</v>
      </c>
      <c r="P1350" s="16" t="n">
        <f aca="false">MAX(P1349+M1350,D_PILEDES,R1317)</f>
        <v>46468</v>
      </c>
      <c r="Q1350" s="16" t="n">
        <f aca="false">MAX(P1350+K1350,Q1349+N1350)</f>
        <v>46478</v>
      </c>
      <c r="R1350" s="16" t="n">
        <f aca="false">IF(K1350&gt;0,Q1350,R1317)</f>
        <v>46478</v>
      </c>
      <c r="S1350" s="15" t="s">
        <v>4788</v>
      </c>
    </row>
    <row r="1351" customFormat="false" ht="15" hidden="false" customHeight="false" outlineLevel="0" collapsed="false">
      <c r="A1351" s="15" t="s">
        <v>4832</v>
      </c>
      <c r="B1351" s="15" t="s">
        <v>4828</v>
      </c>
      <c r="C1351" s="15" t="s">
        <v>400</v>
      </c>
      <c r="D1351" s="15" t="s">
        <v>1341</v>
      </c>
      <c r="E1351" s="15" t="s">
        <v>1432</v>
      </c>
      <c r="F1351" s="15" t="s">
        <v>3010</v>
      </c>
      <c r="G1351" s="15" t="s">
        <v>3011</v>
      </c>
      <c r="H1351" s="33" t="n">
        <f aca="false">Packages!$AD$128</f>
        <v>98.889520739677</v>
      </c>
      <c r="I1351" s="15" t="s">
        <v>3012</v>
      </c>
      <c r="J1351" s="34" t="n">
        <f aca="false">IF(Packages!$AD$128=0,0,MAX(1,ROUNDUP(Packages!$AD$128/(R_SHEET*Fronts!$I$10),0)))</f>
        <v>4</v>
      </c>
      <c r="K1351" s="34" t="n">
        <f aca="false">IF(J1351=0,0,ROUNDUP(J1351*7/WD,0))</f>
        <v>5</v>
      </c>
      <c r="L1351" s="15" t="s">
        <v>4831</v>
      </c>
      <c r="M1351" s="34" t="n">
        <f aca="false">ROUNDUP(K1350*LADDER,0)</f>
        <v>3</v>
      </c>
      <c r="N1351" s="34" t="n">
        <f aca="false">IF(K1351=0,0,FFLAG)</f>
        <v>2</v>
      </c>
      <c r="O1351" s="15"/>
      <c r="P1351" s="16" t="n">
        <f aca="false">MAX(P1350+M1351,R1318)</f>
        <v>46471</v>
      </c>
      <c r="Q1351" s="16" t="n">
        <f aca="false">MAX(P1351+K1351,Q1350+N1351)</f>
        <v>46480</v>
      </c>
      <c r="R1351" s="16" t="n">
        <f aca="false">IF(K1351&gt;0,Q1351,R1318)</f>
        <v>46480</v>
      </c>
      <c r="S1351" s="15" t="s">
        <v>4789</v>
      </c>
    </row>
    <row r="1352" customFormat="false" ht="15" hidden="false" customHeight="false" outlineLevel="0" collapsed="false">
      <c r="A1352" s="15" t="s">
        <v>4833</v>
      </c>
      <c r="B1352" s="15" t="s">
        <v>4828</v>
      </c>
      <c r="C1352" s="15" t="s">
        <v>400</v>
      </c>
      <c r="D1352" s="15" t="s">
        <v>1341</v>
      </c>
      <c r="E1352" s="15" t="s">
        <v>1432</v>
      </c>
      <c r="F1352" s="15" t="s">
        <v>3014</v>
      </c>
      <c r="G1352" s="15" t="s">
        <v>3015</v>
      </c>
      <c r="H1352" s="33" t="n">
        <f aca="false">Packages!$O$128</f>
        <v>49.4447603698385</v>
      </c>
      <c r="I1352" s="15" t="s">
        <v>118</v>
      </c>
      <c r="J1352" s="34" t="n">
        <f aca="false">IF(Packages!$AG$128=0,0,ROUNDUP(Packages!$O$128/R_DW,0)+DW_DRAW)</f>
        <v>9</v>
      </c>
      <c r="K1352" s="34" t="n">
        <f aca="false">IF(J1352=0,0,ROUNDUP(J1352*7/WD,0))</f>
        <v>11</v>
      </c>
      <c r="L1352" s="15" t="s">
        <v>4832</v>
      </c>
      <c r="M1352" s="34" t="n">
        <f aca="false">ROUNDUP(K1351*LADDER,0)</f>
        <v>2</v>
      </c>
      <c r="N1352" s="34" t="n">
        <f aca="false">IF(K1352=0,0,FFLAG)</f>
        <v>2</v>
      </c>
      <c r="O1352" s="15" t="s">
        <v>4834</v>
      </c>
      <c r="P1352" s="16" t="n">
        <f aca="false">MAX(P1351+M1352,Q1320-K1352)</f>
        <v>46476</v>
      </c>
      <c r="Q1352" s="16" t="n">
        <f aca="false">MAX(P1352+K1352,Q1351+N1352)</f>
        <v>46487</v>
      </c>
      <c r="R1352" s="12"/>
      <c r="S1352" s="12"/>
    </row>
    <row r="1353" customFormat="false" ht="15" hidden="false" customHeight="false" outlineLevel="0" collapsed="false">
      <c r="A1353" s="15" t="s">
        <v>4835</v>
      </c>
      <c r="B1353" s="15" t="s">
        <v>4828</v>
      </c>
      <c r="C1353" s="15" t="s">
        <v>400</v>
      </c>
      <c r="D1353" s="15" t="s">
        <v>1341</v>
      </c>
      <c r="E1353" s="15" t="s">
        <v>1432</v>
      </c>
      <c r="F1353" s="15" t="s">
        <v>3017</v>
      </c>
      <c r="G1353" s="15" t="s">
        <v>3018</v>
      </c>
      <c r="H1353" s="33" t="n">
        <f aca="false">Packages!$X$128+Packages!$Y$128</f>
        <v>505.028522638188</v>
      </c>
      <c r="I1353" s="15" t="s">
        <v>3019</v>
      </c>
      <c r="J1353" s="34" t="n">
        <f aca="false">MAX(1,ROUNDUP((Packages!$X$128/R_EXS+Packages!$Y$128/R_EXO)/Fronts!$J$10,0))</f>
        <v>3</v>
      </c>
      <c r="K1353" s="34" t="n">
        <f aca="false">IF(J1353=0,0,ROUNDUP(J1353*7/WD,0))</f>
        <v>4</v>
      </c>
      <c r="L1353" s="15" t="s">
        <v>4833</v>
      </c>
      <c r="M1353" s="34" t="n">
        <f aca="false">IF(K1352=0,0,ROUNDUP((K1352-ROUNDUP(DW_DRAW*7/WD,0))*LADDER,0)+ROUNDUP(DW_DRAW*7/WD,0))</f>
        <v>10</v>
      </c>
      <c r="N1353" s="34" t="n">
        <f aca="false">IF(K1353=0,0,FFLAG)</f>
        <v>2</v>
      </c>
      <c r="O1353" s="15"/>
      <c r="P1353" s="16" t="n">
        <f aca="false">MAX(P1352+M1353,R1320)</f>
        <v>46487</v>
      </c>
      <c r="Q1353" s="16" t="n">
        <f aca="false">MAX(P1353+K1353,Q1352+N1353)</f>
        <v>46491</v>
      </c>
      <c r="R1353" s="16" t="n">
        <f aca="false">IF(K1353&gt;0,Q1353,R1320)</f>
        <v>46491</v>
      </c>
      <c r="S1353" s="15" t="s">
        <v>4792</v>
      </c>
    </row>
    <row r="1354" customFormat="false" ht="15" hidden="false" customHeight="false" outlineLevel="0" collapsed="false">
      <c r="A1354" s="15" t="s">
        <v>4836</v>
      </c>
      <c r="B1354" s="15" t="s">
        <v>4828</v>
      </c>
      <c r="C1354" s="15" t="s">
        <v>400</v>
      </c>
      <c r="D1354" s="15" t="s">
        <v>1341</v>
      </c>
      <c r="E1354" s="15" t="s">
        <v>1432</v>
      </c>
      <c r="F1354" s="15" t="s">
        <v>3022</v>
      </c>
      <c r="G1354" s="15" t="s">
        <v>3023</v>
      </c>
      <c r="H1354" s="33" t="n">
        <f aca="false">Packages!$O$128</f>
        <v>49.4447603698385</v>
      </c>
      <c r="I1354" s="15" t="s">
        <v>118</v>
      </c>
      <c r="J1354" s="34" t="n">
        <f aca="false">MAX(1,ROUNDUP(Packages!$O$128/(R_SLAB*Fronts!$K$10),0))+SLAB_CURE</f>
        <v>8</v>
      </c>
      <c r="K1354" s="34" t="n">
        <f aca="false">IF(J1354=0,0,ROUNDUP(J1354*7/WD,0))</f>
        <v>10</v>
      </c>
      <c r="L1354" s="15" t="s">
        <v>4835</v>
      </c>
      <c r="M1354" s="34" t="n">
        <f aca="false">ROUNDUP(K1353*LADDER,0)</f>
        <v>2</v>
      </c>
      <c r="N1354" s="34" t="n">
        <f aca="false">IF(K1354=0,0,FFLAG)</f>
        <v>2</v>
      </c>
      <c r="O1354" s="15"/>
      <c r="P1354" s="16" t="n">
        <f aca="false">MAX(P1353+M1354,R1321)</f>
        <v>46536</v>
      </c>
      <c r="Q1354" s="16" t="n">
        <f aca="false">MAX(P1354+K1354,Q1353+N1354)</f>
        <v>46546</v>
      </c>
      <c r="R1354" s="16" t="n">
        <f aca="false">IF(K1354&gt;0,Q1354,R1321)</f>
        <v>46546</v>
      </c>
      <c r="S1354" s="15" t="s">
        <v>4793</v>
      </c>
    </row>
    <row r="1355" customFormat="false" ht="15" hidden="false" customHeight="false" outlineLevel="0" collapsed="false">
      <c r="A1355" s="15" t="s">
        <v>4837</v>
      </c>
      <c r="B1355" s="15" t="s">
        <v>4828</v>
      </c>
      <c r="C1355" s="15" t="s">
        <v>400</v>
      </c>
      <c r="D1355" s="15" t="s">
        <v>1341</v>
      </c>
      <c r="E1355" s="15" t="s">
        <v>1432</v>
      </c>
      <c r="F1355" s="15" t="s">
        <v>3025</v>
      </c>
      <c r="G1355" s="15" t="s">
        <v>3026</v>
      </c>
      <c r="H1355" s="33" t="n">
        <f aca="false">Packages!$O$128</f>
        <v>49.4447603698385</v>
      </c>
      <c r="I1355" s="15" t="s">
        <v>118</v>
      </c>
      <c r="J1355" s="34" t="n">
        <f aca="false">MAX(1,ROUNDUP(Packages!$O$128/(IF(Packages!$N$128&gt;=PIPE_T1,R_PIPE_L,IF(Packages!$N$128&gt;=PIPE_T2,R_PIPE_M,R_PIPE_S))*Fronts!$L$10)+Packages!$M$128*FIT_D+IF(Packages!$G$128&lt;&gt;"Run",TIE_D,0),0))</f>
        <v>2</v>
      </c>
      <c r="K1355" s="34" t="n">
        <f aca="false">IF(J1355=0,0,ROUNDUP(J1355*7/WD,0))</f>
        <v>3</v>
      </c>
      <c r="L1355" s="15" t="s">
        <v>4836</v>
      </c>
      <c r="M1355" s="34" t="n">
        <f aca="false">ROUNDUP(K1354*LADDER,0)</f>
        <v>3</v>
      </c>
      <c r="N1355" s="34" t="n">
        <f aca="false">IF(K1355=0,0,FFLAG)</f>
        <v>2</v>
      </c>
      <c r="O1355" s="15"/>
      <c r="P1355" s="16" t="n">
        <f aca="false">MAX(P1354+M1355,R1322)</f>
        <v>46539</v>
      </c>
      <c r="Q1355" s="16" t="n">
        <f aca="false">MAX(P1355+K1355,Q1354+N1355)</f>
        <v>46548</v>
      </c>
      <c r="R1355" s="16" t="n">
        <f aca="false">IF(K1355&gt;0,Q1355,R1322)</f>
        <v>46548</v>
      </c>
      <c r="S1355" s="15" t="s">
        <v>4794</v>
      </c>
    </row>
    <row r="1356" customFormat="false" ht="15" hidden="false" customHeight="false" outlineLevel="0" collapsed="false">
      <c r="A1356" s="15" t="s">
        <v>4838</v>
      </c>
      <c r="B1356" s="15" t="s">
        <v>4828</v>
      </c>
      <c r="C1356" s="15" t="s">
        <v>400</v>
      </c>
      <c r="D1356" s="15" t="s">
        <v>1341</v>
      </c>
      <c r="E1356" s="15" t="s">
        <v>1432</v>
      </c>
      <c r="F1356" s="15" t="s">
        <v>3028</v>
      </c>
      <c r="G1356" s="15" t="s">
        <v>3029</v>
      </c>
      <c r="H1356" s="33" t="n">
        <f aca="false">Packages!$O$128</f>
        <v>49.4447603698385</v>
      </c>
      <c r="I1356" s="15" t="s">
        <v>118</v>
      </c>
      <c r="J1356" s="34" t="n">
        <f aca="false">TEST_D+ROUNDUP(Packages!$O$128/R_TEST,0)</f>
        <v>3</v>
      </c>
      <c r="K1356" s="34" t="n">
        <f aca="false">IF(J1356=0,0,ROUNDUP(J1356*7/WD,0))</f>
        <v>4</v>
      </c>
      <c r="L1356" s="15" t="s">
        <v>4837</v>
      </c>
      <c r="M1356" s="34" t="n">
        <f aca="false">ROUNDUP(K1355*LADDER,0)</f>
        <v>1</v>
      </c>
      <c r="N1356" s="34" t="n">
        <f aca="false">IF(K1356=0,0,FFLAG)</f>
        <v>2</v>
      </c>
      <c r="O1356" s="15"/>
      <c r="P1356" s="16" t="n">
        <f aca="false">MAX(P1355+M1356)</f>
        <v>46540</v>
      </c>
      <c r="Q1356" s="16" t="n">
        <f aca="false">MAX(P1356+K1356,Q1355+N1356)</f>
        <v>46550</v>
      </c>
      <c r="R1356" s="12"/>
      <c r="S1356" s="12"/>
    </row>
    <row r="1357" customFormat="false" ht="15" hidden="false" customHeight="false" outlineLevel="0" collapsed="false">
      <c r="A1357" s="15" t="s">
        <v>4839</v>
      </c>
      <c r="B1357" s="15" t="s">
        <v>4828</v>
      </c>
      <c r="C1357" s="15" t="s">
        <v>400</v>
      </c>
      <c r="D1357" s="15" t="s">
        <v>1341</v>
      </c>
      <c r="E1357" s="15" t="s">
        <v>1432</v>
      </c>
      <c r="F1357" s="15" t="s">
        <v>3031</v>
      </c>
      <c r="G1357" s="15" t="s">
        <v>3032</v>
      </c>
      <c r="H1357" s="33" t="n">
        <f aca="false">Packages!$AB$128</f>
        <v>416.455731030983</v>
      </c>
      <c r="I1357" s="15" t="s">
        <v>3019</v>
      </c>
      <c r="J1357" s="34" t="n">
        <f aca="false">MAX(1,ROUNDUP(Packages!$AB$128/(R_BF*Fronts!$M$10),0))</f>
        <v>2</v>
      </c>
      <c r="K1357" s="34" t="n">
        <f aca="false">IF(J1357=0,0,ROUNDUP(J1357*7/WD,0))</f>
        <v>3</v>
      </c>
      <c r="L1357" s="15" t="s">
        <v>4838</v>
      </c>
      <c r="M1357" s="34" t="n">
        <f aca="false">ROUNDUP(K1356*LADDER,0)</f>
        <v>2</v>
      </c>
      <c r="N1357" s="34" t="n">
        <f aca="false">IF(K1357=0,0,FFLAG)</f>
        <v>2</v>
      </c>
      <c r="O1357" s="15" t="s">
        <v>4840</v>
      </c>
      <c r="P1357" s="16" t="n">
        <f aca="false">MAX(P1356+M1357,R1324,Q1377)</f>
        <v>46542</v>
      </c>
      <c r="Q1357" s="16" t="n">
        <f aca="false">MAX(P1357+K1357,Q1356+N1357)</f>
        <v>46552</v>
      </c>
      <c r="R1357" s="16" t="n">
        <f aca="false">IF(K1357&gt;0,Q1357,R1324)</f>
        <v>46552</v>
      </c>
      <c r="S1357" s="15" t="s">
        <v>4796</v>
      </c>
    </row>
    <row r="1358" customFormat="false" ht="15" hidden="false" customHeight="false" outlineLevel="0" collapsed="false">
      <c r="A1358" s="15" t="s">
        <v>4841</v>
      </c>
      <c r="B1358" s="15" t="s">
        <v>4828</v>
      </c>
      <c r="C1358" s="15" t="s">
        <v>400</v>
      </c>
      <c r="D1358" s="15" t="s">
        <v>1341</v>
      </c>
      <c r="E1358" s="15" t="s">
        <v>1432</v>
      </c>
      <c r="F1358" s="15" t="s">
        <v>3034</v>
      </c>
      <c r="G1358" s="15" t="s">
        <v>3035</v>
      </c>
      <c r="H1358" s="33" t="n">
        <f aca="false">Packages!$AD$128</f>
        <v>98.889520739677</v>
      </c>
      <c r="I1358" s="15" t="s">
        <v>3012</v>
      </c>
      <c r="J1358" s="34" t="n">
        <f aca="false">IF(Packages!$AD$128&gt;0,ROUNDUP(Packages!$AD$128/R_EXT,0),0)+IF(Packages!$AG$128&gt;0,1,0)</f>
        <v>3</v>
      </c>
      <c r="K1358" s="34" t="n">
        <f aca="false">IF(J1358=0,0,ROUNDUP(J1358*7/WD,0))</f>
        <v>4</v>
      </c>
      <c r="L1358" s="15" t="s">
        <v>4839</v>
      </c>
      <c r="M1358" s="34" t="n">
        <f aca="false">ROUNDUP(K1357*LADDER,0)</f>
        <v>1</v>
      </c>
      <c r="N1358" s="34" t="n">
        <f aca="false">IF(K1358=0,0,FFLAG)</f>
        <v>2</v>
      </c>
      <c r="O1358" s="15"/>
      <c r="P1358" s="16" t="n">
        <f aca="false">MAX(P1357+M1358)</f>
        <v>46543</v>
      </c>
      <c r="Q1358" s="16" t="n">
        <f aca="false">MAX(P1358+K1358,Q1357+N1358)</f>
        <v>46554</v>
      </c>
      <c r="R1358" s="12"/>
      <c r="S1358" s="12"/>
    </row>
    <row r="1359" customFormat="false" ht="15" hidden="false" customHeight="false" outlineLevel="0" collapsed="false">
      <c r="A1359" s="15" t="s">
        <v>4842</v>
      </c>
      <c r="B1359" s="15" t="s">
        <v>4843</v>
      </c>
      <c r="C1359" s="15" t="s">
        <v>400</v>
      </c>
      <c r="D1359" s="15" t="s">
        <v>1341</v>
      </c>
      <c r="E1359" s="15" t="s">
        <v>1430</v>
      </c>
      <c r="F1359" s="15" t="s">
        <v>2998</v>
      </c>
      <c r="G1359" s="15" t="s">
        <v>2999</v>
      </c>
      <c r="H1359" s="12"/>
      <c r="I1359" s="12"/>
      <c r="J1359" s="34" t="n">
        <f aca="false">0</f>
        <v>0</v>
      </c>
      <c r="K1359" s="34" t="n">
        <f aca="false">IF(J1359=0,0,ROUNDUP(J1359*7/WD,0))</f>
        <v>0</v>
      </c>
      <c r="L1359" s="12"/>
      <c r="M1359" s="12"/>
      <c r="N1359" s="12"/>
      <c r="O1359" s="15" t="s">
        <v>3038</v>
      </c>
      <c r="P1359" s="16" t="n">
        <f aca="false">MAX(START,D_DLU,Packages!$I$129,Packages!$K$129)</f>
        <v>46357</v>
      </c>
      <c r="Q1359" s="16" t="n">
        <f aca="false">P1359+K1359</f>
        <v>46357</v>
      </c>
      <c r="R1359" s="12"/>
      <c r="S1359" s="12"/>
    </row>
    <row r="1360" customFormat="false" ht="15" hidden="false" customHeight="false" outlineLevel="0" collapsed="false">
      <c r="A1360" s="15" t="s">
        <v>4844</v>
      </c>
      <c r="B1360" s="15" t="s">
        <v>4843</v>
      </c>
      <c r="C1360" s="15" t="s">
        <v>400</v>
      </c>
      <c r="D1360" s="15" t="s">
        <v>1341</v>
      </c>
      <c r="E1360" s="15" t="s">
        <v>1430</v>
      </c>
      <c r="F1360" s="15" t="s">
        <v>3002</v>
      </c>
      <c r="G1360" s="15" t="s">
        <v>205</v>
      </c>
      <c r="H1360" s="33" t="n">
        <f aca="false">Packages!$O$129</f>
        <v>5.99999999986834</v>
      </c>
      <c r="I1360" s="15" t="s">
        <v>118</v>
      </c>
      <c r="J1360" s="34" t="n">
        <f aca="false">MAX(1,ROUNDUP(Packages!$O$129/R_PLAT,0))</f>
        <v>1</v>
      </c>
      <c r="K1360" s="34" t="n">
        <f aca="false">IF(J1360=0,0,ROUNDUP(J1360*7/WD,0))</f>
        <v>2</v>
      </c>
      <c r="L1360" s="15" t="s">
        <v>4842</v>
      </c>
      <c r="M1360" s="12"/>
      <c r="N1360" s="12"/>
      <c r="O1360" s="15" t="s">
        <v>4845</v>
      </c>
      <c r="P1360" s="16" t="n">
        <f aca="false">MAX(Q1359,P1350)</f>
        <v>46468</v>
      </c>
      <c r="Q1360" s="16" t="n">
        <f aca="false">P1360+K1360</f>
        <v>46470</v>
      </c>
      <c r="R1360" s="12"/>
      <c r="S1360" s="12"/>
    </row>
    <row r="1361" customFormat="false" ht="15" hidden="false" customHeight="false" outlineLevel="0" collapsed="false">
      <c r="A1361" s="15" t="s">
        <v>4846</v>
      </c>
      <c r="B1361" s="15" t="s">
        <v>4843</v>
      </c>
      <c r="C1361" s="15" t="s">
        <v>400</v>
      </c>
      <c r="D1361" s="15" t="s">
        <v>1341</v>
      </c>
      <c r="E1361" s="15" t="s">
        <v>1430</v>
      </c>
      <c r="F1361" s="15" t="s">
        <v>3005</v>
      </c>
      <c r="G1361" s="15" t="s">
        <v>3006</v>
      </c>
      <c r="H1361" s="33" t="n">
        <f aca="false">Packages!$AC$129</f>
        <v>3</v>
      </c>
      <c r="I1361" s="15" t="s">
        <v>3007</v>
      </c>
      <c r="J1361" s="34" t="n">
        <f aca="false">IF(Packages!$AC$129=0,0,MAX(1,ROUNDUP(Packages!$AC$129/(R_PILE*Fronts!$H$10),0)))</f>
        <v>1</v>
      </c>
      <c r="K1361" s="34" t="n">
        <f aca="false">IF(J1361=0,0,ROUNDUP(J1361*7/WD,0))</f>
        <v>2</v>
      </c>
      <c r="L1361" s="15" t="s">
        <v>4844</v>
      </c>
      <c r="M1361" s="34" t="n">
        <f aca="false">ROUNDUP(K1360*LADDER,0)</f>
        <v>1</v>
      </c>
      <c r="N1361" s="34" t="n">
        <f aca="false">IF(K1361=0,0,FFLAG)</f>
        <v>2</v>
      </c>
      <c r="O1361" s="15" t="s">
        <v>3008</v>
      </c>
      <c r="P1361" s="16" t="n">
        <f aca="false">MAX(P1360+M1361,D_PILEDES)</f>
        <v>46469</v>
      </c>
      <c r="Q1361" s="16" t="n">
        <f aca="false">MAX(P1361+K1361,Q1360+N1361)</f>
        <v>46472</v>
      </c>
      <c r="R1361" s="16" t="n">
        <f aca="false">IF(K1361&gt;0,Q1361,0)</f>
        <v>46472</v>
      </c>
      <c r="S1361" s="12"/>
    </row>
    <row r="1362" customFormat="false" ht="15" hidden="false" customHeight="false" outlineLevel="0" collapsed="false">
      <c r="A1362" s="15" t="s">
        <v>4847</v>
      </c>
      <c r="B1362" s="15" t="s">
        <v>4843</v>
      </c>
      <c r="C1362" s="15" t="s">
        <v>400</v>
      </c>
      <c r="D1362" s="15" t="s">
        <v>1341</v>
      </c>
      <c r="E1362" s="15" t="s">
        <v>1430</v>
      </c>
      <c r="F1362" s="15" t="s">
        <v>3010</v>
      </c>
      <c r="G1362" s="15" t="s">
        <v>3011</v>
      </c>
      <c r="H1362" s="33" t="n">
        <f aca="false">Packages!$AD$129</f>
        <v>11.9999999997367</v>
      </c>
      <c r="I1362" s="15" t="s">
        <v>3012</v>
      </c>
      <c r="J1362" s="34" t="n">
        <f aca="false">IF(Packages!$AD$129=0,0,MAX(1,ROUNDUP(Packages!$AD$129/(R_SHEET*Fronts!$I$10),0)))</f>
        <v>1</v>
      </c>
      <c r="K1362" s="34" t="n">
        <f aca="false">IF(J1362=0,0,ROUNDUP(J1362*7/WD,0))</f>
        <v>2</v>
      </c>
      <c r="L1362" s="15" t="s">
        <v>4846</v>
      </c>
      <c r="M1362" s="34" t="n">
        <f aca="false">ROUNDUP(K1361*LADDER,0)</f>
        <v>1</v>
      </c>
      <c r="N1362" s="34" t="n">
        <f aca="false">IF(K1362=0,0,FFLAG)</f>
        <v>2</v>
      </c>
      <c r="O1362" s="15"/>
      <c r="P1362" s="16" t="n">
        <f aca="false">MAX(P1361+M1362)</f>
        <v>46470</v>
      </c>
      <c r="Q1362" s="16" t="n">
        <f aca="false">MAX(P1362+K1362,Q1361+N1362)</f>
        <v>46474</v>
      </c>
      <c r="R1362" s="16" t="n">
        <f aca="false">IF(K1362&gt;0,Q1362,0)</f>
        <v>46474</v>
      </c>
      <c r="S1362" s="12"/>
    </row>
    <row r="1363" customFormat="false" ht="15" hidden="false" customHeight="false" outlineLevel="0" collapsed="false">
      <c r="A1363" s="15" t="s">
        <v>4848</v>
      </c>
      <c r="B1363" s="15" t="s">
        <v>4843</v>
      </c>
      <c r="C1363" s="15" t="s">
        <v>400</v>
      </c>
      <c r="D1363" s="15" t="s">
        <v>1341</v>
      </c>
      <c r="E1363" s="15" t="s">
        <v>1430</v>
      </c>
      <c r="F1363" s="15" t="s">
        <v>3014</v>
      </c>
      <c r="G1363" s="15" t="s">
        <v>3015</v>
      </c>
      <c r="H1363" s="33" t="n">
        <f aca="false">Packages!$O$129</f>
        <v>5.99999999986834</v>
      </c>
      <c r="I1363" s="15" t="s">
        <v>118</v>
      </c>
      <c r="J1363" s="34" t="n">
        <f aca="false">IF(Packages!$AG$129=0,0,ROUNDUP(Packages!$O$129/R_DW,0)+DW_DRAW)</f>
        <v>8</v>
      </c>
      <c r="K1363" s="34" t="n">
        <f aca="false">IF(J1363=0,0,ROUNDUP(J1363*7/WD,0))</f>
        <v>10</v>
      </c>
      <c r="L1363" s="15" t="s">
        <v>4847</v>
      </c>
      <c r="M1363" s="34" t="n">
        <f aca="false">ROUNDUP(K1362*LADDER,0)</f>
        <v>1</v>
      </c>
      <c r="N1363" s="34" t="n">
        <f aca="false">IF(K1363=0,0,FFLAG)</f>
        <v>2</v>
      </c>
      <c r="O1363" s="15"/>
      <c r="P1363" s="16" t="n">
        <f aca="false">MAX(P1362+M1363)</f>
        <v>46471</v>
      </c>
      <c r="Q1363" s="16" t="n">
        <f aca="false">MAX(P1363+K1363,Q1362+N1363)</f>
        <v>46481</v>
      </c>
      <c r="R1363" s="12"/>
      <c r="S1363" s="12"/>
    </row>
    <row r="1364" customFormat="false" ht="15" hidden="false" customHeight="false" outlineLevel="0" collapsed="false">
      <c r="A1364" s="15" t="s">
        <v>4849</v>
      </c>
      <c r="B1364" s="15" t="s">
        <v>4843</v>
      </c>
      <c r="C1364" s="15" t="s">
        <v>400</v>
      </c>
      <c r="D1364" s="15" t="s">
        <v>1341</v>
      </c>
      <c r="E1364" s="15" t="s">
        <v>1430</v>
      </c>
      <c r="F1364" s="15" t="s">
        <v>3017</v>
      </c>
      <c r="G1364" s="15" t="s">
        <v>3018</v>
      </c>
      <c r="H1364" s="33" t="n">
        <f aca="false">Packages!$X$129+Packages!$Y$129</f>
        <v>61.1999496073799</v>
      </c>
      <c r="I1364" s="15" t="s">
        <v>3019</v>
      </c>
      <c r="J1364" s="34" t="n">
        <f aca="false">MAX(1,ROUNDUP((Packages!$X$129/R_EXS+Packages!$Y$129/R_EXO)/Fronts!$J$10,0))</f>
        <v>1</v>
      </c>
      <c r="K1364" s="34" t="n">
        <f aca="false">IF(J1364=0,0,ROUNDUP(J1364*7/WD,0))</f>
        <v>2</v>
      </c>
      <c r="L1364" s="15" t="s">
        <v>4848</v>
      </c>
      <c r="M1364" s="34" t="n">
        <f aca="false">IF(K1363=0,0,ROUNDUP((K1363-ROUNDUP(DW_DRAW*7/WD,0))*LADDER,0)+ROUNDUP(DW_DRAW*7/WD,0))</f>
        <v>10</v>
      </c>
      <c r="N1364" s="34" t="n">
        <f aca="false">IF(K1364=0,0,FFLAG)</f>
        <v>2</v>
      </c>
      <c r="O1364" s="15"/>
      <c r="P1364" s="16" t="n">
        <f aca="false">MAX(P1363+M1364)</f>
        <v>46481</v>
      </c>
      <c r="Q1364" s="16" t="n">
        <f aca="false">MAX(P1364+K1364,Q1363+N1364)</f>
        <v>46483</v>
      </c>
      <c r="R1364" s="16" t="n">
        <f aca="false">IF(K1364&gt;0,Q1364,0)</f>
        <v>46483</v>
      </c>
      <c r="S1364" s="12"/>
    </row>
    <row r="1365" customFormat="false" ht="15" hidden="false" customHeight="false" outlineLevel="0" collapsed="false">
      <c r="A1365" s="15" t="s">
        <v>4850</v>
      </c>
      <c r="B1365" s="15" t="s">
        <v>4843</v>
      </c>
      <c r="C1365" s="15" t="s">
        <v>400</v>
      </c>
      <c r="D1365" s="15" t="s">
        <v>1341</v>
      </c>
      <c r="E1365" s="15" t="s">
        <v>1430</v>
      </c>
      <c r="F1365" s="15" t="s">
        <v>3022</v>
      </c>
      <c r="G1365" s="15" t="s">
        <v>3023</v>
      </c>
      <c r="H1365" s="33" t="n">
        <f aca="false">Packages!$O$129</f>
        <v>5.99999999986834</v>
      </c>
      <c r="I1365" s="15" t="s">
        <v>118</v>
      </c>
      <c r="J1365" s="34" t="n">
        <f aca="false">MAX(1,ROUNDUP(Packages!$O$129/(R_SLAB*Fronts!$K$10),0))+SLAB_CURE</f>
        <v>4</v>
      </c>
      <c r="K1365" s="34" t="n">
        <f aca="false">IF(J1365=0,0,ROUNDUP(J1365*7/WD,0))</f>
        <v>5</v>
      </c>
      <c r="L1365" s="15" t="s">
        <v>4849</v>
      </c>
      <c r="M1365" s="34" t="n">
        <f aca="false">ROUNDUP(K1364*LADDER,0)</f>
        <v>1</v>
      </c>
      <c r="N1365" s="34" t="n">
        <f aca="false">IF(K1365=0,0,FFLAG)</f>
        <v>2</v>
      </c>
      <c r="O1365" s="15"/>
      <c r="P1365" s="16" t="n">
        <f aca="false">MAX(P1364+M1365)</f>
        <v>46482</v>
      </c>
      <c r="Q1365" s="16" t="n">
        <f aca="false">MAX(P1365+K1365,Q1364+N1365)</f>
        <v>46487</v>
      </c>
      <c r="R1365" s="16" t="n">
        <f aca="false">IF(K1365&gt;0,Q1365,0)</f>
        <v>46487</v>
      </c>
      <c r="S1365" s="12"/>
    </row>
    <row r="1366" customFormat="false" ht="15" hidden="false" customHeight="false" outlineLevel="0" collapsed="false">
      <c r="A1366" s="15" t="s">
        <v>4851</v>
      </c>
      <c r="B1366" s="15" t="s">
        <v>4843</v>
      </c>
      <c r="C1366" s="15" t="s">
        <v>400</v>
      </c>
      <c r="D1366" s="15" t="s">
        <v>1341</v>
      </c>
      <c r="E1366" s="15" t="s">
        <v>1430</v>
      </c>
      <c r="F1366" s="15" t="s">
        <v>3025</v>
      </c>
      <c r="G1366" s="15" t="s">
        <v>3026</v>
      </c>
      <c r="H1366" s="33" t="n">
        <f aca="false">Packages!$O$129</f>
        <v>5.99999999986834</v>
      </c>
      <c r="I1366" s="15" t="s">
        <v>118</v>
      </c>
      <c r="J1366" s="34" t="n">
        <f aca="false">MAX(1,ROUNDUP(Packages!$O$129/(IF(Packages!$N$129&gt;=PIPE_T1,R_PIPE_L,IF(Packages!$N$129&gt;=PIPE_T2,R_PIPE_M,R_PIPE_S))*Fronts!$L$10)+Packages!$M$129*FIT_D+IF(Packages!$G$129&lt;&gt;"Run",TIE_D,0),0))</f>
        <v>4</v>
      </c>
      <c r="K1366" s="34" t="n">
        <f aca="false">IF(J1366=0,0,ROUNDUP(J1366*7/WD,0))</f>
        <v>5</v>
      </c>
      <c r="L1366" s="15" t="s">
        <v>4850</v>
      </c>
      <c r="M1366" s="34" t="n">
        <f aca="false">ROUNDUP(K1365*LADDER,0)</f>
        <v>2</v>
      </c>
      <c r="N1366" s="34" t="n">
        <f aca="false">IF(K1366=0,0,FFLAG)</f>
        <v>2</v>
      </c>
      <c r="O1366" s="15" t="s">
        <v>4852</v>
      </c>
      <c r="P1366" s="16" t="n">
        <f aca="false">MAX(P1365+M1366,Q1355)</f>
        <v>46548</v>
      </c>
      <c r="Q1366" s="16" t="n">
        <f aca="false">MAX(P1366+K1366,Q1365+N1366)</f>
        <v>46553</v>
      </c>
      <c r="R1366" s="16" t="n">
        <f aca="false">IF(K1366&gt;0,Q1366,0)</f>
        <v>46553</v>
      </c>
      <c r="S1366" s="12"/>
    </row>
    <row r="1367" customFormat="false" ht="15" hidden="false" customHeight="false" outlineLevel="0" collapsed="false">
      <c r="A1367" s="15" t="s">
        <v>4853</v>
      </c>
      <c r="B1367" s="15" t="s">
        <v>4843</v>
      </c>
      <c r="C1367" s="15" t="s">
        <v>400</v>
      </c>
      <c r="D1367" s="15" t="s">
        <v>1341</v>
      </c>
      <c r="E1367" s="15" t="s">
        <v>1430</v>
      </c>
      <c r="F1367" s="15" t="s">
        <v>3028</v>
      </c>
      <c r="G1367" s="15" t="s">
        <v>3029</v>
      </c>
      <c r="H1367" s="33" t="n">
        <f aca="false">Packages!$O$129</f>
        <v>5.99999999986834</v>
      </c>
      <c r="I1367" s="15" t="s">
        <v>118</v>
      </c>
      <c r="J1367" s="34" t="n">
        <f aca="false">TEST_D+ROUNDUP(Packages!$O$129/R_TEST,0)</f>
        <v>3</v>
      </c>
      <c r="K1367" s="34" t="n">
        <f aca="false">IF(J1367=0,0,ROUNDUP(J1367*7/WD,0))</f>
        <v>4</v>
      </c>
      <c r="L1367" s="15" t="s">
        <v>4851</v>
      </c>
      <c r="M1367" s="34" t="n">
        <f aca="false">ROUNDUP(K1366*LADDER,0)</f>
        <v>2</v>
      </c>
      <c r="N1367" s="34" t="n">
        <f aca="false">IF(K1367=0,0,FFLAG)</f>
        <v>2</v>
      </c>
      <c r="O1367" s="15"/>
      <c r="P1367" s="16" t="n">
        <f aca="false">MAX(P1366+M1367)</f>
        <v>46550</v>
      </c>
      <c r="Q1367" s="16" t="n">
        <f aca="false">MAX(P1367+K1367,Q1366+N1367)</f>
        <v>46555</v>
      </c>
      <c r="R1367" s="12"/>
      <c r="S1367" s="12"/>
    </row>
    <row r="1368" customFormat="false" ht="15" hidden="false" customHeight="false" outlineLevel="0" collapsed="false">
      <c r="A1368" s="15" t="s">
        <v>4854</v>
      </c>
      <c r="B1368" s="15" t="s">
        <v>4843</v>
      </c>
      <c r="C1368" s="15" t="s">
        <v>400</v>
      </c>
      <c r="D1368" s="15" t="s">
        <v>1341</v>
      </c>
      <c r="E1368" s="15" t="s">
        <v>1430</v>
      </c>
      <c r="F1368" s="15" t="s">
        <v>3031</v>
      </c>
      <c r="G1368" s="15" t="s">
        <v>3032</v>
      </c>
      <c r="H1368" s="33" t="n">
        <f aca="false">Packages!$AB$129</f>
        <v>50.4875819231532</v>
      </c>
      <c r="I1368" s="15" t="s">
        <v>3019</v>
      </c>
      <c r="J1368" s="34" t="n">
        <f aca="false">MAX(1,ROUNDUP(Packages!$AB$129/(R_BF*Fronts!$M$10),0))</f>
        <v>1</v>
      </c>
      <c r="K1368" s="34" t="n">
        <f aca="false">IF(J1368=0,0,ROUNDUP(J1368*7/WD,0))</f>
        <v>2</v>
      </c>
      <c r="L1368" s="15" t="s">
        <v>4853</v>
      </c>
      <c r="M1368" s="34" t="n">
        <f aca="false">ROUNDUP(K1367*LADDER,0)</f>
        <v>2</v>
      </c>
      <c r="N1368" s="34" t="n">
        <f aca="false">IF(K1368=0,0,FFLAG)</f>
        <v>2</v>
      </c>
      <c r="O1368" s="15" t="s">
        <v>4840</v>
      </c>
      <c r="P1368" s="16" t="n">
        <f aca="false">MAX(P1367+M1368,Q1377)</f>
        <v>46552</v>
      </c>
      <c r="Q1368" s="16" t="n">
        <f aca="false">MAX(P1368+K1368,Q1367+N1368)</f>
        <v>46557</v>
      </c>
      <c r="R1368" s="16" t="n">
        <f aca="false">IF(K1368&gt;0,Q1368,0)</f>
        <v>46557</v>
      </c>
      <c r="S1368" s="12"/>
    </row>
    <row r="1369" customFormat="false" ht="15" hidden="false" customHeight="false" outlineLevel="0" collapsed="false">
      <c r="A1369" s="15" t="s">
        <v>4855</v>
      </c>
      <c r="B1369" s="15" t="s">
        <v>4843</v>
      </c>
      <c r="C1369" s="15" t="s">
        <v>400</v>
      </c>
      <c r="D1369" s="15" t="s">
        <v>1341</v>
      </c>
      <c r="E1369" s="15" t="s">
        <v>1430</v>
      </c>
      <c r="F1369" s="15" t="s">
        <v>3034</v>
      </c>
      <c r="G1369" s="15" t="s">
        <v>3035</v>
      </c>
      <c r="H1369" s="33" t="n">
        <f aca="false">Packages!$AD$129</f>
        <v>11.9999999997367</v>
      </c>
      <c r="I1369" s="15" t="s">
        <v>3012</v>
      </c>
      <c r="J1369" s="34" t="n">
        <f aca="false">IF(Packages!$AD$129&gt;0,ROUNDUP(Packages!$AD$129/R_EXT,0),0)+IF(Packages!$AG$129&gt;0,1,0)</f>
        <v>2</v>
      </c>
      <c r="K1369" s="34" t="n">
        <f aca="false">IF(J1369=0,0,ROUNDUP(J1369*7/WD,0))</f>
        <v>3</v>
      </c>
      <c r="L1369" s="15" t="s">
        <v>4854</v>
      </c>
      <c r="M1369" s="34" t="n">
        <f aca="false">ROUNDUP(K1368*LADDER,0)</f>
        <v>1</v>
      </c>
      <c r="N1369" s="34" t="n">
        <f aca="false">IF(K1369=0,0,FFLAG)</f>
        <v>2</v>
      </c>
      <c r="O1369" s="15"/>
      <c r="P1369" s="16" t="n">
        <f aca="false">MAX(P1368+M1369)</f>
        <v>46553</v>
      </c>
      <c r="Q1369" s="16" t="n">
        <f aca="false">MAX(P1369+K1369,Q1368+N1369)</f>
        <v>46559</v>
      </c>
      <c r="R1369" s="12"/>
      <c r="S1369" s="12"/>
    </row>
    <row r="1370" customFormat="false" ht="15" hidden="false" customHeight="false" outlineLevel="0" collapsed="false">
      <c r="A1370" s="15" t="s">
        <v>4856</v>
      </c>
      <c r="B1370" s="15" t="s">
        <v>4857</v>
      </c>
      <c r="C1370" s="15" t="s">
        <v>400</v>
      </c>
      <c r="D1370" s="15" t="s">
        <v>1779</v>
      </c>
      <c r="E1370" s="15" t="s">
        <v>1780</v>
      </c>
      <c r="F1370" s="15" t="s">
        <v>2998</v>
      </c>
      <c r="G1370" s="15" t="s">
        <v>2999</v>
      </c>
      <c r="H1370" s="12"/>
      <c r="I1370" s="12"/>
      <c r="J1370" s="34" t="n">
        <f aca="false">0</f>
        <v>0</v>
      </c>
      <c r="K1370" s="34" t="n">
        <f aca="false">IF(J1370=0,0,ROUNDUP(J1370*7/WD,0))</f>
        <v>0</v>
      </c>
      <c r="L1370" s="12"/>
      <c r="M1370" s="12"/>
      <c r="N1370" s="12"/>
      <c r="O1370" s="15" t="s">
        <v>3038</v>
      </c>
      <c r="P1370" s="16" t="n">
        <f aca="false">MAX(START,D_DLU,Packages!$I$130,Packages!$K$130)</f>
        <v>46357</v>
      </c>
      <c r="Q1370" s="16" t="n">
        <f aca="false">P1370+K1370</f>
        <v>46357</v>
      </c>
      <c r="R1370" s="12"/>
      <c r="S1370" s="12"/>
    </row>
    <row r="1371" customFormat="false" ht="15" hidden="false" customHeight="false" outlineLevel="0" collapsed="false">
      <c r="A1371" s="15" t="s">
        <v>4858</v>
      </c>
      <c r="B1371" s="15" t="s">
        <v>4857</v>
      </c>
      <c r="C1371" s="15" t="s">
        <v>400</v>
      </c>
      <c r="D1371" s="15" t="s">
        <v>1779</v>
      </c>
      <c r="E1371" s="15" t="s">
        <v>1780</v>
      </c>
      <c r="F1371" s="15" t="s">
        <v>3002</v>
      </c>
      <c r="G1371" s="15" t="s">
        <v>205</v>
      </c>
      <c r="H1371" s="33" t="n">
        <f aca="false">Packages!$O$130</f>
        <v>38.3838097576448</v>
      </c>
      <c r="I1371" s="15" t="s">
        <v>118</v>
      </c>
      <c r="J1371" s="34" t="n">
        <f aca="false">MAX(1,ROUNDUP(Packages!$O$130/R_PLAT,0))</f>
        <v>1</v>
      </c>
      <c r="K1371" s="34" t="n">
        <f aca="false">IF(J1371=0,0,ROUNDUP(J1371*7/WD,0))</f>
        <v>2</v>
      </c>
      <c r="L1371" s="15" t="s">
        <v>4856</v>
      </c>
      <c r="M1371" s="12"/>
      <c r="N1371" s="12"/>
      <c r="O1371" s="15" t="s">
        <v>3003</v>
      </c>
      <c r="P1371" s="16" t="n">
        <f aca="false">MAX(Q1370)</f>
        <v>46357</v>
      </c>
      <c r="Q1371" s="16" t="n">
        <f aca="false">P1371+K1371</f>
        <v>46359</v>
      </c>
      <c r="R1371" s="12"/>
      <c r="S1371" s="12"/>
    </row>
    <row r="1372" customFormat="false" ht="15" hidden="false" customHeight="false" outlineLevel="0" collapsed="false">
      <c r="A1372" s="15" t="s">
        <v>4859</v>
      </c>
      <c r="B1372" s="15" t="s">
        <v>4857</v>
      </c>
      <c r="C1372" s="15" t="s">
        <v>400</v>
      </c>
      <c r="D1372" s="15" t="s">
        <v>1779</v>
      </c>
      <c r="E1372" s="15" t="s">
        <v>1780</v>
      </c>
      <c r="F1372" s="15" t="s">
        <v>3005</v>
      </c>
      <c r="G1372" s="15" t="s">
        <v>3006</v>
      </c>
      <c r="H1372" s="33" t="n">
        <f aca="false">Packages!$AC$130</f>
        <v>28</v>
      </c>
      <c r="I1372" s="15" t="s">
        <v>3007</v>
      </c>
      <c r="J1372" s="34" t="n">
        <f aca="false">IF(Packages!$AC$130=0,0,MAX(1,ROUNDUP(Packages!$AC$130/(R_PILE*Fronts!$H$10),0)))</f>
        <v>6</v>
      </c>
      <c r="K1372" s="34" t="n">
        <f aca="false">IF(J1372=0,0,ROUNDUP(J1372*7/WD,0))</f>
        <v>7</v>
      </c>
      <c r="L1372" s="15" t="s">
        <v>4858</v>
      </c>
      <c r="M1372" s="34" t="n">
        <f aca="false">ROUNDUP(K1371*LADDER,0)</f>
        <v>1</v>
      </c>
      <c r="N1372" s="34" t="n">
        <f aca="false">IF(K1372=0,0,FFLAG)</f>
        <v>2</v>
      </c>
      <c r="O1372" s="15" t="s">
        <v>3008</v>
      </c>
      <c r="P1372" s="16" t="n">
        <f aca="false">MAX(P1371+M1372,D_PILEDES)</f>
        <v>46358</v>
      </c>
      <c r="Q1372" s="16" t="n">
        <f aca="false">MAX(P1372+K1372,Q1371+N1372)</f>
        <v>46365</v>
      </c>
      <c r="R1372" s="16" t="n">
        <f aca="false">IF(K1372&gt;0,Q1372,0)</f>
        <v>46365</v>
      </c>
      <c r="S1372" s="12"/>
    </row>
    <row r="1373" customFormat="false" ht="15" hidden="false" customHeight="false" outlineLevel="0" collapsed="false">
      <c r="A1373" s="15" t="s">
        <v>4860</v>
      </c>
      <c r="B1373" s="15" t="s">
        <v>4857</v>
      </c>
      <c r="C1373" s="15" t="s">
        <v>400</v>
      </c>
      <c r="D1373" s="15" t="s">
        <v>1779</v>
      </c>
      <c r="E1373" s="15" t="s">
        <v>1780</v>
      </c>
      <c r="F1373" s="15" t="s">
        <v>3010</v>
      </c>
      <c r="G1373" s="15" t="s">
        <v>3011</v>
      </c>
      <c r="H1373" s="33" t="n">
        <f aca="false">Packages!$AD$130</f>
        <v>0</v>
      </c>
      <c r="I1373" s="15" t="s">
        <v>3012</v>
      </c>
      <c r="J1373" s="34" t="n">
        <f aca="false">IF(Packages!$AD$130=0,0,MAX(1,ROUNDUP(Packages!$AD$130/(R_SHEET*Fronts!$I$10),0)))</f>
        <v>0</v>
      </c>
      <c r="K1373" s="34" t="n">
        <f aca="false">IF(J1373=0,0,ROUNDUP(J1373*7/WD,0))</f>
        <v>0</v>
      </c>
      <c r="L1373" s="15" t="s">
        <v>4859</v>
      </c>
      <c r="M1373" s="34" t="n">
        <f aca="false">ROUNDUP(K1372*LADDER,0)</f>
        <v>3</v>
      </c>
      <c r="N1373" s="34" t="n">
        <f aca="false">IF(K1373=0,0,FFLAG)</f>
        <v>0</v>
      </c>
      <c r="O1373" s="15"/>
      <c r="P1373" s="16" t="n">
        <f aca="false">MAX(P1372+M1373)</f>
        <v>46361</v>
      </c>
      <c r="Q1373" s="16" t="n">
        <f aca="false">MAX(P1373+K1373,Q1372+N1373)</f>
        <v>46365</v>
      </c>
      <c r="R1373" s="16" t="n">
        <f aca="false">IF(K1373&gt;0,Q1373,0)</f>
        <v>0</v>
      </c>
      <c r="S1373" s="12"/>
    </row>
    <row r="1374" customFormat="false" ht="15" hidden="false" customHeight="false" outlineLevel="0" collapsed="false">
      <c r="A1374" s="15" t="s">
        <v>4861</v>
      </c>
      <c r="B1374" s="15" t="s">
        <v>4857</v>
      </c>
      <c r="C1374" s="15" t="s">
        <v>400</v>
      </c>
      <c r="D1374" s="15" t="s">
        <v>1779</v>
      </c>
      <c r="E1374" s="15" t="s">
        <v>1780</v>
      </c>
      <c r="F1374" s="15" t="s">
        <v>3014</v>
      </c>
      <c r="G1374" s="15" t="s">
        <v>3015</v>
      </c>
      <c r="H1374" s="33" t="n">
        <f aca="false">Packages!$O$130</f>
        <v>38.3838097576448</v>
      </c>
      <c r="I1374" s="15" t="s">
        <v>118</v>
      </c>
      <c r="J1374" s="34" t="n">
        <f aca="false">IF(Packages!$AG$130=0,0,ROUNDUP(Packages!$O$130/R_DW,0)+DW_DRAW)</f>
        <v>8</v>
      </c>
      <c r="K1374" s="34" t="n">
        <f aca="false">IF(J1374=0,0,ROUNDUP(J1374*7/WD,0))</f>
        <v>10</v>
      </c>
      <c r="L1374" s="15" t="s">
        <v>4860</v>
      </c>
      <c r="M1374" s="34" t="n">
        <f aca="false">ROUNDUP(K1373*LADDER,0)</f>
        <v>0</v>
      </c>
      <c r="N1374" s="34" t="n">
        <f aca="false">IF(K1374=0,0,FFLAG)</f>
        <v>2</v>
      </c>
      <c r="O1374" s="15"/>
      <c r="P1374" s="16" t="n">
        <f aca="false">MAX(P1373+M1374)</f>
        <v>46361</v>
      </c>
      <c r="Q1374" s="16" t="n">
        <f aca="false">MAX(P1374+K1374,Q1373+N1374)</f>
        <v>46371</v>
      </c>
      <c r="R1374" s="12"/>
      <c r="S1374" s="12"/>
    </row>
    <row r="1375" customFormat="false" ht="15" hidden="false" customHeight="false" outlineLevel="0" collapsed="false">
      <c r="A1375" s="15" t="s">
        <v>4862</v>
      </c>
      <c r="B1375" s="15" t="s">
        <v>4857</v>
      </c>
      <c r="C1375" s="15" t="s">
        <v>400</v>
      </c>
      <c r="D1375" s="15" t="s">
        <v>1779</v>
      </c>
      <c r="E1375" s="15" t="s">
        <v>1780</v>
      </c>
      <c r="F1375" s="15" t="s">
        <v>3017</v>
      </c>
      <c r="G1375" s="15" t="s">
        <v>3018</v>
      </c>
      <c r="H1375" s="33" t="n">
        <f aca="false">Packages!$X$130+Packages!$Y$130</f>
        <v>1012.6890167661</v>
      </c>
      <c r="I1375" s="15" t="s">
        <v>3019</v>
      </c>
      <c r="J1375" s="34" t="n">
        <f aca="false">MAX(1,ROUNDUP((Packages!$X$130/R_EXS+Packages!$Y$130/R_EXO)/Fronts!$J$10,0))</f>
        <v>3</v>
      </c>
      <c r="K1375" s="34" t="n">
        <f aca="false">IF(J1375=0,0,ROUNDUP(J1375*7/WD,0))</f>
        <v>4</v>
      </c>
      <c r="L1375" s="15" t="s">
        <v>4861</v>
      </c>
      <c r="M1375" s="34" t="n">
        <f aca="false">IF(K1374=0,0,ROUNDUP((K1374-ROUNDUP(DW_DRAW*7/WD,0))*LADDER,0)+ROUNDUP(DW_DRAW*7/WD,0))</f>
        <v>10</v>
      </c>
      <c r="N1375" s="34" t="n">
        <f aca="false">IF(K1375=0,0,FFLAG)</f>
        <v>2</v>
      </c>
      <c r="O1375" s="15" t="s">
        <v>4863</v>
      </c>
      <c r="P1375" s="16" t="n">
        <f aca="false">MAX(P1374+M1375,P1364,P1353)</f>
        <v>46487</v>
      </c>
      <c r="Q1375" s="16" t="n">
        <f aca="false">MAX(P1375+K1375,Q1374+N1375)</f>
        <v>46491</v>
      </c>
      <c r="R1375" s="16" t="n">
        <f aca="false">IF(K1375&gt;0,Q1375,0)</f>
        <v>46491</v>
      </c>
      <c r="S1375" s="12"/>
    </row>
    <row r="1376" customFormat="false" ht="15" hidden="false" customHeight="false" outlineLevel="0" collapsed="false">
      <c r="A1376" s="15" t="s">
        <v>4864</v>
      </c>
      <c r="B1376" s="15" t="s">
        <v>4857</v>
      </c>
      <c r="C1376" s="15" t="s">
        <v>400</v>
      </c>
      <c r="D1376" s="15" t="s">
        <v>1779</v>
      </c>
      <c r="E1376" s="15" t="s">
        <v>1780</v>
      </c>
      <c r="F1376" s="15" t="s">
        <v>3022</v>
      </c>
      <c r="G1376" s="15" t="s">
        <v>3023</v>
      </c>
      <c r="H1376" s="33" t="n">
        <f aca="false">Packages!$O$130</f>
        <v>38.3838097576448</v>
      </c>
      <c r="I1376" s="15" t="s">
        <v>118</v>
      </c>
      <c r="J1376" s="34" t="n">
        <f aca="false">MAX(1,ROUNDUP(Packages!$O$130/(R_SLAB*Fronts!$K$10),0))+SLAB_CURE</f>
        <v>7</v>
      </c>
      <c r="K1376" s="34" t="n">
        <f aca="false">IF(J1376=0,0,ROUNDUP(J1376*7/WD,0))</f>
        <v>9</v>
      </c>
      <c r="L1376" s="15" t="s">
        <v>4862</v>
      </c>
      <c r="M1376" s="34" t="n">
        <f aca="false">ROUNDUP(K1375*LADDER,0)</f>
        <v>2</v>
      </c>
      <c r="N1376" s="34" t="n">
        <f aca="false">IF(K1376=0,0,FFLAG)</f>
        <v>2</v>
      </c>
      <c r="O1376" s="15"/>
      <c r="P1376" s="16" t="n">
        <f aca="false">MAX(P1375+M1376)</f>
        <v>46489</v>
      </c>
      <c r="Q1376" s="16" t="n">
        <f aca="false">MAX(P1376+K1376,Q1375+N1376)</f>
        <v>46498</v>
      </c>
      <c r="R1376" s="16" t="n">
        <f aca="false">IF(K1376&gt;0,Q1376,0)</f>
        <v>46498</v>
      </c>
      <c r="S1376" s="12"/>
    </row>
    <row r="1377" customFormat="false" ht="15" hidden="false" customHeight="false" outlineLevel="0" collapsed="false">
      <c r="A1377" s="15" t="s">
        <v>4865</v>
      </c>
      <c r="B1377" s="15" t="s">
        <v>4857</v>
      </c>
      <c r="C1377" s="15" t="s">
        <v>400</v>
      </c>
      <c r="D1377" s="15" t="s">
        <v>1779</v>
      </c>
      <c r="E1377" s="15" t="s">
        <v>1780</v>
      </c>
      <c r="F1377" s="15" t="s">
        <v>3025</v>
      </c>
      <c r="G1377" s="15" t="s">
        <v>3026</v>
      </c>
      <c r="H1377" s="33" t="n">
        <f aca="false">Packages!$O$130</f>
        <v>38.3838097576448</v>
      </c>
      <c r="I1377" s="15" t="s">
        <v>118</v>
      </c>
      <c r="J1377" s="34" t="n">
        <f aca="false">MAX(1,ROUNDUP(Packages!$O$130/(IF(Packages!$N$130&gt;=PIPE_T1,R_PIPE_L,IF(Packages!$N$130&gt;=PIPE_T2,R_PIPE_M,R_PIPE_S))*Fronts!$L$10)+Packages!$M$130*FIT_D+IF(Packages!$G$130&lt;&gt;"Run",TIE_D,0),0))</f>
        <v>7</v>
      </c>
      <c r="K1377" s="34" t="n">
        <f aca="false">IF(J1377=0,0,ROUNDUP(J1377*7/WD,0))</f>
        <v>9</v>
      </c>
      <c r="L1377" s="15" t="s">
        <v>4864</v>
      </c>
      <c r="M1377" s="34" t="n">
        <f aca="false">ROUNDUP(K1376*LADDER,0)</f>
        <v>3</v>
      </c>
      <c r="N1377" s="34" t="n">
        <f aca="false">IF(K1377=0,0,FFLAG)</f>
        <v>2</v>
      </c>
      <c r="O1377" s="15"/>
      <c r="P1377" s="16" t="n">
        <f aca="false">MAX(P1376+M1377)</f>
        <v>46492</v>
      </c>
      <c r="Q1377" s="16" t="n">
        <f aca="false">MAX(P1377+K1377,Q1376+N1377)</f>
        <v>46501</v>
      </c>
      <c r="R1377" s="16" t="n">
        <f aca="false">IF(K1377&gt;0,Q1377,0)</f>
        <v>46501</v>
      </c>
      <c r="S1377" s="12"/>
    </row>
    <row r="1378" customFormat="false" ht="15" hidden="false" customHeight="false" outlineLevel="0" collapsed="false">
      <c r="A1378" s="15" t="s">
        <v>4866</v>
      </c>
      <c r="B1378" s="15" t="s">
        <v>4857</v>
      </c>
      <c r="C1378" s="15" t="s">
        <v>400</v>
      </c>
      <c r="D1378" s="15" t="s">
        <v>1779</v>
      </c>
      <c r="E1378" s="15" t="s">
        <v>1780</v>
      </c>
      <c r="F1378" s="15" t="s">
        <v>3028</v>
      </c>
      <c r="G1378" s="15" t="s">
        <v>3029</v>
      </c>
      <c r="H1378" s="33" t="n">
        <f aca="false">Packages!$O$130</f>
        <v>38.3838097576448</v>
      </c>
      <c r="I1378" s="15" t="s">
        <v>118</v>
      </c>
      <c r="J1378" s="34" t="n">
        <f aca="false">TEST_D+ROUNDUP(Packages!$O$130/R_TEST,0)</f>
        <v>3</v>
      </c>
      <c r="K1378" s="34" t="n">
        <f aca="false">IF(J1378=0,0,ROUNDUP(J1378*7/WD,0))</f>
        <v>4</v>
      </c>
      <c r="L1378" s="15" t="s">
        <v>4865</v>
      </c>
      <c r="M1378" s="34" t="n">
        <f aca="false">ROUNDUP(K1377*LADDER,0)</f>
        <v>3</v>
      </c>
      <c r="N1378" s="34" t="n">
        <f aca="false">IF(K1378=0,0,FFLAG)</f>
        <v>2</v>
      </c>
      <c r="O1378" s="15"/>
      <c r="P1378" s="16" t="n">
        <f aca="false">MAX(P1377+M1378)</f>
        <v>46495</v>
      </c>
      <c r="Q1378" s="16" t="n">
        <f aca="false">MAX(P1378+K1378,Q1377+N1378)</f>
        <v>46503</v>
      </c>
      <c r="R1378" s="12"/>
      <c r="S1378" s="12"/>
    </row>
    <row r="1379" customFormat="false" ht="15" hidden="false" customHeight="false" outlineLevel="0" collapsed="false">
      <c r="A1379" s="15" t="s">
        <v>4867</v>
      </c>
      <c r="B1379" s="15" t="s">
        <v>4857</v>
      </c>
      <c r="C1379" s="15" t="s">
        <v>400</v>
      </c>
      <c r="D1379" s="15" t="s">
        <v>1779</v>
      </c>
      <c r="E1379" s="15" t="s">
        <v>1780</v>
      </c>
      <c r="F1379" s="15" t="s">
        <v>3031</v>
      </c>
      <c r="G1379" s="15" t="s">
        <v>3032</v>
      </c>
      <c r="H1379" s="33" t="n">
        <f aca="false">Packages!$AB$130</f>
        <v>895.525925700906</v>
      </c>
      <c r="I1379" s="15" t="s">
        <v>3019</v>
      </c>
      <c r="J1379" s="34" t="n">
        <f aca="false">MAX(1,ROUNDUP(Packages!$AB$130/(R_BF*Fronts!$M$10),0))</f>
        <v>3</v>
      </c>
      <c r="K1379" s="34" t="n">
        <f aca="false">IF(J1379=0,0,ROUNDUP(J1379*7/WD,0))</f>
        <v>4</v>
      </c>
      <c r="L1379" s="15" t="s">
        <v>4866</v>
      </c>
      <c r="M1379" s="34" t="n">
        <f aca="false">ROUNDUP(K1378*LADDER,0)</f>
        <v>2</v>
      </c>
      <c r="N1379" s="34" t="n">
        <f aca="false">IF(K1379=0,0,FFLAG)</f>
        <v>2</v>
      </c>
      <c r="O1379" s="15" t="s">
        <v>4868</v>
      </c>
      <c r="P1379" s="16" t="n">
        <f aca="false">MAX(P1378+M1379,Q1366,Q1355)</f>
        <v>46553</v>
      </c>
      <c r="Q1379" s="16" t="n">
        <f aca="false">MAX(P1379+K1379,Q1378+N1379)</f>
        <v>46557</v>
      </c>
      <c r="R1379" s="16" t="n">
        <f aca="false">IF(K1379&gt;0,Q1379,0)</f>
        <v>46557</v>
      </c>
      <c r="S1379" s="12"/>
    </row>
    <row r="1380" customFormat="false" ht="15" hidden="false" customHeight="false" outlineLevel="0" collapsed="false">
      <c r="A1380" s="15" t="s">
        <v>4869</v>
      </c>
      <c r="B1380" s="15" t="s">
        <v>4857</v>
      </c>
      <c r="C1380" s="15" t="s">
        <v>400</v>
      </c>
      <c r="D1380" s="15" t="s">
        <v>1779</v>
      </c>
      <c r="E1380" s="15" t="s">
        <v>1780</v>
      </c>
      <c r="F1380" s="15" t="s">
        <v>3034</v>
      </c>
      <c r="G1380" s="15" t="s">
        <v>3035</v>
      </c>
      <c r="H1380" s="33" t="n">
        <f aca="false">Packages!$AD$130</f>
        <v>0</v>
      </c>
      <c r="I1380" s="15" t="s">
        <v>3012</v>
      </c>
      <c r="J1380" s="34" t="n">
        <f aca="false">IF(Packages!$AD$130&gt;0,ROUNDUP(Packages!$AD$130/R_EXT,0),0)+IF(Packages!$AG$130&gt;0,1,0)</f>
        <v>1</v>
      </c>
      <c r="K1380" s="34" t="n">
        <f aca="false">IF(J1380=0,0,ROUNDUP(J1380*7/WD,0))</f>
        <v>2</v>
      </c>
      <c r="L1380" s="15" t="s">
        <v>4867</v>
      </c>
      <c r="M1380" s="34" t="n">
        <f aca="false">ROUNDUP(K1379*LADDER,0)</f>
        <v>2</v>
      </c>
      <c r="N1380" s="34" t="n">
        <f aca="false">IF(K1380=0,0,FFLAG)</f>
        <v>2</v>
      </c>
      <c r="O1380" s="15"/>
      <c r="P1380" s="16" t="n">
        <f aca="false">MAX(P1379+M1380)</f>
        <v>46555</v>
      </c>
      <c r="Q1380" s="16" t="n">
        <f aca="false">MAX(P1380+K1380,Q1379+N1380)</f>
        <v>46559</v>
      </c>
      <c r="R1380" s="12"/>
      <c r="S1380" s="12"/>
    </row>
    <row r="1381" customFormat="false" ht="15" hidden="false" customHeight="false" outlineLevel="0" collapsed="false">
      <c r="A1381" s="15" t="s">
        <v>4870</v>
      </c>
      <c r="B1381" s="15" t="s">
        <v>4871</v>
      </c>
      <c r="C1381" s="15" t="s">
        <v>400</v>
      </c>
      <c r="D1381" s="15" t="s">
        <v>1341</v>
      </c>
      <c r="E1381" s="15" t="s">
        <v>1444</v>
      </c>
      <c r="F1381" s="15" t="s">
        <v>2998</v>
      </c>
      <c r="G1381" s="15" t="s">
        <v>2999</v>
      </c>
      <c r="H1381" s="12"/>
      <c r="I1381" s="12"/>
      <c r="J1381" s="34" t="n">
        <f aca="false">0</f>
        <v>0</v>
      </c>
      <c r="K1381" s="34" t="n">
        <f aca="false">IF(J1381=0,0,ROUNDUP(J1381*7/WD,0))</f>
        <v>0</v>
      </c>
      <c r="L1381" s="12"/>
      <c r="M1381" s="12"/>
      <c r="N1381" s="12"/>
      <c r="O1381" s="15" t="s">
        <v>3000</v>
      </c>
      <c r="P1381" s="16" t="n">
        <f aca="false">MAX(START,D_DLU,Packages!$I$131,Packages!$K$131)</f>
        <v>46357</v>
      </c>
      <c r="Q1381" s="16" t="n">
        <f aca="false">P1381+K1381</f>
        <v>46357</v>
      </c>
      <c r="R1381" s="12"/>
      <c r="S1381" s="12"/>
    </row>
    <row r="1382" customFormat="false" ht="15" hidden="false" customHeight="false" outlineLevel="0" collapsed="false">
      <c r="A1382" s="15" t="s">
        <v>4872</v>
      </c>
      <c r="B1382" s="15" t="s">
        <v>4871</v>
      </c>
      <c r="C1382" s="15" t="s">
        <v>400</v>
      </c>
      <c r="D1382" s="15" t="s">
        <v>1341</v>
      </c>
      <c r="E1382" s="15" t="s">
        <v>1444</v>
      </c>
      <c r="F1382" s="15" t="s">
        <v>3002</v>
      </c>
      <c r="G1382" s="15" t="s">
        <v>205</v>
      </c>
      <c r="H1382" s="33" t="n">
        <f aca="false">Packages!$O$131</f>
        <v>32.7629308394545</v>
      </c>
      <c r="I1382" s="15" t="s">
        <v>118</v>
      </c>
      <c r="J1382" s="34" t="n">
        <f aca="false">MAX(1,ROUNDUP(Packages!$O$131/R_PLAT,0))</f>
        <v>1</v>
      </c>
      <c r="K1382" s="34" t="n">
        <f aca="false">IF(J1382=0,0,ROUNDUP(J1382*7/WD,0))</f>
        <v>2</v>
      </c>
      <c r="L1382" s="15" t="s">
        <v>4870</v>
      </c>
      <c r="M1382" s="12"/>
      <c r="N1382" s="12"/>
      <c r="O1382" s="15" t="s">
        <v>4873</v>
      </c>
      <c r="P1382" s="16" t="n">
        <f aca="false">MAX(Q1381,P1350)</f>
        <v>46468</v>
      </c>
      <c r="Q1382" s="16" t="n">
        <f aca="false">P1382+K1382</f>
        <v>46470</v>
      </c>
      <c r="R1382" s="12"/>
      <c r="S1382" s="12"/>
    </row>
    <row r="1383" customFormat="false" ht="15" hidden="false" customHeight="false" outlineLevel="0" collapsed="false">
      <c r="A1383" s="15" t="s">
        <v>4874</v>
      </c>
      <c r="B1383" s="15" t="s">
        <v>4871</v>
      </c>
      <c r="C1383" s="15" t="s">
        <v>400</v>
      </c>
      <c r="D1383" s="15" t="s">
        <v>1341</v>
      </c>
      <c r="E1383" s="15" t="s">
        <v>1444</v>
      </c>
      <c r="F1383" s="15" t="s">
        <v>3005</v>
      </c>
      <c r="G1383" s="15" t="s">
        <v>3006</v>
      </c>
      <c r="H1383" s="33" t="n">
        <f aca="false">Packages!$AC$131</f>
        <v>24</v>
      </c>
      <c r="I1383" s="15" t="s">
        <v>3007</v>
      </c>
      <c r="J1383" s="34" t="n">
        <f aca="false">IF(Packages!$AC$131=0,0,MAX(1,ROUNDUP(Packages!$AC$131/(R_PILE*Fronts!$H$10),0)))</f>
        <v>5</v>
      </c>
      <c r="K1383" s="34" t="n">
        <f aca="false">IF(J1383=0,0,ROUNDUP(J1383*7/WD,0))</f>
        <v>6</v>
      </c>
      <c r="L1383" s="15" t="s">
        <v>4872</v>
      </c>
      <c r="M1383" s="34" t="n">
        <f aca="false">ROUNDUP(K1382*LADDER,0)</f>
        <v>1</v>
      </c>
      <c r="N1383" s="34" t="n">
        <f aca="false">IF(K1383=0,0,FFLAG)</f>
        <v>2</v>
      </c>
      <c r="O1383" s="15" t="s">
        <v>3008</v>
      </c>
      <c r="P1383" s="16" t="n">
        <f aca="false">MAX(P1382+M1383,D_PILEDES,R1350)</f>
        <v>46478</v>
      </c>
      <c r="Q1383" s="16" t="n">
        <f aca="false">MAX(P1383+K1383,Q1382+N1383)</f>
        <v>46484</v>
      </c>
      <c r="R1383" s="16" t="n">
        <f aca="false">IF(K1383&gt;0,Q1383,R1350)</f>
        <v>46484</v>
      </c>
      <c r="S1383" s="15" t="s">
        <v>4831</v>
      </c>
    </row>
    <row r="1384" customFormat="false" ht="15" hidden="false" customHeight="false" outlineLevel="0" collapsed="false">
      <c r="A1384" s="15" t="s">
        <v>4875</v>
      </c>
      <c r="B1384" s="15" t="s">
        <v>4871</v>
      </c>
      <c r="C1384" s="15" t="s">
        <v>400</v>
      </c>
      <c r="D1384" s="15" t="s">
        <v>1341</v>
      </c>
      <c r="E1384" s="15" t="s">
        <v>1444</v>
      </c>
      <c r="F1384" s="15" t="s">
        <v>3010</v>
      </c>
      <c r="G1384" s="15" t="s">
        <v>3011</v>
      </c>
      <c r="H1384" s="33" t="n">
        <f aca="false">Packages!$AD$131</f>
        <v>65.525861678909</v>
      </c>
      <c r="I1384" s="15" t="s">
        <v>3012</v>
      </c>
      <c r="J1384" s="34" t="n">
        <f aca="false">IF(Packages!$AD$131=0,0,MAX(1,ROUNDUP(Packages!$AD$131/(R_SHEET*Fronts!$I$10),0)))</f>
        <v>3</v>
      </c>
      <c r="K1384" s="34" t="n">
        <f aca="false">IF(J1384=0,0,ROUNDUP(J1384*7/WD,0))</f>
        <v>4</v>
      </c>
      <c r="L1384" s="15" t="s">
        <v>4874</v>
      </c>
      <c r="M1384" s="34" t="n">
        <f aca="false">ROUNDUP(K1383*LADDER,0)</f>
        <v>2</v>
      </c>
      <c r="N1384" s="34" t="n">
        <f aca="false">IF(K1384=0,0,FFLAG)</f>
        <v>2</v>
      </c>
      <c r="O1384" s="15"/>
      <c r="P1384" s="16" t="n">
        <f aca="false">MAX(P1383+M1384,R1351)</f>
        <v>46480</v>
      </c>
      <c r="Q1384" s="16" t="n">
        <f aca="false">MAX(P1384+K1384,Q1383+N1384)</f>
        <v>46486</v>
      </c>
      <c r="R1384" s="16" t="n">
        <f aca="false">IF(K1384&gt;0,Q1384,R1351)</f>
        <v>46486</v>
      </c>
      <c r="S1384" s="15" t="s">
        <v>4832</v>
      </c>
    </row>
    <row r="1385" customFormat="false" ht="15" hidden="false" customHeight="false" outlineLevel="0" collapsed="false">
      <c r="A1385" s="15" t="s">
        <v>4876</v>
      </c>
      <c r="B1385" s="15" t="s">
        <v>4871</v>
      </c>
      <c r="C1385" s="15" t="s">
        <v>400</v>
      </c>
      <c r="D1385" s="15" t="s">
        <v>1341</v>
      </c>
      <c r="E1385" s="15" t="s">
        <v>1444</v>
      </c>
      <c r="F1385" s="15" t="s">
        <v>3014</v>
      </c>
      <c r="G1385" s="15" t="s">
        <v>3015</v>
      </c>
      <c r="H1385" s="33" t="n">
        <f aca="false">Packages!$O$131</f>
        <v>32.7629308394545</v>
      </c>
      <c r="I1385" s="15" t="s">
        <v>118</v>
      </c>
      <c r="J1385" s="34" t="n">
        <f aca="false">IF(Packages!$AG$131=0,0,ROUNDUP(Packages!$O$131/R_DW,0)+DW_DRAW)</f>
        <v>8</v>
      </c>
      <c r="K1385" s="34" t="n">
        <f aca="false">IF(J1385=0,0,ROUNDUP(J1385*7/WD,0))</f>
        <v>10</v>
      </c>
      <c r="L1385" s="15" t="s">
        <v>4875</v>
      </c>
      <c r="M1385" s="34" t="n">
        <f aca="false">ROUNDUP(K1384*LADDER,0)</f>
        <v>2</v>
      </c>
      <c r="N1385" s="34" t="n">
        <f aca="false">IF(K1385=0,0,FFLAG)</f>
        <v>2</v>
      </c>
      <c r="O1385" s="15" t="s">
        <v>4877</v>
      </c>
      <c r="P1385" s="16" t="n">
        <f aca="false">MAX(P1384+M1385,Q1353-K1385)</f>
        <v>46482</v>
      </c>
      <c r="Q1385" s="16" t="n">
        <f aca="false">MAX(P1385+K1385,Q1384+N1385)</f>
        <v>46492</v>
      </c>
      <c r="R1385" s="12"/>
      <c r="S1385" s="12"/>
    </row>
    <row r="1386" customFormat="false" ht="15" hidden="false" customHeight="false" outlineLevel="0" collapsed="false">
      <c r="A1386" s="15" t="s">
        <v>4878</v>
      </c>
      <c r="B1386" s="15" t="s">
        <v>4871</v>
      </c>
      <c r="C1386" s="15" t="s">
        <v>400</v>
      </c>
      <c r="D1386" s="15" t="s">
        <v>1341</v>
      </c>
      <c r="E1386" s="15" t="s">
        <v>1444</v>
      </c>
      <c r="F1386" s="15" t="s">
        <v>3017</v>
      </c>
      <c r="G1386" s="15" t="s">
        <v>3018</v>
      </c>
      <c r="H1386" s="33" t="n">
        <f aca="false">Packages!$X$131+Packages!$Y$131</f>
        <v>334.181900919339</v>
      </c>
      <c r="I1386" s="15" t="s">
        <v>3019</v>
      </c>
      <c r="J1386" s="34" t="n">
        <f aca="false">MAX(1,ROUNDUP((Packages!$X$131/R_EXS+Packages!$Y$131/R_EXO)/Fronts!$J$10,0))</f>
        <v>2</v>
      </c>
      <c r="K1386" s="34" t="n">
        <f aca="false">IF(J1386=0,0,ROUNDUP(J1386*7/WD,0))</f>
        <v>3</v>
      </c>
      <c r="L1386" s="15" t="s">
        <v>4876</v>
      </c>
      <c r="M1386" s="34" t="n">
        <f aca="false">IF(K1385=0,0,ROUNDUP((K1385-ROUNDUP(DW_DRAW*7/WD,0))*LADDER,0)+ROUNDUP(DW_DRAW*7/WD,0))</f>
        <v>10</v>
      </c>
      <c r="N1386" s="34" t="n">
        <f aca="false">IF(K1386=0,0,FFLAG)</f>
        <v>2</v>
      </c>
      <c r="O1386" s="15"/>
      <c r="P1386" s="16" t="n">
        <f aca="false">MAX(P1385+M1386,R1353)</f>
        <v>46492</v>
      </c>
      <c r="Q1386" s="16" t="n">
        <f aca="false">MAX(P1386+K1386,Q1385+N1386)</f>
        <v>46495</v>
      </c>
      <c r="R1386" s="16" t="n">
        <f aca="false">IF(K1386&gt;0,Q1386,R1353)</f>
        <v>46495</v>
      </c>
      <c r="S1386" s="15" t="s">
        <v>4835</v>
      </c>
    </row>
    <row r="1387" customFormat="false" ht="15" hidden="false" customHeight="false" outlineLevel="0" collapsed="false">
      <c r="A1387" s="15" t="s">
        <v>4879</v>
      </c>
      <c r="B1387" s="15" t="s">
        <v>4871</v>
      </c>
      <c r="C1387" s="15" t="s">
        <v>400</v>
      </c>
      <c r="D1387" s="15" t="s">
        <v>1341</v>
      </c>
      <c r="E1387" s="15" t="s">
        <v>1444</v>
      </c>
      <c r="F1387" s="15" t="s">
        <v>3022</v>
      </c>
      <c r="G1387" s="15" t="s">
        <v>3023</v>
      </c>
      <c r="H1387" s="33" t="n">
        <f aca="false">Packages!$O$131</f>
        <v>32.7629308394545</v>
      </c>
      <c r="I1387" s="15" t="s">
        <v>118</v>
      </c>
      <c r="J1387" s="34" t="n">
        <f aca="false">MAX(1,ROUNDUP(Packages!$O$131/(R_SLAB*Fronts!$K$10),0))+SLAB_CURE</f>
        <v>6</v>
      </c>
      <c r="K1387" s="34" t="n">
        <f aca="false">IF(J1387=0,0,ROUNDUP(J1387*7/WD,0))</f>
        <v>7</v>
      </c>
      <c r="L1387" s="15" t="s">
        <v>4878</v>
      </c>
      <c r="M1387" s="34" t="n">
        <f aca="false">ROUNDUP(K1386*LADDER,0)</f>
        <v>1</v>
      </c>
      <c r="N1387" s="34" t="n">
        <f aca="false">IF(K1387=0,0,FFLAG)</f>
        <v>2</v>
      </c>
      <c r="O1387" s="15"/>
      <c r="P1387" s="16" t="n">
        <f aca="false">MAX(P1386+M1387,R1354)</f>
        <v>46546</v>
      </c>
      <c r="Q1387" s="16" t="n">
        <f aca="false">MAX(P1387+K1387,Q1386+N1387)</f>
        <v>46553</v>
      </c>
      <c r="R1387" s="16" t="n">
        <f aca="false">IF(K1387&gt;0,Q1387,R1354)</f>
        <v>46553</v>
      </c>
      <c r="S1387" s="15" t="s">
        <v>4836</v>
      </c>
    </row>
    <row r="1388" customFormat="false" ht="15" hidden="false" customHeight="false" outlineLevel="0" collapsed="false">
      <c r="A1388" s="15" t="s">
        <v>4880</v>
      </c>
      <c r="B1388" s="15" t="s">
        <v>4871</v>
      </c>
      <c r="C1388" s="15" t="s">
        <v>400</v>
      </c>
      <c r="D1388" s="15" t="s">
        <v>1341</v>
      </c>
      <c r="E1388" s="15" t="s">
        <v>1444</v>
      </c>
      <c r="F1388" s="15" t="s">
        <v>3025</v>
      </c>
      <c r="G1388" s="15" t="s">
        <v>3026</v>
      </c>
      <c r="H1388" s="33" t="n">
        <f aca="false">Packages!$O$131</f>
        <v>32.7629308394545</v>
      </c>
      <c r="I1388" s="15" t="s">
        <v>118</v>
      </c>
      <c r="J1388" s="34" t="n">
        <f aca="false">MAX(1,ROUNDUP(Packages!$O$131/(IF(Packages!$N$131&gt;=PIPE_T1,R_PIPE_L,IF(Packages!$N$131&gt;=PIPE_T2,R_PIPE_M,R_PIPE_S))*Fronts!$L$10)+Packages!$M$131*FIT_D+IF(Packages!$G$131&lt;&gt;"Run",TIE_D,0),0))</f>
        <v>1</v>
      </c>
      <c r="K1388" s="34" t="n">
        <f aca="false">IF(J1388=0,0,ROUNDUP(J1388*7/WD,0))</f>
        <v>2</v>
      </c>
      <c r="L1388" s="15" t="s">
        <v>4879</v>
      </c>
      <c r="M1388" s="34" t="n">
        <f aca="false">ROUNDUP(K1387*LADDER,0)</f>
        <v>3</v>
      </c>
      <c r="N1388" s="34" t="n">
        <f aca="false">IF(K1388=0,0,FFLAG)</f>
        <v>2</v>
      </c>
      <c r="O1388" s="15"/>
      <c r="P1388" s="16" t="n">
        <f aca="false">MAX(P1387+M1388,R1355)</f>
        <v>46549</v>
      </c>
      <c r="Q1388" s="16" t="n">
        <f aca="false">MAX(P1388+K1388,Q1387+N1388)</f>
        <v>46555</v>
      </c>
      <c r="R1388" s="16" t="n">
        <f aca="false">IF(K1388&gt;0,Q1388,R1355)</f>
        <v>46555</v>
      </c>
      <c r="S1388" s="15" t="s">
        <v>4837</v>
      </c>
    </row>
    <row r="1389" customFormat="false" ht="15" hidden="false" customHeight="false" outlineLevel="0" collapsed="false">
      <c r="A1389" s="15" t="s">
        <v>4881</v>
      </c>
      <c r="B1389" s="15" t="s">
        <v>4871</v>
      </c>
      <c r="C1389" s="15" t="s">
        <v>400</v>
      </c>
      <c r="D1389" s="15" t="s">
        <v>1341</v>
      </c>
      <c r="E1389" s="15" t="s">
        <v>1444</v>
      </c>
      <c r="F1389" s="15" t="s">
        <v>3028</v>
      </c>
      <c r="G1389" s="15" t="s">
        <v>3029</v>
      </c>
      <c r="H1389" s="33" t="n">
        <f aca="false">Packages!$O$131</f>
        <v>32.7629308394545</v>
      </c>
      <c r="I1389" s="15" t="s">
        <v>118</v>
      </c>
      <c r="J1389" s="34" t="n">
        <f aca="false">TEST_D+ROUNDUP(Packages!$O$131/R_TEST,0)</f>
        <v>3</v>
      </c>
      <c r="K1389" s="34" t="n">
        <f aca="false">IF(J1389=0,0,ROUNDUP(J1389*7/WD,0))</f>
        <v>4</v>
      </c>
      <c r="L1389" s="15" t="s">
        <v>4880</v>
      </c>
      <c r="M1389" s="34" t="n">
        <f aca="false">ROUNDUP(K1388*LADDER,0)</f>
        <v>1</v>
      </c>
      <c r="N1389" s="34" t="n">
        <f aca="false">IF(K1389=0,0,FFLAG)</f>
        <v>2</v>
      </c>
      <c r="O1389" s="15"/>
      <c r="P1389" s="16" t="n">
        <f aca="false">MAX(P1388+M1389)</f>
        <v>46550</v>
      </c>
      <c r="Q1389" s="16" t="n">
        <f aca="false">MAX(P1389+K1389,Q1388+N1389)</f>
        <v>46557</v>
      </c>
      <c r="R1389" s="12"/>
      <c r="S1389" s="12"/>
    </row>
    <row r="1390" customFormat="false" ht="15" hidden="false" customHeight="false" outlineLevel="0" collapsed="false">
      <c r="A1390" s="15" t="s">
        <v>4882</v>
      </c>
      <c r="B1390" s="15" t="s">
        <v>4871</v>
      </c>
      <c r="C1390" s="15" t="s">
        <v>400</v>
      </c>
      <c r="D1390" s="15" t="s">
        <v>1341</v>
      </c>
      <c r="E1390" s="15" t="s">
        <v>1444</v>
      </c>
      <c r="F1390" s="15" t="s">
        <v>3031</v>
      </c>
      <c r="G1390" s="15" t="s">
        <v>3032</v>
      </c>
      <c r="H1390" s="33" t="n">
        <f aca="false">Packages!$AB$131</f>
        <v>275.687021684559</v>
      </c>
      <c r="I1390" s="15" t="s">
        <v>3019</v>
      </c>
      <c r="J1390" s="34" t="n">
        <f aca="false">MAX(1,ROUNDUP(Packages!$AB$131/(R_BF*Fronts!$M$10),0))</f>
        <v>1</v>
      </c>
      <c r="K1390" s="34" t="n">
        <f aca="false">IF(J1390=0,0,ROUNDUP(J1390*7/WD,0))</f>
        <v>2</v>
      </c>
      <c r="L1390" s="15" t="s">
        <v>4881</v>
      </c>
      <c r="M1390" s="34" t="n">
        <f aca="false">ROUNDUP(K1389*LADDER,0)</f>
        <v>2</v>
      </c>
      <c r="N1390" s="34" t="n">
        <f aca="false">IF(K1390=0,0,FFLAG)</f>
        <v>2</v>
      </c>
      <c r="O1390" s="15" t="s">
        <v>4883</v>
      </c>
      <c r="P1390" s="16" t="n">
        <f aca="false">MAX(P1389+M1390,R1357,Q1410)</f>
        <v>46552</v>
      </c>
      <c r="Q1390" s="16" t="n">
        <f aca="false">MAX(P1390+K1390,Q1389+N1390)</f>
        <v>46559</v>
      </c>
      <c r="R1390" s="16" t="n">
        <f aca="false">IF(K1390&gt;0,Q1390,R1357)</f>
        <v>46559</v>
      </c>
      <c r="S1390" s="15" t="s">
        <v>4839</v>
      </c>
    </row>
    <row r="1391" customFormat="false" ht="15" hidden="false" customHeight="false" outlineLevel="0" collapsed="false">
      <c r="A1391" s="15" t="s">
        <v>4884</v>
      </c>
      <c r="B1391" s="15" t="s">
        <v>4871</v>
      </c>
      <c r="C1391" s="15" t="s">
        <v>400</v>
      </c>
      <c r="D1391" s="15" t="s">
        <v>1341</v>
      </c>
      <c r="E1391" s="15" t="s">
        <v>1444</v>
      </c>
      <c r="F1391" s="15" t="s">
        <v>3034</v>
      </c>
      <c r="G1391" s="15" t="s">
        <v>3035</v>
      </c>
      <c r="H1391" s="33" t="n">
        <f aca="false">Packages!$AD$131</f>
        <v>65.525861678909</v>
      </c>
      <c r="I1391" s="15" t="s">
        <v>3012</v>
      </c>
      <c r="J1391" s="34" t="n">
        <f aca="false">IF(Packages!$AD$131&gt;0,ROUNDUP(Packages!$AD$131/R_EXT,0),0)+IF(Packages!$AG$131&gt;0,1,0)</f>
        <v>3</v>
      </c>
      <c r="K1391" s="34" t="n">
        <f aca="false">IF(J1391=0,0,ROUNDUP(J1391*7/WD,0))</f>
        <v>4</v>
      </c>
      <c r="L1391" s="15" t="s">
        <v>4882</v>
      </c>
      <c r="M1391" s="34" t="n">
        <f aca="false">ROUNDUP(K1390*LADDER,0)</f>
        <v>1</v>
      </c>
      <c r="N1391" s="34" t="n">
        <f aca="false">IF(K1391=0,0,FFLAG)</f>
        <v>2</v>
      </c>
      <c r="O1391" s="15"/>
      <c r="P1391" s="16" t="n">
        <f aca="false">MAX(P1390+M1391)</f>
        <v>46553</v>
      </c>
      <c r="Q1391" s="16" t="n">
        <f aca="false">MAX(P1391+K1391,Q1390+N1391)</f>
        <v>46561</v>
      </c>
      <c r="R1391" s="12"/>
      <c r="S1391" s="12"/>
    </row>
    <row r="1392" customFormat="false" ht="15" hidden="false" customHeight="false" outlineLevel="0" collapsed="false">
      <c r="A1392" s="15" t="s">
        <v>4885</v>
      </c>
      <c r="B1392" s="15" t="s">
        <v>4886</v>
      </c>
      <c r="C1392" s="15" t="s">
        <v>400</v>
      </c>
      <c r="D1392" s="15" t="s">
        <v>1341</v>
      </c>
      <c r="E1392" s="15" t="s">
        <v>1442</v>
      </c>
      <c r="F1392" s="15" t="s">
        <v>2998</v>
      </c>
      <c r="G1392" s="15" t="s">
        <v>2999</v>
      </c>
      <c r="H1392" s="12"/>
      <c r="I1392" s="12"/>
      <c r="J1392" s="34" t="n">
        <f aca="false">0</f>
        <v>0</v>
      </c>
      <c r="K1392" s="34" t="n">
        <f aca="false">IF(J1392=0,0,ROUNDUP(J1392*7/WD,0))</f>
        <v>0</v>
      </c>
      <c r="L1392" s="12"/>
      <c r="M1392" s="12"/>
      <c r="N1392" s="12"/>
      <c r="O1392" s="15" t="s">
        <v>3038</v>
      </c>
      <c r="P1392" s="16" t="n">
        <f aca="false">MAX(START,D_DLU,Packages!$I$132,Packages!$K$132)</f>
        <v>46357</v>
      </c>
      <c r="Q1392" s="16" t="n">
        <f aca="false">P1392+K1392</f>
        <v>46357</v>
      </c>
      <c r="R1392" s="12"/>
      <c r="S1392" s="12"/>
    </row>
    <row r="1393" customFormat="false" ht="15" hidden="false" customHeight="false" outlineLevel="0" collapsed="false">
      <c r="A1393" s="15" t="s">
        <v>4887</v>
      </c>
      <c r="B1393" s="15" t="s">
        <v>4886</v>
      </c>
      <c r="C1393" s="15" t="s">
        <v>400</v>
      </c>
      <c r="D1393" s="15" t="s">
        <v>1341</v>
      </c>
      <c r="E1393" s="15" t="s">
        <v>1442</v>
      </c>
      <c r="F1393" s="15" t="s">
        <v>3002</v>
      </c>
      <c r="G1393" s="15" t="s">
        <v>205</v>
      </c>
      <c r="H1393" s="33" t="n">
        <f aca="false">Packages!$O$132</f>
        <v>5.99999999980784</v>
      </c>
      <c r="I1393" s="15" t="s">
        <v>118</v>
      </c>
      <c r="J1393" s="34" t="n">
        <f aca="false">MAX(1,ROUNDUP(Packages!$O$132/R_PLAT,0))</f>
        <v>1</v>
      </c>
      <c r="K1393" s="34" t="n">
        <f aca="false">IF(J1393=0,0,ROUNDUP(J1393*7/WD,0))</f>
        <v>2</v>
      </c>
      <c r="L1393" s="15" t="s">
        <v>4885</v>
      </c>
      <c r="M1393" s="12"/>
      <c r="N1393" s="12"/>
      <c r="O1393" s="15" t="s">
        <v>4888</v>
      </c>
      <c r="P1393" s="16" t="n">
        <f aca="false">MAX(Q1392,P1383)</f>
        <v>46478</v>
      </c>
      <c r="Q1393" s="16" t="n">
        <f aca="false">P1393+K1393</f>
        <v>46480</v>
      </c>
      <c r="R1393" s="12"/>
      <c r="S1393" s="12"/>
    </row>
    <row r="1394" customFormat="false" ht="15" hidden="false" customHeight="false" outlineLevel="0" collapsed="false">
      <c r="A1394" s="15" t="s">
        <v>4889</v>
      </c>
      <c r="B1394" s="15" t="s">
        <v>4886</v>
      </c>
      <c r="C1394" s="15" t="s">
        <v>400</v>
      </c>
      <c r="D1394" s="15" t="s">
        <v>1341</v>
      </c>
      <c r="E1394" s="15" t="s">
        <v>1442</v>
      </c>
      <c r="F1394" s="15" t="s">
        <v>3005</v>
      </c>
      <c r="G1394" s="15" t="s">
        <v>3006</v>
      </c>
      <c r="H1394" s="33" t="n">
        <f aca="false">Packages!$AC$132</f>
        <v>6</v>
      </c>
      <c r="I1394" s="15" t="s">
        <v>3007</v>
      </c>
      <c r="J1394" s="34" t="n">
        <f aca="false">IF(Packages!$AC$132=0,0,MAX(1,ROUNDUP(Packages!$AC$132/(R_PILE*Fronts!$H$10),0)))</f>
        <v>2</v>
      </c>
      <c r="K1394" s="34" t="n">
        <f aca="false">IF(J1394=0,0,ROUNDUP(J1394*7/WD,0))</f>
        <v>3</v>
      </c>
      <c r="L1394" s="15" t="s">
        <v>4887</v>
      </c>
      <c r="M1394" s="34" t="n">
        <f aca="false">ROUNDUP(K1393*LADDER,0)</f>
        <v>1</v>
      </c>
      <c r="N1394" s="34" t="n">
        <f aca="false">IF(K1394=0,0,FFLAG)</f>
        <v>2</v>
      </c>
      <c r="O1394" s="15" t="s">
        <v>3008</v>
      </c>
      <c r="P1394" s="16" t="n">
        <f aca="false">MAX(P1393+M1394,D_PILEDES)</f>
        <v>46479</v>
      </c>
      <c r="Q1394" s="16" t="n">
        <f aca="false">MAX(P1394+K1394,Q1393+N1394)</f>
        <v>46482</v>
      </c>
      <c r="R1394" s="16" t="n">
        <f aca="false">IF(K1394&gt;0,Q1394,0)</f>
        <v>46482</v>
      </c>
      <c r="S1394" s="12"/>
    </row>
    <row r="1395" customFormat="false" ht="15" hidden="false" customHeight="false" outlineLevel="0" collapsed="false">
      <c r="A1395" s="15" t="s">
        <v>4890</v>
      </c>
      <c r="B1395" s="15" t="s">
        <v>4886</v>
      </c>
      <c r="C1395" s="15" t="s">
        <v>400</v>
      </c>
      <c r="D1395" s="15" t="s">
        <v>1341</v>
      </c>
      <c r="E1395" s="15" t="s">
        <v>1442</v>
      </c>
      <c r="F1395" s="15" t="s">
        <v>3010</v>
      </c>
      <c r="G1395" s="15" t="s">
        <v>3011</v>
      </c>
      <c r="H1395" s="33" t="n">
        <f aca="false">Packages!$AD$132</f>
        <v>11.9999999996157</v>
      </c>
      <c r="I1395" s="15" t="s">
        <v>3012</v>
      </c>
      <c r="J1395" s="34" t="n">
        <f aca="false">IF(Packages!$AD$132=0,0,MAX(1,ROUNDUP(Packages!$AD$132/(R_SHEET*Fronts!$I$10),0)))</f>
        <v>1</v>
      </c>
      <c r="K1395" s="34" t="n">
        <f aca="false">IF(J1395=0,0,ROUNDUP(J1395*7/WD,0))</f>
        <v>2</v>
      </c>
      <c r="L1395" s="15" t="s">
        <v>4889</v>
      </c>
      <c r="M1395" s="34" t="n">
        <f aca="false">ROUNDUP(K1394*LADDER,0)</f>
        <v>1</v>
      </c>
      <c r="N1395" s="34" t="n">
        <f aca="false">IF(K1395=0,0,FFLAG)</f>
        <v>2</v>
      </c>
      <c r="O1395" s="15"/>
      <c r="P1395" s="16" t="n">
        <f aca="false">MAX(P1394+M1395)</f>
        <v>46480</v>
      </c>
      <c r="Q1395" s="16" t="n">
        <f aca="false">MAX(P1395+K1395,Q1394+N1395)</f>
        <v>46484</v>
      </c>
      <c r="R1395" s="16" t="n">
        <f aca="false">IF(K1395&gt;0,Q1395,0)</f>
        <v>46484</v>
      </c>
      <c r="S1395" s="12"/>
    </row>
    <row r="1396" customFormat="false" ht="15" hidden="false" customHeight="false" outlineLevel="0" collapsed="false">
      <c r="A1396" s="15" t="s">
        <v>4891</v>
      </c>
      <c r="B1396" s="15" t="s">
        <v>4886</v>
      </c>
      <c r="C1396" s="15" t="s">
        <v>400</v>
      </c>
      <c r="D1396" s="15" t="s">
        <v>1341</v>
      </c>
      <c r="E1396" s="15" t="s">
        <v>1442</v>
      </c>
      <c r="F1396" s="15" t="s">
        <v>3014</v>
      </c>
      <c r="G1396" s="15" t="s">
        <v>3015</v>
      </c>
      <c r="H1396" s="33" t="n">
        <f aca="false">Packages!$O$132</f>
        <v>5.99999999980784</v>
      </c>
      <c r="I1396" s="15" t="s">
        <v>118</v>
      </c>
      <c r="J1396" s="34" t="n">
        <f aca="false">IF(Packages!$AG$132=0,0,ROUNDUP(Packages!$O$132/R_DW,0)+DW_DRAW)</f>
        <v>8</v>
      </c>
      <c r="K1396" s="34" t="n">
        <f aca="false">IF(J1396=0,0,ROUNDUP(J1396*7/WD,0))</f>
        <v>10</v>
      </c>
      <c r="L1396" s="15" t="s">
        <v>4890</v>
      </c>
      <c r="M1396" s="34" t="n">
        <f aca="false">ROUNDUP(K1395*LADDER,0)</f>
        <v>1</v>
      </c>
      <c r="N1396" s="34" t="n">
        <f aca="false">IF(K1396=0,0,FFLAG)</f>
        <v>2</v>
      </c>
      <c r="O1396" s="15"/>
      <c r="P1396" s="16" t="n">
        <f aca="false">MAX(P1395+M1396)</f>
        <v>46481</v>
      </c>
      <c r="Q1396" s="16" t="n">
        <f aca="false">MAX(P1396+K1396,Q1395+N1396)</f>
        <v>46491</v>
      </c>
      <c r="R1396" s="12"/>
      <c r="S1396" s="12"/>
    </row>
    <row r="1397" customFormat="false" ht="15" hidden="false" customHeight="false" outlineLevel="0" collapsed="false">
      <c r="A1397" s="15" t="s">
        <v>4892</v>
      </c>
      <c r="B1397" s="15" t="s">
        <v>4886</v>
      </c>
      <c r="C1397" s="15" t="s">
        <v>400</v>
      </c>
      <c r="D1397" s="15" t="s">
        <v>1341</v>
      </c>
      <c r="E1397" s="15" t="s">
        <v>1442</v>
      </c>
      <c r="F1397" s="15" t="s">
        <v>3017</v>
      </c>
      <c r="G1397" s="15" t="s">
        <v>3018</v>
      </c>
      <c r="H1397" s="33" t="n">
        <f aca="false">Packages!$X$132+Packages!$Y$132</f>
        <v>61.1999999980399</v>
      </c>
      <c r="I1397" s="15" t="s">
        <v>3019</v>
      </c>
      <c r="J1397" s="34" t="n">
        <f aca="false">MAX(1,ROUNDUP((Packages!$X$132/R_EXS+Packages!$Y$132/R_EXO)/Fronts!$J$10,0))</f>
        <v>1</v>
      </c>
      <c r="K1397" s="34" t="n">
        <f aca="false">IF(J1397=0,0,ROUNDUP(J1397*7/WD,0))</f>
        <v>2</v>
      </c>
      <c r="L1397" s="15" t="s">
        <v>4891</v>
      </c>
      <c r="M1397" s="34" t="n">
        <f aca="false">IF(K1396=0,0,ROUNDUP((K1396-ROUNDUP(DW_DRAW*7/WD,0))*LADDER,0)+ROUNDUP(DW_DRAW*7/WD,0))</f>
        <v>10</v>
      </c>
      <c r="N1397" s="34" t="n">
        <f aca="false">IF(K1397=0,0,FFLAG)</f>
        <v>2</v>
      </c>
      <c r="O1397" s="15"/>
      <c r="P1397" s="16" t="n">
        <f aca="false">MAX(P1396+M1397)</f>
        <v>46491</v>
      </c>
      <c r="Q1397" s="16" t="n">
        <f aca="false">MAX(P1397+K1397,Q1396+N1397)</f>
        <v>46493</v>
      </c>
      <c r="R1397" s="16" t="n">
        <f aca="false">IF(K1397&gt;0,Q1397,0)</f>
        <v>46493</v>
      </c>
      <c r="S1397" s="12"/>
    </row>
    <row r="1398" customFormat="false" ht="15" hidden="false" customHeight="false" outlineLevel="0" collapsed="false">
      <c r="A1398" s="15" t="s">
        <v>4893</v>
      </c>
      <c r="B1398" s="15" t="s">
        <v>4886</v>
      </c>
      <c r="C1398" s="15" t="s">
        <v>400</v>
      </c>
      <c r="D1398" s="15" t="s">
        <v>1341</v>
      </c>
      <c r="E1398" s="15" t="s">
        <v>1442</v>
      </c>
      <c r="F1398" s="15" t="s">
        <v>3022</v>
      </c>
      <c r="G1398" s="15" t="s">
        <v>3023</v>
      </c>
      <c r="H1398" s="33" t="n">
        <f aca="false">Packages!$O$132</f>
        <v>5.99999999980784</v>
      </c>
      <c r="I1398" s="15" t="s">
        <v>118</v>
      </c>
      <c r="J1398" s="34" t="n">
        <f aca="false">MAX(1,ROUNDUP(Packages!$O$132/(R_SLAB*Fronts!$K$10),0))+SLAB_CURE</f>
        <v>4</v>
      </c>
      <c r="K1398" s="34" t="n">
        <f aca="false">IF(J1398=0,0,ROUNDUP(J1398*7/WD,0))</f>
        <v>5</v>
      </c>
      <c r="L1398" s="15" t="s">
        <v>4892</v>
      </c>
      <c r="M1398" s="34" t="n">
        <f aca="false">ROUNDUP(K1397*LADDER,0)</f>
        <v>1</v>
      </c>
      <c r="N1398" s="34" t="n">
        <f aca="false">IF(K1398=0,0,FFLAG)</f>
        <v>2</v>
      </c>
      <c r="O1398" s="15"/>
      <c r="P1398" s="16" t="n">
        <f aca="false">MAX(P1397+M1398)</f>
        <v>46492</v>
      </c>
      <c r="Q1398" s="16" t="n">
        <f aca="false">MAX(P1398+K1398,Q1397+N1398)</f>
        <v>46497</v>
      </c>
      <c r="R1398" s="16" t="n">
        <f aca="false">IF(K1398&gt;0,Q1398,0)</f>
        <v>46497</v>
      </c>
      <c r="S1398" s="12"/>
    </row>
    <row r="1399" customFormat="false" ht="15" hidden="false" customHeight="false" outlineLevel="0" collapsed="false">
      <c r="A1399" s="15" t="s">
        <v>4894</v>
      </c>
      <c r="B1399" s="15" t="s">
        <v>4886</v>
      </c>
      <c r="C1399" s="15" t="s">
        <v>400</v>
      </c>
      <c r="D1399" s="15" t="s">
        <v>1341</v>
      </c>
      <c r="E1399" s="15" t="s">
        <v>1442</v>
      </c>
      <c r="F1399" s="15" t="s">
        <v>3025</v>
      </c>
      <c r="G1399" s="15" t="s">
        <v>3026</v>
      </c>
      <c r="H1399" s="33" t="n">
        <f aca="false">Packages!$O$132</f>
        <v>5.99999999980784</v>
      </c>
      <c r="I1399" s="15" t="s">
        <v>118</v>
      </c>
      <c r="J1399" s="34" t="n">
        <f aca="false">MAX(1,ROUNDUP(Packages!$O$132/(IF(Packages!$N$132&gt;=PIPE_T1,R_PIPE_L,IF(Packages!$N$132&gt;=PIPE_T2,R_PIPE_M,R_PIPE_S))*Fronts!$L$10)+Packages!$M$132*FIT_D+IF(Packages!$G$132&lt;&gt;"Run",TIE_D,0),0))</f>
        <v>4</v>
      </c>
      <c r="K1399" s="34" t="n">
        <f aca="false">IF(J1399=0,0,ROUNDUP(J1399*7/WD,0))</f>
        <v>5</v>
      </c>
      <c r="L1399" s="15" t="s">
        <v>4893</v>
      </c>
      <c r="M1399" s="34" t="n">
        <f aca="false">ROUNDUP(K1398*LADDER,0)</f>
        <v>2</v>
      </c>
      <c r="N1399" s="34" t="n">
        <f aca="false">IF(K1399=0,0,FFLAG)</f>
        <v>2</v>
      </c>
      <c r="O1399" s="15" t="s">
        <v>4895</v>
      </c>
      <c r="P1399" s="16" t="n">
        <f aca="false">MAX(P1398+M1399,Q1388)</f>
        <v>46555</v>
      </c>
      <c r="Q1399" s="16" t="n">
        <f aca="false">MAX(P1399+K1399,Q1398+N1399)</f>
        <v>46560</v>
      </c>
      <c r="R1399" s="16" t="n">
        <f aca="false">IF(K1399&gt;0,Q1399,0)</f>
        <v>46560</v>
      </c>
      <c r="S1399" s="12"/>
    </row>
    <row r="1400" customFormat="false" ht="15" hidden="false" customHeight="false" outlineLevel="0" collapsed="false">
      <c r="A1400" s="15" t="s">
        <v>4896</v>
      </c>
      <c r="B1400" s="15" t="s">
        <v>4886</v>
      </c>
      <c r="C1400" s="15" t="s">
        <v>400</v>
      </c>
      <c r="D1400" s="15" t="s">
        <v>1341</v>
      </c>
      <c r="E1400" s="15" t="s">
        <v>1442</v>
      </c>
      <c r="F1400" s="15" t="s">
        <v>3028</v>
      </c>
      <c r="G1400" s="15" t="s">
        <v>3029</v>
      </c>
      <c r="H1400" s="33" t="n">
        <f aca="false">Packages!$O$132</f>
        <v>5.99999999980784</v>
      </c>
      <c r="I1400" s="15" t="s">
        <v>118</v>
      </c>
      <c r="J1400" s="34" t="n">
        <f aca="false">TEST_D+ROUNDUP(Packages!$O$132/R_TEST,0)</f>
        <v>3</v>
      </c>
      <c r="K1400" s="34" t="n">
        <f aca="false">IF(J1400=0,0,ROUNDUP(J1400*7/WD,0))</f>
        <v>4</v>
      </c>
      <c r="L1400" s="15" t="s">
        <v>4894</v>
      </c>
      <c r="M1400" s="34" t="n">
        <f aca="false">ROUNDUP(K1399*LADDER,0)</f>
        <v>2</v>
      </c>
      <c r="N1400" s="34" t="n">
        <f aca="false">IF(K1400=0,0,FFLAG)</f>
        <v>2</v>
      </c>
      <c r="O1400" s="15"/>
      <c r="P1400" s="16" t="n">
        <f aca="false">MAX(P1399+M1400)</f>
        <v>46557</v>
      </c>
      <c r="Q1400" s="16" t="n">
        <f aca="false">MAX(P1400+K1400,Q1399+N1400)</f>
        <v>46562</v>
      </c>
      <c r="R1400" s="12"/>
      <c r="S1400" s="12"/>
    </row>
    <row r="1401" customFormat="false" ht="15" hidden="false" customHeight="false" outlineLevel="0" collapsed="false">
      <c r="A1401" s="15" t="s">
        <v>4897</v>
      </c>
      <c r="B1401" s="15" t="s">
        <v>4886</v>
      </c>
      <c r="C1401" s="15" t="s">
        <v>400</v>
      </c>
      <c r="D1401" s="15" t="s">
        <v>1341</v>
      </c>
      <c r="E1401" s="15" t="s">
        <v>1442</v>
      </c>
      <c r="F1401" s="15" t="s">
        <v>3031</v>
      </c>
      <c r="G1401" s="15" t="s">
        <v>3032</v>
      </c>
      <c r="H1401" s="33" t="n">
        <f aca="false">Packages!$AB$132</f>
        <v>50.4876110179983</v>
      </c>
      <c r="I1401" s="15" t="s">
        <v>3019</v>
      </c>
      <c r="J1401" s="34" t="n">
        <f aca="false">MAX(1,ROUNDUP(Packages!$AB$132/(R_BF*Fronts!$M$10),0))</f>
        <v>1</v>
      </c>
      <c r="K1401" s="34" t="n">
        <f aca="false">IF(J1401=0,0,ROUNDUP(J1401*7/WD,0))</f>
        <v>2</v>
      </c>
      <c r="L1401" s="15" t="s">
        <v>4896</v>
      </c>
      <c r="M1401" s="34" t="n">
        <f aca="false">ROUNDUP(K1400*LADDER,0)</f>
        <v>2</v>
      </c>
      <c r="N1401" s="34" t="n">
        <f aca="false">IF(K1401=0,0,FFLAG)</f>
        <v>2</v>
      </c>
      <c r="O1401" s="15" t="s">
        <v>4883</v>
      </c>
      <c r="P1401" s="16" t="n">
        <f aca="false">MAX(P1400+M1401,Q1410)</f>
        <v>46559</v>
      </c>
      <c r="Q1401" s="16" t="n">
        <f aca="false">MAX(P1401+K1401,Q1400+N1401)</f>
        <v>46564</v>
      </c>
      <c r="R1401" s="16" t="n">
        <f aca="false">IF(K1401&gt;0,Q1401,0)</f>
        <v>46564</v>
      </c>
      <c r="S1401" s="12"/>
    </row>
    <row r="1402" customFormat="false" ht="15" hidden="false" customHeight="false" outlineLevel="0" collapsed="false">
      <c r="A1402" s="15" t="s">
        <v>4898</v>
      </c>
      <c r="B1402" s="15" t="s">
        <v>4886</v>
      </c>
      <c r="C1402" s="15" t="s">
        <v>400</v>
      </c>
      <c r="D1402" s="15" t="s">
        <v>1341</v>
      </c>
      <c r="E1402" s="15" t="s">
        <v>1442</v>
      </c>
      <c r="F1402" s="15" t="s">
        <v>3034</v>
      </c>
      <c r="G1402" s="15" t="s">
        <v>3035</v>
      </c>
      <c r="H1402" s="33" t="n">
        <f aca="false">Packages!$AD$132</f>
        <v>11.9999999996157</v>
      </c>
      <c r="I1402" s="15" t="s">
        <v>3012</v>
      </c>
      <c r="J1402" s="34" t="n">
        <f aca="false">IF(Packages!$AD$132&gt;0,ROUNDUP(Packages!$AD$132/R_EXT,0),0)+IF(Packages!$AG$132&gt;0,1,0)</f>
        <v>2</v>
      </c>
      <c r="K1402" s="34" t="n">
        <f aca="false">IF(J1402=0,0,ROUNDUP(J1402*7/WD,0))</f>
        <v>3</v>
      </c>
      <c r="L1402" s="15" t="s">
        <v>4897</v>
      </c>
      <c r="M1402" s="34" t="n">
        <f aca="false">ROUNDUP(K1401*LADDER,0)</f>
        <v>1</v>
      </c>
      <c r="N1402" s="34" t="n">
        <f aca="false">IF(K1402=0,0,FFLAG)</f>
        <v>2</v>
      </c>
      <c r="O1402" s="15"/>
      <c r="P1402" s="16" t="n">
        <f aca="false">MAX(P1401+M1402)</f>
        <v>46560</v>
      </c>
      <c r="Q1402" s="16" t="n">
        <f aca="false">MAX(P1402+K1402,Q1401+N1402)</f>
        <v>46566</v>
      </c>
      <c r="R1402" s="12"/>
      <c r="S1402" s="12"/>
    </row>
    <row r="1403" customFormat="false" ht="15" hidden="false" customHeight="false" outlineLevel="0" collapsed="false">
      <c r="A1403" s="15" t="s">
        <v>4899</v>
      </c>
      <c r="B1403" s="15" t="s">
        <v>4900</v>
      </c>
      <c r="C1403" s="15" t="s">
        <v>400</v>
      </c>
      <c r="D1403" s="15" t="s">
        <v>1792</v>
      </c>
      <c r="E1403" s="15" t="s">
        <v>1793</v>
      </c>
      <c r="F1403" s="15" t="s">
        <v>2998</v>
      </c>
      <c r="G1403" s="15" t="s">
        <v>2999</v>
      </c>
      <c r="H1403" s="12"/>
      <c r="I1403" s="12"/>
      <c r="J1403" s="34" t="n">
        <f aca="false">0</f>
        <v>0</v>
      </c>
      <c r="K1403" s="34" t="n">
        <f aca="false">IF(J1403=0,0,ROUNDUP(J1403*7/WD,0))</f>
        <v>0</v>
      </c>
      <c r="L1403" s="12"/>
      <c r="M1403" s="12"/>
      <c r="N1403" s="12"/>
      <c r="O1403" s="15" t="s">
        <v>3038</v>
      </c>
      <c r="P1403" s="16" t="n">
        <f aca="false">MAX(START,D_DLU,Packages!$I$133,Packages!$K$133)</f>
        <v>46357</v>
      </c>
      <c r="Q1403" s="16" t="n">
        <f aca="false">P1403+K1403</f>
        <v>46357</v>
      </c>
      <c r="R1403" s="12"/>
      <c r="S1403" s="12"/>
    </row>
    <row r="1404" customFormat="false" ht="15" hidden="false" customHeight="false" outlineLevel="0" collapsed="false">
      <c r="A1404" s="15" t="s">
        <v>4901</v>
      </c>
      <c r="B1404" s="15" t="s">
        <v>4900</v>
      </c>
      <c r="C1404" s="15" t="s">
        <v>400</v>
      </c>
      <c r="D1404" s="15" t="s">
        <v>1792</v>
      </c>
      <c r="E1404" s="15" t="s">
        <v>1793</v>
      </c>
      <c r="F1404" s="15" t="s">
        <v>3002</v>
      </c>
      <c r="G1404" s="15" t="s">
        <v>205</v>
      </c>
      <c r="H1404" s="33" t="n">
        <f aca="false">Packages!$O$133</f>
        <v>36.3001316189151</v>
      </c>
      <c r="I1404" s="15" t="s">
        <v>118</v>
      </c>
      <c r="J1404" s="34" t="n">
        <f aca="false">MAX(1,ROUNDUP(Packages!$O$133/R_PLAT,0))</f>
        <v>1</v>
      </c>
      <c r="K1404" s="34" t="n">
        <f aca="false">IF(J1404=0,0,ROUNDUP(J1404*7/WD,0))</f>
        <v>2</v>
      </c>
      <c r="L1404" s="15" t="s">
        <v>4899</v>
      </c>
      <c r="M1404" s="12"/>
      <c r="N1404" s="12"/>
      <c r="O1404" s="15" t="s">
        <v>3003</v>
      </c>
      <c r="P1404" s="16" t="n">
        <f aca="false">MAX(Q1403)</f>
        <v>46357</v>
      </c>
      <c r="Q1404" s="16" t="n">
        <f aca="false">P1404+K1404</f>
        <v>46359</v>
      </c>
      <c r="R1404" s="12"/>
      <c r="S1404" s="12"/>
    </row>
    <row r="1405" customFormat="false" ht="15" hidden="false" customHeight="false" outlineLevel="0" collapsed="false">
      <c r="A1405" s="15" t="s">
        <v>4902</v>
      </c>
      <c r="B1405" s="15" t="s">
        <v>4900</v>
      </c>
      <c r="C1405" s="15" t="s">
        <v>400</v>
      </c>
      <c r="D1405" s="15" t="s">
        <v>1792</v>
      </c>
      <c r="E1405" s="15" t="s">
        <v>1793</v>
      </c>
      <c r="F1405" s="15" t="s">
        <v>3005</v>
      </c>
      <c r="G1405" s="15" t="s">
        <v>3006</v>
      </c>
      <c r="H1405" s="33" t="n">
        <f aca="false">Packages!$AC$133</f>
        <v>28</v>
      </c>
      <c r="I1405" s="15" t="s">
        <v>3007</v>
      </c>
      <c r="J1405" s="34" t="n">
        <f aca="false">IF(Packages!$AC$133=0,0,MAX(1,ROUNDUP(Packages!$AC$133/(R_PILE*Fronts!$H$10),0)))</f>
        <v>6</v>
      </c>
      <c r="K1405" s="34" t="n">
        <f aca="false">IF(J1405=0,0,ROUNDUP(J1405*7/WD,0))</f>
        <v>7</v>
      </c>
      <c r="L1405" s="15" t="s">
        <v>4901</v>
      </c>
      <c r="M1405" s="34" t="n">
        <f aca="false">ROUNDUP(K1404*LADDER,0)</f>
        <v>1</v>
      </c>
      <c r="N1405" s="34" t="n">
        <f aca="false">IF(K1405=0,0,FFLAG)</f>
        <v>2</v>
      </c>
      <c r="O1405" s="15" t="s">
        <v>3008</v>
      </c>
      <c r="P1405" s="16" t="n">
        <f aca="false">MAX(P1404+M1405,D_PILEDES)</f>
        <v>46358</v>
      </c>
      <c r="Q1405" s="16" t="n">
        <f aca="false">MAX(P1405+K1405,Q1404+N1405)</f>
        <v>46365</v>
      </c>
      <c r="R1405" s="16" t="n">
        <f aca="false">IF(K1405&gt;0,Q1405,0)</f>
        <v>46365</v>
      </c>
      <c r="S1405" s="12"/>
    </row>
    <row r="1406" customFormat="false" ht="15" hidden="false" customHeight="false" outlineLevel="0" collapsed="false">
      <c r="A1406" s="15" t="s">
        <v>4903</v>
      </c>
      <c r="B1406" s="15" t="s">
        <v>4900</v>
      </c>
      <c r="C1406" s="15" t="s">
        <v>400</v>
      </c>
      <c r="D1406" s="15" t="s">
        <v>1792</v>
      </c>
      <c r="E1406" s="15" t="s">
        <v>1793</v>
      </c>
      <c r="F1406" s="15" t="s">
        <v>3010</v>
      </c>
      <c r="G1406" s="15" t="s">
        <v>3011</v>
      </c>
      <c r="H1406" s="33" t="n">
        <f aca="false">Packages!$AD$133</f>
        <v>52.6002632374929</v>
      </c>
      <c r="I1406" s="15" t="s">
        <v>3012</v>
      </c>
      <c r="J1406" s="34" t="n">
        <f aca="false">IF(Packages!$AD$133=0,0,MAX(1,ROUNDUP(Packages!$AD$133/(R_SHEET*Fronts!$I$10),0)))</f>
        <v>3</v>
      </c>
      <c r="K1406" s="34" t="n">
        <f aca="false">IF(J1406=0,0,ROUNDUP(J1406*7/WD,0))</f>
        <v>4</v>
      </c>
      <c r="L1406" s="15" t="s">
        <v>4902</v>
      </c>
      <c r="M1406" s="34" t="n">
        <f aca="false">ROUNDUP(K1405*LADDER,0)</f>
        <v>3</v>
      </c>
      <c r="N1406" s="34" t="n">
        <f aca="false">IF(K1406=0,0,FFLAG)</f>
        <v>2</v>
      </c>
      <c r="O1406" s="15"/>
      <c r="P1406" s="16" t="n">
        <f aca="false">MAX(P1405+M1406)</f>
        <v>46361</v>
      </c>
      <c r="Q1406" s="16" t="n">
        <f aca="false">MAX(P1406+K1406,Q1405+N1406)</f>
        <v>46367</v>
      </c>
      <c r="R1406" s="16" t="n">
        <f aca="false">IF(K1406&gt;0,Q1406,0)</f>
        <v>46367</v>
      </c>
      <c r="S1406" s="12"/>
    </row>
    <row r="1407" customFormat="false" ht="15" hidden="false" customHeight="false" outlineLevel="0" collapsed="false">
      <c r="A1407" s="15" t="s">
        <v>4904</v>
      </c>
      <c r="B1407" s="15" t="s">
        <v>4900</v>
      </c>
      <c r="C1407" s="15" t="s">
        <v>400</v>
      </c>
      <c r="D1407" s="15" t="s">
        <v>1792</v>
      </c>
      <c r="E1407" s="15" t="s">
        <v>1793</v>
      </c>
      <c r="F1407" s="15" t="s">
        <v>3014</v>
      </c>
      <c r="G1407" s="15" t="s">
        <v>3015</v>
      </c>
      <c r="H1407" s="33" t="n">
        <f aca="false">Packages!$O$133</f>
        <v>36.3001316189151</v>
      </c>
      <c r="I1407" s="15" t="s">
        <v>118</v>
      </c>
      <c r="J1407" s="34" t="n">
        <f aca="false">IF(Packages!$AG$133=0,0,ROUNDUP(Packages!$O$133/R_DW,0)+DW_DRAW)</f>
        <v>8</v>
      </c>
      <c r="K1407" s="34" t="n">
        <f aca="false">IF(J1407=0,0,ROUNDUP(J1407*7/WD,0))</f>
        <v>10</v>
      </c>
      <c r="L1407" s="15" t="s">
        <v>4903</v>
      </c>
      <c r="M1407" s="34" t="n">
        <f aca="false">ROUNDUP(K1406*LADDER,0)</f>
        <v>2</v>
      </c>
      <c r="N1407" s="34" t="n">
        <f aca="false">IF(K1407=0,0,FFLAG)</f>
        <v>2</v>
      </c>
      <c r="O1407" s="15"/>
      <c r="P1407" s="16" t="n">
        <f aca="false">MAX(P1406+M1407)</f>
        <v>46363</v>
      </c>
      <c r="Q1407" s="16" t="n">
        <f aca="false">MAX(P1407+K1407,Q1406+N1407)</f>
        <v>46373</v>
      </c>
      <c r="R1407" s="12"/>
      <c r="S1407" s="12"/>
    </row>
    <row r="1408" customFormat="false" ht="15" hidden="false" customHeight="false" outlineLevel="0" collapsed="false">
      <c r="A1408" s="15" t="s">
        <v>4905</v>
      </c>
      <c r="B1408" s="15" t="s">
        <v>4900</v>
      </c>
      <c r="C1408" s="15" t="s">
        <v>400</v>
      </c>
      <c r="D1408" s="15" t="s">
        <v>1792</v>
      </c>
      <c r="E1408" s="15" t="s">
        <v>1793</v>
      </c>
      <c r="F1408" s="15" t="s">
        <v>3017</v>
      </c>
      <c r="G1408" s="15" t="s">
        <v>3018</v>
      </c>
      <c r="H1408" s="33" t="n">
        <f aca="false">Packages!$X$133+Packages!$Y$133</f>
        <v>376.844773132481</v>
      </c>
      <c r="I1408" s="15" t="s">
        <v>3019</v>
      </c>
      <c r="J1408" s="34" t="n">
        <f aca="false">MAX(1,ROUNDUP((Packages!$X$133/R_EXS+Packages!$Y$133/R_EXO)/Fronts!$J$10,0))</f>
        <v>2</v>
      </c>
      <c r="K1408" s="34" t="n">
        <f aca="false">IF(J1408=0,0,ROUNDUP(J1408*7/WD,0))</f>
        <v>3</v>
      </c>
      <c r="L1408" s="15" t="s">
        <v>4904</v>
      </c>
      <c r="M1408" s="34" t="n">
        <f aca="false">IF(K1407=0,0,ROUNDUP((K1407-ROUNDUP(DW_DRAW*7/WD,0))*LADDER,0)+ROUNDUP(DW_DRAW*7/WD,0))</f>
        <v>10</v>
      </c>
      <c r="N1408" s="34" t="n">
        <f aca="false">IF(K1408=0,0,FFLAG)</f>
        <v>2</v>
      </c>
      <c r="O1408" s="15" t="s">
        <v>4906</v>
      </c>
      <c r="P1408" s="16" t="n">
        <f aca="false">MAX(P1407+M1408,Q1291,P1397,P1386)</f>
        <v>46512</v>
      </c>
      <c r="Q1408" s="16" t="n">
        <f aca="false">MAX(P1408+K1408,Q1407+N1408)</f>
        <v>46515</v>
      </c>
      <c r="R1408" s="16" t="n">
        <f aca="false">IF(K1408&gt;0,Q1408,0)</f>
        <v>46515</v>
      </c>
      <c r="S1408" s="12"/>
    </row>
    <row r="1409" customFormat="false" ht="15" hidden="false" customHeight="false" outlineLevel="0" collapsed="false">
      <c r="A1409" s="15" t="s">
        <v>4907</v>
      </c>
      <c r="B1409" s="15" t="s">
        <v>4900</v>
      </c>
      <c r="C1409" s="15" t="s">
        <v>400</v>
      </c>
      <c r="D1409" s="15" t="s">
        <v>1792</v>
      </c>
      <c r="E1409" s="15" t="s">
        <v>1793</v>
      </c>
      <c r="F1409" s="15" t="s">
        <v>3022</v>
      </c>
      <c r="G1409" s="15" t="s">
        <v>3023</v>
      </c>
      <c r="H1409" s="33" t="n">
        <f aca="false">Packages!$O$133</f>
        <v>36.3001316189151</v>
      </c>
      <c r="I1409" s="15" t="s">
        <v>118</v>
      </c>
      <c r="J1409" s="34" t="n">
        <f aca="false">MAX(1,ROUNDUP(Packages!$O$133/(R_SLAB*Fronts!$K$10),0))+SLAB_CURE</f>
        <v>7</v>
      </c>
      <c r="K1409" s="34" t="n">
        <f aca="false">IF(J1409=0,0,ROUNDUP(J1409*7/WD,0))</f>
        <v>9</v>
      </c>
      <c r="L1409" s="15" t="s">
        <v>4905</v>
      </c>
      <c r="M1409" s="34" t="n">
        <f aca="false">ROUNDUP(K1408*LADDER,0)</f>
        <v>1</v>
      </c>
      <c r="N1409" s="34" t="n">
        <f aca="false">IF(K1409=0,0,FFLAG)</f>
        <v>2</v>
      </c>
      <c r="O1409" s="15"/>
      <c r="P1409" s="16" t="n">
        <f aca="false">MAX(P1408+M1409)</f>
        <v>46513</v>
      </c>
      <c r="Q1409" s="16" t="n">
        <f aca="false">MAX(P1409+K1409,Q1408+N1409)</f>
        <v>46522</v>
      </c>
      <c r="R1409" s="16" t="n">
        <f aca="false">IF(K1409&gt;0,Q1409,0)</f>
        <v>46522</v>
      </c>
      <c r="S1409" s="12"/>
    </row>
    <row r="1410" customFormat="false" ht="15" hidden="false" customHeight="false" outlineLevel="0" collapsed="false">
      <c r="A1410" s="15" t="s">
        <v>4908</v>
      </c>
      <c r="B1410" s="15" t="s">
        <v>4900</v>
      </c>
      <c r="C1410" s="15" t="s">
        <v>400</v>
      </c>
      <c r="D1410" s="15" t="s">
        <v>1792</v>
      </c>
      <c r="E1410" s="15" t="s">
        <v>1793</v>
      </c>
      <c r="F1410" s="15" t="s">
        <v>3025</v>
      </c>
      <c r="G1410" s="15" t="s">
        <v>3026</v>
      </c>
      <c r="H1410" s="33" t="n">
        <f aca="false">Packages!$O$133</f>
        <v>36.3001316189151</v>
      </c>
      <c r="I1410" s="15" t="s">
        <v>118</v>
      </c>
      <c r="J1410" s="34" t="n">
        <f aca="false">MAX(1,ROUNDUP(Packages!$O$133/(IF(Packages!$N$133&gt;=PIPE_T1,R_PIPE_L,IF(Packages!$N$133&gt;=PIPE_T2,R_PIPE_M,R_PIPE_S))*Fronts!$L$10)+Packages!$M$133*FIT_D+IF(Packages!$G$133&lt;&gt;"Run",TIE_D,0),0))</f>
        <v>8</v>
      </c>
      <c r="K1410" s="34" t="n">
        <f aca="false">IF(J1410=0,0,ROUNDUP(J1410*7/WD,0))</f>
        <v>10</v>
      </c>
      <c r="L1410" s="15" t="s">
        <v>4907</v>
      </c>
      <c r="M1410" s="34" t="n">
        <f aca="false">ROUNDUP(K1409*LADDER,0)</f>
        <v>3</v>
      </c>
      <c r="N1410" s="34" t="n">
        <f aca="false">IF(K1410=0,0,FFLAG)</f>
        <v>2</v>
      </c>
      <c r="O1410" s="15"/>
      <c r="P1410" s="16" t="n">
        <f aca="false">MAX(P1409+M1410)</f>
        <v>46516</v>
      </c>
      <c r="Q1410" s="16" t="n">
        <f aca="false">MAX(P1410+K1410,Q1409+N1410)</f>
        <v>46526</v>
      </c>
      <c r="R1410" s="16" t="n">
        <f aca="false">IF(K1410&gt;0,Q1410,0)</f>
        <v>46526</v>
      </c>
      <c r="S1410" s="12"/>
    </row>
    <row r="1411" customFormat="false" ht="15" hidden="false" customHeight="false" outlineLevel="0" collapsed="false">
      <c r="A1411" s="15" t="s">
        <v>4909</v>
      </c>
      <c r="B1411" s="15" t="s">
        <v>4900</v>
      </c>
      <c r="C1411" s="15" t="s">
        <v>400</v>
      </c>
      <c r="D1411" s="15" t="s">
        <v>1792</v>
      </c>
      <c r="E1411" s="15" t="s">
        <v>1793</v>
      </c>
      <c r="F1411" s="15" t="s">
        <v>3028</v>
      </c>
      <c r="G1411" s="15" t="s">
        <v>3029</v>
      </c>
      <c r="H1411" s="33" t="n">
        <f aca="false">Packages!$O$133</f>
        <v>36.3001316189151</v>
      </c>
      <c r="I1411" s="15" t="s">
        <v>118</v>
      </c>
      <c r="J1411" s="34" t="n">
        <f aca="false">TEST_D+ROUNDUP(Packages!$O$133/R_TEST,0)</f>
        <v>3</v>
      </c>
      <c r="K1411" s="34" t="n">
        <f aca="false">IF(J1411=0,0,ROUNDUP(J1411*7/WD,0))</f>
        <v>4</v>
      </c>
      <c r="L1411" s="15" t="s">
        <v>4908</v>
      </c>
      <c r="M1411" s="34" t="n">
        <f aca="false">ROUNDUP(K1410*LADDER,0)</f>
        <v>3</v>
      </c>
      <c r="N1411" s="34" t="n">
        <f aca="false">IF(K1411=0,0,FFLAG)</f>
        <v>2</v>
      </c>
      <c r="O1411" s="15"/>
      <c r="P1411" s="16" t="n">
        <f aca="false">MAX(P1410+M1411)</f>
        <v>46519</v>
      </c>
      <c r="Q1411" s="16" t="n">
        <f aca="false">MAX(P1411+K1411,Q1410+N1411)</f>
        <v>46528</v>
      </c>
      <c r="R1411" s="12"/>
      <c r="S1411" s="12"/>
    </row>
    <row r="1412" customFormat="false" ht="15" hidden="false" customHeight="false" outlineLevel="0" collapsed="false">
      <c r="A1412" s="15" t="s">
        <v>4910</v>
      </c>
      <c r="B1412" s="15" t="s">
        <v>4900</v>
      </c>
      <c r="C1412" s="15" t="s">
        <v>400</v>
      </c>
      <c r="D1412" s="15" t="s">
        <v>1792</v>
      </c>
      <c r="E1412" s="15" t="s">
        <v>1793</v>
      </c>
      <c r="F1412" s="15" t="s">
        <v>3031</v>
      </c>
      <c r="G1412" s="15" t="s">
        <v>3032</v>
      </c>
      <c r="H1412" s="33" t="n">
        <f aca="false">Packages!$AB$133</f>
        <v>267.835626488471</v>
      </c>
      <c r="I1412" s="15" t="s">
        <v>3019</v>
      </c>
      <c r="J1412" s="34" t="n">
        <f aca="false">MAX(1,ROUNDUP(Packages!$AB$133/(R_BF*Fronts!$M$10),0))</f>
        <v>1</v>
      </c>
      <c r="K1412" s="34" t="n">
        <f aca="false">IF(J1412=0,0,ROUNDUP(J1412*7/WD,0))</f>
        <v>2</v>
      </c>
      <c r="L1412" s="15" t="s">
        <v>4909</v>
      </c>
      <c r="M1412" s="34" t="n">
        <f aca="false">ROUNDUP(K1411*LADDER,0)</f>
        <v>2</v>
      </c>
      <c r="N1412" s="34" t="n">
        <f aca="false">IF(K1412=0,0,FFLAG)</f>
        <v>2</v>
      </c>
      <c r="O1412" s="15" t="s">
        <v>4911</v>
      </c>
      <c r="P1412" s="16" t="n">
        <f aca="false">MAX(P1411+M1412,Q1399,Q1388)</f>
        <v>46560</v>
      </c>
      <c r="Q1412" s="16" t="n">
        <f aca="false">MAX(P1412+K1412,Q1411+N1412)</f>
        <v>46562</v>
      </c>
      <c r="R1412" s="16" t="n">
        <f aca="false">IF(K1412&gt;0,Q1412,0)</f>
        <v>46562</v>
      </c>
      <c r="S1412" s="12"/>
    </row>
    <row r="1413" customFormat="false" ht="15" hidden="false" customHeight="false" outlineLevel="0" collapsed="false">
      <c r="A1413" s="15" t="s">
        <v>4912</v>
      </c>
      <c r="B1413" s="15" t="s">
        <v>4900</v>
      </c>
      <c r="C1413" s="15" t="s">
        <v>400</v>
      </c>
      <c r="D1413" s="15" t="s">
        <v>1792</v>
      </c>
      <c r="E1413" s="15" t="s">
        <v>1793</v>
      </c>
      <c r="F1413" s="15" t="s">
        <v>3034</v>
      </c>
      <c r="G1413" s="15" t="s">
        <v>3035</v>
      </c>
      <c r="H1413" s="33" t="n">
        <f aca="false">Packages!$AD$133</f>
        <v>52.6002632374929</v>
      </c>
      <c r="I1413" s="15" t="s">
        <v>3012</v>
      </c>
      <c r="J1413" s="34" t="n">
        <f aca="false">IF(Packages!$AD$133&gt;0,ROUNDUP(Packages!$AD$133/R_EXT,0),0)+IF(Packages!$AG$133&gt;0,1,0)</f>
        <v>3</v>
      </c>
      <c r="K1413" s="34" t="n">
        <f aca="false">IF(J1413=0,0,ROUNDUP(J1413*7/WD,0))</f>
        <v>4</v>
      </c>
      <c r="L1413" s="15" t="s">
        <v>4910</v>
      </c>
      <c r="M1413" s="34" t="n">
        <f aca="false">ROUNDUP(K1412*LADDER,0)</f>
        <v>1</v>
      </c>
      <c r="N1413" s="34" t="n">
        <f aca="false">IF(K1413=0,0,FFLAG)</f>
        <v>2</v>
      </c>
      <c r="O1413" s="15"/>
      <c r="P1413" s="16" t="n">
        <f aca="false">MAX(P1412+M1413)</f>
        <v>46561</v>
      </c>
      <c r="Q1413" s="16" t="n">
        <f aca="false">MAX(P1413+K1413,Q1412+N1413)</f>
        <v>46565</v>
      </c>
      <c r="R1413" s="12"/>
      <c r="S1413" s="12"/>
    </row>
    <row r="1414" customFormat="false" ht="15" hidden="false" customHeight="false" outlineLevel="0" collapsed="false">
      <c r="A1414" s="15" t="s">
        <v>4913</v>
      </c>
      <c r="B1414" s="15" t="s">
        <v>4914</v>
      </c>
      <c r="C1414" s="15" t="s">
        <v>400</v>
      </c>
      <c r="D1414" s="15" t="s">
        <v>1341</v>
      </c>
      <c r="E1414" s="15" t="s">
        <v>1450</v>
      </c>
      <c r="F1414" s="15" t="s">
        <v>2998</v>
      </c>
      <c r="G1414" s="15" t="s">
        <v>2999</v>
      </c>
      <c r="H1414" s="12"/>
      <c r="I1414" s="12"/>
      <c r="J1414" s="34" t="n">
        <f aca="false">0</f>
        <v>0</v>
      </c>
      <c r="K1414" s="34" t="n">
        <f aca="false">IF(J1414=0,0,ROUNDUP(J1414*7/WD,0))</f>
        <v>0</v>
      </c>
      <c r="L1414" s="12"/>
      <c r="M1414" s="12"/>
      <c r="N1414" s="12"/>
      <c r="O1414" s="15" t="s">
        <v>3000</v>
      </c>
      <c r="P1414" s="16" t="n">
        <f aca="false">MAX(START,D_DLU,Packages!$I$134,Packages!$K$134)</f>
        <v>46357</v>
      </c>
      <c r="Q1414" s="16" t="n">
        <f aca="false">P1414+K1414</f>
        <v>46357</v>
      </c>
      <c r="R1414" s="12"/>
      <c r="S1414" s="12"/>
    </row>
    <row r="1415" customFormat="false" ht="15" hidden="false" customHeight="false" outlineLevel="0" collapsed="false">
      <c r="A1415" s="15" t="s">
        <v>4915</v>
      </c>
      <c r="B1415" s="15" t="s">
        <v>4914</v>
      </c>
      <c r="C1415" s="15" t="s">
        <v>400</v>
      </c>
      <c r="D1415" s="15" t="s">
        <v>1341</v>
      </c>
      <c r="E1415" s="15" t="s">
        <v>1450</v>
      </c>
      <c r="F1415" s="15" t="s">
        <v>3002</v>
      </c>
      <c r="G1415" s="15" t="s">
        <v>205</v>
      </c>
      <c r="H1415" s="33" t="n">
        <f aca="false">Packages!$O$134</f>
        <v>18.0999999996207</v>
      </c>
      <c r="I1415" s="15" t="s">
        <v>118</v>
      </c>
      <c r="J1415" s="34" t="n">
        <f aca="false">MAX(1,ROUNDUP(Packages!$O$134/R_PLAT,0))</f>
        <v>1</v>
      </c>
      <c r="K1415" s="34" t="n">
        <f aca="false">IF(J1415=0,0,ROUNDUP(J1415*7/WD,0))</f>
        <v>2</v>
      </c>
      <c r="L1415" s="15" t="s">
        <v>4913</v>
      </c>
      <c r="M1415" s="12"/>
      <c r="N1415" s="12"/>
      <c r="O1415" s="15" t="s">
        <v>4916</v>
      </c>
      <c r="P1415" s="16" t="n">
        <f aca="false">MAX(Q1414,P1383)</f>
        <v>46478</v>
      </c>
      <c r="Q1415" s="16" t="n">
        <f aca="false">P1415+K1415</f>
        <v>46480</v>
      </c>
      <c r="R1415" s="12"/>
      <c r="S1415" s="12"/>
    </row>
    <row r="1416" customFormat="false" ht="15" hidden="false" customHeight="false" outlineLevel="0" collapsed="false">
      <c r="A1416" s="15" t="s">
        <v>4917</v>
      </c>
      <c r="B1416" s="15" t="s">
        <v>4914</v>
      </c>
      <c r="C1416" s="15" t="s">
        <v>400</v>
      </c>
      <c r="D1416" s="15" t="s">
        <v>1341</v>
      </c>
      <c r="E1416" s="15" t="s">
        <v>1450</v>
      </c>
      <c r="F1416" s="15" t="s">
        <v>3005</v>
      </c>
      <c r="G1416" s="15" t="s">
        <v>3006</v>
      </c>
      <c r="H1416" s="33" t="n">
        <f aca="false">Packages!$AC$134</f>
        <v>16</v>
      </c>
      <c r="I1416" s="15" t="s">
        <v>3007</v>
      </c>
      <c r="J1416" s="34" t="n">
        <f aca="false">IF(Packages!$AC$134=0,0,MAX(1,ROUNDUP(Packages!$AC$134/(R_PILE*Fronts!$H$10),0)))</f>
        <v>4</v>
      </c>
      <c r="K1416" s="34" t="n">
        <f aca="false">IF(J1416=0,0,ROUNDUP(J1416*7/WD,0))</f>
        <v>5</v>
      </c>
      <c r="L1416" s="15" t="s">
        <v>4915</v>
      </c>
      <c r="M1416" s="34" t="n">
        <f aca="false">ROUNDUP(K1415*LADDER,0)</f>
        <v>1</v>
      </c>
      <c r="N1416" s="34" t="n">
        <f aca="false">IF(K1416=0,0,FFLAG)</f>
        <v>2</v>
      </c>
      <c r="O1416" s="15" t="s">
        <v>3008</v>
      </c>
      <c r="P1416" s="16" t="n">
        <f aca="false">MAX(P1415+M1416,D_PILEDES,R1383)</f>
        <v>46484</v>
      </c>
      <c r="Q1416" s="16" t="n">
        <f aca="false">MAX(P1416+K1416,Q1415+N1416)</f>
        <v>46489</v>
      </c>
      <c r="R1416" s="16" t="n">
        <f aca="false">IF(K1416&gt;0,Q1416,R1383)</f>
        <v>46489</v>
      </c>
      <c r="S1416" s="15" t="s">
        <v>4874</v>
      </c>
    </row>
    <row r="1417" customFormat="false" ht="15" hidden="false" customHeight="false" outlineLevel="0" collapsed="false">
      <c r="A1417" s="15" t="s">
        <v>4918</v>
      </c>
      <c r="B1417" s="15" t="s">
        <v>4914</v>
      </c>
      <c r="C1417" s="15" t="s">
        <v>400</v>
      </c>
      <c r="D1417" s="15" t="s">
        <v>1341</v>
      </c>
      <c r="E1417" s="15" t="s">
        <v>1450</v>
      </c>
      <c r="F1417" s="15" t="s">
        <v>3010</v>
      </c>
      <c r="G1417" s="15" t="s">
        <v>3011</v>
      </c>
      <c r="H1417" s="33" t="n">
        <f aca="false">Packages!$AD$134</f>
        <v>36.1999999992415</v>
      </c>
      <c r="I1417" s="15" t="s">
        <v>3012</v>
      </c>
      <c r="J1417" s="34" t="n">
        <f aca="false">IF(Packages!$AD$134=0,0,MAX(1,ROUNDUP(Packages!$AD$134/(R_SHEET*Fronts!$I$10),0)))</f>
        <v>2</v>
      </c>
      <c r="K1417" s="34" t="n">
        <f aca="false">IF(J1417=0,0,ROUNDUP(J1417*7/WD,0))</f>
        <v>3</v>
      </c>
      <c r="L1417" s="15" t="s">
        <v>4917</v>
      </c>
      <c r="M1417" s="34" t="n">
        <f aca="false">ROUNDUP(K1416*LADDER,0)</f>
        <v>2</v>
      </c>
      <c r="N1417" s="34" t="n">
        <f aca="false">IF(K1417=0,0,FFLAG)</f>
        <v>2</v>
      </c>
      <c r="O1417" s="15"/>
      <c r="P1417" s="16" t="n">
        <f aca="false">MAX(P1416+M1417,R1384)</f>
        <v>46486</v>
      </c>
      <c r="Q1417" s="16" t="n">
        <f aca="false">MAX(P1417+K1417,Q1416+N1417)</f>
        <v>46491</v>
      </c>
      <c r="R1417" s="16" t="n">
        <f aca="false">IF(K1417&gt;0,Q1417,R1384)</f>
        <v>46491</v>
      </c>
      <c r="S1417" s="15" t="s">
        <v>4875</v>
      </c>
    </row>
    <row r="1418" customFormat="false" ht="15" hidden="false" customHeight="false" outlineLevel="0" collapsed="false">
      <c r="A1418" s="15" t="s">
        <v>4919</v>
      </c>
      <c r="B1418" s="15" t="s">
        <v>4914</v>
      </c>
      <c r="C1418" s="15" t="s">
        <v>400</v>
      </c>
      <c r="D1418" s="15" t="s">
        <v>1341</v>
      </c>
      <c r="E1418" s="15" t="s">
        <v>1450</v>
      </c>
      <c r="F1418" s="15" t="s">
        <v>3014</v>
      </c>
      <c r="G1418" s="15" t="s">
        <v>3015</v>
      </c>
      <c r="H1418" s="33" t="n">
        <f aca="false">Packages!$O$134</f>
        <v>18.0999999996207</v>
      </c>
      <c r="I1418" s="15" t="s">
        <v>118</v>
      </c>
      <c r="J1418" s="34" t="n">
        <f aca="false">IF(Packages!$AG$134=0,0,ROUNDUP(Packages!$O$134/R_DW,0)+DW_DRAW)</f>
        <v>8</v>
      </c>
      <c r="K1418" s="34" t="n">
        <f aca="false">IF(J1418=0,0,ROUNDUP(J1418*7/WD,0))</f>
        <v>10</v>
      </c>
      <c r="L1418" s="15" t="s">
        <v>4918</v>
      </c>
      <c r="M1418" s="34" t="n">
        <f aca="false">ROUNDUP(K1417*LADDER,0)</f>
        <v>1</v>
      </c>
      <c r="N1418" s="34" t="n">
        <f aca="false">IF(K1418=0,0,FFLAG)</f>
        <v>2</v>
      </c>
      <c r="O1418" s="15" t="s">
        <v>4920</v>
      </c>
      <c r="P1418" s="16" t="n">
        <f aca="false">MAX(P1417+M1418,Q1386-K1418)</f>
        <v>46487</v>
      </c>
      <c r="Q1418" s="16" t="n">
        <f aca="false">MAX(P1418+K1418,Q1417+N1418)</f>
        <v>46497</v>
      </c>
      <c r="R1418" s="12"/>
      <c r="S1418" s="12"/>
    </row>
    <row r="1419" customFormat="false" ht="15" hidden="false" customHeight="false" outlineLevel="0" collapsed="false">
      <c r="A1419" s="15" t="s">
        <v>4921</v>
      </c>
      <c r="B1419" s="15" t="s">
        <v>4914</v>
      </c>
      <c r="C1419" s="15" t="s">
        <v>400</v>
      </c>
      <c r="D1419" s="15" t="s">
        <v>1341</v>
      </c>
      <c r="E1419" s="15" t="s">
        <v>1450</v>
      </c>
      <c r="F1419" s="15" t="s">
        <v>3017</v>
      </c>
      <c r="G1419" s="15" t="s">
        <v>3018</v>
      </c>
      <c r="H1419" s="33" t="n">
        <f aca="false">Packages!$X$134+Packages!$Y$134</f>
        <v>289.836315040459</v>
      </c>
      <c r="I1419" s="15" t="s">
        <v>3019</v>
      </c>
      <c r="J1419" s="34" t="n">
        <f aca="false">MAX(1,ROUNDUP((Packages!$X$134/R_EXS+Packages!$Y$134/R_EXO)/Fronts!$J$10,0))</f>
        <v>2</v>
      </c>
      <c r="K1419" s="34" t="n">
        <f aca="false">IF(J1419=0,0,ROUNDUP(J1419*7/WD,0))</f>
        <v>3</v>
      </c>
      <c r="L1419" s="15" t="s">
        <v>4919</v>
      </c>
      <c r="M1419" s="34" t="n">
        <f aca="false">IF(K1418=0,0,ROUNDUP((K1418-ROUNDUP(DW_DRAW*7/WD,0))*LADDER,0)+ROUNDUP(DW_DRAW*7/WD,0))</f>
        <v>10</v>
      </c>
      <c r="N1419" s="34" t="n">
        <f aca="false">IF(K1419=0,0,FFLAG)</f>
        <v>2</v>
      </c>
      <c r="O1419" s="15"/>
      <c r="P1419" s="16" t="n">
        <f aca="false">MAX(P1418+M1419,R1386)</f>
        <v>46497</v>
      </c>
      <c r="Q1419" s="16" t="n">
        <f aca="false">MAX(P1419+K1419,Q1418+N1419)</f>
        <v>46500</v>
      </c>
      <c r="R1419" s="16" t="n">
        <f aca="false">IF(K1419&gt;0,Q1419,R1386)</f>
        <v>46500</v>
      </c>
      <c r="S1419" s="15" t="s">
        <v>4878</v>
      </c>
    </row>
    <row r="1420" customFormat="false" ht="15" hidden="false" customHeight="false" outlineLevel="0" collapsed="false">
      <c r="A1420" s="15" t="s">
        <v>4922</v>
      </c>
      <c r="B1420" s="15" t="s">
        <v>4914</v>
      </c>
      <c r="C1420" s="15" t="s">
        <v>400</v>
      </c>
      <c r="D1420" s="15" t="s">
        <v>1341</v>
      </c>
      <c r="E1420" s="15" t="s">
        <v>1450</v>
      </c>
      <c r="F1420" s="15" t="s">
        <v>3022</v>
      </c>
      <c r="G1420" s="15" t="s">
        <v>3023</v>
      </c>
      <c r="H1420" s="33" t="n">
        <f aca="false">Packages!$O$134</f>
        <v>18.0999999996207</v>
      </c>
      <c r="I1420" s="15" t="s">
        <v>118</v>
      </c>
      <c r="J1420" s="34" t="n">
        <f aca="false">MAX(1,ROUNDUP(Packages!$O$134/(R_SLAB*Fronts!$K$10),0))+SLAB_CURE</f>
        <v>5</v>
      </c>
      <c r="K1420" s="34" t="n">
        <f aca="false">IF(J1420=0,0,ROUNDUP(J1420*7/WD,0))</f>
        <v>6</v>
      </c>
      <c r="L1420" s="15" t="s">
        <v>4921</v>
      </c>
      <c r="M1420" s="34" t="n">
        <f aca="false">ROUNDUP(K1419*LADDER,0)</f>
        <v>1</v>
      </c>
      <c r="N1420" s="34" t="n">
        <f aca="false">IF(K1420=0,0,FFLAG)</f>
        <v>2</v>
      </c>
      <c r="O1420" s="15"/>
      <c r="P1420" s="16" t="n">
        <f aca="false">MAX(P1419+M1420,R1387)</f>
        <v>46553</v>
      </c>
      <c r="Q1420" s="16" t="n">
        <f aca="false">MAX(P1420+K1420,Q1419+N1420)</f>
        <v>46559</v>
      </c>
      <c r="R1420" s="16" t="n">
        <f aca="false">IF(K1420&gt;0,Q1420,R1387)</f>
        <v>46559</v>
      </c>
      <c r="S1420" s="15" t="s">
        <v>4879</v>
      </c>
    </row>
    <row r="1421" customFormat="false" ht="15" hidden="false" customHeight="false" outlineLevel="0" collapsed="false">
      <c r="A1421" s="15" t="s">
        <v>4923</v>
      </c>
      <c r="B1421" s="15" t="s">
        <v>4914</v>
      </c>
      <c r="C1421" s="15" t="s">
        <v>400</v>
      </c>
      <c r="D1421" s="15" t="s">
        <v>1341</v>
      </c>
      <c r="E1421" s="15" t="s">
        <v>1450</v>
      </c>
      <c r="F1421" s="15" t="s">
        <v>3025</v>
      </c>
      <c r="G1421" s="15" t="s">
        <v>3026</v>
      </c>
      <c r="H1421" s="33" t="n">
        <f aca="false">Packages!$O$134</f>
        <v>18.0999999996207</v>
      </c>
      <c r="I1421" s="15" t="s">
        <v>118</v>
      </c>
      <c r="J1421" s="34" t="n">
        <f aca="false">MAX(1,ROUNDUP(Packages!$O$134/(IF(Packages!$N$134&gt;=PIPE_T1,R_PIPE_L,IF(Packages!$N$134&gt;=PIPE_T2,R_PIPE_M,R_PIPE_S))*Fronts!$L$10)+Packages!$M$134*FIT_D+IF(Packages!$G$134&lt;&gt;"Run",TIE_D,0),0))</f>
        <v>1</v>
      </c>
      <c r="K1421" s="34" t="n">
        <f aca="false">IF(J1421=0,0,ROUNDUP(J1421*7/WD,0))</f>
        <v>2</v>
      </c>
      <c r="L1421" s="15" t="s">
        <v>4922</v>
      </c>
      <c r="M1421" s="34" t="n">
        <f aca="false">ROUNDUP(K1420*LADDER,0)</f>
        <v>2</v>
      </c>
      <c r="N1421" s="34" t="n">
        <f aca="false">IF(K1421=0,0,FFLAG)</f>
        <v>2</v>
      </c>
      <c r="O1421" s="15"/>
      <c r="P1421" s="16" t="n">
        <f aca="false">MAX(P1420+M1421,R1388)</f>
        <v>46555</v>
      </c>
      <c r="Q1421" s="16" t="n">
        <f aca="false">MAX(P1421+K1421,Q1420+N1421)</f>
        <v>46561</v>
      </c>
      <c r="R1421" s="16" t="n">
        <f aca="false">IF(K1421&gt;0,Q1421,R1388)</f>
        <v>46561</v>
      </c>
      <c r="S1421" s="15" t="s">
        <v>4880</v>
      </c>
    </row>
    <row r="1422" customFormat="false" ht="15" hidden="false" customHeight="false" outlineLevel="0" collapsed="false">
      <c r="A1422" s="15" t="s">
        <v>4924</v>
      </c>
      <c r="B1422" s="15" t="s">
        <v>4914</v>
      </c>
      <c r="C1422" s="15" t="s">
        <v>400</v>
      </c>
      <c r="D1422" s="15" t="s">
        <v>1341</v>
      </c>
      <c r="E1422" s="15" t="s">
        <v>1450</v>
      </c>
      <c r="F1422" s="15" t="s">
        <v>3028</v>
      </c>
      <c r="G1422" s="15" t="s">
        <v>3029</v>
      </c>
      <c r="H1422" s="33" t="n">
        <f aca="false">Packages!$O$134</f>
        <v>18.0999999996207</v>
      </c>
      <c r="I1422" s="15" t="s">
        <v>118</v>
      </c>
      <c r="J1422" s="34" t="n">
        <f aca="false">TEST_D+ROUNDUP(Packages!$O$134/R_TEST,0)</f>
        <v>3</v>
      </c>
      <c r="K1422" s="34" t="n">
        <f aca="false">IF(J1422=0,0,ROUNDUP(J1422*7/WD,0))</f>
        <v>4</v>
      </c>
      <c r="L1422" s="15" t="s">
        <v>4923</v>
      </c>
      <c r="M1422" s="34" t="n">
        <f aca="false">ROUNDUP(K1421*LADDER,0)</f>
        <v>1</v>
      </c>
      <c r="N1422" s="34" t="n">
        <f aca="false">IF(K1422=0,0,FFLAG)</f>
        <v>2</v>
      </c>
      <c r="O1422" s="15"/>
      <c r="P1422" s="16" t="n">
        <f aca="false">MAX(P1421+M1422)</f>
        <v>46556</v>
      </c>
      <c r="Q1422" s="16" t="n">
        <f aca="false">MAX(P1422+K1422,Q1421+N1422)</f>
        <v>46563</v>
      </c>
      <c r="R1422" s="12"/>
      <c r="S1422" s="12"/>
    </row>
    <row r="1423" customFormat="false" ht="15" hidden="false" customHeight="false" outlineLevel="0" collapsed="false">
      <c r="A1423" s="15" t="s">
        <v>4925</v>
      </c>
      <c r="B1423" s="15" t="s">
        <v>4914</v>
      </c>
      <c r="C1423" s="15" t="s">
        <v>400</v>
      </c>
      <c r="D1423" s="15" t="s">
        <v>1341</v>
      </c>
      <c r="E1423" s="15" t="s">
        <v>1450</v>
      </c>
      <c r="F1423" s="15" t="s">
        <v>3031</v>
      </c>
      <c r="G1423" s="15" t="s">
        <v>3032</v>
      </c>
      <c r="H1423" s="33" t="n">
        <f aca="false">Packages!$AB$134</f>
        <v>201.167160331312</v>
      </c>
      <c r="I1423" s="15" t="s">
        <v>3019</v>
      </c>
      <c r="J1423" s="34" t="n">
        <f aca="false">MAX(1,ROUNDUP(Packages!$AB$134/(R_BF*Fronts!$M$10),0))</f>
        <v>1</v>
      </c>
      <c r="K1423" s="34" t="n">
        <f aca="false">IF(J1423=0,0,ROUNDUP(J1423*7/WD,0))</f>
        <v>2</v>
      </c>
      <c r="L1423" s="15" t="s">
        <v>4924</v>
      </c>
      <c r="M1423" s="34" t="n">
        <f aca="false">ROUNDUP(K1422*LADDER,0)</f>
        <v>2</v>
      </c>
      <c r="N1423" s="34" t="n">
        <f aca="false">IF(K1423=0,0,FFLAG)</f>
        <v>2</v>
      </c>
      <c r="O1423" s="15"/>
      <c r="P1423" s="16" t="n">
        <f aca="false">MAX(P1422+M1423,R1390)</f>
        <v>46559</v>
      </c>
      <c r="Q1423" s="16" t="n">
        <f aca="false">MAX(P1423+K1423,Q1422+N1423)</f>
        <v>46565</v>
      </c>
      <c r="R1423" s="16" t="n">
        <f aca="false">IF(K1423&gt;0,Q1423,R1390)</f>
        <v>46565</v>
      </c>
      <c r="S1423" s="15" t="s">
        <v>4882</v>
      </c>
    </row>
    <row r="1424" customFormat="false" ht="15" hidden="false" customHeight="false" outlineLevel="0" collapsed="false">
      <c r="A1424" s="15" t="s">
        <v>4926</v>
      </c>
      <c r="B1424" s="15" t="s">
        <v>4914</v>
      </c>
      <c r="C1424" s="15" t="s">
        <v>400</v>
      </c>
      <c r="D1424" s="15" t="s">
        <v>1341</v>
      </c>
      <c r="E1424" s="15" t="s">
        <v>1450</v>
      </c>
      <c r="F1424" s="15" t="s">
        <v>3034</v>
      </c>
      <c r="G1424" s="15" t="s">
        <v>3035</v>
      </c>
      <c r="H1424" s="33" t="n">
        <f aca="false">Packages!$AD$134</f>
        <v>36.1999999992415</v>
      </c>
      <c r="I1424" s="15" t="s">
        <v>3012</v>
      </c>
      <c r="J1424" s="34" t="n">
        <f aca="false">IF(Packages!$AD$134&gt;0,ROUNDUP(Packages!$AD$134/R_EXT,0),0)+IF(Packages!$AG$134&gt;0,1,0)</f>
        <v>2</v>
      </c>
      <c r="K1424" s="34" t="n">
        <f aca="false">IF(J1424=0,0,ROUNDUP(J1424*7/WD,0))</f>
        <v>3</v>
      </c>
      <c r="L1424" s="15" t="s">
        <v>4925</v>
      </c>
      <c r="M1424" s="34" t="n">
        <f aca="false">ROUNDUP(K1423*LADDER,0)</f>
        <v>1</v>
      </c>
      <c r="N1424" s="34" t="n">
        <f aca="false">IF(K1424=0,0,FFLAG)</f>
        <v>2</v>
      </c>
      <c r="O1424" s="15"/>
      <c r="P1424" s="16" t="n">
        <f aca="false">MAX(P1423+M1424)</f>
        <v>46560</v>
      </c>
      <c r="Q1424" s="16" t="n">
        <f aca="false">MAX(P1424+K1424,Q1423+N1424)</f>
        <v>46567</v>
      </c>
      <c r="R1424" s="12"/>
      <c r="S1424" s="12"/>
    </row>
    <row r="1425" customFormat="false" ht="15" hidden="false" customHeight="false" outlineLevel="0" collapsed="false">
      <c r="A1425" s="15" t="s">
        <v>4927</v>
      </c>
      <c r="B1425" s="15" t="s">
        <v>4928</v>
      </c>
      <c r="C1425" s="15" t="s">
        <v>400</v>
      </c>
      <c r="D1425" s="15" t="s">
        <v>1293</v>
      </c>
      <c r="E1425" s="15" t="s">
        <v>1314</v>
      </c>
      <c r="F1425" s="15" t="s">
        <v>2998</v>
      </c>
      <c r="G1425" s="15" t="s">
        <v>2999</v>
      </c>
      <c r="H1425" s="12"/>
      <c r="I1425" s="12"/>
      <c r="J1425" s="34" t="n">
        <f aca="false">0</f>
        <v>0</v>
      </c>
      <c r="K1425" s="34" t="n">
        <f aca="false">IF(J1425=0,0,ROUNDUP(J1425*7/WD,0))</f>
        <v>0</v>
      </c>
      <c r="L1425" s="12"/>
      <c r="M1425" s="12"/>
      <c r="N1425" s="12"/>
      <c r="O1425" s="15" t="s">
        <v>3000</v>
      </c>
      <c r="P1425" s="16" t="n">
        <f aca="false">MAX(START,D_DLU,Packages!$I$135,Packages!$K$135)</f>
        <v>46357</v>
      </c>
      <c r="Q1425" s="16" t="n">
        <f aca="false">P1425+K1425</f>
        <v>46357</v>
      </c>
      <c r="R1425" s="12"/>
      <c r="S1425" s="12"/>
    </row>
    <row r="1426" customFormat="false" ht="15" hidden="false" customHeight="false" outlineLevel="0" collapsed="false">
      <c r="A1426" s="15" t="s">
        <v>4929</v>
      </c>
      <c r="B1426" s="15" t="s">
        <v>4928</v>
      </c>
      <c r="C1426" s="15" t="s">
        <v>400</v>
      </c>
      <c r="D1426" s="15" t="s">
        <v>1293</v>
      </c>
      <c r="E1426" s="15" t="s">
        <v>1314</v>
      </c>
      <c r="F1426" s="15" t="s">
        <v>3002</v>
      </c>
      <c r="G1426" s="15" t="s">
        <v>205</v>
      </c>
      <c r="H1426" s="33" t="n">
        <f aca="false">Packages!$O$135</f>
        <v>39.6720293486164</v>
      </c>
      <c r="I1426" s="15" t="s">
        <v>118</v>
      </c>
      <c r="J1426" s="34" t="n">
        <f aca="false">MAX(1,ROUNDUP(Packages!$O$135/R_PLAT,0))</f>
        <v>1</v>
      </c>
      <c r="K1426" s="34" t="n">
        <f aca="false">IF(J1426=0,0,ROUNDUP(J1426*7/WD,0))</f>
        <v>2</v>
      </c>
      <c r="L1426" s="15" t="s">
        <v>4927</v>
      </c>
      <c r="M1426" s="12"/>
      <c r="N1426" s="12"/>
      <c r="O1426" s="15" t="s">
        <v>4930</v>
      </c>
      <c r="P1426" s="16" t="n">
        <f aca="false">MAX(Q1425,P1416)</f>
        <v>46484</v>
      </c>
      <c r="Q1426" s="16" t="n">
        <f aca="false">P1426+K1426</f>
        <v>46486</v>
      </c>
      <c r="R1426" s="12"/>
      <c r="S1426" s="12"/>
    </row>
    <row r="1427" customFormat="false" ht="15" hidden="false" customHeight="false" outlineLevel="0" collapsed="false">
      <c r="A1427" s="15" t="s">
        <v>4931</v>
      </c>
      <c r="B1427" s="15" t="s">
        <v>4928</v>
      </c>
      <c r="C1427" s="15" t="s">
        <v>400</v>
      </c>
      <c r="D1427" s="15" t="s">
        <v>1293</v>
      </c>
      <c r="E1427" s="15" t="s">
        <v>1314</v>
      </c>
      <c r="F1427" s="15" t="s">
        <v>3005</v>
      </c>
      <c r="G1427" s="15" t="s">
        <v>3006</v>
      </c>
      <c r="H1427" s="33" t="n">
        <f aca="false">Packages!$AC$135</f>
        <v>30</v>
      </c>
      <c r="I1427" s="15" t="s">
        <v>3007</v>
      </c>
      <c r="J1427" s="34" t="n">
        <f aca="false">IF(Packages!$AC$135=0,0,MAX(1,ROUNDUP(Packages!$AC$135/(R_PILE*Fronts!$H$10),0)))</f>
        <v>6</v>
      </c>
      <c r="K1427" s="34" t="n">
        <f aca="false">IF(J1427=0,0,ROUNDUP(J1427*7/WD,0))</f>
        <v>7</v>
      </c>
      <c r="L1427" s="15" t="s">
        <v>4929</v>
      </c>
      <c r="M1427" s="34" t="n">
        <f aca="false">ROUNDUP(K1426*LADDER,0)</f>
        <v>1</v>
      </c>
      <c r="N1427" s="34" t="n">
        <f aca="false">IF(K1427=0,0,FFLAG)</f>
        <v>2</v>
      </c>
      <c r="O1427" s="15" t="s">
        <v>3008</v>
      </c>
      <c r="P1427" s="16" t="n">
        <f aca="false">MAX(P1426+M1427,D_PILEDES,R1416)</f>
        <v>46489</v>
      </c>
      <c r="Q1427" s="16" t="n">
        <f aca="false">MAX(P1427+K1427,Q1426+N1427)</f>
        <v>46496</v>
      </c>
      <c r="R1427" s="16" t="n">
        <f aca="false">IF(K1427&gt;0,Q1427,R1416)</f>
        <v>46496</v>
      </c>
      <c r="S1427" s="15" t="s">
        <v>4917</v>
      </c>
    </row>
    <row r="1428" customFormat="false" ht="15" hidden="false" customHeight="false" outlineLevel="0" collapsed="false">
      <c r="A1428" s="15" t="s">
        <v>4932</v>
      </c>
      <c r="B1428" s="15" t="s">
        <v>4928</v>
      </c>
      <c r="C1428" s="15" t="s">
        <v>400</v>
      </c>
      <c r="D1428" s="15" t="s">
        <v>1293</v>
      </c>
      <c r="E1428" s="15" t="s">
        <v>1314</v>
      </c>
      <c r="F1428" s="15" t="s">
        <v>3010</v>
      </c>
      <c r="G1428" s="15" t="s">
        <v>3011</v>
      </c>
      <c r="H1428" s="33" t="n">
        <f aca="false">Packages!$AD$135</f>
        <v>79.3440586972327</v>
      </c>
      <c r="I1428" s="15" t="s">
        <v>3012</v>
      </c>
      <c r="J1428" s="34" t="n">
        <f aca="false">IF(Packages!$AD$135=0,0,MAX(1,ROUNDUP(Packages!$AD$135/(R_SHEET*Fronts!$I$10),0)))</f>
        <v>4</v>
      </c>
      <c r="K1428" s="34" t="n">
        <f aca="false">IF(J1428=0,0,ROUNDUP(J1428*7/WD,0))</f>
        <v>5</v>
      </c>
      <c r="L1428" s="15" t="s">
        <v>4931</v>
      </c>
      <c r="M1428" s="34" t="n">
        <f aca="false">ROUNDUP(K1427*LADDER,0)</f>
        <v>3</v>
      </c>
      <c r="N1428" s="34" t="n">
        <f aca="false">IF(K1428=0,0,FFLAG)</f>
        <v>2</v>
      </c>
      <c r="O1428" s="15"/>
      <c r="P1428" s="16" t="n">
        <f aca="false">MAX(P1427+M1428,R1417)</f>
        <v>46492</v>
      </c>
      <c r="Q1428" s="16" t="n">
        <f aca="false">MAX(P1428+K1428,Q1427+N1428)</f>
        <v>46498</v>
      </c>
      <c r="R1428" s="16" t="n">
        <f aca="false">IF(K1428&gt;0,Q1428,R1417)</f>
        <v>46498</v>
      </c>
      <c r="S1428" s="15" t="s">
        <v>4918</v>
      </c>
    </row>
    <row r="1429" customFormat="false" ht="15" hidden="false" customHeight="false" outlineLevel="0" collapsed="false">
      <c r="A1429" s="15" t="s">
        <v>4933</v>
      </c>
      <c r="B1429" s="15" t="s">
        <v>4928</v>
      </c>
      <c r="C1429" s="15" t="s">
        <v>400</v>
      </c>
      <c r="D1429" s="15" t="s">
        <v>1293</v>
      </c>
      <c r="E1429" s="15" t="s">
        <v>1314</v>
      </c>
      <c r="F1429" s="15" t="s">
        <v>3014</v>
      </c>
      <c r="G1429" s="15" t="s">
        <v>3015</v>
      </c>
      <c r="H1429" s="33" t="n">
        <f aca="false">Packages!$O$135</f>
        <v>39.6720293486164</v>
      </c>
      <c r="I1429" s="15" t="s">
        <v>118</v>
      </c>
      <c r="J1429" s="34" t="n">
        <f aca="false">IF(Packages!$AG$135=0,0,ROUNDUP(Packages!$O$135/R_DW,0)+DW_DRAW)</f>
        <v>8</v>
      </c>
      <c r="K1429" s="34" t="n">
        <f aca="false">IF(J1429=0,0,ROUNDUP(J1429*7/WD,0))</f>
        <v>10</v>
      </c>
      <c r="L1429" s="15" t="s">
        <v>4932</v>
      </c>
      <c r="M1429" s="34" t="n">
        <f aca="false">ROUNDUP(K1428*LADDER,0)</f>
        <v>2</v>
      </c>
      <c r="N1429" s="34" t="n">
        <f aca="false">IF(K1429=0,0,FFLAG)</f>
        <v>2</v>
      </c>
      <c r="O1429" s="15" t="s">
        <v>4934</v>
      </c>
      <c r="P1429" s="16" t="n">
        <f aca="false">MAX(P1428+M1429,Q1419-K1429)</f>
        <v>46494</v>
      </c>
      <c r="Q1429" s="16" t="n">
        <f aca="false">MAX(P1429+K1429,Q1428+N1429)</f>
        <v>46504</v>
      </c>
      <c r="R1429" s="12"/>
      <c r="S1429" s="12"/>
    </row>
    <row r="1430" customFormat="false" ht="15" hidden="false" customHeight="false" outlineLevel="0" collapsed="false">
      <c r="A1430" s="15" t="s">
        <v>4935</v>
      </c>
      <c r="B1430" s="15" t="s">
        <v>4928</v>
      </c>
      <c r="C1430" s="15" t="s">
        <v>400</v>
      </c>
      <c r="D1430" s="15" t="s">
        <v>1293</v>
      </c>
      <c r="E1430" s="15" t="s">
        <v>1314</v>
      </c>
      <c r="F1430" s="15" t="s">
        <v>3017</v>
      </c>
      <c r="G1430" s="15" t="s">
        <v>3018</v>
      </c>
      <c r="H1430" s="33" t="n">
        <f aca="false">Packages!$X$135+Packages!$Y$135</f>
        <v>484.237592104372</v>
      </c>
      <c r="I1430" s="15" t="s">
        <v>3019</v>
      </c>
      <c r="J1430" s="34" t="n">
        <f aca="false">MAX(1,ROUNDUP((Packages!$X$135/R_EXS+Packages!$Y$135/R_EXO)/Fronts!$J$10,0))</f>
        <v>2</v>
      </c>
      <c r="K1430" s="34" t="n">
        <f aca="false">IF(J1430=0,0,ROUNDUP(J1430*7/WD,0))</f>
        <v>3</v>
      </c>
      <c r="L1430" s="15" t="s">
        <v>4933</v>
      </c>
      <c r="M1430" s="34" t="n">
        <f aca="false">IF(K1429=0,0,ROUNDUP((K1429-ROUNDUP(DW_DRAW*7/WD,0))*LADDER,0)+ROUNDUP(DW_DRAW*7/WD,0))</f>
        <v>10</v>
      </c>
      <c r="N1430" s="34" t="n">
        <f aca="false">IF(K1430=0,0,FFLAG)</f>
        <v>2</v>
      </c>
      <c r="O1430" s="15"/>
      <c r="P1430" s="16" t="n">
        <f aca="false">MAX(P1429+M1430,R1419)</f>
        <v>46504</v>
      </c>
      <c r="Q1430" s="16" t="n">
        <f aca="false">MAX(P1430+K1430,Q1429+N1430)</f>
        <v>46507</v>
      </c>
      <c r="R1430" s="16" t="n">
        <f aca="false">IF(K1430&gt;0,Q1430,R1419)</f>
        <v>46507</v>
      </c>
      <c r="S1430" s="15" t="s">
        <v>4921</v>
      </c>
    </row>
    <row r="1431" customFormat="false" ht="15" hidden="false" customHeight="false" outlineLevel="0" collapsed="false">
      <c r="A1431" s="15" t="s">
        <v>4936</v>
      </c>
      <c r="B1431" s="15" t="s">
        <v>4928</v>
      </c>
      <c r="C1431" s="15" t="s">
        <v>400</v>
      </c>
      <c r="D1431" s="15" t="s">
        <v>1293</v>
      </c>
      <c r="E1431" s="15" t="s">
        <v>1314</v>
      </c>
      <c r="F1431" s="15" t="s">
        <v>3022</v>
      </c>
      <c r="G1431" s="15" t="s">
        <v>3023</v>
      </c>
      <c r="H1431" s="33" t="n">
        <f aca="false">Packages!$O$135</f>
        <v>39.6720293486164</v>
      </c>
      <c r="I1431" s="15" t="s">
        <v>118</v>
      </c>
      <c r="J1431" s="34" t="n">
        <f aca="false">MAX(1,ROUNDUP(Packages!$O$135/(R_SLAB*Fronts!$K$10),0))+SLAB_CURE</f>
        <v>7</v>
      </c>
      <c r="K1431" s="34" t="n">
        <f aca="false">IF(J1431=0,0,ROUNDUP(J1431*7/WD,0))</f>
        <v>9</v>
      </c>
      <c r="L1431" s="15" t="s">
        <v>4935</v>
      </c>
      <c r="M1431" s="34" t="n">
        <f aca="false">ROUNDUP(K1430*LADDER,0)</f>
        <v>1</v>
      </c>
      <c r="N1431" s="34" t="n">
        <f aca="false">IF(K1431=0,0,FFLAG)</f>
        <v>2</v>
      </c>
      <c r="O1431" s="15"/>
      <c r="P1431" s="16" t="n">
        <f aca="false">MAX(P1430+M1431,R1420)</f>
        <v>46559</v>
      </c>
      <c r="Q1431" s="16" t="n">
        <f aca="false">MAX(P1431+K1431,Q1430+N1431)</f>
        <v>46568</v>
      </c>
      <c r="R1431" s="16" t="n">
        <f aca="false">IF(K1431&gt;0,Q1431,R1420)</f>
        <v>46568</v>
      </c>
      <c r="S1431" s="15" t="s">
        <v>4922</v>
      </c>
    </row>
    <row r="1432" customFormat="false" ht="15" hidden="false" customHeight="false" outlineLevel="0" collapsed="false">
      <c r="A1432" s="15" t="s">
        <v>4937</v>
      </c>
      <c r="B1432" s="15" t="s">
        <v>4928</v>
      </c>
      <c r="C1432" s="15" t="s">
        <v>400</v>
      </c>
      <c r="D1432" s="15" t="s">
        <v>1293</v>
      </c>
      <c r="E1432" s="15" t="s">
        <v>1314</v>
      </c>
      <c r="F1432" s="15" t="s">
        <v>3025</v>
      </c>
      <c r="G1432" s="15" t="s">
        <v>3026</v>
      </c>
      <c r="H1432" s="33" t="n">
        <f aca="false">Packages!$O$135</f>
        <v>39.6720293486164</v>
      </c>
      <c r="I1432" s="15" t="s">
        <v>118</v>
      </c>
      <c r="J1432" s="34" t="n">
        <f aca="false">MAX(1,ROUNDUP(Packages!$O$135/(IF(Packages!$N$135&gt;=PIPE_T1,R_PIPE_L,IF(Packages!$N$135&gt;=PIPE_T2,R_PIPE_M,R_PIPE_S))*Fronts!$L$10)+Packages!$M$135*FIT_D+IF(Packages!$G$135&lt;&gt;"Run",TIE_D,0),0))</f>
        <v>2</v>
      </c>
      <c r="K1432" s="34" t="n">
        <f aca="false">IF(J1432=0,0,ROUNDUP(J1432*7/WD,0))</f>
        <v>3</v>
      </c>
      <c r="L1432" s="15" t="s">
        <v>4936</v>
      </c>
      <c r="M1432" s="34" t="n">
        <f aca="false">ROUNDUP(K1431*LADDER,0)</f>
        <v>3</v>
      </c>
      <c r="N1432" s="34" t="n">
        <f aca="false">IF(K1432=0,0,FFLAG)</f>
        <v>2</v>
      </c>
      <c r="O1432" s="15"/>
      <c r="P1432" s="16" t="n">
        <f aca="false">MAX(P1431+M1432,R1421)</f>
        <v>46562</v>
      </c>
      <c r="Q1432" s="16" t="n">
        <f aca="false">MAX(P1432+K1432,Q1431+N1432)</f>
        <v>46570</v>
      </c>
      <c r="R1432" s="16" t="n">
        <f aca="false">IF(K1432&gt;0,Q1432,R1421)</f>
        <v>46570</v>
      </c>
      <c r="S1432" s="15" t="s">
        <v>4923</v>
      </c>
    </row>
    <row r="1433" customFormat="false" ht="15" hidden="false" customHeight="false" outlineLevel="0" collapsed="false">
      <c r="A1433" s="15" t="s">
        <v>4938</v>
      </c>
      <c r="B1433" s="15" t="s">
        <v>4928</v>
      </c>
      <c r="C1433" s="15" t="s">
        <v>400</v>
      </c>
      <c r="D1433" s="15" t="s">
        <v>1293</v>
      </c>
      <c r="E1433" s="15" t="s">
        <v>1314</v>
      </c>
      <c r="F1433" s="15" t="s">
        <v>3028</v>
      </c>
      <c r="G1433" s="15" t="s">
        <v>3029</v>
      </c>
      <c r="H1433" s="33" t="n">
        <f aca="false">Packages!$O$135</f>
        <v>39.6720293486164</v>
      </c>
      <c r="I1433" s="15" t="s">
        <v>118</v>
      </c>
      <c r="J1433" s="34" t="n">
        <f aca="false">TEST_D+ROUNDUP(Packages!$O$135/R_TEST,0)</f>
        <v>3</v>
      </c>
      <c r="K1433" s="34" t="n">
        <f aca="false">IF(J1433=0,0,ROUNDUP(J1433*7/WD,0))</f>
        <v>4</v>
      </c>
      <c r="L1433" s="15" t="s">
        <v>4937</v>
      </c>
      <c r="M1433" s="34" t="n">
        <f aca="false">ROUNDUP(K1432*LADDER,0)</f>
        <v>1</v>
      </c>
      <c r="N1433" s="34" t="n">
        <f aca="false">IF(K1433=0,0,FFLAG)</f>
        <v>2</v>
      </c>
      <c r="O1433" s="15"/>
      <c r="P1433" s="16" t="n">
        <f aca="false">MAX(P1432+M1433)</f>
        <v>46563</v>
      </c>
      <c r="Q1433" s="16" t="n">
        <f aca="false">MAX(P1433+K1433,Q1432+N1433)</f>
        <v>46572</v>
      </c>
      <c r="R1433" s="12"/>
      <c r="S1433" s="12"/>
    </row>
    <row r="1434" customFormat="false" ht="15" hidden="false" customHeight="false" outlineLevel="0" collapsed="false">
      <c r="A1434" s="15" t="s">
        <v>4939</v>
      </c>
      <c r="B1434" s="15" t="s">
        <v>4928</v>
      </c>
      <c r="C1434" s="15" t="s">
        <v>400</v>
      </c>
      <c r="D1434" s="15" t="s">
        <v>1293</v>
      </c>
      <c r="E1434" s="15" t="s">
        <v>1314</v>
      </c>
      <c r="F1434" s="15" t="s">
        <v>3031</v>
      </c>
      <c r="G1434" s="15" t="s">
        <v>3032</v>
      </c>
      <c r="H1434" s="33" t="n">
        <f aca="false">Packages!$AB$135</f>
        <v>375.560403327481</v>
      </c>
      <c r="I1434" s="15" t="s">
        <v>3019</v>
      </c>
      <c r="J1434" s="34" t="n">
        <f aca="false">MAX(1,ROUNDUP(Packages!$AB$135/(R_BF*Fronts!$M$10),0))</f>
        <v>2</v>
      </c>
      <c r="K1434" s="34" t="n">
        <f aca="false">IF(J1434=0,0,ROUNDUP(J1434*7/WD,0))</f>
        <v>3</v>
      </c>
      <c r="L1434" s="15" t="s">
        <v>4938</v>
      </c>
      <c r="M1434" s="34" t="n">
        <f aca="false">ROUNDUP(K1433*LADDER,0)</f>
        <v>2</v>
      </c>
      <c r="N1434" s="34" t="n">
        <f aca="false">IF(K1434=0,0,FFLAG)</f>
        <v>2</v>
      </c>
      <c r="O1434" s="15"/>
      <c r="P1434" s="16" t="n">
        <f aca="false">MAX(P1433+M1434,R1423)</f>
        <v>46565</v>
      </c>
      <c r="Q1434" s="16" t="n">
        <f aca="false">MAX(P1434+K1434,Q1433+N1434)</f>
        <v>46574</v>
      </c>
      <c r="R1434" s="16" t="n">
        <f aca="false">IF(K1434&gt;0,Q1434,R1423)</f>
        <v>46574</v>
      </c>
      <c r="S1434" s="15" t="s">
        <v>4925</v>
      </c>
    </row>
    <row r="1435" customFormat="false" ht="15" hidden="false" customHeight="false" outlineLevel="0" collapsed="false">
      <c r="A1435" s="15" t="s">
        <v>4940</v>
      </c>
      <c r="B1435" s="15" t="s">
        <v>4928</v>
      </c>
      <c r="C1435" s="15" t="s">
        <v>400</v>
      </c>
      <c r="D1435" s="15" t="s">
        <v>1293</v>
      </c>
      <c r="E1435" s="15" t="s">
        <v>1314</v>
      </c>
      <c r="F1435" s="15" t="s">
        <v>3034</v>
      </c>
      <c r="G1435" s="15" t="s">
        <v>3035</v>
      </c>
      <c r="H1435" s="33" t="n">
        <f aca="false">Packages!$AD$135</f>
        <v>79.3440586972327</v>
      </c>
      <c r="I1435" s="15" t="s">
        <v>3012</v>
      </c>
      <c r="J1435" s="34" t="n">
        <f aca="false">IF(Packages!$AD$135&gt;0,ROUNDUP(Packages!$AD$135/R_EXT,0),0)+IF(Packages!$AG$135&gt;0,1,0)</f>
        <v>3</v>
      </c>
      <c r="K1435" s="34" t="n">
        <f aca="false">IF(J1435=0,0,ROUNDUP(J1435*7/WD,0))</f>
        <v>4</v>
      </c>
      <c r="L1435" s="15" t="s">
        <v>4939</v>
      </c>
      <c r="M1435" s="34" t="n">
        <f aca="false">ROUNDUP(K1434*LADDER,0)</f>
        <v>1</v>
      </c>
      <c r="N1435" s="34" t="n">
        <f aca="false">IF(K1435=0,0,FFLAG)</f>
        <v>2</v>
      </c>
      <c r="O1435" s="15"/>
      <c r="P1435" s="16" t="n">
        <f aca="false">MAX(P1434+M1435)</f>
        <v>46566</v>
      </c>
      <c r="Q1435" s="16" t="n">
        <f aca="false">MAX(P1435+K1435,Q1434+N1435)</f>
        <v>46576</v>
      </c>
      <c r="R1435" s="12"/>
      <c r="S1435" s="12"/>
    </row>
    <row r="1436" customFormat="false" ht="15" hidden="false" customHeight="false" outlineLevel="0" collapsed="false">
      <c r="A1436" s="15" t="s">
        <v>4941</v>
      </c>
      <c r="B1436" s="15" t="s">
        <v>4942</v>
      </c>
      <c r="C1436" s="15" t="s">
        <v>400</v>
      </c>
      <c r="D1436" s="15" t="s">
        <v>1293</v>
      </c>
      <c r="E1436" s="15" t="s">
        <v>1305</v>
      </c>
      <c r="F1436" s="15" t="s">
        <v>2998</v>
      </c>
      <c r="G1436" s="15" t="s">
        <v>2999</v>
      </c>
      <c r="H1436" s="12"/>
      <c r="I1436" s="12"/>
      <c r="J1436" s="34" t="n">
        <f aca="false">0</f>
        <v>0</v>
      </c>
      <c r="K1436" s="34" t="n">
        <f aca="false">IF(J1436=0,0,ROUNDUP(J1436*7/WD,0))</f>
        <v>0</v>
      </c>
      <c r="L1436" s="12"/>
      <c r="M1436" s="12"/>
      <c r="N1436" s="12"/>
      <c r="O1436" s="15" t="s">
        <v>3000</v>
      </c>
      <c r="P1436" s="16" t="n">
        <f aca="false">MAX(START,D_DLU,Packages!$I$136,Packages!$K$136)</f>
        <v>46357</v>
      </c>
      <c r="Q1436" s="16" t="n">
        <f aca="false">P1436+K1436</f>
        <v>46357</v>
      </c>
      <c r="R1436" s="12"/>
      <c r="S1436" s="12"/>
    </row>
    <row r="1437" customFormat="false" ht="15" hidden="false" customHeight="false" outlineLevel="0" collapsed="false">
      <c r="A1437" s="15" t="s">
        <v>4943</v>
      </c>
      <c r="B1437" s="15" t="s">
        <v>4942</v>
      </c>
      <c r="C1437" s="15" t="s">
        <v>400</v>
      </c>
      <c r="D1437" s="15" t="s">
        <v>1293</v>
      </c>
      <c r="E1437" s="15" t="s">
        <v>1305</v>
      </c>
      <c r="F1437" s="15" t="s">
        <v>3002</v>
      </c>
      <c r="G1437" s="15" t="s">
        <v>205</v>
      </c>
      <c r="H1437" s="33" t="n">
        <f aca="false">Packages!$O$136</f>
        <v>29.7279706511522</v>
      </c>
      <c r="I1437" s="15" t="s">
        <v>118</v>
      </c>
      <c r="J1437" s="34" t="n">
        <f aca="false">MAX(1,ROUNDUP(Packages!$O$136/R_PLAT,0))</f>
        <v>1</v>
      </c>
      <c r="K1437" s="34" t="n">
        <f aca="false">IF(J1437=0,0,ROUNDUP(J1437*7/WD,0))</f>
        <v>2</v>
      </c>
      <c r="L1437" s="15" t="s">
        <v>4941</v>
      </c>
      <c r="M1437" s="12"/>
      <c r="N1437" s="12"/>
      <c r="O1437" s="15" t="s">
        <v>4944</v>
      </c>
      <c r="P1437" s="16" t="n">
        <f aca="false">MAX(Q1436,P1427)</f>
        <v>46489</v>
      </c>
      <c r="Q1437" s="16" t="n">
        <f aca="false">P1437+K1437</f>
        <v>46491</v>
      </c>
      <c r="R1437" s="12"/>
      <c r="S1437" s="12"/>
    </row>
    <row r="1438" customFormat="false" ht="15" hidden="false" customHeight="false" outlineLevel="0" collapsed="false">
      <c r="A1438" s="15" t="s">
        <v>4945</v>
      </c>
      <c r="B1438" s="15" t="s">
        <v>4942</v>
      </c>
      <c r="C1438" s="15" t="s">
        <v>400</v>
      </c>
      <c r="D1438" s="15" t="s">
        <v>1293</v>
      </c>
      <c r="E1438" s="15" t="s">
        <v>1305</v>
      </c>
      <c r="F1438" s="15" t="s">
        <v>3005</v>
      </c>
      <c r="G1438" s="15" t="s">
        <v>3006</v>
      </c>
      <c r="H1438" s="33" t="n">
        <f aca="false">Packages!$AC$136</f>
        <v>22</v>
      </c>
      <c r="I1438" s="15" t="s">
        <v>3007</v>
      </c>
      <c r="J1438" s="34" t="n">
        <f aca="false">IF(Packages!$AC$136=0,0,MAX(1,ROUNDUP(Packages!$AC$136/(R_PILE*Fronts!$H$10),0)))</f>
        <v>5</v>
      </c>
      <c r="K1438" s="34" t="n">
        <f aca="false">IF(J1438=0,0,ROUNDUP(J1438*7/WD,0))</f>
        <v>6</v>
      </c>
      <c r="L1438" s="15" t="s">
        <v>4943</v>
      </c>
      <c r="M1438" s="34" t="n">
        <f aca="false">ROUNDUP(K1437*LADDER,0)</f>
        <v>1</v>
      </c>
      <c r="N1438" s="34" t="n">
        <f aca="false">IF(K1438=0,0,FFLAG)</f>
        <v>2</v>
      </c>
      <c r="O1438" s="15" t="s">
        <v>3008</v>
      </c>
      <c r="P1438" s="16" t="n">
        <f aca="false">MAX(P1437+M1438,D_PILEDES,R1427)</f>
        <v>46496</v>
      </c>
      <c r="Q1438" s="16" t="n">
        <f aca="false">MAX(P1438+K1438,Q1437+N1438)</f>
        <v>46502</v>
      </c>
      <c r="R1438" s="16" t="n">
        <f aca="false">IF(K1438&gt;0,Q1438,R1427)</f>
        <v>46502</v>
      </c>
      <c r="S1438" s="15" t="s">
        <v>4931</v>
      </c>
    </row>
    <row r="1439" customFormat="false" ht="15" hidden="false" customHeight="false" outlineLevel="0" collapsed="false">
      <c r="A1439" s="15" t="s">
        <v>4946</v>
      </c>
      <c r="B1439" s="15" t="s">
        <v>4942</v>
      </c>
      <c r="C1439" s="15" t="s">
        <v>400</v>
      </c>
      <c r="D1439" s="15" t="s">
        <v>1293</v>
      </c>
      <c r="E1439" s="15" t="s">
        <v>1305</v>
      </c>
      <c r="F1439" s="15" t="s">
        <v>3010</v>
      </c>
      <c r="G1439" s="15" t="s">
        <v>3011</v>
      </c>
      <c r="H1439" s="33" t="n">
        <f aca="false">Packages!$AD$136</f>
        <v>59.4559413023043</v>
      </c>
      <c r="I1439" s="15" t="s">
        <v>3012</v>
      </c>
      <c r="J1439" s="34" t="n">
        <f aca="false">IF(Packages!$AD$136=0,0,MAX(1,ROUNDUP(Packages!$AD$136/(R_SHEET*Fronts!$I$10),0)))</f>
        <v>3</v>
      </c>
      <c r="K1439" s="34" t="n">
        <f aca="false">IF(J1439=0,0,ROUNDUP(J1439*7/WD,0))</f>
        <v>4</v>
      </c>
      <c r="L1439" s="15" t="s">
        <v>4945</v>
      </c>
      <c r="M1439" s="34" t="n">
        <f aca="false">ROUNDUP(K1438*LADDER,0)</f>
        <v>2</v>
      </c>
      <c r="N1439" s="34" t="n">
        <f aca="false">IF(K1439=0,0,FFLAG)</f>
        <v>2</v>
      </c>
      <c r="O1439" s="15"/>
      <c r="P1439" s="16" t="n">
        <f aca="false">MAX(P1438+M1439,R1428)</f>
        <v>46498</v>
      </c>
      <c r="Q1439" s="16" t="n">
        <f aca="false">MAX(P1439+K1439,Q1438+N1439)</f>
        <v>46504</v>
      </c>
      <c r="R1439" s="16" t="n">
        <f aca="false">IF(K1439&gt;0,Q1439,R1428)</f>
        <v>46504</v>
      </c>
      <c r="S1439" s="15" t="s">
        <v>4932</v>
      </c>
    </row>
    <row r="1440" customFormat="false" ht="15" hidden="false" customHeight="false" outlineLevel="0" collapsed="false">
      <c r="A1440" s="15" t="s">
        <v>4947</v>
      </c>
      <c r="B1440" s="15" t="s">
        <v>4942</v>
      </c>
      <c r="C1440" s="15" t="s">
        <v>400</v>
      </c>
      <c r="D1440" s="15" t="s">
        <v>1293</v>
      </c>
      <c r="E1440" s="15" t="s">
        <v>1305</v>
      </c>
      <c r="F1440" s="15" t="s">
        <v>3014</v>
      </c>
      <c r="G1440" s="15" t="s">
        <v>3015</v>
      </c>
      <c r="H1440" s="33" t="n">
        <f aca="false">Packages!$O$136</f>
        <v>29.7279706511522</v>
      </c>
      <c r="I1440" s="15" t="s">
        <v>118</v>
      </c>
      <c r="J1440" s="34" t="n">
        <f aca="false">IF(Packages!$AG$136=0,0,ROUNDUP(Packages!$O$136/R_DW,0)+DW_DRAW)</f>
        <v>8</v>
      </c>
      <c r="K1440" s="34" t="n">
        <f aca="false">IF(J1440=0,0,ROUNDUP(J1440*7/WD,0))</f>
        <v>10</v>
      </c>
      <c r="L1440" s="15" t="s">
        <v>4946</v>
      </c>
      <c r="M1440" s="34" t="n">
        <f aca="false">ROUNDUP(K1439*LADDER,0)</f>
        <v>2</v>
      </c>
      <c r="N1440" s="34" t="n">
        <f aca="false">IF(K1440=0,0,FFLAG)</f>
        <v>2</v>
      </c>
      <c r="O1440" s="15" t="s">
        <v>4948</v>
      </c>
      <c r="P1440" s="16" t="n">
        <f aca="false">MAX(P1439+M1440,Q1430-K1440)</f>
        <v>46500</v>
      </c>
      <c r="Q1440" s="16" t="n">
        <f aca="false">MAX(P1440+K1440,Q1439+N1440)</f>
        <v>46510</v>
      </c>
      <c r="R1440" s="12"/>
      <c r="S1440" s="12"/>
    </row>
    <row r="1441" customFormat="false" ht="15" hidden="false" customHeight="false" outlineLevel="0" collapsed="false">
      <c r="A1441" s="15" t="s">
        <v>4949</v>
      </c>
      <c r="B1441" s="15" t="s">
        <v>4942</v>
      </c>
      <c r="C1441" s="15" t="s">
        <v>400</v>
      </c>
      <c r="D1441" s="15" t="s">
        <v>1293</v>
      </c>
      <c r="E1441" s="15" t="s">
        <v>1305</v>
      </c>
      <c r="F1441" s="15" t="s">
        <v>3017</v>
      </c>
      <c r="G1441" s="15" t="s">
        <v>3018</v>
      </c>
      <c r="H1441" s="33" t="n">
        <f aca="false">Packages!$X$136+Packages!$Y$136</f>
        <v>362.814450897028</v>
      </c>
      <c r="I1441" s="15" t="s">
        <v>3019</v>
      </c>
      <c r="J1441" s="34" t="n">
        <f aca="false">MAX(1,ROUNDUP((Packages!$X$136/R_EXS+Packages!$Y$136/R_EXO)/Fronts!$J$10,0))</f>
        <v>2</v>
      </c>
      <c r="K1441" s="34" t="n">
        <f aca="false">IF(J1441=0,0,ROUNDUP(J1441*7/WD,0))</f>
        <v>3</v>
      </c>
      <c r="L1441" s="15" t="s">
        <v>4947</v>
      </c>
      <c r="M1441" s="34" t="n">
        <f aca="false">IF(K1440=0,0,ROUNDUP((K1440-ROUNDUP(DW_DRAW*7/WD,0))*LADDER,0)+ROUNDUP(DW_DRAW*7/WD,0))</f>
        <v>10</v>
      </c>
      <c r="N1441" s="34" t="n">
        <f aca="false">IF(K1441=0,0,FFLAG)</f>
        <v>2</v>
      </c>
      <c r="O1441" s="15"/>
      <c r="P1441" s="16" t="n">
        <f aca="false">MAX(P1440+M1441,R1430)</f>
        <v>46510</v>
      </c>
      <c r="Q1441" s="16" t="n">
        <f aca="false">MAX(P1441+K1441,Q1440+N1441)</f>
        <v>46513</v>
      </c>
      <c r="R1441" s="16" t="n">
        <f aca="false">IF(K1441&gt;0,Q1441,R1430)</f>
        <v>46513</v>
      </c>
      <c r="S1441" s="15" t="s">
        <v>4935</v>
      </c>
    </row>
    <row r="1442" customFormat="false" ht="15" hidden="false" customHeight="false" outlineLevel="0" collapsed="false">
      <c r="A1442" s="15" t="s">
        <v>4950</v>
      </c>
      <c r="B1442" s="15" t="s">
        <v>4942</v>
      </c>
      <c r="C1442" s="15" t="s">
        <v>400</v>
      </c>
      <c r="D1442" s="15" t="s">
        <v>1293</v>
      </c>
      <c r="E1442" s="15" t="s">
        <v>1305</v>
      </c>
      <c r="F1442" s="15" t="s">
        <v>3022</v>
      </c>
      <c r="G1442" s="15" t="s">
        <v>3023</v>
      </c>
      <c r="H1442" s="33" t="n">
        <f aca="false">Packages!$O$136</f>
        <v>29.7279706511522</v>
      </c>
      <c r="I1442" s="15" t="s">
        <v>118</v>
      </c>
      <c r="J1442" s="34" t="n">
        <f aca="false">MAX(1,ROUNDUP(Packages!$O$136/(R_SLAB*Fronts!$K$10),0))+SLAB_CURE</f>
        <v>6</v>
      </c>
      <c r="K1442" s="34" t="n">
        <f aca="false">IF(J1442=0,0,ROUNDUP(J1442*7/WD,0))</f>
        <v>7</v>
      </c>
      <c r="L1442" s="15" t="s">
        <v>4949</v>
      </c>
      <c r="M1442" s="34" t="n">
        <f aca="false">ROUNDUP(K1441*LADDER,0)</f>
        <v>1</v>
      </c>
      <c r="N1442" s="34" t="n">
        <f aca="false">IF(K1442=0,0,FFLAG)</f>
        <v>2</v>
      </c>
      <c r="O1442" s="15"/>
      <c r="P1442" s="16" t="n">
        <f aca="false">MAX(P1441+M1442,R1431)</f>
        <v>46568</v>
      </c>
      <c r="Q1442" s="16" t="n">
        <f aca="false">MAX(P1442+K1442,Q1441+N1442)</f>
        <v>46575</v>
      </c>
      <c r="R1442" s="16" t="n">
        <f aca="false">IF(K1442&gt;0,Q1442,R1431)</f>
        <v>46575</v>
      </c>
      <c r="S1442" s="15" t="s">
        <v>4936</v>
      </c>
    </row>
    <row r="1443" customFormat="false" ht="15" hidden="false" customHeight="false" outlineLevel="0" collapsed="false">
      <c r="A1443" s="15" t="s">
        <v>4951</v>
      </c>
      <c r="B1443" s="15" t="s">
        <v>4942</v>
      </c>
      <c r="C1443" s="15" t="s">
        <v>400</v>
      </c>
      <c r="D1443" s="15" t="s">
        <v>1293</v>
      </c>
      <c r="E1443" s="15" t="s">
        <v>1305</v>
      </c>
      <c r="F1443" s="15" t="s">
        <v>3025</v>
      </c>
      <c r="G1443" s="15" t="s">
        <v>3026</v>
      </c>
      <c r="H1443" s="33" t="n">
        <f aca="false">Packages!$O$136</f>
        <v>29.7279706511522</v>
      </c>
      <c r="I1443" s="15" t="s">
        <v>118</v>
      </c>
      <c r="J1443" s="34" t="n">
        <f aca="false">MAX(1,ROUNDUP(Packages!$O$136/(IF(Packages!$N$136&gt;=PIPE_T1,R_PIPE_L,IF(Packages!$N$136&gt;=PIPE_T2,R_PIPE_M,R_PIPE_S))*Fronts!$L$10)+Packages!$M$136*FIT_D+IF(Packages!$G$136&lt;&gt;"Run",TIE_D,0),0))</f>
        <v>3</v>
      </c>
      <c r="K1443" s="34" t="n">
        <f aca="false">IF(J1443=0,0,ROUNDUP(J1443*7/WD,0))</f>
        <v>4</v>
      </c>
      <c r="L1443" s="15" t="s">
        <v>4950</v>
      </c>
      <c r="M1443" s="34" t="n">
        <f aca="false">ROUNDUP(K1442*LADDER,0)</f>
        <v>3</v>
      </c>
      <c r="N1443" s="34" t="n">
        <f aca="false">IF(K1443=0,0,FFLAG)</f>
        <v>2</v>
      </c>
      <c r="O1443" s="15"/>
      <c r="P1443" s="16" t="n">
        <f aca="false">MAX(P1442+M1443,R1432)</f>
        <v>46571</v>
      </c>
      <c r="Q1443" s="16" t="n">
        <f aca="false">MAX(P1443+K1443,Q1442+N1443)</f>
        <v>46577</v>
      </c>
      <c r="R1443" s="16" t="n">
        <f aca="false">IF(K1443&gt;0,Q1443,R1432)</f>
        <v>46577</v>
      </c>
      <c r="S1443" s="15" t="s">
        <v>4937</v>
      </c>
    </row>
    <row r="1444" customFormat="false" ht="15" hidden="false" customHeight="false" outlineLevel="0" collapsed="false">
      <c r="A1444" s="15" t="s">
        <v>4952</v>
      </c>
      <c r="B1444" s="15" t="s">
        <v>4942</v>
      </c>
      <c r="C1444" s="15" t="s">
        <v>400</v>
      </c>
      <c r="D1444" s="15" t="s">
        <v>1293</v>
      </c>
      <c r="E1444" s="15" t="s">
        <v>1305</v>
      </c>
      <c r="F1444" s="15" t="s">
        <v>3028</v>
      </c>
      <c r="G1444" s="15" t="s">
        <v>3029</v>
      </c>
      <c r="H1444" s="33" t="n">
        <f aca="false">Packages!$O$136</f>
        <v>29.7279706511522</v>
      </c>
      <c r="I1444" s="15" t="s">
        <v>118</v>
      </c>
      <c r="J1444" s="34" t="n">
        <f aca="false">TEST_D+ROUNDUP(Packages!$O$136/R_TEST,0)</f>
        <v>3</v>
      </c>
      <c r="K1444" s="34" t="n">
        <f aca="false">IF(J1444=0,0,ROUNDUP(J1444*7/WD,0))</f>
        <v>4</v>
      </c>
      <c r="L1444" s="15" t="s">
        <v>4951</v>
      </c>
      <c r="M1444" s="34" t="n">
        <f aca="false">ROUNDUP(K1443*LADDER,0)</f>
        <v>2</v>
      </c>
      <c r="N1444" s="34" t="n">
        <f aca="false">IF(K1444=0,0,FFLAG)</f>
        <v>2</v>
      </c>
      <c r="O1444" s="15"/>
      <c r="P1444" s="16" t="n">
        <f aca="false">MAX(P1443+M1444)</f>
        <v>46573</v>
      </c>
      <c r="Q1444" s="16" t="n">
        <f aca="false">MAX(P1444+K1444,Q1443+N1444)</f>
        <v>46579</v>
      </c>
      <c r="R1444" s="12"/>
      <c r="S1444" s="12"/>
    </row>
    <row r="1445" customFormat="false" ht="15" hidden="false" customHeight="false" outlineLevel="0" collapsed="false">
      <c r="A1445" s="15" t="s">
        <v>4953</v>
      </c>
      <c r="B1445" s="15" t="s">
        <v>4942</v>
      </c>
      <c r="C1445" s="15" t="s">
        <v>400</v>
      </c>
      <c r="D1445" s="15" t="s">
        <v>1293</v>
      </c>
      <c r="E1445" s="15" t="s">
        <v>1305</v>
      </c>
      <c r="F1445" s="15" t="s">
        <v>3031</v>
      </c>
      <c r="G1445" s="15" t="s">
        <v>3032</v>
      </c>
      <c r="H1445" s="33" t="n">
        <f aca="false">Packages!$AB$136</f>
        <v>281.40126695655</v>
      </c>
      <c r="I1445" s="15" t="s">
        <v>3019</v>
      </c>
      <c r="J1445" s="34" t="n">
        <f aca="false">MAX(1,ROUNDUP(Packages!$AB$136/(R_BF*Fronts!$M$10),0))</f>
        <v>1</v>
      </c>
      <c r="K1445" s="34" t="n">
        <f aca="false">IF(J1445=0,0,ROUNDUP(J1445*7/WD,0))</f>
        <v>2</v>
      </c>
      <c r="L1445" s="15" t="s">
        <v>4952</v>
      </c>
      <c r="M1445" s="34" t="n">
        <f aca="false">ROUNDUP(K1444*LADDER,0)</f>
        <v>2</v>
      </c>
      <c r="N1445" s="34" t="n">
        <f aca="false">IF(K1445=0,0,FFLAG)</f>
        <v>2</v>
      </c>
      <c r="O1445" s="15"/>
      <c r="P1445" s="16" t="n">
        <f aca="false">MAX(P1444+M1445,R1434)</f>
        <v>46575</v>
      </c>
      <c r="Q1445" s="16" t="n">
        <f aca="false">MAX(P1445+K1445,Q1444+N1445)</f>
        <v>46581</v>
      </c>
      <c r="R1445" s="16" t="n">
        <f aca="false">IF(K1445&gt;0,Q1445,R1434)</f>
        <v>46581</v>
      </c>
      <c r="S1445" s="15" t="s">
        <v>4939</v>
      </c>
    </row>
    <row r="1446" customFormat="false" ht="15" hidden="false" customHeight="false" outlineLevel="0" collapsed="false">
      <c r="A1446" s="15" t="s">
        <v>4954</v>
      </c>
      <c r="B1446" s="15" t="s">
        <v>4942</v>
      </c>
      <c r="C1446" s="15" t="s">
        <v>400</v>
      </c>
      <c r="D1446" s="15" t="s">
        <v>1293</v>
      </c>
      <c r="E1446" s="15" t="s">
        <v>1305</v>
      </c>
      <c r="F1446" s="15" t="s">
        <v>3034</v>
      </c>
      <c r="G1446" s="15" t="s">
        <v>3035</v>
      </c>
      <c r="H1446" s="33" t="n">
        <f aca="false">Packages!$AD$136</f>
        <v>59.4559413023043</v>
      </c>
      <c r="I1446" s="15" t="s">
        <v>3012</v>
      </c>
      <c r="J1446" s="34" t="n">
        <f aca="false">IF(Packages!$AD$136&gt;0,ROUNDUP(Packages!$AD$136/R_EXT,0),0)+IF(Packages!$AG$136&gt;0,1,0)</f>
        <v>3</v>
      </c>
      <c r="K1446" s="34" t="n">
        <f aca="false">IF(J1446=0,0,ROUNDUP(J1446*7/WD,0))</f>
        <v>4</v>
      </c>
      <c r="L1446" s="15" t="s">
        <v>4953</v>
      </c>
      <c r="M1446" s="34" t="n">
        <f aca="false">ROUNDUP(K1445*LADDER,0)</f>
        <v>1</v>
      </c>
      <c r="N1446" s="34" t="n">
        <f aca="false">IF(K1446=0,0,FFLAG)</f>
        <v>2</v>
      </c>
      <c r="O1446" s="15"/>
      <c r="P1446" s="16" t="n">
        <f aca="false">MAX(P1445+M1446)</f>
        <v>46576</v>
      </c>
      <c r="Q1446" s="16" t="n">
        <f aca="false">MAX(P1446+K1446,Q1445+N1446)</f>
        <v>46583</v>
      </c>
      <c r="R1446" s="12"/>
      <c r="S1446" s="12"/>
    </row>
    <row r="1447" customFormat="false" ht="15" hidden="false" customHeight="false" outlineLevel="0" collapsed="false">
      <c r="A1447" s="15" t="s">
        <v>4955</v>
      </c>
      <c r="B1447" s="15" t="s">
        <v>4956</v>
      </c>
      <c r="C1447" s="15" t="s">
        <v>400</v>
      </c>
      <c r="D1447" s="15" t="s">
        <v>1293</v>
      </c>
      <c r="E1447" s="15" t="s">
        <v>1296</v>
      </c>
      <c r="F1447" s="15" t="s">
        <v>2998</v>
      </c>
      <c r="G1447" s="15" t="s">
        <v>2999</v>
      </c>
      <c r="H1447" s="12"/>
      <c r="I1447" s="12"/>
      <c r="J1447" s="34" t="n">
        <f aca="false">0</f>
        <v>0</v>
      </c>
      <c r="K1447" s="34" t="n">
        <f aca="false">IF(J1447=0,0,ROUNDUP(J1447*7/WD,0))</f>
        <v>0</v>
      </c>
      <c r="L1447" s="12"/>
      <c r="M1447" s="12"/>
      <c r="N1447" s="12"/>
      <c r="O1447" s="15" t="s">
        <v>3000</v>
      </c>
      <c r="P1447" s="16" t="n">
        <f aca="false">MAX(START,D_DLU,Packages!$I$137,Packages!$K$137)</f>
        <v>46357</v>
      </c>
      <c r="Q1447" s="16" t="n">
        <f aca="false">P1447+K1447</f>
        <v>46357</v>
      </c>
      <c r="R1447" s="12"/>
      <c r="S1447" s="12"/>
    </row>
    <row r="1448" customFormat="false" ht="15" hidden="false" customHeight="false" outlineLevel="0" collapsed="false">
      <c r="A1448" s="15" t="s">
        <v>4957</v>
      </c>
      <c r="B1448" s="15" t="s">
        <v>4956</v>
      </c>
      <c r="C1448" s="15" t="s">
        <v>400</v>
      </c>
      <c r="D1448" s="15" t="s">
        <v>1293</v>
      </c>
      <c r="E1448" s="15" t="s">
        <v>1296</v>
      </c>
      <c r="F1448" s="15" t="s">
        <v>3002</v>
      </c>
      <c r="G1448" s="15" t="s">
        <v>205</v>
      </c>
      <c r="H1448" s="33" t="n">
        <f aca="false">Packages!$O$137</f>
        <v>48.3000000000504</v>
      </c>
      <c r="I1448" s="15" t="s">
        <v>118</v>
      </c>
      <c r="J1448" s="34" t="n">
        <f aca="false">MAX(1,ROUNDUP(Packages!$O$137/R_PLAT,0))</f>
        <v>1</v>
      </c>
      <c r="K1448" s="34" t="n">
        <f aca="false">IF(J1448=0,0,ROUNDUP(J1448*7/WD,0))</f>
        <v>2</v>
      </c>
      <c r="L1448" s="15" t="s">
        <v>4955</v>
      </c>
      <c r="M1448" s="12"/>
      <c r="N1448" s="12"/>
      <c r="O1448" s="15" t="s">
        <v>4958</v>
      </c>
      <c r="P1448" s="16" t="n">
        <f aca="false">MAX(Q1447,P1438)</f>
        <v>46496</v>
      </c>
      <c r="Q1448" s="16" t="n">
        <f aca="false">P1448+K1448</f>
        <v>46498</v>
      </c>
      <c r="R1448" s="12"/>
      <c r="S1448" s="12"/>
    </row>
    <row r="1449" customFormat="false" ht="15" hidden="false" customHeight="false" outlineLevel="0" collapsed="false">
      <c r="A1449" s="15" t="s">
        <v>4959</v>
      </c>
      <c r="B1449" s="15" t="s">
        <v>4956</v>
      </c>
      <c r="C1449" s="15" t="s">
        <v>400</v>
      </c>
      <c r="D1449" s="15" t="s">
        <v>1293</v>
      </c>
      <c r="E1449" s="15" t="s">
        <v>1296</v>
      </c>
      <c r="F1449" s="15" t="s">
        <v>3005</v>
      </c>
      <c r="G1449" s="15" t="s">
        <v>3006</v>
      </c>
      <c r="H1449" s="33" t="n">
        <f aca="false">Packages!$AC$137</f>
        <v>36</v>
      </c>
      <c r="I1449" s="15" t="s">
        <v>3007</v>
      </c>
      <c r="J1449" s="34" t="n">
        <f aca="false">IF(Packages!$AC$137=0,0,MAX(1,ROUNDUP(Packages!$AC$137/(R_PILE*Fronts!$H$10),0)))</f>
        <v>8</v>
      </c>
      <c r="K1449" s="34" t="n">
        <f aca="false">IF(J1449=0,0,ROUNDUP(J1449*7/WD,0))</f>
        <v>10</v>
      </c>
      <c r="L1449" s="15" t="s">
        <v>4957</v>
      </c>
      <c r="M1449" s="34" t="n">
        <f aca="false">ROUNDUP(K1448*LADDER,0)</f>
        <v>1</v>
      </c>
      <c r="N1449" s="34" t="n">
        <f aca="false">IF(K1449=0,0,FFLAG)</f>
        <v>2</v>
      </c>
      <c r="O1449" s="15" t="s">
        <v>3008</v>
      </c>
      <c r="P1449" s="16" t="n">
        <f aca="false">MAX(P1448+M1449,D_PILEDES,R1438)</f>
        <v>46502</v>
      </c>
      <c r="Q1449" s="16" t="n">
        <f aca="false">MAX(P1449+K1449,Q1448+N1449)</f>
        <v>46512</v>
      </c>
      <c r="R1449" s="16" t="n">
        <f aca="false">IF(K1449&gt;0,Q1449,R1438)</f>
        <v>46512</v>
      </c>
      <c r="S1449" s="15" t="s">
        <v>4945</v>
      </c>
    </row>
    <row r="1450" customFormat="false" ht="15" hidden="false" customHeight="false" outlineLevel="0" collapsed="false">
      <c r="A1450" s="15" t="s">
        <v>4960</v>
      </c>
      <c r="B1450" s="15" t="s">
        <v>4956</v>
      </c>
      <c r="C1450" s="15" t="s">
        <v>400</v>
      </c>
      <c r="D1450" s="15" t="s">
        <v>1293</v>
      </c>
      <c r="E1450" s="15" t="s">
        <v>1296</v>
      </c>
      <c r="F1450" s="15" t="s">
        <v>3010</v>
      </c>
      <c r="G1450" s="15" t="s">
        <v>3011</v>
      </c>
      <c r="H1450" s="33" t="n">
        <f aca="false">Packages!$AD$137</f>
        <v>96.6000000001009</v>
      </c>
      <c r="I1450" s="15" t="s">
        <v>3012</v>
      </c>
      <c r="J1450" s="34" t="n">
        <f aca="false">IF(Packages!$AD$137=0,0,MAX(1,ROUNDUP(Packages!$AD$137/(R_SHEET*Fronts!$I$10),0)))</f>
        <v>4</v>
      </c>
      <c r="K1450" s="34" t="n">
        <f aca="false">IF(J1450=0,0,ROUNDUP(J1450*7/WD,0))</f>
        <v>5</v>
      </c>
      <c r="L1450" s="15" t="s">
        <v>4959</v>
      </c>
      <c r="M1450" s="34" t="n">
        <f aca="false">ROUNDUP(K1449*LADDER,0)</f>
        <v>3</v>
      </c>
      <c r="N1450" s="34" t="n">
        <f aca="false">IF(K1450=0,0,FFLAG)</f>
        <v>2</v>
      </c>
      <c r="O1450" s="15"/>
      <c r="P1450" s="16" t="n">
        <f aca="false">MAX(P1449+M1450,R1439)</f>
        <v>46505</v>
      </c>
      <c r="Q1450" s="16" t="n">
        <f aca="false">MAX(P1450+K1450,Q1449+N1450)</f>
        <v>46514</v>
      </c>
      <c r="R1450" s="16" t="n">
        <f aca="false">IF(K1450&gt;0,Q1450,R1439)</f>
        <v>46514</v>
      </c>
      <c r="S1450" s="15" t="s">
        <v>4946</v>
      </c>
    </row>
    <row r="1451" customFormat="false" ht="15" hidden="false" customHeight="false" outlineLevel="0" collapsed="false">
      <c r="A1451" s="15" t="s">
        <v>4961</v>
      </c>
      <c r="B1451" s="15" t="s">
        <v>4956</v>
      </c>
      <c r="C1451" s="15" t="s">
        <v>400</v>
      </c>
      <c r="D1451" s="15" t="s">
        <v>1293</v>
      </c>
      <c r="E1451" s="15" t="s">
        <v>1296</v>
      </c>
      <c r="F1451" s="15" t="s">
        <v>3014</v>
      </c>
      <c r="G1451" s="15" t="s">
        <v>3015</v>
      </c>
      <c r="H1451" s="33" t="n">
        <f aca="false">Packages!$O$137</f>
        <v>48.3000000000504</v>
      </c>
      <c r="I1451" s="15" t="s">
        <v>118</v>
      </c>
      <c r="J1451" s="34" t="n">
        <f aca="false">IF(Packages!$AG$137=0,0,ROUNDUP(Packages!$O$137/R_DW,0)+DW_DRAW)</f>
        <v>9</v>
      </c>
      <c r="K1451" s="34" t="n">
        <f aca="false">IF(J1451=0,0,ROUNDUP(J1451*7/WD,0))</f>
        <v>11</v>
      </c>
      <c r="L1451" s="15" t="s">
        <v>4960</v>
      </c>
      <c r="M1451" s="34" t="n">
        <f aca="false">ROUNDUP(K1450*LADDER,0)</f>
        <v>2</v>
      </c>
      <c r="N1451" s="34" t="n">
        <f aca="false">IF(K1451=0,0,FFLAG)</f>
        <v>2</v>
      </c>
      <c r="O1451" s="15" t="s">
        <v>4962</v>
      </c>
      <c r="P1451" s="16" t="n">
        <f aca="false">MAX(P1450+M1451,Q1441-K1451)</f>
        <v>46507</v>
      </c>
      <c r="Q1451" s="16" t="n">
        <f aca="false">MAX(P1451+K1451,Q1450+N1451)</f>
        <v>46518</v>
      </c>
      <c r="R1451" s="12"/>
      <c r="S1451" s="12"/>
    </row>
    <row r="1452" customFormat="false" ht="15" hidden="false" customHeight="false" outlineLevel="0" collapsed="false">
      <c r="A1452" s="15" t="s">
        <v>4963</v>
      </c>
      <c r="B1452" s="15" t="s">
        <v>4956</v>
      </c>
      <c r="C1452" s="15" t="s">
        <v>400</v>
      </c>
      <c r="D1452" s="15" t="s">
        <v>1293</v>
      </c>
      <c r="E1452" s="15" t="s">
        <v>1296</v>
      </c>
      <c r="F1452" s="15" t="s">
        <v>3017</v>
      </c>
      <c r="G1452" s="15" t="s">
        <v>3018</v>
      </c>
      <c r="H1452" s="33" t="n">
        <f aca="false">Packages!$X$137+Packages!$Y$137</f>
        <v>528.490730127318</v>
      </c>
      <c r="I1452" s="15" t="s">
        <v>3019</v>
      </c>
      <c r="J1452" s="34" t="n">
        <f aca="false">MAX(1,ROUNDUP((Packages!$X$137/R_EXS+Packages!$Y$137/R_EXO)/Fronts!$J$10,0))</f>
        <v>3</v>
      </c>
      <c r="K1452" s="34" t="n">
        <f aca="false">IF(J1452=0,0,ROUNDUP(J1452*7/WD,0))</f>
        <v>4</v>
      </c>
      <c r="L1452" s="15" t="s">
        <v>4961</v>
      </c>
      <c r="M1452" s="34" t="n">
        <f aca="false">IF(K1451=0,0,ROUNDUP((K1451-ROUNDUP(DW_DRAW*7/WD,0))*LADDER,0)+ROUNDUP(DW_DRAW*7/WD,0))</f>
        <v>10</v>
      </c>
      <c r="N1452" s="34" t="n">
        <f aca="false">IF(K1452=0,0,FFLAG)</f>
        <v>2</v>
      </c>
      <c r="O1452" s="15"/>
      <c r="P1452" s="16" t="n">
        <f aca="false">MAX(P1451+M1452,R1441)</f>
        <v>46517</v>
      </c>
      <c r="Q1452" s="16" t="n">
        <f aca="false">MAX(P1452+K1452,Q1451+N1452)</f>
        <v>46521</v>
      </c>
      <c r="R1452" s="16" t="n">
        <f aca="false">IF(K1452&gt;0,Q1452,R1441)</f>
        <v>46521</v>
      </c>
      <c r="S1452" s="15" t="s">
        <v>4949</v>
      </c>
    </row>
    <row r="1453" customFormat="false" ht="15" hidden="false" customHeight="false" outlineLevel="0" collapsed="false">
      <c r="A1453" s="15" t="s">
        <v>4964</v>
      </c>
      <c r="B1453" s="15" t="s">
        <v>4956</v>
      </c>
      <c r="C1453" s="15" t="s">
        <v>400</v>
      </c>
      <c r="D1453" s="15" t="s">
        <v>1293</v>
      </c>
      <c r="E1453" s="15" t="s">
        <v>1296</v>
      </c>
      <c r="F1453" s="15" t="s">
        <v>3022</v>
      </c>
      <c r="G1453" s="15" t="s">
        <v>3023</v>
      </c>
      <c r="H1453" s="33" t="n">
        <f aca="false">Packages!$O$137</f>
        <v>48.3000000000504</v>
      </c>
      <c r="I1453" s="15" t="s">
        <v>118</v>
      </c>
      <c r="J1453" s="34" t="n">
        <f aca="false">MAX(1,ROUNDUP(Packages!$O$137/(R_SLAB*Fronts!$K$10),0))+SLAB_CURE</f>
        <v>8</v>
      </c>
      <c r="K1453" s="34" t="n">
        <f aca="false">IF(J1453=0,0,ROUNDUP(J1453*7/WD,0))</f>
        <v>10</v>
      </c>
      <c r="L1453" s="15" t="s">
        <v>4963</v>
      </c>
      <c r="M1453" s="34" t="n">
        <f aca="false">ROUNDUP(K1452*LADDER,0)</f>
        <v>2</v>
      </c>
      <c r="N1453" s="34" t="n">
        <f aca="false">IF(K1453=0,0,FFLAG)</f>
        <v>2</v>
      </c>
      <c r="O1453" s="15"/>
      <c r="P1453" s="16" t="n">
        <f aca="false">MAX(P1452+M1453,R1442)</f>
        <v>46575</v>
      </c>
      <c r="Q1453" s="16" t="n">
        <f aca="false">MAX(P1453+K1453,Q1452+N1453)</f>
        <v>46585</v>
      </c>
      <c r="R1453" s="16" t="n">
        <f aca="false">IF(K1453&gt;0,Q1453,R1442)</f>
        <v>46585</v>
      </c>
      <c r="S1453" s="15" t="s">
        <v>4950</v>
      </c>
    </row>
    <row r="1454" customFormat="false" ht="15" hidden="false" customHeight="false" outlineLevel="0" collapsed="false">
      <c r="A1454" s="15" t="s">
        <v>4965</v>
      </c>
      <c r="B1454" s="15" t="s">
        <v>4956</v>
      </c>
      <c r="C1454" s="15" t="s">
        <v>400</v>
      </c>
      <c r="D1454" s="15" t="s">
        <v>1293</v>
      </c>
      <c r="E1454" s="15" t="s">
        <v>1296</v>
      </c>
      <c r="F1454" s="15" t="s">
        <v>3025</v>
      </c>
      <c r="G1454" s="15" t="s">
        <v>3026</v>
      </c>
      <c r="H1454" s="33" t="n">
        <f aca="false">Packages!$O$137</f>
        <v>48.3000000000504</v>
      </c>
      <c r="I1454" s="15" t="s">
        <v>118</v>
      </c>
      <c r="J1454" s="34" t="n">
        <f aca="false">MAX(1,ROUNDUP(Packages!$O$137/(IF(Packages!$N$137&gt;=PIPE_T1,R_PIPE_L,IF(Packages!$N$137&gt;=PIPE_T2,R_PIPE_M,R_PIPE_S))*Fronts!$L$10)+Packages!$M$137*FIT_D+IF(Packages!$G$137&lt;&gt;"Run",TIE_D,0),0))</f>
        <v>3</v>
      </c>
      <c r="K1454" s="34" t="n">
        <f aca="false">IF(J1454=0,0,ROUNDUP(J1454*7/WD,0))</f>
        <v>4</v>
      </c>
      <c r="L1454" s="15" t="s">
        <v>4964</v>
      </c>
      <c r="M1454" s="34" t="n">
        <f aca="false">ROUNDUP(K1453*LADDER,0)</f>
        <v>3</v>
      </c>
      <c r="N1454" s="34" t="n">
        <f aca="false">IF(K1454=0,0,FFLAG)</f>
        <v>2</v>
      </c>
      <c r="O1454" s="15"/>
      <c r="P1454" s="16" t="n">
        <f aca="false">MAX(P1453+M1454,R1443)</f>
        <v>46578</v>
      </c>
      <c r="Q1454" s="16" t="n">
        <f aca="false">MAX(P1454+K1454,Q1453+N1454)</f>
        <v>46587</v>
      </c>
      <c r="R1454" s="16" t="n">
        <f aca="false">IF(K1454&gt;0,Q1454,R1443)</f>
        <v>46587</v>
      </c>
      <c r="S1454" s="15" t="s">
        <v>4951</v>
      </c>
    </row>
    <row r="1455" customFormat="false" ht="15" hidden="false" customHeight="false" outlineLevel="0" collapsed="false">
      <c r="A1455" s="15" t="s">
        <v>4966</v>
      </c>
      <c r="B1455" s="15" t="s">
        <v>4956</v>
      </c>
      <c r="C1455" s="15" t="s">
        <v>400</v>
      </c>
      <c r="D1455" s="15" t="s">
        <v>1293</v>
      </c>
      <c r="E1455" s="15" t="s">
        <v>1296</v>
      </c>
      <c r="F1455" s="15" t="s">
        <v>3028</v>
      </c>
      <c r="G1455" s="15" t="s">
        <v>3029</v>
      </c>
      <c r="H1455" s="33" t="n">
        <f aca="false">Packages!$O$137</f>
        <v>48.3000000000504</v>
      </c>
      <c r="I1455" s="15" t="s">
        <v>118</v>
      </c>
      <c r="J1455" s="34" t="n">
        <f aca="false">TEST_D+ROUNDUP(Packages!$O$137/R_TEST,0)</f>
        <v>3</v>
      </c>
      <c r="K1455" s="34" t="n">
        <f aca="false">IF(J1455=0,0,ROUNDUP(J1455*7/WD,0))</f>
        <v>4</v>
      </c>
      <c r="L1455" s="15" t="s">
        <v>4965</v>
      </c>
      <c r="M1455" s="34" t="n">
        <f aca="false">ROUNDUP(K1454*LADDER,0)</f>
        <v>2</v>
      </c>
      <c r="N1455" s="34" t="n">
        <f aca="false">IF(K1455=0,0,FFLAG)</f>
        <v>2</v>
      </c>
      <c r="O1455" s="15"/>
      <c r="P1455" s="16" t="n">
        <f aca="false">MAX(P1454+M1455)</f>
        <v>46580</v>
      </c>
      <c r="Q1455" s="16" t="n">
        <f aca="false">MAX(P1455+K1455,Q1454+N1455)</f>
        <v>46589</v>
      </c>
      <c r="R1455" s="12"/>
      <c r="S1455" s="12"/>
    </row>
    <row r="1456" customFormat="false" ht="15" hidden="false" customHeight="false" outlineLevel="0" collapsed="false">
      <c r="A1456" s="15" t="s">
        <v>4967</v>
      </c>
      <c r="B1456" s="15" t="s">
        <v>4956</v>
      </c>
      <c r="C1456" s="15" t="s">
        <v>400</v>
      </c>
      <c r="D1456" s="15" t="s">
        <v>1293</v>
      </c>
      <c r="E1456" s="15" t="s">
        <v>1296</v>
      </c>
      <c r="F1456" s="15" t="s">
        <v>3031</v>
      </c>
      <c r="G1456" s="15" t="s">
        <v>3032</v>
      </c>
      <c r="H1456" s="33" t="n">
        <f aca="false">Packages!$AB$137</f>
        <v>424.788087521444</v>
      </c>
      <c r="I1456" s="15" t="s">
        <v>3019</v>
      </c>
      <c r="J1456" s="34" t="n">
        <f aca="false">MAX(1,ROUNDUP(Packages!$AB$137/(R_BF*Fronts!$M$10),0))</f>
        <v>2</v>
      </c>
      <c r="K1456" s="34" t="n">
        <f aca="false">IF(J1456=0,0,ROUNDUP(J1456*7/WD,0))</f>
        <v>3</v>
      </c>
      <c r="L1456" s="15" t="s">
        <v>4966</v>
      </c>
      <c r="M1456" s="34" t="n">
        <f aca="false">ROUNDUP(K1455*LADDER,0)</f>
        <v>2</v>
      </c>
      <c r="N1456" s="34" t="n">
        <f aca="false">IF(K1456=0,0,FFLAG)</f>
        <v>2</v>
      </c>
      <c r="O1456" s="15" t="s">
        <v>4968</v>
      </c>
      <c r="P1456" s="16" t="n">
        <f aca="false">MAX(P1455+M1456,R1445,Q1476)</f>
        <v>46582</v>
      </c>
      <c r="Q1456" s="16" t="n">
        <f aca="false">MAX(P1456+K1456,Q1455+N1456)</f>
        <v>46591</v>
      </c>
      <c r="R1456" s="16" t="n">
        <f aca="false">IF(K1456&gt;0,Q1456,R1445)</f>
        <v>46591</v>
      </c>
      <c r="S1456" s="15" t="s">
        <v>4953</v>
      </c>
    </row>
    <row r="1457" customFormat="false" ht="15" hidden="false" customHeight="false" outlineLevel="0" collapsed="false">
      <c r="A1457" s="15" t="s">
        <v>4969</v>
      </c>
      <c r="B1457" s="15" t="s">
        <v>4956</v>
      </c>
      <c r="C1457" s="15" t="s">
        <v>400</v>
      </c>
      <c r="D1457" s="15" t="s">
        <v>1293</v>
      </c>
      <c r="E1457" s="15" t="s">
        <v>1296</v>
      </c>
      <c r="F1457" s="15" t="s">
        <v>3034</v>
      </c>
      <c r="G1457" s="15" t="s">
        <v>3035</v>
      </c>
      <c r="H1457" s="33" t="n">
        <f aca="false">Packages!$AD$137</f>
        <v>96.6000000001009</v>
      </c>
      <c r="I1457" s="15" t="s">
        <v>3012</v>
      </c>
      <c r="J1457" s="34" t="n">
        <f aca="false">IF(Packages!$AD$137&gt;0,ROUNDUP(Packages!$AD$137/R_EXT,0),0)+IF(Packages!$AG$137&gt;0,1,0)</f>
        <v>3</v>
      </c>
      <c r="K1457" s="34" t="n">
        <f aca="false">IF(J1457=0,0,ROUNDUP(J1457*7/WD,0))</f>
        <v>4</v>
      </c>
      <c r="L1457" s="15" t="s">
        <v>4967</v>
      </c>
      <c r="M1457" s="34" t="n">
        <f aca="false">ROUNDUP(K1456*LADDER,0)</f>
        <v>1</v>
      </c>
      <c r="N1457" s="34" t="n">
        <f aca="false">IF(K1457=0,0,FFLAG)</f>
        <v>2</v>
      </c>
      <c r="O1457" s="15"/>
      <c r="P1457" s="16" t="n">
        <f aca="false">MAX(P1456+M1457)</f>
        <v>46583</v>
      </c>
      <c r="Q1457" s="16" t="n">
        <f aca="false">MAX(P1457+K1457,Q1456+N1457)</f>
        <v>46593</v>
      </c>
      <c r="R1457" s="12"/>
      <c r="S1457" s="12"/>
    </row>
    <row r="1458" customFormat="false" ht="15" hidden="false" customHeight="false" outlineLevel="0" collapsed="false">
      <c r="A1458" s="15" t="s">
        <v>4970</v>
      </c>
      <c r="B1458" s="15" t="s">
        <v>4971</v>
      </c>
      <c r="C1458" s="15" t="s">
        <v>400</v>
      </c>
      <c r="D1458" s="15" t="s">
        <v>1293</v>
      </c>
      <c r="E1458" s="15" t="s">
        <v>1294</v>
      </c>
      <c r="F1458" s="15" t="s">
        <v>2998</v>
      </c>
      <c r="G1458" s="15" t="s">
        <v>2999</v>
      </c>
      <c r="H1458" s="12"/>
      <c r="I1458" s="12"/>
      <c r="J1458" s="34" t="n">
        <f aca="false">0</f>
        <v>0</v>
      </c>
      <c r="K1458" s="34" t="n">
        <f aca="false">IF(J1458=0,0,ROUNDUP(J1458*7/WD,0))</f>
        <v>0</v>
      </c>
      <c r="L1458" s="12"/>
      <c r="M1458" s="12"/>
      <c r="N1458" s="12"/>
      <c r="O1458" s="15" t="s">
        <v>3038</v>
      </c>
      <c r="P1458" s="16" t="n">
        <f aca="false">MAX(START,D_DLU,Packages!$I$138,Packages!$K$138)</f>
        <v>46357</v>
      </c>
      <c r="Q1458" s="16" t="n">
        <f aca="false">P1458+K1458</f>
        <v>46357</v>
      </c>
      <c r="R1458" s="12"/>
      <c r="S1458" s="12"/>
    </row>
    <row r="1459" customFormat="false" ht="15" hidden="false" customHeight="false" outlineLevel="0" collapsed="false">
      <c r="A1459" s="15" t="s">
        <v>4972</v>
      </c>
      <c r="B1459" s="15" t="s">
        <v>4971</v>
      </c>
      <c r="C1459" s="15" t="s">
        <v>400</v>
      </c>
      <c r="D1459" s="15" t="s">
        <v>1293</v>
      </c>
      <c r="E1459" s="15" t="s">
        <v>1294</v>
      </c>
      <c r="F1459" s="15" t="s">
        <v>3002</v>
      </c>
      <c r="G1459" s="15" t="s">
        <v>205</v>
      </c>
      <c r="H1459" s="33" t="n">
        <f aca="false">Packages!$O$138</f>
        <v>5.99999999994433</v>
      </c>
      <c r="I1459" s="15" t="s">
        <v>118</v>
      </c>
      <c r="J1459" s="34" t="n">
        <f aca="false">MAX(1,ROUNDUP(Packages!$O$138/R_PLAT,0))</f>
        <v>1</v>
      </c>
      <c r="K1459" s="34" t="n">
        <f aca="false">IF(J1459=0,0,ROUNDUP(J1459*7/WD,0))</f>
        <v>2</v>
      </c>
      <c r="L1459" s="15" t="s">
        <v>4970</v>
      </c>
      <c r="M1459" s="12"/>
      <c r="N1459" s="12"/>
      <c r="O1459" s="15" t="s">
        <v>4973</v>
      </c>
      <c r="P1459" s="16" t="n">
        <f aca="false">MAX(Q1458,P1449)</f>
        <v>46502</v>
      </c>
      <c r="Q1459" s="16" t="n">
        <f aca="false">P1459+K1459</f>
        <v>46504</v>
      </c>
      <c r="R1459" s="12"/>
      <c r="S1459" s="12"/>
    </row>
    <row r="1460" customFormat="false" ht="15" hidden="false" customHeight="false" outlineLevel="0" collapsed="false">
      <c r="A1460" s="15" t="s">
        <v>4974</v>
      </c>
      <c r="B1460" s="15" t="s">
        <v>4971</v>
      </c>
      <c r="C1460" s="15" t="s">
        <v>400</v>
      </c>
      <c r="D1460" s="15" t="s">
        <v>1293</v>
      </c>
      <c r="E1460" s="15" t="s">
        <v>1294</v>
      </c>
      <c r="F1460" s="15" t="s">
        <v>3005</v>
      </c>
      <c r="G1460" s="15" t="s">
        <v>3006</v>
      </c>
      <c r="H1460" s="33" t="n">
        <f aca="false">Packages!$AC$138</f>
        <v>3</v>
      </c>
      <c r="I1460" s="15" t="s">
        <v>3007</v>
      </c>
      <c r="J1460" s="34" t="n">
        <f aca="false">IF(Packages!$AC$138=0,0,MAX(1,ROUNDUP(Packages!$AC$138/(R_PILE*Fronts!$H$10),0)))</f>
        <v>1</v>
      </c>
      <c r="K1460" s="34" t="n">
        <f aca="false">IF(J1460=0,0,ROUNDUP(J1460*7/WD,0))</f>
        <v>2</v>
      </c>
      <c r="L1460" s="15" t="s">
        <v>4972</v>
      </c>
      <c r="M1460" s="34" t="n">
        <f aca="false">ROUNDUP(K1459*LADDER,0)</f>
        <v>1</v>
      </c>
      <c r="N1460" s="34" t="n">
        <f aca="false">IF(K1460=0,0,FFLAG)</f>
        <v>2</v>
      </c>
      <c r="O1460" s="15" t="s">
        <v>3008</v>
      </c>
      <c r="P1460" s="16" t="n">
        <f aca="false">MAX(P1459+M1460,D_PILEDES)</f>
        <v>46503</v>
      </c>
      <c r="Q1460" s="16" t="n">
        <f aca="false">MAX(P1460+K1460,Q1459+N1460)</f>
        <v>46506</v>
      </c>
      <c r="R1460" s="16" t="n">
        <f aca="false">IF(K1460&gt;0,Q1460,0)</f>
        <v>46506</v>
      </c>
      <c r="S1460" s="12"/>
    </row>
    <row r="1461" customFormat="false" ht="15" hidden="false" customHeight="false" outlineLevel="0" collapsed="false">
      <c r="A1461" s="15" t="s">
        <v>4975</v>
      </c>
      <c r="B1461" s="15" t="s">
        <v>4971</v>
      </c>
      <c r="C1461" s="15" t="s">
        <v>400</v>
      </c>
      <c r="D1461" s="15" t="s">
        <v>1293</v>
      </c>
      <c r="E1461" s="15" t="s">
        <v>1294</v>
      </c>
      <c r="F1461" s="15" t="s">
        <v>3010</v>
      </c>
      <c r="G1461" s="15" t="s">
        <v>3011</v>
      </c>
      <c r="H1461" s="33" t="n">
        <f aca="false">Packages!$AD$138</f>
        <v>11.9999999998887</v>
      </c>
      <c r="I1461" s="15" t="s">
        <v>3012</v>
      </c>
      <c r="J1461" s="34" t="n">
        <f aca="false">IF(Packages!$AD$138=0,0,MAX(1,ROUNDUP(Packages!$AD$138/(R_SHEET*Fronts!$I$10),0)))</f>
        <v>1</v>
      </c>
      <c r="K1461" s="34" t="n">
        <f aca="false">IF(J1461=0,0,ROUNDUP(J1461*7/WD,0))</f>
        <v>2</v>
      </c>
      <c r="L1461" s="15" t="s">
        <v>4974</v>
      </c>
      <c r="M1461" s="34" t="n">
        <f aca="false">ROUNDUP(K1460*LADDER,0)</f>
        <v>1</v>
      </c>
      <c r="N1461" s="34" t="n">
        <f aca="false">IF(K1461=0,0,FFLAG)</f>
        <v>2</v>
      </c>
      <c r="O1461" s="15"/>
      <c r="P1461" s="16" t="n">
        <f aca="false">MAX(P1460+M1461)</f>
        <v>46504</v>
      </c>
      <c r="Q1461" s="16" t="n">
        <f aca="false">MAX(P1461+K1461,Q1460+N1461)</f>
        <v>46508</v>
      </c>
      <c r="R1461" s="16" t="n">
        <f aca="false">IF(K1461&gt;0,Q1461,0)</f>
        <v>46508</v>
      </c>
      <c r="S1461" s="12"/>
    </row>
    <row r="1462" customFormat="false" ht="15" hidden="false" customHeight="false" outlineLevel="0" collapsed="false">
      <c r="A1462" s="15" t="s">
        <v>4976</v>
      </c>
      <c r="B1462" s="15" t="s">
        <v>4971</v>
      </c>
      <c r="C1462" s="15" t="s">
        <v>400</v>
      </c>
      <c r="D1462" s="15" t="s">
        <v>1293</v>
      </c>
      <c r="E1462" s="15" t="s">
        <v>1294</v>
      </c>
      <c r="F1462" s="15" t="s">
        <v>3014</v>
      </c>
      <c r="G1462" s="15" t="s">
        <v>3015</v>
      </c>
      <c r="H1462" s="33" t="n">
        <f aca="false">Packages!$O$138</f>
        <v>5.99999999994433</v>
      </c>
      <c r="I1462" s="15" t="s">
        <v>118</v>
      </c>
      <c r="J1462" s="34" t="n">
        <f aca="false">IF(Packages!$AG$138=0,0,ROUNDUP(Packages!$O$138/R_DW,0)+DW_DRAW)</f>
        <v>8</v>
      </c>
      <c r="K1462" s="34" t="n">
        <f aca="false">IF(J1462=0,0,ROUNDUP(J1462*7/WD,0))</f>
        <v>10</v>
      </c>
      <c r="L1462" s="15" t="s">
        <v>4975</v>
      </c>
      <c r="M1462" s="34" t="n">
        <f aca="false">ROUNDUP(K1461*LADDER,0)</f>
        <v>1</v>
      </c>
      <c r="N1462" s="34" t="n">
        <f aca="false">IF(K1462=0,0,FFLAG)</f>
        <v>2</v>
      </c>
      <c r="O1462" s="15"/>
      <c r="P1462" s="16" t="n">
        <f aca="false">MAX(P1461+M1462)</f>
        <v>46505</v>
      </c>
      <c r="Q1462" s="16" t="n">
        <f aca="false">MAX(P1462+K1462,Q1461+N1462)</f>
        <v>46515</v>
      </c>
      <c r="R1462" s="12"/>
      <c r="S1462" s="12"/>
    </row>
    <row r="1463" customFormat="false" ht="15" hidden="false" customHeight="false" outlineLevel="0" collapsed="false">
      <c r="A1463" s="15" t="s">
        <v>4977</v>
      </c>
      <c r="B1463" s="15" t="s">
        <v>4971</v>
      </c>
      <c r="C1463" s="15" t="s">
        <v>400</v>
      </c>
      <c r="D1463" s="15" t="s">
        <v>1293</v>
      </c>
      <c r="E1463" s="15" t="s">
        <v>1294</v>
      </c>
      <c r="F1463" s="15" t="s">
        <v>3017</v>
      </c>
      <c r="G1463" s="15" t="s">
        <v>3018</v>
      </c>
      <c r="H1463" s="33" t="n">
        <f aca="false">Packages!$X$138+Packages!$Y$138</f>
        <v>61.0195923130294</v>
      </c>
      <c r="I1463" s="15" t="s">
        <v>3019</v>
      </c>
      <c r="J1463" s="34" t="n">
        <f aca="false">MAX(1,ROUNDUP((Packages!$X$138/R_EXS+Packages!$Y$138/R_EXO)/Fronts!$J$10,0))</f>
        <v>1</v>
      </c>
      <c r="K1463" s="34" t="n">
        <f aca="false">IF(J1463=0,0,ROUNDUP(J1463*7/WD,0))</f>
        <v>2</v>
      </c>
      <c r="L1463" s="15" t="s">
        <v>4976</v>
      </c>
      <c r="M1463" s="34" t="n">
        <f aca="false">IF(K1462=0,0,ROUNDUP((K1462-ROUNDUP(DW_DRAW*7/WD,0))*LADDER,0)+ROUNDUP(DW_DRAW*7/WD,0))</f>
        <v>10</v>
      </c>
      <c r="N1463" s="34" t="n">
        <f aca="false">IF(K1463=0,0,FFLAG)</f>
        <v>2</v>
      </c>
      <c r="O1463" s="15"/>
      <c r="P1463" s="16" t="n">
        <f aca="false">MAX(P1462+M1463)</f>
        <v>46515</v>
      </c>
      <c r="Q1463" s="16" t="n">
        <f aca="false">MAX(P1463+K1463,Q1462+N1463)</f>
        <v>46517</v>
      </c>
      <c r="R1463" s="16" t="n">
        <f aca="false">IF(K1463&gt;0,Q1463,0)</f>
        <v>46517</v>
      </c>
      <c r="S1463" s="12"/>
    </row>
    <row r="1464" customFormat="false" ht="15" hidden="false" customHeight="false" outlineLevel="0" collapsed="false">
      <c r="A1464" s="15" t="s">
        <v>4978</v>
      </c>
      <c r="B1464" s="15" t="s">
        <v>4971</v>
      </c>
      <c r="C1464" s="15" t="s">
        <v>400</v>
      </c>
      <c r="D1464" s="15" t="s">
        <v>1293</v>
      </c>
      <c r="E1464" s="15" t="s">
        <v>1294</v>
      </c>
      <c r="F1464" s="15" t="s">
        <v>3022</v>
      </c>
      <c r="G1464" s="15" t="s">
        <v>3023</v>
      </c>
      <c r="H1464" s="33" t="n">
        <f aca="false">Packages!$O$138</f>
        <v>5.99999999994433</v>
      </c>
      <c r="I1464" s="15" t="s">
        <v>118</v>
      </c>
      <c r="J1464" s="34" t="n">
        <f aca="false">MAX(1,ROUNDUP(Packages!$O$138/(R_SLAB*Fronts!$K$10),0))+SLAB_CURE</f>
        <v>4</v>
      </c>
      <c r="K1464" s="34" t="n">
        <f aca="false">IF(J1464=0,0,ROUNDUP(J1464*7/WD,0))</f>
        <v>5</v>
      </c>
      <c r="L1464" s="15" t="s">
        <v>4977</v>
      </c>
      <c r="M1464" s="34" t="n">
        <f aca="false">ROUNDUP(K1463*LADDER,0)</f>
        <v>1</v>
      </c>
      <c r="N1464" s="34" t="n">
        <f aca="false">IF(K1464=0,0,FFLAG)</f>
        <v>2</v>
      </c>
      <c r="O1464" s="15"/>
      <c r="P1464" s="16" t="n">
        <f aca="false">MAX(P1463+M1464)</f>
        <v>46516</v>
      </c>
      <c r="Q1464" s="16" t="n">
        <f aca="false">MAX(P1464+K1464,Q1463+N1464)</f>
        <v>46521</v>
      </c>
      <c r="R1464" s="16" t="n">
        <f aca="false">IF(K1464&gt;0,Q1464,0)</f>
        <v>46521</v>
      </c>
      <c r="S1464" s="12"/>
    </row>
    <row r="1465" customFormat="false" ht="15" hidden="false" customHeight="false" outlineLevel="0" collapsed="false">
      <c r="A1465" s="15" t="s">
        <v>4979</v>
      </c>
      <c r="B1465" s="15" t="s">
        <v>4971</v>
      </c>
      <c r="C1465" s="15" t="s">
        <v>400</v>
      </c>
      <c r="D1465" s="15" t="s">
        <v>1293</v>
      </c>
      <c r="E1465" s="15" t="s">
        <v>1294</v>
      </c>
      <c r="F1465" s="15" t="s">
        <v>3025</v>
      </c>
      <c r="G1465" s="15" t="s">
        <v>3026</v>
      </c>
      <c r="H1465" s="33" t="n">
        <f aca="false">Packages!$O$138</f>
        <v>5.99999999994433</v>
      </c>
      <c r="I1465" s="15" t="s">
        <v>118</v>
      </c>
      <c r="J1465" s="34" t="n">
        <f aca="false">MAX(1,ROUNDUP(Packages!$O$138/(IF(Packages!$N$138&gt;=PIPE_T1,R_PIPE_L,IF(Packages!$N$138&gt;=PIPE_T2,R_PIPE_M,R_PIPE_S))*Fronts!$L$10)+Packages!$M$138*FIT_D+IF(Packages!$G$138&lt;&gt;"Run",TIE_D,0),0))</f>
        <v>4</v>
      </c>
      <c r="K1465" s="34" t="n">
        <f aca="false">IF(J1465=0,0,ROUNDUP(J1465*7/WD,0))</f>
        <v>5</v>
      </c>
      <c r="L1465" s="15" t="s">
        <v>4978</v>
      </c>
      <c r="M1465" s="34" t="n">
        <f aca="false">ROUNDUP(K1464*LADDER,0)</f>
        <v>2</v>
      </c>
      <c r="N1465" s="34" t="n">
        <f aca="false">IF(K1465=0,0,FFLAG)</f>
        <v>2</v>
      </c>
      <c r="O1465" s="15" t="s">
        <v>4980</v>
      </c>
      <c r="P1465" s="16" t="n">
        <f aca="false">MAX(P1464+M1465,Q1454)</f>
        <v>46587</v>
      </c>
      <c r="Q1465" s="16" t="n">
        <f aca="false">MAX(P1465+K1465,Q1464+N1465)</f>
        <v>46592</v>
      </c>
      <c r="R1465" s="16" t="n">
        <f aca="false">IF(K1465&gt;0,Q1465,0)</f>
        <v>46592</v>
      </c>
      <c r="S1465" s="12"/>
    </row>
    <row r="1466" customFormat="false" ht="15" hidden="false" customHeight="false" outlineLevel="0" collapsed="false">
      <c r="A1466" s="15" t="s">
        <v>4981</v>
      </c>
      <c r="B1466" s="15" t="s">
        <v>4971</v>
      </c>
      <c r="C1466" s="15" t="s">
        <v>400</v>
      </c>
      <c r="D1466" s="15" t="s">
        <v>1293</v>
      </c>
      <c r="E1466" s="15" t="s">
        <v>1294</v>
      </c>
      <c r="F1466" s="15" t="s">
        <v>3028</v>
      </c>
      <c r="G1466" s="15" t="s">
        <v>3029</v>
      </c>
      <c r="H1466" s="33" t="n">
        <f aca="false">Packages!$O$138</f>
        <v>5.99999999994433</v>
      </c>
      <c r="I1466" s="15" t="s">
        <v>118</v>
      </c>
      <c r="J1466" s="34" t="n">
        <f aca="false">TEST_D+ROUNDUP(Packages!$O$138/R_TEST,0)</f>
        <v>3</v>
      </c>
      <c r="K1466" s="34" t="n">
        <f aca="false">IF(J1466=0,0,ROUNDUP(J1466*7/WD,0))</f>
        <v>4</v>
      </c>
      <c r="L1466" s="15" t="s">
        <v>4979</v>
      </c>
      <c r="M1466" s="34" t="n">
        <f aca="false">ROUNDUP(K1465*LADDER,0)</f>
        <v>2</v>
      </c>
      <c r="N1466" s="34" t="n">
        <f aca="false">IF(K1466=0,0,FFLAG)</f>
        <v>2</v>
      </c>
      <c r="O1466" s="15"/>
      <c r="P1466" s="16" t="n">
        <f aca="false">MAX(P1465+M1466)</f>
        <v>46589</v>
      </c>
      <c r="Q1466" s="16" t="n">
        <f aca="false">MAX(P1466+K1466,Q1465+N1466)</f>
        <v>46594</v>
      </c>
      <c r="R1466" s="12"/>
      <c r="S1466" s="12"/>
    </row>
    <row r="1467" customFormat="false" ht="15" hidden="false" customHeight="false" outlineLevel="0" collapsed="false">
      <c r="A1467" s="15" t="s">
        <v>4982</v>
      </c>
      <c r="B1467" s="15" t="s">
        <v>4971</v>
      </c>
      <c r="C1467" s="15" t="s">
        <v>400</v>
      </c>
      <c r="D1467" s="15" t="s">
        <v>1293</v>
      </c>
      <c r="E1467" s="15" t="s">
        <v>1294</v>
      </c>
      <c r="F1467" s="15" t="s">
        <v>3031</v>
      </c>
      <c r="G1467" s="15" t="s">
        <v>3032</v>
      </c>
      <c r="H1467" s="33" t="n">
        <f aca="false">Packages!$AB$138</f>
        <v>50.3073759773779</v>
      </c>
      <c r="I1467" s="15" t="s">
        <v>3019</v>
      </c>
      <c r="J1467" s="34" t="n">
        <f aca="false">MAX(1,ROUNDUP(Packages!$AB$138/(R_BF*Fronts!$M$10),0))</f>
        <v>1</v>
      </c>
      <c r="K1467" s="34" t="n">
        <f aca="false">IF(J1467=0,0,ROUNDUP(J1467*7/WD,0))</f>
        <v>2</v>
      </c>
      <c r="L1467" s="15" t="s">
        <v>4981</v>
      </c>
      <c r="M1467" s="34" t="n">
        <f aca="false">ROUNDUP(K1466*LADDER,0)</f>
        <v>2</v>
      </c>
      <c r="N1467" s="34" t="n">
        <f aca="false">IF(K1467=0,0,FFLAG)</f>
        <v>2</v>
      </c>
      <c r="O1467" s="15" t="s">
        <v>4968</v>
      </c>
      <c r="P1467" s="16" t="n">
        <f aca="false">MAX(P1466+M1467,Q1476)</f>
        <v>46591</v>
      </c>
      <c r="Q1467" s="16" t="n">
        <f aca="false">MAX(P1467+K1467,Q1466+N1467)</f>
        <v>46596</v>
      </c>
      <c r="R1467" s="16" t="n">
        <f aca="false">IF(K1467&gt;0,Q1467,0)</f>
        <v>46596</v>
      </c>
      <c r="S1467" s="12"/>
    </row>
    <row r="1468" customFormat="false" ht="15" hidden="false" customHeight="false" outlineLevel="0" collapsed="false">
      <c r="A1468" s="15" t="s">
        <v>4983</v>
      </c>
      <c r="B1468" s="15" t="s">
        <v>4971</v>
      </c>
      <c r="C1468" s="15" t="s">
        <v>400</v>
      </c>
      <c r="D1468" s="15" t="s">
        <v>1293</v>
      </c>
      <c r="E1468" s="15" t="s">
        <v>1294</v>
      </c>
      <c r="F1468" s="15" t="s">
        <v>3034</v>
      </c>
      <c r="G1468" s="15" t="s">
        <v>3035</v>
      </c>
      <c r="H1468" s="33" t="n">
        <f aca="false">Packages!$AD$138</f>
        <v>11.9999999998887</v>
      </c>
      <c r="I1468" s="15" t="s">
        <v>3012</v>
      </c>
      <c r="J1468" s="34" t="n">
        <f aca="false">IF(Packages!$AD$138&gt;0,ROUNDUP(Packages!$AD$138/R_EXT,0),0)+IF(Packages!$AG$138&gt;0,1,0)</f>
        <v>2</v>
      </c>
      <c r="K1468" s="34" t="n">
        <f aca="false">IF(J1468=0,0,ROUNDUP(J1468*7/WD,0))</f>
        <v>3</v>
      </c>
      <c r="L1468" s="15" t="s">
        <v>4982</v>
      </c>
      <c r="M1468" s="34" t="n">
        <f aca="false">ROUNDUP(K1467*LADDER,0)</f>
        <v>1</v>
      </c>
      <c r="N1468" s="34" t="n">
        <f aca="false">IF(K1468=0,0,FFLAG)</f>
        <v>2</v>
      </c>
      <c r="O1468" s="15"/>
      <c r="P1468" s="16" t="n">
        <f aca="false">MAX(P1467+M1468)</f>
        <v>46592</v>
      </c>
      <c r="Q1468" s="16" t="n">
        <f aca="false">MAX(P1468+K1468,Q1467+N1468)</f>
        <v>46598</v>
      </c>
      <c r="R1468" s="12"/>
      <c r="S1468" s="12"/>
    </row>
    <row r="1469" customFormat="false" ht="15" hidden="false" customHeight="false" outlineLevel="0" collapsed="false">
      <c r="A1469" s="15" t="s">
        <v>4984</v>
      </c>
      <c r="B1469" s="15" t="s">
        <v>4985</v>
      </c>
      <c r="C1469" s="15" t="s">
        <v>400</v>
      </c>
      <c r="D1469" s="15" t="s">
        <v>1715</v>
      </c>
      <c r="E1469" s="15" t="s">
        <v>1716</v>
      </c>
      <c r="F1469" s="15" t="s">
        <v>2998</v>
      </c>
      <c r="G1469" s="15" t="s">
        <v>2999</v>
      </c>
      <c r="H1469" s="12"/>
      <c r="I1469" s="12"/>
      <c r="J1469" s="34" t="n">
        <f aca="false">0</f>
        <v>0</v>
      </c>
      <c r="K1469" s="34" t="n">
        <f aca="false">IF(J1469=0,0,ROUNDUP(J1469*7/WD,0))</f>
        <v>0</v>
      </c>
      <c r="L1469" s="12"/>
      <c r="M1469" s="12"/>
      <c r="N1469" s="12"/>
      <c r="O1469" s="15" t="s">
        <v>3038</v>
      </c>
      <c r="P1469" s="16" t="n">
        <f aca="false">MAX(START,D_DLU,Packages!$I$139,Packages!$K$139)</f>
        <v>46357</v>
      </c>
      <c r="Q1469" s="16" t="n">
        <f aca="false">P1469+K1469</f>
        <v>46357</v>
      </c>
      <c r="R1469" s="12"/>
      <c r="S1469" s="12"/>
    </row>
    <row r="1470" customFormat="false" ht="15" hidden="false" customHeight="false" outlineLevel="0" collapsed="false">
      <c r="A1470" s="15" t="s">
        <v>4986</v>
      </c>
      <c r="B1470" s="15" t="s">
        <v>4985</v>
      </c>
      <c r="C1470" s="15" t="s">
        <v>400</v>
      </c>
      <c r="D1470" s="15" t="s">
        <v>1715</v>
      </c>
      <c r="E1470" s="15" t="s">
        <v>1716</v>
      </c>
      <c r="F1470" s="15" t="s">
        <v>3002</v>
      </c>
      <c r="G1470" s="15" t="s">
        <v>205</v>
      </c>
      <c r="H1470" s="33" t="n">
        <f aca="false">Packages!$O$139</f>
        <v>38.29882416476</v>
      </c>
      <c r="I1470" s="15" t="s">
        <v>118</v>
      </c>
      <c r="J1470" s="34" t="n">
        <f aca="false">MAX(1,ROUNDUP(Packages!$O$139/R_PLAT,0))</f>
        <v>1</v>
      </c>
      <c r="K1470" s="34" t="n">
        <f aca="false">IF(J1470=0,0,ROUNDUP(J1470*7/WD,0))</f>
        <v>2</v>
      </c>
      <c r="L1470" s="15" t="s">
        <v>4984</v>
      </c>
      <c r="M1470" s="12"/>
      <c r="N1470" s="12"/>
      <c r="O1470" s="15" t="s">
        <v>3003</v>
      </c>
      <c r="P1470" s="16" t="n">
        <f aca="false">MAX(Q1469)</f>
        <v>46357</v>
      </c>
      <c r="Q1470" s="16" t="n">
        <f aca="false">P1470+K1470</f>
        <v>46359</v>
      </c>
      <c r="R1470" s="12"/>
      <c r="S1470" s="12"/>
    </row>
    <row r="1471" customFormat="false" ht="15" hidden="false" customHeight="false" outlineLevel="0" collapsed="false">
      <c r="A1471" s="15" t="s">
        <v>4987</v>
      </c>
      <c r="B1471" s="15" t="s">
        <v>4985</v>
      </c>
      <c r="C1471" s="15" t="s">
        <v>400</v>
      </c>
      <c r="D1471" s="15" t="s">
        <v>1715</v>
      </c>
      <c r="E1471" s="15" t="s">
        <v>1716</v>
      </c>
      <c r="F1471" s="15" t="s">
        <v>3005</v>
      </c>
      <c r="G1471" s="15" t="s">
        <v>3006</v>
      </c>
      <c r="H1471" s="33" t="n">
        <f aca="false">Packages!$AC$139</f>
        <v>28</v>
      </c>
      <c r="I1471" s="15" t="s">
        <v>3007</v>
      </c>
      <c r="J1471" s="34" t="n">
        <f aca="false">IF(Packages!$AC$139=0,0,MAX(1,ROUNDUP(Packages!$AC$139/(R_PILE*Fronts!$H$10),0)))</f>
        <v>6</v>
      </c>
      <c r="K1471" s="34" t="n">
        <f aca="false">IF(J1471=0,0,ROUNDUP(J1471*7/WD,0))</f>
        <v>7</v>
      </c>
      <c r="L1471" s="15" t="s">
        <v>4986</v>
      </c>
      <c r="M1471" s="34" t="n">
        <f aca="false">ROUNDUP(K1470*LADDER,0)</f>
        <v>1</v>
      </c>
      <c r="N1471" s="34" t="n">
        <f aca="false">IF(K1471=0,0,FFLAG)</f>
        <v>2</v>
      </c>
      <c r="O1471" s="15" t="s">
        <v>3008</v>
      </c>
      <c r="P1471" s="16" t="n">
        <f aca="false">MAX(P1470+M1471,D_PILEDES)</f>
        <v>46358</v>
      </c>
      <c r="Q1471" s="16" t="n">
        <f aca="false">MAX(P1471+K1471,Q1470+N1471)</f>
        <v>46365</v>
      </c>
      <c r="R1471" s="16" t="n">
        <f aca="false">IF(K1471&gt;0,Q1471,0)</f>
        <v>46365</v>
      </c>
      <c r="S1471" s="12"/>
    </row>
    <row r="1472" customFormat="false" ht="15" hidden="false" customHeight="false" outlineLevel="0" collapsed="false">
      <c r="A1472" s="15" t="s">
        <v>4988</v>
      </c>
      <c r="B1472" s="15" t="s">
        <v>4985</v>
      </c>
      <c r="C1472" s="15" t="s">
        <v>400</v>
      </c>
      <c r="D1472" s="15" t="s">
        <v>1715</v>
      </c>
      <c r="E1472" s="15" t="s">
        <v>1716</v>
      </c>
      <c r="F1472" s="15" t="s">
        <v>3010</v>
      </c>
      <c r="G1472" s="15" t="s">
        <v>3011</v>
      </c>
      <c r="H1472" s="33" t="n">
        <f aca="false">Packages!$AD$139</f>
        <v>0</v>
      </c>
      <c r="I1472" s="15" t="s">
        <v>3012</v>
      </c>
      <c r="J1472" s="34" t="n">
        <f aca="false">IF(Packages!$AD$139=0,0,MAX(1,ROUNDUP(Packages!$AD$139/(R_SHEET*Fronts!$I$10),0)))</f>
        <v>0</v>
      </c>
      <c r="K1472" s="34" t="n">
        <f aca="false">IF(J1472=0,0,ROUNDUP(J1472*7/WD,0))</f>
        <v>0</v>
      </c>
      <c r="L1472" s="15" t="s">
        <v>4987</v>
      </c>
      <c r="M1472" s="34" t="n">
        <f aca="false">ROUNDUP(K1471*LADDER,0)</f>
        <v>3</v>
      </c>
      <c r="N1472" s="34" t="n">
        <f aca="false">IF(K1472=0,0,FFLAG)</f>
        <v>0</v>
      </c>
      <c r="O1472" s="15"/>
      <c r="P1472" s="16" t="n">
        <f aca="false">MAX(P1471+M1472)</f>
        <v>46361</v>
      </c>
      <c r="Q1472" s="16" t="n">
        <f aca="false">MAX(P1472+K1472,Q1471+N1472)</f>
        <v>46365</v>
      </c>
      <c r="R1472" s="16" t="n">
        <f aca="false">IF(K1472&gt;0,Q1472,0)</f>
        <v>0</v>
      </c>
      <c r="S1472" s="12"/>
    </row>
    <row r="1473" customFormat="false" ht="15" hidden="false" customHeight="false" outlineLevel="0" collapsed="false">
      <c r="A1473" s="15" t="s">
        <v>4989</v>
      </c>
      <c r="B1473" s="15" t="s">
        <v>4985</v>
      </c>
      <c r="C1473" s="15" t="s">
        <v>400</v>
      </c>
      <c r="D1473" s="15" t="s">
        <v>1715</v>
      </c>
      <c r="E1473" s="15" t="s">
        <v>1716</v>
      </c>
      <c r="F1473" s="15" t="s">
        <v>3014</v>
      </c>
      <c r="G1473" s="15" t="s">
        <v>3015</v>
      </c>
      <c r="H1473" s="33" t="n">
        <f aca="false">Packages!$O$139</f>
        <v>38.29882416476</v>
      </c>
      <c r="I1473" s="15" t="s">
        <v>118</v>
      </c>
      <c r="J1473" s="34" t="n">
        <f aca="false">IF(Packages!$AG$139=0,0,ROUNDUP(Packages!$O$139/R_DW,0)+DW_DRAW)</f>
        <v>8</v>
      </c>
      <c r="K1473" s="34" t="n">
        <f aca="false">IF(J1473=0,0,ROUNDUP(J1473*7/WD,0))</f>
        <v>10</v>
      </c>
      <c r="L1473" s="15" t="s">
        <v>4988</v>
      </c>
      <c r="M1473" s="34" t="n">
        <f aca="false">ROUNDUP(K1472*LADDER,0)</f>
        <v>0</v>
      </c>
      <c r="N1473" s="34" t="n">
        <f aca="false">IF(K1473=0,0,FFLAG)</f>
        <v>2</v>
      </c>
      <c r="O1473" s="15"/>
      <c r="P1473" s="16" t="n">
        <f aca="false">MAX(P1472+M1473)</f>
        <v>46361</v>
      </c>
      <c r="Q1473" s="16" t="n">
        <f aca="false">MAX(P1473+K1473,Q1472+N1473)</f>
        <v>46371</v>
      </c>
      <c r="R1473" s="12"/>
      <c r="S1473" s="12"/>
    </row>
    <row r="1474" customFormat="false" ht="15" hidden="false" customHeight="false" outlineLevel="0" collapsed="false">
      <c r="A1474" s="15" t="s">
        <v>4990</v>
      </c>
      <c r="B1474" s="15" t="s">
        <v>4985</v>
      </c>
      <c r="C1474" s="15" t="s">
        <v>400</v>
      </c>
      <c r="D1474" s="15" t="s">
        <v>1715</v>
      </c>
      <c r="E1474" s="15" t="s">
        <v>1716</v>
      </c>
      <c r="F1474" s="15" t="s">
        <v>3017</v>
      </c>
      <c r="G1474" s="15" t="s">
        <v>3018</v>
      </c>
      <c r="H1474" s="33" t="n">
        <f aca="false">Packages!$X$139+Packages!$Y$139</f>
        <v>988.52071724747</v>
      </c>
      <c r="I1474" s="15" t="s">
        <v>3019</v>
      </c>
      <c r="J1474" s="34" t="n">
        <f aca="false">MAX(1,ROUNDUP((Packages!$X$139/R_EXS+Packages!$Y$139/R_EXO)/Fronts!$J$10,0))</f>
        <v>3</v>
      </c>
      <c r="K1474" s="34" t="n">
        <f aca="false">IF(J1474=0,0,ROUNDUP(J1474*7/WD,0))</f>
        <v>4</v>
      </c>
      <c r="L1474" s="15" t="s">
        <v>4989</v>
      </c>
      <c r="M1474" s="34" t="n">
        <f aca="false">IF(K1473=0,0,ROUNDUP((K1473-ROUNDUP(DW_DRAW*7/WD,0))*LADDER,0)+ROUNDUP(DW_DRAW*7/WD,0))</f>
        <v>10</v>
      </c>
      <c r="N1474" s="34" t="n">
        <f aca="false">IF(K1474=0,0,FFLAG)</f>
        <v>2</v>
      </c>
      <c r="O1474" s="15" t="s">
        <v>4991</v>
      </c>
      <c r="P1474" s="16" t="n">
        <f aca="false">MAX(P1473+M1474,Q1731,Q1720,P1463,P1452)</f>
        <v>46531</v>
      </c>
      <c r="Q1474" s="16" t="n">
        <f aca="false">MAX(P1474+K1474,Q1473+N1474)</f>
        <v>46535</v>
      </c>
      <c r="R1474" s="16" t="n">
        <f aca="false">IF(K1474&gt;0,Q1474,0)</f>
        <v>46535</v>
      </c>
      <c r="S1474" s="12"/>
    </row>
    <row r="1475" customFormat="false" ht="15" hidden="false" customHeight="false" outlineLevel="0" collapsed="false">
      <c r="A1475" s="15" t="s">
        <v>4992</v>
      </c>
      <c r="B1475" s="15" t="s">
        <v>4985</v>
      </c>
      <c r="C1475" s="15" t="s">
        <v>400</v>
      </c>
      <c r="D1475" s="15" t="s">
        <v>1715</v>
      </c>
      <c r="E1475" s="15" t="s">
        <v>1716</v>
      </c>
      <c r="F1475" s="15" t="s">
        <v>3022</v>
      </c>
      <c r="G1475" s="15" t="s">
        <v>3023</v>
      </c>
      <c r="H1475" s="33" t="n">
        <f aca="false">Packages!$O$139</f>
        <v>38.29882416476</v>
      </c>
      <c r="I1475" s="15" t="s">
        <v>118</v>
      </c>
      <c r="J1475" s="34" t="n">
        <f aca="false">MAX(1,ROUNDUP(Packages!$O$139/(R_SLAB*Fronts!$K$10),0))+SLAB_CURE</f>
        <v>7</v>
      </c>
      <c r="K1475" s="34" t="n">
        <f aca="false">IF(J1475=0,0,ROUNDUP(J1475*7/WD,0))</f>
        <v>9</v>
      </c>
      <c r="L1475" s="15" t="s">
        <v>4990</v>
      </c>
      <c r="M1475" s="34" t="n">
        <f aca="false">ROUNDUP(K1474*LADDER,0)</f>
        <v>2</v>
      </c>
      <c r="N1475" s="34" t="n">
        <f aca="false">IF(K1475=0,0,FFLAG)</f>
        <v>2</v>
      </c>
      <c r="O1475" s="15"/>
      <c r="P1475" s="16" t="n">
        <f aca="false">MAX(P1474+M1475)</f>
        <v>46533</v>
      </c>
      <c r="Q1475" s="16" t="n">
        <f aca="false">MAX(P1475+K1475,Q1474+N1475)</f>
        <v>46542</v>
      </c>
      <c r="R1475" s="16" t="n">
        <f aca="false">IF(K1475&gt;0,Q1475,0)</f>
        <v>46542</v>
      </c>
      <c r="S1475" s="12"/>
    </row>
    <row r="1476" customFormat="false" ht="15" hidden="false" customHeight="false" outlineLevel="0" collapsed="false">
      <c r="A1476" s="15" t="s">
        <v>4993</v>
      </c>
      <c r="B1476" s="15" t="s">
        <v>4985</v>
      </c>
      <c r="C1476" s="15" t="s">
        <v>400</v>
      </c>
      <c r="D1476" s="15" t="s">
        <v>1715</v>
      </c>
      <c r="E1476" s="15" t="s">
        <v>1716</v>
      </c>
      <c r="F1476" s="15" t="s">
        <v>3025</v>
      </c>
      <c r="G1476" s="15" t="s">
        <v>3026</v>
      </c>
      <c r="H1476" s="33" t="n">
        <f aca="false">Packages!$O$139</f>
        <v>38.29882416476</v>
      </c>
      <c r="I1476" s="15" t="s">
        <v>118</v>
      </c>
      <c r="J1476" s="34" t="n">
        <f aca="false">MAX(1,ROUNDUP(Packages!$O$139/(IF(Packages!$N$139&gt;=PIPE_T1,R_PIPE_L,IF(Packages!$N$139&gt;=PIPE_T2,R_PIPE_M,R_PIPE_S))*Fronts!$L$10)+Packages!$M$139*FIT_D+IF(Packages!$G$139&lt;&gt;"Run",TIE_D,0),0))</f>
        <v>9</v>
      </c>
      <c r="K1476" s="34" t="n">
        <f aca="false">IF(J1476=0,0,ROUNDUP(J1476*7/WD,0))</f>
        <v>11</v>
      </c>
      <c r="L1476" s="15" t="s">
        <v>4992</v>
      </c>
      <c r="M1476" s="34" t="n">
        <f aca="false">ROUNDUP(K1475*LADDER,0)</f>
        <v>3</v>
      </c>
      <c r="N1476" s="34" t="n">
        <f aca="false">IF(K1476=0,0,FFLAG)</f>
        <v>2</v>
      </c>
      <c r="O1476" s="15"/>
      <c r="P1476" s="16" t="n">
        <f aca="false">MAX(P1475+M1476)</f>
        <v>46536</v>
      </c>
      <c r="Q1476" s="16" t="n">
        <f aca="false">MAX(P1476+K1476,Q1475+N1476)</f>
        <v>46547</v>
      </c>
      <c r="R1476" s="16" t="n">
        <f aca="false">IF(K1476&gt;0,Q1476,0)</f>
        <v>46547</v>
      </c>
      <c r="S1476" s="12"/>
    </row>
    <row r="1477" customFormat="false" ht="15" hidden="false" customHeight="false" outlineLevel="0" collapsed="false">
      <c r="A1477" s="15" t="s">
        <v>4994</v>
      </c>
      <c r="B1477" s="15" t="s">
        <v>4985</v>
      </c>
      <c r="C1477" s="15" t="s">
        <v>400</v>
      </c>
      <c r="D1477" s="15" t="s">
        <v>1715</v>
      </c>
      <c r="E1477" s="15" t="s">
        <v>1716</v>
      </c>
      <c r="F1477" s="15" t="s">
        <v>3028</v>
      </c>
      <c r="G1477" s="15" t="s">
        <v>3029</v>
      </c>
      <c r="H1477" s="33" t="n">
        <f aca="false">Packages!$O$139</f>
        <v>38.29882416476</v>
      </c>
      <c r="I1477" s="15" t="s">
        <v>118</v>
      </c>
      <c r="J1477" s="34" t="n">
        <f aca="false">TEST_D+ROUNDUP(Packages!$O$139/R_TEST,0)</f>
        <v>3</v>
      </c>
      <c r="K1477" s="34" t="n">
        <f aca="false">IF(J1477=0,0,ROUNDUP(J1477*7/WD,0))</f>
        <v>4</v>
      </c>
      <c r="L1477" s="15" t="s">
        <v>4993</v>
      </c>
      <c r="M1477" s="34" t="n">
        <f aca="false">ROUNDUP(K1476*LADDER,0)</f>
        <v>4</v>
      </c>
      <c r="N1477" s="34" t="n">
        <f aca="false">IF(K1477=0,0,FFLAG)</f>
        <v>2</v>
      </c>
      <c r="O1477" s="15"/>
      <c r="P1477" s="16" t="n">
        <f aca="false">MAX(P1476+M1477)</f>
        <v>46540</v>
      </c>
      <c r="Q1477" s="16" t="n">
        <f aca="false">MAX(P1477+K1477,Q1476+N1477)</f>
        <v>46549</v>
      </c>
      <c r="R1477" s="12"/>
      <c r="S1477" s="12"/>
    </row>
    <row r="1478" customFormat="false" ht="15" hidden="false" customHeight="false" outlineLevel="0" collapsed="false">
      <c r="A1478" s="15" t="s">
        <v>4995</v>
      </c>
      <c r="B1478" s="15" t="s">
        <v>4985</v>
      </c>
      <c r="C1478" s="15" t="s">
        <v>400</v>
      </c>
      <c r="D1478" s="15" t="s">
        <v>1715</v>
      </c>
      <c r="E1478" s="15" t="s">
        <v>1716</v>
      </c>
      <c r="F1478" s="15" t="s">
        <v>3031</v>
      </c>
      <c r="G1478" s="15" t="s">
        <v>3032</v>
      </c>
      <c r="H1478" s="33" t="n">
        <f aca="false">Packages!$AB$139</f>
        <v>873.69723342764</v>
      </c>
      <c r="I1478" s="15" t="s">
        <v>3019</v>
      </c>
      <c r="J1478" s="34" t="n">
        <f aca="false">MAX(1,ROUNDUP(Packages!$AB$139/(R_BF*Fronts!$M$10),0))</f>
        <v>3</v>
      </c>
      <c r="K1478" s="34" t="n">
        <f aca="false">IF(J1478=0,0,ROUNDUP(J1478*7/WD,0))</f>
        <v>4</v>
      </c>
      <c r="L1478" s="15" t="s">
        <v>4994</v>
      </c>
      <c r="M1478" s="34" t="n">
        <f aca="false">ROUNDUP(K1477*LADDER,0)</f>
        <v>2</v>
      </c>
      <c r="N1478" s="34" t="n">
        <f aca="false">IF(K1478=0,0,FFLAG)</f>
        <v>2</v>
      </c>
      <c r="O1478" s="15" t="s">
        <v>4996</v>
      </c>
      <c r="P1478" s="16" t="n">
        <f aca="false">MAX(P1477+M1478,Q1465,Q1454)</f>
        <v>46592</v>
      </c>
      <c r="Q1478" s="16" t="n">
        <f aca="false">MAX(P1478+K1478,Q1477+N1478)</f>
        <v>46596</v>
      </c>
      <c r="R1478" s="16" t="n">
        <f aca="false">IF(K1478&gt;0,Q1478,0)</f>
        <v>46596</v>
      </c>
      <c r="S1478" s="12"/>
    </row>
    <row r="1479" customFormat="false" ht="15" hidden="false" customHeight="false" outlineLevel="0" collapsed="false">
      <c r="A1479" s="15" t="s">
        <v>4997</v>
      </c>
      <c r="B1479" s="15" t="s">
        <v>4985</v>
      </c>
      <c r="C1479" s="15" t="s">
        <v>400</v>
      </c>
      <c r="D1479" s="15" t="s">
        <v>1715</v>
      </c>
      <c r="E1479" s="15" t="s">
        <v>1716</v>
      </c>
      <c r="F1479" s="15" t="s">
        <v>3034</v>
      </c>
      <c r="G1479" s="15" t="s">
        <v>3035</v>
      </c>
      <c r="H1479" s="33" t="n">
        <f aca="false">Packages!$AD$139</f>
        <v>0</v>
      </c>
      <c r="I1479" s="15" t="s">
        <v>3012</v>
      </c>
      <c r="J1479" s="34" t="n">
        <f aca="false">IF(Packages!$AD$139&gt;0,ROUNDUP(Packages!$AD$139/R_EXT,0),0)+IF(Packages!$AG$139&gt;0,1,0)</f>
        <v>1</v>
      </c>
      <c r="K1479" s="34" t="n">
        <f aca="false">IF(J1479=0,0,ROUNDUP(J1479*7/WD,0))</f>
        <v>2</v>
      </c>
      <c r="L1479" s="15" t="s">
        <v>4995</v>
      </c>
      <c r="M1479" s="34" t="n">
        <f aca="false">ROUNDUP(K1478*LADDER,0)</f>
        <v>2</v>
      </c>
      <c r="N1479" s="34" t="n">
        <f aca="false">IF(K1479=0,0,FFLAG)</f>
        <v>2</v>
      </c>
      <c r="O1479" s="15"/>
      <c r="P1479" s="16" t="n">
        <f aca="false">MAX(P1478+M1479)</f>
        <v>46594</v>
      </c>
      <c r="Q1479" s="16" t="n">
        <f aca="false">MAX(P1479+K1479,Q1478+N1479)</f>
        <v>46598</v>
      </c>
      <c r="R1479" s="12"/>
      <c r="S1479" s="12"/>
    </row>
    <row r="1480" customFormat="false" ht="15" hidden="false" customHeight="false" outlineLevel="0" collapsed="false">
      <c r="A1480" s="15" t="s">
        <v>4998</v>
      </c>
      <c r="B1480" s="15" t="s">
        <v>4999</v>
      </c>
      <c r="C1480" s="15" t="s">
        <v>400</v>
      </c>
      <c r="D1480" s="15" t="s">
        <v>1293</v>
      </c>
      <c r="E1480" s="15" t="s">
        <v>1330</v>
      </c>
      <c r="F1480" s="15" t="s">
        <v>2998</v>
      </c>
      <c r="G1480" s="15" t="s">
        <v>2999</v>
      </c>
      <c r="H1480" s="12"/>
      <c r="I1480" s="12"/>
      <c r="J1480" s="34" t="n">
        <f aca="false">0</f>
        <v>0</v>
      </c>
      <c r="K1480" s="34" t="n">
        <f aca="false">IF(J1480=0,0,ROUNDUP(J1480*7/WD,0))</f>
        <v>0</v>
      </c>
      <c r="L1480" s="12"/>
      <c r="M1480" s="12"/>
      <c r="N1480" s="12"/>
      <c r="O1480" s="15" t="s">
        <v>3000</v>
      </c>
      <c r="P1480" s="16" t="n">
        <f aca="false">MAX(START,D_DLU,Packages!$I$140,Packages!$K$140)</f>
        <v>46357</v>
      </c>
      <c r="Q1480" s="16" t="n">
        <f aca="false">P1480+K1480</f>
        <v>46357</v>
      </c>
      <c r="R1480" s="12"/>
      <c r="S1480" s="12"/>
    </row>
    <row r="1481" customFormat="false" ht="15" hidden="false" customHeight="false" outlineLevel="0" collapsed="false">
      <c r="A1481" s="15" t="s">
        <v>5000</v>
      </c>
      <c r="B1481" s="15" t="s">
        <v>4999</v>
      </c>
      <c r="C1481" s="15" t="s">
        <v>400</v>
      </c>
      <c r="D1481" s="15" t="s">
        <v>1293</v>
      </c>
      <c r="E1481" s="15" t="s">
        <v>1330</v>
      </c>
      <c r="F1481" s="15" t="s">
        <v>3002</v>
      </c>
      <c r="G1481" s="15" t="s">
        <v>205</v>
      </c>
      <c r="H1481" s="33" t="n">
        <f aca="false">Packages!$O$140</f>
        <v>36.14029042333</v>
      </c>
      <c r="I1481" s="15" t="s">
        <v>118</v>
      </c>
      <c r="J1481" s="34" t="n">
        <f aca="false">MAX(1,ROUNDUP(Packages!$O$140/R_PLAT,0))</f>
        <v>1</v>
      </c>
      <c r="K1481" s="34" t="n">
        <f aca="false">IF(J1481=0,0,ROUNDUP(J1481*7/WD,0))</f>
        <v>2</v>
      </c>
      <c r="L1481" s="15" t="s">
        <v>4998</v>
      </c>
      <c r="M1481" s="12"/>
      <c r="N1481" s="12"/>
      <c r="O1481" s="15" t="s">
        <v>5001</v>
      </c>
      <c r="P1481" s="16" t="n">
        <f aca="false">MAX(Q1480,P1449)</f>
        <v>46502</v>
      </c>
      <c r="Q1481" s="16" t="n">
        <f aca="false">P1481+K1481</f>
        <v>46504</v>
      </c>
      <c r="R1481" s="12"/>
      <c r="S1481" s="12"/>
    </row>
    <row r="1482" customFormat="false" ht="15" hidden="false" customHeight="false" outlineLevel="0" collapsed="false">
      <c r="A1482" s="15" t="s">
        <v>5002</v>
      </c>
      <c r="B1482" s="15" t="s">
        <v>4999</v>
      </c>
      <c r="C1482" s="15" t="s">
        <v>400</v>
      </c>
      <c r="D1482" s="15" t="s">
        <v>1293</v>
      </c>
      <c r="E1482" s="15" t="s">
        <v>1330</v>
      </c>
      <c r="F1482" s="15" t="s">
        <v>3005</v>
      </c>
      <c r="G1482" s="15" t="s">
        <v>3006</v>
      </c>
      <c r="H1482" s="33" t="n">
        <f aca="false">Packages!$AC$140</f>
        <v>28</v>
      </c>
      <c r="I1482" s="15" t="s">
        <v>3007</v>
      </c>
      <c r="J1482" s="34" t="n">
        <f aca="false">IF(Packages!$AC$140=0,0,MAX(1,ROUNDUP(Packages!$AC$140/(R_PILE*Fronts!$H$10),0)))</f>
        <v>6</v>
      </c>
      <c r="K1482" s="34" t="n">
        <f aca="false">IF(J1482=0,0,ROUNDUP(J1482*7/WD,0))</f>
        <v>7</v>
      </c>
      <c r="L1482" s="15" t="s">
        <v>5000</v>
      </c>
      <c r="M1482" s="34" t="n">
        <f aca="false">ROUNDUP(K1481*LADDER,0)</f>
        <v>1</v>
      </c>
      <c r="N1482" s="34" t="n">
        <f aca="false">IF(K1482=0,0,FFLAG)</f>
        <v>2</v>
      </c>
      <c r="O1482" s="15" t="s">
        <v>3008</v>
      </c>
      <c r="P1482" s="16" t="n">
        <f aca="false">MAX(P1481+M1482,D_PILEDES,R1449)</f>
        <v>46512</v>
      </c>
      <c r="Q1482" s="16" t="n">
        <f aca="false">MAX(P1482+K1482,Q1481+N1482)</f>
        <v>46519</v>
      </c>
      <c r="R1482" s="16" t="n">
        <f aca="false">IF(K1482&gt;0,Q1482,R1449)</f>
        <v>46519</v>
      </c>
      <c r="S1482" s="15" t="s">
        <v>4959</v>
      </c>
    </row>
    <row r="1483" customFormat="false" ht="15" hidden="false" customHeight="false" outlineLevel="0" collapsed="false">
      <c r="A1483" s="15" t="s">
        <v>5003</v>
      </c>
      <c r="B1483" s="15" t="s">
        <v>4999</v>
      </c>
      <c r="C1483" s="15" t="s">
        <v>400</v>
      </c>
      <c r="D1483" s="15" t="s">
        <v>1293</v>
      </c>
      <c r="E1483" s="15" t="s">
        <v>1330</v>
      </c>
      <c r="F1483" s="15" t="s">
        <v>3010</v>
      </c>
      <c r="G1483" s="15" t="s">
        <v>3011</v>
      </c>
      <c r="H1483" s="33" t="n">
        <f aca="false">Packages!$AD$140</f>
        <v>72.2805808466599</v>
      </c>
      <c r="I1483" s="15" t="s">
        <v>3012</v>
      </c>
      <c r="J1483" s="34" t="n">
        <f aca="false">IF(Packages!$AD$140=0,0,MAX(1,ROUNDUP(Packages!$AD$140/(R_SHEET*Fronts!$I$10),0)))</f>
        <v>3</v>
      </c>
      <c r="K1483" s="34" t="n">
        <f aca="false">IF(J1483=0,0,ROUNDUP(J1483*7/WD,0))</f>
        <v>4</v>
      </c>
      <c r="L1483" s="15" t="s">
        <v>5002</v>
      </c>
      <c r="M1483" s="34" t="n">
        <f aca="false">ROUNDUP(K1482*LADDER,0)</f>
        <v>3</v>
      </c>
      <c r="N1483" s="34" t="n">
        <f aca="false">IF(K1483=0,0,FFLAG)</f>
        <v>2</v>
      </c>
      <c r="O1483" s="15"/>
      <c r="P1483" s="16" t="n">
        <f aca="false">MAX(P1482+M1483,R1450)</f>
        <v>46515</v>
      </c>
      <c r="Q1483" s="16" t="n">
        <f aca="false">MAX(P1483+K1483,Q1482+N1483)</f>
        <v>46521</v>
      </c>
      <c r="R1483" s="16" t="n">
        <f aca="false">IF(K1483&gt;0,Q1483,R1450)</f>
        <v>46521</v>
      </c>
      <c r="S1483" s="15" t="s">
        <v>4960</v>
      </c>
    </row>
    <row r="1484" customFormat="false" ht="15" hidden="false" customHeight="false" outlineLevel="0" collapsed="false">
      <c r="A1484" s="15" t="s">
        <v>5004</v>
      </c>
      <c r="B1484" s="15" t="s">
        <v>4999</v>
      </c>
      <c r="C1484" s="15" t="s">
        <v>400</v>
      </c>
      <c r="D1484" s="15" t="s">
        <v>1293</v>
      </c>
      <c r="E1484" s="15" t="s">
        <v>1330</v>
      </c>
      <c r="F1484" s="15" t="s">
        <v>3014</v>
      </c>
      <c r="G1484" s="15" t="s">
        <v>3015</v>
      </c>
      <c r="H1484" s="33" t="n">
        <f aca="false">Packages!$O$140</f>
        <v>36.14029042333</v>
      </c>
      <c r="I1484" s="15" t="s">
        <v>118</v>
      </c>
      <c r="J1484" s="34" t="n">
        <f aca="false">IF(Packages!$AG$140=0,0,ROUNDUP(Packages!$O$140/R_DW,0)+DW_DRAW)</f>
        <v>8</v>
      </c>
      <c r="K1484" s="34" t="n">
        <f aca="false">IF(J1484=0,0,ROUNDUP(J1484*7/WD,0))</f>
        <v>10</v>
      </c>
      <c r="L1484" s="15" t="s">
        <v>5003</v>
      </c>
      <c r="M1484" s="34" t="n">
        <f aca="false">ROUNDUP(K1483*LADDER,0)</f>
        <v>2</v>
      </c>
      <c r="N1484" s="34" t="n">
        <f aca="false">IF(K1484=0,0,FFLAG)</f>
        <v>2</v>
      </c>
      <c r="O1484" s="15" t="s">
        <v>5005</v>
      </c>
      <c r="P1484" s="16" t="n">
        <f aca="false">MAX(P1483+M1484,Q1452-K1484)</f>
        <v>46517</v>
      </c>
      <c r="Q1484" s="16" t="n">
        <f aca="false">MAX(P1484+K1484,Q1483+N1484)</f>
        <v>46527</v>
      </c>
      <c r="R1484" s="12"/>
      <c r="S1484" s="12"/>
    </row>
    <row r="1485" customFormat="false" ht="15" hidden="false" customHeight="false" outlineLevel="0" collapsed="false">
      <c r="A1485" s="15" t="s">
        <v>5006</v>
      </c>
      <c r="B1485" s="15" t="s">
        <v>4999</v>
      </c>
      <c r="C1485" s="15" t="s">
        <v>400</v>
      </c>
      <c r="D1485" s="15" t="s">
        <v>1293</v>
      </c>
      <c r="E1485" s="15" t="s">
        <v>1330</v>
      </c>
      <c r="F1485" s="15" t="s">
        <v>3017</v>
      </c>
      <c r="G1485" s="15" t="s">
        <v>3018</v>
      </c>
      <c r="H1485" s="33" t="n">
        <f aca="false">Packages!$X$140+Packages!$Y$140</f>
        <v>370.216993400476</v>
      </c>
      <c r="I1485" s="15" t="s">
        <v>3019</v>
      </c>
      <c r="J1485" s="34" t="n">
        <f aca="false">MAX(1,ROUNDUP((Packages!$X$140/R_EXS+Packages!$Y$140/R_EXO)/Fronts!$J$10,0))</f>
        <v>2</v>
      </c>
      <c r="K1485" s="34" t="n">
        <f aca="false">IF(J1485=0,0,ROUNDUP(J1485*7/WD,0))</f>
        <v>3</v>
      </c>
      <c r="L1485" s="15" t="s">
        <v>5004</v>
      </c>
      <c r="M1485" s="34" t="n">
        <f aca="false">IF(K1484=0,0,ROUNDUP((K1484-ROUNDUP(DW_DRAW*7/WD,0))*LADDER,0)+ROUNDUP(DW_DRAW*7/WD,0))</f>
        <v>10</v>
      </c>
      <c r="N1485" s="34" t="n">
        <f aca="false">IF(K1485=0,0,FFLAG)</f>
        <v>2</v>
      </c>
      <c r="O1485" s="15"/>
      <c r="P1485" s="16" t="n">
        <f aca="false">MAX(P1484+M1485,R1452)</f>
        <v>46527</v>
      </c>
      <c r="Q1485" s="16" t="n">
        <f aca="false">MAX(P1485+K1485,Q1484+N1485)</f>
        <v>46530</v>
      </c>
      <c r="R1485" s="16" t="n">
        <f aca="false">IF(K1485&gt;0,Q1485,R1452)</f>
        <v>46530</v>
      </c>
      <c r="S1485" s="15" t="s">
        <v>4963</v>
      </c>
    </row>
    <row r="1486" customFormat="false" ht="15" hidden="false" customHeight="false" outlineLevel="0" collapsed="false">
      <c r="A1486" s="15" t="s">
        <v>5007</v>
      </c>
      <c r="B1486" s="15" t="s">
        <v>4999</v>
      </c>
      <c r="C1486" s="15" t="s">
        <v>400</v>
      </c>
      <c r="D1486" s="15" t="s">
        <v>1293</v>
      </c>
      <c r="E1486" s="15" t="s">
        <v>1330</v>
      </c>
      <c r="F1486" s="15" t="s">
        <v>3022</v>
      </c>
      <c r="G1486" s="15" t="s">
        <v>3023</v>
      </c>
      <c r="H1486" s="33" t="n">
        <f aca="false">Packages!$O$140</f>
        <v>36.14029042333</v>
      </c>
      <c r="I1486" s="15" t="s">
        <v>118</v>
      </c>
      <c r="J1486" s="34" t="n">
        <f aca="false">MAX(1,ROUNDUP(Packages!$O$140/(R_SLAB*Fronts!$K$10),0))+SLAB_CURE</f>
        <v>7</v>
      </c>
      <c r="K1486" s="34" t="n">
        <f aca="false">IF(J1486=0,0,ROUNDUP(J1486*7/WD,0))</f>
        <v>9</v>
      </c>
      <c r="L1486" s="15" t="s">
        <v>5006</v>
      </c>
      <c r="M1486" s="34" t="n">
        <f aca="false">ROUNDUP(K1485*LADDER,0)</f>
        <v>1</v>
      </c>
      <c r="N1486" s="34" t="n">
        <f aca="false">IF(K1486=0,0,FFLAG)</f>
        <v>2</v>
      </c>
      <c r="O1486" s="15"/>
      <c r="P1486" s="16" t="n">
        <f aca="false">MAX(P1485+M1486,R1453)</f>
        <v>46585</v>
      </c>
      <c r="Q1486" s="16" t="n">
        <f aca="false">MAX(P1486+K1486,Q1485+N1486)</f>
        <v>46594</v>
      </c>
      <c r="R1486" s="16" t="n">
        <f aca="false">IF(K1486&gt;0,Q1486,R1453)</f>
        <v>46594</v>
      </c>
      <c r="S1486" s="15" t="s">
        <v>4964</v>
      </c>
    </row>
    <row r="1487" customFormat="false" ht="15" hidden="false" customHeight="false" outlineLevel="0" collapsed="false">
      <c r="A1487" s="15" t="s">
        <v>5008</v>
      </c>
      <c r="B1487" s="15" t="s">
        <v>4999</v>
      </c>
      <c r="C1487" s="15" t="s">
        <v>400</v>
      </c>
      <c r="D1487" s="15" t="s">
        <v>1293</v>
      </c>
      <c r="E1487" s="15" t="s">
        <v>1330</v>
      </c>
      <c r="F1487" s="15" t="s">
        <v>3025</v>
      </c>
      <c r="G1487" s="15" t="s">
        <v>3026</v>
      </c>
      <c r="H1487" s="33" t="n">
        <f aca="false">Packages!$O$140</f>
        <v>36.14029042333</v>
      </c>
      <c r="I1487" s="15" t="s">
        <v>118</v>
      </c>
      <c r="J1487" s="34" t="n">
        <f aca="false">MAX(1,ROUNDUP(Packages!$O$140/(IF(Packages!$N$140&gt;=PIPE_T1,R_PIPE_L,IF(Packages!$N$140&gt;=PIPE_T2,R_PIPE_M,R_PIPE_S))*Fronts!$L$10)+Packages!$M$140*FIT_D+IF(Packages!$G$140&lt;&gt;"Run",TIE_D,0),0))</f>
        <v>3</v>
      </c>
      <c r="K1487" s="34" t="n">
        <f aca="false">IF(J1487=0,0,ROUNDUP(J1487*7/WD,0))</f>
        <v>4</v>
      </c>
      <c r="L1487" s="15" t="s">
        <v>5007</v>
      </c>
      <c r="M1487" s="34" t="n">
        <f aca="false">ROUNDUP(K1486*LADDER,0)</f>
        <v>3</v>
      </c>
      <c r="N1487" s="34" t="n">
        <f aca="false">IF(K1487=0,0,FFLAG)</f>
        <v>2</v>
      </c>
      <c r="O1487" s="15"/>
      <c r="P1487" s="16" t="n">
        <f aca="false">MAX(P1486+M1487,R1454)</f>
        <v>46588</v>
      </c>
      <c r="Q1487" s="16" t="n">
        <f aca="false">MAX(P1487+K1487,Q1486+N1487)</f>
        <v>46596</v>
      </c>
      <c r="R1487" s="16" t="n">
        <f aca="false">IF(K1487&gt;0,Q1487,R1454)</f>
        <v>46596</v>
      </c>
      <c r="S1487" s="15" t="s">
        <v>4965</v>
      </c>
    </row>
    <row r="1488" customFormat="false" ht="15" hidden="false" customHeight="false" outlineLevel="0" collapsed="false">
      <c r="A1488" s="15" t="s">
        <v>5009</v>
      </c>
      <c r="B1488" s="15" t="s">
        <v>4999</v>
      </c>
      <c r="C1488" s="15" t="s">
        <v>400</v>
      </c>
      <c r="D1488" s="15" t="s">
        <v>1293</v>
      </c>
      <c r="E1488" s="15" t="s">
        <v>1330</v>
      </c>
      <c r="F1488" s="15" t="s">
        <v>3028</v>
      </c>
      <c r="G1488" s="15" t="s">
        <v>3029</v>
      </c>
      <c r="H1488" s="33" t="n">
        <f aca="false">Packages!$O$140</f>
        <v>36.14029042333</v>
      </c>
      <c r="I1488" s="15" t="s">
        <v>118</v>
      </c>
      <c r="J1488" s="34" t="n">
        <f aca="false">TEST_D+ROUNDUP(Packages!$O$140/R_TEST,0)</f>
        <v>3</v>
      </c>
      <c r="K1488" s="34" t="n">
        <f aca="false">IF(J1488=0,0,ROUNDUP(J1488*7/WD,0))</f>
        <v>4</v>
      </c>
      <c r="L1488" s="15" t="s">
        <v>5008</v>
      </c>
      <c r="M1488" s="34" t="n">
        <f aca="false">ROUNDUP(K1487*LADDER,0)</f>
        <v>2</v>
      </c>
      <c r="N1488" s="34" t="n">
        <f aca="false">IF(K1488=0,0,FFLAG)</f>
        <v>2</v>
      </c>
      <c r="O1488" s="15"/>
      <c r="P1488" s="16" t="n">
        <f aca="false">MAX(P1487+M1488)</f>
        <v>46590</v>
      </c>
      <c r="Q1488" s="16" t="n">
        <f aca="false">MAX(P1488+K1488,Q1487+N1488)</f>
        <v>46598</v>
      </c>
      <c r="R1488" s="12"/>
      <c r="S1488" s="12"/>
    </row>
    <row r="1489" customFormat="false" ht="15" hidden="false" customHeight="false" outlineLevel="0" collapsed="false">
      <c r="A1489" s="15" t="s">
        <v>5010</v>
      </c>
      <c r="B1489" s="15" t="s">
        <v>4999</v>
      </c>
      <c r="C1489" s="15" t="s">
        <v>400</v>
      </c>
      <c r="D1489" s="15" t="s">
        <v>1293</v>
      </c>
      <c r="E1489" s="15" t="s">
        <v>1330</v>
      </c>
      <c r="F1489" s="15" t="s">
        <v>3031</v>
      </c>
      <c r="G1489" s="15" t="s">
        <v>3032</v>
      </c>
      <c r="H1489" s="33" t="n">
        <f aca="false">Packages!$AB$140</f>
        <v>304.50000514229</v>
      </c>
      <c r="I1489" s="15" t="s">
        <v>3019</v>
      </c>
      <c r="J1489" s="34" t="n">
        <f aca="false">MAX(1,ROUNDUP(Packages!$AB$140/(R_BF*Fronts!$M$10),0))</f>
        <v>1</v>
      </c>
      <c r="K1489" s="34" t="n">
        <f aca="false">IF(J1489=0,0,ROUNDUP(J1489*7/WD,0))</f>
        <v>2</v>
      </c>
      <c r="L1489" s="15" t="s">
        <v>5009</v>
      </c>
      <c r="M1489" s="34" t="n">
        <f aca="false">ROUNDUP(K1488*LADDER,0)</f>
        <v>2</v>
      </c>
      <c r="N1489" s="34" t="n">
        <f aca="false">IF(K1489=0,0,FFLAG)</f>
        <v>2</v>
      </c>
      <c r="O1489" s="15" t="s">
        <v>5011</v>
      </c>
      <c r="P1489" s="16" t="n">
        <f aca="false">MAX(P1488+M1489,R1456,Q1509)</f>
        <v>46592</v>
      </c>
      <c r="Q1489" s="16" t="n">
        <f aca="false">MAX(P1489+K1489,Q1488+N1489)</f>
        <v>46600</v>
      </c>
      <c r="R1489" s="16" t="n">
        <f aca="false">IF(K1489&gt;0,Q1489,R1456)</f>
        <v>46600</v>
      </c>
      <c r="S1489" s="15" t="s">
        <v>4967</v>
      </c>
    </row>
    <row r="1490" customFormat="false" ht="15" hidden="false" customHeight="false" outlineLevel="0" collapsed="false">
      <c r="A1490" s="15" t="s">
        <v>5012</v>
      </c>
      <c r="B1490" s="15" t="s">
        <v>4999</v>
      </c>
      <c r="C1490" s="15" t="s">
        <v>400</v>
      </c>
      <c r="D1490" s="15" t="s">
        <v>1293</v>
      </c>
      <c r="E1490" s="15" t="s">
        <v>1330</v>
      </c>
      <c r="F1490" s="15" t="s">
        <v>3034</v>
      </c>
      <c r="G1490" s="15" t="s">
        <v>3035</v>
      </c>
      <c r="H1490" s="33" t="n">
        <f aca="false">Packages!$AD$140</f>
        <v>72.2805808466599</v>
      </c>
      <c r="I1490" s="15" t="s">
        <v>3012</v>
      </c>
      <c r="J1490" s="34" t="n">
        <f aca="false">IF(Packages!$AD$140&gt;0,ROUNDUP(Packages!$AD$140/R_EXT,0),0)+IF(Packages!$AG$140&gt;0,1,0)</f>
        <v>3</v>
      </c>
      <c r="K1490" s="34" t="n">
        <f aca="false">IF(J1490=0,0,ROUNDUP(J1490*7/WD,0))</f>
        <v>4</v>
      </c>
      <c r="L1490" s="15" t="s">
        <v>5010</v>
      </c>
      <c r="M1490" s="34" t="n">
        <f aca="false">ROUNDUP(K1489*LADDER,0)</f>
        <v>1</v>
      </c>
      <c r="N1490" s="34" t="n">
        <f aca="false">IF(K1490=0,0,FFLAG)</f>
        <v>2</v>
      </c>
      <c r="O1490" s="15"/>
      <c r="P1490" s="16" t="n">
        <f aca="false">MAX(P1489+M1490)</f>
        <v>46593</v>
      </c>
      <c r="Q1490" s="16" t="n">
        <f aca="false">MAX(P1490+K1490,Q1489+N1490)</f>
        <v>46602</v>
      </c>
      <c r="R1490" s="12"/>
      <c r="S1490" s="12"/>
    </row>
    <row r="1491" customFormat="false" ht="15" hidden="false" customHeight="false" outlineLevel="0" collapsed="false">
      <c r="A1491" s="15" t="s">
        <v>5013</v>
      </c>
      <c r="B1491" s="15" t="s">
        <v>5014</v>
      </c>
      <c r="C1491" s="15" t="s">
        <v>400</v>
      </c>
      <c r="D1491" s="15" t="s">
        <v>1293</v>
      </c>
      <c r="E1491" s="15" t="s">
        <v>1328</v>
      </c>
      <c r="F1491" s="15" t="s">
        <v>2998</v>
      </c>
      <c r="G1491" s="15" t="s">
        <v>2999</v>
      </c>
      <c r="H1491" s="12"/>
      <c r="I1491" s="12"/>
      <c r="J1491" s="34" t="n">
        <f aca="false">0</f>
        <v>0</v>
      </c>
      <c r="K1491" s="34" t="n">
        <f aca="false">IF(J1491=0,0,ROUNDUP(J1491*7/WD,0))</f>
        <v>0</v>
      </c>
      <c r="L1491" s="12"/>
      <c r="M1491" s="12"/>
      <c r="N1491" s="12"/>
      <c r="O1491" s="15" t="s">
        <v>3038</v>
      </c>
      <c r="P1491" s="16" t="n">
        <f aca="false">MAX(START,D_DLU,Packages!$I$141,Packages!$K$141)</f>
        <v>46357</v>
      </c>
      <c r="Q1491" s="16" t="n">
        <f aca="false">P1491+K1491</f>
        <v>46357</v>
      </c>
      <c r="R1491" s="12"/>
      <c r="S1491" s="12"/>
    </row>
    <row r="1492" customFormat="false" ht="15" hidden="false" customHeight="false" outlineLevel="0" collapsed="false">
      <c r="A1492" s="15" t="s">
        <v>5015</v>
      </c>
      <c r="B1492" s="15" t="s">
        <v>5014</v>
      </c>
      <c r="C1492" s="15" t="s">
        <v>400</v>
      </c>
      <c r="D1492" s="15" t="s">
        <v>1293</v>
      </c>
      <c r="E1492" s="15" t="s">
        <v>1328</v>
      </c>
      <c r="F1492" s="15" t="s">
        <v>3002</v>
      </c>
      <c r="G1492" s="15" t="s">
        <v>205</v>
      </c>
      <c r="H1492" s="33" t="n">
        <f aca="false">Packages!$O$141</f>
        <v>5.99999999951064</v>
      </c>
      <c r="I1492" s="15" t="s">
        <v>118</v>
      </c>
      <c r="J1492" s="34" t="n">
        <f aca="false">MAX(1,ROUNDUP(Packages!$O$141/R_PLAT,0))</f>
        <v>1</v>
      </c>
      <c r="K1492" s="34" t="n">
        <f aca="false">IF(J1492=0,0,ROUNDUP(J1492*7/WD,0))</f>
        <v>2</v>
      </c>
      <c r="L1492" s="15" t="s">
        <v>5013</v>
      </c>
      <c r="M1492" s="12"/>
      <c r="N1492" s="12"/>
      <c r="O1492" s="15" t="s">
        <v>5016</v>
      </c>
      <c r="P1492" s="16" t="n">
        <f aca="false">MAX(Q1491,P1482)</f>
        <v>46512</v>
      </c>
      <c r="Q1492" s="16" t="n">
        <f aca="false">P1492+K1492</f>
        <v>46514</v>
      </c>
      <c r="R1492" s="12"/>
      <c r="S1492" s="12"/>
    </row>
    <row r="1493" customFormat="false" ht="15" hidden="false" customHeight="false" outlineLevel="0" collapsed="false">
      <c r="A1493" s="15" t="s">
        <v>5017</v>
      </c>
      <c r="B1493" s="15" t="s">
        <v>5014</v>
      </c>
      <c r="C1493" s="15" t="s">
        <v>400</v>
      </c>
      <c r="D1493" s="15" t="s">
        <v>1293</v>
      </c>
      <c r="E1493" s="15" t="s">
        <v>1328</v>
      </c>
      <c r="F1493" s="15" t="s">
        <v>3005</v>
      </c>
      <c r="G1493" s="15" t="s">
        <v>3006</v>
      </c>
      <c r="H1493" s="33" t="n">
        <f aca="false">Packages!$AC$141</f>
        <v>3</v>
      </c>
      <c r="I1493" s="15" t="s">
        <v>3007</v>
      </c>
      <c r="J1493" s="34" t="n">
        <f aca="false">IF(Packages!$AC$141=0,0,MAX(1,ROUNDUP(Packages!$AC$141/(R_PILE*Fronts!$H$10),0)))</f>
        <v>1</v>
      </c>
      <c r="K1493" s="34" t="n">
        <f aca="false">IF(J1493=0,0,ROUNDUP(J1493*7/WD,0))</f>
        <v>2</v>
      </c>
      <c r="L1493" s="15" t="s">
        <v>5015</v>
      </c>
      <c r="M1493" s="34" t="n">
        <f aca="false">ROUNDUP(K1492*LADDER,0)</f>
        <v>1</v>
      </c>
      <c r="N1493" s="34" t="n">
        <f aca="false">IF(K1493=0,0,FFLAG)</f>
        <v>2</v>
      </c>
      <c r="O1493" s="15" t="s">
        <v>3008</v>
      </c>
      <c r="P1493" s="16" t="n">
        <f aca="false">MAX(P1492+M1493,D_PILEDES)</f>
        <v>46513</v>
      </c>
      <c r="Q1493" s="16" t="n">
        <f aca="false">MAX(P1493+K1493,Q1492+N1493)</f>
        <v>46516</v>
      </c>
      <c r="R1493" s="16" t="n">
        <f aca="false">IF(K1493&gt;0,Q1493,0)</f>
        <v>46516</v>
      </c>
      <c r="S1493" s="12"/>
    </row>
    <row r="1494" customFormat="false" ht="15" hidden="false" customHeight="false" outlineLevel="0" collapsed="false">
      <c r="A1494" s="15" t="s">
        <v>5018</v>
      </c>
      <c r="B1494" s="15" t="s">
        <v>5014</v>
      </c>
      <c r="C1494" s="15" t="s">
        <v>400</v>
      </c>
      <c r="D1494" s="15" t="s">
        <v>1293</v>
      </c>
      <c r="E1494" s="15" t="s">
        <v>1328</v>
      </c>
      <c r="F1494" s="15" t="s">
        <v>3010</v>
      </c>
      <c r="G1494" s="15" t="s">
        <v>3011</v>
      </c>
      <c r="H1494" s="33" t="n">
        <f aca="false">Packages!$AD$141</f>
        <v>11.9999999990213</v>
      </c>
      <c r="I1494" s="15" t="s">
        <v>3012</v>
      </c>
      <c r="J1494" s="34" t="n">
        <f aca="false">IF(Packages!$AD$141=0,0,MAX(1,ROUNDUP(Packages!$AD$141/(R_SHEET*Fronts!$I$10),0)))</f>
        <v>1</v>
      </c>
      <c r="K1494" s="34" t="n">
        <f aca="false">IF(J1494=0,0,ROUNDUP(J1494*7/WD,0))</f>
        <v>2</v>
      </c>
      <c r="L1494" s="15" t="s">
        <v>5017</v>
      </c>
      <c r="M1494" s="34" t="n">
        <f aca="false">ROUNDUP(K1493*LADDER,0)</f>
        <v>1</v>
      </c>
      <c r="N1494" s="34" t="n">
        <f aca="false">IF(K1494=0,0,FFLAG)</f>
        <v>2</v>
      </c>
      <c r="O1494" s="15"/>
      <c r="P1494" s="16" t="n">
        <f aca="false">MAX(P1493+M1494)</f>
        <v>46514</v>
      </c>
      <c r="Q1494" s="16" t="n">
        <f aca="false">MAX(P1494+K1494,Q1493+N1494)</f>
        <v>46518</v>
      </c>
      <c r="R1494" s="16" t="n">
        <f aca="false">IF(K1494&gt;0,Q1494,0)</f>
        <v>46518</v>
      </c>
      <c r="S1494" s="12"/>
    </row>
    <row r="1495" customFormat="false" ht="15" hidden="false" customHeight="false" outlineLevel="0" collapsed="false">
      <c r="A1495" s="15" t="s">
        <v>5019</v>
      </c>
      <c r="B1495" s="15" t="s">
        <v>5014</v>
      </c>
      <c r="C1495" s="15" t="s">
        <v>400</v>
      </c>
      <c r="D1495" s="15" t="s">
        <v>1293</v>
      </c>
      <c r="E1495" s="15" t="s">
        <v>1328</v>
      </c>
      <c r="F1495" s="15" t="s">
        <v>3014</v>
      </c>
      <c r="G1495" s="15" t="s">
        <v>3015</v>
      </c>
      <c r="H1495" s="33" t="n">
        <f aca="false">Packages!$O$141</f>
        <v>5.99999999951064</v>
      </c>
      <c r="I1495" s="15" t="s">
        <v>118</v>
      </c>
      <c r="J1495" s="34" t="n">
        <f aca="false">IF(Packages!$AG$141=0,0,ROUNDUP(Packages!$O$141/R_DW,0)+DW_DRAW)</f>
        <v>8</v>
      </c>
      <c r="K1495" s="34" t="n">
        <f aca="false">IF(J1495=0,0,ROUNDUP(J1495*7/WD,0))</f>
        <v>10</v>
      </c>
      <c r="L1495" s="15" t="s">
        <v>5018</v>
      </c>
      <c r="M1495" s="34" t="n">
        <f aca="false">ROUNDUP(K1494*LADDER,0)</f>
        <v>1</v>
      </c>
      <c r="N1495" s="34" t="n">
        <f aca="false">IF(K1495=0,0,FFLAG)</f>
        <v>2</v>
      </c>
      <c r="O1495" s="15"/>
      <c r="P1495" s="16" t="n">
        <f aca="false">MAX(P1494+M1495)</f>
        <v>46515</v>
      </c>
      <c r="Q1495" s="16" t="n">
        <f aca="false">MAX(P1495+K1495,Q1494+N1495)</f>
        <v>46525</v>
      </c>
      <c r="R1495" s="12"/>
      <c r="S1495" s="12"/>
    </row>
    <row r="1496" customFormat="false" ht="15" hidden="false" customHeight="false" outlineLevel="0" collapsed="false">
      <c r="A1496" s="15" t="s">
        <v>5020</v>
      </c>
      <c r="B1496" s="15" t="s">
        <v>5014</v>
      </c>
      <c r="C1496" s="15" t="s">
        <v>400</v>
      </c>
      <c r="D1496" s="15" t="s">
        <v>1293</v>
      </c>
      <c r="E1496" s="15" t="s">
        <v>1328</v>
      </c>
      <c r="F1496" s="15" t="s">
        <v>3017</v>
      </c>
      <c r="G1496" s="15" t="s">
        <v>3018</v>
      </c>
      <c r="H1496" s="33" t="n">
        <f aca="false">Packages!$X$141+Packages!$Y$141</f>
        <v>61.0197524609683</v>
      </c>
      <c r="I1496" s="15" t="s">
        <v>3019</v>
      </c>
      <c r="J1496" s="34" t="n">
        <f aca="false">MAX(1,ROUNDUP((Packages!$X$141/R_EXS+Packages!$Y$141/R_EXO)/Fronts!$J$10,0))</f>
        <v>1</v>
      </c>
      <c r="K1496" s="34" t="n">
        <f aca="false">IF(J1496=0,0,ROUNDUP(J1496*7/WD,0))</f>
        <v>2</v>
      </c>
      <c r="L1496" s="15" t="s">
        <v>5019</v>
      </c>
      <c r="M1496" s="34" t="n">
        <f aca="false">IF(K1495=0,0,ROUNDUP((K1495-ROUNDUP(DW_DRAW*7/WD,0))*LADDER,0)+ROUNDUP(DW_DRAW*7/WD,0))</f>
        <v>10</v>
      </c>
      <c r="N1496" s="34" t="n">
        <f aca="false">IF(K1496=0,0,FFLAG)</f>
        <v>2</v>
      </c>
      <c r="O1496" s="15"/>
      <c r="P1496" s="16" t="n">
        <f aca="false">MAX(P1495+M1496)</f>
        <v>46525</v>
      </c>
      <c r="Q1496" s="16" t="n">
        <f aca="false">MAX(P1496+K1496,Q1495+N1496)</f>
        <v>46527</v>
      </c>
      <c r="R1496" s="16" t="n">
        <f aca="false">IF(K1496&gt;0,Q1496,0)</f>
        <v>46527</v>
      </c>
      <c r="S1496" s="12"/>
    </row>
    <row r="1497" customFormat="false" ht="15" hidden="false" customHeight="false" outlineLevel="0" collapsed="false">
      <c r="A1497" s="15" t="s">
        <v>5021</v>
      </c>
      <c r="B1497" s="15" t="s">
        <v>5014</v>
      </c>
      <c r="C1497" s="15" t="s">
        <v>400</v>
      </c>
      <c r="D1497" s="15" t="s">
        <v>1293</v>
      </c>
      <c r="E1497" s="15" t="s">
        <v>1328</v>
      </c>
      <c r="F1497" s="15" t="s">
        <v>3022</v>
      </c>
      <c r="G1497" s="15" t="s">
        <v>3023</v>
      </c>
      <c r="H1497" s="33" t="n">
        <f aca="false">Packages!$O$141</f>
        <v>5.99999999951064</v>
      </c>
      <c r="I1497" s="15" t="s">
        <v>118</v>
      </c>
      <c r="J1497" s="34" t="n">
        <f aca="false">MAX(1,ROUNDUP(Packages!$O$141/(R_SLAB*Fronts!$K$10),0))+SLAB_CURE</f>
        <v>4</v>
      </c>
      <c r="K1497" s="34" t="n">
        <f aca="false">IF(J1497=0,0,ROUNDUP(J1497*7/WD,0))</f>
        <v>5</v>
      </c>
      <c r="L1497" s="15" t="s">
        <v>5020</v>
      </c>
      <c r="M1497" s="34" t="n">
        <f aca="false">ROUNDUP(K1496*LADDER,0)</f>
        <v>1</v>
      </c>
      <c r="N1497" s="34" t="n">
        <f aca="false">IF(K1497=0,0,FFLAG)</f>
        <v>2</v>
      </c>
      <c r="O1497" s="15"/>
      <c r="P1497" s="16" t="n">
        <f aca="false">MAX(P1496+M1497)</f>
        <v>46526</v>
      </c>
      <c r="Q1497" s="16" t="n">
        <f aca="false">MAX(P1497+K1497,Q1496+N1497)</f>
        <v>46531</v>
      </c>
      <c r="R1497" s="16" t="n">
        <f aca="false">IF(K1497&gt;0,Q1497,0)</f>
        <v>46531</v>
      </c>
      <c r="S1497" s="12"/>
    </row>
    <row r="1498" customFormat="false" ht="15" hidden="false" customHeight="false" outlineLevel="0" collapsed="false">
      <c r="A1498" s="15" t="s">
        <v>5022</v>
      </c>
      <c r="B1498" s="15" t="s">
        <v>5014</v>
      </c>
      <c r="C1498" s="15" t="s">
        <v>400</v>
      </c>
      <c r="D1498" s="15" t="s">
        <v>1293</v>
      </c>
      <c r="E1498" s="15" t="s">
        <v>1328</v>
      </c>
      <c r="F1498" s="15" t="s">
        <v>3025</v>
      </c>
      <c r="G1498" s="15" t="s">
        <v>3026</v>
      </c>
      <c r="H1498" s="33" t="n">
        <f aca="false">Packages!$O$141</f>
        <v>5.99999999951064</v>
      </c>
      <c r="I1498" s="15" t="s">
        <v>118</v>
      </c>
      <c r="J1498" s="34" t="n">
        <f aca="false">MAX(1,ROUNDUP(Packages!$O$141/(IF(Packages!$N$141&gt;=PIPE_T1,R_PIPE_L,IF(Packages!$N$141&gt;=PIPE_T2,R_PIPE_M,R_PIPE_S))*Fronts!$L$10)+Packages!$M$141*FIT_D+IF(Packages!$G$141&lt;&gt;"Run",TIE_D,0),0))</f>
        <v>4</v>
      </c>
      <c r="K1498" s="34" t="n">
        <f aca="false">IF(J1498=0,0,ROUNDUP(J1498*7/WD,0))</f>
        <v>5</v>
      </c>
      <c r="L1498" s="15" t="s">
        <v>5021</v>
      </c>
      <c r="M1498" s="34" t="n">
        <f aca="false">ROUNDUP(K1497*LADDER,0)</f>
        <v>2</v>
      </c>
      <c r="N1498" s="34" t="n">
        <f aca="false">IF(K1498=0,0,FFLAG)</f>
        <v>2</v>
      </c>
      <c r="O1498" s="15" t="s">
        <v>5023</v>
      </c>
      <c r="P1498" s="16" t="n">
        <f aca="false">MAX(P1497+M1498,Q1487)</f>
        <v>46596</v>
      </c>
      <c r="Q1498" s="16" t="n">
        <f aca="false">MAX(P1498+K1498,Q1497+N1498)</f>
        <v>46601</v>
      </c>
      <c r="R1498" s="16" t="n">
        <f aca="false">IF(K1498&gt;0,Q1498,0)</f>
        <v>46601</v>
      </c>
      <c r="S1498" s="12"/>
    </row>
    <row r="1499" customFormat="false" ht="15" hidden="false" customHeight="false" outlineLevel="0" collapsed="false">
      <c r="A1499" s="15" t="s">
        <v>5024</v>
      </c>
      <c r="B1499" s="15" t="s">
        <v>5014</v>
      </c>
      <c r="C1499" s="15" t="s">
        <v>400</v>
      </c>
      <c r="D1499" s="15" t="s">
        <v>1293</v>
      </c>
      <c r="E1499" s="15" t="s">
        <v>1328</v>
      </c>
      <c r="F1499" s="15" t="s">
        <v>3028</v>
      </c>
      <c r="G1499" s="15" t="s">
        <v>3029</v>
      </c>
      <c r="H1499" s="33" t="n">
        <f aca="false">Packages!$O$141</f>
        <v>5.99999999951064</v>
      </c>
      <c r="I1499" s="15" t="s">
        <v>118</v>
      </c>
      <c r="J1499" s="34" t="n">
        <f aca="false">TEST_D+ROUNDUP(Packages!$O$141/R_TEST,0)</f>
        <v>3</v>
      </c>
      <c r="K1499" s="34" t="n">
        <f aca="false">IF(J1499=0,0,ROUNDUP(J1499*7/WD,0))</f>
        <v>4</v>
      </c>
      <c r="L1499" s="15" t="s">
        <v>5022</v>
      </c>
      <c r="M1499" s="34" t="n">
        <f aca="false">ROUNDUP(K1498*LADDER,0)</f>
        <v>2</v>
      </c>
      <c r="N1499" s="34" t="n">
        <f aca="false">IF(K1499=0,0,FFLAG)</f>
        <v>2</v>
      </c>
      <c r="O1499" s="15"/>
      <c r="P1499" s="16" t="n">
        <f aca="false">MAX(P1498+M1499)</f>
        <v>46598</v>
      </c>
      <c r="Q1499" s="16" t="n">
        <f aca="false">MAX(P1499+K1499,Q1498+N1499)</f>
        <v>46603</v>
      </c>
      <c r="R1499" s="12"/>
      <c r="S1499" s="12"/>
    </row>
    <row r="1500" customFormat="false" ht="15" hidden="false" customHeight="false" outlineLevel="0" collapsed="false">
      <c r="A1500" s="15" t="s">
        <v>5025</v>
      </c>
      <c r="B1500" s="15" t="s">
        <v>5014</v>
      </c>
      <c r="C1500" s="15" t="s">
        <v>400</v>
      </c>
      <c r="D1500" s="15" t="s">
        <v>1293</v>
      </c>
      <c r="E1500" s="15" t="s">
        <v>1328</v>
      </c>
      <c r="F1500" s="15" t="s">
        <v>3031</v>
      </c>
      <c r="G1500" s="15" t="s">
        <v>3032</v>
      </c>
      <c r="H1500" s="33" t="n">
        <f aca="false">Packages!$AB$141</f>
        <v>50.3074683058773</v>
      </c>
      <c r="I1500" s="15" t="s">
        <v>3019</v>
      </c>
      <c r="J1500" s="34" t="n">
        <f aca="false">MAX(1,ROUNDUP(Packages!$AB$141/(R_BF*Fronts!$M$10),0))</f>
        <v>1</v>
      </c>
      <c r="K1500" s="34" t="n">
        <f aca="false">IF(J1500=0,0,ROUNDUP(J1500*7/WD,0))</f>
        <v>2</v>
      </c>
      <c r="L1500" s="15" t="s">
        <v>5024</v>
      </c>
      <c r="M1500" s="34" t="n">
        <f aca="false">ROUNDUP(K1499*LADDER,0)</f>
        <v>2</v>
      </c>
      <c r="N1500" s="34" t="n">
        <f aca="false">IF(K1500=0,0,FFLAG)</f>
        <v>2</v>
      </c>
      <c r="O1500" s="15" t="s">
        <v>5011</v>
      </c>
      <c r="P1500" s="16" t="n">
        <f aca="false">MAX(P1499+M1500,Q1509)</f>
        <v>46600</v>
      </c>
      <c r="Q1500" s="16" t="n">
        <f aca="false">MAX(P1500+K1500,Q1499+N1500)</f>
        <v>46605</v>
      </c>
      <c r="R1500" s="16" t="n">
        <f aca="false">IF(K1500&gt;0,Q1500,0)</f>
        <v>46605</v>
      </c>
      <c r="S1500" s="12"/>
    </row>
    <row r="1501" customFormat="false" ht="15" hidden="false" customHeight="false" outlineLevel="0" collapsed="false">
      <c r="A1501" s="15" t="s">
        <v>5026</v>
      </c>
      <c r="B1501" s="15" t="s">
        <v>5014</v>
      </c>
      <c r="C1501" s="15" t="s">
        <v>400</v>
      </c>
      <c r="D1501" s="15" t="s">
        <v>1293</v>
      </c>
      <c r="E1501" s="15" t="s">
        <v>1328</v>
      </c>
      <c r="F1501" s="15" t="s">
        <v>3034</v>
      </c>
      <c r="G1501" s="15" t="s">
        <v>3035</v>
      </c>
      <c r="H1501" s="33" t="n">
        <f aca="false">Packages!$AD$141</f>
        <v>11.9999999990213</v>
      </c>
      <c r="I1501" s="15" t="s">
        <v>3012</v>
      </c>
      <c r="J1501" s="34" t="n">
        <f aca="false">IF(Packages!$AD$141&gt;0,ROUNDUP(Packages!$AD$141/R_EXT,0),0)+IF(Packages!$AG$141&gt;0,1,0)</f>
        <v>2</v>
      </c>
      <c r="K1501" s="34" t="n">
        <f aca="false">IF(J1501=0,0,ROUNDUP(J1501*7/WD,0))</f>
        <v>3</v>
      </c>
      <c r="L1501" s="15" t="s">
        <v>5025</v>
      </c>
      <c r="M1501" s="34" t="n">
        <f aca="false">ROUNDUP(K1500*LADDER,0)</f>
        <v>1</v>
      </c>
      <c r="N1501" s="34" t="n">
        <f aca="false">IF(K1501=0,0,FFLAG)</f>
        <v>2</v>
      </c>
      <c r="O1501" s="15"/>
      <c r="P1501" s="16" t="n">
        <f aca="false">MAX(P1500+M1501)</f>
        <v>46601</v>
      </c>
      <c r="Q1501" s="16" t="n">
        <f aca="false">MAX(P1501+K1501,Q1500+N1501)</f>
        <v>46607</v>
      </c>
      <c r="R1501" s="12"/>
      <c r="S1501" s="12"/>
    </row>
    <row r="1502" customFormat="false" ht="15" hidden="false" customHeight="false" outlineLevel="0" collapsed="false">
      <c r="A1502" s="15" t="s">
        <v>5027</v>
      </c>
      <c r="B1502" s="15" t="s">
        <v>5028</v>
      </c>
      <c r="C1502" s="15" t="s">
        <v>400</v>
      </c>
      <c r="D1502" s="15" t="s">
        <v>1731</v>
      </c>
      <c r="E1502" s="15" t="s">
        <v>1732</v>
      </c>
      <c r="F1502" s="15" t="s">
        <v>2998</v>
      </c>
      <c r="G1502" s="15" t="s">
        <v>2999</v>
      </c>
      <c r="H1502" s="12"/>
      <c r="I1502" s="12"/>
      <c r="J1502" s="34" t="n">
        <f aca="false">0</f>
        <v>0</v>
      </c>
      <c r="K1502" s="34" t="n">
        <f aca="false">IF(J1502=0,0,ROUNDUP(J1502*7/WD,0))</f>
        <v>0</v>
      </c>
      <c r="L1502" s="12"/>
      <c r="M1502" s="12"/>
      <c r="N1502" s="12"/>
      <c r="O1502" s="15" t="s">
        <v>3038</v>
      </c>
      <c r="P1502" s="16" t="n">
        <f aca="false">MAX(START,D_DLU,Packages!$I$142,Packages!$K$142)</f>
        <v>46357</v>
      </c>
      <c r="Q1502" s="16" t="n">
        <f aca="false">P1502+K1502</f>
        <v>46357</v>
      </c>
      <c r="R1502" s="12"/>
      <c r="S1502" s="12"/>
    </row>
    <row r="1503" customFormat="false" ht="15" hidden="false" customHeight="false" outlineLevel="0" collapsed="false">
      <c r="A1503" s="15" t="s">
        <v>5029</v>
      </c>
      <c r="B1503" s="15" t="s">
        <v>5028</v>
      </c>
      <c r="C1503" s="15" t="s">
        <v>400</v>
      </c>
      <c r="D1503" s="15" t="s">
        <v>1731</v>
      </c>
      <c r="E1503" s="15" t="s">
        <v>1732</v>
      </c>
      <c r="F1503" s="15" t="s">
        <v>3002</v>
      </c>
      <c r="G1503" s="15" t="s">
        <v>205</v>
      </c>
      <c r="H1503" s="33" t="n">
        <f aca="false">Packages!$O$142</f>
        <v>38.1765969386905</v>
      </c>
      <c r="I1503" s="15" t="s">
        <v>118</v>
      </c>
      <c r="J1503" s="34" t="n">
        <f aca="false">MAX(1,ROUNDUP(Packages!$O$142/R_PLAT,0))</f>
        <v>1</v>
      </c>
      <c r="K1503" s="34" t="n">
        <f aca="false">IF(J1503=0,0,ROUNDUP(J1503*7/WD,0))</f>
        <v>2</v>
      </c>
      <c r="L1503" s="15" t="s">
        <v>5027</v>
      </c>
      <c r="M1503" s="12"/>
      <c r="N1503" s="12"/>
      <c r="O1503" s="15" t="s">
        <v>3003</v>
      </c>
      <c r="P1503" s="16" t="n">
        <f aca="false">MAX(Q1502)</f>
        <v>46357</v>
      </c>
      <c r="Q1503" s="16" t="n">
        <f aca="false">P1503+K1503</f>
        <v>46359</v>
      </c>
      <c r="R1503" s="12"/>
      <c r="S1503" s="12"/>
    </row>
    <row r="1504" customFormat="false" ht="15" hidden="false" customHeight="false" outlineLevel="0" collapsed="false">
      <c r="A1504" s="15" t="s">
        <v>5030</v>
      </c>
      <c r="B1504" s="15" t="s">
        <v>5028</v>
      </c>
      <c r="C1504" s="15" t="s">
        <v>400</v>
      </c>
      <c r="D1504" s="15" t="s">
        <v>1731</v>
      </c>
      <c r="E1504" s="15" t="s">
        <v>1732</v>
      </c>
      <c r="F1504" s="15" t="s">
        <v>3005</v>
      </c>
      <c r="G1504" s="15" t="s">
        <v>3006</v>
      </c>
      <c r="H1504" s="33" t="n">
        <f aca="false">Packages!$AC$142</f>
        <v>28</v>
      </c>
      <c r="I1504" s="15" t="s">
        <v>3007</v>
      </c>
      <c r="J1504" s="34" t="n">
        <f aca="false">IF(Packages!$AC$142=0,0,MAX(1,ROUNDUP(Packages!$AC$142/(R_PILE*Fronts!$H$10),0)))</f>
        <v>6</v>
      </c>
      <c r="K1504" s="34" t="n">
        <f aca="false">IF(J1504=0,0,ROUNDUP(J1504*7/WD,0))</f>
        <v>7</v>
      </c>
      <c r="L1504" s="15" t="s">
        <v>5029</v>
      </c>
      <c r="M1504" s="34" t="n">
        <f aca="false">ROUNDUP(K1503*LADDER,0)</f>
        <v>1</v>
      </c>
      <c r="N1504" s="34" t="n">
        <f aca="false">IF(K1504=0,0,FFLAG)</f>
        <v>2</v>
      </c>
      <c r="O1504" s="15" t="s">
        <v>3008</v>
      </c>
      <c r="P1504" s="16" t="n">
        <f aca="false">MAX(P1503+M1504,D_PILEDES)</f>
        <v>46358</v>
      </c>
      <c r="Q1504" s="16" t="n">
        <f aca="false">MAX(P1504+K1504,Q1503+N1504)</f>
        <v>46365</v>
      </c>
      <c r="R1504" s="16" t="n">
        <f aca="false">IF(K1504&gt;0,Q1504,0)</f>
        <v>46365</v>
      </c>
      <c r="S1504" s="12"/>
    </row>
    <row r="1505" customFormat="false" ht="15" hidden="false" customHeight="false" outlineLevel="0" collapsed="false">
      <c r="A1505" s="15" t="s">
        <v>5031</v>
      </c>
      <c r="B1505" s="15" t="s">
        <v>5028</v>
      </c>
      <c r="C1505" s="15" t="s">
        <v>400</v>
      </c>
      <c r="D1505" s="15" t="s">
        <v>1731</v>
      </c>
      <c r="E1505" s="15" t="s">
        <v>1732</v>
      </c>
      <c r="F1505" s="15" t="s">
        <v>3010</v>
      </c>
      <c r="G1505" s="15" t="s">
        <v>3011</v>
      </c>
      <c r="H1505" s="33" t="n">
        <f aca="false">Packages!$AD$142</f>
        <v>0</v>
      </c>
      <c r="I1505" s="15" t="s">
        <v>3012</v>
      </c>
      <c r="J1505" s="34" t="n">
        <f aca="false">IF(Packages!$AD$142=0,0,MAX(1,ROUNDUP(Packages!$AD$142/(R_SHEET*Fronts!$I$10),0)))</f>
        <v>0</v>
      </c>
      <c r="K1505" s="34" t="n">
        <f aca="false">IF(J1505=0,0,ROUNDUP(J1505*7/WD,0))</f>
        <v>0</v>
      </c>
      <c r="L1505" s="15" t="s">
        <v>5030</v>
      </c>
      <c r="M1505" s="34" t="n">
        <f aca="false">ROUNDUP(K1504*LADDER,0)</f>
        <v>3</v>
      </c>
      <c r="N1505" s="34" t="n">
        <f aca="false">IF(K1505=0,0,FFLAG)</f>
        <v>0</v>
      </c>
      <c r="O1505" s="15"/>
      <c r="P1505" s="16" t="n">
        <f aca="false">MAX(P1504+M1505)</f>
        <v>46361</v>
      </c>
      <c r="Q1505" s="16" t="n">
        <f aca="false">MAX(P1505+K1505,Q1504+N1505)</f>
        <v>46365</v>
      </c>
      <c r="R1505" s="16" t="n">
        <f aca="false">IF(K1505&gt;0,Q1505,0)</f>
        <v>0</v>
      </c>
      <c r="S1505" s="12"/>
    </row>
    <row r="1506" customFormat="false" ht="15" hidden="false" customHeight="false" outlineLevel="0" collapsed="false">
      <c r="A1506" s="15" t="s">
        <v>5032</v>
      </c>
      <c r="B1506" s="15" t="s">
        <v>5028</v>
      </c>
      <c r="C1506" s="15" t="s">
        <v>400</v>
      </c>
      <c r="D1506" s="15" t="s">
        <v>1731</v>
      </c>
      <c r="E1506" s="15" t="s">
        <v>1732</v>
      </c>
      <c r="F1506" s="15" t="s">
        <v>3014</v>
      </c>
      <c r="G1506" s="15" t="s">
        <v>3015</v>
      </c>
      <c r="H1506" s="33" t="n">
        <f aca="false">Packages!$O$142</f>
        <v>38.1765969386905</v>
      </c>
      <c r="I1506" s="15" t="s">
        <v>118</v>
      </c>
      <c r="J1506" s="34" t="n">
        <f aca="false">IF(Packages!$AG$142=0,0,ROUNDUP(Packages!$O$142/R_DW,0)+DW_DRAW)</f>
        <v>8</v>
      </c>
      <c r="K1506" s="34" t="n">
        <f aca="false">IF(J1506=0,0,ROUNDUP(J1506*7/WD,0))</f>
        <v>10</v>
      </c>
      <c r="L1506" s="15" t="s">
        <v>5031</v>
      </c>
      <c r="M1506" s="34" t="n">
        <f aca="false">ROUNDUP(K1505*LADDER,0)</f>
        <v>0</v>
      </c>
      <c r="N1506" s="34" t="n">
        <f aca="false">IF(K1506=0,0,FFLAG)</f>
        <v>2</v>
      </c>
      <c r="O1506" s="15"/>
      <c r="P1506" s="16" t="n">
        <f aca="false">MAX(P1505+M1506)</f>
        <v>46361</v>
      </c>
      <c r="Q1506" s="16" t="n">
        <f aca="false">MAX(P1506+K1506,Q1505+N1506)</f>
        <v>46371</v>
      </c>
      <c r="R1506" s="12"/>
      <c r="S1506" s="12"/>
    </row>
    <row r="1507" customFormat="false" ht="15" hidden="false" customHeight="false" outlineLevel="0" collapsed="false">
      <c r="A1507" s="15" t="s">
        <v>5033</v>
      </c>
      <c r="B1507" s="15" t="s">
        <v>5028</v>
      </c>
      <c r="C1507" s="15" t="s">
        <v>400</v>
      </c>
      <c r="D1507" s="15" t="s">
        <v>1731</v>
      </c>
      <c r="E1507" s="15" t="s">
        <v>1732</v>
      </c>
      <c r="F1507" s="15" t="s">
        <v>3017</v>
      </c>
      <c r="G1507" s="15" t="s">
        <v>3018</v>
      </c>
      <c r="H1507" s="33" t="n">
        <f aca="false">Packages!$X$142+Packages!$Y$142</f>
        <v>988.3715913052</v>
      </c>
      <c r="I1507" s="15" t="s">
        <v>3019</v>
      </c>
      <c r="J1507" s="34" t="n">
        <f aca="false">MAX(1,ROUNDUP((Packages!$X$142/R_EXS+Packages!$Y$142/R_EXO)/Fronts!$J$10,0))</f>
        <v>3</v>
      </c>
      <c r="K1507" s="34" t="n">
        <f aca="false">IF(J1507=0,0,ROUNDUP(J1507*7/WD,0))</f>
        <v>4</v>
      </c>
      <c r="L1507" s="15" t="s">
        <v>5032</v>
      </c>
      <c r="M1507" s="34" t="n">
        <f aca="false">IF(K1506=0,0,ROUNDUP((K1506-ROUNDUP(DW_DRAW*7/WD,0))*LADDER,0)+ROUNDUP(DW_DRAW*7/WD,0))</f>
        <v>10</v>
      </c>
      <c r="N1507" s="34" t="n">
        <f aca="false">IF(K1507=0,0,FFLAG)</f>
        <v>2</v>
      </c>
      <c r="O1507" s="15" t="s">
        <v>5034</v>
      </c>
      <c r="P1507" s="16" t="n">
        <f aca="false">MAX(P1506+M1507,Q1709,P1496,P1485)</f>
        <v>46527</v>
      </c>
      <c r="Q1507" s="16" t="n">
        <f aca="false">MAX(P1507+K1507,Q1506+N1507)</f>
        <v>46531</v>
      </c>
      <c r="R1507" s="16" t="n">
        <f aca="false">IF(K1507&gt;0,Q1507,0)</f>
        <v>46531</v>
      </c>
      <c r="S1507" s="12"/>
    </row>
    <row r="1508" customFormat="false" ht="15" hidden="false" customHeight="false" outlineLevel="0" collapsed="false">
      <c r="A1508" s="15" t="s">
        <v>5035</v>
      </c>
      <c r="B1508" s="15" t="s">
        <v>5028</v>
      </c>
      <c r="C1508" s="15" t="s">
        <v>400</v>
      </c>
      <c r="D1508" s="15" t="s">
        <v>1731</v>
      </c>
      <c r="E1508" s="15" t="s">
        <v>1732</v>
      </c>
      <c r="F1508" s="15" t="s">
        <v>3022</v>
      </c>
      <c r="G1508" s="15" t="s">
        <v>3023</v>
      </c>
      <c r="H1508" s="33" t="n">
        <f aca="false">Packages!$O$142</f>
        <v>38.1765969386905</v>
      </c>
      <c r="I1508" s="15" t="s">
        <v>118</v>
      </c>
      <c r="J1508" s="34" t="n">
        <f aca="false">MAX(1,ROUNDUP(Packages!$O$142/(R_SLAB*Fronts!$K$10),0))+SLAB_CURE</f>
        <v>7</v>
      </c>
      <c r="K1508" s="34" t="n">
        <f aca="false">IF(J1508=0,0,ROUNDUP(J1508*7/WD,0))</f>
        <v>9</v>
      </c>
      <c r="L1508" s="15" t="s">
        <v>5033</v>
      </c>
      <c r="M1508" s="34" t="n">
        <f aca="false">ROUNDUP(K1507*LADDER,0)</f>
        <v>2</v>
      </c>
      <c r="N1508" s="34" t="n">
        <f aca="false">IF(K1508=0,0,FFLAG)</f>
        <v>2</v>
      </c>
      <c r="O1508" s="15"/>
      <c r="P1508" s="16" t="n">
        <f aca="false">MAX(P1507+M1508)</f>
        <v>46529</v>
      </c>
      <c r="Q1508" s="16" t="n">
        <f aca="false">MAX(P1508+K1508,Q1507+N1508)</f>
        <v>46538</v>
      </c>
      <c r="R1508" s="16" t="n">
        <f aca="false">IF(K1508&gt;0,Q1508,0)</f>
        <v>46538</v>
      </c>
      <c r="S1508" s="12"/>
    </row>
    <row r="1509" customFormat="false" ht="15" hidden="false" customHeight="false" outlineLevel="0" collapsed="false">
      <c r="A1509" s="15" t="s">
        <v>5036</v>
      </c>
      <c r="B1509" s="15" t="s">
        <v>5028</v>
      </c>
      <c r="C1509" s="15" t="s">
        <v>400</v>
      </c>
      <c r="D1509" s="15" t="s">
        <v>1731</v>
      </c>
      <c r="E1509" s="15" t="s">
        <v>1732</v>
      </c>
      <c r="F1509" s="15" t="s">
        <v>3025</v>
      </c>
      <c r="G1509" s="15" t="s">
        <v>3026</v>
      </c>
      <c r="H1509" s="33" t="n">
        <f aca="false">Packages!$O$142</f>
        <v>38.1765969386905</v>
      </c>
      <c r="I1509" s="15" t="s">
        <v>118</v>
      </c>
      <c r="J1509" s="34" t="n">
        <f aca="false">MAX(1,ROUNDUP(Packages!$O$142/(IF(Packages!$N$142&gt;=PIPE_T1,R_PIPE_L,IF(Packages!$N$142&gt;=PIPE_T2,R_PIPE_M,R_PIPE_S))*Fronts!$L$10)+Packages!$M$142*FIT_D+IF(Packages!$G$142&lt;&gt;"Run",TIE_D,0),0))</f>
        <v>9</v>
      </c>
      <c r="K1509" s="34" t="n">
        <f aca="false">IF(J1509=0,0,ROUNDUP(J1509*7/WD,0))</f>
        <v>11</v>
      </c>
      <c r="L1509" s="15" t="s">
        <v>5035</v>
      </c>
      <c r="M1509" s="34" t="n">
        <f aca="false">ROUNDUP(K1508*LADDER,0)</f>
        <v>3</v>
      </c>
      <c r="N1509" s="34" t="n">
        <f aca="false">IF(K1509=0,0,FFLAG)</f>
        <v>2</v>
      </c>
      <c r="O1509" s="15"/>
      <c r="P1509" s="16" t="n">
        <f aca="false">MAX(P1508+M1509)</f>
        <v>46532</v>
      </c>
      <c r="Q1509" s="16" t="n">
        <f aca="false">MAX(P1509+K1509,Q1508+N1509)</f>
        <v>46543</v>
      </c>
      <c r="R1509" s="16" t="n">
        <f aca="false">IF(K1509&gt;0,Q1509,0)</f>
        <v>46543</v>
      </c>
      <c r="S1509" s="12"/>
    </row>
    <row r="1510" customFormat="false" ht="15" hidden="false" customHeight="false" outlineLevel="0" collapsed="false">
      <c r="A1510" s="15" t="s">
        <v>5037</v>
      </c>
      <c r="B1510" s="15" t="s">
        <v>5028</v>
      </c>
      <c r="C1510" s="15" t="s">
        <v>400</v>
      </c>
      <c r="D1510" s="15" t="s">
        <v>1731</v>
      </c>
      <c r="E1510" s="15" t="s">
        <v>1732</v>
      </c>
      <c r="F1510" s="15" t="s">
        <v>3028</v>
      </c>
      <c r="G1510" s="15" t="s">
        <v>3029</v>
      </c>
      <c r="H1510" s="33" t="n">
        <f aca="false">Packages!$O$142</f>
        <v>38.1765969386905</v>
      </c>
      <c r="I1510" s="15" t="s">
        <v>118</v>
      </c>
      <c r="J1510" s="34" t="n">
        <f aca="false">TEST_D+ROUNDUP(Packages!$O$142/R_TEST,0)</f>
        <v>3</v>
      </c>
      <c r="K1510" s="34" t="n">
        <f aca="false">IF(J1510=0,0,ROUNDUP(J1510*7/WD,0))</f>
        <v>4</v>
      </c>
      <c r="L1510" s="15" t="s">
        <v>5036</v>
      </c>
      <c r="M1510" s="34" t="n">
        <f aca="false">ROUNDUP(K1509*LADDER,0)</f>
        <v>4</v>
      </c>
      <c r="N1510" s="34" t="n">
        <f aca="false">IF(K1510=0,0,FFLAG)</f>
        <v>2</v>
      </c>
      <c r="O1510" s="15"/>
      <c r="P1510" s="16" t="n">
        <f aca="false">MAX(P1509+M1510)</f>
        <v>46536</v>
      </c>
      <c r="Q1510" s="16" t="n">
        <f aca="false">MAX(P1510+K1510,Q1509+N1510)</f>
        <v>46545</v>
      </c>
      <c r="R1510" s="12"/>
      <c r="S1510" s="12"/>
    </row>
    <row r="1511" customFormat="false" ht="15" hidden="false" customHeight="false" outlineLevel="0" collapsed="false">
      <c r="A1511" s="15" t="s">
        <v>5038</v>
      </c>
      <c r="B1511" s="15" t="s">
        <v>5028</v>
      </c>
      <c r="C1511" s="15" t="s">
        <v>400</v>
      </c>
      <c r="D1511" s="15" t="s">
        <v>1731</v>
      </c>
      <c r="E1511" s="15" t="s">
        <v>1732</v>
      </c>
      <c r="F1511" s="15" t="s">
        <v>3031</v>
      </c>
      <c r="G1511" s="15" t="s">
        <v>3032</v>
      </c>
      <c r="H1511" s="33" t="n">
        <f aca="false">Packages!$AB$142</f>
        <v>873.633959685546</v>
      </c>
      <c r="I1511" s="15" t="s">
        <v>3019</v>
      </c>
      <c r="J1511" s="34" t="n">
        <f aca="false">MAX(1,ROUNDUP(Packages!$AB$142/(R_BF*Fronts!$M$10),0))</f>
        <v>3</v>
      </c>
      <c r="K1511" s="34" t="n">
        <f aca="false">IF(J1511=0,0,ROUNDUP(J1511*7/WD,0))</f>
        <v>4</v>
      </c>
      <c r="L1511" s="15" t="s">
        <v>5037</v>
      </c>
      <c r="M1511" s="34" t="n">
        <f aca="false">ROUNDUP(K1510*LADDER,0)</f>
        <v>2</v>
      </c>
      <c r="N1511" s="34" t="n">
        <f aca="false">IF(K1511=0,0,FFLAG)</f>
        <v>2</v>
      </c>
      <c r="O1511" s="15" t="s">
        <v>5039</v>
      </c>
      <c r="P1511" s="16" t="n">
        <f aca="false">MAX(P1510+M1511,Q1498,Q1487)</f>
        <v>46601</v>
      </c>
      <c r="Q1511" s="16" t="n">
        <f aca="false">MAX(P1511+K1511,Q1510+N1511)</f>
        <v>46605</v>
      </c>
      <c r="R1511" s="16" t="n">
        <f aca="false">IF(K1511&gt;0,Q1511,0)</f>
        <v>46605</v>
      </c>
      <c r="S1511" s="12"/>
    </row>
    <row r="1512" customFormat="false" ht="15" hidden="false" customHeight="false" outlineLevel="0" collapsed="false">
      <c r="A1512" s="15" t="s">
        <v>5040</v>
      </c>
      <c r="B1512" s="15" t="s">
        <v>5028</v>
      </c>
      <c r="C1512" s="15" t="s">
        <v>400</v>
      </c>
      <c r="D1512" s="15" t="s">
        <v>1731</v>
      </c>
      <c r="E1512" s="15" t="s">
        <v>1732</v>
      </c>
      <c r="F1512" s="15" t="s">
        <v>3034</v>
      </c>
      <c r="G1512" s="15" t="s">
        <v>3035</v>
      </c>
      <c r="H1512" s="33" t="n">
        <f aca="false">Packages!$AD$142</f>
        <v>0</v>
      </c>
      <c r="I1512" s="15" t="s">
        <v>3012</v>
      </c>
      <c r="J1512" s="34" t="n">
        <f aca="false">IF(Packages!$AD$142&gt;0,ROUNDUP(Packages!$AD$142/R_EXT,0),0)+IF(Packages!$AG$142&gt;0,1,0)</f>
        <v>1</v>
      </c>
      <c r="K1512" s="34" t="n">
        <f aca="false">IF(J1512=0,0,ROUNDUP(J1512*7/WD,0))</f>
        <v>2</v>
      </c>
      <c r="L1512" s="15" t="s">
        <v>5038</v>
      </c>
      <c r="M1512" s="34" t="n">
        <f aca="false">ROUNDUP(K1511*LADDER,0)</f>
        <v>2</v>
      </c>
      <c r="N1512" s="34" t="n">
        <f aca="false">IF(K1512=0,0,FFLAG)</f>
        <v>2</v>
      </c>
      <c r="O1512" s="15"/>
      <c r="P1512" s="16" t="n">
        <f aca="false">MAX(P1511+M1512)</f>
        <v>46603</v>
      </c>
      <c r="Q1512" s="16" t="n">
        <f aca="false">MAX(P1512+K1512,Q1511+N1512)</f>
        <v>46607</v>
      </c>
      <c r="R1512" s="12"/>
      <c r="S1512" s="12"/>
    </row>
    <row r="1513" customFormat="false" ht="15" hidden="false" customHeight="false" outlineLevel="0" collapsed="false">
      <c r="A1513" s="15" t="s">
        <v>5041</v>
      </c>
      <c r="B1513" s="15" t="s">
        <v>5042</v>
      </c>
      <c r="C1513" s="15" t="s">
        <v>403</v>
      </c>
      <c r="D1513" s="15" t="s">
        <v>819</v>
      </c>
      <c r="E1513" s="15" t="s">
        <v>845</v>
      </c>
      <c r="F1513" s="15" t="s">
        <v>2998</v>
      </c>
      <c r="G1513" s="15" t="s">
        <v>2999</v>
      </c>
      <c r="H1513" s="12"/>
      <c r="I1513" s="12"/>
      <c r="J1513" s="34" t="n">
        <f aca="false">0</f>
        <v>0</v>
      </c>
      <c r="K1513" s="34" t="n">
        <f aca="false">IF(J1513=0,0,ROUNDUP(J1513*7/WD,0))</f>
        <v>0</v>
      </c>
      <c r="L1513" s="12"/>
      <c r="M1513" s="12"/>
      <c r="N1513" s="12"/>
      <c r="O1513" s="15" t="s">
        <v>3000</v>
      </c>
      <c r="P1513" s="16" t="n">
        <f aca="false">MAX(START,D_DLU,Packages!$I$143,Packages!$K$143)</f>
        <v>46357</v>
      </c>
      <c r="Q1513" s="16" t="n">
        <f aca="false">P1513+K1513</f>
        <v>46357</v>
      </c>
      <c r="R1513" s="12"/>
      <c r="S1513" s="12"/>
    </row>
    <row r="1514" customFormat="false" ht="15" hidden="false" customHeight="false" outlineLevel="0" collapsed="false">
      <c r="A1514" s="15" t="s">
        <v>5043</v>
      </c>
      <c r="B1514" s="15" t="s">
        <v>5042</v>
      </c>
      <c r="C1514" s="15" t="s">
        <v>403</v>
      </c>
      <c r="D1514" s="15" t="s">
        <v>819</v>
      </c>
      <c r="E1514" s="15" t="s">
        <v>845</v>
      </c>
      <c r="F1514" s="15" t="s">
        <v>3002</v>
      </c>
      <c r="G1514" s="15" t="s">
        <v>205</v>
      </c>
      <c r="H1514" s="33" t="n">
        <f aca="false">Packages!$O$143</f>
        <v>42.100000000171</v>
      </c>
      <c r="I1514" s="15" t="s">
        <v>118</v>
      </c>
      <c r="J1514" s="34" t="n">
        <f aca="false">MAX(1,ROUNDUP(Packages!$O$143/R_PLAT,0))</f>
        <v>1</v>
      </c>
      <c r="K1514" s="34" t="n">
        <f aca="false">IF(J1514=0,0,ROUNDUP(J1514*7/WD,0))</f>
        <v>2</v>
      </c>
      <c r="L1514" s="15" t="s">
        <v>5041</v>
      </c>
      <c r="M1514" s="12"/>
      <c r="N1514" s="12"/>
      <c r="O1514" s="15" t="s">
        <v>3003</v>
      </c>
      <c r="P1514" s="16" t="n">
        <f aca="false">MAX(Q1513)</f>
        <v>46357</v>
      </c>
      <c r="Q1514" s="16" t="n">
        <f aca="false">P1514+K1514</f>
        <v>46359</v>
      </c>
      <c r="R1514" s="12"/>
      <c r="S1514" s="12"/>
    </row>
    <row r="1515" customFormat="false" ht="15" hidden="false" customHeight="false" outlineLevel="0" collapsed="false">
      <c r="A1515" s="15" t="s">
        <v>5044</v>
      </c>
      <c r="B1515" s="15" t="s">
        <v>5042</v>
      </c>
      <c r="C1515" s="15" t="s">
        <v>403</v>
      </c>
      <c r="D1515" s="15" t="s">
        <v>819</v>
      </c>
      <c r="E1515" s="15" t="s">
        <v>845</v>
      </c>
      <c r="F1515" s="15" t="s">
        <v>3005</v>
      </c>
      <c r="G1515" s="15" t="s">
        <v>3006</v>
      </c>
      <c r="H1515" s="33" t="n">
        <f aca="false">Packages!$AC$143</f>
        <v>32</v>
      </c>
      <c r="I1515" s="15" t="s">
        <v>3007</v>
      </c>
      <c r="J1515" s="34" t="n">
        <f aca="false">IF(Packages!$AC$143=0,0,MAX(1,ROUNDUP(Packages!$AC$143/(R_PILE*Fronts!$H$11),0)))</f>
        <v>7</v>
      </c>
      <c r="K1515" s="34" t="n">
        <f aca="false">IF(J1515=0,0,ROUNDUP(J1515*7/WD,0))</f>
        <v>9</v>
      </c>
      <c r="L1515" s="15" t="s">
        <v>5043</v>
      </c>
      <c r="M1515" s="34" t="n">
        <f aca="false">ROUNDUP(K1514*LADDER,0)</f>
        <v>1</v>
      </c>
      <c r="N1515" s="34" t="n">
        <f aca="false">IF(K1515=0,0,FFLAG)</f>
        <v>2</v>
      </c>
      <c r="O1515" s="15" t="s">
        <v>3008</v>
      </c>
      <c r="P1515" s="16" t="n">
        <f aca="false">MAX(P1514+M1515,D_PILEDES)</f>
        <v>46358</v>
      </c>
      <c r="Q1515" s="16" t="n">
        <f aca="false">MAX(P1515+K1515,Q1514+N1515)</f>
        <v>46367</v>
      </c>
      <c r="R1515" s="16" t="n">
        <f aca="false">IF(K1515&gt;0,Q1515,0)</f>
        <v>46367</v>
      </c>
      <c r="S1515" s="12"/>
    </row>
    <row r="1516" customFormat="false" ht="15" hidden="false" customHeight="false" outlineLevel="0" collapsed="false">
      <c r="A1516" s="15" t="s">
        <v>5045</v>
      </c>
      <c r="B1516" s="15" t="s">
        <v>5042</v>
      </c>
      <c r="C1516" s="15" t="s">
        <v>403</v>
      </c>
      <c r="D1516" s="15" t="s">
        <v>819</v>
      </c>
      <c r="E1516" s="15" t="s">
        <v>845</v>
      </c>
      <c r="F1516" s="15" t="s">
        <v>3010</v>
      </c>
      <c r="G1516" s="15" t="s">
        <v>3011</v>
      </c>
      <c r="H1516" s="33" t="n">
        <f aca="false">Packages!$AD$143</f>
        <v>84.200000000342</v>
      </c>
      <c r="I1516" s="15" t="s">
        <v>3012</v>
      </c>
      <c r="J1516" s="34" t="n">
        <f aca="false">IF(Packages!$AD$143=0,0,MAX(1,ROUNDUP(Packages!$AD$143/(R_SHEET*Fronts!$I$11),0)))</f>
        <v>4</v>
      </c>
      <c r="K1516" s="34" t="n">
        <f aca="false">IF(J1516=0,0,ROUNDUP(J1516*7/WD,0))</f>
        <v>5</v>
      </c>
      <c r="L1516" s="15" t="s">
        <v>5044</v>
      </c>
      <c r="M1516" s="34" t="n">
        <f aca="false">ROUNDUP(K1515*LADDER,0)</f>
        <v>3</v>
      </c>
      <c r="N1516" s="34" t="n">
        <f aca="false">IF(K1516=0,0,FFLAG)</f>
        <v>2</v>
      </c>
      <c r="O1516" s="15"/>
      <c r="P1516" s="16" t="n">
        <f aca="false">MAX(P1515+M1516)</f>
        <v>46361</v>
      </c>
      <c r="Q1516" s="16" t="n">
        <f aca="false">MAX(P1516+K1516,Q1515+N1516)</f>
        <v>46369</v>
      </c>
      <c r="R1516" s="16" t="n">
        <f aca="false">IF(K1516&gt;0,Q1516,0)</f>
        <v>46369</v>
      </c>
      <c r="S1516" s="12"/>
    </row>
    <row r="1517" customFormat="false" ht="15" hidden="false" customHeight="false" outlineLevel="0" collapsed="false">
      <c r="A1517" s="15" t="s">
        <v>5046</v>
      </c>
      <c r="B1517" s="15" t="s">
        <v>5042</v>
      </c>
      <c r="C1517" s="15" t="s">
        <v>403</v>
      </c>
      <c r="D1517" s="15" t="s">
        <v>819</v>
      </c>
      <c r="E1517" s="15" t="s">
        <v>845</v>
      </c>
      <c r="F1517" s="15" t="s">
        <v>3014</v>
      </c>
      <c r="G1517" s="15" t="s">
        <v>3015</v>
      </c>
      <c r="H1517" s="33" t="n">
        <f aca="false">Packages!$O$143</f>
        <v>42.100000000171</v>
      </c>
      <c r="I1517" s="15" t="s">
        <v>118</v>
      </c>
      <c r="J1517" s="34" t="n">
        <f aca="false">IF(Packages!$AG$143=0,0,ROUNDUP(Packages!$O$143/R_DW,0)+DW_DRAW)</f>
        <v>9</v>
      </c>
      <c r="K1517" s="34" t="n">
        <f aca="false">IF(J1517=0,0,ROUNDUP(J1517*7/WD,0))</f>
        <v>11</v>
      </c>
      <c r="L1517" s="15" t="s">
        <v>5045</v>
      </c>
      <c r="M1517" s="34" t="n">
        <f aca="false">ROUNDUP(K1516*LADDER,0)</f>
        <v>2</v>
      </c>
      <c r="N1517" s="34" t="n">
        <f aca="false">IF(K1517=0,0,FFLAG)</f>
        <v>2</v>
      </c>
      <c r="O1517" s="15"/>
      <c r="P1517" s="16" t="n">
        <f aca="false">MAX(P1516+M1517)</f>
        <v>46363</v>
      </c>
      <c r="Q1517" s="16" t="n">
        <f aca="false">MAX(P1517+K1517,Q1516+N1517)</f>
        <v>46374</v>
      </c>
      <c r="R1517" s="12"/>
      <c r="S1517" s="12"/>
    </row>
    <row r="1518" customFormat="false" ht="15" hidden="false" customHeight="false" outlineLevel="0" collapsed="false">
      <c r="A1518" s="15" t="s">
        <v>5047</v>
      </c>
      <c r="B1518" s="15" t="s">
        <v>5042</v>
      </c>
      <c r="C1518" s="15" t="s">
        <v>403</v>
      </c>
      <c r="D1518" s="15" t="s">
        <v>819</v>
      </c>
      <c r="E1518" s="15" t="s">
        <v>845</v>
      </c>
      <c r="F1518" s="15" t="s">
        <v>3017</v>
      </c>
      <c r="G1518" s="15" t="s">
        <v>3018</v>
      </c>
      <c r="H1518" s="33" t="n">
        <f aca="false">Packages!$X$143+Packages!$Y$143</f>
        <v>952.338692826171</v>
      </c>
      <c r="I1518" s="15" t="s">
        <v>3019</v>
      </c>
      <c r="J1518" s="34" t="n">
        <f aca="false">MAX(1,ROUNDUP((Packages!$X$143/R_EXS+Packages!$Y$143/R_EXO)/Fronts!$J$11,0))</f>
        <v>4</v>
      </c>
      <c r="K1518" s="34" t="n">
        <f aca="false">IF(J1518=0,0,ROUNDUP(J1518*7/WD,0))</f>
        <v>5</v>
      </c>
      <c r="L1518" s="15" t="s">
        <v>5046</v>
      </c>
      <c r="M1518" s="34" t="n">
        <f aca="false">IF(K1517=0,0,ROUNDUP((K1517-ROUNDUP(DW_DRAW*7/WD,0))*LADDER,0)+ROUNDUP(DW_DRAW*7/WD,0))</f>
        <v>10</v>
      </c>
      <c r="N1518" s="34" t="n">
        <f aca="false">IF(K1518=0,0,FFLAG)</f>
        <v>2</v>
      </c>
      <c r="O1518" s="15"/>
      <c r="P1518" s="16" t="n">
        <f aca="false">MAX(P1517+M1518)</f>
        <v>46373</v>
      </c>
      <c r="Q1518" s="16" t="n">
        <f aca="false">MAX(P1518+K1518,Q1517+N1518)</f>
        <v>46378</v>
      </c>
      <c r="R1518" s="16" t="n">
        <f aca="false">IF(K1518&gt;0,Q1518,0)</f>
        <v>46378</v>
      </c>
      <c r="S1518" s="12"/>
    </row>
    <row r="1519" customFormat="false" ht="15" hidden="false" customHeight="false" outlineLevel="0" collapsed="false">
      <c r="A1519" s="15" t="s">
        <v>5048</v>
      </c>
      <c r="B1519" s="15" t="s">
        <v>5042</v>
      </c>
      <c r="C1519" s="15" t="s">
        <v>403</v>
      </c>
      <c r="D1519" s="15" t="s">
        <v>819</v>
      </c>
      <c r="E1519" s="15" t="s">
        <v>845</v>
      </c>
      <c r="F1519" s="15" t="s">
        <v>3022</v>
      </c>
      <c r="G1519" s="15" t="s">
        <v>3023</v>
      </c>
      <c r="H1519" s="33" t="n">
        <f aca="false">Packages!$O$143</f>
        <v>42.100000000171</v>
      </c>
      <c r="I1519" s="15" t="s">
        <v>118</v>
      </c>
      <c r="J1519" s="34" t="n">
        <f aca="false">MAX(1,ROUNDUP(Packages!$O$143/(R_SLAB*Fronts!$K$11),0))+SLAB_CURE</f>
        <v>7</v>
      </c>
      <c r="K1519" s="34" t="n">
        <f aca="false">IF(J1519=0,0,ROUNDUP(J1519*7/WD,0))</f>
        <v>9</v>
      </c>
      <c r="L1519" s="15" t="s">
        <v>5047</v>
      </c>
      <c r="M1519" s="34" t="n">
        <f aca="false">ROUNDUP(K1518*LADDER,0)</f>
        <v>2</v>
      </c>
      <c r="N1519" s="34" t="n">
        <f aca="false">IF(K1519=0,0,FFLAG)</f>
        <v>2</v>
      </c>
      <c r="O1519" s="15"/>
      <c r="P1519" s="16" t="n">
        <f aca="false">MAX(P1518+M1519)</f>
        <v>46375</v>
      </c>
      <c r="Q1519" s="16" t="n">
        <f aca="false">MAX(P1519+K1519,Q1518+N1519)</f>
        <v>46384</v>
      </c>
      <c r="R1519" s="16" t="n">
        <f aca="false">IF(K1519&gt;0,Q1519,0)</f>
        <v>46384</v>
      </c>
      <c r="S1519" s="12"/>
    </row>
    <row r="1520" customFormat="false" ht="15" hidden="false" customHeight="false" outlineLevel="0" collapsed="false">
      <c r="A1520" s="15" t="s">
        <v>5049</v>
      </c>
      <c r="B1520" s="15" t="s">
        <v>5042</v>
      </c>
      <c r="C1520" s="15" t="s">
        <v>403</v>
      </c>
      <c r="D1520" s="15" t="s">
        <v>819</v>
      </c>
      <c r="E1520" s="15" t="s">
        <v>845</v>
      </c>
      <c r="F1520" s="15" t="s">
        <v>3025</v>
      </c>
      <c r="G1520" s="15" t="s">
        <v>3026</v>
      </c>
      <c r="H1520" s="33" t="n">
        <f aca="false">Packages!$O$143</f>
        <v>42.100000000171</v>
      </c>
      <c r="I1520" s="15" t="s">
        <v>118</v>
      </c>
      <c r="J1520" s="34" t="n">
        <f aca="false">MAX(1,ROUNDUP(Packages!$O$143/(IF(Packages!$N$143&gt;=PIPE_T1,R_PIPE_L,IF(Packages!$N$143&gt;=PIPE_T2,R_PIPE_M,R_PIPE_S))*Fronts!$L$11)+Packages!$M$143*FIT_D+IF(Packages!$G$143&lt;&gt;"Run",TIE_D,0),0))</f>
        <v>3</v>
      </c>
      <c r="K1520" s="34" t="n">
        <f aca="false">IF(J1520=0,0,ROUNDUP(J1520*7/WD,0))</f>
        <v>4</v>
      </c>
      <c r="L1520" s="15" t="s">
        <v>5048</v>
      </c>
      <c r="M1520" s="34" t="n">
        <f aca="false">ROUNDUP(K1519*LADDER,0)</f>
        <v>3</v>
      </c>
      <c r="N1520" s="34" t="n">
        <f aca="false">IF(K1520=0,0,FFLAG)</f>
        <v>2</v>
      </c>
      <c r="O1520" s="15"/>
      <c r="P1520" s="16" t="n">
        <f aca="false">MAX(P1519+M1520)</f>
        <v>46378</v>
      </c>
      <c r="Q1520" s="16" t="n">
        <f aca="false">MAX(P1520+K1520,Q1519+N1520)</f>
        <v>46386</v>
      </c>
      <c r="R1520" s="16" t="n">
        <f aca="false">IF(K1520&gt;0,Q1520,0)</f>
        <v>46386</v>
      </c>
      <c r="S1520" s="12"/>
    </row>
    <row r="1521" customFormat="false" ht="15" hidden="false" customHeight="false" outlineLevel="0" collapsed="false">
      <c r="A1521" s="15" t="s">
        <v>5050</v>
      </c>
      <c r="B1521" s="15" t="s">
        <v>5042</v>
      </c>
      <c r="C1521" s="15" t="s">
        <v>403</v>
      </c>
      <c r="D1521" s="15" t="s">
        <v>819</v>
      </c>
      <c r="E1521" s="15" t="s">
        <v>845</v>
      </c>
      <c r="F1521" s="15" t="s">
        <v>3028</v>
      </c>
      <c r="G1521" s="15" t="s">
        <v>3029</v>
      </c>
      <c r="H1521" s="33" t="n">
        <f aca="false">Packages!$O$143</f>
        <v>42.100000000171</v>
      </c>
      <c r="I1521" s="15" t="s">
        <v>118</v>
      </c>
      <c r="J1521" s="34" t="n">
        <f aca="false">TEST_D+ROUNDUP(Packages!$O$143/R_TEST,0)</f>
        <v>3</v>
      </c>
      <c r="K1521" s="34" t="n">
        <f aca="false">IF(J1521=0,0,ROUNDUP(J1521*7/WD,0))</f>
        <v>4</v>
      </c>
      <c r="L1521" s="15" t="s">
        <v>5049</v>
      </c>
      <c r="M1521" s="34" t="n">
        <f aca="false">ROUNDUP(K1520*LADDER,0)</f>
        <v>2</v>
      </c>
      <c r="N1521" s="34" t="n">
        <f aca="false">IF(K1521=0,0,FFLAG)</f>
        <v>2</v>
      </c>
      <c r="O1521" s="15"/>
      <c r="P1521" s="16" t="n">
        <f aca="false">MAX(P1520+M1521)</f>
        <v>46380</v>
      </c>
      <c r="Q1521" s="16" t="n">
        <f aca="false">MAX(P1521+K1521,Q1520+N1521)</f>
        <v>46388</v>
      </c>
      <c r="R1521" s="12"/>
      <c r="S1521" s="12"/>
    </row>
    <row r="1522" customFormat="false" ht="15" hidden="false" customHeight="false" outlineLevel="0" collapsed="false">
      <c r="A1522" s="15" t="s">
        <v>5051</v>
      </c>
      <c r="B1522" s="15" t="s">
        <v>5042</v>
      </c>
      <c r="C1522" s="15" t="s">
        <v>403</v>
      </c>
      <c r="D1522" s="15" t="s">
        <v>819</v>
      </c>
      <c r="E1522" s="15" t="s">
        <v>845</v>
      </c>
      <c r="F1522" s="15" t="s">
        <v>3031</v>
      </c>
      <c r="G1522" s="15" t="s">
        <v>3032</v>
      </c>
      <c r="H1522" s="33" t="n">
        <f aca="false">Packages!$AB$143</f>
        <v>746.09649654495</v>
      </c>
      <c r="I1522" s="15" t="s">
        <v>3019</v>
      </c>
      <c r="J1522" s="34" t="n">
        <f aca="false">MAX(1,ROUNDUP(Packages!$AB$143/(R_BF*Fronts!$M$11),0))</f>
        <v>3</v>
      </c>
      <c r="K1522" s="34" t="n">
        <f aca="false">IF(J1522=0,0,ROUNDUP(J1522*7/WD,0))</f>
        <v>4</v>
      </c>
      <c r="L1522" s="15" t="s">
        <v>5050</v>
      </c>
      <c r="M1522" s="34" t="n">
        <f aca="false">ROUNDUP(K1521*LADDER,0)</f>
        <v>2</v>
      </c>
      <c r="N1522" s="34" t="n">
        <f aca="false">IF(K1522=0,0,FFLAG)</f>
        <v>2</v>
      </c>
      <c r="O1522" s="15" t="s">
        <v>5052</v>
      </c>
      <c r="P1522" s="16" t="n">
        <f aca="false">MAX(P1521+M1522,Q1531)</f>
        <v>46397</v>
      </c>
      <c r="Q1522" s="16" t="n">
        <f aca="false">MAX(P1522+K1522,Q1521+N1522)</f>
        <v>46401</v>
      </c>
      <c r="R1522" s="16" t="n">
        <f aca="false">IF(K1522&gt;0,Q1522,0)</f>
        <v>46401</v>
      </c>
      <c r="S1522" s="12"/>
    </row>
    <row r="1523" customFormat="false" ht="15" hidden="false" customHeight="false" outlineLevel="0" collapsed="false">
      <c r="A1523" s="15" t="s">
        <v>5053</v>
      </c>
      <c r="B1523" s="15" t="s">
        <v>5042</v>
      </c>
      <c r="C1523" s="15" t="s">
        <v>403</v>
      </c>
      <c r="D1523" s="15" t="s">
        <v>819</v>
      </c>
      <c r="E1523" s="15" t="s">
        <v>845</v>
      </c>
      <c r="F1523" s="15" t="s">
        <v>3034</v>
      </c>
      <c r="G1523" s="15" t="s">
        <v>3035</v>
      </c>
      <c r="H1523" s="33" t="n">
        <f aca="false">Packages!$AD$143</f>
        <v>84.200000000342</v>
      </c>
      <c r="I1523" s="15" t="s">
        <v>3012</v>
      </c>
      <c r="J1523" s="34" t="n">
        <f aca="false">IF(Packages!$AD$143&gt;0,ROUNDUP(Packages!$AD$143/R_EXT,0),0)+IF(Packages!$AG$143&gt;0,1,0)</f>
        <v>3</v>
      </c>
      <c r="K1523" s="34" t="n">
        <f aca="false">IF(J1523=0,0,ROUNDUP(J1523*7/WD,0))</f>
        <v>4</v>
      </c>
      <c r="L1523" s="15" t="s">
        <v>5051</v>
      </c>
      <c r="M1523" s="34" t="n">
        <f aca="false">ROUNDUP(K1522*LADDER,0)</f>
        <v>2</v>
      </c>
      <c r="N1523" s="34" t="n">
        <f aca="false">IF(K1523=0,0,FFLAG)</f>
        <v>2</v>
      </c>
      <c r="O1523" s="15"/>
      <c r="P1523" s="16" t="n">
        <f aca="false">MAX(P1522+M1523)</f>
        <v>46399</v>
      </c>
      <c r="Q1523" s="16" t="n">
        <f aca="false">MAX(P1523+K1523,Q1522+N1523)</f>
        <v>46403</v>
      </c>
      <c r="R1523" s="12"/>
      <c r="S1523" s="12"/>
    </row>
    <row r="1524" customFormat="false" ht="15" hidden="false" customHeight="false" outlineLevel="0" collapsed="false">
      <c r="A1524" s="15" t="s">
        <v>5054</v>
      </c>
      <c r="B1524" s="15" t="s">
        <v>5055</v>
      </c>
      <c r="C1524" s="15" t="s">
        <v>403</v>
      </c>
      <c r="D1524" s="15" t="s">
        <v>1594</v>
      </c>
      <c r="E1524" s="15" t="s">
        <v>1627</v>
      </c>
      <c r="F1524" s="15" t="s">
        <v>2998</v>
      </c>
      <c r="G1524" s="15" t="s">
        <v>2999</v>
      </c>
      <c r="H1524" s="12"/>
      <c r="I1524" s="12"/>
      <c r="J1524" s="34" t="n">
        <f aca="false">0</f>
        <v>0</v>
      </c>
      <c r="K1524" s="34" t="n">
        <f aca="false">IF(J1524=0,0,ROUNDUP(J1524*7/WD,0))</f>
        <v>0</v>
      </c>
      <c r="L1524" s="12"/>
      <c r="M1524" s="12"/>
      <c r="N1524" s="12"/>
      <c r="O1524" s="15" t="s">
        <v>3000</v>
      </c>
      <c r="P1524" s="16" t="n">
        <f aca="false">MAX(START,D_DLU,Packages!$I$144,Packages!$K$144)</f>
        <v>46357</v>
      </c>
      <c r="Q1524" s="16" t="n">
        <f aca="false">P1524+K1524</f>
        <v>46357</v>
      </c>
      <c r="R1524" s="12"/>
      <c r="S1524" s="12"/>
    </row>
    <row r="1525" customFormat="false" ht="15" hidden="false" customHeight="false" outlineLevel="0" collapsed="false">
      <c r="A1525" s="15" t="s">
        <v>5056</v>
      </c>
      <c r="B1525" s="15" t="s">
        <v>5055</v>
      </c>
      <c r="C1525" s="15" t="s">
        <v>403</v>
      </c>
      <c r="D1525" s="15" t="s">
        <v>1594</v>
      </c>
      <c r="E1525" s="15" t="s">
        <v>1627</v>
      </c>
      <c r="F1525" s="15" t="s">
        <v>3002</v>
      </c>
      <c r="G1525" s="15" t="s">
        <v>205</v>
      </c>
      <c r="H1525" s="33" t="n">
        <f aca="false">Packages!$O$144</f>
        <v>64.0999999996194</v>
      </c>
      <c r="I1525" s="15" t="s">
        <v>118</v>
      </c>
      <c r="J1525" s="34" t="n">
        <f aca="false">MAX(1,ROUNDUP(Packages!$O$144/R_PLAT,0))</f>
        <v>1</v>
      </c>
      <c r="K1525" s="34" t="n">
        <f aca="false">IF(J1525=0,0,ROUNDUP(J1525*7/WD,0))</f>
        <v>2</v>
      </c>
      <c r="L1525" s="15" t="s">
        <v>5054</v>
      </c>
      <c r="M1525" s="12"/>
      <c r="N1525" s="12"/>
      <c r="O1525" s="15" t="s">
        <v>5057</v>
      </c>
      <c r="P1525" s="16" t="n">
        <f aca="false">MAX(Q1524,P1515)</f>
        <v>46358</v>
      </c>
      <c r="Q1525" s="16" t="n">
        <f aca="false">P1525+K1525</f>
        <v>46360</v>
      </c>
      <c r="R1525" s="12"/>
      <c r="S1525" s="12"/>
    </row>
    <row r="1526" customFormat="false" ht="15" hidden="false" customHeight="false" outlineLevel="0" collapsed="false">
      <c r="A1526" s="15" t="s">
        <v>5058</v>
      </c>
      <c r="B1526" s="15" t="s">
        <v>5055</v>
      </c>
      <c r="C1526" s="15" t="s">
        <v>403</v>
      </c>
      <c r="D1526" s="15" t="s">
        <v>1594</v>
      </c>
      <c r="E1526" s="15" t="s">
        <v>1627</v>
      </c>
      <c r="F1526" s="15" t="s">
        <v>3005</v>
      </c>
      <c r="G1526" s="15" t="s">
        <v>3006</v>
      </c>
      <c r="H1526" s="33" t="n">
        <f aca="false">Packages!$AC$144</f>
        <v>23</v>
      </c>
      <c r="I1526" s="15" t="s">
        <v>3007</v>
      </c>
      <c r="J1526" s="34" t="n">
        <f aca="false">IF(Packages!$AC$144=0,0,MAX(1,ROUNDUP(Packages!$AC$144/(R_PILE*Fronts!$H$11),0)))</f>
        <v>5</v>
      </c>
      <c r="K1526" s="34" t="n">
        <f aca="false">IF(J1526=0,0,ROUNDUP(J1526*7/WD,0))</f>
        <v>6</v>
      </c>
      <c r="L1526" s="15" t="s">
        <v>5056</v>
      </c>
      <c r="M1526" s="34" t="n">
        <f aca="false">ROUNDUP(K1525*LADDER,0)</f>
        <v>1</v>
      </c>
      <c r="N1526" s="34" t="n">
        <f aca="false">IF(K1526=0,0,FFLAG)</f>
        <v>2</v>
      </c>
      <c r="O1526" s="15" t="s">
        <v>3008</v>
      </c>
      <c r="P1526" s="16" t="n">
        <f aca="false">MAX(P1525+M1526,D_PILEDES,R1515)</f>
        <v>46367</v>
      </c>
      <c r="Q1526" s="16" t="n">
        <f aca="false">MAX(P1526+K1526,Q1525+N1526)</f>
        <v>46373</v>
      </c>
      <c r="R1526" s="16" t="n">
        <f aca="false">IF(K1526&gt;0,Q1526,R1515)</f>
        <v>46373</v>
      </c>
      <c r="S1526" s="15" t="s">
        <v>5044</v>
      </c>
    </row>
    <row r="1527" customFormat="false" ht="15" hidden="false" customHeight="false" outlineLevel="0" collapsed="false">
      <c r="A1527" s="15" t="s">
        <v>5059</v>
      </c>
      <c r="B1527" s="15" t="s">
        <v>5055</v>
      </c>
      <c r="C1527" s="15" t="s">
        <v>403</v>
      </c>
      <c r="D1527" s="15" t="s">
        <v>1594</v>
      </c>
      <c r="E1527" s="15" t="s">
        <v>1627</v>
      </c>
      <c r="F1527" s="15" t="s">
        <v>3010</v>
      </c>
      <c r="G1527" s="15" t="s">
        <v>3011</v>
      </c>
      <c r="H1527" s="33" t="n">
        <f aca="false">Packages!$AD$144</f>
        <v>128.199999999239</v>
      </c>
      <c r="I1527" s="15" t="s">
        <v>3012</v>
      </c>
      <c r="J1527" s="34" t="n">
        <f aca="false">IF(Packages!$AD$144=0,0,MAX(1,ROUNDUP(Packages!$AD$144/(R_SHEET*Fronts!$I$11),0)))</f>
        <v>6</v>
      </c>
      <c r="K1527" s="34" t="n">
        <f aca="false">IF(J1527=0,0,ROUNDUP(J1527*7/WD,0))</f>
        <v>7</v>
      </c>
      <c r="L1527" s="15" t="s">
        <v>5058</v>
      </c>
      <c r="M1527" s="34" t="n">
        <f aca="false">ROUNDUP(K1526*LADDER,0)</f>
        <v>2</v>
      </c>
      <c r="N1527" s="34" t="n">
        <f aca="false">IF(K1527=0,0,FFLAG)</f>
        <v>2</v>
      </c>
      <c r="O1527" s="15"/>
      <c r="P1527" s="16" t="n">
        <f aca="false">MAX(P1526+M1527,R1516)</f>
        <v>46369</v>
      </c>
      <c r="Q1527" s="16" t="n">
        <f aca="false">MAX(P1527+K1527,Q1526+N1527)</f>
        <v>46376</v>
      </c>
      <c r="R1527" s="16" t="n">
        <f aca="false">IF(K1527&gt;0,Q1527,R1516)</f>
        <v>46376</v>
      </c>
      <c r="S1527" s="15" t="s">
        <v>5045</v>
      </c>
    </row>
    <row r="1528" customFormat="false" ht="15" hidden="false" customHeight="false" outlineLevel="0" collapsed="false">
      <c r="A1528" s="15" t="s">
        <v>5060</v>
      </c>
      <c r="B1528" s="15" t="s">
        <v>5055</v>
      </c>
      <c r="C1528" s="15" t="s">
        <v>403</v>
      </c>
      <c r="D1528" s="15" t="s">
        <v>1594</v>
      </c>
      <c r="E1528" s="15" t="s">
        <v>1627</v>
      </c>
      <c r="F1528" s="15" t="s">
        <v>3014</v>
      </c>
      <c r="G1528" s="15" t="s">
        <v>3015</v>
      </c>
      <c r="H1528" s="33" t="n">
        <f aca="false">Packages!$O$144</f>
        <v>64.0999999996194</v>
      </c>
      <c r="I1528" s="15" t="s">
        <v>118</v>
      </c>
      <c r="J1528" s="34" t="n">
        <f aca="false">IF(Packages!$AG$144=0,0,ROUNDUP(Packages!$O$144/R_DW,0)+DW_DRAW)</f>
        <v>9</v>
      </c>
      <c r="K1528" s="34" t="n">
        <f aca="false">IF(J1528=0,0,ROUNDUP(J1528*7/WD,0))</f>
        <v>11</v>
      </c>
      <c r="L1528" s="15" t="s">
        <v>5059</v>
      </c>
      <c r="M1528" s="34" t="n">
        <f aca="false">ROUNDUP(K1527*LADDER,0)</f>
        <v>3</v>
      </c>
      <c r="N1528" s="34" t="n">
        <f aca="false">IF(K1528=0,0,FFLAG)</f>
        <v>2</v>
      </c>
      <c r="O1528" s="15" t="s">
        <v>5061</v>
      </c>
      <c r="P1528" s="16" t="n">
        <f aca="false">MAX(P1527+M1528,Q1518-K1528)</f>
        <v>46372</v>
      </c>
      <c r="Q1528" s="16" t="n">
        <f aca="false">MAX(P1528+K1528,Q1527+N1528)</f>
        <v>46383</v>
      </c>
      <c r="R1528" s="12"/>
      <c r="S1528" s="12"/>
    </row>
    <row r="1529" customFormat="false" ht="15" hidden="false" customHeight="false" outlineLevel="0" collapsed="false">
      <c r="A1529" s="15" t="s">
        <v>5062</v>
      </c>
      <c r="B1529" s="15" t="s">
        <v>5055</v>
      </c>
      <c r="C1529" s="15" t="s">
        <v>403</v>
      </c>
      <c r="D1529" s="15" t="s">
        <v>1594</v>
      </c>
      <c r="E1529" s="15" t="s">
        <v>1627</v>
      </c>
      <c r="F1529" s="15" t="s">
        <v>3017</v>
      </c>
      <c r="G1529" s="15" t="s">
        <v>3018</v>
      </c>
      <c r="H1529" s="33" t="n">
        <f aca="false">Packages!$X$144+Packages!$Y$144</f>
        <v>790.479302293375</v>
      </c>
      <c r="I1529" s="15" t="s">
        <v>3019</v>
      </c>
      <c r="J1529" s="34" t="n">
        <f aca="false">MAX(1,ROUNDUP((Packages!$X$144/R_EXS+Packages!$Y$144/R_EXO)/Fronts!$J$11,0))</f>
        <v>4</v>
      </c>
      <c r="K1529" s="34" t="n">
        <f aca="false">IF(J1529=0,0,ROUNDUP(J1529*7/WD,0))</f>
        <v>5</v>
      </c>
      <c r="L1529" s="15" t="s">
        <v>5060</v>
      </c>
      <c r="M1529" s="34" t="n">
        <f aca="false">IF(K1528=0,0,ROUNDUP((K1528-ROUNDUP(DW_DRAW*7/WD,0))*LADDER,0)+ROUNDUP(DW_DRAW*7/WD,0))</f>
        <v>10</v>
      </c>
      <c r="N1529" s="34" t="n">
        <f aca="false">IF(K1529=0,0,FFLAG)</f>
        <v>2</v>
      </c>
      <c r="O1529" s="15" t="s">
        <v>5063</v>
      </c>
      <c r="P1529" s="16" t="n">
        <f aca="false">MAX(P1528+M1529,R1518,P1518)</f>
        <v>46382</v>
      </c>
      <c r="Q1529" s="16" t="n">
        <f aca="false">MAX(P1529+K1529,Q1528+N1529)</f>
        <v>46387</v>
      </c>
      <c r="R1529" s="16" t="n">
        <f aca="false">IF(K1529&gt;0,Q1529,R1518)</f>
        <v>46387</v>
      </c>
      <c r="S1529" s="15" t="s">
        <v>5047</v>
      </c>
    </row>
    <row r="1530" customFormat="false" ht="15" hidden="false" customHeight="false" outlineLevel="0" collapsed="false">
      <c r="A1530" s="15" t="s">
        <v>5064</v>
      </c>
      <c r="B1530" s="15" t="s">
        <v>5055</v>
      </c>
      <c r="C1530" s="15" t="s">
        <v>403</v>
      </c>
      <c r="D1530" s="15" t="s">
        <v>1594</v>
      </c>
      <c r="E1530" s="15" t="s">
        <v>1627</v>
      </c>
      <c r="F1530" s="15" t="s">
        <v>3022</v>
      </c>
      <c r="G1530" s="15" t="s">
        <v>3023</v>
      </c>
      <c r="H1530" s="33" t="n">
        <f aca="false">Packages!$O$144</f>
        <v>64.0999999996194</v>
      </c>
      <c r="I1530" s="15" t="s">
        <v>118</v>
      </c>
      <c r="J1530" s="34" t="n">
        <f aca="false">MAX(1,ROUNDUP(Packages!$O$144/(R_SLAB*Fronts!$K$11),0))+SLAB_CURE</f>
        <v>9</v>
      </c>
      <c r="K1530" s="34" t="n">
        <f aca="false">IF(J1530=0,0,ROUNDUP(J1530*7/WD,0))</f>
        <v>11</v>
      </c>
      <c r="L1530" s="15" t="s">
        <v>5062</v>
      </c>
      <c r="M1530" s="34" t="n">
        <f aca="false">ROUNDUP(K1529*LADDER,0)</f>
        <v>2</v>
      </c>
      <c r="N1530" s="34" t="n">
        <f aca="false">IF(K1530=0,0,FFLAG)</f>
        <v>2</v>
      </c>
      <c r="O1530" s="15"/>
      <c r="P1530" s="16" t="n">
        <f aca="false">MAX(P1529+M1530,R1519)</f>
        <v>46384</v>
      </c>
      <c r="Q1530" s="16" t="n">
        <f aca="false">MAX(P1530+K1530,Q1529+N1530)</f>
        <v>46395</v>
      </c>
      <c r="R1530" s="16" t="n">
        <f aca="false">IF(K1530&gt;0,Q1530,R1519)</f>
        <v>46395</v>
      </c>
      <c r="S1530" s="15" t="s">
        <v>5048</v>
      </c>
    </row>
    <row r="1531" customFormat="false" ht="15" hidden="false" customHeight="false" outlineLevel="0" collapsed="false">
      <c r="A1531" s="15" t="s">
        <v>5065</v>
      </c>
      <c r="B1531" s="15" t="s">
        <v>5055</v>
      </c>
      <c r="C1531" s="15" t="s">
        <v>403</v>
      </c>
      <c r="D1531" s="15" t="s">
        <v>1594</v>
      </c>
      <c r="E1531" s="15" t="s">
        <v>1627</v>
      </c>
      <c r="F1531" s="15" t="s">
        <v>3025</v>
      </c>
      <c r="G1531" s="15" t="s">
        <v>3026</v>
      </c>
      <c r="H1531" s="33" t="n">
        <f aca="false">Packages!$O$144</f>
        <v>64.0999999996194</v>
      </c>
      <c r="I1531" s="15" t="s">
        <v>118</v>
      </c>
      <c r="J1531" s="34" t="n">
        <f aca="false">MAX(1,ROUNDUP(Packages!$O$144/(IF(Packages!$N$144&gt;=PIPE_T1,R_PIPE_L,IF(Packages!$N$144&gt;=PIPE_T2,R_PIPE_M,R_PIPE_S))*Fronts!$L$11)+Packages!$M$144*FIT_D+IF(Packages!$G$144&lt;&gt;"Run",TIE_D,0),0))</f>
        <v>4</v>
      </c>
      <c r="K1531" s="34" t="n">
        <f aca="false">IF(J1531=0,0,ROUNDUP(J1531*7/WD,0))</f>
        <v>5</v>
      </c>
      <c r="L1531" s="15" t="s">
        <v>5064</v>
      </c>
      <c r="M1531" s="34" t="n">
        <f aca="false">ROUNDUP(K1530*LADDER,0)</f>
        <v>4</v>
      </c>
      <c r="N1531" s="34" t="n">
        <f aca="false">IF(K1531=0,0,FFLAG)</f>
        <v>2</v>
      </c>
      <c r="O1531" s="15"/>
      <c r="P1531" s="16" t="n">
        <f aca="false">MAX(P1530+M1531,R1520)</f>
        <v>46388</v>
      </c>
      <c r="Q1531" s="16" t="n">
        <f aca="false">MAX(P1531+K1531,Q1530+N1531)</f>
        <v>46397</v>
      </c>
      <c r="R1531" s="16" t="n">
        <f aca="false">IF(K1531&gt;0,Q1531,R1520)</f>
        <v>46397</v>
      </c>
      <c r="S1531" s="15" t="s">
        <v>5049</v>
      </c>
    </row>
    <row r="1532" customFormat="false" ht="15" hidden="false" customHeight="false" outlineLevel="0" collapsed="false">
      <c r="A1532" s="15" t="s">
        <v>5066</v>
      </c>
      <c r="B1532" s="15" t="s">
        <v>5055</v>
      </c>
      <c r="C1532" s="15" t="s">
        <v>403</v>
      </c>
      <c r="D1532" s="15" t="s">
        <v>1594</v>
      </c>
      <c r="E1532" s="15" t="s">
        <v>1627</v>
      </c>
      <c r="F1532" s="15" t="s">
        <v>3028</v>
      </c>
      <c r="G1532" s="15" t="s">
        <v>3029</v>
      </c>
      <c r="H1532" s="33" t="n">
        <f aca="false">Packages!$O$144</f>
        <v>64.0999999996194</v>
      </c>
      <c r="I1532" s="15" t="s">
        <v>118</v>
      </c>
      <c r="J1532" s="34" t="n">
        <f aca="false">TEST_D+ROUNDUP(Packages!$O$144/R_TEST,0)</f>
        <v>3</v>
      </c>
      <c r="K1532" s="34" t="n">
        <f aca="false">IF(J1532=0,0,ROUNDUP(J1532*7/WD,0))</f>
        <v>4</v>
      </c>
      <c r="L1532" s="15" t="s">
        <v>5065</v>
      </c>
      <c r="M1532" s="34" t="n">
        <f aca="false">ROUNDUP(K1531*LADDER,0)</f>
        <v>2</v>
      </c>
      <c r="N1532" s="34" t="n">
        <f aca="false">IF(K1532=0,0,FFLAG)</f>
        <v>2</v>
      </c>
      <c r="O1532" s="15"/>
      <c r="P1532" s="16" t="n">
        <f aca="false">MAX(P1531+M1532)</f>
        <v>46390</v>
      </c>
      <c r="Q1532" s="16" t="n">
        <f aca="false">MAX(P1532+K1532,Q1531+N1532)</f>
        <v>46399</v>
      </c>
      <c r="R1532" s="12"/>
      <c r="S1532" s="12"/>
    </row>
    <row r="1533" customFormat="false" ht="15" hidden="false" customHeight="false" outlineLevel="0" collapsed="false">
      <c r="A1533" s="15" t="s">
        <v>5067</v>
      </c>
      <c r="B1533" s="15" t="s">
        <v>5055</v>
      </c>
      <c r="C1533" s="15" t="s">
        <v>403</v>
      </c>
      <c r="D1533" s="15" t="s">
        <v>1594</v>
      </c>
      <c r="E1533" s="15" t="s">
        <v>1627</v>
      </c>
      <c r="F1533" s="15" t="s">
        <v>3031</v>
      </c>
      <c r="G1533" s="15" t="s">
        <v>3032</v>
      </c>
      <c r="H1533" s="33" t="n">
        <f aca="false">Packages!$AB$144</f>
        <v>676.053049457267</v>
      </c>
      <c r="I1533" s="15" t="s">
        <v>3019</v>
      </c>
      <c r="J1533" s="34" t="n">
        <f aca="false">MAX(1,ROUNDUP(Packages!$AB$144/(R_BF*Fronts!$M$11),0))</f>
        <v>2</v>
      </c>
      <c r="K1533" s="34" t="n">
        <f aca="false">IF(J1533=0,0,ROUNDUP(J1533*7/WD,0))</f>
        <v>3</v>
      </c>
      <c r="L1533" s="15" t="s">
        <v>5066</v>
      </c>
      <c r="M1533" s="34" t="n">
        <f aca="false">ROUNDUP(K1532*LADDER,0)</f>
        <v>2</v>
      </c>
      <c r="N1533" s="34" t="n">
        <f aca="false">IF(K1533=0,0,FFLAG)</f>
        <v>2</v>
      </c>
      <c r="O1533" s="15" t="s">
        <v>5068</v>
      </c>
      <c r="P1533" s="16" t="n">
        <f aca="false">MAX(P1532+M1533,R1522,Q1520)</f>
        <v>46401</v>
      </c>
      <c r="Q1533" s="16" t="n">
        <f aca="false">MAX(P1533+K1533,Q1532+N1533)</f>
        <v>46404</v>
      </c>
      <c r="R1533" s="16" t="n">
        <f aca="false">IF(K1533&gt;0,Q1533,R1522)</f>
        <v>46404</v>
      </c>
      <c r="S1533" s="15" t="s">
        <v>5051</v>
      </c>
    </row>
    <row r="1534" customFormat="false" ht="15" hidden="false" customHeight="false" outlineLevel="0" collapsed="false">
      <c r="A1534" s="15" t="s">
        <v>5069</v>
      </c>
      <c r="B1534" s="15" t="s">
        <v>5055</v>
      </c>
      <c r="C1534" s="15" t="s">
        <v>403</v>
      </c>
      <c r="D1534" s="15" t="s">
        <v>1594</v>
      </c>
      <c r="E1534" s="15" t="s">
        <v>1627</v>
      </c>
      <c r="F1534" s="15" t="s">
        <v>3034</v>
      </c>
      <c r="G1534" s="15" t="s">
        <v>3035</v>
      </c>
      <c r="H1534" s="33" t="n">
        <f aca="false">Packages!$AD$144</f>
        <v>128.199999999239</v>
      </c>
      <c r="I1534" s="15" t="s">
        <v>3012</v>
      </c>
      <c r="J1534" s="34" t="n">
        <f aca="false">IF(Packages!$AD$144&gt;0,ROUNDUP(Packages!$AD$144/R_EXT,0),0)+IF(Packages!$AG$144&gt;0,1,0)</f>
        <v>4</v>
      </c>
      <c r="K1534" s="34" t="n">
        <f aca="false">IF(J1534=0,0,ROUNDUP(J1534*7/WD,0))</f>
        <v>5</v>
      </c>
      <c r="L1534" s="15" t="s">
        <v>5067</v>
      </c>
      <c r="M1534" s="34" t="n">
        <f aca="false">ROUNDUP(K1533*LADDER,0)</f>
        <v>1</v>
      </c>
      <c r="N1534" s="34" t="n">
        <f aca="false">IF(K1534=0,0,FFLAG)</f>
        <v>2</v>
      </c>
      <c r="O1534" s="15"/>
      <c r="P1534" s="16" t="n">
        <f aca="false">MAX(P1533+M1534)</f>
        <v>46402</v>
      </c>
      <c r="Q1534" s="16" t="n">
        <f aca="false">MAX(P1534+K1534,Q1533+N1534)</f>
        <v>46407</v>
      </c>
      <c r="R1534" s="12"/>
      <c r="S1534" s="12"/>
    </row>
    <row r="1535" customFormat="false" ht="15" hidden="false" customHeight="false" outlineLevel="0" collapsed="false">
      <c r="A1535" s="15" t="s">
        <v>5070</v>
      </c>
      <c r="B1535" s="15" t="s">
        <v>5071</v>
      </c>
      <c r="C1535" s="15" t="s">
        <v>403</v>
      </c>
      <c r="D1535" s="15" t="s">
        <v>1460</v>
      </c>
      <c r="E1535" s="15" t="s">
        <v>1480</v>
      </c>
      <c r="F1535" s="15" t="s">
        <v>2998</v>
      </c>
      <c r="G1535" s="15" t="s">
        <v>2999</v>
      </c>
      <c r="H1535" s="12"/>
      <c r="I1535" s="12"/>
      <c r="J1535" s="34" t="n">
        <f aca="false">0</f>
        <v>0</v>
      </c>
      <c r="K1535" s="34" t="n">
        <f aca="false">IF(J1535=0,0,ROUNDUP(J1535*7/WD,0))</f>
        <v>0</v>
      </c>
      <c r="L1535" s="12"/>
      <c r="M1535" s="12"/>
      <c r="N1535" s="12"/>
      <c r="O1535" s="15" t="s">
        <v>3000</v>
      </c>
      <c r="P1535" s="16" t="n">
        <f aca="false">MAX(START,D_DLU,Packages!$I$145,Packages!$K$145)</f>
        <v>46357</v>
      </c>
      <c r="Q1535" s="16" t="n">
        <f aca="false">P1535+K1535</f>
        <v>46357</v>
      </c>
      <c r="R1535" s="12"/>
      <c r="S1535" s="12"/>
    </row>
    <row r="1536" customFormat="false" ht="15" hidden="false" customHeight="false" outlineLevel="0" collapsed="false">
      <c r="A1536" s="15" t="s">
        <v>5072</v>
      </c>
      <c r="B1536" s="15" t="s">
        <v>5071</v>
      </c>
      <c r="C1536" s="15" t="s">
        <v>403</v>
      </c>
      <c r="D1536" s="15" t="s">
        <v>1460</v>
      </c>
      <c r="E1536" s="15" t="s">
        <v>1480</v>
      </c>
      <c r="F1536" s="15" t="s">
        <v>3002</v>
      </c>
      <c r="G1536" s="15" t="s">
        <v>205</v>
      </c>
      <c r="H1536" s="33" t="n">
        <f aca="false">Packages!$O$145</f>
        <v>32.2696090840908</v>
      </c>
      <c r="I1536" s="15" t="s">
        <v>118</v>
      </c>
      <c r="J1536" s="34" t="n">
        <f aca="false">MAX(1,ROUNDUP(Packages!$O$145/R_PLAT,0))</f>
        <v>1</v>
      </c>
      <c r="K1536" s="34" t="n">
        <f aca="false">IF(J1536=0,0,ROUNDUP(J1536*7/WD,0))</f>
        <v>2</v>
      </c>
      <c r="L1536" s="15" t="s">
        <v>5070</v>
      </c>
      <c r="M1536" s="12"/>
      <c r="N1536" s="12"/>
      <c r="O1536" s="15" t="s">
        <v>5073</v>
      </c>
      <c r="P1536" s="16" t="n">
        <f aca="false">MAX(Q1535,P1526)</f>
        <v>46367</v>
      </c>
      <c r="Q1536" s="16" t="n">
        <f aca="false">P1536+K1536</f>
        <v>46369</v>
      </c>
      <c r="R1536" s="12"/>
      <c r="S1536" s="12"/>
    </row>
    <row r="1537" customFormat="false" ht="15" hidden="false" customHeight="false" outlineLevel="0" collapsed="false">
      <c r="A1537" s="15" t="s">
        <v>5074</v>
      </c>
      <c r="B1537" s="15" t="s">
        <v>5071</v>
      </c>
      <c r="C1537" s="15" t="s">
        <v>403</v>
      </c>
      <c r="D1537" s="15" t="s">
        <v>1460</v>
      </c>
      <c r="E1537" s="15" t="s">
        <v>1480</v>
      </c>
      <c r="F1537" s="15" t="s">
        <v>3005</v>
      </c>
      <c r="G1537" s="15" t="s">
        <v>3006</v>
      </c>
      <c r="H1537" s="33" t="n">
        <f aca="false">Packages!$AC$145</f>
        <v>24</v>
      </c>
      <c r="I1537" s="15" t="s">
        <v>3007</v>
      </c>
      <c r="J1537" s="34" t="n">
        <f aca="false">IF(Packages!$AC$145=0,0,MAX(1,ROUNDUP(Packages!$AC$145/(R_PILE*Fronts!$H$11),0)))</f>
        <v>5</v>
      </c>
      <c r="K1537" s="34" t="n">
        <f aca="false">IF(J1537=0,0,ROUNDUP(J1537*7/WD,0))</f>
        <v>6</v>
      </c>
      <c r="L1537" s="15" t="s">
        <v>5072</v>
      </c>
      <c r="M1537" s="34" t="n">
        <f aca="false">ROUNDUP(K1536*LADDER,0)</f>
        <v>1</v>
      </c>
      <c r="N1537" s="34" t="n">
        <f aca="false">IF(K1537=0,0,FFLAG)</f>
        <v>2</v>
      </c>
      <c r="O1537" s="15" t="s">
        <v>3008</v>
      </c>
      <c r="P1537" s="16" t="n">
        <f aca="false">MAX(P1536+M1537,D_PILEDES,R1526)</f>
        <v>46373</v>
      </c>
      <c r="Q1537" s="16" t="n">
        <f aca="false">MAX(P1537+K1537,Q1536+N1537)</f>
        <v>46379</v>
      </c>
      <c r="R1537" s="16" t="n">
        <f aca="false">IF(K1537&gt;0,Q1537,R1526)</f>
        <v>46379</v>
      </c>
      <c r="S1537" s="15" t="s">
        <v>5058</v>
      </c>
    </row>
    <row r="1538" customFormat="false" ht="15" hidden="false" customHeight="false" outlineLevel="0" collapsed="false">
      <c r="A1538" s="15" t="s">
        <v>5075</v>
      </c>
      <c r="B1538" s="15" t="s">
        <v>5071</v>
      </c>
      <c r="C1538" s="15" t="s">
        <v>403</v>
      </c>
      <c r="D1538" s="15" t="s">
        <v>1460</v>
      </c>
      <c r="E1538" s="15" t="s">
        <v>1480</v>
      </c>
      <c r="F1538" s="15" t="s">
        <v>3010</v>
      </c>
      <c r="G1538" s="15" t="s">
        <v>3011</v>
      </c>
      <c r="H1538" s="33" t="n">
        <f aca="false">Packages!$AD$145</f>
        <v>64.5392181681817</v>
      </c>
      <c r="I1538" s="15" t="s">
        <v>3012</v>
      </c>
      <c r="J1538" s="34" t="n">
        <f aca="false">IF(Packages!$AD$145=0,0,MAX(1,ROUNDUP(Packages!$AD$145/(R_SHEET*Fronts!$I$11),0)))</f>
        <v>3</v>
      </c>
      <c r="K1538" s="34" t="n">
        <f aca="false">IF(J1538=0,0,ROUNDUP(J1538*7/WD,0))</f>
        <v>4</v>
      </c>
      <c r="L1538" s="15" t="s">
        <v>5074</v>
      </c>
      <c r="M1538" s="34" t="n">
        <f aca="false">ROUNDUP(K1537*LADDER,0)</f>
        <v>2</v>
      </c>
      <c r="N1538" s="34" t="n">
        <f aca="false">IF(K1538=0,0,FFLAG)</f>
        <v>2</v>
      </c>
      <c r="O1538" s="15"/>
      <c r="P1538" s="16" t="n">
        <f aca="false">MAX(P1537+M1538,R1527)</f>
        <v>46376</v>
      </c>
      <c r="Q1538" s="16" t="n">
        <f aca="false">MAX(P1538+K1538,Q1537+N1538)</f>
        <v>46381</v>
      </c>
      <c r="R1538" s="16" t="n">
        <f aca="false">IF(K1538&gt;0,Q1538,R1527)</f>
        <v>46381</v>
      </c>
      <c r="S1538" s="15" t="s">
        <v>5059</v>
      </c>
    </row>
    <row r="1539" customFormat="false" ht="15" hidden="false" customHeight="false" outlineLevel="0" collapsed="false">
      <c r="A1539" s="15" t="s">
        <v>5076</v>
      </c>
      <c r="B1539" s="15" t="s">
        <v>5071</v>
      </c>
      <c r="C1539" s="15" t="s">
        <v>403</v>
      </c>
      <c r="D1539" s="15" t="s">
        <v>1460</v>
      </c>
      <c r="E1539" s="15" t="s">
        <v>1480</v>
      </c>
      <c r="F1539" s="15" t="s">
        <v>3014</v>
      </c>
      <c r="G1539" s="15" t="s">
        <v>3015</v>
      </c>
      <c r="H1539" s="33" t="n">
        <f aca="false">Packages!$O$145</f>
        <v>32.2696090840908</v>
      </c>
      <c r="I1539" s="15" t="s">
        <v>118</v>
      </c>
      <c r="J1539" s="34" t="n">
        <f aca="false">IF(Packages!$AG$145=0,0,ROUNDUP(Packages!$O$145/R_DW,0)+DW_DRAW)</f>
        <v>8</v>
      </c>
      <c r="K1539" s="34" t="n">
        <f aca="false">IF(J1539=0,0,ROUNDUP(J1539*7/WD,0))</f>
        <v>10</v>
      </c>
      <c r="L1539" s="15" t="s">
        <v>5075</v>
      </c>
      <c r="M1539" s="34" t="n">
        <f aca="false">ROUNDUP(K1538*LADDER,0)</f>
        <v>2</v>
      </c>
      <c r="N1539" s="34" t="n">
        <f aca="false">IF(K1539=0,0,FFLAG)</f>
        <v>2</v>
      </c>
      <c r="O1539" s="15" t="s">
        <v>5077</v>
      </c>
      <c r="P1539" s="16" t="n">
        <f aca="false">MAX(P1538+M1539,Q1529-K1539)</f>
        <v>46378</v>
      </c>
      <c r="Q1539" s="16" t="n">
        <f aca="false">MAX(P1539+K1539,Q1538+N1539)</f>
        <v>46388</v>
      </c>
      <c r="R1539" s="12"/>
      <c r="S1539" s="12"/>
    </row>
    <row r="1540" customFormat="false" ht="15" hidden="false" customHeight="false" outlineLevel="0" collapsed="false">
      <c r="A1540" s="15" t="s">
        <v>5078</v>
      </c>
      <c r="B1540" s="15" t="s">
        <v>5071</v>
      </c>
      <c r="C1540" s="15" t="s">
        <v>403</v>
      </c>
      <c r="D1540" s="15" t="s">
        <v>1460</v>
      </c>
      <c r="E1540" s="15" t="s">
        <v>1480</v>
      </c>
      <c r="F1540" s="15" t="s">
        <v>3017</v>
      </c>
      <c r="G1540" s="15" t="s">
        <v>3018</v>
      </c>
      <c r="H1540" s="33" t="n">
        <f aca="false">Packages!$X$145+Packages!$Y$145</f>
        <v>673.10688214501</v>
      </c>
      <c r="I1540" s="15" t="s">
        <v>3019</v>
      </c>
      <c r="J1540" s="34" t="n">
        <f aca="false">MAX(1,ROUNDUP((Packages!$X$145/R_EXS+Packages!$Y$145/R_EXO)/Fronts!$J$11,0))</f>
        <v>3</v>
      </c>
      <c r="K1540" s="34" t="n">
        <f aca="false">IF(J1540=0,0,ROUNDUP(J1540*7/WD,0))</f>
        <v>4</v>
      </c>
      <c r="L1540" s="15" t="s">
        <v>5076</v>
      </c>
      <c r="M1540" s="34" t="n">
        <f aca="false">IF(K1539=0,0,ROUNDUP((K1539-ROUNDUP(DW_DRAW*7/WD,0))*LADDER,0)+ROUNDUP(DW_DRAW*7/WD,0))</f>
        <v>10</v>
      </c>
      <c r="N1540" s="34" t="n">
        <f aca="false">IF(K1540=0,0,FFLAG)</f>
        <v>2</v>
      </c>
      <c r="O1540" s="15"/>
      <c r="P1540" s="16" t="n">
        <f aca="false">MAX(P1539+M1540,R1529)</f>
        <v>46388</v>
      </c>
      <c r="Q1540" s="16" t="n">
        <f aca="false">MAX(P1540+K1540,Q1539+N1540)</f>
        <v>46392</v>
      </c>
      <c r="R1540" s="16" t="n">
        <f aca="false">IF(K1540&gt;0,Q1540,R1529)</f>
        <v>46392</v>
      </c>
      <c r="S1540" s="15" t="s">
        <v>5062</v>
      </c>
    </row>
    <row r="1541" customFormat="false" ht="15" hidden="false" customHeight="false" outlineLevel="0" collapsed="false">
      <c r="A1541" s="15" t="s">
        <v>5079</v>
      </c>
      <c r="B1541" s="15" t="s">
        <v>5071</v>
      </c>
      <c r="C1541" s="15" t="s">
        <v>403</v>
      </c>
      <c r="D1541" s="15" t="s">
        <v>1460</v>
      </c>
      <c r="E1541" s="15" t="s">
        <v>1480</v>
      </c>
      <c r="F1541" s="15" t="s">
        <v>3022</v>
      </c>
      <c r="G1541" s="15" t="s">
        <v>3023</v>
      </c>
      <c r="H1541" s="33" t="n">
        <f aca="false">Packages!$O$145</f>
        <v>32.2696090840908</v>
      </c>
      <c r="I1541" s="15" t="s">
        <v>118</v>
      </c>
      <c r="J1541" s="34" t="n">
        <f aca="false">MAX(1,ROUNDUP(Packages!$O$145/(R_SLAB*Fronts!$K$11),0))+SLAB_CURE</f>
        <v>6</v>
      </c>
      <c r="K1541" s="34" t="n">
        <f aca="false">IF(J1541=0,0,ROUNDUP(J1541*7/WD,0))</f>
        <v>7</v>
      </c>
      <c r="L1541" s="15" t="s">
        <v>5078</v>
      </c>
      <c r="M1541" s="34" t="n">
        <f aca="false">ROUNDUP(K1540*LADDER,0)</f>
        <v>2</v>
      </c>
      <c r="N1541" s="34" t="n">
        <f aca="false">IF(K1541=0,0,FFLAG)</f>
        <v>2</v>
      </c>
      <c r="O1541" s="15"/>
      <c r="P1541" s="16" t="n">
        <f aca="false">MAX(P1540+M1541,R1530)</f>
        <v>46395</v>
      </c>
      <c r="Q1541" s="16" t="n">
        <f aca="false">MAX(P1541+K1541,Q1540+N1541)</f>
        <v>46402</v>
      </c>
      <c r="R1541" s="16" t="n">
        <f aca="false">IF(K1541&gt;0,Q1541,R1530)</f>
        <v>46402</v>
      </c>
      <c r="S1541" s="15" t="s">
        <v>5064</v>
      </c>
    </row>
    <row r="1542" customFormat="false" ht="15" hidden="false" customHeight="false" outlineLevel="0" collapsed="false">
      <c r="A1542" s="15" t="s">
        <v>5080</v>
      </c>
      <c r="B1542" s="15" t="s">
        <v>5071</v>
      </c>
      <c r="C1542" s="15" t="s">
        <v>403</v>
      </c>
      <c r="D1542" s="15" t="s">
        <v>1460</v>
      </c>
      <c r="E1542" s="15" t="s">
        <v>1480</v>
      </c>
      <c r="F1542" s="15" t="s">
        <v>3025</v>
      </c>
      <c r="G1542" s="15" t="s">
        <v>3026</v>
      </c>
      <c r="H1542" s="33" t="n">
        <f aca="false">Packages!$O$145</f>
        <v>32.2696090840908</v>
      </c>
      <c r="I1542" s="15" t="s">
        <v>118</v>
      </c>
      <c r="J1542" s="34" t="n">
        <f aca="false">MAX(1,ROUNDUP(Packages!$O$145/(IF(Packages!$N$145&gt;=PIPE_T1,R_PIPE_L,IF(Packages!$N$145&gt;=PIPE_T2,R_PIPE_M,R_PIPE_S))*Fronts!$L$11)+Packages!$M$145*FIT_D+IF(Packages!$G$145&lt;&gt;"Run",TIE_D,0),0))</f>
        <v>3</v>
      </c>
      <c r="K1542" s="34" t="n">
        <f aca="false">IF(J1542=0,0,ROUNDUP(J1542*7/WD,0))</f>
        <v>4</v>
      </c>
      <c r="L1542" s="15" t="s">
        <v>5079</v>
      </c>
      <c r="M1542" s="34" t="n">
        <f aca="false">ROUNDUP(K1541*LADDER,0)</f>
        <v>3</v>
      </c>
      <c r="N1542" s="34" t="n">
        <f aca="false">IF(K1542=0,0,FFLAG)</f>
        <v>2</v>
      </c>
      <c r="O1542" s="15"/>
      <c r="P1542" s="16" t="n">
        <f aca="false">MAX(P1541+M1542,R1531)</f>
        <v>46398</v>
      </c>
      <c r="Q1542" s="16" t="n">
        <f aca="false">MAX(P1542+K1542,Q1541+N1542)</f>
        <v>46404</v>
      </c>
      <c r="R1542" s="16" t="n">
        <f aca="false">IF(K1542&gt;0,Q1542,R1531)</f>
        <v>46404</v>
      </c>
      <c r="S1542" s="15" t="s">
        <v>5065</v>
      </c>
    </row>
    <row r="1543" customFormat="false" ht="15" hidden="false" customHeight="false" outlineLevel="0" collapsed="false">
      <c r="A1543" s="15" t="s">
        <v>5081</v>
      </c>
      <c r="B1543" s="15" t="s">
        <v>5071</v>
      </c>
      <c r="C1543" s="15" t="s">
        <v>403</v>
      </c>
      <c r="D1543" s="15" t="s">
        <v>1460</v>
      </c>
      <c r="E1543" s="15" t="s">
        <v>1480</v>
      </c>
      <c r="F1543" s="15" t="s">
        <v>3028</v>
      </c>
      <c r="G1543" s="15" t="s">
        <v>3029</v>
      </c>
      <c r="H1543" s="33" t="n">
        <f aca="false">Packages!$O$145</f>
        <v>32.2696090840908</v>
      </c>
      <c r="I1543" s="15" t="s">
        <v>118</v>
      </c>
      <c r="J1543" s="34" t="n">
        <f aca="false">TEST_D+ROUNDUP(Packages!$O$145/R_TEST,0)</f>
        <v>3</v>
      </c>
      <c r="K1543" s="34" t="n">
        <f aca="false">IF(J1543=0,0,ROUNDUP(J1543*7/WD,0))</f>
        <v>4</v>
      </c>
      <c r="L1543" s="15" t="s">
        <v>5080</v>
      </c>
      <c r="M1543" s="34" t="n">
        <f aca="false">ROUNDUP(K1542*LADDER,0)</f>
        <v>2</v>
      </c>
      <c r="N1543" s="34" t="n">
        <f aca="false">IF(K1543=0,0,FFLAG)</f>
        <v>2</v>
      </c>
      <c r="O1543" s="15"/>
      <c r="P1543" s="16" t="n">
        <f aca="false">MAX(P1542+M1543)</f>
        <v>46400</v>
      </c>
      <c r="Q1543" s="16" t="n">
        <f aca="false">MAX(P1543+K1543,Q1542+N1543)</f>
        <v>46406</v>
      </c>
      <c r="R1543" s="12"/>
      <c r="S1543" s="12"/>
    </row>
    <row r="1544" customFormat="false" ht="15" hidden="false" customHeight="false" outlineLevel="0" collapsed="false">
      <c r="A1544" s="15" t="s">
        <v>5082</v>
      </c>
      <c r="B1544" s="15" t="s">
        <v>5071</v>
      </c>
      <c r="C1544" s="15" t="s">
        <v>403</v>
      </c>
      <c r="D1544" s="15" t="s">
        <v>1460</v>
      </c>
      <c r="E1544" s="15" t="s">
        <v>1480</v>
      </c>
      <c r="F1544" s="15" t="s">
        <v>3031</v>
      </c>
      <c r="G1544" s="15" t="s">
        <v>3032</v>
      </c>
      <c r="H1544" s="33" t="n">
        <f aca="false">Packages!$AB$145</f>
        <v>522.017350261978</v>
      </c>
      <c r="I1544" s="15" t="s">
        <v>3019</v>
      </c>
      <c r="J1544" s="34" t="n">
        <f aca="false">MAX(1,ROUNDUP(Packages!$AB$145/(R_BF*Fronts!$M$11),0))</f>
        <v>2</v>
      </c>
      <c r="K1544" s="34" t="n">
        <f aca="false">IF(J1544=0,0,ROUNDUP(J1544*7/WD,0))</f>
        <v>3</v>
      </c>
      <c r="L1544" s="15" t="s">
        <v>5081</v>
      </c>
      <c r="M1544" s="34" t="n">
        <f aca="false">ROUNDUP(K1543*LADDER,0)</f>
        <v>2</v>
      </c>
      <c r="N1544" s="34" t="n">
        <f aca="false">IF(K1544=0,0,FFLAG)</f>
        <v>2</v>
      </c>
      <c r="O1544" s="15"/>
      <c r="P1544" s="16" t="n">
        <f aca="false">MAX(P1543+M1544,R1533)</f>
        <v>46404</v>
      </c>
      <c r="Q1544" s="16" t="n">
        <f aca="false">MAX(P1544+K1544,Q1543+N1544)</f>
        <v>46408</v>
      </c>
      <c r="R1544" s="16" t="n">
        <f aca="false">IF(K1544&gt;0,Q1544,R1533)</f>
        <v>46408</v>
      </c>
      <c r="S1544" s="15" t="s">
        <v>5067</v>
      </c>
    </row>
    <row r="1545" customFormat="false" ht="15" hidden="false" customHeight="false" outlineLevel="0" collapsed="false">
      <c r="A1545" s="15" t="s">
        <v>5083</v>
      </c>
      <c r="B1545" s="15" t="s">
        <v>5071</v>
      </c>
      <c r="C1545" s="15" t="s">
        <v>403</v>
      </c>
      <c r="D1545" s="15" t="s">
        <v>1460</v>
      </c>
      <c r="E1545" s="15" t="s">
        <v>1480</v>
      </c>
      <c r="F1545" s="15" t="s">
        <v>3034</v>
      </c>
      <c r="G1545" s="15" t="s">
        <v>3035</v>
      </c>
      <c r="H1545" s="33" t="n">
        <f aca="false">Packages!$AD$145</f>
        <v>64.5392181681817</v>
      </c>
      <c r="I1545" s="15" t="s">
        <v>3012</v>
      </c>
      <c r="J1545" s="34" t="n">
        <f aca="false">IF(Packages!$AD$145&gt;0,ROUNDUP(Packages!$AD$145/R_EXT,0),0)+IF(Packages!$AG$145&gt;0,1,0)</f>
        <v>3</v>
      </c>
      <c r="K1545" s="34" t="n">
        <f aca="false">IF(J1545=0,0,ROUNDUP(J1545*7/WD,0))</f>
        <v>4</v>
      </c>
      <c r="L1545" s="15" t="s">
        <v>5082</v>
      </c>
      <c r="M1545" s="34" t="n">
        <f aca="false">ROUNDUP(K1544*LADDER,0)</f>
        <v>1</v>
      </c>
      <c r="N1545" s="34" t="n">
        <f aca="false">IF(K1545=0,0,FFLAG)</f>
        <v>2</v>
      </c>
      <c r="O1545" s="15"/>
      <c r="P1545" s="16" t="n">
        <f aca="false">MAX(P1544+M1545)</f>
        <v>46405</v>
      </c>
      <c r="Q1545" s="16" t="n">
        <f aca="false">MAX(P1545+K1545,Q1544+N1545)</f>
        <v>46410</v>
      </c>
      <c r="R1545" s="12"/>
      <c r="S1545" s="12"/>
    </row>
    <row r="1546" customFormat="false" ht="15" hidden="false" customHeight="false" outlineLevel="0" collapsed="false">
      <c r="A1546" s="15" t="s">
        <v>5084</v>
      </c>
      <c r="B1546" s="15" t="s">
        <v>5085</v>
      </c>
      <c r="C1546" s="15" t="s">
        <v>403</v>
      </c>
      <c r="D1546" s="15" t="s">
        <v>1460</v>
      </c>
      <c r="E1546" s="15" t="s">
        <v>1488</v>
      </c>
      <c r="F1546" s="15" t="s">
        <v>2998</v>
      </c>
      <c r="G1546" s="15" t="s">
        <v>2999</v>
      </c>
      <c r="H1546" s="12"/>
      <c r="I1546" s="12"/>
      <c r="J1546" s="34" t="n">
        <f aca="false">0</f>
        <v>0</v>
      </c>
      <c r="K1546" s="34" t="n">
        <f aca="false">IF(J1546=0,0,ROUNDUP(J1546*7/WD,0))</f>
        <v>0</v>
      </c>
      <c r="L1546" s="12"/>
      <c r="M1546" s="12"/>
      <c r="N1546" s="12"/>
      <c r="O1546" s="15" t="s">
        <v>3000</v>
      </c>
      <c r="P1546" s="16" t="n">
        <f aca="false">MAX(START,D_DLU,Packages!$I$146,Packages!$K$146)</f>
        <v>46357</v>
      </c>
      <c r="Q1546" s="16" t="n">
        <f aca="false">P1546+K1546</f>
        <v>46357</v>
      </c>
      <c r="R1546" s="12"/>
      <c r="S1546" s="12"/>
    </row>
    <row r="1547" customFormat="false" ht="15" hidden="false" customHeight="false" outlineLevel="0" collapsed="false">
      <c r="A1547" s="15" t="s">
        <v>5086</v>
      </c>
      <c r="B1547" s="15" t="s">
        <v>5085</v>
      </c>
      <c r="C1547" s="15" t="s">
        <v>403</v>
      </c>
      <c r="D1547" s="15" t="s">
        <v>1460</v>
      </c>
      <c r="E1547" s="15" t="s">
        <v>1488</v>
      </c>
      <c r="F1547" s="15" t="s">
        <v>3002</v>
      </c>
      <c r="G1547" s="15" t="s">
        <v>205</v>
      </c>
      <c r="H1547" s="33" t="n">
        <f aca="false">Packages!$O$146</f>
        <v>37.1999999997898</v>
      </c>
      <c r="I1547" s="15" t="s">
        <v>118</v>
      </c>
      <c r="J1547" s="34" t="n">
        <f aca="false">MAX(1,ROUNDUP(Packages!$O$146/R_PLAT,0))</f>
        <v>1</v>
      </c>
      <c r="K1547" s="34" t="n">
        <f aca="false">IF(J1547=0,0,ROUNDUP(J1547*7/WD,0))</f>
        <v>2</v>
      </c>
      <c r="L1547" s="15" t="s">
        <v>5084</v>
      </c>
      <c r="M1547" s="12"/>
      <c r="N1547" s="12"/>
      <c r="O1547" s="15" t="s">
        <v>5087</v>
      </c>
      <c r="P1547" s="16" t="n">
        <f aca="false">MAX(Q1546,P1537)</f>
        <v>46373</v>
      </c>
      <c r="Q1547" s="16" t="n">
        <f aca="false">P1547+K1547</f>
        <v>46375</v>
      </c>
      <c r="R1547" s="12"/>
      <c r="S1547" s="12"/>
    </row>
    <row r="1548" customFormat="false" ht="15" hidden="false" customHeight="false" outlineLevel="0" collapsed="false">
      <c r="A1548" s="15" t="s">
        <v>5088</v>
      </c>
      <c r="B1548" s="15" t="s">
        <v>5085</v>
      </c>
      <c r="C1548" s="15" t="s">
        <v>403</v>
      </c>
      <c r="D1548" s="15" t="s">
        <v>1460</v>
      </c>
      <c r="E1548" s="15" t="s">
        <v>1488</v>
      </c>
      <c r="F1548" s="15" t="s">
        <v>3005</v>
      </c>
      <c r="G1548" s="15" t="s">
        <v>3006</v>
      </c>
      <c r="H1548" s="33" t="n">
        <f aca="false">Packages!$AC$146</f>
        <v>28</v>
      </c>
      <c r="I1548" s="15" t="s">
        <v>3007</v>
      </c>
      <c r="J1548" s="34" t="n">
        <f aca="false">IF(Packages!$AC$146=0,0,MAX(1,ROUNDUP(Packages!$AC$146/(R_PILE*Fronts!$H$11),0)))</f>
        <v>6</v>
      </c>
      <c r="K1548" s="34" t="n">
        <f aca="false">IF(J1548=0,0,ROUNDUP(J1548*7/WD,0))</f>
        <v>7</v>
      </c>
      <c r="L1548" s="15" t="s">
        <v>5086</v>
      </c>
      <c r="M1548" s="34" t="n">
        <f aca="false">ROUNDUP(K1547*LADDER,0)</f>
        <v>1</v>
      </c>
      <c r="N1548" s="34" t="n">
        <f aca="false">IF(K1548=0,0,FFLAG)</f>
        <v>2</v>
      </c>
      <c r="O1548" s="15" t="s">
        <v>3008</v>
      </c>
      <c r="P1548" s="16" t="n">
        <f aca="false">MAX(P1547+M1548,D_PILEDES,R1537)</f>
        <v>46379</v>
      </c>
      <c r="Q1548" s="16" t="n">
        <f aca="false">MAX(P1548+K1548,Q1547+N1548)</f>
        <v>46386</v>
      </c>
      <c r="R1548" s="16" t="n">
        <f aca="false">IF(K1548&gt;0,Q1548,R1537)</f>
        <v>46386</v>
      </c>
      <c r="S1548" s="15" t="s">
        <v>5074</v>
      </c>
    </row>
    <row r="1549" customFormat="false" ht="15" hidden="false" customHeight="false" outlineLevel="0" collapsed="false">
      <c r="A1549" s="15" t="s">
        <v>5089</v>
      </c>
      <c r="B1549" s="15" t="s">
        <v>5085</v>
      </c>
      <c r="C1549" s="15" t="s">
        <v>403</v>
      </c>
      <c r="D1549" s="15" t="s">
        <v>1460</v>
      </c>
      <c r="E1549" s="15" t="s">
        <v>1488</v>
      </c>
      <c r="F1549" s="15" t="s">
        <v>3010</v>
      </c>
      <c r="G1549" s="15" t="s">
        <v>3011</v>
      </c>
      <c r="H1549" s="33" t="n">
        <f aca="false">Packages!$AD$146</f>
        <v>74.3999999995795</v>
      </c>
      <c r="I1549" s="15" t="s">
        <v>3012</v>
      </c>
      <c r="J1549" s="34" t="n">
        <f aca="false">IF(Packages!$AD$146=0,0,MAX(1,ROUNDUP(Packages!$AD$146/(R_SHEET*Fronts!$I$11),0)))</f>
        <v>3</v>
      </c>
      <c r="K1549" s="34" t="n">
        <f aca="false">IF(J1549=0,0,ROUNDUP(J1549*7/WD,0))</f>
        <v>4</v>
      </c>
      <c r="L1549" s="15" t="s">
        <v>5088</v>
      </c>
      <c r="M1549" s="34" t="n">
        <f aca="false">ROUNDUP(K1548*LADDER,0)</f>
        <v>3</v>
      </c>
      <c r="N1549" s="34" t="n">
        <f aca="false">IF(K1549=0,0,FFLAG)</f>
        <v>2</v>
      </c>
      <c r="O1549" s="15"/>
      <c r="P1549" s="16" t="n">
        <f aca="false">MAX(P1548+M1549,R1538)</f>
        <v>46382</v>
      </c>
      <c r="Q1549" s="16" t="n">
        <f aca="false">MAX(P1549+K1549,Q1548+N1549)</f>
        <v>46388</v>
      </c>
      <c r="R1549" s="16" t="n">
        <f aca="false">IF(K1549&gt;0,Q1549,R1538)</f>
        <v>46388</v>
      </c>
      <c r="S1549" s="15" t="s">
        <v>5075</v>
      </c>
    </row>
    <row r="1550" customFormat="false" ht="15" hidden="false" customHeight="false" outlineLevel="0" collapsed="false">
      <c r="A1550" s="15" t="s">
        <v>5090</v>
      </c>
      <c r="B1550" s="15" t="s">
        <v>5085</v>
      </c>
      <c r="C1550" s="15" t="s">
        <v>403</v>
      </c>
      <c r="D1550" s="15" t="s">
        <v>1460</v>
      </c>
      <c r="E1550" s="15" t="s">
        <v>1488</v>
      </c>
      <c r="F1550" s="15" t="s">
        <v>3014</v>
      </c>
      <c r="G1550" s="15" t="s">
        <v>3015</v>
      </c>
      <c r="H1550" s="33" t="n">
        <f aca="false">Packages!$O$146</f>
        <v>37.1999999997898</v>
      </c>
      <c r="I1550" s="15" t="s">
        <v>118</v>
      </c>
      <c r="J1550" s="34" t="n">
        <f aca="false">IF(Packages!$AG$146=0,0,ROUNDUP(Packages!$O$146/R_DW,0)+DW_DRAW)</f>
        <v>8</v>
      </c>
      <c r="K1550" s="34" t="n">
        <f aca="false">IF(J1550=0,0,ROUNDUP(J1550*7/WD,0))</f>
        <v>10</v>
      </c>
      <c r="L1550" s="15" t="s">
        <v>5089</v>
      </c>
      <c r="M1550" s="34" t="n">
        <f aca="false">ROUNDUP(K1549*LADDER,0)</f>
        <v>2</v>
      </c>
      <c r="N1550" s="34" t="n">
        <f aca="false">IF(K1550=0,0,FFLAG)</f>
        <v>2</v>
      </c>
      <c r="O1550" s="15" t="s">
        <v>5091</v>
      </c>
      <c r="P1550" s="16" t="n">
        <f aca="false">MAX(P1549+M1550,Q1540-K1550)</f>
        <v>46384</v>
      </c>
      <c r="Q1550" s="16" t="n">
        <f aca="false">MAX(P1550+K1550,Q1549+N1550)</f>
        <v>46394</v>
      </c>
      <c r="R1550" s="12"/>
      <c r="S1550" s="12"/>
    </row>
    <row r="1551" customFormat="false" ht="15" hidden="false" customHeight="false" outlineLevel="0" collapsed="false">
      <c r="A1551" s="15" t="s">
        <v>5092</v>
      </c>
      <c r="B1551" s="15" t="s">
        <v>5085</v>
      </c>
      <c r="C1551" s="15" t="s">
        <v>403</v>
      </c>
      <c r="D1551" s="15" t="s">
        <v>1460</v>
      </c>
      <c r="E1551" s="15" t="s">
        <v>1488</v>
      </c>
      <c r="F1551" s="15" t="s">
        <v>3017</v>
      </c>
      <c r="G1551" s="15" t="s">
        <v>3018</v>
      </c>
      <c r="H1551" s="33" t="n">
        <f aca="false">Packages!$X$146+Packages!$Y$146</f>
        <v>784.827780722447</v>
      </c>
      <c r="I1551" s="15" t="s">
        <v>3019</v>
      </c>
      <c r="J1551" s="34" t="n">
        <f aca="false">MAX(1,ROUNDUP((Packages!$X$146/R_EXS+Packages!$Y$146/R_EXO)/Fronts!$J$11,0))</f>
        <v>4</v>
      </c>
      <c r="K1551" s="34" t="n">
        <f aca="false">IF(J1551=0,0,ROUNDUP(J1551*7/WD,0))</f>
        <v>5</v>
      </c>
      <c r="L1551" s="15" t="s">
        <v>5090</v>
      </c>
      <c r="M1551" s="34" t="n">
        <f aca="false">IF(K1550=0,0,ROUNDUP((K1550-ROUNDUP(DW_DRAW*7/WD,0))*LADDER,0)+ROUNDUP(DW_DRAW*7/WD,0))</f>
        <v>10</v>
      </c>
      <c r="N1551" s="34" t="n">
        <f aca="false">IF(K1551=0,0,FFLAG)</f>
        <v>2</v>
      </c>
      <c r="O1551" s="15"/>
      <c r="P1551" s="16" t="n">
        <f aca="false">MAX(P1550+M1551,R1540)</f>
        <v>46394</v>
      </c>
      <c r="Q1551" s="16" t="n">
        <f aca="false">MAX(P1551+K1551,Q1550+N1551)</f>
        <v>46399</v>
      </c>
      <c r="R1551" s="16" t="n">
        <f aca="false">IF(K1551&gt;0,Q1551,R1540)</f>
        <v>46399</v>
      </c>
      <c r="S1551" s="15" t="s">
        <v>5078</v>
      </c>
    </row>
    <row r="1552" customFormat="false" ht="15" hidden="false" customHeight="false" outlineLevel="0" collapsed="false">
      <c r="A1552" s="15" t="s">
        <v>5093</v>
      </c>
      <c r="B1552" s="15" t="s">
        <v>5085</v>
      </c>
      <c r="C1552" s="15" t="s">
        <v>403</v>
      </c>
      <c r="D1552" s="15" t="s">
        <v>1460</v>
      </c>
      <c r="E1552" s="15" t="s">
        <v>1488</v>
      </c>
      <c r="F1552" s="15" t="s">
        <v>3022</v>
      </c>
      <c r="G1552" s="15" t="s">
        <v>3023</v>
      </c>
      <c r="H1552" s="33" t="n">
        <f aca="false">Packages!$O$146</f>
        <v>37.1999999997898</v>
      </c>
      <c r="I1552" s="15" t="s">
        <v>118</v>
      </c>
      <c r="J1552" s="34" t="n">
        <f aca="false">MAX(1,ROUNDUP(Packages!$O$146/(R_SLAB*Fronts!$K$11),0))+SLAB_CURE</f>
        <v>7</v>
      </c>
      <c r="K1552" s="34" t="n">
        <f aca="false">IF(J1552=0,0,ROUNDUP(J1552*7/WD,0))</f>
        <v>9</v>
      </c>
      <c r="L1552" s="15" t="s">
        <v>5092</v>
      </c>
      <c r="M1552" s="34" t="n">
        <f aca="false">ROUNDUP(K1551*LADDER,0)</f>
        <v>2</v>
      </c>
      <c r="N1552" s="34" t="n">
        <f aca="false">IF(K1552=0,0,FFLAG)</f>
        <v>2</v>
      </c>
      <c r="O1552" s="15"/>
      <c r="P1552" s="16" t="n">
        <f aca="false">MAX(P1551+M1552,R1541)</f>
        <v>46402</v>
      </c>
      <c r="Q1552" s="16" t="n">
        <f aca="false">MAX(P1552+K1552,Q1551+N1552)</f>
        <v>46411</v>
      </c>
      <c r="R1552" s="16" t="n">
        <f aca="false">IF(K1552&gt;0,Q1552,R1541)</f>
        <v>46411</v>
      </c>
      <c r="S1552" s="15" t="s">
        <v>5079</v>
      </c>
    </row>
    <row r="1553" customFormat="false" ht="15" hidden="false" customHeight="false" outlineLevel="0" collapsed="false">
      <c r="A1553" s="15" t="s">
        <v>5094</v>
      </c>
      <c r="B1553" s="15" t="s">
        <v>5085</v>
      </c>
      <c r="C1553" s="15" t="s">
        <v>403</v>
      </c>
      <c r="D1553" s="15" t="s">
        <v>1460</v>
      </c>
      <c r="E1553" s="15" t="s">
        <v>1488</v>
      </c>
      <c r="F1553" s="15" t="s">
        <v>3025</v>
      </c>
      <c r="G1553" s="15" t="s">
        <v>3026</v>
      </c>
      <c r="H1553" s="33" t="n">
        <f aca="false">Packages!$O$146</f>
        <v>37.1999999997898</v>
      </c>
      <c r="I1553" s="15" t="s">
        <v>118</v>
      </c>
      <c r="J1553" s="34" t="n">
        <f aca="false">MAX(1,ROUNDUP(Packages!$O$146/(IF(Packages!$N$146&gt;=PIPE_T1,R_PIPE_L,IF(Packages!$N$146&gt;=PIPE_T2,R_PIPE_M,R_PIPE_S))*Fronts!$L$11)+Packages!$M$146*FIT_D+IF(Packages!$G$146&lt;&gt;"Run",TIE_D,0),0))</f>
        <v>2</v>
      </c>
      <c r="K1553" s="34" t="n">
        <f aca="false">IF(J1553=0,0,ROUNDUP(J1553*7/WD,0))</f>
        <v>3</v>
      </c>
      <c r="L1553" s="15" t="s">
        <v>5093</v>
      </c>
      <c r="M1553" s="34" t="n">
        <f aca="false">ROUNDUP(K1552*LADDER,0)</f>
        <v>3</v>
      </c>
      <c r="N1553" s="34" t="n">
        <f aca="false">IF(K1553=0,0,FFLAG)</f>
        <v>2</v>
      </c>
      <c r="O1553" s="15"/>
      <c r="P1553" s="16" t="n">
        <f aca="false">MAX(P1552+M1553,R1542)</f>
        <v>46405</v>
      </c>
      <c r="Q1553" s="16" t="n">
        <f aca="false">MAX(P1553+K1553,Q1552+N1553)</f>
        <v>46413</v>
      </c>
      <c r="R1553" s="16" t="n">
        <f aca="false">IF(K1553&gt;0,Q1553,R1542)</f>
        <v>46413</v>
      </c>
      <c r="S1553" s="15" t="s">
        <v>5080</v>
      </c>
    </row>
    <row r="1554" customFormat="false" ht="15" hidden="false" customHeight="false" outlineLevel="0" collapsed="false">
      <c r="A1554" s="15" t="s">
        <v>5095</v>
      </c>
      <c r="B1554" s="15" t="s">
        <v>5085</v>
      </c>
      <c r="C1554" s="15" t="s">
        <v>403</v>
      </c>
      <c r="D1554" s="15" t="s">
        <v>1460</v>
      </c>
      <c r="E1554" s="15" t="s">
        <v>1488</v>
      </c>
      <c r="F1554" s="15" t="s">
        <v>3028</v>
      </c>
      <c r="G1554" s="15" t="s">
        <v>3029</v>
      </c>
      <c r="H1554" s="33" t="n">
        <f aca="false">Packages!$O$146</f>
        <v>37.1999999997898</v>
      </c>
      <c r="I1554" s="15" t="s">
        <v>118</v>
      </c>
      <c r="J1554" s="34" t="n">
        <f aca="false">TEST_D+ROUNDUP(Packages!$O$146/R_TEST,0)</f>
        <v>3</v>
      </c>
      <c r="K1554" s="34" t="n">
        <f aca="false">IF(J1554=0,0,ROUNDUP(J1554*7/WD,0))</f>
        <v>4</v>
      </c>
      <c r="L1554" s="15" t="s">
        <v>5094</v>
      </c>
      <c r="M1554" s="34" t="n">
        <f aca="false">ROUNDUP(K1553*LADDER,0)</f>
        <v>1</v>
      </c>
      <c r="N1554" s="34" t="n">
        <f aca="false">IF(K1554=0,0,FFLAG)</f>
        <v>2</v>
      </c>
      <c r="O1554" s="15"/>
      <c r="P1554" s="16" t="n">
        <f aca="false">MAX(P1553+M1554)</f>
        <v>46406</v>
      </c>
      <c r="Q1554" s="16" t="n">
        <f aca="false">MAX(P1554+K1554,Q1553+N1554)</f>
        <v>46415</v>
      </c>
      <c r="R1554" s="12"/>
      <c r="S1554" s="12"/>
    </row>
    <row r="1555" customFormat="false" ht="15" hidden="false" customHeight="false" outlineLevel="0" collapsed="false">
      <c r="A1555" s="15" t="s">
        <v>5096</v>
      </c>
      <c r="B1555" s="15" t="s">
        <v>5085</v>
      </c>
      <c r="C1555" s="15" t="s">
        <v>403</v>
      </c>
      <c r="D1555" s="15" t="s">
        <v>1460</v>
      </c>
      <c r="E1555" s="15" t="s">
        <v>1488</v>
      </c>
      <c r="F1555" s="15" t="s">
        <v>3031</v>
      </c>
      <c r="G1555" s="15" t="s">
        <v>3032</v>
      </c>
      <c r="H1555" s="33" t="n">
        <f aca="false">Packages!$AB$146</f>
        <v>606.529075280976</v>
      </c>
      <c r="I1555" s="15" t="s">
        <v>3019</v>
      </c>
      <c r="J1555" s="34" t="n">
        <f aca="false">MAX(1,ROUNDUP(Packages!$AB$146/(R_BF*Fronts!$M$11),0))</f>
        <v>2</v>
      </c>
      <c r="K1555" s="34" t="n">
        <f aca="false">IF(J1555=0,0,ROUNDUP(J1555*7/WD,0))</f>
        <v>3</v>
      </c>
      <c r="L1555" s="15" t="s">
        <v>5095</v>
      </c>
      <c r="M1555" s="34" t="n">
        <f aca="false">ROUNDUP(K1554*LADDER,0)</f>
        <v>2</v>
      </c>
      <c r="N1555" s="34" t="n">
        <f aca="false">IF(K1555=0,0,FFLAG)</f>
        <v>2</v>
      </c>
      <c r="O1555" s="15"/>
      <c r="P1555" s="16" t="n">
        <f aca="false">MAX(P1554+M1555,R1544)</f>
        <v>46408</v>
      </c>
      <c r="Q1555" s="16" t="n">
        <f aca="false">MAX(P1555+K1555,Q1554+N1555)</f>
        <v>46417</v>
      </c>
      <c r="R1555" s="16" t="n">
        <f aca="false">IF(K1555&gt;0,Q1555,R1544)</f>
        <v>46417</v>
      </c>
      <c r="S1555" s="15" t="s">
        <v>5082</v>
      </c>
    </row>
    <row r="1556" customFormat="false" ht="15" hidden="false" customHeight="false" outlineLevel="0" collapsed="false">
      <c r="A1556" s="15" t="s">
        <v>5097</v>
      </c>
      <c r="B1556" s="15" t="s">
        <v>5085</v>
      </c>
      <c r="C1556" s="15" t="s">
        <v>403</v>
      </c>
      <c r="D1556" s="15" t="s">
        <v>1460</v>
      </c>
      <c r="E1556" s="15" t="s">
        <v>1488</v>
      </c>
      <c r="F1556" s="15" t="s">
        <v>3034</v>
      </c>
      <c r="G1556" s="15" t="s">
        <v>3035</v>
      </c>
      <c r="H1556" s="33" t="n">
        <f aca="false">Packages!$AD$146</f>
        <v>74.3999999995795</v>
      </c>
      <c r="I1556" s="15" t="s">
        <v>3012</v>
      </c>
      <c r="J1556" s="34" t="n">
        <f aca="false">IF(Packages!$AD$146&gt;0,ROUNDUP(Packages!$AD$146/R_EXT,0),0)+IF(Packages!$AG$146&gt;0,1,0)</f>
        <v>3</v>
      </c>
      <c r="K1556" s="34" t="n">
        <f aca="false">IF(J1556=0,0,ROUNDUP(J1556*7/WD,0))</f>
        <v>4</v>
      </c>
      <c r="L1556" s="15" t="s">
        <v>5096</v>
      </c>
      <c r="M1556" s="34" t="n">
        <f aca="false">ROUNDUP(K1555*LADDER,0)</f>
        <v>1</v>
      </c>
      <c r="N1556" s="34" t="n">
        <f aca="false">IF(K1556=0,0,FFLAG)</f>
        <v>2</v>
      </c>
      <c r="O1556" s="15"/>
      <c r="P1556" s="16" t="n">
        <f aca="false">MAX(P1555+M1556)</f>
        <v>46409</v>
      </c>
      <c r="Q1556" s="16" t="n">
        <f aca="false">MAX(P1556+K1556,Q1555+N1556)</f>
        <v>46419</v>
      </c>
      <c r="R1556" s="12"/>
      <c r="S1556" s="12"/>
    </row>
    <row r="1557" customFormat="false" ht="15" hidden="false" customHeight="false" outlineLevel="0" collapsed="false">
      <c r="A1557" s="15" t="s">
        <v>5098</v>
      </c>
      <c r="B1557" s="15" t="s">
        <v>5099</v>
      </c>
      <c r="C1557" s="15" t="s">
        <v>403</v>
      </c>
      <c r="D1557" s="15" t="s">
        <v>819</v>
      </c>
      <c r="E1557" s="15" t="s">
        <v>831</v>
      </c>
      <c r="F1557" s="15" t="s">
        <v>2998</v>
      </c>
      <c r="G1557" s="15" t="s">
        <v>2999</v>
      </c>
      <c r="H1557" s="12"/>
      <c r="I1557" s="12"/>
      <c r="J1557" s="34" t="n">
        <f aca="false">0</f>
        <v>0</v>
      </c>
      <c r="K1557" s="34" t="n">
        <f aca="false">IF(J1557=0,0,ROUNDUP(J1557*7/WD,0))</f>
        <v>0</v>
      </c>
      <c r="L1557" s="12"/>
      <c r="M1557" s="12"/>
      <c r="N1557" s="12"/>
      <c r="O1557" s="15" t="s">
        <v>3000</v>
      </c>
      <c r="P1557" s="16" t="n">
        <f aca="false">MAX(START,D_DLU,Packages!$I$147,Packages!$K$147)</f>
        <v>46357</v>
      </c>
      <c r="Q1557" s="16" t="n">
        <f aca="false">P1557+K1557</f>
        <v>46357</v>
      </c>
      <c r="R1557" s="12"/>
      <c r="S1557" s="12"/>
    </row>
    <row r="1558" customFormat="false" ht="15" hidden="false" customHeight="false" outlineLevel="0" collapsed="false">
      <c r="A1558" s="15" t="s">
        <v>5100</v>
      </c>
      <c r="B1558" s="15" t="s">
        <v>5099</v>
      </c>
      <c r="C1558" s="15" t="s">
        <v>403</v>
      </c>
      <c r="D1558" s="15" t="s">
        <v>819</v>
      </c>
      <c r="E1558" s="15" t="s">
        <v>831</v>
      </c>
      <c r="F1558" s="15" t="s">
        <v>3002</v>
      </c>
      <c r="G1558" s="15" t="s">
        <v>205</v>
      </c>
      <c r="H1558" s="33" t="n">
        <f aca="false">Packages!$O$147</f>
        <v>55.2000000000853</v>
      </c>
      <c r="I1558" s="15" t="s">
        <v>118</v>
      </c>
      <c r="J1558" s="34" t="n">
        <f aca="false">MAX(1,ROUNDUP(Packages!$O$147/R_PLAT,0))</f>
        <v>1</v>
      </c>
      <c r="K1558" s="34" t="n">
        <f aca="false">IF(J1558=0,0,ROUNDUP(J1558*7/WD,0))</f>
        <v>2</v>
      </c>
      <c r="L1558" s="15" t="s">
        <v>5098</v>
      </c>
      <c r="M1558" s="12"/>
      <c r="N1558" s="12"/>
      <c r="O1558" s="15" t="s">
        <v>5101</v>
      </c>
      <c r="P1558" s="16" t="n">
        <f aca="false">MAX(Q1557,P1548)</f>
        <v>46379</v>
      </c>
      <c r="Q1558" s="16" t="n">
        <f aca="false">P1558+K1558</f>
        <v>46381</v>
      </c>
      <c r="R1558" s="12"/>
      <c r="S1558" s="12"/>
    </row>
    <row r="1559" customFormat="false" ht="15" hidden="false" customHeight="false" outlineLevel="0" collapsed="false">
      <c r="A1559" s="15" t="s">
        <v>5102</v>
      </c>
      <c r="B1559" s="15" t="s">
        <v>5099</v>
      </c>
      <c r="C1559" s="15" t="s">
        <v>403</v>
      </c>
      <c r="D1559" s="15" t="s">
        <v>819</v>
      </c>
      <c r="E1559" s="15" t="s">
        <v>831</v>
      </c>
      <c r="F1559" s="15" t="s">
        <v>3005</v>
      </c>
      <c r="G1559" s="15" t="s">
        <v>3006</v>
      </c>
      <c r="H1559" s="33" t="n">
        <f aca="false">Packages!$AC$147</f>
        <v>40</v>
      </c>
      <c r="I1559" s="15" t="s">
        <v>3007</v>
      </c>
      <c r="J1559" s="34" t="n">
        <f aca="false">IF(Packages!$AC$147=0,0,MAX(1,ROUNDUP(Packages!$AC$147/(R_PILE*Fronts!$H$11),0)))</f>
        <v>8</v>
      </c>
      <c r="K1559" s="34" t="n">
        <f aca="false">IF(J1559=0,0,ROUNDUP(J1559*7/WD,0))</f>
        <v>10</v>
      </c>
      <c r="L1559" s="15" t="s">
        <v>5100</v>
      </c>
      <c r="M1559" s="34" t="n">
        <f aca="false">ROUNDUP(K1558*LADDER,0)</f>
        <v>1</v>
      </c>
      <c r="N1559" s="34" t="n">
        <f aca="false">IF(K1559=0,0,FFLAG)</f>
        <v>2</v>
      </c>
      <c r="O1559" s="15" t="s">
        <v>3008</v>
      </c>
      <c r="P1559" s="16" t="n">
        <f aca="false">MAX(P1558+M1559,D_PILEDES,R1548)</f>
        <v>46386</v>
      </c>
      <c r="Q1559" s="16" t="n">
        <f aca="false">MAX(P1559+K1559,Q1558+N1559)</f>
        <v>46396</v>
      </c>
      <c r="R1559" s="16" t="n">
        <f aca="false">IF(K1559&gt;0,Q1559,R1548)</f>
        <v>46396</v>
      </c>
      <c r="S1559" s="15" t="s">
        <v>5088</v>
      </c>
    </row>
    <row r="1560" customFormat="false" ht="15" hidden="false" customHeight="false" outlineLevel="0" collapsed="false">
      <c r="A1560" s="15" t="s">
        <v>5103</v>
      </c>
      <c r="B1560" s="15" t="s">
        <v>5099</v>
      </c>
      <c r="C1560" s="15" t="s">
        <v>403</v>
      </c>
      <c r="D1560" s="15" t="s">
        <v>819</v>
      </c>
      <c r="E1560" s="15" t="s">
        <v>831</v>
      </c>
      <c r="F1560" s="15" t="s">
        <v>3010</v>
      </c>
      <c r="G1560" s="15" t="s">
        <v>3011</v>
      </c>
      <c r="H1560" s="33" t="n">
        <f aca="false">Packages!$AD$147</f>
        <v>82.600000000218</v>
      </c>
      <c r="I1560" s="15" t="s">
        <v>3012</v>
      </c>
      <c r="J1560" s="34" t="n">
        <f aca="false">IF(Packages!$AD$147=0,0,MAX(1,ROUNDUP(Packages!$AD$147/(R_SHEET*Fronts!$I$11),0)))</f>
        <v>4</v>
      </c>
      <c r="K1560" s="34" t="n">
        <f aca="false">IF(J1560=0,0,ROUNDUP(J1560*7/WD,0))</f>
        <v>5</v>
      </c>
      <c r="L1560" s="15" t="s">
        <v>5102</v>
      </c>
      <c r="M1560" s="34" t="n">
        <f aca="false">ROUNDUP(K1559*LADDER,0)</f>
        <v>3</v>
      </c>
      <c r="N1560" s="34" t="n">
        <f aca="false">IF(K1560=0,0,FFLAG)</f>
        <v>2</v>
      </c>
      <c r="O1560" s="15"/>
      <c r="P1560" s="16" t="n">
        <f aca="false">MAX(P1559+M1560,R1549)</f>
        <v>46389</v>
      </c>
      <c r="Q1560" s="16" t="n">
        <f aca="false">MAX(P1560+K1560,Q1559+N1560)</f>
        <v>46398</v>
      </c>
      <c r="R1560" s="16" t="n">
        <f aca="false">IF(K1560&gt;0,Q1560,R1549)</f>
        <v>46398</v>
      </c>
      <c r="S1560" s="15" t="s">
        <v>5089</v>
      </c>
    </row>
    <row r="1561" customFormat="false" ht="15" hidden="false" customHeight="false" outlineLevel="0" collapsed="false">
      <c r="A1561" s="15" t="s">
        <v>5104</v>
      </c>
      <c r="B1561" s="15" t="s">
        <v>5099</v>
      </c>
      <c r="C1561" s="15" t="s">
        <v>403</v>
      </c>
      <c r="D1561" s="15" t="s">
        <v>819</v>
      </c>
      <c r="E1561" s="15" t="s">
        <v>831</v>
      </c>
      <c r="F1561" s="15" t="s">
        <v>3014</v>
      </c>
      <c r="G1561" s="15" t="s">
        <v>3015</v>
      </c>
      <c r="H1561" s="33" t="n">
        <f aca="false">Packages!$O$147</f>
        <v>55.2000000000853</v>
      </c>
      <c r="I1561" s="15" t="s">
        <v>118</v>
      </c>
      <c r="J1561" s="34" t="n">
        <f aca="false">IF(Packages!$AG$147=0,0,ROUNDUP(Packages!$O$147/R_DW,0)+DW_DRAW)</f>
        <v>9</v>
      </c>
      <c r="K1561" s="34" t="n">
        <f aca="false">IF(J1561=0,0,ROUNDUP(J1561*7/WD,0))</f>
        <v>11</v>
      </c>
      <c r="L1561" s="15" t="s">
        <v>5103</v>
      </c>
      <c r="M1561" s="34" t="n">
        <f aca="false">ROUNDUP(K1560*LADDER,0)</f>
        <v>2</v>
      </c>
      <c r="N1561" s="34" t="n">
        <f aca="false">IF(K1561=0,0,FFLAG)</f>
        <v>2</v>
      </c>
      <c r="O1561" s="15" t="s">
        <v>5105</v>
      </c>
      <c r="P1561" s="16" t="n">
        <f aca="false">MAX(P1560+M1561,Q1551-K1561)</f>
        <v>46391</v>
      </c>
      <c r="Q1561" s="16" t="n">
        <f aca="false">MAX(P1561+K1561,Q1560+N1561)</f>
        <v>46402</v>
      </c>
      <c r="R1561" s="12"/>
      <c r="S1561" s="12"/>
    </row>
    <row r="1562" customFormat="false" ht="15" hidden="false" customHeight="false" outlineLevel="0" collapsed="false">
      <c r="A1562" s="15" t="s">
        <v>5106</v>
      </c>
      <c r="B1562" s="15" t="s">
        <v>5099</v>
      </c>
      <c r="C1562" s="15" t="s">
        <v>403</v>
      </c>
      <c r="D1562" s="15" t="s">
        <v>819</v>
      </c>
      <c r="E1562" s="15" t="s">
        <v>831</v>
      </c>
      <c r="F1562" s="15" t="s">
        <v>3017</v>
      </c>
      <c r="G1562" s="15" t="s">
        <v>3018</v>
      </c>
      <c r="H1562" s="33" t="n">
        <f aca="false">Packages!$X$147+Packages!$Y$147</f>
        <v>1221.86521205356</v>
      </c>
      <c r="I1562" s="15" t="s">
        <v>3019</v>
      </c>
      <c r="J1562" s="34" t="n">
        <f aca="false">MAX(1,ROUNDUP((Packages!$X$147/R_EXS+Packages!$Y$147/R_EXO)/Fronts!$J$11,0))</f>
        <v>5</v>
      </c>
      <c r="K1562" s="34" t="n">
        <f aca="false">IF(J1562=0,0,ROUNDUP(J1562*7/WD,0))</f>
        <v>6</v>
      </c>
      <c r="L1562" s="15" t="s">
        <v>5104</v>
      </c>
      <c r="M1562" s="34" t="n">
        <f aca="false">IF(K1561=0,0,ROUNDUP((K1561-ROUNDUP(DW_DRAW*7/WD,0))*LADDER,0)+ROUNDUP(DW_DRAW*7/WD,0))</f>
        <v>10</v>
      </c>
      <c r="N1562" s="34" t="n">
        <f aca="false">IF(K1562=0,0,FFLAG)</f>
        <v>2</v>
      </c>
      <c r="O1562" s="15" t="s">
        <v>5107</v>
      </c>
      <c r="P1562" s="16" t="n">
        <f aca="false">MAX(P1561+M1562,R1551,Q1544,Q1555)</f>
        <v>46417</v>
      </c>
      <c r="Q1562" s="16" t="n">
        <f aca="false">MAX(P1562+K1562,Q1561+N1562)</f>
        <v>46423</v>
      </c>
      <c r="R1562" s="16" t="n">
        <f aca="false">IF(K1562&gt;0,Q1562,R1551)</f>
        <v>46423</v>
      </c>
      <c r="S1562" s="15" t="s">
        <v>5092</v>
      </c>
    </row>
    <row r="1563" customFormat="false" ht="15" hidden="false" customHeight="false" outlineLevel="0" collapsed="false">
      <c r="A1563" s="15" t="s">
        <v>5108</v>
      </c>
      <c r="B1563" s="15" t="s">
        <v>5099</v>
      </c>
      <c r="C1563" s="15" t="s">
        <v>403</v>
      </c>
      <c r="D1563" s="15" t="s">
        <v>819</v>
      </c>
      <c r="E1563" s="15" t="s">
        <v>831</v>
      </c>
      <c r="F1563" s="15" t="s">
        <v>3022</v>
      </c>
      <c r="G1563" s="15" t="s">
        <v>3023</v>
      </c>
      <c r="H1563" s="33" t="n">
        <f aca="false">Packages!$O$147</f>
        <v>55.2000000000853</v>
      </c>
      <c r="I1563" s="15" t="s">
        <v>118</v>
      </c>
      <c r="J1563" s="34" t="n">
        <f aca="false">MAX(1,ROUNDUP(Packages!$O$147/(R_SLAB*Fronts!$K$11),0))+SLAB_CURE</f>
        <v>8</v>
      </c>
      <c r="K1563" s="34" t="n">
        <f aca="false">IF(J1563=0,0,ROUNDUP(J1563*7/WD,0))</f>
        <v>10</v>
      </c>
      <c r="L1563" s="15" t="s">
        <v>5106</v>
      </c>
      <c r="M1563" s="34" t="n">
        <f aca="false">ROUNDUP(K1562*LADDER,0)</f>
        <v>2</v>
      </c>
      <c r="N1563" s="34" t="n">
        <f aca="false">IF(K1563=0,0,FFLAG)</f>
        <v>2</v>
      </c>
      <c r="O1563" s="15"/>
      <c r="P1563" s="16" t="n">
        <f aca="false">MAX(P1562+M1563,R1552)</f>
        <v>46419</v>
      </c>
      <c r="Q1563" s="16" t="n">
        <f aca="false">MAX(P1563+K1563,Q1562+N1563)</f>
        <v>46429</v>
      </c>
      <c r="R1563" s="16" t="n">
        <f aca="false">IF(K1563&gt;0,Q1563,R1552)</f>
        <v>46429</v>
      </c>
      <c r="S1563" s="15" t="s">
        <v>5093</v>
      </c>
    </row>
    <row r="1564" customFormat="false" ht="15" hidden="false" customHeight="false" outlineLevel="0" collapsed="false">
      <c r="A1564" s="15" t="s">
        <v>5109</v>
      </c>
      <c r="B1564" s="15" t="s">
        <v>5099</v>
      </c>
      <c r="C1564" s="15" t="s">
        <v>403</v>
      </c>
      <c r="D1564" s="15" t="s">
        <v>819</v>
      </c>
      <c r="E1564" s="15" t="s">
        <v>831</v>
      </c>
      <c r="F1564" s="15" t="s">
        <v>3025</v>
      </c>
      <c r="G1564" s="15" t="s">
        <v>3026</v>
      </c>
      <c r="H1564" s="33" t="n">
        <f aca="false">Packages!$O$147</f>
        <v>55.2000000000853</v>
      </c>
      <c r="I1564" s="15" t="s">
        <v>118</v>
      </c>
      <c r="J1564" s="34" t="n">
        <f aca="false">MAX(1,ROUNDUP(Packages!$O$147/(IF(Packages!$N$147&gt;=PIPE_T1,R_PIPE_L,IF(Packages!$N$147&gt;=PIPE_T2,R_PIPE_M,R_PIPE_S))*Fronts!$L$11)+Packages!$M$147*FIT_D+IF(Packages!$G$147&lt;&gt;"Run",TIE_D,0),0))</f>
        <v>5</v>
      </c>
      <c r="K1564" s="34" t="n">
        <f aca="false">IF(J1564=0,0,ROUNDUP(J1564*7/WD,0))</f>
        <v>6</v>
      </c>
      <c r="L1564" s="15" t="s">
        <v>5108</v>
      </c>
      <c r="M1564" s="34" t="n">
        <f aca="false">ROUNDUP(K1563*LADDER,0)</f>
        <v>3</v>
      </c>
      <c r="N1564" s="34" t="n">
        <f aca="false">IF(K1564=0,0,FFLAG)</f>
        <v>2</v>
      </c>
      <c r="O1564" s="15"/>
      <c r="P1564" s="16" t="n">
        <f aca="false">MAX(P1563+M1564,R1553)</f>
        <v>46422</v>
      </c>
      <c r="Q1564" s="16" t="n">
        <f aca="false">MAX(P1564+K1564,Q1563+N1564)</f>
        <v>46431</v>
      </c>
      <c r="R1564" s="16" t="n">
        <f aca="false">IF(K1564&gt;0,Q1564,R1553)</f>
        <v>46431</v>
      </c>
      <c r="S1564" s="15" t="s">
        <v>5094</v>
      </c>
    </row>
    <row r="1565" customFormat="false" ht="15" hidden="false" customHeight="false" outlineLevel="0" collapsed="false">
      <c r="A1565" s="15" t="s">
        <v>5110</v>
      </c>
      <c r="B1565" s="15" t="s">
        <v>5099</v>
      </c>
      <c r="C1565" s="15" t="s">
        <v>403</v>
      </c>
      <c r="D1565" s="15" t="s">
        <v>819</v>
      </c>
      <c r="E1565" s="15" t="s">
        <v>831</v>
      </c>
      <c r="F1565" s="15" t="s">
        <v>3028</v>
      </c>
      <c r="G1565" s="15" t="s">
        <v>3029</v>
      </c>
      <c r="H1565" s="33" t="n">
        <f aca="false">Packages!$O$147</f>
        <v>55.2000000000853</v>
      </c>
      <c r="I1565" s="15" t="s">
        <v>118</v>
      </c>
      <c r="J1565" s="34" t="n">
        <f aca="false">TEST_D+ROUNDUP(Packages!$O$147/R_TEST,0)</f>
        <v>3</v>
      </c>
      <c r="K1565" s="34" t="n">
        <f aca="false">IF(J1565=0,0,ROUNDUP(J1565*7/WD,0))</f>
        <v>4</v>
      </c>
      <c r="L1565" s="15" t="s">
        <v>5109</v>
      </c>
      <c r="M1565" s="34" t="n">
        <f aca="false">ROUNDUP(K1564*LADDER,0)</f>
        <v>2</v>
      </c>
      <c r="N1565" s="34" t="n">
        <f aca="false">IF(K1565=0,0,FFLAG)</f>
        <v>2</v>
      </c>
      <c r="O1565" s="15"/>
      <c r="P1565" s="16" t="n">
        <f aca="false">MAX(P1564+M1565)</f>
        <v>46424</v>
      </c>
      <c r="Q1565" s="16" t="n">
        <f aca="false">MAX(P1565+K1565,Q1564+N1565)</f>
        <v>46433</v>
      </c>
      <c r="R1565" s="12"/>
      <c r="S1565" s="12"/>
    </row>
    <row r="1566" customFormat="false" ht="15" hidden="false" customHeight="false" outlineLevel="0" collapsed="false">
      <c r="A1566" s="15" t="s">
        <v>5111</v>
      </c>
      <c r="B1566" s="15" t="s">
        <v>5099</v>
      </c>
      <c r="C1566" s="15" t="s">
        <v>403</v>
      </c>
      <c r="D1566" s="15" t="s">
        <v>819</v>
      </c>
      <c r="E1566" s="15" t="s">
        <v>831</v>
      </c>
      <c r="F1566" s="15" t="s">
        <v>3031</v>
      </c>
      <c r="G1566" s="15" t="s">
        <v>3032</v>
      </c>
      <c r="H1566" s="33" t="n">
        <f aca="false">Packages!$AB$147</f>
        <v>951.446092770853</v>
      </c>
      <c r="I1566" s="15" t="s">
        <v>3019</v>
      </c>
      <c r="J1566" s="34" t="n">
        <f aca="false">MAX(1,ROUNDUP(Packages!$AB$147/(R_BF*Fronts!$M$11),0))</f>
        <v>3</v>
      </c>
      <c r="K1566" s="34" t="n">
        <f aca="false">IF(J1566=0,0,ROUNDUP(J1566*7/WD,0))</f>
        <v>4</v>
      </c>
      <c r="L1566" s="15" t="s">
        <v>5110</v>
      </c>
      <c r="M1566" s="34" t="n">
        <f aca="false">ROUNDUP(K1565*LADDER,0)</f>
        <v>2</v>
      </c>
      <c r="N1566" s="34" t="n">
        <f aca="false">IF(K1566=0,0,FFLAG)</f>
        <v>2</v>
      </c>
      <c r="O1566" s="15" t="s">
        <v>5112</v>
      </c>
      <c r="P1566" s="16" t="n">
        <f aca="false">MAX(P1565+M1566,R1555,Q1597,Q1586,Q1575)</f>
        <v>46453</v>
      </c>
      <c r="Q1566" s="16" t="n">
        <f aca="false">MAX(P1566+K1566,Q1565+N1566)</f>
        <v>46457</v>
      </c>
      <c r="R1566" s="16" t="n">
        <f aca="false">IF(K1566&gt;0,Q1566,R1555)</f>
        <v>46457</v>
      </c>
      <c r="S1566" s="15" t="s">
        <v>5096</v>
      </c>
    </row>
    <row r="1567" customFormat="false" ht="15" hidden="false" customHeight="false" outlineLevel="0" collapsed="false">
      <c r="A1567" s="15" t="s">
        <v>5113</v>
      </c>
      <c r="B1567" s="15" t="s">
        <v>5099</v>
      </c>
      <c r="C1567" s="15" t="s">
        <v>403</v>
      </c>
      <c r="D1567" s="15" t="s">
        <v>819</v>
      </c>
      <c r="E1567" s="15" t="s">
        <v>831</v>
      </c>
      <c r="F1567" s="15" t="s">
        <v>3034</v>
      </c>
      <c r="G1567" s="15" t="s">
        <v>3035</v>
      </c>
      <c r="H1567" s="33" t="n">
        <f aca="false">Packages!$AD$147</f>
        <v>82.600000000218</v>
      </c>
      <c r="I1567" s="15" t="s">
        <v>3012</v>
      </c>
      <c r="J1567" s="34" t="n">
        <f aca="false">IF(Packages!$AD$147&gt;0,ROUNDUP(Packages!$AD$147/R_EXT,0),0)+IF(Packages!$AG$147&gt;0,1,0)</f>
        <v>3</v>
      </c>
      <c r="K1567" s="34" t="n">
        <f aca="false">IF(J1567=0,0,ROUNDUP(J1567*7/WD,0))</f>
        <v>4</v>
      </c>
      <c r="L1567" s="15" t="s">
        <v>5111</v>
      </c>
      <c r="M1567" s="34" t="n">
        <f aca="false">ROUNDUP(K1566*LADDER,0)</f>
        <v>2</v>
      </c>
      <c r="N1567" s="34" t="n">
        <f aca="false">IF(K1567=0,0,FFLAG)</f>
        <v>2</v>
      </c>
      <c r="O1567" s="15"/>
      <c r="P1567" s="16" t="n">
        <f aca="false">MAX(P1566+M1567)</f>
        <v>46455</v>
      </c>
      <c r="Q1567" s="16" t="n">
        <f aca="false">MAX(P1567+K1567,Q1566+N1567)</f>
        <v>46459</v>
      </c>
      <c r="R1567" s="12"/>
      <c r="S1567" s="12"/>
    </row>
    <row r="1568" customFormat="false" ht="15" hidden="false" customHeight="false" outlineLevel="0" collapsed="false">
      <c r="A1568" s="15" t="s">
        <v>5114</v>
      </c>
      <c r="B1568" s="15" t="s">
        <v>5115</v>
      </c>
      <c r="C1568" s="15" t="s">
        <v>403</v>
      </c>
      <c r="D1568" s="15" t="s">
        <v>1594</v>
      </c>
      <c r="E1568" s="15" t="s">
        <v>1673</v>
      </c>
      <c r="F1568" s="15" t="s">
        <v>2998</v>
      </c>
      <c r="G1568" s="15" t="s">
        <v>2999</v>
      </c>
      <c r="H1568" s="12"/>
      <c r="I1568" s="12"/>
      <c r="J1568" s="34" t="n">
        <f aca="false">0</f>
        <v>0</v>
      </c>
      <c r="K1568" s="34" t="n">
        <f aca="false">IF(J1568=0,0,ROUNDUP(J1568*7/WD,0))</f>
        <v>0</v>
      </c>
      <c r="L1568" s="12"/>
      <c r="M1568" s="12"/>
      <c r="N1568" s="12"/>
      <c r="O1568" s="15" t="s">
        <v>3000</v>
      </c>
      <c r="P1568" s="16" t="n">
        <f aca="false">MAX(START,D_DLU,Packages!$I$148,Packages!$K$148)</f>
        <v>46357</v>
      </c>
      <c r="Q1568" s="16" t="n">
        <f aca="false">P1568+K1568</f>
        <v>46357</v>
      </c>
      <c r="R1568" s="12"/>
      <c r="S1568" s="12"/>
    </row>
    <row r="1569" customFormat="false" ht="15" hidden="false" customHeight="false" outlineLevel="0" collapsed="false">
      <c r="A1569" s="15" t="s">
        <v>5116</v>
      </c>
      <c r="B1569" s="15" t="s">
        <v>5115</v>
      </c>
      <c r="C1569" s="15" t="s">
        <v>403</v>
      </c>
      <c r="D1569" s="15" t="s">
        <v>1594</v>
      </c>
      <c r="E1569" s="15" t="s">
        <v>1673</v>
      </c>
      <c r="F1569" s="15" t="s">
        <v>3002</v>
      </c>
      <c r="G1569" s="15" t="s">
        <v>205</v>
      </c>
      <c r="H1569" s="33" t="n">
        <f aca="false">Packages!$O$148</f>
        <v>14.5304815790273</v>
      </c>
      <c r="I1569" s="15" t="s">
        <v>118</v>
      </c>
      <c r="J1569" s="34" t="n">
        <f aca="false">MAX(1,ROUNDUP(Packages!$O$148/R_PLAT,0))</f>
        <v>1</v>
      </c>
      <c r="K1569" s="34" t="n">
        <f aca="false">IF(J1569=0,0,ROUNDUP(J1569*7/WD,0))</f>
        <v>2</v>
      </c>
      <c r="L1569" s="15" t="s">
        <v>5114</v>
      </c>
      <c r="M1569" s="12"/>
      <c r="N1569" s="12"/>
      <c r="O1569" s="15" t="s">
        <v>5117</v>
      </c>
      <c r="P1569" s="16" t="n">
        <f aca="false">MAX(Q1568,P1559)</f>
        <v>46386</v>
      </c>
      <c r="Q1569" s="16" t="n">
        <f aca="false">P1569+K1569</f>
        <v>46388</v>
      </c>
      <c r="R1569" s="12"/>
      <c r="S1569" s="12"/>
    </row>
    <row r="1570" customFormat="false" ht="15" hidden="false" customHeight="false" outlineLevel="0" collapsed="false">
      <c r="A1570" s="15" t="s">
        <v>5118</v>
      </c>
      <c r="B1570" s="15" t="s">
        <v>5115</v>
      </c>
      <c r="C1570" s="15" t="s">
        <v>403</v>
      </c>
      <c r="D1570" s="15" t="s">
        <v>1594</v>
      </c>
      <c r="E1570" s="15" t="s">
        <v>1673</v>
      </c>
      <c r="F1570" s="15" t="s">
        <v>3005</v>
      </c>
      <c r="G1570" s="15" t="s">
        <v>3006</v>
      </c>
      <c r="H1570" s="33" t="n">
        <f aca="false">Packages!$AC$148</f>
        <v>12</v>
      </c>
      <c r="I1570" s="15" t="s">
        <v>3007</v>
      </c>
      <c r="J1570" s="34" t="n">
        <f aca="false">IF(Packages!$AC$148=0,0,MAX(1,ROUNDUP(Packages!$AC$148/(R_PILE*Fronts!$H$11),0)))</f>
        <v>3</v>
      </c>
      <c r="K1570" s="34" t="n">
        <f aca="false">IF(J1570=0,0,ROUNDUP(J1570*7/WD,0))</f>
        <v>4</v>
      </c>
      <c r="L1570" s="15" t="s">
        <v>5116</v>
      </c>
      <c r="M1570" s="34" t="n">
        <f aca="false">ROUNDUP(K1569*LADDER,0)</f>
        <v>1</v>
      </c>
      <c r="N1570" s="34" t="n">
        <f aca="false">IF(K1570=0,0,FFLAG)</f>
        <v>2</v>
      </c>
      <c r="O1570" s="15" t="s">
        <v>3008</v>
      </c>
      <c r="P1570" s="16" t="n">
        <f aca="false">MAX(P1569+M1570,D_PILEDES,R1559)</f>
        <v>46396</v>
      </c>
      <c r="Q1570" s="16" t="n">
        <f aca="false">MAX(P1570+K1570,Q1569+N1570)</f>
        <v>46400</v>
      </c>
      <c r="R1570" s="16" t="n">
        <f aca="false">IF(K1570&gt;0,Q1570,R1559)</f>
        <v>46400</v>
      </c>
      <c r="S1570" s="15" t="s">
        <v>5102</v>
      </c>
    </row>
    <row r="1571" customFormat="false" ht="15" hidden="false" customHeight="false" outlineLevel="0" collapsed="false">
      <c r="A1571" s="15" t="s">
        <v>5119</v>
      </c>
      <c r="B1571" s="15" t="s">
        <v>5115</v>
      </c>
      <c r="C1571" s="15" t="s">
        <v>403</v>
      </c>
      <c r="D1571" s="15" t="s">
        <v>1594</v>
      </c>
      <c r="E1571" s="15" t="s">
        <v>1673</v>
      </c>
      <c r="F1571" s="15" t="s">
        <v>3010</v>
      </c>
      <c r="G1571" s="15" t="s">
        <v>3011</v>
      </c>
      <c r="H1571" s="33" t="n">
        <f aca="false">Packages!$AD$148</f>
        <v>29.0609631580545</v>
      </c>
      <c r="I1571" s="15" t="s">
        <v>3012</v>
      </c>
      <c r="J1571" s="34" t="n">
        <f aca="false">IF(Packages!$AD$148=0,0,MAX(1,ROUNDUP(Packages!$AD$148/(R_SHEET*Fronts!$I$11),0)))</f>
        <v>2</v>
      </c>
      <c r="K1571" s="34" t="n">
        <f aca="false">IF(J1571=0,0,ROUNDUP(J1571*7/WD,0))</f>
        <v>3</v>
      </c>
      <c r="L1571" s="15" t="s">
        <v>5118</v>
      </c>
      <c r="M1571" s="34" t="n">
        <f aca="false">ROUNDUP(K1570*LADDER,0)</f>
        <v>2</v>
      </c>
      <c r="N1571" s="34" t="n">
        <f aca="false">IF(K1571=0,0,FFLAG)</f>
        <v>2</v>
      </c>
      <c r="O1571" s="15"/>
      <c r="P1571" s="16" t="n">
        <f aca="false">MAX(P1570+M1571,R1560)</f>
        <v>46398</v>
      </c>
      <c r="Q1571" s="16" t="n">
        <f aca="false">MAX(P1571+K1571,Q1570+N1571)</f>
        <v>46402</v>
      </c>
      <c r="R1571" s="16" t="n">
        <f aca="false">IF(K1571&gt;0,Q1571,R1560)</f>
        <v>46402</v>
      </c>
      <c r="S1571" s="15" t="s">
        <v>5103</v>
      </c>
    </row>
    <row r="1572" customFormat="false" ht="15" hidden="false" customHeight="false" outlineLevel="0" collapsed="false">
      <c r="A1572" s="15" t="s">
        <v>5120</v>
      </c>
      <c r="B1572" s="15" t="s">
        <v>5115</v>
      </c>
      <c r="C1572" s="15" t="s">
        <v>403</v>
      </c>
      <c r="D1572" s="15" t="s">
        <v>1594</v>
      </c>
      <c r="E1572" s="15" t="s">
        <v>1673</v>
      </c>
      <c r="F1572" s="15" t="s">
        <v>3014</v>
      </c>
      <c r="G1572" s="15" t="s">
        <v>3015</v>
      </c>
      <c r="H1572" s="33" t="n">
        <f aca="false">Packages!$O$148</f>
        <v>14.5304815790273</v>
      </c>
      <c r="I1572" s="15" t="s">
        <v>118</v>
      </c>
      <c r="J1572" s="34" t="n">
        <f aca="false">IF(Packages!$AG$148=0,0,ROUNDUP(Packages!$O$148/R_DW,0)+DW_DRAW)</f>
        <v>8</v>
      </c>
      <c r="K1572" s="34" t="n">
        <f aca="false">IF(J1572=0,0,ROUNDUP(J1572*7/WD,0))</f>
        <v>10</v>
      </c>
      <c r="L1572" s="15" t="s">
        <v>5119</v>
      </c>
      <c r="M1572" s="34" t="n">
        <f aca="false">ROUNDUP(K1571*LADDER,0)</f>
        <v>1</v>
      </c>
      <c r="N1572" s="34" t="n">
        <f aca="false">IF(K1572=0,0,FFLAG)</f>
        <v>2</v>
      </c>
      <c r="O1572" s="15" t="s">
        <v>5121</v>
      </c>
      <c r="P1572" s="16" t="n">
        <f aca="false">MAX(P1571+M1572,Q1562-K1572)</f>
        <v>46413</v>
      </c>
      <c r="Q1572" s="16" t="n">
        <f aca="false">MAX(P1572+K1572,Q1571+N1572)</f>
        <v>46423</v>
      </c>
      <c r="R1572" s="12"/>
      <c r="S1572" s="12"/>
    </row>
    <row r="1573" customFormat="false" ht="15" hidden="false" customHeight="false" outlineLevel="0" collapsed="false">
      <c r="A1573" s="15" t="s">
        <v>5122</v>
      </c>
      <c r="B1573" s="15" t="s">
        <v>5115</v>
      </c>
      <c r="C1573" s="15" t="s">
        <v>403</v>
      </c>
      <c r="D1573" s="15" t="s">
        <v>1594</v>
      </c>
      <c r="E1573" s="15" t="s">
        <v>1673</v>
      </c>
      <c r="F1573" s="15" t="s">
        <v>3017</v>
      </c>
      <c r="G1573" s="15" t="s">
        <v>3018</v>
      </c>
      <c r="H1573" s="33" t="n">
        <f aca="false">Packages!$X$148+Packages!$Y$148</f>
        <v>242.077673225954</v>
      </c>
      <c r="I1573" s="15" t="s">
        <v>3019</v>
      </c>
      <c r="J1573" s="34" t="n">
        <f aca="false">MAX(1,ROUNDUP((Packages!$X$148/R_EXS+Packages!$Y$148/R_EXO)/Fronts!$J$11,0))</f>
        <v>1</v>
      </c>
      <c r="K1573" s="34" t="n">
        <f aca="false">IF(J1573=0,0,ROUNDUP(J1573*7/WD,0))</f>
        <v>2</v>
      </c>
      <c r="L1573" s="15" t="s">
        <v>5120</v>
      </c>
      <c r="M1573" s="34" t="n">
        <f aca="false">IF(K1572=0,0,ROUNDUP((K1572-ROUNDUP(DW_DRAW*7/WD,0))*LADDER,0)+ROUNDUP(DW_DRAW*7/WD,0))</f>
        <v>10</v>
      </c>
      <c r="N1573" s="34" t="n">
        <f aca="false">IF(K1573=0,0,FFLAG)</f>
        <v>2</v>
      </c>
      <c r="O1573" s="15" t="s">
        <v>5123</v>
      </c>
      <c r="P1573" s="16" t="n">
        <f aca="false">MAX(P1572+M1573,R1562,P1562,P1540,P1551)</f>
        <v>46423</v>
      </c>
      <c r="Q1573" s="16" t="n">
        <f aca="false">MAX(P1573+K1573,Q1572+N1573)</f>
        <v>46425</v>
      </c>
      <c r="R1573" s="16" t="n">
        <f aca="false">IF(K1573&gt;0,Q1573,R1562)</f>
        <v>46425</v>
      </c>
      <c r="S1573" s="15" t="s">
        <v>5106</v>
      </c>
    </row>
    <row r="1574" customFormat="false" ht="15" hidden="false" customHeight="false" outlineLevel="0" collapsed="false">
      <c r="A1574" s="15" t="s">
        <v>5124</v>
      </c>
      <c r="B1574" s="15" t="s">
        <v>5115</v>
      </c>
      <c r="C1574" s="15" t="s">
        <v>403</v>
      </c>
      <c r="D1574" s="15" t="s">
        <v>1594</v>
      </c>
      <c r="E1574" s="15" t="s">
        <v>1673</v>
      </c>
      <c r="F1574" s="15" t="s">
        <v>3022</v>
      </c>
      <c r="G1574" s="15" t="s">
        <v>3023</v>
      </c>
      <c r="H1574" s="33" t="n">
        <f aca="false">Packages!$O$148</f>
        <v>14.5304815790273</v>
      </c>
      <c r="I1574" s="15" t="s">
        <v>118</v>
      </c>
      <c r="J1574" s="34" t="n">
        <f aca="false">MAX(1,ROUNDUP(Packages!$O$148/(R_SLAB*Fronts!$K$11),0))+SLAB_CURE</f>
        <v>5</v>
      </c>
      <c r="K1574" s="34" t="n">
        <f aca="false">IF(J1574=0,0,ROUNDUP(J1574*7/WD,0))</f>
        <v>6</v>
      </c>
      <c r="L1574" s="15" t="s">
        <v>5122</v>
      </c>
      <c r="M1574" s="34" t="n">
        <f aca="false">ROUNDUP(K1573*LADDER,0)</f>
        <v>1</v>
      </c>
      <c r="N1574" s="34" t="n">
        <f aca="false">IF(K1574=0,0,FFLAG)</f>
        <v>2</v>
      </c>
      <c r="O1574" s="15"/>
      <c r="P1574" s="16" t="n">
        <f aca="false">MAX(P1573+M1574,R1563)</f>
        <v>46429</v>
      </c>
      <c r="Q1574" s="16" t="n">
        <f aca="false">MAX(P1574+K1574,Q1573+N1574)</f>
        <v>46435</v>
      </c>
      <c r="R1574" s="16" t="n">
        <f aca="false">IF(K1574&gt;0,Q1574,R1563)</f>
        <v>46435</v>
      </c>
      <c r="S1574" s="15" t="s">
        <v>5108</v>
      </c>
    </row>
    <row r="1575" customFormat="false" ht="15" hidden="false" customHeight="false" outlineLevel="0" collapsed="false">
      <c r="A1575" s="15" t="s">
        <v>5125</v>
      </c>
      <c r="B1575" s="15" t="s">
        <v>5115</v>
      </c>
      <c r="C1575" s="15" t="s">
        <v>403</v>
      </c>
      <c r="D1575" s="15" t="s">
        <v>1594</v>
      </c>
      <c r="E1575" s="15" t="s">
        <v>1673</v>
      </c>
      <c r="F1575" s="15" t="s">
        <v>3025</v>
      </c>
      <c r="G1575" s="15" t="s">
        <v>3026</v>
      </c>
      <c r="H1575" s="33" t="n">
        <f aca="false">Packages!$O$148</f>
        <v>14.5304815790273</v>
      </c>
      <c r="I1575" s="15" t="s">
        <v>118</v>
      </c>
      <c r="J1575" s="34" t="n">
        <f aca="false">MAX(1,ROUNDUP(Packages!$O$148/(IF(Packages!$N$148&gt;=PIPE_T1,R_PIPE_L,IF(Packages!$N$148&gt;=PIPE_T2,R_PIPE_M,R_PIPE_S))*Fronts!$L$11)+Packages!$M$148*FIT_D+IF(Packages!$G$148&lt;&gt;"Run",TIE_D,0),0))</f>
        <v>1</v>
      </c>
      <c r="K1575" s="34" t="n">
        <f aca="false">IF(J1575=0,0,ROUNDUP(J1575*7/WD,0))</f>
        <v>2</v>
      </c>
      <c r="L1575" s="15" t="s">
        <v>5124</v>
      </c>
      <c r="M1575" s="34" t="n">
        <f aca="false">ROUNDUP(K1574*LADDER,0)</f>
        <v>2</v>
      </c>
      <c r="N1575" s="34" t="n">
        <f aca="false">IF(K1575=0,0,FFLAG)</f>
        <v>2</v>
      </c>
      <c r="O1575" s="15"/>
      <c r="P1575" s="16" t="n">
        <f aca="false">MAX(P1574+M1575,R1564)</f>
        <v>46431</v>
      </c>
      <c r="Q1575" s="16" t="n">
        <f aca="false">MAX(P1575+K1575,Q1574+N1575)</f>
        <v>46437</v>
      </c>
      <c r="R1575" s="16" t="n">
        <f aca="false">IF(K1575&gt;0,Q1575,R1564)</f>
        <v>46437</v>
      </c>
      <c r="S1575" s="15" t="s">
        <v>5109</v>
      </c>
    </row>
    <row r="1576" customFormat="false" ht="15" hidden="false" customHeight="false" outlineLevel="0" collapsed="false">
      <c r="A1576" s="15" t="s">
        <v>5126</v>
      </c>
      <c r="B1576" s="15" t="s">
        <v>5115</v>
      </c>
      <c r="C1576" s="15" t="s">
        <v>403</v>
      </c>
      <c r="D1576" s="15" t="s">
        <v>1594</v>
      </c>
      <c r="E1576" s="15" t="s">
        <v>1673</v>
      </c>
      <c r="F1576" s="15" t="s">
        <v>3028</v>
      </c>
      <c r="G1576" s="15" t="s">
        <v>3029</v>
      </c>
      <c r="H1576" s="33" t="n">
        <f aca="false">Packages!$O$148</f>
        <v>14.5304815790273</v>
      </c>
      <c r="I1576" s="15" t="s">
        <v>118</v>
      </c>
      <c r="J1576" s="34" t="n">
        <f aca="false">TEST_D+ROUNDUP(Packages!$O$148/R_TEST,0)</f>
        <v>3</v>
      </c>
      <c r="K1576" s="34" t="n">
        <f aca="false">IF(J1576=0,0,ROUNDUP(J1576*7/WD,0))</f>
        <v>4</v>
      </c>
      <c r="L1576" s="15" t="s">
        <v>5125</v>
      </c>
      <c r="M1576" s="34" t="n">
        <f aca="false">ROUNDUP(K1575*LADDER,0)</f>
        <v>1</v>
      </c>
      <c r="N1576" s="34" t="n">
        <f aca="false">IF(K1576=0,0,FFLAG)</f>
        <v>2</v>
      </c>
      <c r="O1576" s="15"/>
      <c r="P1576" s="16" t="n">
        <f aca="false">MAX(P1575+M1576)</f>
        <v>46432</v>
      </c>
      <c r="Q1576" s="16" t="n">
        <f aca="false">MAX(P1576+K1576,Q1575+N1576)</f>
        <v>46439</v>
      </c>
      <c r="R1576" s="12"/>
      <c r="S1576" s="12"/>
    </row>
    <row r="1577" customFormat="false" ht="15" hidden="false" customHeight="false" outlineLevel="0" collapsed="false">
      <c r="A1577" s="15" t="s">
        <v>5127</v>
      </c>
      <c r="B1577" s="15" t="s">
        <v>5115</v>
      </c>
      <c r="C1577" s="15" t="s">
        <v>403</v>
      </c>
      <c r="D1577" s="15" t="s">
        <v>1594</v>
      </c>
      <c r="E1577" s="15" t="s">
        <v>1673</v>
      </c>
      <c r="F1577" s="15" t="s">
        <v>3031</v>
      </c>
      <c r="G1577" s="15" t="s">
        <v>3032</v>
      </c>
      <c r="H1577" s="33" t="n">
        <f aca="false">Packages!$AB$148</f>
        <v>202.27321807645</v>
      </c>
      <c r="I1577" s="15" t="s">
        <v>3019</v>
      </c>
      <c r="J1577" s="34" t="n">
        <f aca="false">MAX(1,ROUNDUP(Packages!$AB$148/(R_BF*Fronts!$M$11),0))</f>
        <v>1</v>
      </c>
      <c r="K1577" s="34" t="n">
        <f aca="false">IF(J1577=0,0,ROUNDUP(J1577*7/WD,0))</f>
        <v>2</v>
      </c>
      <c r="L1577" s="15" t="s">
        <v>5126</v>
      </c>
      <c r="M1577" s="34" t="n">
        <f aca="false">ROUNDUP(K1576*LADDER,0)</f>
        <v>2</v>
      </c>
      <c r="N1577" s="34" t="n">
        <f aca="false">IF(K1577=0,0,FFLAG)</f>
        <v>2</v>
      </c>
      <c r="O1577" s="15" t="s">
        <v>5128</v>
      </c>
      <c r="P1577" s="16" t="n">
        <f aca="false">MAX(P1576+M1577,R1566,Q1564,Q1542,Q1553)</f>
        <v>46457</v>
      </c>
      <c r="Q1577" s="16" t="n">
        <f aca="false">MAX(P1577+K1577,Q1576+N1577)</f>
        <v>46459</v>
      </c>
      <c r="R1577" s="16" t="n">
        <f aca="false">IF(K1577&gt;0,Q1577,R1566)</f>
        <v>46459</v>
      </c>
      <c r="S1577" s="15" t="s">
        <v>5111</v>
      </c>
    </row>
    <row r="1578" customFormat="false" ht="15" hidden="false" customHeight="false" outlineLevel="0" collapsed="false">
      <c r="A1578" s="15" t="s">
        <v>5129</v>
      </c>
      <c r="B1578" s="15" t="s">
        <v>5115</v>
      </c>
      <c r="C1578" s="15" t="s">
        <v>403</v>
      </c>
      <c r="D1578" s="15" t="s">
        <v>1594</v>
      </c>
      <c r="E1578" s="15" t="s">
        <v>1673</v>
      </c>
      <c r="F1578" s="15" t="s">
        <v>3034</v>
      </c>
      <c r="G1578" s="15" t="s">
        <v>3035</v>
      </c>
      <c r="H1578" s="33" t="n">
        <f aca="false">Packages!$AD$148</f>
        <v>29.0609631580545</v>
      </c>
      <c r="I1578" s="15" t="s">
        <v>3012</v>
      </c>
      <c r="J1578" s="34" t="n">
        <f aca="false">IF(Packages!$AD$148&gt;0,ROUNDUP(Packages!$AD$148/R_EXT,0),0)+IF(Packages!$AG$148&gt;0,1,0)</f>
        <v>2</v>
      </c>
      <c r="K1578" s="34" t="n">
        <f aca="false">IF(J1578=0,0,ROUNDUP(J1578*7/WD,0))</f>
        <v>3</v>
      </c>
      <c r="L1578" s="15" t="s">
        <v>5127</v>
      </c>
      <c r="M1578" s="34" t="n">
        <f aca="false">ROUNDUP(K1577*LADDER,0)</f>
        <v>1</v>
      </c>
      <c r="N1578" s="34" t="n">
        <f aca="false">IF(K1578=0,0,FFLAG)</f>
        <v>2</v>
      </c>
      <c r="O1578" s="15"/>
      <c r="P1578" s="16" t="n">
        <f aca="false">MAX(P1577+M1578)</f>
        <v>46458</v>
      </c>
      <c r="Q1578" s="16" t="n">
        <f aca="false">MAX(P1578+K1578,Q1577+N1578)</f>
        <v>46461</v>
      </c>
      <c r="R1578" s="12"/>
      <c r="S1578" s="12"/>
    </row>
    <row r="1579" customFormat="false" ht="15" hidden="false" customHeight="false" outlineLevel="0" collapsed="false">
      <c r="A1579" s="15" t="s">
        <v>5130</v>
      </c>
      <c r="B1579" s="15" t="s">
        <v>5131</v>
      </c>
      <c r="C1579" s="15" t="s">
        <v>403</v>
      </c>
      <c r="D1579" s="15" t="s">
        <v>1594</v>
      </c>
      <c r="E1579" s="15" t="s">
        <v>1650</v>
      </c>
      <c r="F1579" s="15" t="s">
        <v>2998</v>
      </c>
      <c r="G1579" s="15" t="s">
        <v>2999</v>
      </c>
      <c r="H1579" s="12"/>
      <c r="I1579" s="12"/>
      <c r="J1579" s="34" t="n">
        <f aca="false">0</f>
        <v>0</v>
      </c>
      <c r="K1579" s="34" t="n">
        <f aca="false">IF(J1579=0,0,ROUNDUP(J1579*7/WD,0))</f>
        <v>0</v>
      </c>
      <c r="L1579" s="12"/>
      <c r="M1579" s="12"/>
      <c r="N1579" s="12"/>
      <c r="O1579" s="15" t="s">
        <v>3000</v>
      </c>
      <c r="P1579" s="16" t="n">
        <f aca="false">MAX(START,D_DLU,Packages!$I$149,Packages!$K$149)</f>
        <v>46357</v>
      </c>
      <c r="Q1579" s="16" t="n">
        <f aca="false">P1579+K1579</f>
        <v>46357</v>
      </c>
      <c r="R1579" s="12"/>
      <c r="S1579" s="12"/>
    </row>
    <row r="1580" customFormat="false" ht="15" hidden="false" customHeight="false" outlineLevel="0" collapsed="false">
      <c r="A1580" s="15" t="s">
        <v>5132</v>
      </c>
      <c r="B1580" s="15" t="s">
        <v>5131</v>
      </c>
      <c r="C1580" s="15" t="s">
        <v>403</v>
      </c>
      <c r="D1580" s="15" t="s">
        <v>1594</v>
      </c>
      <c r="E1580" s="15" t="s">
        <v>1650</v>
      </c>
      <c r="F1580" s="15" t="s">
        <v>3002</v>
      </c>
      <c r="G1580" s="15" t="s">
        <v>205</v>
      </c>
      <c r="H1580" s="33" t="n">
        <f aca="false">Packages!$O$149</f>
        <v>25.6650885602103</v>
      </c>
      <c r="I1580" s="15" t="s">
        <v>118</v>
      </c>
      <c r="J1580" s="34" t="n">
        <f aca="false">MAX(1,ROUNDUP(Packages!$O$149/R_PLAT,0))</f>
        <v>1</v>
      </c>
      <c r="K1580" s="34" t="n">
        <f aca="false">IF(J1580=0,0,ROUNDUP(J1580*7/WD,0))</f>
        <v>2</v>
      </c>
      <c r="L1580" s="15" t="s">
        <v>5130</v>
      </c>
      <c r="M1580" s="12"/>
      <c r="N1580" s="12"/>
      <c r="O1580" s="15" t="s">
        <v>5133</v>
      </c>
      <c r="P1580" s="16" t="n">
        <f aca="false">MAX(Q1579,P1570)</f>
        <v>46396</v>
      </c>
      <c r="Q1580" s="16" t="n">
        <f aca="false">P1580+K1580</f>
        <v>46398</v>
      </c>
      <c r="R1580" s="12"/>
      <c r="S1580" s="12"/>
    </row>
    <row r="1581" customFormat="false" ht="15" hidden="false" customHeight="false" outlineLevel="0" collapsed="false">
      <c r="A1581" s="15" t="s">
        <v>5134</v>
      </c>
      <c r="B1581" s="15" t="s">
        <v>5131</v>
      </c>
      <c r="C1581" s="15" t="s">
        <v>403</v>
      </c>
      <c r="D1581" s="15" t="s">
        <v>1594</v>
      </c>
      <c r="E1581" s="15" t="s">
        <v>1650</v>
      </c>
      <c r="F1581" s="15" t="s">
        <v>3005</v>
      </c>
      <c r="G1581" s="15" t="s">
        <v>3006</v>
      </c>
      <c r="H1581" s="33" t="n">
        <f aca="false">Packages!$AC$149</f>
        <v>20</v>
      </c>
      <c r="I1581" s="15" t="s">
        <v>3007</v>
      </c>
      <c r="J1581" s="34" t="n">
        <f aca="false">IF(Packages!$AC$149=0,0,MAX(1,ROUNDUP(Packages!$AC$149/(R_PILE*Fronts!$H$11),0)))</f>
        <v>4</v>
      </c>
      <c r="K1581" s="34" t="n">
        <f aca="false">IF(J1581=0,0,ROUNDUP(J1581*7/WD,0))</f>
        <v>5</v>
      </c>
      <c r="L1581" s="15" t="s">
        <v>5132</v>
      </c>
      <c r="M1581" s="34" t="n">
        <f aca="false">ROUNDUP(K1580*LADDER,0)</f>
        <v>1</v>
      </c>
      <c r="N1581" s="34" t="n">
        <f aca="false">IF(K1581=0,0,FFLAG)</f>
        <v>2</v>
      </c>
      <c r="O1581" s="15" t="s">
        <v>3008</v>
      </c>
      <c r="P1581" s="16" t="n">
        <f aca="false">MAX(P1580+M1581,D_PILEDES,R1570)</f>
        <v>46400</v>
      </c>
      <c r="Q1581" s="16" t="n">
        <f aca="false">MAX(P1581+K1581,Q1580+N1581)</f>
        <v>46405</v>
      </c>
      <c r="R1581" s="16" t="n">
        <f aca="false">IF(K1581&gt;0,Q1581,R1570)</f>
        <v>46405</v>
      </c>
      <c r="S1581" s="15" t="s">
        <v>5118</v>
      </c>
    </row>
    <row r="1582" customFormat="false" ht="15" hidden="false" customHeight="false" outlineLevel="0" collapsed="false">
      <c r="A1582" s="15" t="s">
        <v>5135</v>
      </c>
      <c r="B1582" s="15" t="s">
        <v>5131</v>
      </c>
      <c r="C1582" s="15" t="s">
        <v>403</v>
      </c>
      <c r="D1582" s="15" t="s">
        <v>1594</v>
      </c>
      <c r="E1582" s="15" t="s">
        <v>1650</v>
      </c>
      <c r="F1582" s="15" t="s">
        <v>3010</v>
      </c>
      <c r="G1582" s="15" t="s">
        <v>3011</v>
      </c>
      <c r="H1582" s="33" t="n">
        <f aca="false">Packages!$AD$149</f>
        <v>51.3301771204207</v>
      </c>
      <c r="I1582" s="15" t="s">
        <v>3012</v>
      </c>
      <c r="J1582" s="34" t="n">
        <f aca="false">IF(Packages!$AD$149=0,0,MAX(1,ROUNDUP(Packages!$AD$149/(R_SHEET*Fronts!$I$11),0)))</f>
        <v>3</v>
      </c>
      <c r="K1582" s="34" t="n">
        <f aca="false">IF(J1582=0,0,ROUNDUP(J1582*7/WD,0))</f>
        <v>4</v>
      </c>
      <c r="L1582" s="15" t="s">
        <v>5134</v>
      </c>
      <c r="M1582" s="34" t="n">
        <f aca="false">ROUNDUP(K1581*LADDER,0)</f>
        <v>2</v>
      </c>
      <c r="N1582" s="34" t="n">
        <f aca="false">IF(K1582=0,0,FFLAG)</f>
        <v>2</v>
      </c>
      <c r="O1582" s="15"/>
      <c r="P1582" s="16" t="n">
        <f aca="false">MAX(P1581+M1582,R1571)</f>
        <v>46402</v>
      </c>
      <c r="Q1582" s="16" t="n">
        <f aca="false">MAX(P1582+K1582,Q1581+N1582)</f>
        <v>46407</v>
      </c>
      <c r="R1582" s="16" t="n">
        <f aca="false">IF(K1582&gt;0,Q1582,R1571)</f>
        <v>46407</v>
      </c>
      <c r="S1582" s="15" t="s">
        <v>5119</v>
      </c>
    </row>
    <row r="1583" customFormat="false" ht="15" hidden="false" customHeight="false" outlineLevel="0" collapsed="false">
      <c r="A1583" s="15" t="s">
        <v>5136</v>
      </c>
      <c r="B1583" s="15" t="s">
        <v>5131</v>
      </c>
      <c r="C1583" s="15" t="s">
        <v>403</v>
      </c>
      <c r="D1583" s="15" t="s">
        <v>1594</v>
      </c>
      <c r="E1583" s="15" t="s">
        <v>1650</v>
      </c>
      <c r="F1583" s="15" t="s">
        <v>3014</v>
      </c>
      <c r="G1583" s="15" t="s">
        <v>3015</v>
      </c>
      <c r="H1583" s="33" t="n">
        <f aca="false">Packages!$O$149</f>
        <v>25.6650885602103</v>
      </c>
      <c r="I1583" s="15" t="s">
        <v>118</v>
      </c>
      <c r="J1583" s="34" t="n">
        <f aca="false">IF(Packages!$AG$149=0,0,ROUNDUP(Packages!$O$149/R_DW,0)+DW_DRAW)</f>
        <v>8</v>
      </c>
      <c r="K1583" s="34" t="n">
        <f aca="false">IF(J1583=0,0,ROUNDUP(J1583*7/WD,0))</f>
        <v>10</v>
      </c>
      <c r="L1583" s="15" t="s">
        <v>5135</v>
      </c>
      <c r="M1583" s="34" t="n">
        <f aca="false">ROUNDUP(K1582*LADDER,0)</f>
        <v>2</v>
      </c>
      <c r="N1583" s="34" t="n">
        <f aca="false">IF(K1583=0,0,FFLAG)</f>
        <v>2</v>
      </c>
      <c r="O1583" s="15" t="s">
        <v>5137</v>
      </c>
      <c r="P1583" s="16" t="n">
        <f aca="false">MAX(P1582+M1583,Q1573-K1583)</f>
        <v>46415</v>
      </c>
      <c r="Q1583" s="16" t="n">
        <f aca="false">MAX(P1583+K1583,Q1582+N1583)</f>
        <v>46425</v>
      </c>
      <c r="R1583" s="12"/>
      <c r="S1583" s="12"/>
    </row>
    <row r="1584" customFormat="false" ht="15" hidden="false" customHeight="false" outlineLevel="0" collapsed="false">
      <c r="A1584" s="15" t="s">
        <v>5138</v>
      </c>
      <c r="B1584" s="15" t="s">
        <v>5131</v>
      </c>
      <c r="C1584" s="15" t="s">
        <v>403</v>
      </c>
      <c r="D1584" s="15" t="s">
        <v>1594</v>
      </c>
      <c r="E1584" s="15" t="s">
        <v>1650</v>
      </c>
      <c r="F1584" s="15" t="s">
        <v>3017</v>
      </c>
      <c r="G1584" s="15" t="s">
        <v>3018</v>
      </c>
      <c r="H1584" s="33" t="n">
        <f aca="false">Packages!$X$149+Packages!$Y$149</f>
        <v>367.64212805367</v>
      </c>
      <c r="I1584" s="15" t="s">
        <v>3019</v>
      </c>
      <c r="J1584" s="34" t="n">
        <f aca="false">MAX(1,ROUNDUP((Packages!$X$149/R_EXS+Packages!$Y$149/R_EXO)/Fronts!$J$11,0))</f>
        <v>2</v>
      </c>
      <c r="K1584" s="34" t="n">
        <f aca="false">IF(J1584=0,0,ROUNDUP(J1584*7/WD,0))</f>
        <v>3</v>
      </c>
      <c r="L1584" s="15" t="s">
        <v>5136</v>
      </c>
      <c r="M1584" s="34" t="n">
        <f aca="false">IF(K1583=0,0,ROUNDUP((K1583-ROUNDUP(DW_DRAW*7/WD,0))*LADDER,0)+ROUNDUP(DW_DRAW*7/WD,0))</f>
        <v>10</v>
      </c>
      <c r="N1584" s="34" t="n">
        <f aca="false">IF(K1584=0,0,FFLAG)</f>
        <v>2</v>
      </c>
      <c r="O1584" s="15" t="s">
        <v>5139</v>
      </c>
      <c r="P1584" s="16" t="n">
        <f aca="false">MAX(P1583+M1584,R1573,P1562,P1518)</f>
        <v>46425</v>
      </c>
      <c r="Q1584" s="16" t="n">
        <f aca="false">MAX(P1584+K1584,Q1583+N1584)</f>
        <v>46428</v>
      </c>
      <c r="R1584" s="16" t="n">
        <f aca="false">IF(K1584&gt;0,Q1584,R1573)</f>
        <v>46428</v>
      </c>
      <c r="S1584" s="15" t="s">
        <v>5122</v>
      </c>
    </row>
    <row r="1585" customFormat="false" ht="15" hidden="false" customHeight="false" outlineLevel="0" collapsed="false">
      <c r="A1585" s="15" t="s">
        <v>5140</v>
      </c>
      <c r="B1585" s="15" t="s">
        <v>5131</v>
      </c>
      <c r="C1585" s="15" t="s">
        <v>403</v>
      </c>
      <c r="D1585" s="15" t="s">
        <v>1594</v>
      </c>
      <c r="E1585" s="15" t="s">
        <v>1650</v>
      </c>
      <c r="F1585" s="15" t="s">
        <v>3022</v>
      </c>
      <c r="G1585" s="15" t="s">
        <v>3023</v>
      </c>
      <c r="H1585" s="33" t="n">
        <f aca="false">Packages!$O$149</f>
        <v>25.6650885602103</v>
      </c>
      <c r="I1585" s="15" t="s">
        <v>118</v>
      </c>
      <c r="J1585" s="34" t="n">
        <f aca="false">MAX(1,ROUNDUP(Packages!$O$149/(R_SLAB*Fronts!$K$11),0))+SLAB_CURE</f>
        <v>6</v>
      </c>
      <c r="K1585" s="34" t="n">
        <f aca="false">IF(J1585=0,0,ROUNDUP(J1585*7/WD,0))</f>
        <v>7</v>
      </c>
      <c r="L1585" s="15" t="s">
        <v>5138</v>
      </c>
      <c r="M1585" s="34" t="n">
        <f aca="false">ROUNDUP(K1584*LADDER,0)</f>
        <v>1</v>
      </c>
      <c r="N1585" s="34" t="n">
        <f aca="false">IF(K1585=0,0,FFLAG)</f>
        <v>2</v>
      </c>
      <c r="O1585" s="15"/>
      <c r="P1585" s="16" t="n">
        <f aca="false">MAX(P1584+M1585,R1574)</f>
        <v>46435</v>
      </c>
      <c r="Q1585" s="16" t="n">
        <f aca="false">MAX(P1585+K1585,Q1584+N1585)</f>
        <v>46442</v>
      </c>
      <c r="R1585" s="16" t="n">
        <f aca="false">IF(K1585&gt;0,Q1585,R1574)</f>
        <v>46442</v>
      </c>
      <c r="S1585" s="15" t="s">
        <v>5124</v>
      </c>
    </row>
    <row r="1586" customFormat="false" ht="15" hidden="false" customHeight="false" outlineLevel="0" collapsed="false">
      <c r="A1586" s="15" t="s">
        <v>5141</v>
      </c>
      <c r="B1586" s="15" t="s">
        <v>5131</v>
      </c>
      <c r="C1586" s="15" t="s">
        <v>403</v>
      </c>
      <c r="D1586" s="15" t="s">
        <v>1594</v>
      </c>
      <c r="E1586" s="15" t="s">
        <v>1650</v>
      </c>
      <c r="F1586" s="15" t="s">
        <v>3025</v>
      </c>
      <c r="G1586" s="15" t="s">
        <v>3026</v>
      </c>
      <c r="H1586" s="33" t="n">
        <f aca="false">Packages!$O$149</f>
        <v>25.6650885602103</v>
      </c>
      <c r="I1586" s="15" t="s">
        <v>118</v>
      </c>
      <c r="J1586" s="34" t="n">
        <f aca="false">MAX(1,ROUNDUP(Packages!$O$149/(IF(Packages!$N$149&gt;=PIPE_T1,R_PIPE_L,IF(Packages!$N$149&gt;=PIPE_T2,R_PIPE_M,R_PIPE_S))*Fronts!$L$11)+Packages!$M$149*FIT_D+IF(Packages!$G$149&lt;&gt;"Run",TIE_D,0),0))</f>
        <v>3</v>
      </c>
      <c r="K1586" s="34" t="n">
        <f aca="false">IF(J1586=0,0,ROUNDUP(J1586*7/WD,0))</f>
        <v>4</v>
      </c>
      <c r="L1586" s="15" t="s">
        <v>5140</v>
      </c>
      <c r="M1586" s="34" t="n">
        <f aca="false">ROUNDUP(K1585*LADDER,0)</f>
        <v>3</v>
      </c>
      <c r="N1586" s="34" t="n">
        <f aca="false">IF(K1586=0,0,FFLAG)</f>
        <v>2</v>
      </c>
      <c r="O1586" s="15"/>
      <c r="P1586" s="16" t="n">
        <f aca="false">MAX(P1585+M1586,R1575)</f>
        <v>46438</v>
      </c>
      <c r="Q1586" s="16" t="n">
        <f aca="false">MAX(P1586+K1586,Q1585+N1586)</f>
        <v>46444</v>
      </c>
      <c r="R1586" s="16" t="n">
        <f aca="false">IF(K1586&gt;0,Q1586,R1575)</f>
        <v>46444</v>
      </c>
      <c r="S1586" s="15" t="s">
        <v>5125</v>
      </c>
    </row>
    <row r="1587" customFormat="false" ht="15" hidden="false" customHeight="false" outlineLevel="0" collapsed="false">
      <c r="A1587" s="15" t="s">
        <v>5142</v>
      </c>
      <c r="B1587" s="15" t="s">
        <v>5131</v>
      </c>
      <c r="C1587" s="15" t="s">
        <v>403</v>
      </c>
      <c r="D1587" s="15" t="s">
        <v>1594</v>
      </c>
      <c r="E1587" s="15" t="s">
        <v>1650</v>
      </c>
      <c r="F1587" s="15" t="s">
        <v>3028</v>
      </c>
      <c r="G1587" s="15" t="s">
        <v>3029</v>
      </c>
      <c r="H1587" s="33" t="n">
        <f aca="false">Packages!$O$149</f>
        <v>25.6650885602103</v>
      </c>
      <c r="I1587" s="15" t="s">
        <v>118</v>
      </c>
      <c r="J1587" s="34" t="n">
        <f aca="false">TEST_D+ROUNDUP(Packages!$O$149/R_TEST,0)</f>
        <v>3</v>
      </c>
      <c r="K1587" s="34" t="n">
        <f aca="false">IF(J1587=0,0,ROUNDUP(J1587*7/WD,0))</f>
        <v>4</v>
      </c>
      <c r="L1587" s="15" t="s">
        <v>5141</v>
      </c>
      <c r="M1587" s="34" t="n">
        <f aca="false">ROUNDUP(K1586*LADDER,0)</f>
        <v>2</v>
      </c>
      <c r="N1587" s="34" t="n">
        <f aca="false">IF(K1587=0,0,FFLAG)</f>
        <v>2</v>
      </c>
      <c r="O1587" s="15"/>
      <c r="P1587" s="16" t="n">
        <f aca="false">MAX(P1586+M1587)</f>
        <v>46440</v>
      </c>
      <c r="Q1587" s="16" t="n">
        <f aca="false">MAX(P1587+K1587,Q1586+N1587)</f>
        <v>46446</v>
      </c>
      <c r="R1587" s="12"/>
      <c r="S1587" s="12"/>
    </row>
    <row r="1588" customFormat="false" ht="15" hidden="false" customHeight="false" outlineLevel="0" collapsed="false">
      <c r="A1588" s="15" t="s">
        <v>5143</v>
      </c>
      <c r="B1588" s="15" t="s">
        <v>5131</v>
      </c>
      <c r="C1588" s="15" t="s">
        <v>403</v>
      </c>
      <c r="D1588" s="15" t="s">
        <v>1594</v>
      </c>
      <c r="E1588" s="15" t="s">
        <v>1650</v>
      </c>
      <c r="F1588" s="15" t="s">
        <v>3031</v>
      </c>
      <c r="G1588" s="15" t="s">
        <v>3032</v>
      </c>
      <c r="H1588" s="33" t="n">
        <f aca="false">Packages!$AB$149</f>
        <v>319.6716345192</v>
      </c>
      <c r="I1588" s="15" t="s">
        <v>3019</v>
      </c>
      <c r="J1588" s="34" t="n">
        <f aca="false">MAX(1,ROUNDUP(Packages!$AB$149/(R_BF*Fronts!$M$11),0))</f>
        <v>1</v>
      </c>
      <c r="K1588" s="34" t="n">
        <f aca="false">IF(J1588=0,0,ROUNDUP(J1588*7/WD,0))</f>
        <v>2</v>
      </c>
      <c r="L1588" s="15" t="s">
        <v>5142</v>
      </c>
      <c r="M1588" s="34" t="n">
        <f aca="false">ROUNDUP(K1587*LADDER,0)</f>
        <v>2</v>
      </c>
      <c r="N1588" s="34" t="n">
        <f aca="false">IF(K1588=0,0,FFLAG)</f>
        <v>2</v>
      </c>
      <c r="O1588" s="15" t="s">
        <v>5144</v>
      </c>
      <c r="P1588" s="16" t="n">
        <f aca="false">MAX(P1587+M1588,R1577,Q1564,Q1520)</f>
        <v>46459</v>
      </c>
      <c r="Q1588" s="16" t="n">
        <f aca="false">MAX(P1588+K1588,Q1587+N1588)</f>
        <v>46461</v>
      </c>
      <c r="R1588" s="16" t="n">
        <f aca="false">IF(K1588&gt;0,Q1588,R1577)</f>
        <v>46461</v>
      </c>
      <c r="S1588" s="15" t="s">
        <v>5127</v>
      </c>
    </row>
    <row r="1589" customFormat="false" ht="15" hidden="false" customHeight="false" outlineLevel="0" collapsed="false">
      <c r="A1589" s="15" t="s">
        <v>5145</v>
      </c>
      <c r="B1589" s="15" t="s">
        <v>5131</v>
      </c>
      <c r="C1589" s="15" t="s">
        <v>403</v>
      </c>
      <c r="D1589" s="15" t="s">
        <v>1594</v>
      </c>
      <c r="E1589" s="15" t="s">
        <v>1650</v>
      </c>
      <c r="F1589" s="15" t="s">
        <v>3034</v>
      </c>
      <c r="G1589" s="15" t="s">
        <v>3035</v>
      </c>
      <c r="H1589" s="33" t="n">
        <f aca="false">Packages!$AD$149</f>
        <v>51.3301771204207</v>
      </c>
      <c r="I1589" s="15" t="s">
        <v>3012</v>
      </c>
      <c r="J1589" s="34" t="n">
        <f aca="false">IF(Packages!$AD$149&gt;0,ROUNDUP(Packages!$AD$149/R_EXT,0),0)+IF(Packages!$AG$149&gt;0,1,0)</f>
        <v>3</v>
      </c>
      <c r="K1589" s="34" t="n">
        <f aca="false">IF(J1589=0,0,ROUNDUP(J1589*7/WD,0))</f>
        <v>4</v>
      </c>
      <c r="L1589" s="15" t="s">
        <v>5143</v>
      </c>
      <c r="M1589" s="34" t="n">
        <f aca="false">ROUNDUP(K1588*LADDER,0)</f>
        <v>1</v>
      </c>
      <c r="N1589" s="34" t="n">
        <f aca="false">IF(K1589=0,0,FFLAG)</f>
        <v>2</v>
      </c>
      <c r="O1589" s="15"/>
      <c r="P1589" s="16" t="n">
        <f aca="false">MAX(P1588+M1589)</f>
        <v>46460</v>
      </c>
      <c r="Q1589" s="16" t="n">
        <f aca="false">MAX(P1589+K1589,Q1588+N1589)</f>
        <v>46464</v>
      </c>
      <c r="R1589" s="12"/>
      <c r="S1589" s="12"/>
    </row>
    <row r="1590" customFormat="false" ht="15" hidden="false" customHeight="false" outlineLevel="0" collapsed="false">
      <c r="A1590" s="15" t="s">
        <v>5146</v>
      </c>
      <c r="B1590" s="15" t="s">
        <v>5147</v>
      </c>
      <c r="C1590" s="15" t="s">
        <v>403</v>
      </c>
      <c r="D1590" s="15" t="s">
        <v>1594</v>
      </c>
      <c r="E1590" s="15" t="s">
        <v>1642</v>
      </c>
      <c r="F1590" s="15" t="s">
        <v>2998</v>
      </c>
      <c r="G1590" s="15" t="s">
        <v>2999</v>
      </c>
      <c r="H1590" s="12"/>
      <c r="I1590" s="12"/>
      <c r="J1590" s="34" t="n">
        <f aca="false">0</f>
        <v>0</v>
      </c>
      <c r="K1590" s="34" t="n">
        <f aca="false">IF(J1590=0,0,ROUNDUP(J1590*7/WD,0))</f>
        <v>0</v>
      </c>
      <c r="L1590" s="12"/>
      <c r="M1590" s="12"/>
      <c r="N1590" s="12"/>
      <c r="O1590" s="15" t="s">
        <v>3000</v>
      </c>
      <c r="P1590" s="16" t="n">
        <f aca="false">MAX(START,D_DLU,Packages!$I$150,Packages!$K$150)</f>
        <v>46357</v>
      </c>
      <c r="Q1590" s="16" t="n">
        <f aca="false">P1590+K1590</f>
        <v>46357</v>
      </c>
      <c r="R1590" s="12"/>
      <c r="S1590" s="12"/>
    </row>
    <row r="1591" customFormat="false" ht="15" hidden="false" customHeight="false" outlineLevel="0" collapsed="false">
      <c r="A1591" s="15" t="s">
        <v>5148</v>
      </c>
      <c r="B1591" s="15" t="s">
        <v>5147</v>
      </c>
      <c r="C1591" s="15" t="s">
        <v>403</v>
      </c>
      <c r="D1591" s="15" t="s">
        <v>1594</v>
      </c>
      <c r="E1591" s="15" t="s">
        <v>1642</v>
      </c>
      <c r="F1591" s="15" t="s">
        <v>3002</v>
      </c>
      <c r="G1591" s="15" t="s">
        <v>205</v>
      </c>
      <c r="H1591" s="33" t="n">
        <f aca="false">Packages!$O$150</f>
        <v>36.9999999998321</v>
      </c>
      <c r="I1591" s="15" t="s">
        <v>118</v>
      </c>
      <c r="J1591" s="34" t="n">
        <f aca="false">MAX(1,ROUNDUP(Packages!$O$150/R_PLAT,0))</f>
        <v>1</v>
      </c>
      <c r="K1591" s="34" t="n">
        <f aca="false">IF(J1591=0,0,ROUNDUP(J1591*7/WD,0))</f>
        <v>2</v>
      </c>
      <c r="L1591" s="15" t="s">
        <v>5146</v>
      </c>
      <c r="M1591" s="12"/>
      <c r="N1591" s="12"/>
      <c r="O1591" s="15" t="s">
        <v>5149</v>
      </c>
      <c r="P1591" s="16" t="n">
        <f aca="false">MAX(Q1590,P1581)</f>
        <v>46400</v>
      </c>
      <c r="Q1591" s="16" t="n">
        <f aca="false">P1591+K1591</f>
        <v>46402</v>
      </c>
      <c r="R1591" s="12"/>
      <c r="S1591" s="12"/>
    </row>
    <row r="1592" customFormat="false" ht="15" hidden="false" customHeight="false" outlineLevel="0" collapsed="false">
      <c r="A1592" s="15" t="s">
        <v>5150</v>
      </c>
      <c r="B1592" s="15" t="s">
        <v>5147</v>
      </c>
      <c r="C1592" s="15" t="s">
        <v>403</v>
      </c>
      <c r="D1592" s="15" t="s">
        <v>1594</v>
      </c>
      <c r="E1592" s="15" t="s">
        <v>1642</v>
      </c>
      <c r="F1592" s="15" t="s">
        <v>3005</v>
      </c>
      <c r="G1592" s="15" t="s">
        <v>3006</v>
      </c>
      <c r="H1592" s="33" t="n">
        <f aca="false">Packages!$AC$150</f>
        <v>14</v>
      </c>
      <c r="I1592" s="15" t="s">
        <v>3007</v>
      </c>
      <c r="J1592" s="34" t="n">
        <f aca="false">IF(Packages!$AC$150=0,0,MAX(1,ROUNDUP(Packages!$AC$150/(R_PILE*Fronts!$H$11),0)))</f>
        <v>3</v>
      </c>
      <c r="K1592" s="34" t="n">
        <f aca="false">IF(J1592=0,0,ROUNDUP(J1592*7/WD,0))</f>
        <v>4</v>
      </c>
      <c r="L1592" s="15" t="s">
        <v>5148</v>
      </c>
      <c r="M1592" s="34" t="n">
        <f aca="false">ROUNDUP(K1591*LADDER,0)</f>
        <v>1</v>
      </c>
      <c r="N1592" s="34" t="n">
        <f aca="false">IF(K1592=0,0,FFLAG)</f>
        <v>2</v>
      </c>
      <c r="O1592" s="15" t="s">
        <v>3008</v>
      </c>
      <c r="P1592" s="16" t="n">
        <f aca="false">MAX(P1591+M1592,D_PILEDES,R1581)</f>
        <v>46405</v>
      </c>
      <c r="Q1592" s="16" t="n">
        <f aca="false">MAX(P1592+K1592,Q1591+N1592)</f>
        <v>46409</v>
      </c>
      <c r="R1592" s="16" t="n">
        <f aca="false">IF(K1592&gt;0,Q1592,R1581)</f>
        <v>46409</v>
      </c>
      <c r="S1592" s="15" t="s">
        <v>5134</v>
      </c>
    </row>
    <row r="1593" customFormat="false" ht="15" hidden="false" customHeight="false" outlineLevel="0" collapsed="false">
      <c r="A1593" s="15" t="s">
        <v>5151</v>
      </c>
      <c r="B1593" s="15" t="s">
        <v>5147</v>
      </c>
      <c r="C1593" s="15" t="s">
        <v>403</v>
      </c>
      <c r="D1593" s="15" t="s">
        <v>1594</v>
      </c>
      <c r="E1593" s="15" t="s">
        <v>1642</v>
      </c>
      <c r="F1593" s="15" t="s">
        <v>3010</v>
      </c>
      <c r="G1593" s="15" t="s">
        <v>3011</v>
      </c>
      <c r="H1593" s="33" t="n">
        <f aca="false">Packages!$AD$150</f>
        <v>73.9999999996643</v>
      </c>
      <c r="I1593" s="15" t="s">
        <v>3012</v>
      </c>
      <c r="J1593" s="34" t="n">
        <f aca="false">IF(Packages!$AD$150=0,0,MAX(1,ROUNDUP(Packages!$AD$150/(R_SHEET*Fronts!$I$11),0)))</f>
        <v>3</v>
      </c>
      <c r="K1593" s="34" t="n">
        <f aca="false">IF(J1593=0,0,ROUNDUP(J1593*7/WD,0))</f>
        <v>4</v>
      </c>
      <c r="L1593" s="15" t="s">
        <v>5150</v>
      </c>
      <c r="M1593" s="34" t="n">
        <f aca="false">ROUNDUP(K1592*LADDER,0)</f>
        <v>2</v>
      </c>
      <c r="N1593" s="34" t="n">
        <f aca="false">IF(K1593=0,0,FFLAG)</f>
        <v>2</v>
      </c>
      <c r="O1593" s="15"/>
      <c r="P1593" s="16" t="n">
        <f aca="false">MAX(P1592+M1593,R1582)</f>
        <v>46407</v>
      </c>
      <c r="Q1593" s="16" t="n">
        <f aca="false">MAX(P1593+K1593,Q1592+N1593)</f>
        <v>46411</v>
      </c>
      <c r="R1593" s="16" t="n">
        <f aca="false">IF(K1593&gt;0,Q1593,R1582)</f>
        <v>46411</v>
      </c>
      <c r="S1593" s="15" t="s">
        <v>5135</v>
      </c>
    </row>
    <row r="1594" customFormat="false" ht="15" hidden="false" customHeight="false" outlineLevel="0" collapsed="false">
      <c r="A1594" s="15" t="s">
        <v>5152</v>
      </c>
      <c r="B1594" s="15" t="s">
        <v>5147</v>
      </c>
      <c r="C1594" s="15" t="s">
        <v>403</v>
      </c>
      <c r="D1594" s="15" t="s">
        <v>1594</v>
      </c>
      <c r="E1594" s="15" t="s">
        <v>1642</v>
      </c>
      <c r="F1594" s="15" t="s">
        <v>3014</v>
      </c>
      <c r="G1594" s="15" t="s">
        <v>3015</v>
      </c>
      <c r="H1594" s="33" t="n">
        <f aca="false">Packages!$O$150</f>
        <v>36.9999999998321</v>
      </c>
      <c r="I1594" s="15" t="s">
        <v>118</v>
      </c>
      <c r="J1594" s="34" t="n">
        <f aca="false">IF(Packages!$AG$150=0,0,ROUNDUP(Packages!$O$150/R_DW,0)+DW_DRAW)</f>
        <v>8</v>
      </c>
      <c r="K1594" s="34" t="n">
        <f aca="false">IF(J1594=0,0,ROUNDUP(J1594*7/WD,0))</f>
        <v>10</v>
      </c>
      <c r="L1594" s="15" t="s">
        <v>5151</v>
      </c>
      <c r="M1594" s="34" t="n">
        <f aca="false">ROUNDUP(K1593*LADDER,0)</f>
        <v>2</v>
      </c>
      <c r="N1594" s="34" t="n">
        <f aca="false">IF(K1594=0,0,FFLAG)</f>
        <v>2</v>
      </c>
      <c r="O1594" s="15" t="s">
        <v>5153</v>
      </c>
      <c r="P1594" s="16" t="n">
        <f aca="false">MAX(P1593+M1594,Q1584-K1594)</f>
        <v>46418</v>
      </c>
      <c r="Q1594" s="16" t="n">
        <f aca="false">MAX(P1594+K1594,Q1593+N1594)</f>
        <v>46428</v>
      </c>
      <c r="R1594" s="12"/>
      <c r="S1594" s="12"/>
    </row>
    <row r="1595" customFormat="false" ht="15" hidden="false" customHeight="false" outlineLevel="0" collapsed="false">
      <c r="A1595" s="15" t="s">
        <v>5154</v>
      </c>
      <c r="B1595" s="15" t="s">
        <v>5147</v>
      </c>
      <c r="C1595" s="15" t="s">
        <v>403</v>
      </c>
      <c r="D1595" s="15" t="s">
        <v>1594</v>
      </c>
      <c r="E1595" s="15" t="s">
        <v>1642</v>
      </c>
      <c r="F1595" s="15" t="s">
        <v>3017</v>
      </c>
      <c r="G1595" s="15" t="s">
        <v>3018</v>
      </c>
      <c r="H1595" s="33" t="n">
        <f aca="false">Packages!$X$150+Packages!$Y$150</f>
        <v>521.695847622303</v>
      </c>
      <c r="I1595" s="15" t="s">
        <v>3019</v>
      </c>
      <c r="J1595" s="34" t="n">
        <f aca="false">MAX(1,ROUNDUP((Packages!$X$150/R_EXS+Packages!$Y$150/R_EXO)/Fronts!$J$11,0))</f>
        <v>3</v>
      </c>
      <c r="K1595" s="34" t="n">
        <f aca="false">IF(J1595=0,0,ROUNDUP(J1595*7/WD,0))</f>
        <v>4</v>
      </c>
      <c r="L1595" s="15" t="s">
        <v>5152</v>
      </c>
      <c r="M1595" s="34" t="n">
        <f aca="false">IF(K1594=0,0,ROUNDUP((K1594-ROUNDUP(DW_DRAW*7/WD,0))*LADDER,0)+ROUNDUP(DW_DRAW*7/WD,0))</f>
        <v>10</v>
      </c>
      <c r="N1595" s="34" t="n">
        <f aca="false">IF(K1595=0,0,FFLAG)</f>
        <v>2</v>
      </c>
      <c r="O1595" s="15" t="s">
        <v>5139</v>
      </c>
      <c r="P1595" s="16" t="n">
        <f aca="false">MAX(P1594+M1595,R1584,P1562,P1518)</f>
        <v>46428</v>
      </c>
      <c r="Q1595" s="16" t="n">
        <f aca="false">MAX(P1595+K1595,Q1594+N1595)</f>
        <v>46432</v>
      </c>
      <c r="R1595" s="16" t="n">
        <f aca="false">IF(K1595&gt;0,Q1595,R1584)</f>
        <v>46432</v>
      </c>
      <c r="S1595" s="15" t="s">
        <v>5138</v>
      </c>
    </row>
    <row r="1596" customFormat="false" ht="15" hidden="false" customHeight="false" outlineLevel="0" collapsed="false">
      <c r="A1596" s="15" t="s">
        <v>5155</v>
      </c>
      <c r="B1596" s="15" t="s">
        <v>5147</v>
      </c>
      <c r="C1596" s="15" t="s">
        <v>403</v>
      </c>
      <c r="D1596" s="15" t="s">
        <v>1594</v>
      </c>
      <c r="E1596" s="15" t="s">
        <v>1642</v>
      </c>
      <c r="F1596" s="15" t="s">
        <v>3022</v>
      </c>
      <c r="G1596" s="15" t="s">
        <v>3023</v>
      </c>
      <c r="H1596" s="33" t="n">
        <f aca="false">Packages!$O$150</f>
        <v>36.9999999998321</v>
      </c>
      <c r="I1596" s="15" t="s">
        <v>118</v>
      </c>
      <c r="J1596" s="34" t="n">
        <f aca="false">MAX(1,ROUNDUP(Packages!$O$150/(R_SLAB*Fronts!$K$11),0))+SLAB_CURE</f>
        <v>7</v>
      </c>
      <c r="K1596" s="34" t="n">
        <f aca="false">IF(J1596=0,0,ROUNDUP(J1596*7/WD,0))</f>
        <v>9</v>
      </c>
      <c r="L1596" s="15" t="s">
        <v>5154</v>
      </c>
      <c r="M1596" s="34" t="n">
        <f aca="false">ROUNDUP(K1595*LADDER,0)</f>
        <v>2</v>
      </c>
      <c r="N1596" s="34" t="n">
        <f aca="false">IF(K1596=0,0,FFLAG)</f>
        <v>2</v>
      </c>
      <c r="O1596" s="15"/>
      <c r="P1596" s="16" t="n">
        <f aca="false">MAX(P1595+M1596,R1585)</f>
        <v>46442</v>
      </c>
      <c r="Q1596" s="16" t="n">
        <f aca="false">MAX(P1596+K1596,Q1595+N1596)</f>
        <v>46451</v>
      </c>
      <c r="R1596" s="16" t="n">
        <f aca="false">IF(K1596&gt;0,Q1596,R1585)</f>
        <v>46451</v>
      </c>
      <c r="S1596" s="15" t="s">
        <v>5140</v>
      </c>
    </row>
    <row r="1597" customFormat="false" ht="15" hidden="false" customHeight="false" outlineLevel="0" collapsed="false">
      <c r="A1597" s="15" t="s">
        <v>5156</v>
      </c>
      <c r="B1597" s="15" t="s">
        <v>5147</v>
      </c>
      <c r="C1597" s="15" t="s">
        <v>403</v>
      </c>
      <c r="D1597" s="15" t="s">
        <v>1594</v>
      </c>
      <c r="E1597" s="15" t="s">
        <v>1642</v>
      </c>
      <c r="F1597" s="15" t="s">
        <v>3025</v>
      </c>
      <c r="G1597" s="15" t="s">
        <v>3026</v>
      </c>
      <c r="H1597" s="33" t="n">
        <f aca="false">Packages!$O$150</f>
        <v>36.9999999998321</v>
      </c>
      <c r="I1597" s="15" t="s">
        <v>118</v>
      </c>
      <c r="J1597" s="34" t="n">
        <f aca="false">MAX(1,ROUNDUP(Packages!$O$150/(IF(Packages!$N$150&gt;=PIPE_T1,R_PIPE_L,IF(Packages!$N$150&gt;=PIPE_T2,R_PIPE_M,R_PIPE_S))*Fronts!$L$11)+Packages!$M$150*FIT_D+IF(Packages!$G$150&lt;&gt;"Run",TIE_D,0),0))</f>
        <v>2</v>
      </c>
      <c r="K1597" s="34" t="n">
        <f aca="false">IF(J1597=0,0,ROUNDUP(J1597*7/WD,0))</f>
        <v>3</v>
      </c>
      <c r="L1597" s="15" t="s">
        <v>5155</v>
      </c>
      <c r="M1597" s="34" t="n">
        <f aca="false">ROUNDUP(K1596*LADDER,0)</f>
        <v>3</v>
      </c>
      <c r="N1597" s="34" t="n">
        <f aca="false">IF(K1597=0,0,FFLAG)</f>
        <v>2</v>
      </c>
      <c r="O1597" s="15"/>
      <c r="P1597" s="16" t="n">
        <f aca="false">MAX(P1596+M1597,R1586)</f>
        <v>46445</v>
      </c>
      <c r="Q1597" s="16" t="n">
        <f aca="false">MAX(P1597+K1597,Q1596+N1597)</f>
        <v>46453</v>
      </c>
      <c r="R1597" s="16" t="n">
        <f aca="false">IF(K1597&gt;0,Q1597,R1586)</f>
        <v>46453</v>
      </c>
      <c r="S1597" s="15" t="s">
        <v>5141</v>
      </c>
    </row>
    <row r="1598" customFormat="false" ht="15" hidden="false" customHeight="false" outlineLevel="0" collapsed="false">
      <c r="A1598" s="15" t="s">
        <v>5157</v>
      </c>
      <c r="B1598" s="15" t="s">
        <v>5147</v>
      </c>
      <c r="C1598" s="15" t="s">
        <v>403</v>
      </c>
      <c r="D1598" s="15" t="s">
        <v>1594</v>
      </c>
      <c r="E1598" s="15" t="s">
        <v>1642</v>
      </c>
      <c r="F1598" s="15" t="s">
        <v>3028</v>
      </c>
      <c r="G1598" s="15" t="s">
        <v>3029</v>
      </c>
      <c r="H1598" s="33" t="n">
        <f aca="false">Packages!$O$150</f>
        <v>36.9999999998321</v>
      </c>
      <c r="I1598" s="15" t="s">
        <v>118</v>
      </c>
      <c r="J1598" s="34" t="n">
        <f aca="false">TEST_D+ROUNDUP(Packages!$O$150/R_TEST,0)</f>
        <v>3</v>
      </c>
      <c r="K1598" s="34" t="n">
        <f aca="false">IF(J1598=0,0,ROUNDUP(J1598*7/WD,0))</f>
        <v>4</v>
      </c>
      <c r="L1598" s="15" t="s">
        <v>5156</v>
      </c>
      <c r="M1598" s="34" t="n">
        <f aca="false">ROUNDUP(K1597*LADDER,0)</f>
        <v>1</v>
      </c>
      <c r="N1598" s="34" t="n">
        <f aca="false">IF(K1598=0,0,FFLAG)</f>
        <v>2</v>
      </c>
      <c r="O1598" s="15"/>
      <c r="P1598" s="16" t="n">
        <f aca="false">MAX(P1597+M1598)</f>
        <v>46446</v>
      </c>
      <c r="Q1598" s="16" t="n">
        <f aca="false">MAX(P1598+K1598,Q1597+N1598)</f>
        <v>46455</v>
      </c>
      <c r="R1598" s="12"/>
      <c r="S1598" s="12"/>
    </row>
    <row r="1599" customFormat="false" ht="15" hidden="false" customHeight="false" outlineLevel="0" collapsed="false">
      <c r="A1599" s="15" t="s">
        <v>5158</v>
      </c>
      <c r="B1599" s="15" t="s">
        <v>5147</v>
      </c>
      <c r="C1599" s="15" t="s">
        <v>403</v>
      </c>
      <c r="D1599" s="15" t="s">
        <v>1594</v>
      </c>
      <c r="E1599" s="15" t="s">
        <v>1642</v>
      </c>
      <c r="F1599" s="15" t="s">
        <v>3031</v>
      </c>
      <c r="G1599" s="15" t="s">
        <v>3032</v>
      </c>
      <c r="H1599" s="33" t="n">
        <f aca="false">Packages!$AB$150</f>
        <v>455.636132865709</v>
      </c>
      <c r="I1599" s="15" t="s">
        <v>3019</v>
      </c>
      <c r="J1599" s="34" t="n">
        <f aca="false">MAX(1,ROUNDUP(Packages!$AB$150/(R_BF*Fronts!$M$11),0))</f>
        <v>2</v>
      </c>
      <c r="K1599" s="34" t="n">
        <f aca="false">IF(J1599=0,0,ROUNDUP(J1599*7/WD,0))</f>
        <v>3</v>
      </c>
      <c r="L1599" s="15" t="s">
        <v>5157</v>
      </c>
      <c r="M1599" s="34" t="n">
        <f aca="false">ROUNDUP(K1598*LADDER,0)</f>
        <v>2</v>
      </c>
      <c r="N1599" s="34" t="n">
        <f aca="false">IF(K1599=0,0,FFLAG)</f>
        <v>2</v>
      </c>
      <c r="O1599" s="15" t="s">
        <v>5159</v>
      </c>
      <c r="P1599" s="16" t="n">
        <f aca="false">MAX(P1598+M1599,R1588,Q1608,Q1564,Q1520)</f>
        <v>46474</v>
      </c>
      <c r="Q1599" s="16" t="n">
        <f aca="false">MAX(P1599+K1599,Q1598+N1599)</f>
        <v>46477</v>
      </c>
      <c r="R1599" s="16" t="n">
        <f aca="false">IF(K1599&gt;0,Q1599,R1588)</f>
        <v>46477</v>
      </c>
      <c r="S1599" s="15" t="s">
        <v>5143</v>
      </c>
    </row>
    <row r="1600" customFormat="false" ht="15" hidden="false" customHeight="false" outlineLevel="0" collapsed="false">
      <c r="A1600" s="15" t="s">
        <v>5160</v>
      </c>
      <c r="B1600" s="15" t="s">
        <v>5147</v>
      </c>
      <c r="C1600" s="15" t="s">
        <v>403</v>
      </c>
      <c r="D1600" s="15" t="s">
        <v>1594</v>
      </c>
      <c r="E1600" s="15" t="s">
        <v>1642</v>
      </c>
      <c r="F1600" s="15" t="s">
        <v>3034</v>
      </c>
      <c r="G1600" s="15" t="s">
        <v>3035</v>
      </c>
      <c r="H1600" s="33" t="n">
        <f aca="false">Packages!$AD$150</f>
        <v>73.9999999996643</v>
      </c>
      <c r="I1600" s="15" t="s">
        <v>3012</v>
      </c>
      <c r="J1600" s="34" t="n">
        <f aca="false">IF(Packages!$AD$150&gt;0,ROUNDUP(Packages!$AD$150/R_EXT,0),0)+IF(Packages!$AG$150&gt;0,1,0)</f>
        <v>3</v>
      </c>
      <c r="K1600" s="34" t="n">
        <f aca="false">IF(J1600=0,0,ROUNDUP(J1600*7/WD,0))</f>
        <v>4</v>
      </c>
      <c r="L1600" s="15" t="s">
        <v>5158</v>
      </c>
      <c r="M1600" s="34" t="n">
        <f aca="false">ROUNDUP(K1599*LADDER,0)</f>
        <v>1</v>
      </c>
      <c r="N1600" s="34" t="n">
        <f aca="false">IF(K1600=0,0,FFLAG)</f>
        <v>2</v>
      </c>
      <c r="O1600" s="15"/>
      <c r="P1600" s="16" t="n">
        <f aca="false">MAX(P1599+M1600)</f>
        <v>46475</v>
      </c>
      <c r="Q1600" s="16" t="n">
        <f aca="false">MAX(P1600+K1600,Q1599+N1600)</f>
        <v>46479</v>
      </c>
      <c r="R1600" s="12"/>
      <c r="S1600" s="12"/>
    </row>
    <row r="1601" customFormat="false" ht="15" hidden="false" customHeight="false" outlineLevel="0" collapsed="false">
      <c r="A1601" s="15" t="s">
        <v>5161</v>
      </c>
      <c r="B1601" s="15" t="s">
        <v>5162</v>
      </c>
      <c r="C1601" s="15" t="s">
        <v>403</v>
      </c>
      <c r="D1601" s="15" t="s">
        <v>719</v>
      </c>
      <c r="E1601" s="15" t="s">
        <v>799</v>
      </c>
      <c r="F1601" s="15" t="s">
        <v>2998</v>
      </c>
      <c r="G1601" s="15" t="s">
        <v>2999</v>
      </c>
      <c r="H1601" s="12"/>
      <c r="I1601" s="12"/>
      <c r="J1601" s="34" t="n">
        <f aca="false">0</f>
        <v>0</v>
      </c>
      <c r="K1601" s="34" t="n">
        <f aca="false">IF(J1601=0,0,ROUNDUP(J1601*7/WD,0))</f>
        <v>0</v>
      </c>
      <c r="L1601" s="12"/>
      <c r="M1601" s="12"/>
      <c r="N1601" s="12"/>
      <c r="O1601" s="15" t="s">
        <v>3000</v>
      </c>
      <c r="P1601" s="16" t="n">
        <f aca="false">MAX(START,D_DLU,Packages!$I$151,Packages!$K$151)</f>
        <v>46357</v>
      </c>
      <c r="Q1601" s="16" t="n">
        <f aca="false">P1601+K1601</f>
        <v>46357</v>
      </c>
      <c r="R1601" s="12"/>
      <c r="S1601" s="12"/>
    </row>
    <row r="1602" customFormat="false" ht="15" hidden="false" customHeight="false" outlineLevel="0" collapsed="false">
      <c r="A1602" s="15" t="s">
        <v>5163</v>
      </c>
      <c r="B1602" s="15" t="s">
        <v>5162</v>
      </c>
      <c r="C1602" s="15" t="s">
        <v>403</v>
      </c>
      <c r="D1602" s="15" t="s">
        <v>719</v>
      </c>
      <c r="E1602" s="15" t="s">
        <v>799</v>
      </c>
      <c r="F1602" s="15" t="s">
        <v>3002</v>
      </c>
      <c r="G1602" s="15" t="s">
        <v>205</v>
      </c>
      <c r="H1602" s="33" t="n">
        <f aca="false">Packages!$O$151</f>
        <v>40.8000724623066</v>
      </c>
      <c r="I1602" s="15" t="s">
        <v>118</v>
      </c>
      <c r="J1602" s="34" t="n">
        <f aca="false">MAX(1,ROUNDUP(Packages!$O$151/R_PLAT,0))</f>
        <v>1</v>
      </c>
      <c r="K1602" s="34" t="n">
        <f aca="false">IF(J1602=0,0,ROUNDUP(J1602*7/WD,0))</f>
        <v>2</v>
      </c>
      <c r="L1602" s="15" t="s">
        <v>5161</v>
      </c>
      <c r="M1602" s="12"/>
      <c r="N1602" s="12"/>
      <c r="O1602" s="15" t="s">
        <v>5164</v>
      </c>
      <c r="P1602" s="16" t="n">
        <f aca="false">MAX(Q1601,P1592)</f>
        <v>46405</v>
      </c>
      <c r="Q1602" s="16" t="n">
        <f aca="false">P1602+K1602</f>
        <v>46407</v>
      </c>
      <c r="R1602" s="12"/>
      <c r="S1602" s="12"/>
    </row>
    <row r="1603" customFormat="false" ht="15" hidden="false" customHeight="false" outlineLevel="0" collapsed="false">
      <c r="A1603" s="15" t="s">
        <v>5165</v>
      </c>
      <c r="B1603" s="15" t="s">
        <v>5162</v>
      </c>
      <c r="C1603" s="15" t="s">
        <v>403</v>
      </c>
      <c r="D1603" s="15" t="s">
        <v>719</v>
      </c>
      <c r="E1603" s="15" t="s">
        <v>799</v>
      </c>
      <c r="F1603" s="15" t="s">
        <v>3005</v>
      </c>
      <c r="G1603" s="15" t="s">
        <v>3006</v>
      </c>
      <c r="H1603" s="33" t="n">
        <f aca="false">Packages!$AC$151</f>
        <v>30</v>
      </c>
      <c r="I1603" s="15" t="s">
        <v>3007</v>
      </c>
      <c r="J1603" s="34" t="n">
        <f aca="false">IF(Packages!$AC$151=0,0,MAX(1,ROUNDUP(Packages!$AC$151/(R_PILE*Fronts!$H$11),0)))</f>
        <v>6</v>
      </c>
      <c r="K1603" s="34" t="n">
        <f aca="false">IF(J1603=0,0,ROUNDUP(J1603*7/WD,0))</f>
        <v>7</v>
      </c>
      <c r="L1603" s="15" t="s">
        <v>5163</v>
      </c>
      <c r="M1603" s="34" t="n">
        <f aca="false">ROUNDUP(K1602*LADDER,0)</f>
        <v>1</v>
      </c>
      <c r="N1603" s="34" t="n">
        <f aca="false">IF(K1603=0,0,FFLAG)</f>
        <v>2</v>
      </c>
      <c r="O1603" s="15" t="s">
        <v>3008</v>
      </c>
      <c r="P1603" s="16" t="n">
        <f aca="false">MAX(P1602+M1603,D_PILEDES,R1592)</f>
        <v>46409</v>
      </c>
      <c r="Q1603" s="16" t="n">
        <f aca="false">MAX(P1603+K1603,Q1602+N1603)</f>
        <v>46416</v>
      </c>
      <c r="R1603" s="16" t="n">
        <f aca="false">IF(K1603&gt;0,Q1603,R1592)</f>
        <v>46416</v>
      </c>
      <c r="S1603" s="15" t="s">
        <v>5150</v>
      </c>
    </row>
    <row r="1604" customFormat="false" ht="15" hidden="false" customHeight="false" outlineLevel="0" collapsed="false">
      <c r="A1604" s="15" t="s">
        <v>5166</v>
      </c>
      <c r="B1604" s="15" t="s">
        <v>5162</v>
      </c>
      <c r="C1604" s="15" t="s">
        <v>403</v>
      </c>
      <c r="D1604" s="15" t="s">
        <v>719</v>
      </c>
      <c r="E1604" s="15" t="s">
        <v>799</v>
      </c>
      <c r="F1604" s="15" t="s">
        <v>3010</v>
      </c>
      <c r="G1604" s="15" t="s">
        <v>3011</v>
      </c>
      <c r="H1604" s="33" t="n">
        <f aca="false">Packages!$AD$151</f>
        <v>79.0079649247212</v>
      </c>
      <c r="I1604" s="15" t="s">
        <v>3012</v>
      </c>
      <c r="J1604" s="34" t="n">
        <f aca="false">IF(Packages!$AD$151=0,0,MAX(1,ROUNDUP(Packages!$AD$151/(R_SHEET*Fronts!$I$11),0)))</f>
        <v>4</v>
      </c>
      <c r="K1604" s="34" t="n">
        <f aca="false">IF(J1604=0,0,ROUNDUP(J1604*7/WD,0))</f>
        <v>5</v>
      </c>
      <c r="L1604" s="15" t="s">
        <v>5165</v>
      </c>
      <c r="M1604" s="34" t="n">
        <f aca="false">ROUNDUP(K1603*LADDER,0)</f>
        <v>3</v>
      </c>
      <c r="N1604" s="34" t="n">
        <f aca="false">IF(K1604=0,0,FFLAG)</f>
        <v>2</v>
      </c>
      <c r="O1604" s="15"/>
      <c r="P1604" s="16" t="n">
        <f aca="false">MAX(P1603+M1604,R1593)</f>
        <v>46412</v>
      </c>
      <c r="Q1604" s="16" t="n">
        <f aca="false">MAX(P1604+K1604,Q1603+N1604)</f>
        <v>46418</v>
      </c>
      <c r="R1604" s="16" t="n">
        <f aca="false">IF(K1604&gt;0,Q1604,R1593)</f>
        <v>46418</v>
      </c>
      <c r="S1604" s="15" t="s">
        <v>5151</v>
      </c>
    </row>
    <row r="1605" customFormat="false" ht="15" hidden="false" customHeight="false" outlineLevel="0" collapsed="false">
      <c r="A1605" s="15" t="s">
        <v>5167</v>
      </c>
      <c r="B1605" s="15" t="s">
        <v>5162</v>
      </c>
      <c r="C1605" s="15" t="s">
        <v>403</v>
      </c>
      <c r="D1605" s="15" t="s">
        <v>719</v>
      </c>
      <c r="E1605" s="15" t="s">
        <v>799</v>
      </c>
      <c r="F1605" s="15" t="s">
        <v>3014</v>
      </c>
      <c r="G1605" s="15" t="s">
        <v>3015</v>
      </c>
      <c r="H1605" s="33" t="n">
        <f aca="false">Packages!$O$151</f>
        <v>40.8000724623066</v>
      </c>
      <c r="I1605" s="15" t="s">
        <v>118</v>
      </c>
      <c r="J1605" s="34" t="n">
        <f aca="false">IF(Packages!$AG$151=0,0,ROUNDUP(Packages!$O$151/R_DW,0)+DW_DRAW)</f>
        <v>9</v>
      </c>
      <c r="K1605" s="34" t="n">
        <f aca="false">IF(J1605=0,0,ROUNDUP(J1605*7/WD,0))</f>
        <v>11</v>
      </c>
      <c r="L1605" s="15" t="s">
        <v>5166</v>
      </c>
      <c r="M1605" s="34" t="n">
        <f aca="false">ROUNDUP(K1604*LADDER,0)</f>
        <v>2</v>
      </c>
      <c r="N1605" s="34" t="n">
        <f aca="false">IF(K1605=0,0,FFLAG)</f>
        <v>2</v>
      </c>
      <c r="O1605" s="15" t="s">
        <v>5168</v>
      </c>
      <c r="P1605" s="16" t="n">
        <f aca="false">MAX(P1604+M1605,Q1595-K1605)</f>
        <v>46421</v>
      </c>
      <c r="Q1605" s="16" t="n">
        <f aca="false">MAX(P1605+K1605,Q1604+N1605)</f>
        <v>46432</v>
      </c>
      <c r="R1605" s="12"/>
      <c r="S1605" s="12"/>
    </row>
    <row r="1606" customFormat="false" ht="15" hidden="false" customHeight="false" outlineLevel="0" collapsed="false">
      <c r="A1606" s="15" t="s">
        <v>5169</v>
      </c>
      <c r="B1606" s="15" t="s">
        <v>5162</v>
      </c>
      <c r="C1606" s="15" t="s">
        <v>403</v>
      </c>
      <c r="D1606" s="15" t="s">
        <v>719</v>
      </c>
      <c r="E1606" s="15" t="s">
        <v>799</v>
      </c>
      <c r="F1606" s="15" t="s">
        <v>3017</v>
      </c>
      <c r="G1606" s="15" t="s">
        <v>3018</v>
      </c>
      <c r="H1606" s="33" t="n">
        <f aca="false">Packages!$X$151+Packages!$Y$151</f>
        <v>533.152068399378</v>
      </c>
      <c r="I1606" s="15" t="s">
        <v>3019</v>
      </c>
      <c r="J1606" s="34" t="n">
        <f aca="false">MAX(1,ROUNDUP((Packages!$X$151/R_EXS+Packages!$Y$151/R_EXO)/Fronts!$J$11,0))</f>
        <v>3</v>
      </c>
      <c r="K1606" s="34" t="n">
        <f aca="false">IF(J1606=0,0,ROUNDUP(J1606*7/WD,0))</f>
        <v>4</v>
      </c>
      <c r="L1606" s="15" t="s">
        <v>5167</v>
      </c>
      <c r="M1606" s="34" t="n">
        <f aca="false">IF(K1605=0,0,ROUNDUP((K1605-ROUNDUP(DW_DRAW*7/WD,0))*LADDER,0)+ROUNDUP(DW_DRAW*7/WD,0))</f>
        <v>10</v>
      </c>
      <c r="N1606" s="34" t="n">
        <f aca="false">IF(K1606=0,0,FFLAG)</f>
        <v>2</v>
      </c>
      <c r="O1606" s="15" t="s">
        <v>5170</v>
      </c>
      <c r="P1606" s="16" t="n">
        <f aca="false">MAX(P1605+M1606,R1595,Q1522,Q983,Q1588,P1529,P1595)</f>
        <v>46461</v>
      </c>
      <c r="Q1606" s="16" t="n">
        <f aca="false">MAX(P1606+K1606,Q1605+N1606)</f>
        <v>46465</v>
      </c>
      <c r="R1606" s="16" t="n">
        <f aca="false">IF(K1606&gt;0,Q1606,R1595)</f>
        <v>46465</v>
      </c>
      <c r="S1606" s="15" t="s">
        <v>5154</v>
      </c>
    </row>
    <row r="1607" customFormat="false" ht="15" hidden="false" customHeight="false" outlineLevel="0" collapsed="false">
      <c r="A1607" s="15" t="s">
        <v>5171</v>
      </c>
      <c r="B1607" s="15" t="s">
        <v>5162</v>
      </c>
      <c r="C1607" s="15" t="s">
        <v>403</v>
      </c>
      <c r="D1607" s="15" t="s">
        <v>719</v>
      </c>
      <c r="E1607" s="15" t="s">
        <v>799</v>
      </c>
      <c r="F1607" s="15" t="s">
        <v>3022</v>
      </c>
      <c r="G1607" s="15" t="s">
        <v>3023</v>
      </c>
      <c r="H1607" s="33" t="n">
        <f aca="false">Packages!$O$151</f>
        <v>40.8000724623066</v>
      </c>
      <c r="I1607" s="15" t="s">
        <v>118</v>
      </c>
      <c r="J1607" s="34" t="n">
        <f aca="false">MAX(1,ROUNDUP(Packages!$O$151/(R_SLAB*Fronts!$K$11),0))+SLAB_CURE</f>
        <v>7</v>
      </c>
      <c r="K1607" s="34" t="n">
        <f aca="false">IF(J1607=0,0,ROUNDUP(J1607*7/WD,0))</f>
        <v>9</v>
      </c>
      <c r="L1607" s="15" t="s">
        <v>5169</v>
      </c>
      <c r="M1607" s="34" t="n">
        <f aca="false">ROUNDUP(K1606*LADDER,0)</f>
        <v>2</v>
      </c>
      <c r="N1607" s="34" t="n">
        <f aca="false">IF(K1607=0,0,FFLAG)</f>
        <v>2</v>
      </c>
      <c r="O1607" s="15"/>
      <c r="P1607" s="16" t="n">
        <f aca="false">MAX(P1606+M1607,R1596)</f>
        <v>46463</v>
      </c>
      <c r="Q1607" s="16" t="n">
        <f aca="false">MAX(P1607+K1607,Q1606+N1607)</f>
        <v>46472</v>
      </c>
      <c r="R1607" s="16" t="n">
        <f aca="false">IF(K1607&gt;0,Q1607,R1596)</f>
        <v>46472</v>
      </c>
      <c r="S1607" s="15" t="s">
        <v>5155</v>
      </c>
    </row>
    <row r="1608" customFormat="false" ht="15" hidden="false" customHeight="false" outlineLevel="0" collapsed="false">
      <c r="A1608" s="15" t="s">
        <v>5172</v>
      </c>
      <c r="B1608" s="15" t="s">
        <v>5162</v>
      </c>
      <c r="C1608" s="15" t="s">
        <v>403</v>
      </c>
      <c r="D1608" s="15" t="s">
        <v>719</v>
      </c>
      <c r="E1608" s="15" t="s">
        <v>799</v>
      </c>
      <c r="F1608" s="15" t="s">
        <v>3025</v>
      </c>
      <c r="G1608" s="15" t="s">
        <v>3026</v>
      </c>
      <c r="H1608" s="33" t="n">
        <f aca="false">Packages!$O$151</f>
        <v>40.8000724623066</v>
      </c>
      <c r="I1608" s="15" t="s">
        <v>118</v>
      </c>
      <c r="J1608" s="34" t="n">
        <f aca="false">MAX(1,ROUNDUP(Packages!$O$151/(IF(Packages!$N$151&gt;=PIPE_T1,R_PIPE_L,IF(Packages!$N$151&gt;=PIPE_T2,R_PIPE_M,R_PIPE_S))*Fronts!$L$11)+Packages!$M$151*FIT_D+IF(Packages!$G$151&lt;&gt;"Run",TIE_D,0),0))</f>
        <v>3</v>
      </c>
      <c r="K1608" s="34" t="n">
        <f aca="false">IF(J1608=0,0,ROUNDUP(J1608*7/WD,0))</f>
        <v>4</v>
      </c>
      <c r="L1608" s="15" t="s">
        <v>5171</v>
      </c>
      <c r="M1608" s="34" t="n">
        <f aca="false">ROUNDUP(K1607*LADDER,0)</f>
        <v>3</v>
      </c>
      <c r="N1608" s="34" t="n">
        <f aca="false">IF(K1608=0,0,FFLAG)</f>
        <v>2</v>
      </c>
      <c r="O1608" s="15"/>
      <c r="P1608" s="16" t="n">
        <f aca="false">MAX(P1607+M1608,R1597)</f>
        <v>46466</v>
      </c>
      <c r="Q1608" s="16" t="n">
        <f aca="false">MAX(P1608+K1608,Q1607+N1608)</f>
        <v>46474</v>
      </c>
      <c r="R1608" s="16" t="n">
        <f aca="false">IF(K1608&gt;0,Q1608,R1597)</f>
        <v>46474</v>
      </c>
      <c r="S1608" s="15" t="s">
        <v>5156</v>
      </c>
    </row>
    <row r="1609" customFormat="false" ht="15" hidden="false" customHeight="false" outlineLevel="0" collapsed="false">
      <c r="A1609" s="15" t="s">
        <v>5173</v>
      </c>
      <c r="B1609" s="15" t="s">
        <v>5162</v>
      </c>
      <c r="C1609" s="15" t="s">
        <v>403</v>
      </c>
      <c r="D1609" s="15" t="s">
        <v>719</v>
      </c>
      <c r="E1609" s="15" t="s">
        <v>799</v>
      </c>
      <c r="F1609" s="15" t="s">
        <v>3028</v>
      </c>
      <c r="G1609" s="15" t="s">
        <v>3029</v>
      </c>
      <c r="H1609" s="33" t="n">
        <f aca="false">Packages!$O$151</f>
        <v>40.8000724623066</v>
      </c>
      <c r="I1609" s="15" t="s">
        <v>118</v>
      </c>
      <c r="J1609" s="34" t="n">
        <f aca="false">TEST_D+ROUNDUP(Packages!$O$151/R_TEST,0)</f>
        <v>3</v>
      </c>
      <c r="K1609" s="34" t="n">
        <f aca="false">IF(J1609=0,0,ROUNDUP(J1609*7/WD,0))</f>
        <v>4</v>
      </c>
      <c r="L1609" s="15" t="s">
        <v>5172</v>
      </c>
      <c r="M1609" s="34" t="n">
        <f aca="false">ROUNDUP(K1608*LADDER,0)</f>
        <v>2</v>
      </c>
      <c r="N1609" s="34" t="n">
        <f aca="false">IF(K1609=0,0,FFLAG)</f>
        <v>2</v>
      </c>
      <c r="O1609" s="15"/>
      <c r="P1609" s="16" t="n">
        <f aca="false">MAX(P1608+M1609)</f>
        <v>46468</v>
      </c>
      <c r="Q1609" s="16" t="n">
        <f aca="false">MAX(P1609+K1609,Q1608+N1609)</f>
        <v>46476</v>
      </c>
      <c r="R1609" s="12"/>
      <c r="S1609" s="12"/>
    </row>
    <row r="1610" customFormat="false" ht="15" hidden="false" customHeight="false" outlineLevel="0" collapsed="false">
      <c r="A1610" s="15" t="s">
        <v>5174</v>
      </c>
      <c r="B1610" s="15" t="s">
        <v>5162</v>
      </c>
      <c r="C1610" s="15" t="s">
        <v>403</v>
      </c>
      <c r="D1610" s="15" t="s">
        <v>719</v>
      </c>
      <c r="E1610" s="15" t="s">
        <v>799</v>
      </c>
      <c r="F1610" s="15" t="s">
        <v>3031</v>
      </c>
      <c r="G1610" s="15" t="s">
        <v>3032</v>
      </c>
      <c r="H1610" s="33" t="n">
        <f aca="false">Packages!$AB$151</f>
        <v>442.127941767147</v>
      </c>
      <c r="I1610" s="15" t="s">
        <v>3019</v>
      </c>
      <c r="J1610" s="34" t="n">
        <f aca="false">MAX(1,ROUNDUP(Packages!$AB$151/(R_BF*Fronts!$M$11),0))</f>
        <v>2</v>
      </c>
      <c r="K1610" s="34" t="n">
        <f aca="false">IF(J1610=0,0,ROUNDUP(J1610*7/WD,0))</f>
        <v>3</v>
      </c>
      <c r="L1610" s="15" t="s">
        <v>5173</v>
      </c>
      <c r="M1610" s="34" t="n">
        <f aca="false">ROUNDUP(K1609*LADDER,0)</f>
        <v>2</v>
      </c>
      <c r="N1610" s="34" t="n">
        <f aca="false">IF(K1610=0,0,FFLAG)</f>
        <v>2</v>
      </c>
      <c r="O1610" s="15" t="s">
        <v>5175</v>
      </c>
      <c r="P1610" s="16" t="n">
        <f aca="false">MAX(P1609+M1610,R1599,Q1531,Q1597)</f>
        <v>46477</v>
      </c>
      <c r="Q1610" s="16" t="n">
        <f aca="false">MAX(P1610+K1610,Q1609+N1610)</f>
        <v>46480</v>
      </c>
      <c r="R1610" s="16" t="n">
        <f aca="false">IF(K1610&gt;0,Q1610,R1599)</f>
        <v>46480</v>
      </c>
      <c r="S1610" s="15" t="s">
        <v>5158</v>
      </c>
    </row>
    <row r="1611" customFormat="false" ht="15" hidden="false" customHeight="false" outlineLevel="0" collapsed="false">
      <c r="A1611" s="15" t="s">
        <v>5176</v>
      </c>
      <c r="B1611" s="15" t="s">
        <v>5162</v>
      </c>
      <c r="C1611" s="15" t="s">
        <v>403</v>
      </c>
      <c r="D1611" s="15" t="s">
        <v>719</v>
      </c>
      <c r="E1611" s="15" t="s">
        <v>799</v>
      </c>
      <c r="F1611" s="15" t="s">
        <v>3034</v>
      </c>
      <c r="G1611" s="15" t="s">
        <v>3035</v>
      </c>
      <c r="H1611" s="33" t="n">
        <f aca="false">Packages!$AD$151</f>
        <v>79.0079649247212</v>
      </c>
      <c r="I1611" s="15" t="s">
        <v>3012</v>
      </c>
      <c r="J1611" s="34" t="n">
        <f aca="false">IF(Packages!$AD$151&gt;0,ROUNDUP(Packages!$AD$151/R_EXT,0),0)+IF(Packages!$AG$151&gt;0,1,0)</f>
        <v>3</v>
      </c>
      <c r="K1611" s="34" t="n">
        <f aca="false">IF(J1611=0,0,ROUNDUP(J1611*7/WD,0))</f>
        <v>4</v>
      </c>
      <c r="L1611" s="15" t="s">
        <v>5174</v>
      </c>
      <c r="M1611" s="34" t="n">
        <f aca="false">ROUNDUP(K1610*LADDER,0)</f>
        <v>1</v>
      </c>
      <c r="N1611" s="34" t="n">
        <f aca="false">IF(K1611=0,0,FFLAG)</f>
        <v>2</v>
      </c>
      <c r="O1611" s="15"/>
      <c r="P1611" s="16" t="n">
        <f aca="false">MAX(P1610+M1611)</f>
        <v>46478</v>
      </c>
      <c r="Q1611" s="16" t="n">
        <f aca="false">MAX(P1611+K1611,Q1610+N1611)</f>
        <v>46482</v>
      </c>
      <c r="R1611" s="12"/>
      <c r="S1611" s="12"/>
    </row>
    <row r="1612" customFormat="false" ht="15" hidden="false" customHeight="false" outlineLevel="0" collapsed="false">
      <c r="A1612" s="15" t="s">
        <v>5177</v>
      </c>
      <c r="B1612" s="15" t="s">
        <v>5178</v>
      </c>
      <c r="C1612" s="15" t="s">
        <v>403</v>
      </c>
      <c r="D1612" s="15" t="s">
        <v>1594</v>
      </c>
      <c r="E1612" s="15" t="s">
        <v>1680</v>
      </c>
      <c r="F1612" s="15" t="s">
        <v>2998</v>
      </c>
      <c r="G1612" s="15" t="s">
        <v>2999</v>
      </c>
      <c r="H1612" s="12"/>
      <c r="I1612" s="12"/>
      <c r="J1612" s="34" t="n">
        <f aca="false">0</f>
        <v>0</v>
      </c>
      <c r="K1612" s="34" t="n">
        <f aca="false">IF(J1612=0,0,ROUNDUP(J1612*7/WD,0))</f>
        <v>0</v>
      </c>
      <c r="L1612" s="12"/>
      <c r="M1612" s="12"/>
      <c r="N1612" s="12"/>
      <c r="O1612" s="15" t="s">
        <v>3038</v>
      </c>
      <c r="P1612" s="16" t="n">
        <f aca="false">MAX(START,D_DLU,Packages!$I$152,Packages!$K$152)</f>
        <v>46357</v>
      </c>
      <c r="Q1612" s="16" t="n">
        <f aca="false">P1612+K1612</f>
        <v>46357</v>
      </c>
      <c r="R1612" s="12"/>
      <c r="S1612" s="12"/>
    </row>
    <row r="1613" customFormat="false" ht="15" hidden="false" customHeight="false" outlineLevel="0" collapsed="false">
      <c r="A1613" s="15" t="s">
        <v>5179</v>
      </c>
      <c r="B1613" s="15" t="s">
        <v>5178</v>
      </c>
      <c r="C1613" s="15" t="s">
        <v>403</v>
      </c>
      <c r="D1613" s="15" t="s">
        <v>1594</v>
      </c>
      <c r="E1613" s="15" t="s">
        <v>1680</v>
      </c>
      <c r="F1613" s="15" t="s">
        <v>3002</v>
      </c>
      <c r="G1613" s="15" t="s">
        <v>205</v>
      </c>
      <c r="H1613" s="33" t="n">
        <f aca="false">Packages!$O$152</f>
        <v>4.92278999993513</v>
      </c>
      <c r="I1613" s="15" t="s">
        <v>118</v>
      </c>
      <c r="J1613" s="34" t="n">
        <f aca="false">MAX(1,ROUNDUP(Packages!$O$152/R_PLAT,0))</f>
        <v>1</v>
      </c>
      <c r="K1613" s="34" t="n">
        <f aca="false">IF(J1613=0,0,ROUNDUP(J1613*7/WD,0))</f>
        <v>2</v>
      </c>
      <c r="L1613" s="15" t="s">
        <v>5177</v>
      </c>
      <c r="M1613" s="12"/>
      <c r="N1613" s="12"/>
      <c r="O1613" s="15" t="s">
        <v>3003</v>
      </c>
      <c r="P1613" s="16" t="n">
        <f aca="false">MAX(Q1612)</f>
        <v>46357</v>
      </c>
      <c r="Q1613" s="16" t="n">
        <f aca="false">P1613+K1613</f>
        <v>46359</v>
      </c>
      <c r="R1613" s="12"/>
      <c r="S1613" s="12"/>
    </row>
    <row r="1614" customFormat="false" ht="15" hidden="false" customHeight="false" outlineLevel="0" collapsed="false">
      <c r="A1614" s="15" t="s">
        <v>5180</v>
      </c>
      <c r="B1614" s="15" t="s">
        <v>5178</v>
      </c>
      <c r="C1614" s="15" t="s">
        <v>403</v>
      </c>
      <c r="D1614" s="15" t="s">
        <v>1594</v>
      </c>
      <c r="E1614" s="15" t="s">
        <v>1680</v>
      </c>
      <c r="F1614" s="15" t="s">
        <v>3005</v>
      </c>
      <c r="G1614" s="15" t="s">
        <v>3006</v>
      </c>
      <c r="H1614" s="33" t="n">
        <f aca="false">Packages!$AC$152</f>
        <v>6</v>
      </c>
      <c r="I1614" s="15" t="s">
        <v>3007</v>
      </c>
      <c r="J1614" s="34" t="n">
        <f aca="false">IF(Packages!$AC$152=0,0,MAX(1,ROUNDUP(Packages!$AC$152/(R_PILE*Fronts!$H$11),0)))</f>
        <v>2</v>
      </c>
      <c r="K1614" s="34" t="n">
        <f aca="false">IF(J1614=0,0,ROUNDUP(J1614*7/WD,0))</f>
        <v>3</v>
      </c>
      <c r="L1614" s="15" t="s">
        <v>5179</v>
      </c>
      <c r="M1614" s="34" t="n">
        <f aca="false">ROUNDUP(K1613*LADDER,0)</f>
        <v>1</v>
      </c>
      <c r="N1614" s="34" t="n">
        <f aca="false">IF(K1614=0,0,FFLAG)</f>
        <v>2</v>
      </c>
      <c r="O1614" s="15" t="s">
        <v>3008</v>
      </c>
      <c r="P1614" s="16" t="n">
        <f aca="false">MAX(P1613+M1614,D_PILEDES)</f>
        <v>46358</v>
      </c>
      <c r="Q1614" s="16" t="n">
        <f aca="false">MAX(P1614+K1614,Q1613+N1614)</f>
        <v>46361</v>
      </c>
      <c r="R1614" s="16" t="n">
        <f aca="false">IF(K1614&gt;0,Q1614,0)</f>
        <v>46361</v>
      </c>
      <c r="S1614" s="12"/>
    </row>
    <row r="1615" customFormat="false" ht="15" hidden="false" customHeight="false" outlineLevel="0" collapsed="false">
      <c r="A1615" s="15" t="s">
        <v>5181</v>
      </c>
      <c r="B1615" s="15" t="s">
        <v>5178</v>
      </c>
      <c r="C1615" s="15" t="s">
        <v>403</v>
      </c>
      <c r="D1615" s="15" t="s">
        <v>1594</v>
      </c>
      <c r="E1615" s="15" t="s">
        <v>1680</v>
      </c>
      <c r="F1615" s="15" t="s">
        <v>3010</v>
      </c>
      <c r="G1615" s="15" t="s">
        <v>3011</v>
      </c>
      <c r="H1615" s="33" t="n">
        <f aca="false">Packages!$AD$152</f>
        <v>9.84557999987027</v>
      </c>
      <c r="I1615" s="15" t="s">
        <v>3012</v>
      </c>
      <c r="J1615" s="34" t="n">
        <f aca="false">IF(Packages!$AD$152=0,0,MAX(1,ROUNDUP(Packages!$AD$152/(R_SHEET*Fronts!$I$11),0)))</f>
        <v>1</v>
      </c>
      <c r="K1615" s="34" t="n">
        <f aca="false">IF(J1615=0,0,ROUNDUP(J1615*7/WD,0))</f>
        <v>2</v>
      </c>
      <c r="L1615" s="15" t="s">
        <v>5180</v>
      </c>
      <c r="M1615" s="34" t="n">
        <f aca="false">ROUNDUP(K1614*LADDER,0)</f>
        <v>1</v>
      </c>
      <c r="N1615" s="34" t="n">
        <f aca="false">IF(K1615=0,0,FFLAG)</f>
        <v>2</v>
      </c>
      <c r="O1615" s="15"/>
      <c r="P1615" s="16" t="n">
        <f aca="false">MAX(P1614+M1615)</f>
        <v>46359</v>
      </c>
      <c r="Q1615" s="16" t="n">
        <f aca="false">MAX(P1615+K1615,Q1614+N1615)</f>
        <v>46363</v>
      </c>
      <c r="R1615" s="16" t="n">
        <f aca="false">IF(K1615&gt;0,Q1615,0)</f>
        <v>46363</v>
      </c>
      <c r="S1615" s="12"/>
    </row>
    <row r="1616" customFormat="false" ht="15" hidden="false" customHeight="false" outlineLevel="0" collapsed="false">
      <c r="A1616" s="15" t="s">
        <v>5182</v>
      </c>
      <c r="B1616" s="15" t="s">
        <v>5178</v>
      </c>
      <c r="C1616" s="15" t="s">
        <v>403</v>
      </c>
      <c r="D1616" s="15" t="s">
        <v>1594</v>
      </c>
      <c r="E1616" s="15" t="s">
        <v>1680</v>
      </c>
      <c r="F1616" s="15" t="s">
        <v>3014</v>
      </c>
      <c r="G1616" s="15" t="s">
        <v>3015</v>
      </c>
      <c r="H1616" s="33" t="n">
        <f aca="false">Packages!$O$152</f>
        <v>4.92278999993513</v>
      </c>
      <c r="I1616" s="15" t="s">
        <v>118</v>
      </c>
      <c r="J1616" s="34" t="n">
        <f aca="false">IF(Packages!$AG$152=0,0,ROUNDUP(Packages!$O$152/R_DW,0)+DW_DRAW)</f>
        <v>8</v>
      </c>
      <c r="K1616" s="34" t="n">
        <f aca="false">IF(J1616=0,0,ROUNDUP(J1616*7/WD,0))</f>
        <v>10</v>
      </c>
      <c r="L1616" s="15" t="s">
        <v>5181</v>
      </c>
      <c r="M1616" s="34" t="n">
        <f aca="false">ROUNDUP(K1615*LADDER,0)</f>
        <v>1</v>
      </c>
      <c r="N1616" s="34" t="n">
        <f aca="false">IF(K1616=0,0,FFLAG)</f>
        <v>2</v>
      </c>
      <c r="O1616" s="15"/>
      <c r="P1616" s="16" t="n">
        <f aca="false">MAX(P1615+M1616)</f>
        <v>46360</v>
      </c>
      <c r="Q1616" s="16" t="n">
        <f aca="false">MAX(P1616+K1616,Q1615+N1616)</f>
        <v>46370</v>
      </c>
      <c r="R1616" s="12"/>
      <c r="S1616" s="12"/>
    </row>
    <row r="1617" customFormat="false" ht="15" hidden="false" customHeight="false" outlineLevel="0" collapsed="false">
      <c r="A1617" s="15" t="s">
        <v>5183</v>
      </c>
      <c r="B1617" s="15" t="s">
        <v>5178</v>
      </c>
      <c r="C1617" s="15" t="s">
        <v>403</v>
      </c>
      <c r="D1617" s="15" t="s">
        <v>1594</v>
      </c>
      <c r="E1617" s="15" t="s">
        <v>1680</v>
      </c>
      <c r="F1617" s="15" t="s">
        <v>3017</v>
      </c>
      <c r="G1617" s="15" t="s">
        <v>3018</v>
      </c>
      <c r="H1617" s="33" t="n">
        <f aca="false">Packages!$X$152+Packages!$Y$152</f>
        <v>104.872982430096</v>
      </c>
      <c r="I1617" s="15" t="s">
        <v>3019</v>
      </c>
      <c r="J1617" s="34" t="n">
        <f aca="false">MAX(1,ROUNDUP((Packages!$X$152/R_EXS+Packages!$Y$152/R_EXO)/Fronts!$J$11,0))</f>
        <v>1</v>
      </c>
      <c r="K1617" s="34" t="n">
        <f aca="false">IF(J1617=0,0,ROUNDUP(J1617*7/WD,0))</f>
        <v>2</v>
      </c>
      <c r="L1617" s="15" t="s">
        <v>5182</v>
      </c>
      <c r="M1617" s="34" t="n">
        <f aca="false">IF(K1616=0,0,ROUNDUP((K1616-ROUNDUP(DW_DRAW*7/WD,0))*LADDER,0)+ROUNDUP(DW_DRAW*7/WD,0))</f>
        <v>10</v>
      </c>
      <c r="N1617" s="34" t="n">
        <f aca="false">IF(K1617=0,0,FFLAG)</f>
        <v>2</v>
      </c>
      <c r="O1617" s="15"/>
      <c r="P1617" s="16" t="n">
        <f aca="false">MAX(P1616+M1617)</f>
        <v>46370</v>
      </c>
      <c r="Q1617" s="16" t="n">
        <f aca="false">MAX(P1617+K1617,Q1616+N1617)</f>
        <v>46372</v>
      </c>
      <c r="R1617" s="16" t="n">
        <f aca="false">IF(K1617&gt;0,Q1617,0)</f>
        <v>46372</v>
      </c>
      <c r="S1617" s="12"/>
    </row>
    <row r="1618" customFormat="false" ht="15" hidden="false" customHeight="false" outlineLevel="0" collapsed="false">
      <c r="A1618" s="15" t="s">
        <v>5184</v>
      </c>
      <c r="B1618" s="15" t="s">
        <v>5178</v>
      </c>
      <c r="C1618" s="15" t="s">
        <v>403</v>
      </c>
      <c r="D1618" s="15" t="s">
        <v>1594</v>
      </c>
      <c r="E1618" s="15" t="s">
        <v>1680</v>
      </c>
      <c r="F1618" s="15" t="s">
        <v>3022</v>
      </c>
      <c r="G1618" s="15" t="s">
        <v>3023</v>
      </c>
      <c r="H1618" s="33" t="n">
        <f aca="false">Packages!$O$152</f>
        <v>4.92278999993513</v>
      </c>
      <c r="I1618" s="15" t="s">
        <v>118</v>
      </c>
      <c r="J1618" s="34" t="n">
        <f aca="false">MAX(1,ROUNDUP(Packages!$O$152/(R_SLAB*Fronts!$K$11),0))+SLAB_CURE</f>
        <v>4</v>
      </c>
      <c r="K1618" s="34" t="n">
        <f aca="false">IF(J1618=0,0,ROUNDUP(J1618*7/WD,0))</f>
        <v>5</v>
      </c>
      <c r="L1618" s="15" t="s">
        <v>5183</v>
      </c>
      <c r="M1618" s="34" t="n">
        <f aca="false">ROUNDUP(K1617*LADDER,0)</f>
        <v>1</v>
      </c>
      <c r="N1618" s="34" t="n">
        <f aca="false">IF(K1618=0,0,FFLAG)</f>
        <v>2</v>
      </c>
      <c r="O1618" s="15"/>
      <c r="P1618" s="16" t="n">
        <f aca="false">MAX(P1617+M1618)</f>
        <v>46371</v>
      </c>
      <c r="Q1618" s="16" t="n">
        <f aca="false">MAX(P1618+K1618,Q1617+N1618)</f>
        <v>46376</v>
      </c>
      <c r="R1618" s="16" t="n">
        <f aca="false">IF(K1618&gt;0,Q1618,0)</f>
        <v>46376</v>
      </c>
      <c r="S1618" s="12"/>
    </row>
    <row r="1619" customFormat="false" ht="15" hidden="false" customHeight="false" outlineLevel="0" collapsed="false">
      <c r="A1619" s="15" t="s">
        <v>5185</v>
      </c>
      <c r="B1619" s="15" t="s">
        <v>5178</v>
      </c>
      <c r="C1619" s="15" t="s">
        <v>403</v>
      </c>
      <c r="D1619" s="15" t="s">
        <v>1594</v>
      </c>
      <c r="E1619" s="15" t="s">
        <v>1680</v>
      </c>
      <c r="F1619" s="15" t="s">
        <v>3025</v>
      </c>
      <c r="G1619" s="15" t="s">
        <v>3026</v>
      </c>
      <c r="H1619" s="33" t="n">
        <f aca="false">Packages!$O$152</f>
        <v>4.92278999993513</v>
      </c>
      <c r="I1619" s="15" t="s">
        <v>118</v>
      </c>
      <c r="J1619" s="34" t="n">
        <f aca="false">MAX(1,ROUNDUP(Packages!$O$152/(IF(Packages!$N$152&gt;=PIPE_T1,R_PIPE_L,IF(Packages!$N$152&gt;=PIPE_T2,R_PIPE_M,R_PIPE_S))*Fronts!$L$11)+Packages!$M$152*FIT_D+IF(Packages!$G$152&lt;&gt;"Run",TIE_D,0),0))</f>
        <v>4</v>
      </c>
      <c r="K1619" s="34" t="n">
        <f aca="false">IF(J1619=0,0,ROUNDUP(J1619*7/WD,0))</f>
        <v>5</v>
      </c>
      <c r="L1619" s="15" t="s">
        <v>5184</v>
      </c>
      <c r="M1619" s="34" t="n">
        <f aca="false">ROUNDUP(K1618*LADDER,0)</f>
        <v>2</v>
      </c>
      <c r="N1619" s="34" t="n">
        <f aca="false">IF(K1619=0,0,FFLAG)</f>
        <v>2</v>
      </c>
      <c r="O1619" s="15"/>
      <c r="P1619" s="16" t="n">
        <f aca="false">MAX(P1618+M1619)</f>
        <v>46373</v>
      </c>
      <c r="Q1619" s="16" t="n">
        <f aca="false">MAX(P1619+K1619,Q1618+N1619)</f>
        <v>46378</v>
      </c>
      <c r="R1619" s="16" t="n">
        <f aca="false">IF(K1619&gt;0,Q1619,0)</f>
        <v>46378</v>
      </c>
      <c r="S1619" s="12"/>
    </row>
    <row r="1620" customFormat="false" ht="15" hidden="false" customHeight="false" outlineLevel="0" collapsed="false">
      <c r="A1620" s="15" t="s">
        <v>5186</v>
      </c>
      <c r="B1620" s="15" t="s">
        <v>5178</v>
      </c>
      <c r="C1620" s="15" t="s">
        <v>403</v>
      </c>
      <c r="D1620" s="15" t="s">
        <v>1594</v>
      </c>
      <c r="E1620" s="15" t="s">
        <v>1680</v>
      </c>
      <c r="F1620" s="15" t="s">
        <v>3028</v>
      </c>
      <c r="G1620" s="15" t="s">
        <v>3029</v>
      </c>
      <c r="H1620" s="33" t="n">
        <f aca="false">Packages!$O$152</f>
        <v>4.92278999993513</v>
      </c>
      <c r="I1620" s="15" t="s">
        <v>118</v>
      </c>
      <c r="J1620" s="34" t="n">
        <f aca="false">TEST_D+ROUNDUP(Packages!$O$152/R_TEST,0)</f>
        <v>3</v>
      </c>
      <c r="K1620" s="34" t="n">
        <f aca="false">IF(J1620=0,0,ROUNDUP(J1620*7/WD,0))</f>
        <v>4</v>
      </c>
      <c r="L1620" s="15" t="s">
        <v>5185</v>
      </c>
      <c r="M1620" s="34" t="n">
        <f aca="false">ROUNDUP(K1619*LADDER,0)</f>
        <v>2</v>
      </c>
      <c r="N1620" s="34" t="n">
        <f aca="false">IF(K1620=0,0,FFLAG)</f>
        <v>2</v>
      </c>
      <c r="O1620" s="15"/>
      <c r="P1620" s="16" t="n">
        <f aca="false">MAX(P1619+M1620)</f>
        <v>46375</v>
      </c>
      <c r="Q1620" s="16" t="n">
        <f aca="false">MAX(P1620+K1620,Q1619+N1620)</f>
        <v>46380</v>
      </c>
      <c r="R1620" s="12"/>
      <c r="S1620" s="12"/>
    </row>
    <row r="1621" customFormat="false" ht="15" hidden="false" customHeight="false" outlineLevel="0" collapsed="false">
      <c r="A1621" s="15" t="s">
        <v>5187</v>
      </c>
      <c r="B1621" s="15" t="s">
        <v>5178</v>
      </c>
      <c r="C1621" s="15" t="s">
        <v>403</v>
      </c>
      <c r="D1621" s="15" t="s">
        <v>1594</v>
      </c>
      <c r="E1621" s="15" t="s">
        <v>1680</v>
      </c>
      <c r="F1621" s="15" t="s">
        <v>3031</v>
      </c>
      <c r="G1621" s="15" t="s">
        <v>3032</v>
      </c>
      <c r="H1621" s="33" t="n">
        <f aca="false">Packages!$AB$152</f>
        <v>80.756901166703</v>
      </c>
      <c r="I1621" s="15" t="s">
        <v>3019</v>
      </c>
      <c r="J1621" s="34" t="n">
        <f aca="false">MAX(1,ROUNDUP(Packages!$AB$152/(R_BF*Fronts!$M$11),0))</f>
        <v>1</v>
      </c>
      <c r="K1621" s="34" t="n">
        <f aca="false">IF(J1621=0,0,ROUNDUP(J1621*7/WD,0))</f>
        <v>2</v>
      </c>
      <c r="L1621" s="15" t="s">
        <v>5186</v>
      </c>
      <c r="M1621" s="34" t="n">
        <f aca="false">ROUNDUP(K1620*LADDER,0)</f>
        <v>2</v>
      </c>
      <c r="N1621" s="34" t="n">
        <f aca="false">IF(K1621=0,0,FFLAG)</f>
        <v>2</v>
      </c>
      <c r="O1621" s="15" t="s">
        <v>5188</v>
      </c>
      <c r="P1621" s="16" t="n">
        <f aca="false">MAX(P1620+M1621,Q1630,Q1663,Q1652,Q1641)</f>
        <v>46500</v>
      </c>
      <c r="Q1621" s="16" t="n">
        <f aca="false">MAX(P1621+K1621,Q1620+N1621)</f>
        <v>46502</v>
      </c>
      <c r="R1621" s="16" t="n">
        <f aca="false">IF(K1621&gt;0,Q1621,0)</f>
        <v>46502</v>
      </c>
      <c r="S1621" s="12"/>
    </row>
    <row r="1622" customFormat="false" ht="15" hidden="false" customHeight="false" outlineLevel="0" collapsed="false">
      <c r="A1622" s="15" t="s">
        <v>5189</v>
      </c>
      <c r="B1622" s="15" t="s">
        <v>5178</v>
      </c>
      <c r="C1622" s="15" t="s">
        <v>403</v>
      </c>
      <c r="D1622" s="15" t="s">
        <v>1594</v>
      </c>
      <c r="E1622" s="15" t="s">
        <v>1680</v>
      </c>
      <c r="F1622" s="15" t="s">
        <v>3034</v>
      </c>
      <c r="G1622" s="15" t="s">
        <v>3035</v>
      </c>
      <c r="H1622" s="33" t="n">
        <f aca="false">Packages!$AD$152</f>
        <v>9.84557999987027</v>
      </c>
      <c r="I1622" s="15" t="s">
        <v>3012</v>
      </c>
      <c r="J1622" s="34" t="n">
        <f aca="false">IF(Packages!$AD$152&gt;0,ROUNDUP(Packages!$AD$152/R_EXT,0),0)+IF(Packages!$AG$152&gt;0,1,0)</f>
        <v>2</v>
      </c>
      <c r="K1622" s="34" t="n">
        <f aca="false">IF(J1622=0,0,ROUNDUP(J1622*7/WD,0))</f>
        <v>3</v>
      </c>
      <c r="L1622" s="15" t="s">
        <v>5187</v>
      </c>
      <c r="M1622" s="34" t="n">
        <f aca="false">ROUNDUP(K1621*LADDER,0)</f>
        <v>1</v>
      </c>
      <c r="N1622" s="34" t="n">
        <f aca="false">IF(K1622=0,0,FFLAG)</f>
        <v>2</v>
      </c>
      <c r="O1622" s="15"/>
      <c r="P1622" s="16" t="n">
        <f aca="false">MAX(P1621+M1622)</f>
        <v>46501</v>
      </c>
      <c r="Q1622" s="16" t="n">
        <f aca="false">MAX(P1622+K1622,Q1621+N1622)</f>
        <v>46504</v>
      </c>
      <c r="R1622" s="12"/>
      <c r="S1622" s="12"/>
    </row>
    <row r="1623" customFormat="false" ht="15" hidden="false" customHeight="false" outlineLevel="0" collapsed="false">
      <c r="A1623" s="15" t="s">
        <v>5190</v>
      </c>
      <c r="B1623" s="15" t="s">
        <v>5191</v>
      </c>
      <c r="C1623" s="15" t="s">
        <v>403</v>
      </c>
      <c r="D1623" s="15" t="s">
        <v>1460</v>
      </c>
      <c r="E1623" s="15" t="s">
        <v>1493</v>
      </c>
      <c r="F1623" s="15" t="s">
        <v>2998</v>
      </c>
      <c r="G1623" s="15" t="s">
        <v>2999</v>
      </c>
      <c r="H1623" s="12"/>
      <c r="I1623" s="12"/>
      <c r="J1623" s="34" t="n">
        <f aca="false">0</f>
        <v>0</v>
      </c>
      <c r="K1623" s="34" t="n">
        <f aca="false">IF(J1623=0,0,ROUNDUP(J1623*7/WD,0))</f>
        <v>0</v>
      </c>
      <c r="L1623" s="12"/>
      <c r="M1623" s="12"/>
      <c r="N1623" s="12"/>
      <c r="O1623" s="15" t="s">
        <v>3000</v>
      </c>
      <c r="P1623" s="16" t="n">
        <f aca="false">MAX(START,D_DLU,Packages!$I$153,Packages!$K$153)</f>
        <v>46357</v>
      </c>
      <c r="Q1623" s="16" t="n">
        <f aca="false">P1623+K1623</f>
        <v>46357</v>
      </c>
      <c r="R1623" s="12"/>
      <c r="S1623" s="12"/>
    </row>
    <row r="1624" customFormat="false" ht="15" hidden="false" customHeight="false" outlineLevel="0" collapsed="false">
      <c r="A1624" s="15" t="s">
        <v>5192</v>
      </c>
      <c r="B1624" s="15" t="s">
        <v>5191</v>
      </c>
      <c r="C1624" s="15" t="s">
        <v>403</v>
      </c>
      <c r="D1624" s="15" t="s">
        <v>1460</v>
      </c>
      <c r="E1624" s="15" t="s">
        <v>1493</v>
      </c>
      <c r="F1624" s="15" t="s">
        <v>3002</v>
      </c>
      <c r="G1624" s="15" t="s">
        <v>205</v>
      </c>
      <c r="H1624" s="33" t="n">
        <f aca="false">Packages!$O$153</f>
        <v>44.343103822958</v>
      </c>
      <c r="I1624" s="15" t="s">
        <v>118</v>
      </c>
      <c r="J1624" s="34" t="n">
        <f aca="false">MAX(1,ROUNDUP(Packages!$O$153/R_PLAT,0))</f>
        <v>1</v>
      </c>
      <c r="K1624" s="34" t="n">
        <f aca="false">IF(J1624=0,0,ROUNDUP(J1624*7/WD,0))</f>
        <v>2</v>
      </c>
      <c r="L1624" s="15" t="s">
        <v>5190</v>
      </c>
      <c r="M1624" s="12"/>
      <c r="N1624" s="12"/>
      <c r="O1624" s="15" t="s">
        <v>5193</v>
      </c>
      <c r="P1624" s="16" t="n">
        <f aca="false">MAX(Q1623,P1603)</f>
        <v>46409</v>
      </c>
      <c r="Q1624" s="16" t="n">
        <f aca="false">P1624+K1624</f>
        <v>46411</v>
      </c>
      <c r="R1624" s="12"/>
      <c r="S1624" s="12"/>
    </row>
    <row r="1625" customFormat="false" ht="15" hidden="false" customHeight="false" outlineLevel="0" collapsed="false">
      <c r="A1625" s="15" t="s">
        <v>5194</v>
      </c>
      <c r="B1625" s="15" t="s">
        <v>5191</v>
      </c>
      <c r="C1625" s="15" t="s">
        <v>403</v>
      </c>
      <c r="D1625" s="15" t="s">
        <v>1460</v>
      </c>
      <c r="E1625" s="15" t="s">
        <v>1493</v>
      </c>
      <c r="F1625" s="15" t="s">
        <v>3005</v>
      </c>
      <c r="G1625" s="15" t="s">
        <v>3006</v>
      </c>
      <c r="H1625" s="33" t="n">
        <f aca="false">Packages!$AC$153</f>
        <v>32</v>
      </c>
      <c r="I1625" s="15" t="s">
        <v>3007</v>
      </c>
      <c r="J1625" s="34" t="n">
        <f aca="false">IF(Packages!$AC$153=0,0,MAX(1,ROUNDUP(Packages!$AC$153/(R_PILE*Fronts!$H$11),0)))</f>
        <v>7</v>
      </c>
      <c r="K1625" s="34" t="n">
        <f aca="false">IF(J1625=0,0,ROUNDUP(J1625*7/WD,0))</f>
        <v>9</v>
      </c>
      <c r="L1625" s="15" t="s">
        <v>5192</v>
      </c>
      <c r="M1625" s="34" t="n">
        <f aca="false">ROUNDUP(K1624*LADDER,0)</f>
        <v>1</v>
      </c>
      <c r="N1625" s="34" t="n">
        <f aca="false">IF(K1625=0,0,FFLAG)</f>
        <v>2</v>
      </c>
      <c r="O1625" s="15" t="s">
        <v>3008</v>
      </c>
      <c r="P1625" s="16" t="n">
        <f aca="false">MAX(P1624+M1625,D_PILEDES,R1603)</f>
        <v>46416</v>
      </c>
      <c r="Q1625" s="16" t="n">
        <f aca="false">MAX(P1625+K1625,Q1624+N1625)</f>
        <v>46425</v>
      </c>
      <c r="R1625" s="16" t="n">
        <f aca="false">IF(K1625&gt;0,Q1625,R1603)</f>
        <v>46425</v>
      </c>
      <c r="S1625" s="15" t="s">
        <v>5165</v>
      </c>
    </row>
    <row r="1626" customFormat="false" ht="15" hidden="false" customHeight="false" outlineLevel="0" collapsed="false">
      <c r="A1626" s="15" t="s">
        <v>5195</v>
      </c>
      <c r="B1626" s="15" t="s">
        <v>5191</v>
      </c>
      <c r="C1626" s="15" t="s">
        <v>403</v>
      </c>
      <c r="D1626" s="15" t="s">
        <v>1460</v>
      </c>
      <c r="E1626" s="15" t="s">
        <v>1493</v>
      </c>
      <c r="F1626" s="15" t="s">
        <v>3010</v>
      </c>
      <c r="G1626" s="15" t="s">
        <v>3011</v>
      </c>
      <c r="H1626" s="33" t="n">
        <f aca="false">Packages!$AD$153</f>
        <v>88.686207645916</v>
      </c>
      <c r="I1626" s="15" t="s">
        <v>3012</v>
      </c>
      <c r="J1626" s="34" t="n">
        <f aca="false">IF(Packages!$AD$153=0,0,MAX(1,ROUNDUP(Packages!$AD$153/(R_SHEET*Fronts!$I$11),0)))</f>
        <v>4</v>
      </c>
      <c r="K1626" s="34" t="n">
        <f aca="false">IF(J1626=0,0,ROUNDUP(J1626*7/WD,0))</f>
        <v>5</v>
      </c>
      <c r="L1626" s="15" t="s">
        <v>5194</v>
      </c>
      <c r="M1626" s="34" t="n">
        <f aca="false">ROUNDUP(K1625*LADDER,0)</f>
        <v>3</v>
      </c>
      <c r="N1626" s="34" t="n">
        <f aca="false">IF(K1626=0,0,FFLAG)</f>
        <v>2</v>
      </c>
      <c r="O1626" s="15"/>
      <c r="P1626" s="16" t="n">
        <f aca="false">MAX(P1625+M1626,R1604)</f>
        <v>46419</v>
      </c>
      <c r="Q1626" s="16" t="n">
        <f aca="false">MAX(P1626+K1626,Q1625+N1626)</f>
        <v>46427</v>
      </c>
      <c r="R1626" s="16" t="n">
        <f aca="false">IF(K1626&gt;0,Q1626,R1604)</f>
        <v>46427</v>
      </c>
      <c r="S1626" s="15" t="s">
        <v>5166</v>
      </c>
    </row>
    <row r="1627" customFormat="false" ht="15" hidden="false" customHeight="false" outlineLevel="0" collapsed="false">
      <c r="A1627" s="15" t="s">
        <v>5196</v>
      </c>
      <c r="B1627" s="15" t="s">
        <v>5191</v>
      </c>
      <c r="C1627" s="15" t="s">
        <v>403</v>
      </c>
      <c r="D1627" s="15" t="s">
        <v>1460</v>
      </c>
      <c r="E1627" s="15" t="s">
        <v>1493</v>
      </c>
      <c r="F1627" s="15" t="s">
        <v>3014</v>
      </c>
      <c r="G1627" s="15" t="s">
        <v>3015</v>
      </c>
      <c r="H1627" s="33" t="n">
        <f aca="false">Packages!$O$153</f>
        <v>44.343103822958</v>
      </c>
      <c r="I1627" s="15" t="s">
        <v>118</v>
      </c>
      <c r="J1627" s="34" t="n">
        <f aca="false">IF(Packages!$AG$153=0,0,ROUNDUP(Packages!$O$153/R_DW,0)+DW_DRAW)</f>
        <v>9</v>
      </c>
      <c r="K1627" s="34" t="n">
        <f aca="false">IF(J1627=0,0,ROUNDUP(J1627*7/WD,0))</f>
        <v>11</v>
      </c>
      <c r="L1627" s="15" t="s">
        <v>5195</v>
      </c>
      <c r="M1627" s="34" t="n">
        <f aca="false">ROUNDUP(K1626*LADDER,0)</f>
        <v>2</v>
      </c>
      <c r="N1627" s="34" t="n">
        <f aca="false">IF(K1627=0,0,FFLAG)</f>
        <v>2</v>
      </c>
      <c r="O1627" s="15" t="s">
        <v>5197</v>
      </c>
      <c r="P1627" s="16" t="n">
        <f aca="false">MAX(P1626+M1627,Q1606-K1627)</f>
        <v>46454</v>
      </c>
      <c r="Q1627" s="16" t="n">
        <f aca="false">MAX(P1627+K1627,Q1626+N1627)</f>
        <v>46465</v>
      </c>
      <c r="R1627" s="12"/>
      <c r="S1627" s="12"/>
    </row>
    <row r="1628" customFormat="false" ht="15" hidden="false" customHeight="false" outlineLevel="0" collapsed="false">
      <c r="A1628" s="15" t="s">
        <v>5198</v>
      </c>
      <c r="B1628" s="15" t="s">
        <v>5191</v>
      </c>
      <c r="C1628" s="15" t="s">
        <v>403</v>
      </c>
      <c r="D1628" s="15" t="s">
        <v>1460</v>
      </c>
      <c r="E1628" s="15" t="s">
        <v>1493</v>
      </c>
      <c r="F1628" s="15" t="s">
        <v>3017</v>
      </c>
      <c r="G1628" s="15" t="s">
        <v>3018</v>
      </c>
      <c r="H1628" s="33" t="n">
        <f aca="false">Packages!$X$153+Packages!$Y$153</f>
        <v>935.942588063026</v>
      </c>
      <c r="I1628" s="15" t="s">
        <v>3019</v>
      </c>
      <c r="J1628" s="34" t="n">
        <f aca="false">MAX(1,ROUNDUP((Packages!$X$153/R_EXS+Packages!$Y$153/R_EXO)/Fronts!$J$11,0))</f>
        <v>4</v>
      </c>
      <c r="K1628" s="34" t="n">
        <f aca="false">IF(J1628=0,0,ROUNDUP(J1628*7/WD,0))</f>
        <v>5</v>
      </c>
      <c r="L1628" s="15" t="s">
        <v>5196</v>
      </c>
      <c r="M1628" s="34" t="n">
        <f aca="false">IF(K1627=0,0,ROUNDUP((K1627-ROUNDUP(DW_DRAW*7/WD,0))*LADDER,0)+ROUNDUP(DW_DRAW*7/WD,0))</f>
        <v>10</v>
      </c>
      <c r="N1628" s="34" t="n">
        <f aca="false">IF(K1628=0,0,FFLAG)</f>
        <v>2</v>
      </c>
      <c r="O1628" s="15" t="s">
        <v>5199</v>
      </c>
      <c r="P1628" s="16" t="n">
        <f aca="false">MAX(P1627+M1628,R1606,P1617)</f>
        <v>46465</v>
      </c>
      <c r="Q1628" s="16" t="n">
        <f aca="false">MAX(P1628+K1628,Q1627+N1628)</f>
        <v>46470</v>
      </c>
      <c r="R1628" s="16" t="n">
        <f aca="false">IF(K1628&gt;0,Q1628,R1606)</f>
        <v>46470</v>
      </c>
      <c r="S1628" s="15" t="s">
        <v>5169</v>
      </c>
    </row>
    <row r="1629" customFormat="false" ht="15" hidden="false" customHeight="false" outlineLevel="0" collapsed="false">
      <c r="A1629" s="15" t="s">
        <v>5200</v>
      </c>
      <c r="B1629" s="15" t="s">
        <v>5191</v>
      </c>
      <c r="C1629" s="15" t="s">
        <v>403</v>
      </c>
      <c r="D1629" s="15" t="s">
        <v>1460</v>
      </c>
      <c r="E1629" s="15" t="s">
        <v>1493</v>
      </c>
      <c r="F1629" s="15" t="s">
        <v>3022</v>
      </c>
      <c r="G1629" s="15" t="s">
        <v>3023</v>
      </c>
      <c r="H1629" s="33" t="n">
        <f aca="false">Packages!$O$153</f>
        <v>44.343103822958</v>
      </c>
      <c r="I1629" s="15" t="s">
        <v>118</v>
      </c>
      <c r="J1629" s="34" t="n">
        <f aca="false">MAX(1,ROUNDUP(Packages!$O$153/(R_SLAB*Fronts!$K$11),0))+SLAB_CURE</f>
        <v>7</v>
      </c>
      <c r="K1629" s="34" t="n">
        <f aca="false">IF(J1629=0,0,ROUNDUP(J1629*7/WD,0))</f>
        <v>9</v>
      </c>
      <c r="L1629" s="15" t="s">
        <v>5198</v>
      </c>
      <c r="M1629" s="34" t="n">
        <f aca="false">ROUNDUP(K1628*LADDER,0)</f>
        <v>2</v>
      </c>
      <c r="N1629" s="34" t="n">
        <f aca="false">IF(K1629=0,0,FFLAG)</f>
        <v>2</v>
      </c>
      <c r="O1629" s="15"/>
      <c r="P1629" s="16" t="n">
        <f aca="false">MAX(P1628+M1629,R1607)</f>
        <v>46472</v>
      </c>
      <c r="Q1629" s="16" t="n">
        <f aca="false">MAX(P1629+K1629,Q1628+N1629)</f>
        <v>46481</v>
      </c>
      <c r="R1629" s="16" t="n">
        <f aca="false">IF(K1629&gt;0,Q1629,R1607)</f>
        <v>46481</v>
      </c>
      <c r="S1629" s="15" t="s">
        <v>5171</v>
      </c>
    </row>
    <row r="1630" customFormat="false" ht="15" hidden="false" customHeight="false" outlineLevel="0" collapsed="false">
      <c r="A1630" s="15" t="s">
        <v>5201</v>
      </c>
      <c r="B1630" s="15" t="s">
        <v>5191</v>
      </c>
      <c r="C1630" s="15" t="s">
        <v>403</v>
      </c>
      <c r="D1630" s="15" t="s">
        <v>1460</v>
      </c>
      <c r="E1630" s="15" t="s">
        <v>1493</v>
      </c>
      <c r="F1630" s="15" t="s">
        <v>3025</v>
      </c>
      <c r="G1630" s="15" t="s">
        <v>3026</v>
      </c>
      <c r="H1630" s="33" t="n">
        <f aca="false">Packages!$O$153</f>
        <v>44.343103822958</v>
      </c>
      <c r="I1630" s="15" t="s">
        <v>118</v>
      </c>
      <c r="J1630" s="34" t="n">
        <f aca="false">MAX(1,ROUNDUP(Packages!$O$153/(IF(Packages!$N$153&gt;=PIPE_T1,R_PIPE_L,IF(Packages!$N$153&gt;=PIPE_T2,R_PIPE_M,R_PIPE_S))*Fronts!$L$11)+Packages!$M$153*FIT_D+IF(Packages!$G$153&lt;&gt;"Run",TIE_D,0),0))</f>
        <v>4</v>
      </c>
      <c r="K1630" s="34" t="n">
        <f aca="false">IF(J1630=0,0,ROUNDUP(J1630*7/WD,0))</f>
        <v>5</v>
      </c>
      <c r="L1630" s="15" t="s">
        <v>5200</v>
      </c>
      <c r="M1630" s="34" t="n">
        <f aca="false">ROUNDUP(K1629*LADDER,0)</f>
        <v>3</v>
      </c>
      <c r="N1630" s="34" t="n">
        <f aca="false">IF(K1630=0,0,FFLAG)</f>
        <v>2</v>
      </c>
      <c r="O1630" s="15"/>
      <c r="P1630" s="16" t="n">
        <f aca="false">MAX(P1629+M1630,R1608)</f>
        <v>46475</v>
      </c>
      <c r="Q1630" s="16" t="n">
        <f aca="false">MAX(P1630+K1630,Q1629+N1630)</f>
        <v>46483</v>
      </c>
      <c r="R1630" s="16" t="n">
        <f aca="false">IF(K1630&gt;0,Q1630,R1608)</f>
        <v>46483</v>
      </c>
      <c r="S1630" s="15" t="s">
        <v>5172</v>
      </c>
    </row>
    <row r="1631" customFormat="false" ht="15" hidden="false" customHeight="false" outlineLevel="0" collapsed="false">
      <c r="A1631" s="15" t="s">
        <v>5202</v>
      </c>
      <c r="B1631" s="15" t="s">
        <v>5191</v>
      </c>
      <c r="C1631" s="15" t="s">
        <v>403</v>
      </c>
      <c r="D1631" s="15" t="s">
        <v>1460</v>
      </c>
      <c r="E1631" s="15" t="s">
        <v>1493</v>
      </c>
      <c r="F1631" s="15" t="s">
        <v>3028</v>
      </c>
      <c r="G1631" s="15" t="s">
        <v>3029</v>
      </c>
      <c r="H1631" s="33" t="n">
        <f aca="false">Packages!$O$153</f>
        <v>44.343103822958</v>
      </c>
      <c r="I1631" s="15" t="s">
        <v>118</v>
      </c>
      <c r="J1631" s="34" t="n">
        <f aca="false">TEST_D+ROUNDUP(Packages!$O$153/R_TEST,0)</f>
        <v>3</v>
      </c>
      <c r="K1631" s="34" t="n">
        <f aca="false">IF(J1631=0,0,ROUNDUP(J1631*7/WD,0))</f>
        <v>4</v>
      </c>
      <c r="L1631" s="15" t="s">
        <v>5201</v>
      </c>
      <c r="M1631" s="34" t="n">
        <f aca="false">ROUNDUP(K1630*LADDER,0)</f>
        <v>2</v>
      </c>
      <c r="N1631" s="34" t="n">
        <f aca="false">IF(K1631=0,0,FFLAG)</f>
        <v>2</v>
      </c>
      <c r="O1631" s="15"/>
      <c r="P1631" s="16" t="n">
        <f aca="false">MAX(P1630+M1631)</f>
        <v>46477</v>
      </c>
      <c r="Q1631" s="16" t="n">
        <f aca="false">MAX(P1631+K1631,Q1630+N1631)</f>
        <v>46485</v>
      </c>
      <c r="R1631" s="12"/>
      <c r="S1631" s="12"/>
    </row>
    <row r="1632" customFormat="false" ht="15" hidden="false" customHeight="false" outlineLevel="0" collapsed="false">
      <c r="A1632" s="15" t="s">
        <v>5203</v>
      </c>
      <c r="B1632" s="15" t="s">
        <v>5191</v>
      </c>
      <c r="C1632" s="15" t="s">
        <v>403</v>
      </c>
      <c r="D1632" s="15" t="s">
        <v>1460</v>
      </c>
      <c r="E1632" s="15" t="s">
        <v>1493</v>
      </c>
      <c r="F1632" s="15" t="s">
        <v>3031</v>
      </c>
      <c r="G1632" s="15" t="s">
        <v>3032</v>
      </c>
      <c r="H1632" s="33" t="n">
        <f aca="false">Packages!$AB$153</f>
        <v>723.194900552424</v>
      </c>
      <c r="I1632" s="15" t="s">
        <v>3019</v>
      </c>
      <c r="J1632" s="34" t="n">
        <f aca="false">MAX(1,ROUNDUP(Packages!$AB$153/(R_BF*Fronts!$M$11),0))</f>
        <v>3</v>
      </c>
      <c r="K1632" s="34" t="n">
        <f aca="false">IF(J1632=0,0,ROUNDUP(J1632*7/WD,0))</f>
        <v>4</v>
      </c>
      <c r="L1632" s="15" t="s">
        <v>5202</v>
      </c>
      <c r="M1632" s="34" t="n">
        <f aca="false">ROUNDUP(K1631*LADDER,0)</f>
        <v>2</v>
      </c>
      <c r="N1632" s="34" t="n">
        <f aca="false">IF(K1632=0,0,FFLAG)</f>
        <v>2</v>
      </c>
      <c r="O1632" s="15" t="s">
        <v>5204</v>
      </c>
      <c r="P1632" s="16" t="n">
        <f aca="false">MAX(P1631+M1632,R1610,Q1619,Q1663,Q1652,Q1641)</f>
        <v>46500</v>
      </c>
      <c r="Q1632" s="16" t="n">
        <f aca="false">MAX(P1632+K1632,Q1631+N1632)</f>
        <v>46504</v>
      </c>
      <c r="R1632" s="16" t="n">
        <f aca="false">IF(K1632&gt;0,Q1632,R1610)</f>
        <v>46504</v>
      </c>
      <c r="S1632" s="15" t="s">
        <v>5174</v>
      </c>
    </row>
    <row r="1633" customFormat="false" ht="15" hidden="false" customHeight="false" outlineLevel="0" collapsed="false">
      <c r="A1633" s="15" t="s">
        <v>5205</v>
      </c>
      <c r="B1633" s="15" t="s">
        <v>5191</v>
      </c>
      <c r="C1633" s="15" t="s">
        <v>403</v>
      </c>
      <c r="D1633" s="15" t="s">
        <v>1460</v>
      </c>
      <c r="E1633" s="15" t="s">
        <v>1493</v>
      </c>
      <c r="F1633" s="15" t="s">
        <v>3034</v>
      </c>
      <c r="G1633" s="15" t="s">
        <v>3035</v>
      </c>
      <c r="H1633" s="33" t="n">
        <f aca="false">Packages!$AD$153</f>
        <v>88.686207645916</v>
      </c>
      <c r="I1633" s="15" t="s">
        <v>3012</v>
      </c>
      <c r="J1633" s="34" t="n">
        <f aca="false">IF(Packages!$AD$153&gt;0,ROUNDUP(Packages!$AD$153/R_EXT,0),0)+IF(Packages!$AG$153&gt;0,1,0)</f>
        <v>3</v>
      </c>
      <c r="K1633" s="34" t="n">
        <f aca="false">IF(J1633=0,0,ROUNDUP(J1633*7/WD,0))</f>
        <v>4</v>
      </c>
      <c r="L1633" s="15" t="s">
        <v>5203</v>
      </c>
      <c r="M1633" s="34" t="n">
        <f aca="false">ROUNDUP(K1632*LADDER,0)</f>
        <v>2</v>
      </c>
      <c r="N1633" s="34" t="n">
        <f aca="false">IF(K1633=0,0,FFLAG)</f>
        <v>2</v>
      </c>
      <c r="O1633" s="15"/>
      <c r="P1633" s="16" t="n">
        <f aca="false">MAX(P1632+M1633)</f>
        <v>46502</v>
      </c>
      <c r="Q1633" s="16" t="n">
        <f aca="false">MAX(P1633+K1633,Q1632+N1633)</f>
        <v>46506</v>
      </c>
      <c r="R1633" s="12"/>
      <c r="S1633" s="12"/>
    </row>
    <row r="1634" customFormat="false" ht="15" hidden="false" customHeight="false" outlineLevel="0" collapsed="false">
      <c r="A1634" s="15" t="s">
        <v>5206</v>
      </c>
      <c r="B1634" s="15" t="s">
        <v>5207</v>
      </c>
      <c r="C1634" s="15" t="s">
        <v>403</v>
      </c>
      <c r="D1634" s="15" t="s">
        <v>2066</v>
      </c>
      <c r="E1634" s="15" t="s">
        <v>2074</v>
      </c>
      <c r="F1634" s="15" t="s">
        <v>2998</v>
      </c>
      <c r="G1634" s="15" t="s">
        <v>2999</v>
      </c>
      <c r="H1634" s="12"/>
      <c r="I1634" s="12"/>
      <c r="J1634" s="34" t="n">
        <f aca="false">0</f>
        <v>0</v>
      </c>
      <c r="K1634" s="34" t="n">
        <f aca="false">IF(J1634=0,0,ROUNDUP(J1634*7/WD,0))</f>
        <v>0</v>
      </c>
      <c r="L1634" s="12"/>
      <c r="M1634" s="12"/>
      <c r="N1634" s="12"/>
      <c r="O1634" s="15" t="s">
        <v>3000</v>
      </c>
      <c r="P1634" s="16" t="n">
        <f aca="false">MAX(START,D_DLU,Packages!$I$154,Packages!$K$154)</f>
        <v>46357</v>
      </c>
      <c r="Q1634" s="16" t="n">
        <f aca="false">P1634+K1634</f>
        <v>46357</v>
      </c>
      <c r="R1634" s="12"/>
      <c r="S1634" s="12"/>
    </row>
    <row r="1635" customFormat="false" ht="15" hidden="false" customHeight="false" outlineLevel="0" collapsed="false">
      <c r="A1635" s="15" t="s">
        <v>5208</v>
      </c>
      <c r="B1635" s="15" t="s">
        <v>5207</v>
      </c>
      <c r="C1635" s="15" t="s">
        <v>403</v>
      </c>
      <c r="D1635" s="15" t="s">
        <v>2066</v>
      </c>
      <c r="E1635" s="15" t="s">
        <v>2074</v>
      </c>
      <c r="F1635" s="15" t="s">
        <v>3002</v>
      </c>
      <c r="G1635" s="15" t="s">
        <v>205</v>
      </c>
      <c r="H1635" s="33" t="n">
        <f aca="false">Packages!$O$154</f>
        <v>20.0000000000084</v>
      </c>
      <c r="I1635" s="15" t="s">
        <v>118</v>
      </c>
      <c r="J1635" s="34" t="n">
        <f aca="false">MAX(1,ROUNDUP(Packages!$O$154/R_PLAT,0))</f>
        <v>1</v>
      </c>
      <c r="K1635" s="34" t="n">
        <f aca="false">IF(J1635=0,0,ROUNDUP(J1635*7/WD,0))</f>
        <v>2</v>
      </c>
      <c r="L1635" s="15" t="s">
        <v>5206</v>
      </c>
      <c r="M1635" s="12"/>
      <c r="N1635" s="12"/>
      <c r="O1635" s="15" t="s">
        <v>5209</v>
      </c>
      <c r="P1635" s="16" t="n">
        <f aca="false">MAX(Q1634,P1625)</f>
        <v>46416</v>
      </c>
      <c r="Q1635" s="16" t="n">
        <f aca="false">P1635+K1635</f>
        <v>46418</v>
      </c>
      <c r="R1635" s="12"/>
      <c r="S1635" s="12"/>
    </row>
    <row r="1636" customFormat="false" ht="15" hidden="false" customHeight="false" outlineLevel="0" collapsed="false">
      <c r="A1636" s="15" t="s">
        <v>5210</v>
      </c>
      <c r="B1636" s="15" t="s">
        <v>5207</v>
      </c>
      <c r="C1636" s="15" t="s">
        <v>403</v>
      </c>
      <c r="D1636" s="15" t="s">
        <v>2066</v>
      </c>
      <c r="E1636" s="15" t="s">
        <v>2074</v>
      </c>
      <c r="F1636" s="15" t="s">
        <v>3005</v>
      </c>
      <c r="G1636" s="15" t="s">
        <v>3006</v>
      </c>
      <c r="H1636" s="33" t="n">
        <f aca="false">Packages!$AC$154</f>
        <v>8</v>
      </c>
      <c r="I1636" s="15" t="s">
        <v>3007</v>
      </c>
      <c r="J1636" s="34" t="n">
        <f aca="false">IF(Packages!$AC$154=0,0,MAX(1,ROUNDUP(Packages!$AC$154/(R_PILE*Fronts!$H$11),0)))</f>
        <v>2</v>
      </c>
      <c r="K1636" s="34" t="n">
        <f aca="false">IF(J1636=0,0,ROUNDUP(J1636*7/WD,0))</f>
        <v>3</v>
      </c>
      <c r="L1636" s="15" t="s">
        <v>5208</v>
      </c>
      <c r="M1636" s="34" t="n">
        <f aca="false">ROUNDUP(K1635*LADDER,0)</f>
        <v>1</v>
      </c>
      <c r="N1636" s="34" t="n">
        <f aca="false">IF(K1636=0,0,FFLAG)</f>
        <v>2</v>
      </c>
      <c r="O1636" s="15" t="s">
        <v>3008</v>
      </c>
      <c r="P1636" s="16" t="n">
        <f aca="false">MAX(P1635+M1636,D_PILEDES,R1625)</f>
        <v>46425</v>
      </c>
      <c r="Q1636" s="16" t="n">
        <f aca="false">MAX(P1636+K1636,Q1635+N1636)</f>
        <v>46428</v>
      </c>
      <c r="R1636" s="16" t="n">
        <f aca="false">IF(K1636&gt;0,Q1636,R1625)</f>
        <v>46428</v>
      </c>
      <c r="S1636" s="15" t="s">
        <v>5194</v>
      </c>
    </row>
    <row r="1637" customFormat="false" ht="15" hidden="false" customHeight="false" outlineLevel="0" collapsed="false">
      <c r="A1637" s="15" t="s">
        <v>5211</v>
      </c>
      <c r="B1637" s="15" t="s">
        <v>5207</v>
      </c>
      <c r="C1637" s="15" t="s">
        <v>403</v>
      </c>
      <c r="D1637" s="15" t="s">
        <v>2066</v>
      </c>
      <c r="E1637" s="15" t="s">
        <v>2074</v>
      </c>
      <c r="F1637" s="15" t="s">
        <v>3010</v>
      </c>
      <c r="G1637" s="15" t="s">
        <v>3011</v>
      </c>
      <c r="H1637" s="33" t="n">
        <f aca="false">Packages!$AD$154</f>
        <v>40.0000000000167</v>
      </c>
      <c r="I1637" s="15" t="s">
        <v>3012</v>
      </c>
      <c r="J1637" s="34" t="n">
        <f aca="false">IF(Packages!$AD$154=0,0,MAX(1,ROUNDUP(Packages!$AD$154/(R_SHEET*Fronts!$I$11),0)))</f>
        <v>2</v>
      </c>
      <c r="K1637" s="34" t="n">
        <f aca="false">IF(J1637=0,0,ROUNDUP(J1637*7/WD,0))</f>
        <v>3</v>
      </c>
      <c r="L1637" s="15" t="s">
        <v>5210</v>
      </c>
      <c r="M1637" s="34" t="n">
        <f aca="false">ROUNDUP(K1636*LADDER,0)</f>
        <v>1</v>
      </c>
      <c r="N1637" s="34" t="n">
        <f aca="false">IF(K1637=0,0,FFLAG)</f>
        <v>2</v>
      </c>
      <c r="O1637" s="15"/>
      <c r="P1637" s="16" t="n">
        <f aca="false">MAX(P1636+M1637,R1626)</f>
        <v>46427</v>
      </c>
      <c r="Q1637" s="16" t="n">
        <f aca="false">MAX(P1637+K1637,Q1636+N1637)</f>
        <v>46430</v>
      </c>
      <c r="R1637" s="16" t="n">
        <f aca="false">IF(K1637&gt;0,Q1637,R1626)</f>
        <v>46430</v>
      </c>
      <c r="S1637" s="15" t="s">
        <v>5195</v>
      </c>
    </row>
    <row r="1638" customFormat="false" ht="15" hidden="false" customHeight="false" outlineLevel="0" collapsed="false">
      <c r="A1638" s="15" t="s">
        <v>5212</v>
      </c>
      <c r="B1638" s="15" t="s">
        <v>5207</v>
      </c>
      <c r="C1638" s="15" t="s">
        <v>403</v>
      </c>
      <c r="D1638" s="15" t="s">
        <v>2066</v>
      </c>
      <c r="E1638" s="15" t="s">
        <v>2074</v>
      </c>
      <c r="F1638" s="15" t="s">
        <v>3014</v>
      </c>
      <c r="G1638" s="15" t="s">
        <v>3015</v>
      </c>
      <c r="H1638" s="33" t="n">
        <f aca="false">Packages!$O$154</f>
        <v>20.0000000000084</v>
      </c>
      <c r="I1638" s="15" t="s">
        <v>118</v>
      </c>
      <c r="J1638" s="34" t="n">
        <f aca="false">IF(Packages!$AG$154=0,0,ROUNDUP(Packages!$O$154/R_DW,0)+DW_DRAW)</f>
        <v>8</v>
      </c>
      <c r="K1638" s="34" t="n">
        <f aca="false">IF(J1638=0,0,ROUNDUP(J1638*7/WD,0))</f>
        <v>10</v>
      </c>
      <c r="L1638" s="15" t="s">
        <v>5211</v>
      </c>
      <c r="M1638" s="34" t="n">
        <f aca="false">ROUNDUP(K1637*LADDER,0)</f>
        <v>1</v>
      </c>
      <c r="N1638" s="34" t="n">
        <f aca="false">IF(K1638=0,0,FFLAG)</f>
        <v>2</v>
      </c>
      <c r="O1638" s="15" t="s">
        <v>5213</v>
      </c>
      <c r="P1638" s="16" t="n">
        <f aca="false">MAX(P1637+M1638,Q1628-K1638)</f>
        <v>46460</v>
      </c>
      <c r="Q1638" s="16" t="n">
        <f aca="false">MAX(P1638+K1638,Q1637+N1638)</f>
        <v>46470</v>
      </c>
      <c r="R1638" s="12"/>
      <c r="S1638" s="12"/>
    </row>
    <row r="1639" customFormat="false" ht="15" hidden="false" customHeight="false" outlineLevel="0" collapsed="false">
      <c r="A1639" s="15" t="s">
        <v>5214</v>
      </c>
      <c r="B1639" s="15" t="s">
        <v>5207</v>
      </c>
      <c r="C1639" s="15" t="s">
        <v>403</v>
      </c>
      <c r="D1639" s="15" t="s">
        <v>2066</v>
      </c>
      <c r="E1639" s="15" t="s">
        <v>2074</v>
      </c>
      <c r="F1639" s="15" t="s">
        <v>3017</v>
      </c>
      <c r="G1639" s="15" t="s">
        <v>3018</v>
      </c>
      <c r="H1639" s="33" t="n">
        <f aca="false">Packages!$X$154+Packages!$Y$154</f>
        <v>230.124765607269</v>
      </c>
      <c r="I1639" s="15" t="s">
        <v>3019</v>
      </c>
      <c r="J1639" s="34" t="n">
        <f aca="false">MAX(1,ROUNDUP((Packages!$X$154/R_EXS+Packages!$Y$154/R_EXO)/Fronts!$J$11,0))</f>
        <v>1</v>
      </c>
      <c r="K1639" s="34" t="n">
        <f aca="false">IF(J1639=0,0,ROUNDUP(J1639*7/WD,0))</f>
        <v>2</v>
      </c>
      <c r="L1639" s="15" t="s">
        <v>5212</v>
      </c>
      <c r="M1639" s="34" t="n">
        <f aca="false">IF(K1638=0,0,ROUNDUP((K1638-ROUNDUP(DW_DRAW*7/WD,0))*LADDER,0)+ROUNDUP(DW_DRAW*7/WD,0))</f>
        <v>10</v>
      </c>
      <c r="N1639" s="34" t="n">
        <f aca="false">IF(K1639=0,0,FFLAG)</f>
        <v>2</v>
      </c>
      <c r="O1639" s="15" t="s">
        <v>5215</v>
      </c>
      <c r="P1639" s="16" t="n">
        <f aca="false">MAX(P1638+M1639,R1628,P1628,P1617)</f>
        <v>46470</v>
      </c>
      <c r="Q1639" s="16" t="n">
        <f aca="false">MAX(P1639+K1639,Q1638+N1639)</f>
        <v>46472</v>
      </c>
      <c r="R1639" s="16" t="n">
        <f aca="false">IF(K1639&gt;0,Q1639,R1628)</f>
        <v>46472</v>
      </c>
      <c r="S1639" s="15" t="s">
        <v>5198</v>
      </c>
    </row>
    <row r="1640" customFormat="false" ht="15" hidden="false" customHeight="false" outlineLevel="0" collapsed="false">
      <c r="A1640" s="15" t="s">
        <v>5216</v>
      </c>
      <c r="B1640" s="15" t="s">
        <v>5207</v>
      </c>
      <c r="C1640" s="15" t="s">
        <v>403</v>
      </c>
      <c r="D1640" s="15" t="s">
        <v>2066</v>
      </c>
      <c r="E1640" s="15" t="s">
        <v>2074</v>
      </c>
      <c r="F1640" s="15" t="s">
        <v>3022</v>
      </c>
      <c r="G1640" s="15" t="s">
        <v>3023</v>
      </c>
      <c r="H1640" s="33" t="n">
        <f aca="false">Packages!$O$154</f>
        <v>20.0000000000084</v>
      </c>
      <c r="I1640" s="15" t="s">
        <v>118</v>
      </c>
      <c r="J1640" s="34" t="n">
        <f aca="false">MAX(1,ROUNDUP(Packages!$O$154/(R_SLAB*Fronts!$K$11),0))+SLAB_CURE</f>
        <v>5</v>
      </c>
      <c r="K1640" s="34" t="n">
        <f aca="false">IF(J1640=0,0,ROUNDUP(J1640*7/WD,0))</f>
        <v>6</v>
      </c>
      <c r="L1640" s="15" t="s">
        <v>5214</v>
      </c>
      <c r="M1640" s="34" t="n">
        <f aca="false">ROUNDUP(K1639*LADDER,0)</f>
        <v>1</v>
      </c>
      <c r="N1640" s="34" t="n">
        <f aca="false">IF(K1640=0,0,FFLAG)</f>
        <v>2</v>
      </c>
      <c r="O1640" s="15"/>
      <c r="P1640" s="16" t="n">
        <f aca="false">MAX(P1639+M1640,R1629)</f>
        <v>46481</v>
      </c>
      <c r="Q1640" s="16" t="n">
        <f aca="false">MAX(P1640+K1640,Q1639+N1640)</f>
        <v>46487</v>
      </c>
      <c r="R1640" s="16" t="n">
        <f aca="false">IF(K1640&gt;0,Q1640,R1629)</f>
        <v>46487</v>
      </c>
      <c r="S1640" s="15" t="s">
        <v>5200</v>
      </c>
    </row>
    <row r="1641" customFormat="false" ht="15" hidden="false" customHeight="false" outlineLevel="0" collapsed="false">
      <c r="A1641" s="15" t="s">
        <v>5217</v>
      </c>
      <c r="B1641" s="15" t="s">
        <v>5207</v>
      </c>
      <c r="C1641" s="15" t="s">
        <v>403</v>
      </c>
      <c r="D1641" s="15" t="s">
        <v>2066</v>
      </c>
      <c r="E1641" s="15" t="s">
        <v>2074</v>
      </c>
      <c r="F1641" s="15" t="s">
        <v>3025</v>
      </c>
      <c r="G1641" s="15" t="s">
        <v>3026</v>
      </c>
      <c r="H1641" s="33" t="n">
        <f aca="false">Packages!$O$154</f>
        <v>20.0000000000084</v>
      </c>
      <c r="I1641" s="15" t="s">
        <v>118</v>
      </c>
      <c r="J1641" s="34" t="n">
        <f aca="false">MAX(1,ROUNDUP(Packages!$O$154/(IF(Packages!$N$154&gt;=PIPE_T1,R_PIPE_L,IF(Packages!$N$154&gt;=PIPE_T2,R_PIPE_M,R_PIPE_S))*Fronts!$L$11)+Packages!$M$154*FIT_D+IF(Packages!$G$154&lt;&gt;"Run",TIE_D,0),0))</f>
        <v>2</v>
      </c>
      <c r="K1641" s="34" t="n">
        <f aca="false">IF(J1641=0,0,ROUNDUP(J1641*7/WD,0))</f>
        <v>3</v>
      </c>
      <c r="L1641" s="15" t="s">
        <v>5216</v>
      </c>
      <c r="M1641" s="34" t="n">
        <f aca="false">ROUNDUP(K1640*LADDER,0)</f>
        <v>2</v>
      </c>
      <c r="N1641" s="34" t="n">
        <f aca="false">IF(K1641=0,0,FFLAG)</f>
        <v>2</v>
      </c>
      <c r="O1641" s="15"/>
      <c r="P1641" s="16" t="n">
        <f aca="false">MAX(P1640+M1641,R1630)</f>
        <v>46483</v>
      </c>
      <c r="Q1641" s="16" t="n">
        <f aca="false">MAX(P1641+K1641,Q1640+N1641)</f>
        <v>46489</v>
      </c>
      <c r="R1641" s="16" t="n">
        <f aca="false">IF(K1641&gt;0,Q1641,R1630)</f>
        <v>46489</v>
      </c>
      <c r="S1641" s="15" t="s">
        <v>5201</v>
      </c>
    </row>
    <row r="1642" customFormat="false" ht="15" hidden="false" customHeight="false" outlineLevel="0" collapsed="false">
      <c r="A1642" s="15" t="s">
        <v>5218</v>
      </c>
      <c r="B1642" s="15" t="s">
        <v>5207</v>
      </c>
      <c r="C1642" s="15" t="s">
        <v>403</v>
      </c>
      <c r="D1642" s="15" t="s">
        <v>2066</v>
      </c>
      <c r="E1642" s="15" t="s">
        <v>2074</v>
      </c>
      <c r="F1642" s="15" t="s">
        <v>3028</v>
      </c>
      <c r="G1642" s="15" t="s">
        <v>3029</v>
      </c>
      <c r="H1642" s="33" t="n">
        <f aca="false">Packages!$O$154</f>
        <v>20.0000000000084</v>
      </c>
      <c r="I1642" s="15" t="s">
        <v>118</v>
      </c>
      <c r="J1642" s="34" t="n">
        <f aca="false">TEST_D+ROUNDUP(Packages!$O$154/R_TEST,0)</f>
        <v>3</v>
      </c>
      <c r="K1642" s="34" t="n">
        <f aca="false">IF(J1642=0,0,ROUNDUP(J1642*7/WD,0))</f>
        <v>4</v>
      </c>
      <c r="L1642" s="15" t="s">
        <v>5217</v>
      </c>
      <c r="M1642" s="34" t="n">
        <f aca="false">ROUNDUP(K1641*LADDER,0)</f>
        <v>1</v>
      </c>
      <c r="N1642" s="34" t="n">
        <f aca="false">IF(K1642=0,0,FFLAG)</f>
        <v>2</v>
      </c>
      <c r="O1642" s="15"/>
      <c r="P1642" s="16" t="n">
        <f aca="false">MAX(P1641+M1642)</f>
        <v>46484</v>
      </c>
      <c r="Q1642" s="16" t="n">
        <f aca="false">MAX(P1642+K1642,Q1641+N1642)</f>
        <v>46491</v>
      </c>
      <c r="R1642" s="12"/>
      <c r="S1642" s="12"/>
    </row>
    <row r="1643" customFormat="false" ht="15" hidden="false" customHeight="false" outlineLevel="0" collapsed="false">
      <c r="A1643" s="15" t="s">
        <v>5219</v>
      </c>
      <c r="B1643" s="15" t="s">
        <v>5207</v>
      </c>
      <c r="C1643" s="15" t="s">
        <v>403</v>
      </c>
      <c r="D1643" s="15" t="s">
        <v>2066</v>
      </c>
      <c r="E1643" s="15" t="s">
        <v>2074</v>
      </c>
      <c r="F1643" s="15" t="s">
        <v>3031</v>
      </c>
      <c r="G1643" s="15" t="s">
        <v>3032</v>
      </c>
      <c r="H1643" s="33" t="n">
        <f aca="false">Packages!$AB$154</f>
        <v>207.590336348493</v>
      </c>
      <c r="I1643" s="15" t="s">
        <v>3019</v>
      </c>
      <c r="J1643" s="34" t="n">
        <f aca="false">MAX(1,ROUNDUP(Packages!$AB$154/(R_BF*Fronts!$M$11),0))</f>
        <v>1</v>
      </c>
      <c r="K1643" s="34" t="n">
        <f aca="false">IF(J1643=0,0,ROUNDUP(J1643*7/WD,0))</f>
        <v>2</v>
      </c>
      <c r="L1643" s="15" t="s">
        <v>5218</v>
      </c>
      <c r="M1643" s="34" t="n">
        <f aca="false">ROUNDUP(K1642*LADDER,0)</f>
        <v>2</v>
      </c>
      <c r="N1643" s="34" t="n">
        <f aca="false">IF(K1643=0,0,FFLAG)</f>
        <v>2</v>
      </c>
      <c r="O1643" s="15" t="s">
        <v>5220</v>
      </c>
      <c r="P1643" s="16" t="n">
        <f aca="false">MAX(P1642+M1643,R1632,Q1630,Q1619)</f>
        <v>46504</v>
      </c>
      <c r="Q1643" s="16" t="n">
        <f aca="false">MAX(P1643+K1643,Q1642+N1643)</f>
        <v>46506</v>
      </c>
      <c r="R1643" s="16" t="n">
        <f aca="false">IF(K1643&gt;0,Q1643,R1632)</f>
        <v>46506</v>
      </c>
      <c r="S1643" s="15" t="s">
        <v>5203</v>
      </c>
    </row>
    <row r="1644" customFormat="false" ht="15" hidden="false" customHeight="false" outlineLevel="0" collapsed="false">
      <c r="A1644" s="15" t="s">
        <v>5221</v>
      </c>
      <c r="B1644" s="15" t="s">
        <v>5207</v>
      </c>
      <c r="C1644" s="15" t="s">
        <v>403</v>
      </c>
      <c r="D1644" s="15" t="s">
        <v>2066</v>
      </c>
      <c r="E1644" s="15" t="s">
        <v>2074</v>
      </c>
      <c r="F1644" s="15" t="s">
        <v>3034</v>
      </c>
      <c r="G1644" s="15" t="s">
        <v>3035</v>
      </c>
      <c r="H1644" s="33" t="n">
        <f aca="false">Packages!$AD$154</f>
        <v>40.0000000000167</v>
      </c>
      <c r="I1644" s="15" t="s">
        <v>3012</v>
      </c>
      <c r="J1644" s="34" t="n">
        <f aca="false">IF(Packages!$AD$154&gt;0,ROUNDUP(Packages!$AD$154/R_EXT,0),0)+IF(Packages!$AG$154&gt;0,1,0)</f>
        <v>2</v>
      </c>
      <c r="K1644" s="34" t="n">
        <f aca="false">IF(J1644=0,0,ROUNDUP(J1644*7/WD,0))</f>
        <v>3</v>
      </c>
      <c r="L1644" s="15" t="s">
        <v>5219</v>
      </c>
      <c r="M1644" s="34" t="n">
        <f aca="false">ROUNDUP(K1643*LADDER,0)</f>
        <v>1</v>
      </c>
      <c r="N1644" s="34" t="n">
        <f aca="false">IF(K1644=0,0,FFLAG)</f>
        <v>2</v>
      </c>
      <c r="O1644" s="15"/>
      <c r="P1644" s="16" t="n">
        <f aca="false">MAX(P1643+M1644)</f>
        <v>46505</v>
      </c>
      <c r="Q1644" s="16" t="n">
        <f aca="false">MAX(P1644+K1644,Q1643+N1644)</f>
        <v>46508</v>
      </c>
      <c r="R1644" s="12"/>
      <c r="S1644" s="12"/>
    </row>
    <row r="1645" customFormat="false" ht="15" hidden="false" customHeight="false" outlineLevel="0" collapsed="false">
      <c r="A1645" s="15" t="s">
        <v>5222</v>
      </c>
      <c r="B1645" s="15" t="s">
        <v>5223</v>
      </c>
      <c r="C1645" s="15" t="s">
        <v>403</v>
      </c>
      <c r="D1645" s="15" t="s">
        <v>2066</v>
      </c>
      <c r="E1645" s="15" t="s">
        <v>2072</v>
      </c>
      <c r="F1645" s="15" t="s">
        <v>2998</v>
      </c>
      <c r="G1645" s="15" t="s">
        <v>2999</v>
      </c>
      <c r="H1645" s="12"/>
      <c r="I1645" s="12"/>
      <c r="J1645" s="34" t="n">
        <f aca="false">0</f>
        <v>0</v>
      </c>
      <c r="K1645" s="34" t="n">
        <f aca="false">IF(J1645=0,0,ROUNDUP(J1645*7/WD,0))</f>
        <v>0</v>
      </c>
      <c r="L1645" s="12"/>
      <c r="M1645" s="12"/>
      <c r="N1645" s="12"/>
      <c r="O1645" s="15" t="s">
        <v>3000</v>
      </c>
      <c r="P1645" s="16" t="n">
        <f aca="false">MAX(START,D_DLU,Packages!$I$155,Packages!$K$155)</f>
        <v>46357</v>
      </c>
      <c r="Q1645" s="16" t="n">
        <f aca="false">P1645+K1645</f>
        <v>46357</v>
      </c>
      <c r="R1645" s="12"/>
      <c r="S1645" s="12"/>
    </row>
    <row r="1646" customFormat="false" ht="15" hidden="false" customHeight="false" outlineLevel="0" collapsed="false">
      <c r="A1646" s="15" t="s">
        <v>5224</v>
      </c>
      <c r="B1646" s="15" t="s">
        <v>5223</v>
      </c>
      <c r="C1646" s="15" t="s">
        <v>403</v>
      </c>
      <c r="D1646" s="15" t="s">
        <v>2066</v>
      </c>
      <c r="E1646" s="15" t="s">
        <v>2072</v>
      </c>
      <c r="F1646" s="15" t="s">
        <v>3002</v>
      </c>
      <c r="G1646" s="15" t="s">
        <v>205</v>
      </c>
      <c r="H1646" s="33" t="n">
        <f aca="false">Packages!$O$155</f>
        <v>3.61328925608225</v>
      </c>
      <c r="I1646" s="15" t="s">
        <v>118</v>
      </c>
      <c r="J1646" s="34" t="n">
        <f aca="false">MAX(1,ROUNDUP(Packages!$O$155/R_PLAT,0))</f>
        <v>1</v>
      </c>
      <c r="K1646" s="34" t="n">
        <f aca="false">IF(J1646=0,0,ROUNDUP(J1646*7/WD,0))</f>
        <v>2</v>
      </c>
      <c r="L1646" s="15" t="s">
        <v>5222</v>
      </c>
      <c r="M1646" s="12"/>
      <c r="N1646" s="12"/>
      <c r="O1646" s="15" t="s">
        <v>5225</v>
      </c>
      <c r="P1646" s="16" t="n">
        <f aca="false">MAX(Q1645,P1636)</f>
        <v>46425</v>
      </c>
      <c r="Q1646" s="16" t="n">
        <f aca="false">P1646+K1646</f>
        <v>46427</v>
      </c>
      <c r="R1646" s="12"/>
      <c r="S1646" s="12"/>
    </row>
    <row r="1647" customFormat="false" ht="15" hidden="false" customHeight="false" outlineLevel="0" collapsed="false">
      <c r="A1647" s="15" t="s">
        <v>5226</v>
      </c>
      <c r="B1647" s="15" t="s">
        <v>5223</v>
      </c>
      <c r="C1647" s="15" t="s">
        <v>403</v>
      </c>
      <c r="D1647" s="15" t="s">
        <v>2066</v>
      </c>
      <c r="E1647" s="15" t="s">
        <v>2072</v>
      </c>
      <c r="F1647" s="15" t="s">
        <v>3005</v>
      </c>
      <c r="G1647" s="15" t="s">
        <v>3006</v>
      </c>
      <c r="H1647" s="33" t="n">
        <f aca="false">Packages!$AC$155</f>
        <v>3</v>
      </c>
      <c r="I1647" s="15" t="s">
        <v>3007</v>
      </c>
      <c r="J1647" s="34" t="n">
        <f aca="false">IF(Packages!$AC$155=0,0,MAX(1,ROUNDUP(Packages!$AC$155/(R_PILE*Fronts!$H$11),0)))</f>
        <v>1</v>
      </c>
      <c r="K1647" s="34" t="n">
        <f aca="false">IF(J1647=0,0,ROUNDUP(J1647*7/WD,0))</f>
        <v>2</v>
      </c>
      <c r="L1647" s="15" t="s">
        <v>5224</v>
      </c>
      <c r="M1647" s="34" t="n">
        <f aca="false">ROUNDUP(K1646*LADDER,0)</f>
        <v>1</v>
      </c>
      <c r="N1647" s="34" t="n">
        <f aca="false">IF(K1647=0,0,FFLAG)</f>
        <v>2</v>
      </c>
      <c r="O1647" s="15" t="s">
        <v>3008</v>
      </c>
      <c r="P1647" s="16" t="n">
        <f aca="false">MAX(P1646+M1647,D_PILEDES,R1636)</f>
        <v>46428</v>
      </c>
      <c r="Q1647" s="16" t="n">
        <f aca="false">MAX(P1647+K1647,Q1646+N1647)</f>
        <v>46430</v>
      </c>
      <c r="R1647" s="16" t="n">
        <f aca="false">IF(K1647&gt;0,Q1647,R1636)</f>
        <v>46430</v>
      </c>
      <c r="S1647" s="15" t="s">
        <v>5210</v>
      </c>
    </row>
    <row r="1648" customFormat="false" ht="15" hidden="false" customHeight="false" outlineLevel="0" collapsed="false">
      <c r="A1648" s="15" t="s">
        <v>5227</v>
      </c>
      <c r="B1648" s="15" t="s">
        <v>5223</v>
      </c>
      <c r="C1648" s="15" t="s">
        <v>403</v>
      </c>
      <c r="D1648" s="15" t="s">
        <v>2066</v>
      </c>
      <c r="E1648" s="15" t="s">
        <v>2072</v>
      </c>
      <c r="F1648" s="15" t="s">
        <v>3010</v>
      </c>
      <c r="G1648" s="15" t="s">
        <v>3011</v>
      </c>
      <c r="H1648" s="33" t="n">
        <f aca="false">Packages!$AD$155</f>
        <v>7.22657851216451</v>
      </c>
      <c r="I1648" s="15" t="s">
        <v>3012</v>
      </c>
      <c r="J1648" s="34" t="n">
        <f aca="false">IF(Packages!$AD$155=0,0,MAX(1,ROUNDUP(Packages!$AD$155/(R_SHEET*Fronts!$I$11),0)))</f>
        <v>1</v>
      </c>
      <c r="K1648" s="34" t="n">
        <f aca="false">IF(J1648=0,0,ROUNDUP(J1648*7/WD,0))</f>
        <v>2</v>
      </c>
      <c r="L1648" s="15" t="s">
        <v>5226</v>
      </c>
      <c r="M1648" s="34" t="n">
        <f aca="false">ROUNDUP(K1647*LADDER,0)</f>
        <v>1</v>
      </c>
      <c r="N1648" s="34" t="n">
        <f aca="false">IF(K1648=0,0,FFLAG)</f>
        <v>2</v>
      </c>
      <c r="O1648" s="15"/>
      <c r="P1648" s="16" t="n">
        <f aca="false">MAX(P1647+M1648,R1637)</f>
        <v>46430</v>
      </c>
      <c r="Q1648" s="16" t="n">
        <f aca="false">MAX(P1648+K1648,Q1647+N1648)</f>
        <v>46432</v>
      </c>
      <c r="R1648" s="16" t="n">
        <f aca="false">IF(K1648&gt;0,Q1648,R1637)</f>
        <v>46432</v>
      </c>
      <c r="S1648" s="15" t="s">
        <v>5211</v>
      </c>
    </row>
    <row r="1649" customFormat="false" ht="15" hidden="false" customHeight="false" outlineLevel="0" collapsed="false">
      <c r="A1649" s="15" t="s">
        <v>5228</v>
      </c>
      <c r="B1649" s="15" t="s">
        <v>5223</v>
      </c>
      <c r="C1649" s="15" t="s">
        <v>403</v>
      </c>
      <c r="D1649" s="15" t="s">
        <v>2066</v>
      </c>
      <c r="E1649" s="15" t="s">
        <v>2072</v>
      </c>
      <c r="F1649" s="15" t="s">
        <v>3014</v>
      </c>
      <c r="G1649" s="15" t="s">
        <v>3015</v>
      </c>
      <c r="H1649" s="33" t="n">
        <f aca="false">Packages!$O$155</f>
        <v>3.61328925608225</v>
      </c>
      <c r="I1649" s="15" t="s">
        <v>118</v>
      </c>
      <c r="J1649" s="34" t="n">
        <f aca="false">IF(Packages!$AG$155=0,0,ROUNDUP(Packages!$O$155/R_DW,0)+DW_DRAW)</f>
        <v>8</v>
      </c>
      <c r="K1649" s="34" t="n">
        <f aca="false">IF(J1649=0,0,ROUNDUP(J1649*7/WD,0))</f>
        <v>10</v>
      </c>
      <c r="L1649" s="15" t="s">
        <v>5227</v>
      </c>
      <c r="M1649" s="34" t="n">
        <f aca="false">ROUNDUP(K1648*LADDER,0)</f>
        <v>1</v>
      </c>
      <c r="N1649" s="34" t="n">
        <f aca="false">IF(K1649=0,0,FFLAG)</f>
        <v>2</v>
      </c>
      <c r="O1649" s="15" t="s">
        <v>5229</v>
      </c>
      <c r="P1649" s="16" t="n">
        <f aca="false">MAX(P1648+M1649,Q1639-K1649)</f>
        <v>46462</v>
      </c>
      <c r="Q1649" s="16" t="n">
        <f aca="false">MAX(P1649+K1649,Q1648+N1649)</f>
        <v>46472</v>
      </c>
      <c r="R1649" s="12"/>
      <c r="S1649" s="12"/>
    </row>
    <row r="1650" customFormat="false" ht="15" hidden="false" customHeight="false" outlineLevel="0" collapsed="false">
      <c r="A1650" s="15" t="s">
        <v>5230</v>
      </c>
      <c r="B1650" s="15" t="s">
        <v>5223</v>
      </c>
      <c r="C1650" s="15" t="s">
        <v>403</v>
      </c>
      <c r="D1650" s="15" t="s">
        <v>2066</v>
      </c>
      <c r="E1650" s="15" t="s">
        <v>2072</v>
      </c>
      <c r="F1650" s="15" t="s">
        <v>3017</v>
      </c>
      <c r="G1650" s="15" t="s">
        <v>3018</v>
      </c>
      <c r="H1650" s="33" t="n">
        <f aca="false">Packages!$X$155+Packages!$Y$155</f>
        <v>41.5753211998191</v>
      </c>
      <c r="I1650" s="15" t="s">
        <v>3019</v>
      </c>
      <c r="J1650" s="34" t="n">
        <f aca="false">MAX(1,ROUNDUP((Packages!$X$155/R_EXS+Packages!$Y$155/R_EXO)/Fronts!$J$11,0))</f>
        <v>1</v>
      </c>
      <c r="K1650" s="34" t="n">
        <f aca="false">IF(J1650=0,0,ROUNDUP(J1650*7/WD,0))</f>
        <v>2</v>
      </c>
      <c r="L1650" s="15" t="s">
        <v>5228</v>
      </c>
      <c r="M1650" s="34" t="n">
        <f aca="false">IF(K1649=0,0,ROUNDUP((K1649-ROUNDUP(DW_DRAW*7/WD,0))*LADDER,0)+ROUNDUP(DW_DRAW*7/WD,0))</f>
        <v>10</v>
      </c>
      <c r="N1650" s="34" t="n">
        <f aca="false">IF(K1650=0,0,FFLAG)</f>
        <v>2</v>
      </c>
      <c r="O1650" s="15" t="s">
        <v>5215</v>
      </c>
      <c r="P1650" s="16" t="n">
        <f aca="false">MAX(P1649+M1650,R1639,P1628,P1617)</f>
        <v>46472</v>
      </c>
      <c r="Q1650" s="16" t="n">
        <f aca="false">MAX(P1650+K1650,Q1649+N1650)</f>
        <v>46474</v>
      </c>
      <c r="R1650" s="16" t="n">
        <f aca="false">IF(K1650&gt;0,Q1650,R1639)</f>
        <v>46474</v>
      </c>
      <c r="S1650" s="15" t="s">
        <v>5214</v>
      </c>
    </row>
    <row r="1651" customFormat="false" ht="15" hidden="false" customHeight="false" outlineLevel="0" collapsed="false">
      <c r="A1651" s="15" t="s">
        <v>5231</v>
      </c>
      <c r="B1651" s="15" t="s">
        <v>5223</v>
      </c>
      <c r="C1651" s="15" t="s">
        <v>403</v>
      </c>
      <c r="D1651" s="15" t="s">
        <v>2066</v>
      </c>
      <c r="E1651" s="15" t="s">
        <v>2072</v>
      </c>
      <c r="F1651" s="15" t="s">
        <v>3022</v>
      </c>
      <c r="G1651" s="15" t="s">
        <v>3023</v>
      </c>
      <c r="H1651" s="33" t="n">
        <f aca="false">Packages!$O$155</f>
        <v>3.61328925608225</v>
      </c>
      <c r="I1651" s="15" t="s">
        <v>118</v>
      </c>
      <c r="J1651" s="34" t="n">
        <f aca="false">MAX(1,ROUNDUP(Packages!$O$155/(R_SLAB*Fronts!$K$11),0))+SLAB_CURE</f>
        <v>4</v>
      </c>
      <c r="K1651" s="34" t="n">
        <f aca="false">IF(J1651=0,0,ROUNDUP(J1651*7/WD,0))</f>
        <v>5</v>
      </c>
      <c r="L1651" s="15" t="s">
        <v>5230</v>
      </c>
      <c r="M1651" s="34" t="n">
        <f aca="false">ROUNDUP(K1650*LADDER,0)</f>
        <v>1</v>
      </c>
      <c r="N1651" s="34" t="n">
        <f aca="false">IF(K1651=0,0,FFLAG)</f>
        <v>2</v>
      </c>
      <c r="O1651" s="15"/>
      <c r="P1651" s="16" t="n">
        <f aca="false">MAX(P1650+M1651,R1640)</f>
        <v>46487</v>
      </c>
      <c r="Q1651" s="16" t="n">
        <f aca="false">MAX(P1651+K1651,Q1650+N1651)</f>
        <v>46492</v>
      </c>
      <c r="R1651" s="16" t="n">
        <f aca="false">IF(K1651&gt;0,Q1651,R1640)</f>
        <v>46492</v>
      </c>
      <c r="S1651" s="15" t="s">
        <v>5216</v>
      </c>
    </row>
    <row r="1652" customFormat="false" ht="15" hidden="false" customHeight="false" outlineLevel="0" collapsed="false">
      <c r="A1652" s="15" t="s">
        <v>5232</v>
      </c>
      <c r="B1652" s="15" t="s">
        <v>5223</v>
      </c>
      <c r="C1652" s="15" t="s">
        <v>403</v>
      </c>
      <c r="D1652" s="15" t="s">
        <v>2066</v>
      </c>
      <c r="E1652" s="15" t="s">
        <v>2072</v>
      </c>
      <c r="F1652" s="15" t="s">
        <v>3025</v>
      </c>
      <c r="G1652" s="15" t="s">
        <v>3026</v>
      </c>
      <c r="H1652" s="33" t="n">
        <f aca="false">Packages!$O$155</f>
        <v>3.61328925608225</v>
      </c>
      <c r="I1652" s="15" t="s">
        <v>118</v>
      </c>
      <c r="J1652" s="34" t="n">
        <f aca="false">MAX(1,ROUNDUP(Packages!$O$155/(IF(Packages!$N$155&gt;=PIPE_T1,R_PIPE_L,IF(Packages!$N$155&gt;=PIPE_T2,R_PIPE_M,R_PIPE_S))*Fronts!$L$11)+Packages!$M$155*FIT_D+IF(Packages!$G$155&lt;&gt;"Run",TIE_D,0),0))</f>
        <v>1</v>
      </c>
      <c r="K1652" s="34" t="n">
        <f aca="false">IF(J1652=0,0,ROUNDUP(J1652*7/WD,0))</f>
        <v>2</v>
      </c>
      <c r="L1652" s="15" t="s">
        <v>5231</v>
      </c>
      <c r="M1652" s="34" t="n">
        <f aca="false">ROUNDUP(K1651*LADDER,0)</f>
        <v>2</v>
      </c>
      <c r="N1652" s="34" t="n">
        <f aca="false">IF(K1652=0,0,FFLAG)</f>
        <v>2</v>
      </c>
      <c r="O1652" s="15"/>
      <c r="P1652" s="16" t="n">
        <f aca="false">MAX(P1651+M1652,R1641)</f>
        <v>46489</v>
      </c>
      <c r="Q1652" s="16" t="n">
        <f aca="false">MAX(P1652+K1652,Q1651+N1652)</f>
        <v>46494</v>
      </c>
      <c r="R1652" s="16" t="n">
        <f aca="false">IF(K1652&gt;0,Q1652,R1641)</f>
        <v>46494</v>
      </c>
      <c r="S1652" s="15" t="s">
        <v>5217</v>
      </c>
    </row>
    <row r="1653" customFormat="false" ht="15" hidden="false" customHeight="false" outlineLevel="0" collapsed="false">
      <c r="A1653" s="15" t="s">
        <v>5233</v>
      </c>
      <c r="B1653" s="15" t="s">
        <v>5223</v>
      </c>
      <c r="C1653" s="15" t="s">
        <v>403</v>
      </c>
      <c r="D1653" s="15" t="s">
        <v>2066</v>
      </c>
      <c r="E1653" s="15" t="s">
        <v>2072</v>
      </c>
      <c r="F1653" s="15" t="s">
        <v>3028</v>
      </c>
      <c r="G1653" s="15" t="s">
        <v>3029</v>
      </c>
      <c r="H1653" s="33" t="n">
        <f aca="false">Packages!$O$155</f>
        <v>3.61328925608225</v>
      </c>
      <c r="I1653" s="15" t="s">
        <v>118</v>
      </c>
      <c r="J1653" s="34" t="n">
        <f aca="false">TEST_D+ROUNDUP(Packages!$O$155/R_TEST,0)</f>
        <v>3</v>
      </c>
      <c r="K1653" s="34" t="n">
        <f aca="false">IF(J1653=0,0,ROUNDUP(J1653*7/WD,0))</f>
        <v>4</v>
      </c>
      <c r="L1653" s="15" t="s">
        <v>5232</v>
      </c>
      <c r="M1653" s="34" t="n">
        <f aca="false">ROUNDUP(K1652*LADDER,0)</f>
        <v>1</v>
      </c>
      <c r="N1653" s="34" t="n">
        <f aca="false">IF(K1653=0,0,FFLAG)</f>
        <v>2</v>
      </c>
      <c r="O1653" s="15"/>
      <c r="P1653" s="16" t="n">
        <f aca="false">MAX(P1652+M1653)</f>
        <v>46490</v>
      </c>
      <c r="Q1653" s="16" t="n">
        <f aca="false">MAX(P1653+K1653,Q1652+N1653)</f>
        <v>46496</v>
      </c>
      <c r="R1653" s="12"/>
      <c r="S1653" s="12"/>
    </row>
    <row r="1654" customFormat="false" ht="15" hidden="false" customHeight="false" outlineLevel="0" collapsed="false">
      <c r="A1654" s="15" t="s">
        <v>5234</v>
      </c>
      <c r="B1654" s="15" t="s">
        <v>5223</v>
      </c>
      <c r="C1654" s="15" t="s">
        <v>403</v>
      </c>
      <c r="D1654" s="15" t="s">
        <v>2066</v>
      </c>
      <c r="E1654" s="15" t="s">
        <v>2072</v>
      </c>
      <c r="F1654" s="15" t="s">
        <v>3031</v>
      </c>
      <c r="G1654" s="15" t="s">
        <v>3032</v>
      </c>
      <c r="H1654" s="33" t="n">
        <f aca="false">Packages!$AB$155</f>
        <v>37.5041626742532</v>
      </c>
      <c r="I1654" s="15" t="s">
        <v>3019</v>
      </c>
      <c r="J1654" s="34" t="n">
        <f aca="false">MAX(1,ROUNDUP(Packages!$AB$155/(R_BF*Fronts!$M$11),0))</f>
        <v>1</v>
      </c>
      <c r="K1654" s="34" t="n">
        <f aca="false">IF(J1654=0,0,ROUNDUP(J1654*7/WD,0))</f>
        <v>2</v>
      </c>
      <c r="L1654" s="15" t="s">
        <v>5233</v>
      </c>
      <c r="M1654" s="34" t="n">
        <f aca="false">ROUNDUP(K1653*LADDER,0)</f>
        <v>2</v>
      </c>
      <c r="N1654" s="34" t="n">
        <f aca="false">IF(K1654=0,0,FFLAG)</f>
        <v>2</v>
      </c>
      <c r="O1654" s="15" t="s">
        <v>5220</v>
      </c>
      <c r="P1654" s="16" t="n">
        <f aca="false">MAX(P1653+M1654,R1643,Q1630,Q1619)</f>
        <v>46506</v>
      </c>
      <c r="Q1654" s="16" t="n">
        <f aca="false">MAX(P1654+K1654,Q1653+N1654)</f>
        <v>46508</v>
      </c>
      <c r="R1654" s="16" t="n">
        <f aca="false">IF(K1654&gt;0,Q1654,R1643)</f>
        <v>46508</v>
      </c>
      <c r="S1654" s="15" t="s">
        <v>5219</v>
      </c>
    </row>
    <row r="1655" customFormat="false" ht="15" hidden="false" customHeight="false" outlineLevel="0" collapsed="false">
      <c r="A1655" s="15" t="s">
        <v>5235</v>
      </c>
      <c r="B1655" s="15" t="s">
        <v>5223</v>
      </c>
      <c r="C1655" s="15" t="s">
        <v>403</v>
      </c>
      <c r="D1655" s="15" t="s">
        <v>2066</v>
      </c>
      <c r="E1655" s="15" t="s">
        <v>2072</v>
      </c>
      <c r="F1655" s="15" t="s">
        <v>3034</v>
      </c>
      <c r="G1655" s="15" t="s">
        <v>3035</v>
      </c>
      <c r="H1655" s="33" t="n">
        <f aca="false">Packages!$AD$155</f>
        <v>7.22657851216451</v>
      </c>
      <c r="I1655" s="15" t="s">
        <v>3012</v>
      </c>
      <c r="J1655" s="34" t="n">
        <f aca="false">IF(Packages!$AD$155&gt;0,ROUNDUP(Packages!$AD$155/R_EXT,0),0)+IF(Packages!$AG$155&gt;0,1,0)</f>
        <v>2</v>
      </c>
      <c r="K1655" s="34" t="n">
        <f aca="false">IF(J1655=0,0,ROUNDUP(J1655*7/WD,0))</f>
        <v>3</v>
      </c>
      <c r="L1655" s="15" t="s">
        <v>5234</v>
      </c>
      <c r="M1655" s="34" t="n">
        <f aca="false">ROUNDUP(K1654*LADDER,0)</f>
        <v>1</v>
      </c>
      <c r="N1655" s="34" t="n">
        <f aca="false">IF(K1655=0,0,FFLAG)</f>
        <v>2</v>
      </c>
      <c r="O1655" s="15"/>
      <c r="P1655" s="16" t="n">
        <f aca="false">MAX(P1654+M1655)</f>
        <v>46507</v>
      </c>
      <c r="Q1655" s="16" t="n">
        <f aca="false">MAX(P1655+K1655,Q1654+N1655)</f>
        <v>46510</v>
      </c>
      <c r="R1655" s="12"/>
      <c r="S1655" s="12"/>
    </row>
    <row r="1656" customFormat="false" ht="15" hidden="false" customHeight="false" outlineLevel="0" collapsed="false">
      <c r="A1656" s="15" t="s">
        <v>5236</v>
      </c>
      <c r="B1656" s="15" t="s">
        <v>5237</v>
      </c>
      <c r="C1656" s="15" t="s">
        <v>403</v>
      </c>
      <c r="D1656" s="15" t="s">
        <v>2066</v>
      </c>
      <c r="E1656" s="15" t="s">
        <v>2067</v>
      </c>
      <c r="F1656" s="15" t="s">
        <v>2998</v>
      </c>
      <c r="G1656" s="15" t="s">
        <v>2999</v>
      </c>
      <c r="H1656" s="12"/>
      <c r="I1656" s="12"/>
      <c r="J1656" s="34" t="n">
        <f aca="false">0</f>
        <v>0</v>
      </c>
      <c r="K1656" s="34" t="n">
        <f aca="false">IF(J1656=0,0,ROUNDUP(J1656*7/WD,0))</f>
        <v>0</v>
      </c>
      <c r="L1656" s="12"/>
      <c r="M1656" s="12"/>
      <c r="N1656" s="12"/>
      <c r="O1656" s="15" t="s">
        <v>3038</v>
      </c>
      <c r="P1656" s="16" t="n">
        <f aca="false">MAX(START,D_DLU,Packages!$I$156,Packages!$K$156)</f>
        <v>46357</v>
      </c>
      <c r="Q1656" s="16" t="n">
        <f aca="false">P1656+K1656</f>
        <v>46357</v>
      </c>
      <c r="R1656" s="12"/>
      <c r="S1656" s="12"/>
    </row>
    <row r="1657" customFormat="false" ht="15" hidden="false" customHeight="false" outlineLevel="0" collapsed="false">
      <c r="A1657" s="15" t="s">
        <v>5238</v>
      </c>
      <c r="B1657" s="15" t="s">
        <v>5237</v>
      </c>
      <c r="C1657" s="15" t="s">
        <v>403</v>
      </c>
      <c r="D1657" s="15" t="s">
        <v>2066</v>
      </c>
      <c r="E1657" s="15" t="s">
        <v>2067</v>
      </c>
      <c r="F1657" s="15" t="s">
        <v>3002</v>
      </c>
      <c r="G1657" s="15" t="s">
        <v>205</v>
      </c>
      <c r="H1657" s="33" t="n">
        <f aca="false">Packages!$O$156</f>
        <v>11.3867107444436</v>
      </c>
      <c r="I1657" s="15" t="s">
        <v>118</v>
      </c>
      <c r="J1657" s="34" t="n">
        <f aca="false">MAX(1,ROUNDUP(Packages!$O$156/R_PLAT,0))</f>
        <v>1</v>
      </c>
      <c r="K1657" s="34" t="n">
        <f aca="false">IF(J1657=0,0,ROUNDUP(J1657*7/WD,0))</f>
        <v>2</v>
      </c>
      <c r="L1657" s="15" t="s">
        <v>5236</v>
      </c>
      <c r="M1657" s="12"/>
      <c r="N1657" s="12"/>
      <c r="O1657" s="15" t="s">
        <v>5239</v>
      </c>
      <c r="P1657" s="16" t="n">
        <f aca="false">MAX(Q1656,P1647)</f>
        <v>46428</v>
      </c>
      <c r="Q1657" s="16" t="n">
        <f aca="false">P1657+K1657</f>
        <v>46430</v>
      </c>
      <c r="R1657" s="12"/>
      <c r="S1657" s="12"/>
    </row>
    <row r="1658" customFormat="false" ht="15" hidden="false" customHeight="false" outlineLevel="0" collapsed="false">
      <c r="A1658" s="15" t="s">
        <v>5240</v>
      </c>
      <c r="B1658" s="15" t="s">
        <v>5237</v>
      </c>
      <c r="C1658" s="15" t="s">
        <v>403</v>
      </c>
      <c r="D1658" s="15" t="s">
        <v>2066</v>
      </c>
      <c r="E1658" s="15" t="s">
        <v>2067</v>
      </c>
      <c r="F1658" s="15" t="s">
        <v>3005</v>
      </c>
      <c r="G1658" s="15" t="s">
        <v>3006</v>
      </c>
      <c r="H1658" s="33" t="n">
        <f aca="false">Packages!$AC$156</f>
        <v>5</v>
      </c>
      <c r="I1658" s="15" t="s">
        <v>3007</v>
      </c>
      <c r="J1658" s="34" t="n">
        <f aca="false">IF(Packages!$AC$156=0,0,MAX(1,ROUNDUP(Packages!$AC$156/(R_PILE*Fronts!$H$11),0)))</f>
        <v>1</v>
      </c>
      <c r="K1658" s="34" t="n">
        <f aca="false">IF(J1658=0,0,ROUNDUP(J1658*7/WD,0))</f>
        <v>2</v>
      </c>
      <c r="L1658" s="15" t="s">
        <v>5238</v>
      </c>
      <c r="M1658" s="34" t="n">
        <f aca="false">ROUNDUP(K1657*LADDER,0)</f>
        <v>1</v>
      </c>
      <c r="N1658" s="34" t="n">
        <f aca="false">IF(K1658=0,0,FFLAG)</f>
        <v>2</v>
      </c>
      <c r="O1658" s="15" t="s">
        <v>3008</v>
      </c>
      <c r="P1658" s="16" t="n">
        <f aca="false">MAX(P1657+M1658,D_PILEDES)</f>
        <v>46429</v>
      </c>
      <c r="Q1658" s="16" t="n">
        <f aca="false">MAX(P1658+K1658,Q1657+N1658)</f>
        <v>46432</v>
      </c>
      <c r="R1658" s="16" t="n">
        <f aca="false">IF(K1658&gt;0,Q1658,0)</f>
        <v>46432</v>
      </c>
      <c r="S1658" s="12"/>
    </row>
    <row r="1659" customFormat="false" ht="15" hidden="false" customHeight="false" outlineLevel="0" collapsed="false">
      <c r="A1659" s="15" t="s">
        <v>5241</v>
      </c>
      <c r="B1659" s="15" t="s">
        <v>5237</v>
      </c>
      <c r="C1659" s="15" t="s">
        <v>403</v>
      </c>
      <c r="D1659" s="15" t="s">
        <v>2066</v>
      </c>
      <c r="E1659" s="15" t="s">
        <v>2067</v>
      </c>
      <c r="F1659" s="15" t="s">
        <v>3010</v>
      </c>
      <c r="G1659" s="15" t="s">
        <v>3011</v>
      </c>
      <c r="H1659" s="33" t="n">
        <f aca="false">Packages!$AD$156</f>
        <v>22.7734214888871</v>
      </c>
      <c r="I1659" s="15" t="s">
        <v>3012</v>
      </c>
      <c r="J1659" s="34" t="n">
        <f aca="false">IF(Packages!$AD$156=0,0,MAX(1,ROUNDUP(Packages!$AD$156/(R_SHEET*Fronts!$I$11),0)))</f>
        <v>1</v>
      </c>
      <c r="K1659" s="34" t="n">
        <f aca="false">IF(J1659=0,0,ROUNDUP(J1659*7/WD,0))</f>
        <v>2</v>
      </c>
      <c r="L1659" s="15" t="s">
        <v>5240</v>
      </c>
      <c r="M1659" s="34" t="n">
        <f aca="false">ROUNDUP(K1658*LADDER,0)</f>
        <v>1</v>
      </c>
      <c r="N1659" s="34" t="n">
        <f aca="false">IF(K1659=0,0,FFLAG)</f>
        <v>2</v>
      </c>
      <c r="O1659" s="15"/>
      <c r="P1659" s="16" t="n">
        <f aca="false">MAX(P1658+M1659)</f>
        <v>46430</v>
      </c>
      <c r="Q1659" s="16" t="n">
        <f aca="false">MAX(P1659+K1659,Q1658+N1659)</f>
        <v>46434</v>
      </c>
      <c r="R1659" s="16" t="n">
        <f aca="false">IF(K1659&gt;0,Q1659,0)</f>
        <v>46434</v>
      </c>
      <c r="S1659" s="12"/>
    </row>
    <row r="1660" customFormat="false" ht="15" hidden="false" customHeight="false" outlineLevel="0" collapsed="false">
      <c r="A1660" s="15" t="s">
        <v>5242</v>
      </c>
      <c r="B1660" s="15" t="s">
        <v>5237</v>
      </c>
      <c r="C1660" s="15" t="s">
        <v>403</v>
      </c>
      <c r="D1660" s="15" t="s">
        <v>2066</v>
      </c>
      <c r="E1660" s="15" t="s">
        <v>2067</v>
      </c>
      <c r="F1660" s="15" t="s">
        <v>3014</v>
      </c>
      <c r="G1660" s="15" t="s">
        <v>3015</v>
      </c>
      <c r="H1660" s="33" t="n">
        <f aca="false">Packages!$O$156</f>
        <v>11.3867107444436</v>
      </c>
      <c r="I1660" s="15" t="s">
        <v>118</v>
      </c>
      <c r="J1660" s="34" t="n">
        <f aca="false">IF(Packages!$AG$156=0,0,ROUNDUP(Packages!$O$156/R_DW,0)+DW_DRAW)</f>
        <v>8</v>
      </c>
      <c r="K1660" s="34" t="n">
        <f aca="false">IF(J1660=0,0,ROUNDUP(J1660*7/WD,0))</f>
        <v>10</v>
      </c>
      <c r="L1660" s="15" t="s">
        <v>5241</v>
      </c>
      <c r="M1660" s="34" t="n">
        <f aca="false">ROUNDUP(K1659*LADDER,0)</f>
        <v>1</v>
      </c>
      <c r="N1660" s="34" t="n">
        <f aca="false">IF(K1660=0,0,FFLAG)</f>
        <v>2</v>
      </c>
      <c r="O1660" s="15"/>
      <c r="P1660" s="16" t="n">
        <f aca="false">MAX(P1659+M1660)</f>
        <v>46431</v>
      </c>
      <c r="Q1660" s="16" t="n">
        <f aca="false">MAX(P1660+K1660,Q1659+N1660)</f>
        <v>46441</v>
      </c>
      <c r="R1660" s="12"/>
      <c r="S1660" s="12"/>
    </row>
    <row r="1661" customFormat="false" ht="15" hidden="false" customHeight="false" outlineLevel="0" collapsed="false">
      <c r="A1661" s="15" t="s">
        <v>5243</v>
      </c>
      <c r="B1661" s="15" t="s">
        <v>5237</v>
      </c>
      <c r="C1661" s="15" t="s">
        <v>403</v>
      </c>
      <c r="D1661" s="15" t="s">
        <v>2066</v>
      </c>
      <c r="E1661" s="15" t="s">
        <v>2067</v>
      </c>
      <c r="F1661" s="15" t="s">
        <v>3017</v>
      </c>
      <c r="G1661" s="15" t="s">
        <v>3018</v>
      </c>
      <c r="H1661" s="33" t="n">
        <f aca="false">Packages!$X$156+Packages!$Y$156</f>
        <v>131.01811757903</v>
      </c>
      <c r="I1661" s="15" t="s">
        <v>3019</v>
      </c>
      <c r="J1661" s="34" t="n">
        <f aca="false">MAX(1,ROUNDUP((Packages!$X$156/R_EXS+Packages!$Y$156/R_EXO)/Fronts!$J$11,0))</f>
        <v>1</v>
      </c>
      <c r="K1661" s="34" t="n">
        <f aca="false">IF(J1661=0,0,ROUNDUP(J1661*7/WD,0))</f>
        <v>2</v>
      </c>
      <c r="L1661" s="15" t="s">
        <v>5242</v>
      </c>
      <c r="M1661" s="34" t="n">
        <f aca="false">IF(K1660=0,0,ROUNDUP((K1660-ROUNDUP(DW_DRAW*7/WD,0))*LADDER,0)+ROUNDUP(DW_DRAW*7/WD,0))</f>
        <v>10</v>
      </c>
      <c r="N1661" s="34" t="n">
        <f aca="false">IF(K1661=0,0,FFLAG)</f>
        <v>2</v>
      </c>
      <c r="O1661" s="15" t="s">
        <v>5215</v>
      </c>
      <c r="P1661" s="16" t="n">
        <f aca="false">MAX(P1660+M1661,P1628,P1617)</f>
        <v>46465</v>
      </c>
      <c r="Q1661" s="16" t="n">
        <f aca="false">MAX(P1661+K1661,Q1660+N1661)</f>
        <v>46467</v>
      </c>
      <c r="R1661" s="16" t="n">
        <f aca="false">IF(K1661&gt;0,Q1661,0)</f>
        <v>46467</v>
      </c>
      <c r="S1661" s="12"/>
    </row>
    <row r="1662" customFormat="false" ht="15" hidden="false" customHeight="false" outlineLevel="0" collapsed="false">
      <c r="A1662" s="15" t="s">
        <v>5244</v>
      </c>
      <c r="B1662" s="15" t="s">
        <v>5237</v>
      </c>
      <c r="C1662" s="15" t="s">
        <v>403</v>
      </c>
      <c r="D1662" s="15" t="s">
        <v>2066</v>
      </c>
      <c r="E1662" s="15" t="s">
        <v>2067</v>
      </c>
      <c r="F1662" s="15" t="s">
        <v>3022</v>
      </c>
      <c r="G1662" s="15" t="s">
        <v>3023</v>
      </c>
      <c r="H1662" s="33" t="n">
        <f aca="false">Packages!$O$156</f>
        <v>11.3867107444436</v>
      </c>
      <c r="I1662" s="15" t="s">
        <v>118</v>
      </c>
      <c r="J1662" s="34" t="n">
        <f aca="false">MAX(1,ROUNDUP(Packages!$O$156/(R_SLAB*Fronts!$K$11),0))+SLAB_CURE</f>
        <v>4</v>
      </c>
      <c r="K1662" s="34" t="n">
        <f aca="false">IF(J1662=0,0,ROUNDUP(J1662*7/WD,0))</f>
        <v>5</v>
      </c>
      <c r="L1662" s="15" t="s">
        <v>5243</v>
      </c>
      <c r="M1662" s="34" t="n">
        <f aca="false">ROUNDUP(K1661*LADDER,0)</f>
        <v>1</v>
      </c>
      <c r="N1662" s="34" t="n">
        <f aca="false">IF(K1662=0,0,FFLAG)</f>
        <v>2</v>
      </c>
      <c r="O1662" s="15"/>
      <c r="P1662" s="16" t="n">
        <f aca="false">MAX(P1661+M1662)</f>
        <v>46466</v>
      </c>
      <c r="Q1662" s="16" t="n">
        <f aca="false">MAX(P1662+K1662,Q1661+N1662)</f>
        <v>46471</v>
      </c>
      <c r="R1662" s="16" t="n">
        <f aca="false">IF(K1662&gt;0,Q1662,0)</f>
        <v>46471</v>
      </c>
      <c r="S1662" s="12"/>
    </row>
    <row r="1663" customFormat="false" ht="15" hidden="false" customHeight="false" outlineLevel="0" collapsed="false">
      <c r="A1663" s="15" t="s">
        <v>5245</v>
      </c>
      <c r="B1663" s="15" t="s">
        <v>5237</v>
      </c>
      <c r="C1663" s="15" t="s">
        <v>403</v>
      </c>
      <c r="D1663" s="15" t="s">
        <v>2066</v>
      </c>
      <c r="E1663" s="15" t="s">
        <v>2067</v>
      </c>
      <c r="F1663" s="15" t="s">
        <v>3025</v>
      </c>
      <c r="G1663" s="15" t="s">
        <v>3026</v>
      </c>
      <c r="H1663" s="33" t="n">
        <f aca="false">Packages!$O$156</f>
        <v>11.3867107444436</v>
      </c>
      <c r="I1663" s="15" t="s">
        <v>118</v>
      </c>
      <c r="J1663" s="34" t="n">
        <f aca="false">MAX(1,ROUNDUP(Packages!$O$156/(IF(Packages!$N$156&gt;=PIPE_T1,R_PIPE_L,IF(Packages!$N$156&gt;=PIPE_T2,R_PIPE_M,R_PIPE_S))*Fronts!$L$11)+Packages!$M$156*FIT_D+IF(Packages!$G$156&lt;&gt;"Run",TIE_D,0),0))</f>
        <v>5</v>
      </c>
      <c r="K1663" s="34" t="n">
        <f aca="false">IF(J1663=0,0,ROUNDUP(J1663*7/WD,0))</f>
        <v>6</v>
      </c>
      <c r="L1663" s="15" t="s">
        <v>5244</v>
      </c>
      <c r="M1663" s="34" t="n">
        <f aca="false">ROUNDUP(K1662*LADDER,0)</f>
        <v>2</v>
      </c>
      <c r="N1663" s="34" t="n">
        <f aca="false">IF(K1663=0,0,FFLAG)</f>
        <v>2</v>
      </c>
      <c r="O1663" s="15" t="s">
        <v>5246</v>
      </c>
      <c r="P1663" s="16" t="n">
        <f aca="false">MAX(P1662+M1663,Q1652)</f>
        <v>46494</v>
      </c>
      <c r="Q1663" s="16" t="n">
        <f aca="false">MAX(P1663+K1663,Q1662+N1663)</f>
        <v>46500</v>
      </c>
      <c r="R1663" s="16" t="n">
        <f aca="false">IF(K1663&gt;0,Q1663,0)</f>
        <v>46500</v>
      </c>
      <c r="S1663" s="12"/>
    </row>
    <row r="1664" customFormat="false" ht="15" hidden="false" customHeight="false" outlineLevel="0" collapsed="false">
      <c r="A1664" s="15" t="s">
        <v>5247</v>
      </c>
      <c r="B1664" s="15" t="s">
        <v>5237</v>
      </c>
      <c r="C1664" s="15" t="s">
        <v>403</v>
      </c>
      <c r="D1664" s="15" t="s">
        <v>2066</v>
      </c>
      <c r="E1664" s="15" t="s">
        <v>2067</v>
      </c>
      <c r="F1664" s="15" t="s">
        <v>3028</v>
      </c>
      <c r="G1664" s="15" t="s">
        <v>3029</v>
      </c>
      <c r="H1664" s="33" t="n">
        <f aca="false">Packages!$O$156</f>
        <v>11.3867107444436</v>
      </c>
      <c r="I1664" s="15" t="s">
        <v>118</v>
      </c>
      <c r="J1664" s="34" t="n">
        <f aca="false">TEST_D+ROUNDUP(Packages!$O$156/R_TEST,0)</f>
        <v>3</v>
      </c>
      <c r="K1664" s="34" t="n">
        <f aca="false">IF(J1664=0,0,ROUNDUP(J1664*7/WD,0))</f>
        <v>4</v>
      </c>
      <c r="L1664" s="15" t="s">
        <v>5245</v>
      </c>
      <c r="M1664" s="34" t="n">
        <f aca="false">ROUNDUP(K1663*LADDER,0)</f>
        <v>2</v>
      </c>
      <c r="N1664" s="34" t="n">
        <f aca="false">IF(K1664=0,0,FFLAG)</f>
        <v>2</v>
      </c>
      <c r="O1664" s="15"/>
      <c r="P1664" s="16" t="n">
        <f aca="false">MAX(P1663+M1664)</f>
        <v>46496</v>
      </c>
      <c r="Q1664" s="16" t="n">
        <f aca="false">MAX(P1664+K1664,Q1663+N1664)</f>
        <v>46502</v>
      </c>
      <c r="R1664" s="12"/>
      <c r="S1664" s="12"/>
    </row>
    <row r="1665" customFormat="false" ht="15" hidden="false" customHeight="false" outlineLevel="0" collapsed="false">
      <c r="A1665" s="15" t="s">
        <v>5248</v>
      </c>
      <c r="B1665" s="15" t="s">
        <v>5237</v>
      </c>
      <c r="C1665" s="15" t="s">
        <v>403</v>
      </c>
      <c r="D1665" s="15" t="s">
        <v>2066</v>
      </c>
      <c r="E1665" s="15" t="s">
        <v>2067</v>
      </c>
      <c r="F1665" s="15" t="s">
        <v>3031</v>
      </c>
      <c r="G1665" s="15" t="s">
        <v>3032</v>
      </c>
      <c r="H1665" s="33" t="n">
        <f aca="false">Packages!$AB$156</f>
        <v>118.18848961512</v>
      </c>
      <c r="I1665" s="15" t="s">
        <v>3019</v>
      </c>
      <c r="J1665" s="34" t="n">
        <f aca="false">MAX(1,ROUNDUP(Packages!$AB$156/(R_BF*Fronts!$M$11),0))</f>
        <v>1</v>
      </c>
      <c r="K1665" s="34" t="n">
        <f aca="false">IF(J1665=0,0,ROUNDUP(J1665*7/WD,0))</f>
        <v>2</v>
      </c>
      <c r="L1665" s="15" t="s">
        <v>5247</v>
      </c>
      <c r="M1665" s="34" t="n">
        <f aca="false">ROUNDUP(K1664*LADDER,0)</f>
        <v>2</v>
      </c>
      <c r="N1665" s="34" t="n">
        <f aca="false">IF(K1665=0,0,FFLAG)</f>
        <v>2</v>
      </c>
      <c r="O1665" s="15" t="s">
        <v>5220</v>
      </c>
      <c r="P1665" s="16" t="n">
        <f aca="false">MAX(P1664+M1665,Q1630,Q1619)</f>
        <v>46498</v>
      </c>
      <c r="Q1665" s="16" t="n">
        <f aca="false">MAX(P1665+K1665,Q1664+N1665)</f>
        <v>46504</v>
      </c>
      <c r="R1665" s="16" t="n">
        <f aca="false">IF(K1665&gt;0,Q1665,0)</f>
        <v>46504</v>
      </c>
      <c r="S1665" s="12"/>
    </row>
    <row r="1666" customFormat="false" ht="15" hidden="false" customHeight="false" outlineLevel="0" collapsed="false">
      <c r="A1666" s="15" t="s">
        <v>5249</v>
      </c>
      <c r="B1666" s="15" t="s">
        <v>5237</v>
      </c>
      <c r="C1666" s="15" t="s">
        <v>403</v>
      </c>
      <c r="D1666" s="15" t="s">
        <v>2066</v>
      </c>
      <c r="E1666" s="15" t="s">
        <v>2067</v>
      </c>
      <c r="F1666" s="15" t="s">
        <v>3034</v>
      </c>
      <c r="G1666" s="15" t="s">
        <v>3035</v>
      </c>
      <c r="H1666" s="33" t="n">
        <f aca="false">Packages!$AD$156</f>
        <v>22.7734214888871</v>
      </c>
      <c r="I1666" s="15" t="s">
        <v>3012</v>
      </c>
      <c r="J1666" s="34" t="n">
        <f aca="false">IF(Packages!$AD$156&gt;0,ROUNDUP(Packages!$AD$156/R_EXT,0),0)+IF(Packages!$AG$156&gt;0,1,0)</f>
        <v>2</v>
      </c>
      <c r="K1666" s="34" t="n">
        <f aca="false">IF(J1666=0,0,ROUNDUP(J1666*7/WD,0))</f>
        <v>3</v>
      </c>
      <c r="L1666" s="15" t="s">
        <v>5248</v>
      </c>
      <c r="M1666" s="34" t="n">
        <f aca="false">ROUNDUP(K1665*LADDER,0)</f>
        <v>1</v>
      </c>
      <c r="N1666" s="34" t="n">
        <f aca="false">IF(K1666=0,0,FFLAG)</f>
        <v>2</v>
      </c>
      <c r="O1666" s="15"/>
      <c r="P1666" s="16" t="n">
        <f aca="false">MAX(P1665+M1666)</f>
        <v>46499</v>
      </c>
      <c r="Q1666" s="16" t="n">
        <f aca="false">MAX(P1666+K1666,Q1665+N1666)</f>
        <v>46506</v>
      </c>
      <c r="R1666" s="12"/>
      <c r="S1666" s="12"/>
    </row>
    <row r="1667" customFormat="false" ht="15" hidden="false" customHeight="false" outlineLevel="0" collapsed="false">
      <c r="A1667" s="15" t="s">
        <v>5250</v>
      </c>
      <c r="B1667" s="15" t="s">
        <v>5251</v>
      </c>
      <c r="C1667" s="15" t="s">
        <v>403</v>
      </c>
      <c r="D1667" s="15" t="s">
        <v>1594</v>
      </c>
      <c r="E1667" s="15" t="s">
        <v>1665</v>
      </c>
      <c r="F1667" s="15" t="s">
        <v>2998</v>
      </c>
      <c r="G1667" s="15" t="s">
        <v>2999</v>
      </c>
      <c r="H1667" s="12"/>
      <c r="I1667" s="12"/>
      <c r="J1667" s="34" t="n">
        <f aca="false">0</f>
        <v>0</v>
      </c>
      <c r="K1667" s="34" t="n">
        <f aca="false">IF(J1667=0,0,ROUNDUP(J1667*7/WD,0))</f>
        <v>0</v>
      </c>
      <c r="L1667" s="12"/>
      <c r="M1667" s="12"/>
      <c r="N1667" s="12"/>
      <c r="O1667" s="15" t="s">
        <v>3000</v>
      </c>
      <c r="P1667" s="16" t="n">
        <f aca="false">MAX(START,D_DLU,Packages!$I$157,Packages!$K$157)</f>
        <v>46357</v>
      </c>
      <c r="Q1667" s="16" t="n">
        <f aca="false">P1667+K1667</f>
        <v>46357</v>
      </c>
      <c r="R1667" s="12"/>
      <c r="S1667" s="12"/>
    </row>
    <row r="1668" customFormat="false" ht="15" hidden="false" customHeight="false" outlineLevel="0" collapsed="false">
      <c r="A1668" s="15" t="s">
        <v>5252</v>
      </c>
      <c r="B1668" s="15" t="s">
        <v>5251</v>
      </c>
      <c r="C1668" s="15" t="s">
        <v>403</v>
      </c>
      <c r="D1668" s="15" t="s">
        <v>1594</v>
      </c>
      <c r="E1668" s="15" t="s">
        <v>1665</v>
      </c>
      <c r="F1668" s="15" t="s">
        <v>3002</v>
      </c>
      <c r="G1668" s="15" t="s">
        <v>205</v>
      </c>
      <c r="H1668" s="33" t="n">
        <f aca="false">Packages!$O$157</f>
        <v>30.0380000000693</v>
      </c>
      <c r="I1668" s="15" t="s">
        <v>118</v>
      </c>
      <c r="J1668" s="34" t="n">
        <f aca="false">MAX(1,ROUNDUP(Packages!$O$157/R_PLAT,0))</f>
        <v>1</v>
      </c>
      <c r="K1668" s="34" t="n">
        <f aca="false">IF(J1668=0,0,ROUNDUP(J1668*7/WD,0))</f>
        <v>2</v>
      </c>
      <c r="L1668" s="15" t="s">
        <v>5250</v>
      </c>
      <c r="M1668" s="12"/>
      <c r="N1668" s="12"/>
      <c r="O1668" s="15" t="s">
        <v>5253</v>
      </c>
      <c r="P1668" s="16" t="n">
        <f aca="false">MAX(Q1667,P1647)</f>
        <v>46428</v>
      </c>
      <c r="Q1668" s="16" t="n">
        <f aca="false">P1668+K1668</f>
        <v>46430</v>
      </c>
      <c r="R1668" s="12"/>
      <c r="S1668" s="12"/>
    </row>
    <row r="1669" customFormat="false" ht="15" hidden="false" customHeight="false" outlineLevel="0" collapsed="false">
      <c r="A1669" s="15" t="s">
        <v>5254</v>
      </c>
      <c r="B1669" s="15" t="s">
        <v>5251</v>
      </c>
      <c r="C1669" s="15" t="s">
        <v>403</v>
      </c>
      <c r="D1669" s="15" t="s">
        <v>1594</v>
      </c>
      <c r="E1669" s="15" t="s">
        <v>1665</v>
      </c>
      <c r="F1669" s="15" t="s">
        <v>3005</v>
      </c>
      <c r="G1669" s="15" t="s">
        <v>3006</v>
      </c>
      <c r="H1669" s="33" t="n">
        <f aca="false">Packages!$AC$157</f>
        <v>12</v>
      </c>
      <c r="I1669" s="15" t="s">
        <v>3007</v>
      </c>
      <c r="J1669" s="34" t="n">
        <f aca="false">IF(Packages!$AC$157=0,0,MAX(1,ROUNDUP(Packages!$AC$157/(R_PILE*Fronts!$H$11),0)))</f>
        <v>3</v>
      </c>
      <c r="K1669" s="34" t="n">
        <f aca="false">IF(J1669=0,0,ROUNDUP(J1669*7/WD,0))</f>
        <v>4</v>
      </c>
      <c r="L1669" s="15" t="s">
        <v>5252</v>
      </c>
      <c r="M1669" s="34" t="n">
        <f aca="false">ROUNDUP(K1668*LADDER,0)</f>
        <v>1</v>
      </c>
      <c r="N1669" s="34" t="n">
        <f aca="false">IF(K1669=0,0,FFLAG)</f>
        <v>2</v>
      </c>
      <c r="O1669" s="15" t="s">
        <v>3008</v>
      </c>
      <c r="P1669" s="16" t="n">
        <f aca="false">MAX(P1668+M1669,D_PILEDES,R1647)</f>
        <v>46430</v>
      </c>
      <c r="Q1669" s="16" t="n">
        <f aca="false">MAX(P1669+K1669,Q1668+N1669)</f>
        <v>46434</v>
      </c>
      <c r="R1669" s="16" t="n">
        <f aca="false">IF(K1669&gt;0,Q1669,R1647)</f>
        <v>46434</v>
      </c>
      <c r="S1669" s="15" t="s">
        <v>5226</v>
      </c>
    </row>
    <row r="1670" customFormat="false" ht="15" hidden="false" customHeight="false" outlineLevel="0" collapsed="false">
      <c r="A1670" s="15" t="s">
        <v>5255</v>
      </c>
      <c r="B1670" s="15" t="s">
        <v>5251</v>
      </c>
      <c r="C1670" s="15" t="s">
        <v>403</v>
      </c>
      <c r="D1670" s="15" t="s">
        <v>1594</v>
      </c>
      <c r="E1670" s="15" t="s">
        <v>1665</v>
      </c>
      <c r="F1670" s="15" t="s">
        <v>3010</v>
      </c>
      <c r="G1670" s="15" t="s">
        <v>3011</v>
      </c>
      <c r="H1670" s="33" t="n">
        <f aca="false">Packages!$AD$157</f>
        <v>60.0760000001386</v>
      </c>
      <c r="I1670" s="15" t="s">
        <v>3012</v>
      </c>
      <c r="J1670" s="34" t="n">
        <f aca="false">IF(Packages!$AD$157=0,0,MAX(1,ROUNDUP(Packages!$AD$157/(R_SHEET*Fronts!$I$11),0)))</f>
        <v>3</v>
      </c>
      <c r="K1670" s="34" t="n">
        <f aca="false">IF(J1670=0,0,ROUNDUP(J1670*7/WD,0))</f>
        <v>4</v>
      </c>
      <c r="L1670" s="15" t="s">
        <v>5254</v>
      </c>
      <c r="M1670" s="34" t="n">
        <f aca="false">ROUNDUP(K1669*LADDER,0)</f>
        <v>2</v>
      </c>
      <c r="N1670" s="34" t="n">
        <f aca="false">IF(K1670=0,0,FFLAG)</f>
        <v>2</v>
      </c>
      <c r="O1670" s="15"/>
      <c r="P1670" s="16" t="n">
        <f aca="false">MAX(P1669+M1670,R1648)</f>
        <v>46432</v>
      </c>
      <c r="Q1670" s="16" t="n">
        <f aca="false">MAX(P1670+K1670,Q1669+N1670)</f>
        <v>46436</v>
      </c>
      <c r="R1670" s="16" t="n">
        <f aca="false">IF(K1670&gt;0,Q1670,R1648)</f>
        <v>46436</v>
      </c>
      <c r="S1670" s="15" t="s">
        <v>5227</v>
      </c>
    </row>
    <row r="1671" customFormat="false" ht="15" hidden="false" customHeight="false" outlineLevel="0" collapsed="false">
      <c r="A1671" s="15" t="s">
        <v>5256</v>
      </c>
      <c r="B1671" s="15" t="s">
        <v>5251</v>
      </c>
      <c r="C1671" s="15" t="s">
        <v>403</v>
      </c>
      <c r="D1671" s="15" t="s">
        <v>1594</v>
      </c>
      <c r="E1671" s="15" t="s">
        <v>1665</v>
      </c>
      <c r="F1671" s="15" t="s">
        <v>3014</v>
      </c>
      <c r="G1671" s="15" t="s">
        <v>3015</v>
      </c>
      <c r="H1671" s="33" t="n">
        <f aca="false">Packages!$O$157</f>
        <v>30.0380000000693</v>
      </c>
      <c r="I1671" s="15" t="s">
        <v>118</v>
      </c>
      <c r="J1671" s="34" t="n">
        <f aca="false">IF(Packages!$AG$157=0,0,ROUNDUP(Packages!$O$157/R_DW,0)+DW_DRAW)</f>
        <v>8</v>
      </c>
      <c r="K1671" s="34" t="n">
        <f aca="false">IF(J1671=0,0,ROUNDUP(J1671*7/WD,0))</f>
        <v>10</v>
      </c>
      <c r="L1671" s="15" t="s">
        <v>5255</v>
      </c>
      <c r="M1671" s="34" t="n">
        <f aca="false">ROUNDUP(K1670*LADDER,0)</f>
        <v>2</v>
      </c>
      <c r="N1671" s="34" t="n">
        <f aca="false">IF(K1671=0,0,FFLAG)</f>
        <v>2</v>
      </c>
      <c r="O1671" s="15" t="s">
        <v>5257</v>
      </c>
      <c r="P1671" s="16" t="n">
        <f aca="false">MAX(P1670+M1671,Q1650-K1671)</f>
        <v>46464</v>
      </c>
      <c r="Q1671" s="16" t="n">
        <f aca="false">MAX(P1671+K1671,Q1670+N1671)</f>
        <v>46474</v>
      </c>
      <c r="R1671" s="12"/>
      <c r="S1671" s="12"/>
    </row>
    <row r="1672" customFormat="false" ht="15" hidden="false" customHeight="false" outlineLevel="0" collapsed="false">
      <c r="A1672" s="15" t="s">
        <v>5258</v>
      </c>
      <c r="B1672" s="15" t="s">
        <v>5251</v>
      </c>
      <c r="C1672" s="15" t="s">
        <v>403</v>
      </c>
      <c r="D1672" s="15" t="s">
        <v>1594</v>
      </c>
      <c r="E1672" s="15" t="s">
        <v>1665</v>
      </c>
      <c r="F1672" s="15" t="s">
        <v>3017</v>
      </c>
      <c r="G1672" s="15" t="s">
        <v>3018</v>
      </c>
      <c r="H1672" s="33" t="n">
        <f aca="false">Packages!$X$157+Packages!$Y$157</f>
        <v>423.535764120296</v>
      </c>
      <c r="I1672" s="15" t="s">
        <v>3019</v>
      </c>
      <c r="J1672" s="34" t="n">
        <f aca="false">MAX(1,ROUNDUP((Packages!$X$157/R_EXS+Packages!$Y$157/R_EXO)/Fronts!$J$11,0))</f>
        <v>2</v>
      </c>
      <c r="K1672" s="34" t="n">
        <f aca="false">IF(J1672=0,0,ROUNDUP(J1672*7/WD,0))</f>
        <v>3</v>
      </c>
      <c r="L1672" s="15" t="s">
        <v>5256</v>
      </c>
      <c r="M1672" s="34" t="n">
        <f aca="false">IF(K1671=0,0,ROUNDUP((K1671-ROUNDUP(DW_DRAW*7/WD,0))*LADDER,0)+ROUNDUP(DW_DRAW*7/WD,0))</f>
        <v>10</v>
      </c>
      <c r="N1672" s="34" t="n">
        <f aca="false">IF(K1672=0,0,FFLAG)</f>
        <v>2</v>
      </c>
      <c r="O1672" s="15"/>
      <c r="P1672" s="16" t="n">
        <f aca="false">MAX(P1671+M1672,R1650)</f>
        <v>46474</v>
      </c>
      <c r="Q1672" s="16" t="n">
        <f aca="false">MAX(P1672+K1672,Q1671+N1672)</f>
        <v>46477</v>
      </c>
      <c r="R1672" s="16" t="n">
        <f aca="false">IF(K1672&gt;0,Q1672,R1650)</f>
        <v>46477</v>
      </c>
      <c r="S1672" s="15" t="s">
        <v>5230</v>
      </c>
    </row>
    <row r="1673" customFormat="false" ht="15" hidden="false" customHeight="false" outlineLevel="0" collapsed="false">
      <c r="A1673" s="15" t="s">
        <v>5259</v>
      </c>
      <c r="B1673" s="15" t="s">
        <v>5251</v>
      </c>
      <c r="C1673" s="15" t="s">
        <v>403</v>
      </c>
      <c r="D1673" s="15" t="s">
        <v>1594</v>
      </c>
      <c r="E1673" s="15" t="s">
        <v>1665</v>
      </c>
      <c r="F1673" s="15" t="s">
        <v>3022</v>
      </c>
      <c r="G1673" s="15" t="s">
        <v>3023</v>
      </c>
      <c r="H1673" s="33" t="n">
        <f aca="false">Packages!$O$157</f>
        <v>30.0380000000693</v>
      </c>
      <c r="I1673" s="15" t="s">
        <v>118</v>
      </c>
      <c r="J1673" s="34" t="n">
        <f aca="false">MAX(1,ROUNDUP(Packages!$O$157/(R_SLAB*Fronts!$K$11),0))+SLAB_CURE</f>
        <v>6</v>
      </c>
      <c r="K1673" s="34" t="n">
        <f aca="false">IF(J1673=0,0,ROUNDUP(J1673*7/WD,0))</f>
        <v>7</v>
      </c>
      <c r="L1673" s="15" t="s">
        <v>5258</v>
      </c>
      <c r="M1673" s="34" t="n">
        <f aca="false">ROUNDUP(K1672*LADDER,0)</f>
        <v>1</v>
      </c>
      <c r="N1673" s="34" t="n">
        <f aca="false">IF(K1673=0,0,FFLAG)</f>
        <v>2</v>
      </c>
      <c r="O1673" s="15"/>
      <c r="P1673" s="16" t="n">
        <f aca="false">MAX(P1672+M1673,R1651)</f>
        <v>46492</v>
      </c>
      <c r="Q1673" s="16" t="n">
        <f aca="false">MAX(P1673+K1673,Q1672+N1673)</f>
        <v>46499</v>
      </c>
      <c r="R1673" s="16" t="n">
        <f aca="false">IF(K1673&gt;0,Q1673,R1651)</f>
        <v>46499</v>
      </c>
      <c r="S1673" s="15" t="s">
        <v>5231</v>
      </c>
    </row>
    <row r="1674" customFormat="false" ht="15" hidden="false" customHeight="false" outlineLevel="0" collapsed="false">
      <c r="A1674" s="15" t="s">
        <v>5260</v>
      </c>
      <c r="B1674" s="15" t="s">
        <v>5251</v>
      </c>
      <c r="C1674" s="15" t="s">
        <v>403</v>
      </c>
      <c r="D1674" s="15" t="s">
        <v>1594</v>
      </c>
      <c r="E1674" s="15" t="s">
        <v>1665</v>
      </c>
      <c r="F1674" s="15" t="s">
        <v>3025</v>
      </c>
      <c r="G1674" s="15" t="s">
        <v>3026</v>
      </c>
      <c r="H1674" s="33" t="n">
        <f aca="false">Packages!$O$157</f>
        <v>30.0380000000693</v>
      </c>
      <c r="I1674" s="15" t="s">
        <v>118</v>
      </c>
      <c r="J1674" s="34" t="n">
        <f aca="false">MAX(1,ROUNDUP(Packages!$O$157/(IF(Packages!$N$157&gt;=PIPE_T1,R_PIPE_L,IF(Packages!$N$157&gt;=PIPE_T2,R_PIPE_M,R_PIPE_S))*Fronts!$L$11)+Packages!$M$157*FIT_D+IF(Packages!$G$157&lt;&gt;"Run",TIE_D,0),0))</f>
        <v>1</v>
      </c>
      <c r="K1674" s="34" t="n">
        <f aca="false">IF(J1674=0,0,ROUNDUP(J1674*7/WD,0))</f>
        <v>2</v>
      </c>
      <c r="L1674" s="15" t="s">
        <v>5259</v>
      </c>
      <c r="M1674" s="34" t="n">
        <f aca="false">ROUNDUP(K1673*LADDER,0)</f>
        <v>3</v>
      </c>
      <c r="N1674" s="34" t="n">
        <f aca="false">IF(K1674=0,0,FFLAG)</f>
        <v>2</v>
      </c>
      <c r="O1674" s="15"/>
      <c r="P1674" s="16" t="n">
        <f aca="false">MAX(P1673+M1674,R1652)</f>
        <v>46495</v>
      </c>
      <c r="Q1674" s="16" t="n">
        <f aca="false">MAX(P1674+K1674,Q1673+N1674)</f>
        <v>46501</v>
      </c>
      <c r="R1674" s="16" t="n">
        <f aca="false">IF(K1674&gt;0,Q1674,R1652)</f>
        <v>46501</v>
      </c>
      <c r="S1674" s="15" t="s">
        <v>5232</v>
      </c>
    </row>
    <row r="1675" customFormat="false" ht="15" hidden="false" customHeight="false" outlineLevel="0" collapsed="false">
      <c r="A1675" s="15" t="s">
        <v>5261</v>
      </c>
      <c r="B1675" s="15" t="s">
        <v>5251</v>
      </c>
      <c r="C1675" s="15" t="s">
        <v>403</v>
      </c>
      <c r="D1675" s="15" t="s">
        <v>1594</v>
      </c>
      <c r="E1675" s="15" t="s">
        <v>1665</v>
      </c>
      <c r="F1675" s="15" t="s">
        <v>3028</v>
      </c>
      <c r="G1675" s="15" t="s">
        <v>3029</v>
      </c>
      <c r="H1675" s="33" t="n">
        <f aca="false">Packages!$O$157</f>
        <v>30.0380000000693</v>
      </c>
      <c r="I1675" s="15" t="s">
        <v>118</v>
      </c>
      <c r="J1675" s="34" t="n">
        <f aca="false">TEST_D+ROUNDUP(Packages!$O$157/R_TEST,0)</f>
        <v>3</v>
      </c>
      <c r="K1675" s="34" t="n">
        <f aca="false">IF(J1675=0,0,ROUNDUP(J1675*7/WD,0))</f>
        <v>4</v>
      </c>
      <c r="L1675" s="15" t="s">
        <v>5260</v>
      </c>
      <c r="M1675" s="34" t="n">
        <f aca="false">ROUNDUP(K1674*LADDER,0)</f>
        <v>1</v>
      </c>
      <c r="N1675" s="34" t="n">
        <f aca="false">IF(K1675=0,0,FFLAG)</f>
        <v>2</v>
      </c>
      <c r="O1675" s="15"/>
      <c r="P1675" s="16" t="n">
        <f aca="false">MAX(P1674+M1675)</f>
        <v>46496</v>
      </c>
      <c r="Q1675" s="16" t="n">
        <f aca="false">MAX(P1675+K1675,Q1674+N1675)</f>
        <v>46503</v>
      </c>
      <c r="R1675" s="12"/>
      <c r="S1675" s="12"/>
    </row>
    <row r="1676" customFormat="false" ht="15" hidden="false" customHeight="false" outlineLevel="0" collapsed="false">
      <c r="A1676" s="15" t="s">
        <v>5262</v>
      </c>
      <c r="B1676" s="15" t="s">
        <v>5251</v>
      </c>
      <c r="C1676" s="15" t="s">
        <v>403</v>
      </c>
      <c r="D1676" s="15" t="s">
        <v>1594</v>
      </c>
      <c r="E1676" s="15" t="s">
        <v>1665</v>
      </c>
      <c r="F1676" s="15" t="s">
        <v>3031</v>
      </c>
      <c r="G1676" s="15" t="s">
        <v>3032</v>
      </c>
      <c r="H1676" s="33" t="n">
        <f aca="false">Packages!$AB$157</f>
        <v>369.905986072165</v>
      </c>
      <c r="I1676" s="15" t="s">
        <v>3019</v>
      </c>
      <c r="J1676" s="34" t="n">
        <f aca="false">MAX(1,ROUNDUP(Packages!$AB$157/(R_BF*Fronts!$M$11),0))</f>
        <v>2</v>
      </c>
      <c r="K1676" s="34" t="n">
        <f aca="false">IF(J1676=0,0,ROUNDUP(J1676*7/WD,0))</f>
        <v>3</v>
      </c>
      <c r="L1676" s="15" t="s">
        <v>5261</v>
      </c>
      <c r="M1676" s="34" t="n">
        <f aca="false">ROUNDUP(K1675*LADDER,0)</f>
        <v>2</v>
      </c>
      <c r="N1676" s="34" t="n">
        <f aca="false">IF(K1676=0,0,FFLAG)</f>
        <v>2</v>
      </c>
      <c r="O1676" s="15"/>
      <c r="P1676" s="16" t="n">
        <f aca="false">MAX(P1675+M1676,R1654)</f>
        <v>46508</v>
      </c>
      <c r="Q1676" s="16" t="n">
        <f aca="false">MAX(P1676+K1676,Q1675+N1676)</f>
        <v>46511</v>
      </c>
      <c r="R1676" s="16" t="n">
        <f aca="false">IF(K1676&gt;0,Q1676,R1654)</f>
        <v>46511</v>
      </c>
      <c r="S1676" s="15" t="s">
        <v>5234</v>
      </c>
    </row>
    <row r="1677" customFormat="false" ht="15" hidden="false" customHeight="false" outlineLevel="0" collapsed="false">
      <c r="A1677" s="15" t="s">
        <v>5263</v>
      </c>
      <c r="B1677" s="15" t="s">
        <v>5251</v>
      </c>
      <c r="C1677" s="15" t="s">
        <v>403</v>
      </c>
      <c r="D1677" s="15" t="s">
        <v>1594</v>
      </c>
      <c r="E1677" s="15" t="s">
        <v>1665</v>
      </c>
      <c r="F1677" s="15" t="s">
        <v>3034</v>
      </c>
      <c r="G1677" s="15" t="s">
        <v>3035</v>
      </c>
      <c r="H1677" s="33" t="n">
        <f aca="false">Packages!$AD$157</f>
        <v>60.0760000001386</v>
      </c>
      <c r="I1677" s="15" t="s">
        <v>3012</v>
      </c>
      <c r="J1677" s="34" t="n">
        <f aca="false">IF(Packages!$AD$157&gt;0,ROUNDUP(Packages!$AD$157/R_EXT,0),0)+IF(Packages!$AG$157&gt;0,1,0)</f>
        <v>3</v>
      </c>
      <c r="K1677" s="34" t="n">
        <f aca="false">IF(J1677=0,0,ROUNDUP(J1677*7/WD,0))</f>
        <v>4</v>
      </c>
      <c r="L1677" s="15" t="s">
        <v>5262</v>
      </c>
      <c r="M1677" s="34" t="n">
        <f aca="false">ROUNDUP(K1676*LADDER,0)</f>
        <v>1</v>
      </c>
      <c r="N1677" s="34" t="n">
        <f aca="false">IF(K1677=0,0,FFLAG)</f>
        <v>2</v>
      </c>
      <c r="O1677" s="15"/>
      <c r="P1677" s="16" t="n">
        <f aca="false">MAX(P1676+M1677)</f>
        <v>46509</v>
      </c>
      <c r="Q1677" s="16" t="n">
        <f aca="false">MAX(P1677+K1677,Q1676+N1677)</f>
        <v>46513</v>
      </c>
      <c r="R1677" s="12"/>
      <c r="S1677" s="12"/>
    </row>
    <row r="1678" customFormat="false" ht="15" hidden="false" customHeight="false" outlineLevel="0" collapsed="false">
      <c r="A1678" s="15" t="s">
        <v>5264</v>
      </c>
      <c r="B1678" s="15" t="s">
        <v>5265</v>
      </c>
      <c r="C1678" s="15" t="s">
        <v>403</v>
      </c>
      <c r="D1678" s="15" t="s">
        <v>1594</v>
      </c>
      <c r="E1678" s="15" t="s">
        <v>1670</v>
      </c>
      <c r="F1678" s="15" t="s">
        <v>2998</v>
      </c>
      <c r="G1678" s="15" t="s">
        <v>2999</v>
      </c>
      <c r="H1678" s="12"/>
      <c r="I1678" s="12"/>
      <c r="J1678" s="34" t="n">
        <f aca="false">0</f>
        <v>0</v>
      </c>
      <c r="K1678" s="34" t="n">
        <f aca="false">IF(J1678=0,0,ROUNDUP(J1678*7/WD,0))</f>
        <v>0</v>
      </c>
      <c r="L1678" s="12"/>
      <c r="M1678" s="12"/>
      <c r="N1678" s="12"/>
      <c r="O1678" s="15" t="s">
        <v>3038</v>
      </c>
      <c r="P1678" s="16" t="n">
        <f aca="false">MAX(START,D_DLU,Packages!$I$158,Packages!$K$158)</f>
        <v>46357</v>
      </c>
      <c r="Q1678" s="16" t="n">
        <f aca="false">P1678+K1678</f>
        <v>46357</v>
      </c>
      <c r="R1678" s="12"/>
      <c r="S1678" s="12"/>
    </row>
    <row r="1679" customFormat="false" ht="15" hidden="false" customHeight="false" outlineLevel="0" collapsed="false">
      <c r="A1679" s="15" t="s">
        <v>5266</v>
      </c>
      <c r="B1679" s="15" t="s">
        <v>5265</v>
      </c>
      <c r="C1679" s="15" t="s">
        <v>403</v>
      </c>
      <c r="D1679" s="15" t="s">
        <v>1594</v>
      </c>
      <c r="E1679" s="15" t="s">
        <v>1670</v>
      </c>
      <c r="F1679" s="15" t="s">
        <v>3002</v>
      </c>
      <c r="G1679" s="15" t="s">
        <v>205</v>
      </c>
      <c r="H1679" s="33" t="n">
        <f aca="false">Packages!$O$158</f>
        <v>6.00005280690313</v>
      </c>
      <c r="I1679" s="15" t="s">
        <v>118</v>
      </c>
      <c r="J1679" s="34" t="n">
        <f aca="false">MAX(1,ROUNDUP(Packages!$O$158/R_PLAT,0))</f>
        <v>1</v>
      </c>
      <c r="K1679" s="34" t="n">
        <f aca="false">IF(J1679=0,0,ROUNDUP(J1679*7/WD,0))</f>
        <v>2</v>
      </c>
      <c r="L1679" s="15" t="s">
        <v>5264</v>
      </c>
      <c r="M1679" s="12"/>
      <c r="N1679" s="12"/>
      <c r="O1679" s="15" t="s">
        <v>5267</v>
      </c>
      <c r="P1679" s="16" t="n">
        <f aca="false">MAX(Q1678,P1669)</f>
        <v>46430</v>
      </c>
      <c r="Q1679" s="16" t="n">
        <f aca="false">P1679+K1679</f>
        <v>46432</v>
      </c>
      <c r="R1679" s="12"/>
      <c r="S1679" s="12"/>
    </row>
    <row r="1680" customFormat="false" ht="15" hidden="false" customHeight="false" outlineLevel="0" collapsed="false">
      <c r="A1680" s="15" t="s">
        <v>5268</v>
      </c>
      <c r="B1680" s="15" t="s">
        <v>5265</v>
      </c>
      <c r="C1680" s="15" t="s">
        <v>403</v>
      </c>
      <c r="D1680" s="15" t="s">
        <v>1594</v>
      </c>
      <c r="E1680" s="15" t="s">
        <v>1670</v>
      </c>
      <c r="F1680" s="15" t="s">
        <v>3005</v>
      </c>
      <c r="G1680" s="15" t="s">
        <v>3006</v>
      </c>
      <c r="H1680" s="33" t="n">
        <f aca="false">Packages!$AC$158</f>
        <v>4</v>
      </c>
      <c r="I1680" s="15" t="s">
        <v>3007</v>
      </c>
      <c r="J1680" s="34" t="n">
        <f aca="false">IF(Packages!$AC$158=0,0,MAX(1,ROUNDUP(Packages!$AC$158/(R_PILE*Fronts!$H$11),0)))</f>
        <v>1</v>
      </c>
      <c r="K1680" s="34" t="n">
        <f aca="false">IF(J1680=0,0,ROUNDUP(J1680*7/WD,0))</f>
        <v>2</v>
      </c>
      <c r="L1680" s="15" t="s">
        <v>5266</v>
      </c>
      <c r="M1680" s="34" t="n">
        <f aca="false">ROUNDUP(K1679*LADDER,0)</f>
        <v>1</v>
      </c>
      <c r="N1680" s="34" t="n">
        <f aca="false">IF(K1680=0,0,FFLAG)</f>
        <v>2</v>
      </c>
      <c r="O1680" s="15" t="s">
        <v>3008</v>
      </c>
      <c r="P1680" s="16" t="n">
        <f aca="false">MAX(P1679+M1680,D_PILEDES)</f>
        <v>46431</v>
      </c>
      <c r="Q1680" s="16" t="n">
        <f aca="false">MAX(P1680+K1680,Q1679+N1680)</f>
        <v>46434</v>
      </c>
      <c r="R1680" s="16" t="n">
        <f aca="false">IF(K1680&gt;0,Q1680,0)</f>
        <v>46434</v>
      </c>
      <c r="S1680" s="12"/>
    </row>
    <row r="1681" customFormat="false" ht="15" hidden="false" customHeight="false" outlineLevel="0" collapsed="false">
      <c r="A1681" s="15" t="s">
        <v>5269</v>
      </c>
      <c r="B1681" s="15" t="s">
        <v>5265</v>
      </c>
      <c r="C1681" s="15" t="s">
        <v>403</v>
      </c>
      <c r="D1681" s="15" t="s">
        <v>1594</v>
      </c>
      <c r="E1681" s="15" t="s">
        <v>1670</v>
      </c>
      <c r="F1681" s="15" t="s">
        <v>3010</v>
      </c>
      <c r="G1681" s="15" t="s">
        <v>3011</v>
      </c>
      <c r="H1681" s="33" t="n">
        <f aca="false">Packages!$AD$158</f>
        <v>12.0001056138063</v>
      </c>
      <c r="I1681" s="15" t="s">
        <v>3012</v>
      </c>
      <c r="J1681" s="34" t="n">
        <f aca="false">IF(Packages!$AD$158=0,0,MAX(1,ROUNDUP(Packages!$AD$158/(R_SHEET*Fronts!$I$11),0)))</f>
        <v>1</v>
      </c>
      <c r="K1681" s="34" t="n">
        <f aca="false">IF(J1681=0,0,ROUNDUP(J1681*7/WD,0))</f>
        <v>2</v>
      </c>
      <c r="L1681" s="15" t="s">
        <v>5268</v>
      </c>
      <c r="M1681" s="34" t="n">
        <f aca="false">ROUNDUP(K1680*LADDER,0)</f>
        <v>1</v>
      </c>
      <c r="N1681" s="34" t="n">
        <f aca="false">IF(K1681=0,0,FFLAG)</f>
        <v>2</v>
      </c>
      <c r="O1681" s="15"/>
      <c r="P1681" s="16" t="n">
        <f aca="false">MAX(P1680+M1681)</f>
        <v>46432</v>
      </c>
      <c r="Q1681" s="16" t="n">
        <f aca="false">MAX(P1681+K1681,Q1680+N1681)</f>
        <v>46436</v>
      </c>
      <c r="R1681" s="16" t="n">
        <f aca="false">IF(K1681&gt;0,Q1681,0)</f>
        <v>46436</v>
      </c>
      <c r="S1681" s="12"/>
    </row>
    <row r="1682" customFormat="false" ht="15" hidden="false" customHeight="false" outlineLevel="0" collapsed="false">
      <c r="A1682" s="15" t="s">
        <v>5270</v>
      </c>
      <c r="B1682" s="15" t="s">
        <v>5265</v>
      </c>
      <c r="C1682" s="15" t="s">
        <v>403</v>
      </c>
      <c r="D1682" s="15" t="s">
        <v>1594</v>
      </c>
      <c r="E1682" s="15" t="s">
        <v>1670</v>
      </c>
      <c r="F1682" s="15" t="s">
        <v>3014</v>
      </c>
      <c r="G1682" s="15" t="s">
        <v>3015</v>
      </c>
      <c r="H1682" s="33" t="n">
        <f aca="false">Packages!$O$158</f>
        <v>6.00005280690313</v>
      </c>
      <c r="I1682" s="15" t="s">
        <v>118</v>
      </c>
      <c r="J1682" s="34" t="n">
        <f aca="false">IF(Packages!$AG$158=0,0,ROUNDUP(Packages!$O$158/R_DW,0)+DW_DRAW)</f>
        <v>8</v>
      </c>
      <c r="K1682" s="34" t="n">
        <f aca="false">IF(J1682=0,0,ROUNDUP(J1682*7/WD,0))</f>
        <v>10</v>
      </c>
      <c r="L1682" s="15" t="s">
        <v>5269</v>
      </c>
      <c r="M1682" s="34" t="n">
        <f aca="false">ROUNDUP(K1681*LADDER,0)</f>
        <v>1</v>
      </c>
      <c r="N1682" s="34" t="n">
        <f aca="false">IF(K1682=0,0,FFLAG)</f>
        <v>2</v>
      </c>
      <c r="O1682" s="15"/>
      <c r="P1682" s="16" t="n">
        <f aca="false">MAX(P1681+M1682)</f>
        <v>46433</v>
      </c>
      <c r="Q1682" s="16" t="n">
        <f aca="false">MAX(P1682+K1682,Q1681+N1682)</f>
        <v>46443</v>
      </c>
      <c r="R1682" s="12"/>
      <c r="S1682" s="12"/>
    </row>
    <row r="1683" customFormat="false" ht="15" hidden="false" customHeight="false" outlineLevel="0" collapsed="false">
      <c r="A1683" s="15" t="s">
        <v>5271</v>
      </c>
      <c r="B1683" s="15" t="s">
        <v>5265</v>
      </c>
      <c r="C1683" s="15" t="s">
        <v>403</v>
      </c>
      <c r="D1683" s="15" t="s">
        <v>1594</v>
      </c>
      <c r="E1683" s="15" t="s">
        <v>1670</v>
      </c>
      <c r="F1683" s="15" t="s">
        <v>3017</v>
      </c>
      <c r="G1683" s="15" t="s">
        <v>3018</v>
      </c>
      <c r="H1683" s="33" t="n">
        <f aca="false">Packages!$X$158+Packages!$Y$158</f>
        <v>84.6007374102131</v>
      </c>
      <c r="I1683" s="15" t="s">
        <v>3019</v>
      </c>
      <c r="J1683" s="34" t="n">
        <f aca="false">MAX(1,ROUNDUP((Packages!$X$158/R_EXS+Packages!$Y$158/R_EXO)/Fronts!$J$11,0))</f>
        <v>1</v>
      </c>
      <c r="K1683" s="34" t="n">
        <f aca="false">IF(J1683=0,0,ROUNDUP(J1683*7/WD,0))</f>
        <v>2</v>
      </c>
      <c r="L1683" s="15" t="s">
        <v>5270</v>
      </c>
      <c r="M1683" s="34" t="n">
        <f aca="false">IF(K1682=0,0,ROUNDUP((K1682-ROUNDUP(DW_DRAW*7/WD,0))*LADDER,0)+ROUNDUP(DW_DRAW*7/WD,0))</f>
        <v>10</v>
      </c>
      <c r="N1683" s="34" t="n">
        <f aca="false">IF(K1683=0,0,FFLAG)</f>
        <v>2</v>
      </c>
      <c r="O1683" s="15"/>
      <c r="P1683" s="16" t="n">
        <f aca="false">MAX(P1682+M1683)</f>
        <v>46443</v>
      </c>
      <c r="Q1683" s="16" t="n">
        <f aca="false">MAX(P1683+K1683,Q1682+N1683)</f>
        <v>46445</v>
      </c>
      <c r="R1683" s="16" t="n">
        <f aca="false">IF(K1683&gt;0,Q1683,0)</f>
        <v>46445</v>
      </c>
      <c r="S1683" s="12"/>
    </row>
    <row r="1684" customFormat="false" ht="15" hidden="false" customHeight="false" outlineLevel="0" collapsed="false">
      <c r="A1684" s="15" t="s">
        <v>5272</v>
      </c>
      <c r="B1684" s="15" t="s">
        <v>5265</v>
      </c>
      <c r="C1684" s="15" t="s">
        <v>403</v>
      </c>
      <c r="D1684" s="15" t="s">
        <v>1594</v>
      </c>
      <c r="E1684" s="15" t="s">
        <v>1670</v>
      </c>
      <c r="F1684" s="15" t="s">
        <v>3022</v>
      </c>
      <c r="G1684" s="15" t="s">
        <v>3023</v>
      </c>
      <c r="H1684" s="33" t="n">
        <f aca="false">Packages!$O$158</f>
        <v>6.00005280690313</v>
      </c>
      <c r="I1684" s="15" t="s">
        <v>118</v>
      </c>
      <c r="J1684" s="34" t="n">
        <f aca="false">MAX(1,ROUNDUP(Packages!$O$158/(R_SLAB*Fronts!$K$11),0))+SLAB_CURE</f>
        <v>4</v>
      </c>
      <c r="K1684" s="34" t="n">
        <f aca="false">IF(J1684=0,0,ROUNDUP(J1684*7/WD,0))</f>
        <v>5</v>
      </c>
      <c r="L1684" s="15" t="s">
        <v>5271</v>
      </c>
      <c r="M1684" s="34" t="n">
        <f aca="false">ROUNDUP(K1683*LADDER,0)</f>
        <v>1</v>
      </c>
      <c r="N1684" s="34" t="n">
        <f aca="false">IF(K1684=0,0,FFLAG)</f>
        <v>2</v>
      </c>
      <c r="O1684" s="15"/>
      <c r="P1684" s="16" t="n">
        <f aca="false">MAX(P1683+M1684)</f>
        <v>46444</v>
      </c>
      <c r="Q1684" s="16" t="n">
        <f aca="false">MAX(P1684+K1684,Q1683+N1684)</f>
        <v>46449</v>
      </c>
      <c r="R1684" s="16" t="n">
        <f aca="false">IF(K1684&gt;0,Q1684,0)</f>
        <v>46449</v>
      </c>
      <c r="S1684" s="12"/>
    </row>
    <row r="1685" customFormat="false" ht="15" hidden="false" customHeight="false" outlineLevel="0" collapsed="false">
      <c r="A1685" s="15" t="s">
        <v>5273</v>
      </c>
      <c r="B1685" s="15" t="s">
        <v>5265</v>
      </c>
      <c r="C1685" s="15" t="s">
        <v>403</v>
      </c>
      <c r="D1685" s="15" t="s">
        <v>1594</v>
      </c>
      <c r="E1685" s="15" t="s">
        <v>1670</v>
      </c>
      <c r="F1685" s="15" t="s">
        <v>3025</v>
      </c>
      <c r="G1685" s="15" t="s">
        <v>3026</v>
      </c>
      <c r="H1685" s="33" t="n">
        <f aca="false">Packages!$O$158</f>
        <v>6.00005280690313</v>
      </c>
      <c r="I1685" s="15" t="s">
        <v>118</v>
      </c>
      <c r="J1685" s="34" t="n">
        <f aca="false">MAX(1,ROUNDUP(Packages!$O$158/(IF(Packages!$N$158&gt;=PIPE_T1,R_PIPE_L,IF(Packages!$N$158&gt;=PIPE_T2,R_PIPE_M,R_PIPE_S))*Fronts!$L$11)+Packages!$M$158*FIT_D+IF(Packages!$G$158&lt;&gt;"Run",TIE_D,0),0))</f>
        <v>4</v>
      </c>
      <c r="K1685" s="34" t="n">
        <f aca="false">IF(J1685=0,0,ROUNDUP(J1685*7/WD,0))</f>
        <v>5</v>
      </c>
      <c r="L1685" s="15" t="s">
        <v>5272</v>
      </c>
      <c r="M1685" s="34" t="n">
        <f aca="false">ROUNDUP(K1684*LADDER,0)</f>
        <v>2</v>
      </c>
      <c r="N1685" s="34" t="n">
        <f aca="false">IF(K1685=0,0,FFLAG)</f>
        <v>2</v>
      </c>
      <c r="O1685" s="15" t="s">
        <v>5274</v>
      </c>
      <c r="P1685" s="16" t="n">
        <f aca="false">MAX(P1684+M1685,Q1674)</f>
        <v>46501</v>
      </c>
      <c r="Q1685" s="16" t="n">
        <f aca="false">MAX(P1685+K1685,Q1684+N1685)</f>
        <v>46506</v>
      </c>
      <c r="R1685" s="16" t="n">
        <f aca="false">IF(K1685&gt;0,Q1685,0)</f>
        <v>46506</v>
      </c>
      <c r="S1685" s="12"/>
    </row>
    <row r="1686" customFormat="false" ht="15" hidden="false" customHeight="false" outlineLevel="0" collapsed="false">
      <c r="A1686" s="15" t="s">
        <v>5275</v>
      </c>
      <c r="B1686" s="15" t="s">
        <v>5265</v>
      </c>
      <c r="C1686" s="15" t="s">
        <v>403</v>
      </c>
      <c r="D1686" s="15" t="s">
        <v>1594</v>
      </c>
      <c r="E1686" s="15" t="s">
        <v>1670</v>
      </c>
      <c r="F1686" s="15" t="s">
        <v>3028</v>
      </c>
      <c r="G1686" s="15" t="s">
        <v>3029</v>
      </c>
      <c r="H1686" s="33" t="n">
        <f aca="false">Packages!$O$158</f>
        <v>6.00005280690313</v>
      </c>
      <c r="I1686" s="15" t="s">
        <v>118</v>
      </c>
      <c r="J1686" s="34" t="n">
        <f aca="false">TEST_D+ROUNDUP(Packages!$O$158/R_TEST,0)</f>
        <v>3</v>
      </c>
      <c r="K1686" s="34" t="n">
        <f aca="false">IF(J1686=0,0,ROUNDUP(J1686*7/WD,0))</f>
        <v>4</v>
      </c>
      <c r="L1686" s="15" t="s">
        <v>5273</v>
      </c>
      <c r="M1686" s="34" t="n">
        <f aca="false">ROUNDUP(K1685*LADDER,0)</f>
        <v>2</v>
      </c>
      <c r="N1686" s="34" t="n">
        <f aca="false">IF(K1686=0,0,FFLAG)</f>
        <v>2</v>
      </c>
      <c r="O1686" s="15"/>
      <c r="P1686" s="16" t="n">
        <f aca="false">MAX(P1685+M1686)</f>
        <v>46503</v>
      </c>
      <c r="Q1686" s="16" t="n">
        <f aca="false">MAX(P1686+K1686,Q1685+N1686)</f>
        <v>46508</v>
      </c>
      <c r="R1686" s="12"/>
      <c r="S1686" s="12"/>
    </row>
    <row r="1687" customFormat="false" ht="15" hidden="false" customHeight="false" outlineLevel="0" collapsed="false">
      <c r="A1687" s="15" t="s">
        <v>5276</v>
      </c>
      <c r="B1687" s="15" t="s">
        <v>5265</v>
      </c>
      <c r="C1687" s="15" t="s">
        <v>403</v>
      </c>
      <c r="D1687" s="15" t="s">
        <v>1594</v>
      </c>
      <c r="E1687" s="15" t="s">
        <v>1670</v>
      </c>
      <c r="F1687" s="15" t="s">
        <v>3031</v>
      </c>
      <c r="G1687" s="15" t="s">
        <v>3032</v>
      </c>
      <c r="H1687" s="33" t="n">
        <f aca="false">Packages!$AB$158</f>
        <v>73.8882565422946</v>
      </c>
      <c r="I1687" s="15" t="s">
        <v>3019</v>
      </c>
      <c r="J1687" s="34" t="n">
        <f aca="false">MAX(1,ROUNDUP(Packages!$AB$158/(R_BF*Fronts!$M$11),0))</f>
        <v>1</v>
      </c>
      <c r="K1687" s="34" t="n">
        <f aca="false">IF(J1687=0,0,ROUNDUP(J1687*7/WD,0))</f>
        <v>2</v>
      </c>
      <c r="L1687" s="15" t="s">
        <v>5275</v>
      </c>
      <c r="M1687" s="34" t="n">
        <f aca="false">ROUNDUP(K1686*LADDER,0)</f>
        <v>2</v>
      </c>
      <c r="N1687" s="34" t="n">
        <f aca="false">IF(K1687=0,0,FFLAG)</f>
        <v>2</v>
      </c>
      <c r="O1687" s="15"/>
      <c r="P1687" s="16" t="n">
        <f aca="false">MAX(P1686+M1687)</f>
        <v>46505</v>
      </c>
      <c r="Q1687" s="16" t="n">
        <f aca="false">MAX(P1687+K1687,Q1686+N1687)</f>
        <v>46510</v>
      </c>
      <c r="R1687" s="16" t="n">
        <f aca="false">IF(K1687&gt;0,Q1687,0)</f>
        <v>46510</v>
      </c>
      <c r="S1687" s="12"/>
    </row>
    <row r="1688" customFormat="false" ht="15" hidden="false" customHeight="false" outlineLevel="0" collapsed="false">
      <c r="A1688" s="15" t="s">
        <v>5277</v>
      </c>
      <c r="B1688" s="15" t="s">
        <v>5265</v>
      </c>
      <c r="C1688" s="15" t="s">
        <v>403</v>
      </c>
      <c r="D1688" s="15" t="s">
        <v>1594</v>
      </c>
      <c r="E1688" s="15" t="s">
        <v>1670</v>
      </c>
      <c r="F1688" s="15" t="s">
        <v>3034</v>
      </c>
      <c r="G1688" s="15" t="s">
        <v>3035</v>
      </c>
      <c r="H1688" s="33" t="n">
        <f aca="false">Packages!$AD$158</f>
        <v>12.0001056138063</v>
      </c>
      <c r="I1688" s="15" t="s">
        <v>3012</v>
      </c>
      <c r="J1688" s="34" t="n">
        <f aca="false">IF(Packages!$AD$158&gt;0,ROUNDUP(Packages!$AD$158/R_EXT,0),0)+IF(Packages!$AG$158&gt;0,1,0)</f>
        <v>2</v>
      </c>
      <c r="K1688" s="34" t="n">
        <f aca="false">IF(J1688=0,0,ROUNDUP(J1688*7/WD,0))</f>
        <v>3</v>
      </c>
      <c r="L1688" s="15" t="s">
        <v>5276</v>
      </c>
      <c r="M1688" s="34" t="n">
        <f aca="false">ROUNDUP(K1687*LADDER,0)</f>
        <v>1</v>
      </c>
      <c r="N1688" s="34" t="n">
        <f aca="false">IF(K1688=0,0,FFLAG)</f>
        <v>2</v>
      </c>
      <c r="O1688" s="15"/>
      <c r="P1688" s="16" t="n">
        <f aca="false">MAX(P1687+M1688)</f>
        <v>46506</v>
      </c>
      <c r="Q1688" s="16" t="n">
        <f aca="false">MAX(P1688+K1688,Q1687+N1688)</f>
        <v>46512</v>
      </c>
      <c r="R1688" s="12"/>
      <c r="S1688" s="12"/>
    </row>
    <row r="1689" customFormat="false" ht="15" hidden="false" customHeight="false" outlineLevel="0" collapsed="false">
      <c r="A1689" s="15" t="s">
        <v>5278</v>
      </c>
      <c r="B1689" s="15" t="s">
        <v>5279</v>
      </c>
      <c r="C1689" s="15" t="s">
        <v>403</v>
      </c>
      <c r="D1689" s="15" t="s">
        <v>1594</v>
      </c>
      <c r="E1689" s="15" t="s">
        <v>1659</v>
      </c>
      <c r="F1689" s="15" t="s">
        <v>2998</v>
      </c>
      <c r="G1689" s="15" t="s">
        <v>2999</v>
      </c>
      <c r="H1689" s="12"/>
      <c r="I1689" s="12"/>
      <c r="J1689" s="34" t="n">
        <f aca="false">0</f>
        <v>0</v>
      </c>
      <c r="K1689" s="34" t="n">
        <f aca="false">IF(J1689=0,0,ROUNDUP(J1689*7/WD,0))</f>
        <v>0</v>
      </c>
      <c r="L1689" s="12"/>
      <c r="M1689" s="12"/>
      <c r="N1689" s="12"/>
      <c r="O1689" s="15" t="s">
        <v>3000</v>
      </c>
      <c r="P1689" s="16" t="n">
        <f aca="false">MAX(START,D_DLU,Packages!$I$159,Packages!$K$159)</f>
        <v>46357</v>
      </c>
      <c r="Q1689" s="16" t="n">
        <f aca="false">P1689+K1689</f>
        <v>46357</v>
      </c>
      <c r="R1689" s="12"/>
      <c r="S1689" s="12"/>
    </row>
    <row r="1690" customFormat="false" ht="15" hidden="false" customHeight="false" outlineLevel="0" collapsed="false">
      <c r="A1690" s="15" t="s">
        <v>5280</v>
      </c>
      <c r="B1690" s="15" t="s">
        <v>5279</v>
      </c>
      <c r="C1690" s="15" t="s">
        <v>403</v>
      </c>
      <c r="D1690" s="15" t="s">
        <v>1594</v>
      </c>
      <c r="E1690" s="15" t="s">
        <v>1659</v>
      </c>
      <c r="F1690" s="15" t="s">
        <v>3002</v>
      </c>
      <c r="G1690" s="15" t="s">
        <v>205</v>
      </c>
      <c r="H1690" s="33" t="n">
        <f aca="false">Packages!$O$159</f>
        <v>16.1414908080495</v>
      </c>
      <c r="I1690" s="15" t="s">
        <v>118</v>
      </c>
      <c r="J1690" s="34" t="n">
        <f aca="false">MAX(1,ROUNDUP(Packages!$O$159/R_PLAT,0))</f>
        <v>1</v>
      </c>
      <c r="K1690" s="34" t="n">
        <f aca="false">IF(J1690=0,0,ROUNDUP(J1690*7/WD,0))</f>
        <v>2</v>
      </c>
      <c r="L1690" s="15" t="s">
        <v>5278</v>
      </c>
      <c r="M1690" s="12"/>
      <c r="N1690" s="12"/>
      <c r="O1690" s="15" t="s">
        <v>5281</v>
      </c>
      <c r="P1690" s="16" t="n">
        <f aca="false">MAX(Q1689,P1669)</f>
        <v>46430</v>
      </c>
      <c r="Q1690" s="16" t="n">
        <f aca="false">P1690+K1690</f>
        <v>46432</v>
      </c>
      <c r="R1690" s="12"/>
      <c r="S1690" s="12"/>
    </row>
    <row r="1691" customFormat="false" ht="15" hidden="false" customHeight="false" outlineLevel="0" collapsed="false">
      <c r="A1691" s="15" t="s">
        <v>5282</v>
      </c>
      <c r="B1691" s="15" t="s">
        <v>5279</v>
      </c>
      <c r="C1691" s="15" t="s">
        <v>403</v>
      </c>
      <c r="D1691" s="15" t="s">
        <v>1594</v>
      </c>
      <c r="E1691" s="15" t="s">
        <v>1659</v>
      </c>
      <c r="F1691" s="15" t="s">
        <v>3005</v>
      </c>
      <c r="G1691" s="15" t="s">
        <v>3006</v>
      </c>
      <c r="H1691" s="33" t="n">
        <f aca="false">Packages!$AC$159</f>
        <v>7</v>
      </c>
      <c r="I1691" s="15" t="s">
        <v>3007</v>
      </c>
      <c r="J1691" s="34" t="n">
        <f aca="false">IF(Packages!$AC$159=0,0,MAX(1,ROUNDUP(Packages!$AC$159/(R_PILE*Fronts!$H$11),0)))</f>
        <v>2</v>
      </c>
      <c r="K1691" s="34" t="n">
        <f aca="false">IF(J1691=0,0,ROUNDUP(J1691*7/WD,0))</f>
        <v>3</v>
      </c>
      <c r="L1691" s="15" t="s">
        <v>5280</v>
      </c>
      <c r="M1691" s="34" t="n">
        <f aca="false">ROUNDUP(K1690*LADDER,0)</f>
        <v>1</v>
      </c>
      <c r="N1691" s="34" t="n">
        <f aca="false">IF(K1691=0,0,FFLAG)</f>
        <v>2</v>
      </c>
      <c r="O1691" s="15" t="s">
        <v>3008</v>
      </c>
      <c r="P1691" s="16" t="n">
        <f aca="false">MAX(P1690+M1691,D_PILEDES,R1669)</f>
        <v>46434</v>
      </c>
      <c r="Q1691" s="16" t="n">
        <f aca="false">MAX(P1691+K1691,Q1690+N1691)</f>
        <v>46437</v>
      </c>
      <c r="R1691" s="16" t="n">
        <f aca="false">IF(K1691&gt;0,Q1691,R1669)</f>
        <v>46437</v>
      </c>
      <c r="S1691" s="15" t="s">
        <v>5254</v>
      </c>
    </row>
    <row r="1692" customFormat="false" ht="15" hidden="false" customHeight="false" outlineLevel="0" collapsed="false">
      <c r="A1692" s="15" t="s">
        <v>5283</v>
      </c>
      <c r="B1692" s="15" t="s">
        <v>5279</v>
      </c>
      <c r="C1692" s="15" t="s">
        <v>403</v>
      </c>
      <c r="D1692" s="15" t="s">
        <v>1594</v>
      </c>
      <c r="E1692" s="15" t="s">
        <v>1659</v>
      </c>
      <c r="F1692" s="15" t="s">
        <v>3010</v>
      </c>
      <c r="G1692" s="15" t="s">
        <v>3011</v>
      </c>
      <c r="H1692" s="33" t="n">
        <f aca="false">Packages!$AD$159</f>
        <v>32.2829816160989</v>
      </c>
      <c r="I1692" s="15" t="s">
        <v>3012</v>
      </c>
      <c r="J1692" s="34" t="n">
        <f aca="false">IF(Packages!$AD$159=0,0,MAX(1,ROUNDUP(Packages!$AD$159/(R_SHEET*Fronts!$I$11),0)))</f>
        <v>2</v>
      </c>
      <c r="K1692" s="34" t="n">
        <f aca="false">IF(J1692=0,0,ROUNDUP(J1692*7/WD,0))</f>
        <v>3</v>
      </c>
      <c r="L1692" s="15" t="s">
        <v>5282</v>
      </c>
      <c r="M1692" s="34" t="n">
        <f aca="false">ROUNDUP(K1691*LADDER,0)</f>
        <v>1</v>
      </c>
      <c r="N1692" s="34" t="n">
        <f aca="false">IF(K1692=0,0,FFLAG)</f>
        <v>2</v>
      </c>
      <c r="O1692" s="15"/>
      <c r="P1692" s="16" t="n">
        <f aca="false">MAX(P1691+M1692,R1670)</f>
        <v>46436</v>
      </c>
      <c r="Q1692" s="16" t="n">
        <f aca="false">MAX(P1692+K1692,Q1691+N1692)</f>
        <v>46439</v>
      </c>
      <c r="R1692" s="16" t="n">
        <f aca="false">IF(K1692&gt;0,Q1692,R1670)</f>
        <v>46439</v>
      </c>
      <c r="S1692" s="15" t="s">
        <v>5255</v>
      </c>
    </row>
    <row r="1693" customFormat="false" ht="15" hidden="false" customHeight="false" outlineLevel="0" collapsed="false">
      <c r="A1693" s="15" t="s">
        <v>5284</v>
      </c>
      <c r="B1693" s="15" t="s">
        <v>5279</v>
      </c>
      <c r="C1693" s="15" t="s">
        <v>403</v>
      </c>
      <c r="D1693" s="15" t="s">
        <v>1594</v>
      </c>
      <c r="E1693" s="15" t="s">
        <v>1659</v>
      </c>
      <c r="F1693" s="15" t="s">
        <v>3014</v>
      </c>
      <c r="G1693" s="15" t="s">
        <v>3015</v>
      </c>
      <c r="H1693" s="33" t="n">
        <f aca="false">Packages!$O$159</f>
        <v>16.1414908080495</v>
      </c>
      <c r="I1693" s="15" t="s">
        <v>118</v>
      </c>
      <c r="J1693" s="34" t="n">
        <f aca="false">IF(Packages!$AG$159=0,0,ROUNDUP(Packages!$O$159/R_DW,0)+DW_DRAW)</f>
        <v>8</v>
      </c>
      <c r="K1693" s="34" t="n">
        <f aca="false">IF(J1693=0,0,ROUNDUP(J1693*7/WD,0))</f>
        <v>10</v>
      </c>
      <c r="L1693" s="15" t="s">
        <v>5283</v>
      </c>
      <c r="M1693" s="34" t="n">
        <f aca="false">ROUNDUP(K1692*LADDER,0)</f>
        <v>1</v>
      </c>
      <c r="N1693" s="34" t="n">
        <f aca="false">IF(K1693=0,0,FFLAG)</f>
        <v>2</v>
      </c>
      <c r="O1693" s="15" t="s">
        <v>5285</v>
      </c>
      <c r="P1693" s="16" t="n">
        <f aca="false">MAX(P1692+M1693,Q1672-K1693)</f>
        <v>46467</v>
      </c>
      <c r="Q1693" s="16" t="n">
        <f aca="false">MAX(P1693+K1693,Q1692+N1693)</f>
        <v>46477</v>
      </c>
      <c r="R1693" s="12"/>
      <c r="S1693" s="12"/>
    </row>
    <row r="1694" customFormat="false" ht="15" hidden="false" customHeight="false" outlineLevel="0" collapsed="false">
      <c r="A1694" s="15" t="s">
        <v>5286</v>
      </c>
      <c r="B1694" s="15" t="s">
        <v>5279</v>
      </c>
      <c r="C1694" s="15" t="s">
        <v>403</v>
      </c>
      <c r="D1694" s="15" t="s">
        <v>1594</v>
      </c>
      <c r="E1694" s="15" t="s">
        <v>1659</v>
      </c>
      <c r="F1694" s="15" t="s">
        <v>3017</v>
      </c>
      <c r="G1694" s="15" t="s">
        <v>3018</v>
      </c>
      <c r="H1694" s="33" t="n">
        <f aca="false">Packages!$X$159+Packages!$Y$159</f>
        <v>227.519110344138</v>
      </c>
      <c r="I1694" s="15" t="s">
        <v>3019</v>
      </c>
      <c r="J1694" s="34" t="n">
        <f aca="false">MAX(1,ROUNDUP((Packages!$X$159/R_EXS+Packages!$Y$159/R_EXO)/Fronts!$J$11,0))</f>
        <v>1</v>
      </c>
      <c r="K1694" s="34" t="n">
        <f aca="false">IF(J1694=0,0,ROUNDUP(J1694*7/WD,0))</f>
        <v>2</v>
      </c>
      <c r="L1694" s="15" t="s">
        <v>5284</v>
      </c>
      <c r="M1694" s="34" t="n">
        <f aca="false">IF(K1693=0,0,ROUNDUP((K1693-ROUNDUP(DW_DRAW*7/WD,0))*LADDER,0)+ROUNDUP(DW_DRAW*7/WD,0))</f>
        <v>10</v>
      </c>
      <c r="N1694" s="34" t="n">
        <f aca="false">IF(K1694=0,0,FFLAG)</f>
        <v>2</v>
      </c>
      <c r="O1694" s="15" t="s">
        <v>5287</v>
      </c>
      <c r="P1694" s="16" t="n">
        <f aca="false">MAX(P1693+M1694,R1672,Q1566)</f>
        <v>46477</v>
      </c>
      <c r="Q1694" s="16" t="n">
        <f aca="false">MAX(P1694+K1694,Q1693+N1694)</f>
        <v>46479</v>
      </c>
      <c r="R1694" s="16" t="n">
        <f aca="false">IF(K1694&gt;0,Q1694,R1672)</f>
        <v>46479</v>
      </c>
      <c r="S1694" s="15" t="s">
        <v>5258</v>
      </c>
    </row>
    <row r="1695" customFormat="false" ht="15" hidden="false" customHeight="false" outlineLevel="0" collapsed="false">
      <c r="A1695" s="15" t="s">
        <v>5288</v>
      </c>
      <c r="B1695" s="15" t="s">
        <v>5279</v>
      </c>
      <c r="C1695" s="15" t="s">
        <v>403</v>
      </c>
      <c r="D1695" s="15" t="s">
        <v>1594</v>
      </c>
      <c r="E1695" s="15" t="s">
        <v>1659</v>
      </c>
      <c r="F1695" s="15" t="s">
        <v>3022</v>
      </c>
      <c r="G1695" s="15" t="s">
        <v>3023</v>
      </c>
      <c r="H1695" s="33" t="n">
        <f aca="false">Packages!$O$159</f>
        <v>16.1414908080495</v>
      </c>
      <c r="I1695" s="15" t="s">
        <v>118</v>
      </c>
      <c r="J1695" s="34" t="n">
        <f aca="false">MAX(1,ROUNDUP(Packages!$O$159/(R_SLAB*Fronts!$K$11),0))+SLAB_CURE</f>
        <v>5</v>
      </c>
      <c r="K1695" s="34" t="n">
        <f aca="false">IF(J1695=0,0,ROUNDUP(J1695*7/WD,0))</f>
        <v>6</v>
      </c>
      <c r="L1695" s="15" t="s">
        <v>5286</v>
      </c>
      <c r="M1695" s="34" t="n">
        <f aca="false">ROUNDUP(K1694*LADDER,0)</f>
        <v>1</v>
      </c>
      <c r="N1695" s="34" t="n">
        <f aca="false">IF(K1695=0,0,FFLAG)</f>
        <v>2</v>
      </c>
      <c r="O1695" s="15"/>
      <c r="P1695" s="16" t="n">
        <f aca="false">MAX(P1694+M1695,R1673)</f>
        <v>46499</v>
      </c>
      <c r="Q1695" s="16" t="n">
        <f aca="false">MAX(P1695+K1695,Q1694+N1695)</f>
        <v>46505</v>
      </c>
      <c r="R1695" s="16" t="n">
        <f aca="false">IF(K1695&gt;0,Q1695,R1673)</f>
        <v>46505</v>
      </c>
      <c r="S1695" s="15" t="s">
        <v>5259</v>
      </c>
    </row>
    <row r="1696" customFormat="false" ht="15" hidden="false" customHeight="false" outlineLevel="0" collapsed="false">
      <c r="A1696" s="15" t="s">
        <v>5289</v>
      </c>
      <c r="B1696" s="15" t="s">
        <v>5279</v>
      </c>
      <c r="C1696" s="15" t="s">
        <v>403</v>
      </c>
      <c r="D1696" s="15" t="s">
        <v>1594</v>
      </c>
      <c r="E1696" s="15" t="s">
        <v>1659</v>
      </c>
      <c r="F1696" s="15" t="s">
        <v>3025</v>
      </c>
      <c r="G1696" s="15" t="s">
        <v>3026</v>
      </c>
      <c r="H1696" s="33" t="n">
        <f aca="false">Packages!$O$159</f>
        <v>16.1414908080495</v>
      </c>
      <c r="I1696" s="15" t="s">
        <v>118</v>
      </c>
      <c r="J1696" s="34" t="n">
        <f aca="false">MAX(1,ROUNDUP(Packages!$O$159/(IF(Packages!$N$159&gt;=PIPE_T1,R_PIPE_L,IF(Packages!$N$159&gt;=PIPE_T2,R_PIPE_M,R_PIPE_S))*Fronts!$L$11)+Packages!$M$159*FIT_D+IF(Packages!$G$159&lt;&gt;"Run",TIE_D,0),0))</f>
        <v>2</v>
      </c>
      <c r="K1696" s="34" t="n">
        <f aca="false">IF(J1696=0,0,ROUNDUP(J1696*7/WD,0))</f>
        <v>3</v>
      </c>
      <c r="L1696" s="15" t="s">
        <v>5288</v>
      </c>
      <c r="M1696" s="34" t="n">
        <f aca="false">ROUNDUP(K1695*LADDER,0)</f>
        <v>2</v>
      </c>
      <c r="N1696" s="34" t="n">
        <f aca="false">IF(K1696=0,0,FFLAG)</f>
        <v>2</v>
      </c>
      <c r="O1696" s="15"/>
      <c r="P1696" s="16" t="n">
        <f aca="false">MAX(P1695+M1696,R1674)</f>
        <v>46501</v>
      </c>
      <c r="Q1696" s="16" t="n">
        <f aca="false">MAX(P1696+K1696,Q1695+N1696)</f>
        <v>46507</v>
      </c>
      <c r="R1696" s="16" t="n">
        <f aca="false">IF(K1696&gt;0,Q1696,R1674)</f>
        <v>46507</v>
      </c>
      <c r="S1696" s="15" t="s">
        <v>5260</v>
      </c>
    </row>
    <row r="1697" customFormat="false" ht="15" hidden="false" customHeight="false" outlineLevel="0" collapsed="false">
      <c r="A1697" s="15" t="s">
        <v>5290</v>
      </c>
      <c r="B1697" s="15" t="s">
        <v>5279</v>
      </c>
      <c r="C1697" s="15" t="s">
        <v>403</v>
      </c>
      <c r="D1697" s="15" t="s">
        <v>1594</v>
      </c>
      <c r="E1697" s="15" t="s">
        <v>1659</v>
      </c>
      <c r="F1697" s="15" t="s">
        <v>3028</v>
      </c>
      <c r="G1697" s="15" t="s">
        <v>3029</v>
      </c>
      <c r="H1697" s="33" t="n">
        <f aca="false">Packages!$O$159</f>
        <v>16.1414908080495</v>
      </c>
      <c r="I1697" s="15" t="s">
        <v>118</v>
      </c>
      <c r="J1697" s="34" t="n">
        <f aca="false">TEST_D+ROUNDUP(Packages!$O$159/R_TEST,0)</f>
        <v>3</v>
      </c>
      <c r="K1697" s="34" t="n">
        <f aca="false">IF(J1697=0,0,ROUNDUP(J1697*7/WD,0))</f>
        <v>4</v>
      </c>
      <c r="L1697" s="15" t="s">
        <v>5289</v>
      </c>
      <c r="M1697" s="34" t="n">
        <f aca="false">ROUNDUP(K1696*LADDER,0)</f>
        <v>1</v>
      </c>
      <c r="N1697" s="34" t="n">
        <f aca="false">IF(K1697=0,0,FFLAG)</f>
        <v>2</v>
      </c>
      <c r="O1697" s="15"/>
      <c r="P1697" s="16" t="n">
        <f aca="false">MAX(P1696+M1697)</f>
        <v>46502</v>
      </c>
      <c r="Q1697" s="16" t="n">
        <f aca="false">MAX(P1697+K1697,Q1696+N1697)</f>
        <v>46509</v>
      </c>
      <c r="R1697" s="12"/>
      <c r="S1697" s="12"/>
    </row>
    <row r="1698" customFormat="false" ht="15" hidden="false" customHeight="false" outlineLevel="0" collapsed="false">
      <c r="A1698" s="15" t="s">
        <v>5291</v>
      </c>
      <c r="B1698" s="15" t="s">
        <v>5279</v>
      </c>
      <c r="C1698" s="15" t="s">
        <v>403</v>
      </c>
      <c r="D1698" s="15" t="s">
        <v>1594</v>
      </c>
      <c r="E1698" s="15" t="s">
        <v>1659</v>
      </c>
      <c r="F1698" s="15" t="s">
        <v>3031</v>
      </c>
      <c r="G1698" s="15" t="s">
        <v>3032</v>
      </c>
      <c r="H1698" s="33" t="n">
        <f aca="false">Packages!$AB$159</f>
        <v>198.725330905017</v>
      </c>
      <c r="I1698" s="15" t="s">
        <v>3019</v>
      </c>
      <c r="J1698" s="34" t="n">
        <f aca="false">MAX(1,ROUNDUP(Packages!$AB$159/(R_BF*Fronts!$M$11),0))</f>
        <v>1</v>
      </c>
      <c r="K1698" s="34" t="n">
        <f aca="false">IF(J1698=0,0,ROUNDUP(J1698*7/WD,0))</f>
        <v>2</v>
      </c>
      <c r="L1698" s="15" t="s">
        <v>5290</v>
      </c>
      <c r="M1698" s="34" t="n">
        <f aca="false">ROUNDUP(K1697*LADDER,0)</f>
        <v>2</v>
      </c>
      <c r="N1698" s="34" t="n">
        <f aca="false">IF(K1698=0,0,FFLAG)</f>
        <v>2</v>
      </c>
      <c r="O1698" s="15"/>
      <c r="P1698" s="16" t="n">
        <f aca="false">MAX(P1697+M1698,R1676)</f>
        <v>46511</v>
      </c>
      <c r="Q1698" s="16" t="n">
        <f aca="false">MAX(P1698+K1698,Q1697+N1698)</f>
        <v>46513</v>
      </c>
      <c r="R1698" s="16" t="n">
        <f aca="false">IF(K1698&gt;0,Q1698,R1676)</f>
        <v>46513</v>
      </c>
      <c r="S1698" s="15" t="s">
        <v>5262</v>
      </c>
    </row>
    <row r="1699" customFormat="false" ht="15" hidden="false" customHeight="false" outlineLevel="0" collapsed="false">
      <c r="A1699" s="15" t="s">
        <v>5292</v>
      </c>
      <c r="B1699" s="15" t="s">
        <v>5279</v>
      </c>
      <c r="C1699" s="15" t="s">
        <v>403</v>
      </c>
      <c r="D1699" s="15" t="s">
        <v>1594</v>
      </c>
      <c r="E1699" s="15" t="s">
        <v>1659</v>
      </c>
      <c r="F1699" s="15" t="s">
        <v>3034</v>
      </c>
      <c r="G1699" s="15" t="s">
        <v>3035</v>
      </c>
      <c r="H1699" s="33" t="n">
        <f aca="false">Packages!$AD$159</f>
        <v>32.2829816160989</v>
      </c>
      <c r="I1699" s="15" t="s">
        <v>3012</v>
      </c>
      <c r="J1699" s="34" t="n">
        <f aca="false">IF(Packages!$AD$159&gt;0,ROUNDUP(Packages!$AD$159/R_EXT,0),0)+IF(Packages!$AG$159&gt;0,1,0)</f>
        <v>2</v>
      </c>
      <c r="K1699" s="34" t="n">
        <f aca="false">IF(J1699=0,0,ROUNDUP(J1699*7/WD,0))</f>
        <v>3</v>
      </c>
      <c r="L1699" s="15" t="s">
        <v>5291</v>
      </c>
      <c r="M1699" s="34" t="n">
        <f aca="false">ROUNDUP(K1698*LADDER,0)</f>
        <v>1</v>
      </c>
      <c r="N1699" s="34" t="n">
        <f aca="false">IF(K1699=0,0,FFLAG)</f>
        <v>2</v>
      </c>
      <c r="O1699" s="15"/>
      <c r="P1699" s="16" t="n">
        <f aca="false">MAX(P1698+M1699)</f>
        <v>46512</v>
      </c>
      <c r="Q1699" s="16" t="n">
        <f aca="false">MAX(P1699+K1699,Q1698+N1699)</f>
        <v>46515</v>
      </c>
      <c r="R1699" s="12"/>
      <c r="S1699" s="12"/>
    </row>
    <row r="1700" customFormat="false" ht="15" hidden="false" customHeight="false" outlineLevel="0" collapsed="false">
      <c r="A1700" s="15" t="s">
        <v>5293</v>
      </c>
      <c r="B1700" s="15" t="s">
        <v>5294</v>
      </c>
      <c r="C1700" s="15" t="s">
        <v>403</v>
      </c>
      <c r="D1700" s="15" t="s">
        <v>1594</v>
      </c>
      <c r="E1700" s="15" t="s">
        <v>1616</v>
      </c>
      <c r="F1700" s="15" t="s">
        <v>2998</v>
      </c>
      <c r="G1700" s="15" t="s">
        <v>2999</v>
      </c>
      <c r="H1700" s="12"/>
      <c r="I1700" s="12"/>
      <c r="J1700" s="34" t="n">
        <f aca="false">0</f>
        <v>0</v>
      </c>
      <c r="K1700" s="34" t="n">
        <f aca="false">IF(J1700=0,0,ROUNDUP(J1700*7/WD,0))</f>
        <v>0</v>
      </c>
      <c r="L1700" s="12"/>
      <c r="M1700" s="12"/>
      <c r="N1700" s="12"/>
      <c r="O1700" s="15" t="s">
        <v>3000</v>
      </c>
      <c r="P1700" s="16" t="n">
        <f aca="false">MAX(START,D_DLU,Packages!$I$160,Packages!$K$160)</f>
        <v>46357</v>
      </c>
      <c r="Q1700" s="16" t="n">
        <f aca="false">P1700+K1700</f>
        <v>46357</v>
      </c>
      <c r="R1700" s="12"/>
      <c r="S1700" s="12"/>
    </row>
    <row r="1701" customFormat="false" ht="15" hidden="false" customHeight="false" outlineLevel="0" collapsed="false">
      <c r="A1701" s="15" t="s">
        <v>5295</v>
      </c>
      <c r="B1701" s="15" t="s">
        <v>5294</v>
      </c>
      <c r="C1701" s="15" t="s">
        <v>403</v>
      </c>
      <c r="D1701" s="15" t="s">
        <v>1594</v>
      </c>
      <c r="E1701" s="15" t="s">
        <v>1616</v>
      </c>
      <c r="F1701" s="15" t="s">
        <v>3002</v>
      </c>
      <c r="G1701" s="15" t="s">
        <v>205</v>
      </c>
      <c r="H1701" s="33" t="n">
        <f aca="false">Packages!$O$160</f>
        <v>24.0000000004158</v>
      </c>
      <c r="I1701" s="15" t="s">
        <v>118</v>
      </c>
      <c r="J1701" s="34" t="n">
        <f aca="false">MAX(1,ROUNDUP(Packages!$O$160/R_PLAT,0))</f>
        <v>1</v>
      </c>
      <c r="K1701" s="34" t="n">
        <f aca="false">IF(J1701=0,0,ROUNDUP(J1701*7/WD,0))</f>
        <v>2</v>
      </c>
      <c r="L1701" s="15" t="s">
        <v>5293</v>
      </c>
      <c r="M1701" s="12"/>
      <c r="N1701" s="12"/>
      <c r="O1701" s="15" t="s">
        <v>5296</v>
      </c>
      <c r="P1701" s="16" t="n">
        <f aca="false">MAX(Q1700,P1691)</f>
        <v>46434</v>
      </c>
      <c r="Q1701" s="16" t="n">
        <f aca="false">P1701+K1701</f>
        <v>46436</v>
      </c>
      <c r="R1701" s="12"/>
      <c r="S1701" s="12"/>
    </row>
    <row r="1702" customFormat="false" ht="15" hidden="false" customHeight="false" outlineLevel="0" collapsed="false">
      <c r="A1702" s="15" t="s">
        <v>5297</v>
      </c>
      <c r="B1702" s="15" t="s">
        <v>5294</v>
      </c>
      <c r="C1702" s="15" t="s">
        <v>403</v>
      </c>
      <c r="D1702" s="15" t="s">
        <v>1594</v>
      </c>
      <c r="E1702" s="15" t="s">
        <v>1616</v>
      </c>
      <c r="F1702" s="15" t="s">
        <v>3005</v>
      </c>
      <c r="G1702" s="15" t="s">
        <v>3006</v>
      </c>
      <c r="H1702" s="33" t="n">
        <f aca="false">Packages!$AC$160</f>
        <v>20</v>
      </c>
      <c r="I1702" s="15" t="s">
        <v>3007</v>
      </c>
      <c r="J1702" s="34" t="n">
        <f aca="false">IF(Packages!$AC$160=0,0,MAX(1,ROUNDUP(Packages!$AC$160/(R_PILE*Fronts!$H$11),0)))</f>
        <v>4</v>
      </c>
      <c r="K1702" s="34" t="n">
        <f aca="false">IF(J1702=0,0,ROUNDUP(J1702*7/WD,0))</f>
        <v>5</v>
      </c>
      <c r="L1702" s="15" t="s">
        <v>5295</v>
      </c>
      <c r="M1702" s="34" t="n">
        <f aca="false">ROUNDUP(K1701*LADDER,0)</f>
        <v>1</v>
      </c>
      <c r="N1702" s="34" t="n">
        <f aca="false">IF(K1702=0,0,FFLAG)</f>
        <v>2</v>
      </c>
      <c r="O1702" s="15" t="s">
        <v>3008</v>
      </c>
      <c r="P1702" s="16" t="n">
        <f aca="false">MAX(P1701+M1702,D_PILEDES,R1691)</f>
        <v>46437</v>
      </c>
      <c r="Q1702" s="16" t="n">
        <f aca="false">MAX(P1702+K1702,Q1701+N1702)</f>
        <v>46442</v>
      </c>
      <c r="R1702" s="16" t="n">
        <f aca="false">IF(K1702&gt;0,Q1702,R1691)</f>
        <v>46442</v>
      </c>
      <c r="S1702" s="15" t="s">
        <v>5282</v>
      </c>
    </row>
    <row r="1703" customFormat="false" ht="15" hidden="false" customHeight="false" outlineLevel="0" collapsed="false">
      <c r="A1703" s="15" t="s">
        <v>5298</v>
      </c>
      <c r="B1703" s="15" t="s">
        <v>5294</v>
      </c>
      <c r="C1703" s="15" t="s">
        <v>403</v>
      </c>
      <c r="D1703" s="15" t="s">
        <v>1594</v>
      </c>
      <c r="E1703" s="15" t="s">
        <v>1616</v>
      </c>
      <c r="F1703" s="15" t="s">
        <v>3010</v>
      </c>
      <c r="G1703" s="15" t="s">
        <v>3011</v>
      </c>
      <c r="H1703" s="33" t="n">
        <f aca="false">Packages!$AD$160</f>
        <v>48.0000000008316</v>
      </c>
      <c r="I1703" s="15" t="s">
        <v>3012</v>
      </c>
      <c r="J1703" s="34" t="n">
        <f aca="false">IF(Packages!$AD$160=0,0,MAX(1,ROUNDUP(Packages!$AD$160/(R_SHEET*Fronts!$I$11),0)))</f>
        <v>2</v>
      </c>
      <c r="K1703" s="34" t="n">
        <f aca="false">IF(J1703=0,0,ROUNDUP(J1703*7/WD,0))</f>
        <v>3</v>
      </c>
      <c r="L1703" s="15" t="s">
        <v>5297</v>
      </c>
      <c r="M1703" s="34" t="n">
        <f aca="false">ROUNDUP(K1702*LADDER,0)</f>
        <v>2</v>
      </c>
      <c r="N1703" s="34" t="n">
        <f aca="false">IF(K1703=0,0,FFLAG)</f>
        <v>2</v>
      </c>
      <c r="O1703" s="15"/>
      <c r="P1703" s="16" t="n">
        <f aca="false">MAX(P1702+M1703,R1692)</f>
        <v>46439</v>
      </c>
      <c r="Q1703" s="16" t="n">
        <f aca="false">MAX(P1703+K1703,Q1702+N1703)</f>
        <v>46444</v>
      </c>
      <c r="R1703" s="16" t="n">
        <f aca="false">IF(K1703&gt;0,Q1703,R1692)</f>
        <v>46444</v>
      </c>
      <c r="S1703" s="15" t="s">
        <v>5283</v>
      </c>
    </row>
    <row r="1704" customFormat="false" ht="15" hidden="false" customHeight="false" outlineLevel="0" collapsed="false">
      <c r="A1704" s="15" t="s">
        <v>5299</v>
      </c>
      <c r="B1704" s="15" t="s">
        <v>5294</v>
      </c>
      <c r="C1704" s="15" t="s">
        <v>403</v>
      </c>
      <c r="D1704" s="15" t="s">
        <v>1594</v>
      </c>
      <c r="E1704" s="15" t="s">
        <v>1616</v>
      </c>
      <c r="F1704" s="15" t="s">
        <v>3014</v>
      </c>
      <c r="G1704" s="15" t="s">
        <v>3015</v>
      </c>
      <c r="H1704" s="33" t="n">
        <f aca="false">Packages!$O$160</f>
        <v>24.0000000004158</v>
      </c>
      <c r="I1704" s="15" t="s">
        <v>118</v>
      </c>
      <c r="J1704" s="34" t="n">
        <f aca="false">IF(Packages!$AG$160=0,0,ROUNDUP(Packages!$O$160/R_DW,0)+DW_DRAW)</f>
        <v>8</v>
      </c>
      <c r="K1704" s="34" t="n">
        <f aca="false">IF(J1704=0,0,ROUNDUP(J1704*7/WD,0))</f>
        <v>10</v>
      </c>
      <c r="L1704" s="15" t="s">
        <v>5298</v>
      </c>
      <c r="M1704" s="34" t="n">
        <f aca="false">ROUNDUP(K1703*LADDER,0)</f>
        <v>1</v>
      </c>
      <c r="N1704" s="34" t="n">
        <f aca="false">IF(K1704=0,0,FFLAG)</f>
        <v>2</v>
      </c>
      <c r="O1704" s="15" t="s">
        <v>5300</v>
      </c>
      <c r="P1704" s="16" t="n">
        <f aca="false">MAX(P1703+M1704,Q1694-K1704)</f>
        <v>46469</v>
      </c>
      <c r="Q1704" s="16" t="n">
        <f aca="false">MAX(P1704+K1704,Q1703+N1704)</f>
        <v>46479</v>
      </c>
      <c r="R1704" s="12"/>
      <c r="S1704" s="12"/>
    </row>
    <row r="1705" customFormat="false" ht="15" hidden="false" customHeight="false" outlineLevel="0" collapsed="false">
      <c r="A1705" s="15" t="s">
        <v>5301</v>
      </c>
      <c r="B1705" s="15" t="s">
        <v>5294</v>
      </c>
      <c r="C1705" s="15" t="s">
        <v>403</v>
      </c>
      <c r="D1705" s="15" t="s">
        <v>1594</v>
      </c>
      <c r="E1705" s="15" t="s">
        <v>1616</v>
      </c>
      <c r="F1705" s="15" t="s">
        <v>3017</v>
      </c>
      <c r="G1705" s="15" t="s">
        <v>3018</v>
      </c>
      <c r="H1705" s="33" t="n">
        <f aca="false">Packages!$X$160+Packages!$Y$160</f>
        <v>244.693939744577</v>
      </c>
      <c r="I1705" s="15" t="s">
        <v>3019</v>
      </c>
      <c r="J1705" s="34" t="n">
        <f aca="false">MAX(1,ROUNDUP((Packages!$X$160/R_EXS+Packages!$Y$160/R_EXO)/Fronts!$J$11,0))</f>
        <v>1</v>
      </c>
      <c r="K1705" s="34" t="n">
        <f aca="false">IF(J1705=0,0,ROUNDUP(J1705*7/WD,0))</f>
        <v>2</v>
      </c>
      <c r="L1705" s="15" t="s">
        <v>5299</v>
      </c>
      <c r="M1705" s="34" t="n">
        <f aca="false">IF(K1704=0,0,ROUNDUP((K1704-ROUNDUP(DW_DRAW*7/WD,0))*LADDER,0)+ROUNDUP(DW_DRAW*7/WD,0))</f>
        <v>10</v>
      </c>
      <c r="N1705" s="34" t="n">
        <f aca="false">IF(K1705=0,0,FFLAG)</f>
        <v>2</v>
      </c>
      <c r="O1705" s="15"/>
      <c r="P1705" s="16" t="n">
        <f aca="false">MAX(P1704+M1705,R1694)</f>
        <v>46479</v>
      </c>
      <c r="Q1705" s="16" t="n">
        <f aca="false">MAX(P1705+K1705,Q1704+N1705)</f>
        <v>46481</v>
      </c>
      <c r="R1705" s="16" t="n">
        <f aca="false">IF(K1705&gt;0,Q1705,R1694)</f>
        <v>46481</v>
      </c>
      <c r="S1705" s="15" t="s">
        <v>5286</v>
      </c>
    </row>
    <row r="1706" customFormat="false" ht="15" hidden="false" customHeight="false" outlineLevel="0" collapsed="false">
      <c r="A1706" s="15" t="s">
        <v>5302</v>
      </c>
      <c r="B1706" s="15" t="s">
        <v>5294</v>
      </c>
      <c r="C1706" s="15" t="s">
        <v>403</v>
      </c>
      <c r="D1706" s="15" t="s">
        <v>1594</v>
      </c>
      <c r="E1706" s="15" t="s">
        <v>1616</v>
      </c>
      <c r="F1706" s="15" t="s">
        <v>3022</v>
      </c>
      <c r="G1706" s="15" t="s">
        <v>3023</v>
      </c>
      <c r="H1706" s="33" t="n">
        <f aca="false">Packages!$O$160</f>
        <v>24.0000000004158</v>
      </c>
      <c r="I1706" s="15" t="s">
        <v>118</v>
      </c>
      <c r="J1706" s="34" t="n">
        <f aca="false">MAX(1,ROUNDUP(Packages!$O$160/(R_SLAB*Fronts!$K$11),0))+SLAB_CURE</f>
        <v>6</v>
      </c>
      <c r="K1706" s="34" t="n">
        <f aca="false">IF(J1706=0,0,ROUNDUP(J1706*7/WD,0))</f>
        <v>7</v>
      </c>
      <c r="L1706" s="15" t="s">
        <v>5301</v>
      </c>
      <c r="M1706" s="34" t="n">
        <f aca="false">ROUNDUP(K1705*LADDER,0)</f>
        <v>1</v>
      </c>
      <c r="N1706" s="34" t="n">
        <f aca="false">IF(K1706=0,0,FFLAG)</f>
        <v>2</v>
      </c>
      <c r="O1706" s="15"/>
      <c r="P1706" s="16" t="n">
        <f aca="false">MAX(P1705+M1706,R1695)</f>
        <v>46505</v>
      </c>
      <c r="Q1706" s="16" t="n">
        <f aca="false">MAX(P1706+K1706,Q1705+N1706)</f>
        <v>46512</v>
      </c>
      <c r="R1706" s="16" t="n">
        <f aca="false">IF(K1706&gt;0,Q1706,R1695)</f>
        <v>46512</v>
      </c>
      <c r="S1706" s="15" t="s">
        <v>5288</v>
      </c>
    </row>
    <row r="1707" customFormat="false" ht="15" hidden="false" customHeight="false" outlineLevel="0" collapsed="false">
      <c r="A1707" s="15" t="s">
        <v>5303</v>
      </c>
      <c r="B1707" s="15" t="s">
        <v>5294</v>
      </c>
      <c r="C1707" s="15" t="s">
        <v>403</v>
      </c>
      <c r="D1707" s="15" t="s">
        <v>1594</v>
      </c>
      <c r="E1707" s="15" t="s">
        <v>1616</v>
      </c>
      <c r="F1707" s="15" t="s">
        <v>3025</v>
      </c>
      <c r="G1707" s="15" t="s">
        <v>3026</v>
      </c>
      <c r="H1707" s="33" t="n">
        <f aca="false">Packages!$O$160</f>
        <v>24.0000000004158</v>
      </c>
      <c r="I1707" s="15" t="s">
        <v>118</v>
      </c>
      <c r="J1707" s="34" t="n">
        <f aca="false">MAX(1,ROUNDUP(Packages!$O$160/(IF(Packages!$N$160&gt;=PIPE_T1,R_PIPE_L,IF(Packages!$N$160&gt;=PIPE_T2,R_PIPE_M,R_PIPE_S))*Fronts!$L$11)+Packages!$M$160*FIT_D+IF(Packages!$G$160&lt;&gt;"Run",TIE_D,0),0))</f>
        <v>4</v>
      </c>
      <c r="K1707" s="34" t="n">
        <f aca="false">IF(J1707=0,0,ROUNDUP(J1707*7/WD,0))</f>
        <v>5</v>
      </c>
      <c r="L1707" s="15" t="s">
        <v>5302</v>
      </c>
      <c r="M1707" s="34" t="n">
        <f aca="false">ROUNDUP(K1706*LADDER,0)</f>
        <v>3</v>
      </c>
      <c r="N1707" s="34" t="n">
        <f aca="false">IF(K1707=0,0,FFLAG)</f>
        <v>2</v>
      </c>
      <c r="O1707" s="15"/>
      <c r="P1707" s="16" t="n">
        <f aca="false">MAX(P1706+M1707,R1696)</f>
        <v>46508</v>
      </c>
      <c r="Q1707" s="16" t="n">
        <f aca="false">MAX(P1707+K1707,Q1706+N1707)</f>
        <v>46514</v>
      </c>
      <c r="R1707" s="16" t="n">
        <f aca="false">IF(K1707&gt;0,Q1707,R1696)</f>
        <v>46514</v>
      </c>
      <c r="S1707" s="15" t="s">
        <v>5289</v>
      </c>
    </row>
    <row r="1708" customFormat="false" ht="15" hidden="false" customHeight="false" outlineLevel="0" collapsed="false">
      <c r="A1708" s="15" t="s">
        <v>5304</v>
      </c>
      <c r="B1708" s="15" t="s">
        <v>5294</v>
      </c>
      <c r="C1708" s="15" t="s">
        <v>403</v>
      </c>
      <c r="D1708" s="15" t="s">
        <v>1594</v>
      </c>
      <c r="E1708" s="15" t="s">
        <v>1616</v>
      </c>
      <c r="F1708" s="15" t="s">
        <v>3028</v>
      </c>
      <c r="G1708" s="15" t="s">
        <v>3029</v>
      </c>
      <c r="H1708" s="33" t="n">
        <f aca="false">Packages!$O$160</f>
        <v>24.0000000004158</v>
      </c>
      <c r="I1708" s="15" t="s">
        <v>118</v>
      </c>
      <c r="J1708" s="34" t="n">
        <f aca="false">TEST_D+ROUNDUP(Packages!$O$160/R_TEST,0)</f>
        <v>3</v>
      </c>
      <c r="K1708" s="34" t="n">
        <f aca="false">IF(J1708=0,0,ROUNDUP(J1708*7/WD,0))</f>
        <v>4</v>
      </c>
      <c r="L1708" s="15" t="s">
        <v>5303</v>
      </c>
      <c r="M1708" s="34" t="n">
        <f aca="false">ROUNDUP(K1707*LADDER,0)</f>
        <v>2</v>
      </c>
      <c r="N1708" s="34" t="n">
        <f aca="false">IF(K1708=0,0,FFLAG)</f>
        <v>2</v>
      </c>
      <c r="O1708" s="15"/>
      <c r="P1708" s="16" t="n">
        <f aca="false">MAX(P1707+M1708)</f>
        <v>46510</v>
      </c>
      <c r="Q1708" s="16" t="n">
        <f aca="false">MAX(P1708+K1708,Q1707+N1708)</f>
        <v>46516</v>
      </c>
      <c r="R1708" s="12"/>
      <c r="S1708" s="12"/>
    </row>
    <row r="1709" customFormat="false" ht="15" hidden="false" customHeight="false" outlineLevel="0" collapsed="false">
      <c r="A1709" s="15" t="s">
        <v>5305</v>
      </c>
      <c r="B1709" s="15" t="s">
        <v>5294</v>
      </c>
      <c r="C1709" s="15" t="s">
        <v>403</v>
      </c>
      <c r="D1709" s="15" t="s">
        <v>1594</v>
      </c>
      <c r="E1709" s="15" t="s">
        <v>1616</v>
      </c>
      <c r="F1709" s="15" t="s">
        <v>3031</v>
      </c>
      <c r="G1709" s="15" t="s">
        <v>3032</v>
      </c>
      <c r="H1709" s="33" t="n">
        <f aca="false">Packages!$AB$160</f>
        <v>202.001043468845</v>
      </c>
      <c r="I1709" s="15" t="s">
        <v>3019</v>
      </c>
      <c r="J1709" s="34" t="n">
        <f aca="false">MAX(1,ROUNDUP(Packages!$AB$160/(R_BF*Fronts!$M$11),0))</f>
        <v>1</v>
      </c>
      <c r="K1709" s="34" t="n">
        <f aca="false">IF(J1709=0,0,ROUNDUP(J1709*7/WD,0))</f>
        <v>2</v>
      </c>
      <c r="L1709" s="15" t="s">
        <v>5304</v>
      </c>
      <c r="M1709" s="34" t="n">
        <f aca="false">ROUNDUP(K1708*LADDER,0)</f>
        <v>2</v>
      </c>
      <c r="N1709" s="34" t="n">
        <f aca="false">IF(K1709=0,0,FFLAG)</f>
        <v>2</v>
      </c>
      <c r="O1709" s="15"/>
      <c r="P1709" s="16" t="n">
        <f aca="false">MAX(P1708+M1709,R1698)</f>
        <v>46513</v>
      </c>
      <c r="Q1709" s="16" t="n">
        <f aca="false">MAX(P1709+K1709,Q1708+N1709)</f>
        <v>46518</v>
      </c>
      <c r="R1709" s="16" t="n">
        <f aca="false">IF(K1709&gt;0,Q1709,R1698)</f>
        <v>46518</v>
      </c>
      <c r="S1709" s="15" t="s">
        <v>5291</v>
      </c>
    </row>
    <row r="1710" customFormat="false" ht="15" hidden="false" customHeight="false" outlineLevel="0" collapsed="false">
      <c r="A1710" s="15" t="s">
        <v>5306</v>
      </c>
      <c r="B1710" s="15" t="s">
        <v>5294</v>
      </c>
      <c r="C1710" s="15" t="s">
        <v>403</v>
      </c>
      <c r="D1710" s="15" t="s">
        <v>1594</v>
      </c>
      <c r="E1710" s="15" t="s">
        <v>1616</v>
      </c>
      <c r="F1710" s="15" t="s">
        <v>3034</v>
      </c>
      <c r="G1710" s="15" t="s">
        <v>3035</v>
      </c>
      <c r="H1710" s="33" t="n">
        <f aca="false">Packages!$AD$160</f>
        <v>48.0000000008316</v>
      </c>
      <c r="I1710" s="15" t="s">
        <v>3012</v>
      </c>
      <c r="J1710" s="34" t="n">
        <f aca="false">IF(Packages!$AD$160&gt;0,ROUNDUP(Packages!$AD$160/R_EXT,0),0)+IF(Packages!$AG$160&gt;0,1,0)</f>
        <v>2</v>
      </c>
      <c r="K1710" s="34" t="n">
        <f aca="false">IF(J1710=0,0,ROUNDUP(J1710*7/WD,0))</f>
        <v>3</v>
      </c>
      <c r="L1710" s="15" t="s">
        <v>5305</v>
      </c>
      <c r="M1710" s="34" t="n">
        <f aca="false">ROUNDUP(K1709*LADDER,0)</f>
        <v>1</v>
      </c>
      <c r="N1710" s="34" t="n">
        <f aca="false">IF(K1710=0,0,FFLAG)</f>
        <v>2</v>
      </c>
      <c r="O1710" s="15"/>
      <c r="P1710" s="16" t="n">
        <f aca="false">MAX(P1709+M1710)</f>
        <v>46514</v>
      </c>
      <c r="Q1710" s="16" t="n">
        <f aca="false">MAX(P1710+K1710,Q1709+N1710)</f>
        <v>46520</v>
      </c>
      <c r="R1710" s="12"/>
      <c r="S1710" s="12"/>
    </row>
    <row r="1711" customFormat="false" ht="15" hidden="false" customHeight="false" outlineLevel="0" collapsed="false">
      <c r="A1711" s="15" t="s">
        <v>5307</v>
      </c>
      <c r="B1711" s="15" t="s">
        <v>5308</v>
      </c>
      <c r="C1711" s="15" t="s">
        <v>403</v>
      </c>
      <c r="D1711" s="15" t="s">
        <v>1594</v>
      </c>
      <c r="E1711" s="15" t="s">
        <v>1612</v>
      </c>
      <c r="F1711" s="15" t="s">
        <v>2998</v>
      </c>
      <c r="G1711" s="15" t="s">
        <v>2999</v>
      </c>
      <c r="H1711" s="12"/>
      <c r="I1711" s="12"/>
      <c r="J1711" s="34" t="n">
        <f aca="false">0</f>
        <v>0</v>
      </c>
      <c r="K1711" s="34" t="n">
        <f aca="false">IF(J1711=0,0,ROUNDUP(J1711*7/WD,0))</f>
        <v>0</v>
      </c>
      <c r="L1711" s="12"/>
      <c r="M1711" s="12"/>
      <c r="N1711" s="12"/>
      <c r="O1711" s="15" t="s">
        <v>3000</v>
      </c>
      <c r="P1711" s="16" t="n">
        <f aca="false">MAX(START,D_DLU,Packages!$I$161,Packages!$K$161)</f>
        <v>46357</v>
      </c>
      <c r="Q1711" s="16" t="n">
        <f aca="false">P1711+K1711</f>
        <v>46357</v>
      </c>
      <c r="R1711" s="12"/>
      <c r="S1711" s="12"/>
    </row>
    <row r="1712" customFormat="false" ht="15" hidden="false" customHeight="false" outlineLevel="0" collapsed="false">
      <c r="A1712" s="15" t="s">
        <v>5309</v>
      </c>
      <c r="B1712" s="15" t="s">
        <v>5308</v>
      </c>
      <c r="C1712" s="15" t="s">
        <v>403</v>
      </c>
      <c r="D1712" s="15" t="s">
        <v>1594</v>
      </c>
      <c r="E1712" s="15" t="s">
        <v>1612</v>
      </c>
      <c r="F1712" s="15" t="s">
        <v>3002</v>
      </c>
      <c r="G1712" s="15" t="s">
        <v>205</v>
      </c>
      <c r="H1712" s="33" t="n">
        <f aca="false">Packages!$O$161</f>
        <v>14.9999999998283</v>
      </c>
      <c r="I1712" s="15" t="s">
        <v>118</v>
      </c>
      <c r="J1712" s="34" t="n">
        <f aca="false">MAX(1,ROUNDUP(Packages!$O$161/R_PLAT,0))</f>
        <v>1</v>
      </c>
      <c r="K1712" s="34" t="n">
        <f aca="false">IF(J1712=0,0,ROUNDUP(J1712*7/WD,0))</f>
        <v>2</v>
      </c>
      <c r="L1712" s="15" t="s">
        <v>5307</v>
      </c>
      <c r="M1712" s="12"/>
      <c r="N1712" s="12"/>
      <c r="O1712" s="15" t="s">
        <v>5310</v>
      </c>
      <c r="P1712" s="16" t="n">
        <f aca="false">MAX(Q1711,P1702)</f>
        <v>46437</v>
      </c>
      <c r="Q1712" s="16" t="n">
        <f aca="false">P1712+K1712</f>
        <v>46439</v>
      </c>
      <c r="R1712" s="12"/>
      <c r="S1712" s="12"/>
    </row>
    <row r="1713" customFormat="false" ht="15" hidden="false" customHeight="false" outlineLevel="0" collapsed="false">
      <c r="A1713" s="15" t="s">
        <v>5311</v>
      </c>
      <c r="B1713" s="15" t="s">
        <v>5308</v>
      </c>
      <c r="C1713" s="15" t="s">
        <v>403</v>
      </c>
      <c r="D1713" s="15" t="s">
        <v>1594</v>
      </c>
      <c r="E1713" s="15" t="s">
        <v>1612</v>
      </c>
      <c r="F1713" s="15" t="s">
        <v>3005</v>
      </c>
      <c r="G1713" s="15" t="s">
        <v>3006</v>
      </c>
      <c r="H1713" s="33" t="n">
        <f aca="false">Packages!$AC$161</f>
        <v>12</v>
      </c>
      <c r="I1713" s="15" t="s">
        <v>3007</v>
      </c>
      <c r="J1713" s="34" t="n">
        <f aca="false">IF(Packages!$AC$161=0,0,MAX(1,ROUNDUP(Packages!$AC$161/(R_PILE*Fronts!$H$11),0)))</f>
        <v>3</v>
      </c>
      <c r="K1713" s="34" t="n">
        <f aca="false">IF(J1713=0,0,ROUNDUP(J1713*7/WD,0))</f>
        <v>4</v>
      </c>
      <c r="L1713" s="15" t="s">
        <v>5309</v>
      </c>
      <c r="M1713" s="34" t="n">
        <f aca="false">ROUNDUP(K1712*LADDER,0)</f>
        <v>1</v>
      </c>
      <c r="N1713" s="34" t="n">
        <f aca="false">IF(K1713=0,0,FFLAG)</f>
        <v>2</v>
      </c>
      <c r="O1713" s="15" t="s">
        <v>3008</v>
      </c>
      <c r="P1713" s="16" t="n">
        <f aca="false">MAX(P1712+M1713,D_PILEDES,R1702)</f>
        <v>46442</v>
      </c>
      <c r="Q1713" s="16" t="n">
        <f aca="false">MAX(P1713+K1713,Q1712+N1713)</f>
        <v>46446</v>
      </c>
      <c r="R1713" s="16" t="n">
        <f aca="false">IF(K1713&gt;0,Q1713,R1702)</f>
        <v>46446</v>
      </c>
      <c r="S1713" s="15" t="s">
        <v>5297</v>
      </c>
    </row>
    <row r="1714" customFormat="false" ht="15" hidden="false" customHeight="false" outlineLevel="0" collapsed="false">
      <c r="A1714" s="15" t="s">
        <v>5312</v>
      </c>
      <c r="B1714" s="15" t="s">
        <v>5308</v>
      </c>
      <c r="C1714" s="15" t="s">
        <v>403</v>
      </c>
      <c r="D1714" s="15" t="s">
        <v>1594</v>
      </c>
      <c r="E1714" s="15" t="s">
        <v>1612</v>
      </c>
      <c r="F1714" s="15" t="s">
        <v>3010</v>
      </c>
      <c r="G1714" s="15" t="s">
        <v>3011</v>
      </c>
      <c r="H1714" s="33" t="n">
        <f aca="false">Packages!$AD$161</f>
        <v>29.9999999996565</v>
      </c>
      <c r="I1714" s="15" t="s">
        <v>3012</v>
      </c>
      <c r="J1714" s="34" t="n">
        <f aca="false">IF(Packages!$AD$161=0,0,MAX(1,ROUNDUP(Packages!$AD$161/(R_SHEET*Fronts!$I$11),0)))</f>
        <v>2</v>
      </c>
      <c r="K1714" s="34" t="n">
        <f aca="false">IF(J1714=0,0,ROUNDUP(J1714*7/WD,0))</f>
        <v>3</v>
      </c>
      <c r="L1714" s="15" t="s">
        <v>5311</v>
      </c>
      <c r="M1714" s="34" t="n">
        <f aca="false">ROUNDUP(K1713*LADDER,0)</f>
        <v>2</v>
      </c>
      <c r="N1714" s="34" t="n">
        <f aca="false">IF(K1714=0,0,FFLAG)</f>
        <v>2</v>
      </c>
      <c r="O1714" s="15"/>
      <c r="P1714" s="16" t="n">
        <f aca="false">MAX(P1713+M1714,R1703)</f>
        <v>46444</v>
      </c>
      <c r="Q1714" s="16" t="n">
        <f aca="false">MAX(P1714+K1714,Q1713+N1714)</f>
        <v>46448</v>
      </c>
      <c r="R1714" s="16" t="n">
        <f aca="false">IF(K1714&gt;0,Q1714,R1703)</f>
        <v>46448</v>
      </c>
      <c r="S1714" s="15" t="s">
        <v>5298</v>
      </c>
    </row>
    <row r="1715" customFormat="false" ht="15" hidden="false" customHeight="false" outlineLevel="0" collapsed="false">
      <c r="A1715" s="15" t="s">
        <v>5313</v>
      </c>
      <c r="B1715" s="15" t="s">
        <v>5308</v>
      </c>
      <c r="C1715" s="15" t="s">
        <v>403</v>
      </c>
      <c r="D1715" s="15" t="s">
        <v>1594</v>
      </c>
      <c r="E1715" s="15" t="s">
        <v>1612</v>
      </c>
      <c r="F1715" s="15" t="s">
        <v>3014</v>
      </c>
      <c r="G1715" s="15" t="s">
        <v>3015</v>
      </c>
      <c r="H1715" s="33" t="n">
        <f aca="false">Packages!$O$161</f>
        <v>14.9999999998283</v>
      </c>
      <c r="I1715" s="15" t="s">
        <v>118</v>
      </c>
      <c r="J1715" s="34" t="n">
        <f aca="false">IF(Packages!$AG$161=0,0,ROUNDUP(Packages!$O$161/R_DW,0)+DW_DRAW)</f>
        <v>8</v>
      </c>
      <c r="K1715" s="34" t="n">
        <f aca="false">IF(J1715=0,0,ROUNDUP(J1715*7/WD,0))</f>
        <v>10</v>
      </c>
      <c r="L1715" s="15" t="s">
        <v>5312</v>
      </c>
      <c r="M1715" s="34" t="n">
        <f aca="false">ROUNDUP(K1714*LADDER,0)</f>
        <v>1</v>
      </c>
      <c r="N1715" s="34" t="n">
        <f aca="false">IF(K1715=0,0,FFLAG)</f>
        <v>2</v>
      </c>
      <c r="O1715" s="15" t="s">
        <v>5314</v>
      </c>
      <c r="P1715" s="16" t="n">
        <f aca="false">MAX(P1714+M1715,Q1705-K1715)</f>
        <v>46471</v>
      </c>
      <c r="Q1715" s="16" t="n">
        <f aca="false">MAX(P1715+K1715,Q1714+N1715)</f>
        <v>46481</v>
      </c>
      <c r="R1715" s="12"/>
      <c r="S1715" s="12"/>
    </row>
    <row r="1716" customFormat="false" ht="15" hidden="false" customHeight="false" outlineLevel="0" collapsed="false">
      <c r="A1716" s="15" t="s">
        <v>5315</v>
      </c>
      <c r="B1716" s="15" t="s">
        <v>5308</v>
      </c>
      <c r="C1716" s="15" t="s">
        <v>403</v>
      </c>
      <c r="D1716" s="15" t="s">
        <v>1594</v>
      </c>
      <c r="E1716" s="15" t="s">
        <v>1612</v>
      </c>
      <c r="F1716" s="15" t="s">
        <v>3017</v>
      </c>
      <c r="G1716" s="15" t="s">
        <v>3018</v>
      </c>
      <c r="H1716" s="33" t="n">
        <f aca="false">Packages!$X$161+Packages!$Y$161</f>
        <v>153.130209149472</v>
      </c>
      <c r="I1716" s="15" t="s">
        <v>3019</v>
      </c>
      <c r="J1716" s="34" t="n">
        <f aca="false">MAX(1,ROUNDUP((Packages!$X$161/R_EXS+Packages!$Y$161/R_EXO)/Fronts!$J$11,0))</f>
        <v>1</v>
      </c>
      <c r="K1716" s="34" t="n">
        <f aca="false">IF(J1716=0,0,ROUNDUP(J1716*7/WD,0))</f>
        <v>2</v>
      </c>
      <c r="L1716" s="15" t="s">
        <v>5313</v>
      </c>
      <c r="M1716" s="34" t="n">
        <f aca="false">IF(K1715=0,0,ROUNDUP((K1715-ROUNDUP(DW_DRAW*7/WD,0))*LADDER,0)+ROUNDUP(DW_DRAW*7/WD,0))</f>
        <v>10</v>
      </c>
      <c r="N1716" s="34" t="n">
        <f aca="false">IF(K1716=0,0,FFLAG)</f>
        <v>2</v>
      </c>
      <c r="O1716" s="15"/>
      <c r="P1716" s="16" t="n">
        <f aca="false">MAX(P1715+M1716,R1705)</f>
        <v>46481</v>
      </c>
      <c r="Q1716" s="16" t="n">
        <f aca="false">MAX(P1716+K1716,Q1715+N1716)</f>
        <v>46483</v>
      </c>
      <c r="R1716" s="16" t="n">
        <f aca="false">IF(K1716&gt;0,Q1716,R1705)</f>
        <v>46483</v>
      </c>
      <c r="S1716" s="15" t="s">
        <v>5301</v>
      </c>
    </row>
    <row r="1717" customFormat="false" ht="15" hidden="false" customHeight="false" outlineLevel="0" collapsed="false">
      <c r="A1717" s="15" t="s">
        <v>5316</v>
      </c>
      <c r="B1717" s="15" t="s">
        <v>5308</v>
      </c>
      <c r="C1717" s="15" t="s">
        <v>403</v>
      </c>
      <c r="D1717" s="15" t="s">
        <v>1594</v>
      </c>
      <c r="E1717" s="15" t="s">
        <v>1612</v>
      </c>
      <c r="F1717" s="15" t="s">
        <v>3022</v>
      </c>
      <c r="G1717" s="15" t="s">
        <v>3023</v>
      </c>
      <c r="H1717" s="33" t="n">
        <f aca="false">Packages!$O$161</f>
        <v>14.9999999998283</v>
      </c>
      <c r="I1717" s="15" t="s">
        <v>118</v>
      </c>
      <c r="J1717" s="34" t="n">
        <f aca="false">MAX(1,ROUNDUP(Packages!$O$161/(R_SLAB*Fronts!$K$11),0))+SLAB_CURE</f>
        <v>5</v>
      </c>
      <c r="K1717" s="34" t="n">
        <f aca="false">IF(J1717=0,0,ROUNDUP(J1717*7/WD,0))</f>
        <v>6</v>
      </c>
      <c r="L1717" s="15" t="s">
        <v>5315</v>
      </c>
      <c r="M1717" s="34" t="n">
        <f aca="false">ROUNDUP(K1716*LADDER,0)</f>
        <v>1</v>
      </c>
      <c r="N1717" s="34" t="n">
        <f aca="false">IF(K1717=0,0,FFLAG)</f>
        <v>2</v>
      </c>
      <c r="O1717" s="15"/>
      <c r="P1717" s="16" t="n">
        <f aca="false">MAX(P1716+M1717,R1706)</f>
        <v>46512</v>
      </c>
      <c r="Q1717" s="16" t="n">
        <f aca="false">MAX(P1717+K1717,Q1716+N1717)</f>
        <v>46518</v>
      </c>
      <c r="R1717" s="16" t="n">
        <f aca="false">IF(K1717&gt;0,Q1717,R1706)</f>
        <v>46518</v>
      </c>
      <c r="S1717" s="15" t="s">
        <v>5302</v>
      </c>
    </row>
    <row r="1718" customFormat="false" ht="15" hidden="false" customHeight="false" outlineLevel="0" collapsed="false">
      <c r="A1718" s="15" t="s">
        <v>5317</v>
      </c>
      <c r="B1718" s="15" t="s">
        <v>5308</v>
      </c>
      <c r="C1718" s="15" t="s">
        <v>403</v>
      </c>
      <c r="D1718" s="15" t="s">
        <v>1594</v>
      </c>
      <c r="E1718" s="15" t="s">
        <v>1612</v>
      </c>
      <c r="F1718" s="15" t="s">
        <v>3025</v>
      </c>
      <c r="G1718" s="15" t="s">
        <v>3026</v>
      </c>
      <c r="H1718" s="33" t="n">
        <f aca="false">Packages!$O$161</f>
        <v>14.9999999998283</v>
      </c>
      <c r="I1718" s="15" t="s">
        <v>118</v>
      </c>
      <c r="J1718" s="34" t="n">
        <f aca="false">MAX(1,ROUNDUP(Packages!$O$161/(IF(Packages!$N$161&gt;=PIPE_T1,R_PIPE_L,IF(Packages!$N$161&gt;=PIPE_T2,R_PIPE_M,R_PIPE_S))*Fronts!$L$11)+Packages!$M$161*FIT_D+IF(Packages!$G$161&lt;&gt;"Run",TIE_D,0),0))</f>
        <v>1</v>
      </c>
      <c r="K1718" s="34" t="n">
        <f aca="false">IF(J1718=0,0,ROUNDUP(J1718*7/WD,0))</f>
        <v>2</v>
      </c>
      <c r="L1718" s="15" t="s">
        <v>5316</v>
      </c>
      <c r="M1718" s="34" t="n">
        <f aca="false">ROUNDUP(K1717*LADDER,0)</f>
        <v>2</v>
      </c>
      <c r="N1718" s="34" t="n">
        <f aca="false">IF(K1718=0,0,FFLAG)</f>
        <v>2</v>
      </c>
      <c r="O1718" s="15"/>
      <c r="P1718" s="16" t="n">
        <f aca="false">MAX(P1717+M1718,R1707)</f>
        <v>46514</v>
      </c>
      <c r="Q1718" s="16" t="n">
        <f aca="false">MAX(P1718+K1718,Q1717+N1718)</f>
        <v>46520</v>
      </c>
      <c r="R1718" s="16" t="n">
        <f aca="false">IF(K1718&gt;0,Q1718,R1707)</f>
        <v>46520</v>
      </c>
      <c r="S1718" s="15" t="s">
        <v>5303</v>
      </c>
    </row>
    <row r="1719" customFormat="false" ht="15" hidden="false" customHeight="false" outlineLevel="0" collapsed="false">
      <c r="A1719" s="15" t="s">
        <v>5318</v>
      </c>
      <c r="B1719" s="15" t="s">
        <v>5308</v>
      </c>
      <c r="C1719" s="15" t="s">
        <v>403</v>
      </c>
      <c r="D1719" s="15" t="s">
        <v>1594</v>
      </c>
      <c r="E1719" s="15" t="s">
        <v>1612</v>
      </c>
      <c r="F1719" s="15" t="s">
        <v>3028</v>
      </c>
      <c r="G1719" s="15" t="s">
        <v>3029</v>
      </c>
      <c r="H1719" s="33" t="n">
        <f aca="false">Packages!$O$161</f>
        <v>14.9999999998283</v>
      </c>
      <c r="I1719" s="15" t="s">
        <v>118</v>
      </c>
      <c r="J1719" s="34" t="n">
        <f aca="false">TEST_D+ROUNDUP(Packages!$O$161/R_TEST,0)</f>
        <v>3</v>
      </c>
      <c r="K1719" s="34" t="n">
        <f aca="false">IF(J1719=0,0,ROUNDUP(J1719*7/WD,0))</f>
        <v>4</v>
      </c>
      <c r="L1719" s="15" t="s">
        <v>5317</v>
      </c>
      <c r="M1719" s="34" t="n">
        <f aca="false">ROUNDUP(K1718*LADDER,0)</f>
        <v>1</v>
      </c>
      <c r="N1719" s="34" t="n">
        <f aca="false">IF(K1719=0,0,FFLAG)</f>
        <v>2</v>
      </c>
      <c r="O1719" s="15"/>
      <c r="P1719" s="16" t="n">
        <f aca="false">MAX(P1718+M1719)</f>
        <v>46515</v>
      </c>
      <c r="Q1719" s="16" t="n">
        <f aca="false">MAX(P1719+K1719,Q1718+N1719)</f>
        <v>46522</v>
      </c>
      <c r="R1719" s="12"/>
      <c r="S1719" s="12"/>
    </row>
    <row r="1720" customFormat="false" ht="15" hidden="false" customHeight="false" outlineLevel="0" collapsed="false">
      <c r="A1720" s="15" t="s">
        <v>5319</v>
      </c>
      <c r="B1720" s="15" t="s">
        <v>5308</v>
      </c>
      <c r="C1720" s="15" t="s">
        <v>403</v>
      </c>
      <c r="D1720" s="15" t="s">
        <v>1594</v>
      </c>
      <c r="E1720" s="15" t="s">
        <v>1612</v>
      </c>
      <c r="F1720" s="15" t="s">
        <v>3031</v>
      </c>
      <c r="G1720" s="15" t="s">
        <v>3032</v>
      </c>
      <c r="H1720" s="33" t="n">
        <f aca="false">Packages!$AB$161</f>
        <v>126.294181798511</v>
      </c>
      <c r="I1720" s="15" t="s">
        <v>3019</v>
      </c>
      <c r="J1720" s="34" t="n">
        <f aca="false">MAX(1,ROUNDUP(Packages!$AB$161/(R_BF*Fronts!$M$11),0))</f>
        <v>1</v>
      </c>
      <c r="K1720" s="34" t="n">
        <f aca="false">IF(J1720=0,0,ROUNDUP(J1720*7/WD,0))</f>
        <v>2</v>
      </c>
      <c r="L1720" s="15" t="s">
        <v>5318</v>
      </c>
      <c r="M1720" s="34" t="n">
        <f aca="false">ROUNDUP(K1719*LADDER,0)</f>
        <v>2</v>
      </c>
      <c r="N1720" s="34" t="n">
        <f aca="false">IF(K1720=0,0,FFLAG)</f>
        <v>2</v>
      </c>
      <c r="O1720" s="15"/>
      <c r="P1720" s="16" t="n">
        <f aca="false">MAX(P1719+M1720,R1709)</f>
        <v>46518</v>
      </c>
      <c r="Q1720" s="16" t="n">
        <f aca="false">MAX(P1720+K1720,Q1719+N1720)</f>
        <v>46524</v>
      </c>
      <c r="R1720" s="16" t="n">
        <f aca="false">IF(K1720&gt;0,Q1720,R1709)</f>
        <v>46524</v>
      </c>
      <c r="S1720" s="15" t="s">
        <v>5305</v>
      </c>
    </row>
    <row r="1721" customFormat="false" ht="15" hidden="false" customHeight="false" outlineLevel="0" collapsed="false">
      <c r="A1721" s="15" t="s">
        <v>5320</v>
      </c>
      <c r="B1721" s="15" t="s">
        <v>5308</v>
      </c>
      <c r="C1721" s="15" t="s">
        <v>403</v>
      </c>
      <c r="D1721" s="15" t="s">
        <v>1594</v>
      </c>
      <c r="E1721" s="15" t="s">
        <v>1612</v>
      </c>
      <c r="F1721" s="15" t="s">
        <v>3034</v>
      </c>
      <c r="G1721" s="15" t="s">
        <v>3035</v>
      </c>
      <c r="H1721" s="33" t="n">
        <f aca="false">Packages!$AD$161</f>
        <v>29.9999999996565</v>
      </c>
      <c r="I1721" s="15" t="s">
        <v>3012</v>
      </c>
      <c r="J1721" s="34" t="n">
        <f aca="false">IF(Packages!$AD$161&gt;0,ROUNDUP(Packages!$AD$161/R_EXT,0),0)+IF(Packages!$AG$161&gt;0,1,0)</f>
        <v>2</v>
      </c>
      <c r="K1721" s="34" t="n">
        <f aca="false">IF(J1721=0,0,ROUNDUP(J1721*7/WD,0))</f>
        <v>3</v>
      </c>
      <c r="L1721" s="15" t="s">
        <v>5319</v>
      </c>
      <c r="M1721" s="34" t="n">
        <f aca="false">ROUNDUP(K1720*LADDER,0)</f>
        <v>1</v>
      </c>
      <c r="N1721" s="34" t="n">
        <f aca="false">IF(K1721=0,0,FFLAG)</f>
        <v>2</v>
      </c>
      <c r="O1721" s="15"/>
      <c r="P1721" s="16" t="n">
        <f aca="false">MAX(P1720+M1721)</f>
        <v>46519</v>
      </c>
      <c r="Q1721" s="16" t="n">
        <f aca="false">MAX(P1721+K1721,Q1720+N1721)</f>
        <v>46526</v>
      </c>
      <c r="R1721" s="12"/>
      <c r="S1721" s="12"/>
    </row>
    <row r="1722" customFormat="false" ht="15" hidden="false" customHeight="false" outlineLevel="0" collapsed="false">
      <c r="A1722" s="15" t="s">
        <v>5321</v>
      </c>
      <c r="B1722" s="15" t="s">
        <v>5322</v>
      </c>
      <c r="C1722" s="15" t="s">
        <v>403</v>
      </c>
      <c r="D1722" s="15" t="s">
        <v>1594</v>
      </c>
      <c r="E1722" s="15" t="s">
        <v>1602</v>
      </c>
      <c r="F1722" s="15" t="s">
        <v>2998</v>
      </c>
      <c r="G1722" s="15" t="s">
        <v>2999</v>
      </c>
      <c r="H1722" s="12"/>
      <c r="I1722" s="12"/>
      <c r="J1722" s="34" t="n">
        <f aca="false">0</f>
        <v>0</v>
      </c>
      <c r="K1722" s="34" t="n">
        <f aca="false">IF(J1722=0,0,ROUNDUP(J1722*7/WD,0))</f>
        <v>0</v>
      </c>
      <c r="L1722" s="12"/>
      <c r="M1722" s="12"/>
      <c r="N1722" s="12"/>
      <c r="O1722" s="15" t="s">
        <v>3000</v>
      </c>
      <c r="P1722" s="16" t="n">
        <f aca="false">MAX(START,D_DLU,Packages!$I$162,Packages!$K$162)</f>
        <v>46357</v>
      </c>
      <c r="Q1722" s="16" t="n">
        <f aca="false">P1722+K1722</f>
        <v>46357</v>
      </c>
      <c r="R1722" s="12"/>
      <c r="S1722" s="12"/>
    </row>
    <row r="1723" customFormat="false" ht="15" hidden="false" customHeight="false" outlineLevel="0" collapsed="false">
      <c r="A1723" s="15" t="s">
        <v>5323</v>
      </c>
      <c r="B1723" s="15" t="s">
        <v>5322</v>
      </c>
      <c r="C1723" s="15" t="s">
        <v>403</v>
      </c>
      <c r="D1723" s="15" t="s">
        <v>1594</v>
      </c>
      <c r="E1723" s="15" t="s">
        <v>1602</v>
      </c>
      <c r="F1723" s="15" t="s">
        <v>3002</v>
      </c>
      <c r="G1723" s="15" t="s">
        <v>205</v>
      </c>
      <c r="H1723" s="33" t="n">
        <f aca="false">Packages!$O$162</f>
        <v>26.2568241265459</v>
      </c>
      <c r="I1723" s="15" t="s">
        <v>118</v>
      </c>
      <c r="J1723" s="34" t="n">
        <f aca="false">MAX(1,ROUNDUP(Packages!$O$162/R_PLAT,0))</f>
        <v>1</v>
      </c>
      <c r="K1723" s="34" t="n">
        <f aca="false">IF(J1723=0,0,ROUNDUP(J1723*7/WD,0))</f>
        <v>2</v>
      </c>
      <c r="L1723" s="15" t="s">
        <v>5321</v>
      </c>
      <c r="M1723" s="12"/>
      <c r="N1723" s="12"/>
      <c r="O1723" s="15" t="s">
        <v>5324</v>
      </c>
      <c r="P1723" s="16" t="n">
        <f aca="false">MAX(Q1722,P1713)</f>
        <v>46442</v>
      </c>
      <c r="Q1723" s="16" t="n">
        <f aca="false">P1723+K1723</f>
        <v>46444</v>
      </c>
      <c r="R1723" s="12"/>
      <c r="S1723" s="12"/>
    </row>
    <row r="1724" customFormat="false" ht="15" hidden="false" customHeight="false" outlineLevel="0" collapsed="false">
      <c r="A1724" s="15" t="s">
        <v>5325</v>
      </c>
      <c r="B1724" s="15" t="s">
        <v>5322</v>
      </c>
      <c r="C1724" s="15" t="s">
        <v>403</v>
      </c>
      <c r="D1724" s="15" t="s">
        <v>1594</v>
      </c>
      <c r="E1724" s="15" t="s">
        <v>1602</v>
      </c>
      <c r="F1724" s="15" t="s">
        <v>3005</v>
      </c>
      <c r="G1724" s="15" t="s">
        <v>3006</v>
      </c>
      <c r="H1724" s="33" t="n">
        <f aca="false">Packages!$AC$162</f>
        <v>20</v>
      </c>
      <c r="I1724" s="15" t="s">
        <v>3007</v>
      </c>
      <c r="J1724" s="34" t="n">
        <f aca="false">IF(Packages!$AC$162=0,0,MAX(1,ROUNDUP(Packages!$AC$162/(R_PILE*Fronts!$H$11),0)))</f>
        <v>4</v>
      </c>
      <c r="K1724" s="34" t="n">
        <f aca="false">IF(J1724=0,0,ROUNDUP(J1724*7/WD,0))</f>
        <v>5</v>
      </c>
      <c r="L1724" s="15" t="s">
        <v>5323</v>
      </c>
      <c r="M1724" s="34" t="n">
        <f aca="false">ROUNDUP(K1723*LADDER,0)</f>
        <v>1</v>
      </c>
      <c r="N1724" s="34" t="n">
        <f aca="false">IF(K1724=0,0,FFLAG)</f>
        <v>2</v>
      </c>
      <c r="O1724" s="15" t="s">
        <v>3008</v>
      </c>
      <c r="P1724" s="16" t="n">
        <f aca="false">MAX(P1723+M1724,D_PILEDES,R1713)</f>
        <v>46446</v>
      </c>
      <c r="Q1724" s="16" t="n">
        <f aca="false">MAX(P1724+K1724,Q1723+N1724)</f>
        <v>46451</v>
      </c>
      <c r="R1724" s="16" t="n">
        <f aca="false">IF(K1724&gt;0,Q1724,R1713)</f>
        <v>46451</v>
      </c>
      <c r="S1724" s="15" t="s">
        <v>5311</v>
      </c>
    </row>
    <row r="1725" customFormat="false" ht="15" hidden="false" customHeight="false" outlineLevel="0" collapsed="false">
      <c r="A1725" s="15" t="s">
        <v>5326</v>
      </c>
      <c r="B1725" s="15" t="s">
        <v>5322</v>
      </c>
      <c r="C1725" s="15" t="s">
        <v>403</v>
      </c>
      <c r="D1725" s="15" t="s">
        <v>1594</v>
      </c>
      <c r="E1725" s="15" t="s">
        <v>1602</v>
      </c>
      <c r="F1725" s="15" t="s">
        <v>3010</v>
      </c>
      <c r="G1725" s="15" t="s">
        <v>3011</v>
      </c>
      <c r="H1725" s="33" t="n">
        <f aca="false">Packages!$AD$162</f>
        <v>52.5136482530919</v>
      </c>
      <c r="I1725" s="15" t="s">
        <v>3012</v>
      </c>
      <c r="J1725" s="34" t="n">
        <f aca="false">IF(Packages!$AD$162=0,0,MAX(1,ROUNDUP(Packages!$AD$162/(R_SHEET*Fronts!$I$11),0)))</f>
        <v>3</v>
      </c>
      <c r="K1725" s="34" t="n">
        <f aca="false">IF(J1725=0,0,ROUNDUP(J1725*7/WD,0))</f>
        <v>4</v>
      </c>
      <c r="L1725" s="15" t="s">
        <v>5325</v>
      </c>
      <c r="M1725" s="34" t="n">
        <f aca="false">ROUNDUP(K1724*LADDER,0)</f>
        <v>2</v>
      </c>
      <c r="N1725" s="34" t="n">
        <f aca="false">IF(K1725=0,0,FFLAG)</f>
        <v>2</v>
      </c>
      <c r="O1725" s="15"/>
      <c r="P1725" s="16" t="n">
        <f aca="false">MAX(P1724+M1725,R1714)</f>
        <v>46448</v>
      </c>
      <c r="Q1725" s="16" t="n">
        <f aca="false">MAX(P1725+K1725,Q1724+N1725)</f>
        <v>46453</v>
      </c>
      <c r="R1725" s="16" t="n">
        <f aca="false">IF(K1725&gt;0,Q1725,R1714)</f>
        <v>46453</v>
      </c>
      <c r="S1725" s="15" t="s">
        <v>5312</v>
      </c>
    </row>
    <row r="1726" customFormat="false" ht="15" hidden="false" customHeight="false" outlineLevel="0" collapsed="false">
      <c r="A1726" s="15" t="s">
        <v>5327</v>
      </c>
      <c r="B1726" s="15" t="s">
        <v>5322</v>
      </c>
      <c r="C1726" s="15" t="s">
        <v>403</v>
      </c>
      <c r="D1726" s="15" t="s">
        <v>1594</v>
      </c>
      <c r="E1726" s="15" t="s">
        <v>1602</v>
      </c>
      <c r="F1726" s="15" t="s">
        <v>3014</v>
      </c>
      <c r="G1726" s="15" t="s">
        <v>3015</v>
      </c>
      <c r="H1726" s="33" t="n">
        <f aca="false">Packages!$O$162</f>
        <v>26.2568241265459</v>
      </c>
      <c r="I1726" s="15" t="s">
        <v>118</v>
      </c>
      <c r="J1726" s="34" t="n">
        <f aca="false">IF(Packages!$AG$162=0,0,ROUNDUP(Packages!$O$162/R_DW,0)+DW_DRAW)</f>
        <v>8</v>
      </c>
      <c r="K1726" s="34" t="n">
        <f aca="false">IF(J1726=0,0,ROUNDUP(J1726*7/WD,0))</f>
        <v>10</v>
      </c>
      <c r="L1726" s="15" t="s">
        <v>5326</v>
      </c>
      <c r="M1726" s="34" t="n">
        <f aca="false">ROUNDUP(K1725*LADDER,0)</f>
        <v>2</v>
      </c>
      <c r="N1726" s="34" t="n">
        <f aca="false">IF(K1726=0,0,FFLAG)</f>
        <v>2</v>
      </c>
      <c r="O1726" s="15" t="s">
        <v>5328</v>
      </c>
      <c r="P1726" s="16" t="n">
        <f aca="false">MAX(P1725+M1726,Q1716-K1726)</f>
        <v>46473</v>
      </c>
      <c r="Q1726" s="16" t="n">
        <f aca="false">MAX(P1726+K1726,Q1725+N1726)</f>
        <v>46483</v>
      </c>
      <c r="R1726" s="12"/>
      <c r="S1726" s="12"/>
    </row>
    <row r="1727" customFormat="false" ht="15" hidden="false" customHeight="false" outlineLevel="0" collapsed="false">
      <c r="A1727" s="15" t="s">
        <v>5329</v>
      </c>
      <c r="B1727" s="15" t="s">
        <v>5322</v>
      </c>
      <c r="C1727" s="15" t="s">
        <v>403</v>
      </c>
      <c r="D1727" s="15" t="s">
        <v>1594</v>
      </c>
      <c r="E1727" s="15" t="s">
        <v>1602</v>
      </c>
      <c r="F1727" s="15" t="s">
        <v>3017</v>
      </c>
      <c r="G1727" s="15" t="s">
        <v>3018</v>
      </c>
      <c r="H1727" s="33" t="n">
        <f aca="false">Packages!$X$162+Packages!$Y$162</f>
        <v>267.885196232877</v>
      </c>
      <c r="I1727" s="15" t="s">
        <v>3019</v>
      </c>
      <c r="J1727" s="34" t="n">
        <f aca="false">MAX(1,ROUNDUP((Packages!$X$162/R_EXS+Packages!$Y$162/R_EXO)/Fronts!$J$11,0))</f>
        <v>2</v>
      </c>
      <c r="K1727" s="34" t="n">
        <f aca="false">IF(J1727=0,0,ROUNDUP(J1727*7/WD,0))</f>
        <v>3</v>
      </c>
      <c r="L1727" s="15" t="s">
        <v>5327</v>
      </c>
      <c r="M1727" s="34" t="n">
        <f aca="false">IF(K1726=0,0,ROUNDUP((K1726-ROUNDUP(DW_DRAW*7/WD,0))*LADDER,0)+ROUNDUP(DW_DRAW*7/WD,0))</f>
        <v>10</v>
      </c>
      <c r="N1727" s="34" t="n">
        <f aca="false">IF(K1727=0,0,FFLAG)</f>
        <v>2</v>
      </c>
      <c r="O1727" s="15"/>
      <c r="P1727" s="16" t="n">
        <f aca="false">MAX(P1726+M1727,R1716)</f>
        <v>46483</v>
      </c>
      <c r="Q1727" s="16" t="n">
        <f aca="false">MAX(P1727+K1727,Q1726+N1727)</f>
        <v>46486</v>
      </c>
      <c r="R1727" s="16" t="n">
        <f aca="false">IF(K1727&gt;0,Q1727,R1716)</f>
        <v>46486</v>
      </c>
      <c r="S1727" s="15" t="s">
        <v>5315</v>
      </c>
    </row>
    <row r="1728" customFormat="false" ht="15" hidden="false" customHeight="false" outlineLevel="0" collapsed="false">
      <c r="A1728" s="15" t="s">
        <v>5330</v>
      </c>
      <c r="B1728" s="15" t="s">
        <v>5322</v>
      </c>
      <c r="C1728" s="15" t="s">
        <v>403</v>
      </c>
      <c r="D1728" s="15" t="s">
        <v>1594</v>
      </c>
      <c r="E1728" s="15" t="s">
        <v>1602</v>
      </c>
      <c r="F1728" s="15" t="s">
        <v>3022</v>
      </c>
      <c r="G1728" s="15" t="s">
        <v>3023</v>
      </c>
      <c r="H1728" s="33" t="n">
        <f aca="false">Packages!$O$162</f>
        <v>26.2568241265459</v>
      </c>
      <c r="I1728" s="15" t="s">
        <v>118</v>
      </c>
      <c r="J1728" s="34" t="n">
        <f aca="false">MAX(1,ROUNDUP(Packages!$O$162/(R_SLAB*Fronts!$K$11),0))+SLAB_CURE</f>
        <v>6</v>
      </c>
      <c r="K1728" s="34" t="n">
        <f aca="false">IF(J1728=0,0,ROUNDUP(J1728*7/WD,0))</f>
        <v>7</v>
      </c>
      <c r="L1728" s="15" t="s">
        <v>5329</v>
      </c>
      <c r="M1728" s="34" t="n">
        <f aca="false">ROUNDUP(K1727*LADDER,0)</f>
        <v>1</v>
      </c>
      <c r="N1728" s="34" t="n">
        <f aca="false">IF(K1728=0,0,FFLAG)</f>
        <v>2</v>
      </c>
      <c r="O1728" s="15"/>
      <c r="P1728" s="16" t="n">
        <f aca="false">MAX(P1727+M1728,R1717)</f>
        <v>46518</v>
      </c>
      <c r="Q1728" s="16" t="n">
        <f aca="false">MAX(P1728+K1728,Q1727+N1728)</f>
        <v>46525</v>
      </c>
      <c r="R1728" s="16" t="n">
        <f aca="false">IF(K1728&gt;0,Q1728,R1717)</f>
        <v>46525</v>
      </c>
      <c r="S1728" s="15" t="s">
        <v>5316</v>
      </c>
    </row>
    <row r="1729" customFormat="false" ht="15" hidden="false" customHeight="false" outlineLevel="0" collapsed="false">
      <c r="A1729" s="15" t="s">
        <v>5331</v>
      </c>
      <c r="B1729" s="15" t="s">
        <v>5322</v>
      </c>
      <c r="C1729" s="15" t="s">
        <v>403</v>
      </c>
      <c r="D1729" s="15" t="s">
        <v>1594</v>
      </c>
      <c r="E1729" s="15" t="s">
        <v>1602</v>
      </c>
      <c r="F1729" s="15" t="s">
        <v>3025</v>
      </c>
      <c r="G1729" s="15" t="s">
        <v>3026</v>
      </c>
      <c r="H1729" s="33" t="n">
        <f aca="false">Packages!$O$162</f>
        <v>26.2568241265459</v>
      </c>
      <c r="I1729" s="15" t="s">
        <v>118</v>
      </c>
      <c r="J1729" s="34" t="n">
        <f aca="false">MAX(1,ROUNDUP(Packages!$O$162/(IF(Packages!$N$162&gt;=PIPE_T1,R_PIPE_L,IF(Packages!$N$162&gt;=PIPE_T2,R_PIPE_M,R_PIPE_S))*Fronts!$L$11)+Packages!$M$162*FIT_D+IF(Packages!$G$162&lt;&gt;"Run",TIE_D,0),0))</f>
        <v>3</v>
      </c>
      <c r="K1729" s="34" t="n">
        <f aca="false">IF(J1729=0,0,ROUNDUP(J1729*7/WD,0))</f>
        <v>4</v>
      </c>
      <c r="L1729" s="15" t="s">
        <v>5330</v>
      </c>
      <c r="M1729" s="34" t="n">
        <f aca="false">ROUNDUP(K1728*LADDER,0)</f>
        <v>3</v>
      </c>
      <c r="N1729" s="34" t="n">
        <f aca="false">IF(K1729=0,0,FFLAG)</f>
        <v>2</v>
      </c>
      <c r="O1729" s="15"/>
      <c r="P1729" s="16" t="n">
        <f aca="false">MAX(P1728+M1729,R1718)</f>
        <v>46521</v>
      </c>
      <c r="Q1729" s="16" t="n">
        <f aca="false">MAX(P1729+K1729,Q1728+N1729)</f>
        <v>46527</v>
      </c>
      <c r="R1729" s="16" t="n">
        <f aca="false">IF(K1729&gt;0,Q1729,R1718)</f>
        <v>46527</v>
      </c>
      <c r="S1729" s="15" t="s">
        <v>5317</v>
      </c>
    </row>
    <row r="1730" customFormat="false" ht="15" hidden="false" customHeight="false" outlineLevel="0" collapsed="false">
      <c r="A1730" s="15" t="s">
        <v>5332</v>
      </c>
      <c r="B1730" s="15" t="s">
        <v>5322</v>
      </c>
      <c r="C1730" s="15" t="s">
        <v>403</v>
      </c>
      <c r="D1730" s="15" t="s">
        <v>1594</v>
      </c>
      <c r="E1730" s="15" t="s">
        <v>1602</v>
      </c>
      <c r="F1730" s="15" t="s">
        <v>3028</v>
      </c>
      <c r="G1730" s="15" t="s">
        <v>3029</v>
      </c>
      <c r="H1730" s="33" t="n">
        <f aca="false">Packages!$O$162</f>
        <v>26.2568241265459</v>
      </c>
      <c r="I1730" s="15" t="s">
        <v>118</v>
      </c>
      <c r="J1730" s="34" t="n">
        <f aca="false">TEST_D+ROUNDUP(Packages!$O$162/R_TEST,0)</f>
        <v>3</v>
      </c>
      <c r="K1730" s="34" t="n">
        <f aca="false">IF(J1730=0,0,ROUNDUP(J1730*7/WD,0))</f>
        <v>4</v>
      </c>
      <c r="L1730" s="15" t="s">
        <v>5331</v>
      </c>
      <c r="M1730" s="34" t="n">
        <f aca="false">ROUNDUP(K1729*LADDER,0)</f>
        <v>2</v>
      </c>
      <c r="N1730" s="34" t="n">
        <f aca="false">IF(K1730=0,0,FFLAG)</f>
        <v>2</v>
      </c>
      <c r="O1730" s="15"/>
      <c r="P1730" s="16" t="n">
        <f aca="false">MAX(P1729+M1730)</f>
        <v>46523</v>
      </c>
      <c r="Q1730" s="16" t="n">
        <f aca="false">MAX(P1730+K1730,Q1729+N1730)</f>
        <v>46529</v>
      </c>
      <c r="R1730" s="12"/>
      <c r="S1730" s="12"/>
    </row>
    <row r="1731" customFormat="false" ht="15" hidden="false" customHeight="false" outlineLevel="0" collapsed="false">
      <c r="A1731" s="15" t="s">
        <v>5333</v>
      </c>
      <c r="B1731" s="15" t="s">
        <v>5322</v>
      </c>
      <c r="C1731" s="15" t="s">
        <v>403</v>
      </c>
      <c r="D1731" s="15" t="s">
        <v>1594</v>
      </c>
      <c r="E1731" s="15" t="s">
        <v>1602</v>
      </c>
      <c r="F1731" s="15" t="s">
        <v>3031</v>
      </c>
      <c r="G1731" s="15" t="s">
        <v>3032</v>
      </c>
      <c r="H1731" s="33" t="n">
        <f aca="false">Packages!$AB$162</f>
        <v>220.978577868282</v>
      </c>
      <c r="I1731" s="15" t="s">
        <v>3019</v>
      </c>
      <c r="J1731" s="34" t="n">
        <f aca="false">MAX(1,ROUNDUP(Packages!$AB$162/(R_BF*Fronts!$M$11),0))</f>
        <v>1</v>
      </c>
      <c r="K1731" s="34" t="n">
        <f aca="false">IF(J1731=0,0,ROUNDUP(J1731*7/WD,0))</f>
        <v>2</v>
      </c>
      <c r="L1731" s="15" t="s">
        <v>5332</v>
      </c>
      <c r="M1731" s="34" t="n">
        <f aca="false">ROUNDUP(K1730*LADDER,0)</f>
        <v>2</v>
      </c>
      <c r="N1731" s="34" t="n">
        <f aca="false">IF(K1731=0,0,FFLAG)</f>
        <v>2</v>
      </c>
      <c r="O1731" s="15"/>
      <c r="P1731" s="16" t="n">
        <f aca="false">MAX(P1730+M1731,R1720)</f>
        <v>46525</v>
      </c>
      <c r="Q1731" s="16" t="n">
        <f aca="false">MAX(P1731+K1731,Q1730+N1731)</f>
        <v>46531</v>
      </c>
      <c r="R1731" s="16" t="n">
        <f aca="false">IF(K1731&gt;0,Q1731,R1720)</f>
        <v>46531</v>
      </c>
      <c r="S1731" s="15" t="s">
        <v>5319</v>
      </c>
    </row>
    <row r="1732" customFormat="false" ht="15" hidden="false" customHeight="false" outlineLevel="0" collapsed="false">
      <c r="A1732" s="15" t="s">
        <v>5334</v>
      </c>
      <c r="B1732" s="15" t="s">
        <v>5322</v>
      </c>
      <c r="C1732" s="15" t="s">
        <v>403</v>
      </c>
      <c r="D1732" s="15" t="s">
        <v>1594</v>
      </c>
      <c r="E1732" s="15" t="s">
        <v>1602</v>
      </c>
      <c r="F1732" s="15" t="s">
        <v>3034</v>
      </c>
      <c r="G1732" s="15" t="s">
        <v>3035</v>
      </c>
      <c r="H1732" s="33" t="n">
        <f aca="false">Packages!$AD$162</f>
        <v>52.5136482530919</v>
      </c>
      <c r="I1732" s="15" t="s">
        <v>3012</v>
      </c>
      <c r="J1732" s="34" t="n">
        <f aca="false">IF(Packages!$AD$162&gt;0,ROUNDUP(Packages!$AD$162/R_EXT,0),0)+IF(Packages!$AG$162&gt;0,1,0)</f>
        <v>3</v>
      </c>
      <c r="K1732" s="34" t="n">
        <f aca="false">IF(J1732=0,0,ROUNDUP(J1732*7/WD,0))</f>
        <v>4</v>
      </c>
      <c r="L1732" s="15" t="s">
        <v>5333</v>
      </c>
      <c r="M1732" s="34" t="n">
        <f aca="false">ROUNDUP(K1731*LADDER,0)</f>
        <v>1</v>
      </c>
      <c r="N1732" s="34" t="n">
        <f aca="false">IF(K1732=0,0,FFLAG)</f>
        <v>2</v>
      </c>
      <c r="O1732" s="15"/>
      <c r="P1732" s="16" t="n">
        <f aca="false">MAX(P1731+M1732)</f>
        <v>46526</v>
      </c>
      <c r="Q1732" s="16" t="n">
        <f aca="false">MAX(P1732+K1732,Q1731+N1732)</f>
        <v>46533</v>
      </c>
      <c r="R1732" s="12"/>
      <c r="S1732" s="12"/>
    </row>
    <row r="1733" customFormat="false" ht="15" hidden="false" customHeight="false" outlineLevel="0" collapsed="false">
      <c r="A1733" s="15" t="s">
        <v>5335</v>
      </c>
      <c r="B1733" s="15" t="s">
        <v>5336</v>
      </c>
      <c r="C1733" s="15" t="s">
        <v>403</v>
      </c>
      <c r="D1733" s="15" t="s">
        <v>1502</v>
      </c>
      <c r="E1733" s="15" t="s">
        <v>1542</v>
      </c>
      <c r="F1733" s="15" t="s">
        <v>2998</v>
      </c>
      <c r="G1733" s="15" t="s">
        <v>2999</v>
      </c>
      <c r="H1733" s="12"/>
      <c r="I1733" s="12"/>
      <c r="J1733" s="34" t="n">
        <f aca="false">0</f>
        <v>0</v>
      </c>
      <c r="K1733" s="34" t="n">
        <f aca="false">IF(J1733=0,0,ROUNDUP(J1733*7/WD,0))</f>
        <v>0</v>
      </c>
      <c r="L1733" s="12"/>
      <c r="M1733" s="12"/>
      <c r="N1733" s="12"/>
      <c r="O1733" s="15" t="s">
        <v>3000</v>
      </c>
      <c r="P1733" s="16" t="n">
        <f aca="false">MAX(START,D_DLU,Packages!$I$163,Packages!$K$163)</f>
        <v>46357</v>
      </c>
      <c r="Q1733" s="16" t="n">
        <f aca="false">P1733+K1733</f>
        <v>46357</v>
      </c>
      <c r="R1733" s="12"/>
      <c r="S1733" s="12"/>
    </row>
    <row r="1734" customFormat="false" ht="15" hidden="false" customHeight="false" outlineLevel="0" collapsed="false">
      <c r="A1734" s="15" t="s">
        <v>5337</v>
      </c>
      <c r="B1734" s="15" t="s">
        <v>5336</v>
      </c>
      <c r="C1734" s="15" t="s">
        <v>403</v>
      </c>
      <c r="D1734" s="15" t="s">
        <v>1502</v>
      </c>
      <c r="E1734" s="15" t="s">
        <v>1542</v>
      </c>
      <c r="F1734" s="15" t="s">
        <v>3002</v>
      </c>
      <c r="G1734" s="15" t="s">
        <v>205</v>
      </c>
      <c r="H1734" s="33" t="n">
        <f aca="false">Packages!$O$163</f>
        <v>10.5360090957091</v>
      </c>
      <c r="I1734" s="15" t="s">
        <v>118</v>
      </c>
      <c r="J1734" s="34" t="n">
        <f aca="false">MAX(1,ROUNDUP(Packages!$O$163/R_PLAT,0))</f>
        <v>1</v>
      </c>
      <c r="K1734" s="34" t="n">
        <f aca="false">IF(J1734=0,0,ROUNDUP(J1734*7/WD,0))</f>
        <v>2</v>
      </c>
      <c r="L1734" s="15" t="s">
        <v>5335</v>
      </c>
      <c r="M1734" s="12"/>
      <c r="N1734" s="12"/>
      <c r="O1734" s="15" t="s">
        <v>5338</v>
      </c>
      <c r="P1734" s="16" t="n">
        <f aca="false">MAX(Q1733,P1724)</f>
        <v>46446</v>
      </c>
      <c r="Q1734" s="16" t="n">
        <f aca="false">P1734+K1734</f>
        <v>46448</v>
      </c>
      <c r="R1734" s="12"/>
      <c r="S1734" s="12"/>
    </row>
    <row r="1735" customFormat="false" ht="15" hidden="false" customHeight="false" outlineLevel="0" collapsed="false">
      <c r="A1735" s="15" t="s">
        <v>5339</v>
      </c>
      <c r="B1735" s="15" t="s">
        <v>5336</v>
      </c>
      <c r="C1735" s="15" t="s">
        <v>403</v>
      </c>
      <c r="D1735" s="15" t="s">
        <v>1502</v>
      </c>
      <c r="E1735" s="15" t="s">
        <v>1542</v>
      </c>
      <c r="F1735" s="15" t="s">
        <v>3005</v>
      </c>
      <c r="G1735" s="15" t="s">
        <v>3006</v>
      </c>
      <c r="H1735" s="33" t="n">
        <f aca="false">Packages!$AC$163</f>
        <v>10</v>
      </c>
      <c r="I1735" s="15" t="s">
        <v>3007</v>
      </c>
      <c r="J1735" s="34" t="n">
        <f aca="false">IF(Packages!$AC$163=0,0,MAX(1,ROUNDUP(Packages!$AC$163/(R_PILE*Fronts!$H$11),0)))</f>
        <v>2</v>
      </c>
      <c r="K1735" s="34" t="n">
        <f aca="false">IF(J1735=0,0,ROUNDUP(J1735*7/WD,0))</f>
        <v>3</v>
      </c>
      <c r="L1735" s="15" t="s">
        <v>5337</v>
      </c>
      <c r="M1735" s="34" t="n">
        <f aca="false">ROUNDUP(K1734*LADDER,0)</f>
        <v>1</v>
      </c>
      <c r="N1735" s="34" t="n">
        <f aca="false">IF(K1735=0,0,FFLAG)</f>
        <v>2</v>
      </c>
      <c r="O1735" s="15" t="s">
        <v>3008</v>
      </c>
      <c r="P1735" s="16" t="n">
        <f aca="false">MAX(P1734+M1735,D_PILEDES,R1724)</f>
        <v>46451</v>
      </c>
      <c r="Q1735" s="16" t="n">
        <f aca="false">MAX(P1735+K1735,Q1734+N1735)</f>
        <v>46454</v>
      </c>
      <c r="R1735" s="16" t="n">
        <f aca="false">IF(K1735&gt;0,Q1735,R1724)</f>
        <v>46454</v>
      </c>
      <c r="S1735" s="15" t="s">
        <v>5325</v>
      </c>
    </row>
    <row r="1736" customFormat="false" ht="15" hidden="false" customHeight="false" outlineLevel="0" collapsed="false">
      <c r="A1736" s="15" t="s">
        <v>5340</v>
      </c>
      <c r="B1736" s="15" t="s">
        <v>5336</v>
      </c>
      <c r="C1736" s="15" t="s">
        <v>403</v>
      </c>
      <c r="D1736" s="15" t="s">
        <v>1502</v>
      </c>
      <c r="E1736" s="15" t="s">
        <v>1542</v>
      </c>
      <c r="F1736" s="15" t="s">
        <v>3010</v>
      </c>
      <c r="G1736" s="15" t="s">
        <v>3011</v>
      </c>
      <c r="H1736" s="33" t="n">
        <f aca="false">Packages!$AD$163</f>
        <v>21.0720181914182</v>
      </c>
      <c r="I1736" s="15" t="s">
        <v>3012</v>
      </c>
      <c r="J1736" s="34" t="n">
        <f aca="false">IF(Packages!$AD$163=0,0,MAX(1,ROUNDUP(Packages!$AD$163/(R_SHEET*Fronts!$I$11),0)))</f>
        <v>1</v>
      </c>
      <c r="K1736" s="34" t="n">
        <f aca="false">IF(J1736=0,0,ROUNDUP(J1736*7/WD,0))</f>
        <v>2</v>
      </c>
      <c r="L1736" s="15" t="s">
        <v>5339</v>
      </c>
      <c r="M1736" s="34" t="n">
        <f aca="false">ROUNDUP(K1735*LADDER,0)</f>
        <v>1</v>
      </c>
      <c r="N1736" s="34" t="n">
        <f aca="false">IF(K1736=0,0,FFLAG)</f>
        <v>2</v>
      </c>
      <c r="O1736" s="15"/>
      <c r="P1736" s="16" t="n">
        <f aca="false">MAX(P1735+M1736,R1725)</f>
        <v>46453</v>
      </c>
      <c r="Q1736" s="16" t="n">
        <f aca="false">MAX(P1736+K1736,Q1735+N1736)</f>
        <v>46456</v>
      </c>
      <c r="R1736" s="16" t="n">
        <f aca="false">IF(K1736&gt;0,Q1736,R1725)</f>
        <v>46456</v>
      </c>
      <c r="S1736" s="15" t="s">
        <v>5326</v>
      </c>
    </row>
    <row r="1737" customFormat="false" ht="15" hidden="false" customHeight="false" outlineLevel="0" collapsed="false">
      <c r="A1737" s="15" t="s">
        <v>5341</v>
      </c>
      <c r="B1737" s="15" t="s">
        <v>5336</v>
      </c>
      <c r="C1737" s="15" t="s">
        <v>403</v>
      </c>
      <c r="D1737" s="15" t="s">
        <v>1502</v>
      </c>
      <c r="E1737" s="15" t="s">
        <v>1542</v>
      </c>
      <c r="F1737" s="15" t="s">
        <v>3014</v>
      </c>
      <c r="G1737" s="15" t="s">
        <v>3015</v>
      </c>
      <c r="H1737" s="33" t="n">
        <f aca="false">Packages!$O$163</f>
        <v>10.5360090957091</v>
      </c>
      <c r="I1737" s="15" t="s">
        <v>118</v>
      </c>
      <c r="J1737" s="34" t="n">
        <f aca="false">IF(Packages!$AG$163=0,0,ROUNDUP(Packages!$O$163/R_DW,0)+DW_DRAW)</f>
        <v>8</v>
      </c>
      <c r="K1737" s="34" t="n">
        <f aca="false">IF(J1737=0,0,ROUNDUP(J1737*7/WD,0))</f>
        <v>10</v>
      </c>
      <c r="L1737" s="15" t="s">
        <v>5340</v>
      </c>
      <c r="M1737" s="34" t="n">
        <f aca="false">ROUNDUP(K1736*LADDER,0)</f>
        <v>1</v>
      </c>
      <c r="N1737" s="34" t="n">
        <f aca="false">IF(K1737=0,0,FFLAG)</f>
        <v>2</v>
      </c>
      <c r="O1737" s="15" t="s">
        <v>5342</v>
      </c>
      <c r="P1737" s="16" t="n">
        <f aca="false">MAX(P1736+M1737,Q1727-K1737)</f>
        <v>46476</v>
      </c>
      <c r="Q1737" s="16" t="n">
        <f aca="false">MAX(P1737+K1737,Q1736+N1737)</f>
        <v>46486</v>
      </c>
      <c r="R1737" s="12"/>
      <c r="S1737" s="12"/>
    </row>
    <row r="1738" customFormat="false" ht="15" hidden="false" customHeight="false" outlineLevel="0" collapsed="false">
      <c r="A1738" s="15" t="s">
        <v>5343</v>
      </c>
      <c r="B1738" s="15" t="s">
        <v>5336</v>
      </c>
      <c r="C1738" s="15" t="s">
        <v>403</v>
      </c>
      <c r="D1738" s="15" t="s">
        <v>1502</v>
      </c>
      <c r="E1738" s="15" t="s">
        <v>1542</v>
      </c>
      <c r="F1738" s="15" t="s">
        <v>3017</v>
      </c>
      <c r="G1738" s="15" t="s">
        <v>3018</v>
      </c>
      <c r="H1738" s="33" t="n">
        <f aca="false">Packages!$X$163+Packages!$Y$163</f>
        <v>174.834646183167</v>
      </c>
      <c r="I1738" s="15" t="s">
        <v>3019</v>
      </c>
      <c r="J1738" s="34" t="n">
        <f aca="false">MAX(1,ROUNDUP((Packages!$X$163/R_EXS+Packages!$Y$163/R_EXO)/Fronts!$J$11,0))</f>
        <v>1</v>
      </c>
      <c r="K1738" s="34" t="n">
        <f aca="false">IF(J1738=0,0,ROUNDUP(J1738*7/WD,0))</f>
        <v>2</v>
      </c>
      <c r="L1738" s="15" t="s">
        <v>5341</v>
      </c>
      <c r="M1738" s="34" t="n">
        <f aca="false">IF(K1737=0,0,ROUNDUP((K1737-ROUNDUP(DW_DRAW*7/WD,0))*LADDER,0)+ROUNDUP(DW_DRAW*7/WD,0))</f>
        <v>10</v>
      </c>
      <c r="N1738" s="34" t="n">
        <f aca="false">IF(K1738=0,0,FFLAG)</f>
        <v>2</v>
      </c>
      <c r="O1738" s="15"/>
      <c r="P1738" s="16" t="n">
        <f aca="false">MAX(P1737+M1738,R1727)</f>
        <v>46486</v>
      </c>
      <c r="Q1738" s="16" t="n">
        <f aca="false">MAX(P1738+K1738,Q1737+N1738)</f>
        <v>46488</v>
      </c>
      <c r="R1738" s="16" t="n">
        <f aca="false">IF(K1738&gt;0,Q1738,R1727)</f>
        <v>46488</v>
      </c>
      <c r="S1738" s="15" t="s">
        <v>5329</v>
      </c>
    </row>
    <row r="1739" customFormat="false" ht="15" hidden="false" customHeight="false" outlineLevel="0" collapsed="false">
      <c r="A1739" s="15" t="s">
        <v>5344</v>
      </c>
      <c r="B1739" s="15" t="s">
        <v>5336</v>
      </c>
      <c r="C1739" s="15" t="s">
        <v>403</v>
      </c>
      <c r="D1739" s="15" t="s">
        <v>1502</v>
      </c>
      <c r="E1739" s="15" t="s">
        <v>1542</v>
      </c>
      <c r="F1739" s="15" t="s">
        <v>3022</v>
      </c>
      <c r="G1739" s="15" t="s">
        <v>3023</v>
      </c>
      <c r="H1739" s="33" t="n">
        <f aca="false">Packages!$O$163</f>
        <v>10.5360090957091</v>
      </c>
      <c r="I1739" s="15" t="s">
        <v>118</v>
      </c>
      <c r="J1739" s="34" t="n">
        <f aca="false">MAX(1,ROUNDUP(Packages!$O$163/(R_SLAB*Fronts!$K$11),0))+SLAB_CURE</f>
        <v>4</v>
      </c>
      <c r="K1739" s="34" t="n">
        <f aca="false">IF(J1739=0,0,ROUNDUP(J1739*7/WD,0))</f>
        <v>5</v>
      </c>
      <c r="L1739" s="15" t="s">
        <v>5343</v>
      </c>
      <c r="M1739" s="34" t="n">
        <f aca="false">ROUNDUP(K1738*LADDER,0)</f>
        <v>1</v>
      </c>
      <c r="N1739" s="34" t="n">
        <f aca="false">IF(K1739=0,0,FFLAG)</f>
        <v>2</v>
      </c>
      <c r="O1739" s="15"/>
      <c r="P1739" s="16" t="n">
        <f aca="false">MAX(P1738+M1739,R1728)</f>
        <v>46525</v>
      </c>
      <c r="Q1739" s="16" t="n">
        <f aca="false">MAX(P1739+K1739,Q1738+N1739)</f>
        <v>46530</v>
      </c>
      <c r="R1739" s="16" t="n">
        <f aca="false">IF(K1739&gt;0,Q1739,R1728)</f>
        <v>46530</v>
      </c>
      <c r="S1739" s="15" t="s">
        <v>5330</v>
      </c>
    </row>
    <row r="1740" customFormat="false" ht="15" hidden="false" customHeight="false" outlineLevel="0" collapsed="false">
      <c r="A1740" s="15" t="s">
        <v>5345</v>
      </c>
      <c r="B1740" s="15" t="s">
        <v>5336</v>
      </c>
      <c r="C1740" s="15" t="s">
        <v>403</v>
      </c>
      <c r="D1740" s="15" t="s">
        <v>1502</v>
      </c>
      <c r="E1740" s="15" t="s">
        <v>1542</v>
      </c>
      <c r="F1740" s="15" t="s">
        <v>3025</v>
      </c>
      <c r="G1740" s="15" t="s">
        <v>3026</v>
      </c>
      <c r="H1740" s="33" t="n">
        <f aca="false">Packages!$O$163</f>
        <v>10.5360090957091</v>
      </c>
      <c r="I1740" s="15" t="s">
        <v>118</v>
      </c>
      <c r="J1740" s="34" t="n">
        <f aca="false">MAX(1,ROUNDUP(Packages!$O$163/(IF(Packages!$N$163&gt;=PIPE_T1,R_PIPE_L,IF(Packages!$N$163&gt;=PIPE_T2,R_PIPE_M,R_PIPE_S))*Fronts!$L$11)+Packages!$M$163*FIT_D+IF(Packages!$G$163&lt;&gt;"Run",TIE_D,0),0))</f>
        <v>2</v>
      </c>
      <c r="K1740" s="34" t="n">
        <f aca="false">IF(J1740=0,0,ROUNDUP(J1740*7/WD,0))</f>
        <v>3</v>
      </c>
      <c r="L1740" s="15" t="s">
        <v>5344</v>
      </c>
      <c r="M1740" s="34" t="n">
        <f aca="false">ROUNDUP(K1739*LADDER,0)</f>
        <v>2</v>
      </c>
      <c r="N1740" s="34" t="n">
        <f aca="false">IF(K1740=0,0,FFLAG)</f>
        <v>2</v>
      </c>
      <c r="O1740" s="15"/>
      <c r="P1740" s="16" t="n">
        <f aca="false">MAX(P1739+M1740,R1729)</f>
        <v>46527</v>
      </c>
      <c r="Q1740" s="16" t="n">
        <f aca="false">MAX(P1740+K1740,Q1739+N1740)</f>
        <v>46532</v>
      </c>
      <c r="R1740" s="16" t="n">
        <f aca="false">IF(K1740&gt;0,Q1740,R1729)</f>
        <v>46532</v>
      </c>
      <c r="S1740" s="15" t="s">
        <v>5331</v>
      </c>
    </row>
    <row r="1741" customFormat="false" ht="15" hidden="false" customHeight="false" outlineLevel="0" collapsed="false">
      <c r="A1741" s="15" t="s">
        <v>5346</v>
      </c>
      <c r="B1741" s="15" t="s">
        <v>5336</v>
      </c>
      <c r="C1741" s="15" t="s">
        <v>403</v>
      </c>
      <c r="D1741" s="15" t="s">
        <v>1502</v>
      </c>
      <c r="E1741" s="15" t="s">
        <v>1542</v>
      </c>
      <c r="F1741" s="15" t="s">
        <v>3028</v>
      </c>
      <c r="G1741" s="15" t="s">
        <v>3029</v>
      </c>
      <c r="H1741" s="33" t="n">
        <f aca="false">Packages!$O$163</f>
        <v>10.5360090957091</v>
      </c>
      <c r="I1741" s="15" t="s">
        <v>118</v>
      </c>
      <c r="J1741" s="34" t="n">
        <f aca="false">TEST_D+ROUNDUP(Packages!$O$163/R_TEST,0)</f>
        <v>3</v>
      </c>
      <c r="K1741" s="34" t="n">
        <f aca="false">IF(J1741=0,0,ROUNDUP(J1741*7/WD,0))</f>
        <v>4</v>
      </c>
      <c r="L1741" s="15" t="s">
        <v>5345</v>
      </c>
      <c r="M1741" s="34" t="n">
        <f aca="false">ROUNDUP(K1740*LADDER,0)</f>
        <v>1</v>
      </c>
      <c r="N1741" s="34" t="n">
        <f aca="false">IF(K1741=0,0,FFLAG)</f>
        <v>2</v>
      </c>
      <c r="O1741" s="15"/>
      <c r="P1741" s="16" t="n">
        <f aca="false">MAX(P1740+M1741)</f>
        <v>46528</v>
      </c>
      <c r="Q1741" s="16" t="n">
        <f aca="false">MAX(P1741+K1741,Q1740+N1741)</f>
        <v>46534</v>
      </c>
      <c r="R1741" s="12"/>
      <c r="S1741" s="12"/>
    </row>
    <row r="1742" customFormat="false" ht="15" hidden="false" customHeight="false" outlineLevel="0" collapsed="false">
      <c r="A1742" s="15" t="s">
        <v>5347</v>
      </c>
      <c r="B1742" s="15" t="s">
        <v>5336</v>
      </c>
      <c r="C1742" s="15" t="s">
        <v>403</v>
      </c>
      <c r="D1742" s="15" t="s">
        <v>1502</v>
      </c>
      <c r="E1742" s="15" t="s">
        <v>1542</v>
      </c>
      <c r="F1742" s="15" t="s">
        <v>3031</v>
      </c>
      <c r="G1742" s="15" t="s">
        <v>3032</v>
      </c>
      <c r="H1742" s="33" t="n">
        <f aca="false">Packages!$AB$163</f>
        <v>145.972790916034</v>
      </c>
      <c r="I1742" s="15" t="s">
        <v>3019</v>
      </c>
      <c r="J1742" s="34" t="n">
        <f aca="false">MAX(1,ROUNDUP(Packages!$AB$163/(R_BF*Fronts!$M$11),0))</f>
        <v>1</v>
      </c>
      <c r="K1742" s="34" t="n">
        <f aca="false">IF(J1742=0,0,ROUNDUP(J1742*7/WD,0))</f>
        <v>2</v>
      </c>
      <c r="L1742" s="15" t="s">
        <v>5346</v>
      </c>
      <c r="M1742" s="34" t="n">
        <f aca="false">ROUNDUP(K1741*LADDER,0)</f>
        <v>2</v>
      </c>
      <c r="N1742" s="34" t="n">
        <f aca="false">IF(K1742=0,0,FFLAG)</f>
        <v>2</v>
      </c>
      <c r="O1742" s="15"/>
      <c r="P1742" s="16" t="n">
        <f aca="false">MAX(P1741+M1742,R1731)</f>
        <v>46531</v>
      </c>
      <c r="Q1742" s="16" t="n">
        <f aca="false">MAX(P1742+K1742,Q1741+N1742)</f>
        <v>46536</v>
      </c>
      <c r="R1742" s="16" t="n">
        <f aca="false">IF(K1742&gt;0,Q1742,R1731)</f>
        <v>46536</v>
      </c>
      <c r="S1742" s="15" t="s">
        <v>5333</v>
      </c>
    </row>
    <row r="1743" customFormat="false" ht="15" hidden="false" customHeight="false" outlineLevel="0" collapsed="false">
      <c r="A1743" s="15" t="s">
        <v>5348</v>
      </c>
      <c r="B1743" s="15" t="s">
        <v>5336</v>
      </c>
      <c r="C1743" s="15" t="s">
        <v>403</v>
      </c>
      <c r="D1743" s="15" t="s">
        <v>1502</v>
      </c>
      <c r="E1743" s="15" t="s">
        <v>1542</v>
      </c>
      <c r="F1743" s="15" t="s">
        <v>3034</v>
      </c>
      <c r="G1743" s="15" t="s">
        <v>3035</v>
      </c>
      <c r="H1743" s="33" t="n">
        <f aca="false">Packages!$AD$163</f>
        <v>21.0720181914182</v>
      </c>
      <c r="I1743" s="15" t="s">
        <v>3012</v>
      </c>
      <c r="J1743" s="34" t="n">
        <f aca="false">IF(Packages!$AD$163&gt;0,ROUNDUP(Packages!$AD$163/R_EXT,0),0)+IF(Packages!$AG$163&gt;0,1,0)</f>
        <v>2</v>
      </c>
      <c r="K1743" s="34" t="n">
        <f aca="false">IF(J1743=0,0,ROUNDUP(J1743*7/WD,0))</f>
        <v>3</v>
      </c>
      <c r="L1743" s="15" t="s">
        <v>5347</v>
      </c>
      <c r="M1743" s="34" t="n">
        <f aca="false">ROUNDUP(K1742*LADDER,0)</f>
        <v>1</v>
      </c>
      <c r="N1743" s="34" t="n">
        <f aca="false">IF(K1743=0,0,FFLAG)</f>
        <v>2</v>
      </c>
      <c r="O1743" s="15"/>
      <c r="P1743" s="16" t="n">
        <f aca="false">MAX(P1742+M1743)</f>
        <v>46532</v>
      </c>
      <c r="Q1743" s="16" t="n">
        <f aca="false">MAX(P1743+K1743,Q1742+N1743)</f>
        <v>46538</v>
      </c>
      <c r="R1743" s="12"/>
      <c r="S1743" s="12"/>
    </row>
    <row r="1744" customFormat="false" ht="15" hidden="false" customHeight="false" outlineLevel="0" collapsed="false">
      <c r="A1744" s="15" t="s">
        <v>5349</v>
      </c>
      <c r="B1744" s="15" t="s">
        <v>5350</v>
      </c>
      <c r="C1744" s="15" t="s">
        <v>403</v>
      </c>
      <c r="D1744" s="15" t="s">
        <v>1460</v>
      </c>
      <c r="E1744" s="15" t="s">
        <v>1469</v>
      </c>
      <c r="F1744" s="15" t="s">
        <v>2998</v>
      </c>
      <c r="G1744" s="15" t="s">
        <v>2999</v>
      </c>
      <c r="H1744" s="12"/>
      <c r="I1744" s="12"/>
      <c r="J1744" s="34" t="n">
        <f aca="false">0</f>
        <v>0</v>
      </c>
      <c r="K1744" s="34" t="n">
        <f aca="false">IF(J1744=0,0,ROUNDUP(J1744*7/WD,0))</f>
        <v>0</v>
      </c>
      <c r="L1744" s="12"/>
      <c r="M1744" s="12"/>
      <c r="N1744" s="12"/>
      <c r="O1744" s="15" t="s">
        <v>3000</v>
      </c>
      <c r="P1744" s="16" t="n">
        <f aca="false">MAX(START,D_DLU,Packages!$I$164,Packages!$K$164)</f>
        <v>46357</v>
      </c>
      <c r="Q1744" s="16" t="n">
        <f aca="false">P1744+K1744</f>
        <v>46357</v>
      </c>
      <c r="R1744" s="12"/>
      <c r="S1744" s="12"/>
    </row>
    <row r="1745" customFormat="false" ht="15" hidden="false" customHeight="false" outlineLevel="0" collapsed="false">
      <c r="A1745" s="15" t="s">
        <v>5351</v>
      </c>
      <c r="B1745" s="15" t="s">
        <v>5350</v>
      </c>
      <c r="C1745" s="15" t="s">
        <v>403</v>
      </c>
      <c r="D1745" s="15" t="s">
        <v>1460</v>
      </c>
      <c r="E1745" s="15" t="s">
        <v>1469</v>
      </c>
      <c r="F1745" s="15" t="s">
        <v>3002</v>
      </c>
      <c r="G1745" s="15" t="s">
        <v>205</v>
      </c>
      <c r="H1745" s="33" t="n">
        <f aca="false">Packages!$O$164</f>
        <v>32.6818640194615</v>
      </c>
      <c r="I1745" s="15" t="s">
        <v>118</v>
      </c>
      <c r="J1745" s="34" t="n">
        <f aca="false">MAX(1,ROUNDUP(Packages!$O$164/R_PLAT,0))</f>
        <v>1</v>
      </c>
      <c r="K1745" s="34" t="n">
        <f aca="false">IF(J1745=0,0,ROUNDUP(J1745*7/WD,0))</f>
        <v>2</v>
      </c>
      <c r="L1745" s="15" t="s">
        <v>5349</v>
      </c>
      <c r="M1745" s="12"/>
      <c r="N1745" s="12"/>
      <c r="O1745" s="15" t="s">
        <v>5352</v>
      </c>
      <c r="P1745" s="16" t="n">
        <f aca="false">MAX(Q1744,P1735)</f>
        <v>46451</v>
      </c>
      <c r="Q1745" s="16" t="n">
        <f aca="false">P1745+K1745</f>
        <v>46453</v>
      </c>
      <c r="R1745" s="12"/>
      <c r="S1745" s="12"/>
    </row>
    <row r="1746" customFormat="false" ht="15" hidden="false" customHeight="false" outlineLevel="0" collapsed="false">
      <c r="A1746" s="15" t="s">
        <v>5353</v>
      </c>
      <c r="B1746" s="15" t="s">
        <v>5350</v>
      </c>
      <c r="C1746" s="15" t="s">
        <v>403</v>
      </c>
      <c r="D1746" s="15" t="s">
        <v>1460</v>
      </c>
      <c r="E1746" s="15" t="s">
        <v>1469</v>
      </c>
      <c r="F1746" s="15" t="s">
        <v>3005</v>
      </c>
      <c r="G1746" s="15" t="s">
        <v>3006</v>
      </c>
      <c r="H1746" s="33" t="n">
        <f aca="false">Packages!$AC$164</f>
        <v>24</v>
      </c>
      <c r="I1746" s="15" t="s">
        <v>3007</v>
      </c>
      <c r="J1746" s="34" t="n">
        <f aca="false">IF(Packages!$AC$164=0,0,MAX(1,ROUNDUP(Packages!$AC$164/(R_PILE*Fronts!$H$11),0)))</f>
        <v>5</v>
      </c>
      <c r="K1746" s="34" t="n">
        <f aca="false">IF(J1746=0,0,ROUNDUP(J1746*7/WD,0))</f>
        <v>6</v>
      </c>
      <c r="L1746" s="15" t="s">
        <v>5351</v>
      </c>
      <c r="M1746" s="34" t="n">
        <f aca="false">ROUNDUP(K1745*LADDER,0)</f>
        <v>1</v>
      </c>
      <c r="N1746" s="34" t="n">
        <f aca="false">IF(K1746=0,0,FFLAG)</f>
        <v>2</v>
      </c>
      <c r="O1746" s="15" t="s">
        <v>3008</v>
      </c>
      <c r="P1746" s="16" t="n">
        <f aca="false">MAX(P1745+M1746,D_PILEDES,R1735)</f>
        <v>46454</v>
      </c>
      <c r="Q1746" s="16" t="n">
        <f aca="false">MAX(P1746+K1746,Q1745+N1746)</f>
        <v>46460</v>
      </c>
      <c r="R1746" s="16" t="n">
        <f aca="false">IF(K1746&gt;0,Q1746,R1735)</f>
        <v>46460</v>
      </c>
      <c r="S1746" s="15" t="s">
        <v>5339</v>
      </c>
    </row>
    <row r="1747" customFormat="false" ht="15" hidden="false" customHeight="false" outlineLevel="0" collapsed="false">
      <c r="A1747" s="15" t="s">
        <v>5354</v>
      </c>
      <c r="B1747" s="15" t="s">
        <v>5350</v>
      </c>
      <c r="C1747" s="15" t="s">
        <v>403</v>
      </c>
      <c r="D1747" s="15" t="s">
        <v>1460</v>
      </c>
      <c r="E1747" s="15" t="s">
        <v>1469</v>
      </c>
      <c r="F1747" s="15" t="s">
        <v>3010</v>
      </c>
      <c r="G1747" s="15" t="s">
        <v>3011</v>
      </c>
      <c r="H1747" s="33" t="n">
        <f aca="false">Packages!$AD$164</f>
        <v>65.363728038923</v>
      </c>
      <c r="I1747" s="15" t="s">
        <v>3012</v>
      </c>
      <c r="J1747" s="34" t="n">
        <f aca="false">IF(Packages!$AD$164=0,0,MAX(1,ROUNDUP(Packages!$AD$164/(R_SHEET*Fronts!$I$11),0)))</f>
        <v>3</v>
      </c>
      <c r="K1747" s="34" t="n">
        <f aca="false">IF(J1747=0,0,ROUNDUP(J1747*7/WD,0))</f>
        <v>4</v>
      </c>
      <c r="L1747" s="15" t="s">
        <v>5353</v>
      </c>
      <c r="M1747" s="34" t="n">
        <f aca="false">ROUNDUP(K1746*LADDER,0)</f>
        <v>2</v>
      </c>
      <c r="N1747" s="34" t="n">
        <f aca="false">IF(K1747=0,0,FFLAG)</f>
        <v>2</v>
      </c>
      <c r="O1747" s="15"/>
      <c r="P1747" s="16" t="n">
        <f aca="false">MAX(P1746+M1747,R1736)</f>
        <v>46456</v>
      </c>
      <c r="Q1747" s="16" t="n">
        <f aca="false">MAX(P1747+K1747,Q1746+N1747)</f>
        <v>46462</v>
      </c>
      <c r="R1747" s="16" t="n">
        <f aca="false">IF(K1747&gt;0,Q1747,R1736)</f>
        <v>46462</v>
      </c>
      <c r="S1747" s="15" t="s">
        <v>5340</v>
      </c>
    </row>
    <row r="1748" customFormat="false" ht="15" hidden="false" customHeight="false" outlineLevel="0" collapsed="false">
      <c r="A1748" s="15" t="s">
        <v>5355</v>
      </c>
      <c r="B1748" s="15" t="s">
        <v>5350</v>
      </c>
      <c r="C1748" s="15" t="s">
        <v>403</v>
      </c>
      <c r="D1748" s="15" t="s">
        <v>1460</v>
      </c>
      <c r="E1748" s="15" t="s">
        <v>1469</v>
      </c>
      <c r="F1748" s="15" t="s">
        <v>3014</v>
      </c>
      <c r="G1748" s="15" t="s">
        <v>3015</v>
      </c>
      <c r="H1748" s="33" t="n">
        <f aca="false">Packages!$O$164</f>
        <v>32.6818640194615</v>
      </c>
      <c r="I1748" s="15" t="s">
        <v>118</v>
      </c>
      <c r="J1748" s="34" t="n">
        <f aca="false">IF(Packages!$AG$164=0,0,ROUNDUP(Packages!$O$164/R_DW,0)+DW_DRAW)</f>
        <v>8</v>
      </c>
      <c r="K1748" s="34" t="n">
        <f aca="false">IF(J1748=0,0,ROUNDUP(J1748*7/WD,0))</f>
        <v>10</v>
      </c>
      <c r="L1748" s="15" t="s">
        <v>5354</v>
      </c>
      <c r="M1748" s="34" t="n">
        <f aca="false">ROUNDUP(K1747*LADDER,0)</f>
        <v>2</v>
      </c>
      <c r="N1748" s="34" t="n">
        <f aca="false">IF(K1748=0,0,FFLAG)</f>
        <v>2</v>
      </c>
      <c r="O1748" s="15" t="s">
        <v>5356</v>
      </c>
      <c r="P1748" s="16" t="n">
        <f aca="false">MAX(P1747+M1748,Q1738-K1748)</f>
        <v>46478</v>
      </c>
      <c r="Q1748" s="16" t="n">
        <f aca="false">MAX(P1748+K1748,Q1747+N1748)</f>
        <v>46488</v>
      </c>
      <c r="R1748" s="12"/>
      <c r="S1748" s="12"/>
    </row>
    <row r="1749" customFormat="false" ht="15" hidden="false" customHeight="false" outlineLevel="0" collapsed="false">
      <c r="A1749" s="15" t="s">
        <v>5357</v>
      </c>
      <c r="B1749" s="15" t="s">
        <v>5350</v>
      </c>
      <c r="C1749" s="15" t="s">
        <v>403</v>
      </c>
      <c r="D1749" s="15" t="s">
        <v>1460</v>
      </c>
      <c r="E1749" s="15" t="s">
        <v>1469</v>
      </c>
      <c r="F1749" s="15" t="s">
        <v>3017</v>
      </c>
      <c r="G1749" s="15" t="s">
        <v>3018</v>
      </c>
      <c r="H1749" s="33" t="n">
        <f aca="false">Packages!$X$164+Packages!$Y$164</f>
        <v>694.535987269134</v>
      </c>
      <c r="I1749" s="15" t="s">
        <v>3019</v>
      </c>
      <c r="J1749" s="34" t="n">
        <f aca="false">MAX(1,ROUNDUP((Packages!$X$164/R_EXS+Packages!$Y$164/R_EXO)/Fronts!$J$11,0))</f>
        <v>3</v>
      </c>
      <c r="K1749" s="34" t="n">
        <f aca="false">IF(J1749=0,0,ROUNDUP(J1749*7/WD,0))</f>
        <v>4</v>
      </c>
      <c r="L1749" s="15" t="s">
        <v>5355</v>
      </c>
      <c r="M1749" s="34" t="n">
        <f aca="false">IF(K1748=0,0,ROUNDUP((K1748-ROUNDUP(DW_DRAW*7/WD,0))*LADDER,0)+ROUNDUP(DW_DRAW*7/WD,0))</f>
        <v>10</v>
      </c>
      <c r="N1749" s="34" t="n">
        <f aca="false">IF(K1749=0,0,FFLAG)</f>
        <v>2</v>
      </c>
      <c r="O1749" s="15"/>
      <c r="P1749" s="16" t="n">
        <f aca="false">MAX(P1748+M1749,R1738)</f>
        <v>46488</v>
      </c>
      <c r="Q1749" s="16" t="n">
        <f aca="false">MAX(P1749+K1749,Q1748+N1749)</f>
        <v>46492</v>
      </c>
      <c r="R1749" s="16" t="n">
        <f aca="false">IF(K1749&gt;0,Q1749,R1738)</f>
        <v>46492</v>
      </c>
      <c r="S1749" s="15" t="s">
        <v>5343</v>
      </c>
    </row>
    <row r="1750" customFormat="false" ht="15" hidden="false" customHeight="false" outlineLevel="0" collapsed="false">
      <c r="A1750" s="15" t="s">
        <v>5358</v>
      </c>
      <c r="B1750" s="15" t="s">
        <v>5350</v>
      </c>
      <c r="C1750" s="15" t="s">
        <v>403</v>
      </c>
      <c r="D1750" s="15" t="s">
        <v>1460</v>
      </c>
      <c r="E1750" s="15" t="s">
        <v>1469</v>
      </c>
      <c r="F1750" s="15" t="s">
        <v>3022</v>
      </c>
      <c r="G1750" s="15" t="s">
        <v>3023</v>
      </c>
      <c r="H1750" s="33" t="n">
        <f aca="false">Packages!$O$164</f>
        <v>32.6818640194615</v>
      </c>
      <c r="I1750" s="15" t="s">
        <v>118</v>
      </c>
      <c r="J1750" s="34" t="n">
        <f aca="false">MAX(1,ROUNDUP(Packages!$O$164/(R_SLAB*Fronts!$K$11),0))+SLAB_CURE</f>
        <v>6</v>
      </c>
      <c r="K1750" s="34" t="n">
        <f aca="false">IF(J1750=0,0,ROUNDUP(J1750*7/WD,0))</f>
        <v>7</v>
      </c>
      <c r="L1750" s="15" t="s">
        <v>5357</v>
      </c>
      <c r="M1750" s="34" t="n">
        <f aca="false">ROUNDUP(K1749*LADDER,0)</f>
        <v>2</v>
      </c>
      <c r="N1750" s="34" t="n">
        <f aca="false">IF(K1750=0,0,FFLAG)</f>
        <v>2</v>
      </c>
      <c r="O1750" s="15"/>
      <c r="P1750" s="16" t="n">
        <f aca="false">MAX(P1749+M1750,R1739)</f>
        <v>46530</v>
      </c>
      <c r="Q1750" s="16" t="n">
        <f aca="false">MAX(P1750+K1750,Q1749+N1750)</f>
        <v>46537</v>
      </c>
      <c r="R1750" s="16" t="n">
        <f aca="false">IF(K1750&gt;0,Q1750,R1739)</f>
        <v>46537</v>
      </c>
      <c r="S1750" s="15" t="s">
        <v>5344</v>
      </c>
    </row>
    <row r="1751" customFormat="false" ht="15" hidden="false" customHeight="false" outlineLevel="0" collapsed="false">
      <c r="A1751" s="15" t="s">
        <v>5359</v>
      </c>
      <c r="B1751" s="15" t="s">
        <v>5350</v>
      </c>
      <c r="C1751" s="15" t="s">
        <v>403</v>
      </c>
      <c r="D1751" s="15" t="s">
        <v>1460</v>
      </c>
      <c r="E1751" s="15" t="s">
        <v>1469</v>
      </c>
      <c r="F1751" s="15" t="s">
        <v>3025</v>
      </c>
      <c r="G1751" s="15" t="s">
        <v>3026</v>
      </c>
      <c r="H1751" s="33" t="n">
        <f aca="false">Packages!$O$164</f>
        <v>32.6818640194615</v>
      </c>
      <c r="I1751" s="15" t="s">
        <v>118</v>
      </c>
      <c r="J1751" s="34" t="n">
        <f aca="false">MAX(1,ROUNDUP(Packages!$O$164/(IF(Packages!$N$164&gt;=PIPE_T1,R_PIPE_L,IF(Packages!$N$164&gt;=PIPE_T2,R_PIPE_M,R_PIPE_S))*Fronts!$L$11)+Packages!$M$164*FIT_D+IF(Packages!$G$164&lt;&gt;"Run",TIE_D,0),0))</f>
        <v>3</v>
      </c>
      <c r="K1751" s="34" t="n">
        <f aca="false">IF(J1751=0,0,ROUNDUP(J1751*7/WD,0))</f>
        <v>4</v>
      </c>
      <c r="L1751" s="15" t="s">
        <v>5358</v>
      </c>
      <c r="M1751" s="34" t="n">
        <f aca="false">ROUNDUP(K1750*LADDER,0)</f>
        <v>3</v>
      </c>
      <c r="N1751" s="34" t="n">
        <f aca="false">IF(K1751=0,0,FFLAG)</f>
        <v>2</v>
      </c>
      <c r="O1751" s="15"/>
      <c r="P1751" s="16" t="n">
        <f aca="false">MAX(P1750+M1751,R1740)</f>
        <v>46533</v>
      </c>
      <c r="Q1751" s="16" t="n">
        <f aca="false">MAX(P1751+K1751,Q1750+N1751)</f>
        <v>46539</v>
      </c>
      <c r="R1751" s="16" t="n">
        <f aca="false">IF(K1751&gt;0,Q1751,R1740)</f>
        <v>46539</v>
      </c>
      <c r="S1751" s="15" t="s">
        <v>5345</v>
      </c>
    </row>
    <row r="1752" customFormat="false" ht="15" hidden="false" customHeight="false" outlineLevel="0" collapsed="false">
      <c r="A1752" s="15" t="s">
        <v>5360</v>
      </c>
      <c r="B1752" s="15" t="s">
        <v>5350</v>
      </c>
      <c r="C1752" s="15" t="s">
        <v>403</v>
      </c>
      <c r="D1752" s="15" t="s">
        <v>1460</v>
      </c>
      <c r="E1752" s="15" t="s">
        <v>1469</v>
      </c>
      <c r="F1752" s="15" t="s">
        <v>3028</v>
      </c>
      <c r="G1752" s="15" t="s">
        <v>3029</v>
      </c>
      <c r="H1752" s="33" t="n">
        <f aca="false">Packages!$O$164</f>
        <v>32.6818640194615</v>
      </c>
      <c r="I1752" s="15" t="s">
        <v>118</v>
      </c>
      <c r="J1752" s="34" t="n">
        <f aca="false">TEST_D+ROUNDUP(Packages!$O$164/R_TEST,0)</f>
        <v>3</v>
      </c>
      <c r="K1752" s="34" t="n">
        <f aca="false">IF(J1752=0,0,ROUNDUP(J1752*7/WD,0))</f>
        <v>4</v>
      </c>
      <c r="L1752" s="15" t="s">
        <v>5359</v>
      </c>
      <c r="M1752" s="34" t="n">
        <f aca="false">ROUNDUP(K1751*LADDER,0)</f>
        <v>2</v>
      </c>
      <c r="N1752" s="34" t="n">
        <f aca="false">IF(K1752=0,0,FFLAG)</f>
        <v>2</v>
      </c>
      <c r="O1752" s="15"/>
      <c r="P1752" s="16" t="n">
        <f aca="false">MAX(P1751+M1752)</f>
        <v>46535</v>
      </c>
      <c r="Q1752" s="16" t="n">
        <f aca="false">MAX(P1752+K1752,Q1751+N1752)</f>
        <v>46541</v>
      </c>
      <c r="R1752" s="12"/>
      <c r="S1752" s="12"/>
    </row>
    <row r="1753" customFormat="false" ht="15" hidden="false" customHeight="false" outlineLevel="0" collapsed="false">
      <c r="A1753" s="15" t="s">
        <v>5361</v>
      </c>
      <c r="B1753" s="15" t="s">
        <v>5350</v>
      </c>
      <c r="C1753" s="15" t="s">
        <v>403</v>
      </c>
      <c r="D1753" s="15" t="s">
        <v>1460</v>
      </c>
      <c r="E1753" s="15" t="s">
        <v>1469</v>
      </c>
      <c r="F1753" s="15" t="s">
        <v>3031</v>
      </c>
      <c r="G1753" s="15" t="s">
        <v>3032</v>
      </c>
      <c r="H1753" s="33" t="n">
        <f aca="false">Packages!$AB$164</f>
        <v>535.308102312525</v>
      </c>
      <c r="I1753" s="15" t="s">
        <v>3019</v>
      </c>
      <c r="J1753" s="34" t="n">
        <f aca="false">MAX(1,ROUNDUP(Packages!$AB$164/(R_BF*Fronts!$M$11),0))</f>
        <v>2</v>
      </c>
      <c r="K1753" s="34" t="n">
        <f aca="false">IF(J1753=0,0,ROUNDUP(J1753*7/WD,0))</f>
        <v>3</v>
      </c>
      <c r="L1753" s="15" t="s">
        <v>5360</v>
      </c>
      <c r="M1753" s="34" t="n">
        <f aca="false">ROUNDUP(K1752*LADDER,0)</f>
        <v>2</v>
      </c>
      <c r="N1753" s="34" t="n">
        <f aca="false">IF(K1753=0,0,FFLAG)</f>
        <v>2</v>
      </c>
      <c r="O1753" s="15" t="s">
        <v>5362</v>
      </c>
      <c r="P1753" s="16" t="n">
        <f aca="false">MAX(P1752+M1753,R1742,Q1762,Q1784)</f>
        <v>46551</v>
      </c>
      <c r="Q1753" s="16" t="n">
        <f aca="false">MAX(P1753+K1753,Q1752+N1753)</f>
        <v>46554</v>
      </c>
      <c r="R1753" s="16" t="n">
        <f aca="false">IF(K1753&gt;0,Q1753,R1742)</f>
        <v>46554</v>
      </c>
      <c r="S1753" s="15" t="s">
        <v>5347</v>
      </c>
    </row>
    <row r="1754" customFormat="false" ht="15" hidden="false" customHeight="false" outlineLevel="0" collapsed="false">
      <c r="A1754" s="15" t="s">
        <v>5363</v>
      </c>
      <c r="B1754" s="15" t="s">
        <v>5350</v>
      </c>
      <c r="C1754" s="15" t="s">
        <v>403</v>
      </c>
      <c r="D1754" s="15" t="s">
        <v>1460</v>
      </c>
      <c r="E1754" s="15" t="s">
        <v>1469</v>
      </c>
      <c r="F1754" s="15" t="s">
        <v>3034</v>
      </c>
      <c r="G1754" s="15" t="s">
        <v>3035</v>
      </c>
      <c r="H1754" s="33" t="n">
        <f aca="false">Packages!$AD$164</f>
        <v>65.363728038923</v>
      </c>
      <c r="I1754" s="15" t="s">
        <v>3012</v>
      </c>
      <c r="J1754" s="34" t="n">
        <f aca="false">IF(Packages!$AD$164&gt;0,ROUNDUP(Packages!$AD$164/R_EXT,0),0)+IF(Packages!$AG$164&gt;0,1,0)</f>
        <v>3</v>
      </c>
      <c r="K1754" s="34" t="n">
        <f aca="false">IF(J1754=0,0,ROUNDUP(J1754*7/WD,0))</f>
        <v>4</v>
      </c>
      <c r="L1754" s="15" t="s">
        <v>5361</v>
      </c>
      <c r="M1754" s="34" t="n">
        <f aca="false">ROUNDUP(K1753*LADDER,0)</f>
        <v>1</v>
      </c>
      <c r="N1754" s="34" t="n">
        <f aca="false">IF(K1754=0,0,FFLAG)</f>
        <v>2</v>
      </c>
      <c r="O1754" s="15"/>
      <c r="P1754" s="16" t="n">
        <f aca="false">MAX(P1753+M1754)</f>
        <v>46552</v>
      </c>
      <c r="Q1754" s="16" t="n">
        <f aca="false">MAX(P1754+K1754,Q1753+N1754)</f>
        <v>46556</v>
      </c>
      <c r="R1754" s="12"/>
      <c r="S1754" s="12"/>
    </row>
    <row r="1755" customFormat="false" ht="15" hidden="false" customHeight="false" outlineLevel="0" collapsed="false">
      <c r="A1755" s="15" t="s">
        <v>5364</v>
      </c>
      <c r="B1755" s="15" t="s">
        <v>5365</v>
      </c>
      <c r="C1755" s="15" t="s">
        <v>403</v>
      </c>
      <c r="D1755" s="15" t="s">
        <v>1502</v>
      </c>
      <c r="E1755" s="15" t="s">
        <v>1505</v>
      </c>
      <c r="F1755" s="15" t="s">
        <v>2998</v>
      </c>
      <c r="G1755" s="15" t="s">
        <v>2999</v>
      </c>
      <c r="H1755" s="12"/>
      <c r="I1755" s="12"/>
      <c r="J1755" s="34" t="n">
        <f aca="false">0</f>
        <v>0</v>
      </c>
      <c r="K1755" s="34" t="n">
        <f aca="false">IF(J1755=0,0,ROUNDUP(J1755*7/WD,0))</f>
        <v>0</v>
      </c>
      <c r="L1755" s="12"/>
      <c r="M1755" s="12"/>
      <c r="N1755" s="12"/>
      <c r="O1755" s="15" t="s">
        <v>3000</v>
      </c>
      <c r="P1755" s="16" t="n">
        <f aca="false">MAX(START,D_DLU,Packages!$I$165,Packages!$K$165)</f>
        <v>46357</v>
      </c>
      <c r="Q1755" s="16" t="n">
        <f aca="false">P1755+K1755</f>
        <v>46357</v>
      </c>
      <c r="R1755" s="12"/>
      <c r="S1755" s="12"/>
    </row>
    <row r="1756" customFormat="false" ht="15" hidden="false" customHeight="false" outlineLevel="0" collapsed="false">
      <c r="A1756" s="15" t="s">
        <v>5366</v>
      </c>
      <c r="B1756" s="15" t="s">
        <v>5365</v>
      </c>
      <c r="C1756" s="15" t="s">
        <v>403</v>
      </c>
      <c r="D1756" s="15" t="s">
        <v>1502</v>
      </c>
      <c r="E1756" s="15" t="s">
        <v>1505</v>
      </c>
      <c r="F1756" s="15" t="s">
        <v>3002</v>
      </c>
      <c r="G1756" s="15" t="s">
        <v>205</v>
      </c>
      <c r="H1756" s="33" t="n">
        <f aca="false">Packages!$O$165</f>
        <v>32.2438785395946</v>
      </c>
      <c r="I1756" s="15" t="s">
        <v>118</v>
      </c>
      <c r="J1756" s="34" t="n">
        <f aca="false">MAX(1,ROUNDUP(Packages!$O$165/R_PLAT,0))</f>
        <v>1</v>
      </c>
      <c r="K1756" s="34" t="n">
        <f aca="false">IF(J1756=0,0,ROUNDUP(J1756*7/WD,0))</f>
        <v>2</v>
      </c>
      <c r="L1756" s="15" t="s">
        <v>5364</v>
      </c>
      <c r="M1756" s="12"/>
      <c r="N1756" s="12"/>
      <c r="O1756" s="15" t="s">
        <v>5367</v>
      </c>
      <c r="P1756" s="16" t="n">
        <f aca="false">MAX(Q1755,P1746)</f>
        <v>46454</v>
      </c>
      <c r="Q1756" s="16" t="n">
        <f aca="false">P1756+K1756</f>
        <v>46456</v>
      </c>
      <c r="R1756" s="12"/>
      <c r="S1756" s="12"/>
    </row>
    <row r="1757" customFormat="false" ht="15" hidden="false" customHeight="false" outlineLevel="0" collapsed="false">
      <c r="A1757" s="15" t="s">
        <v>5368</v>
      </c>
      <c r="B1757" s="15" t="s">
        <v>5365</v>
      </c>
      <c r="C1757" s="15" t="s">
        <v>403</v>
      </c>
      <c r="D1757" s="15" t="s">
        <v>1502</v>
      </c>
      <c r="E1757" s="15" t="s">
        <v>1505</v>
      </c>
      <c r="F1757" s="15" t="s">
        <v>3005</v>
      </c>
      <c r="G1757" s="15" t="s">
        <v>3006</v>
      </c>
      <c r="H1757" s="33" t="n">
        <f aca="false">Packages!$AC$165</f>
        <v>24</v>
      </c>
      <c r="I1757" s="15" t="s">
        <v>3007</v>
      </c>
      <c r="J1757" s="34" t="n">
        <f aca="false">IF(Packages!$AC$165=0,0,MAX(1,ROUNDUP(Packages!$AC$165/(R_PILE*Fronts!$H$11),0)))</f>
        <v>5</v>
      </c>
      <c r="K1757" s="34" t="n">
        <f aca="false">IF(J1757=0,0,ROUNDUP(J1757*7/WD,0))</f>
        <v>6</v>
      </c>
      <c r="L1757" s="15" t="s">
        <v>5366</v>
      </c>
      <c r="M1757" s="34" t="n">
        <f aca="false">ROUNDUP(K1756*LADDER,0)</f>
        <v>1</v>
      </c>
      <c r="N1757" s="34" t="n">
        <f aca="false">IF(K1757=0,0,FFLAG)</f>
        <v>2</v>
      </c>
      <c r="O1757" s="15" t="s">
        <v>3008</v>
      </c>
      <c r="P1757" s="16" t="n">
        <f aca="false">MAX(P1756+M1757,D_PILEDES,R1746)</f>
        <v>46460</v>
      </c>
      <c r="Q1757" s="16" t="n">
        <f aca="false">MAX(P1757+K1757,Q1756+N1757)</f>
        <v>46466</v>
      </c>
      <c r="R1757" s="16" t="n">
        <f aca="false">IF(K1757&gt;0,Q1757,R1746)</f>
        <v>46466</v>
      </c>
      <c r="S1757" s="15" t="s">
        <v>5353</v>
      </c>
    </row>
    <row r="1758" customFormat="false" ht="15" hidden="false" customHeight="false" outlineLevel="0" collapsed="false">
      <c r="A1758" s="15" t="s">
        <v>5369</v>
      </c>
      <c r="B1758" s="15" t="s">
        <v>5365</v>
      </c>
      <c r="C1758" s="15" t="s">
        <v>403</v>
      </c>
      <c r="D1758" s="15" t="s">
        <v>1502</v>
      </c>
      <c r="E1758" s="15" t="s">
        <v>1505</v>
      </c>
      <c r="F1758" s="15" t="s">
        <v>3010</v>
      </c>
      <c r="G1758" s="15" t="s">
        <v>3011</v>
      </c>
      <c r="H1758" s="33" t="n">
        <f aca="false">Packages!$AD$165</f>
        <v>64.4877570791892</v>
      </c>
      <c r="I1758" s="15" t="s">
        <v>3012</v>
      </c>
      <c r="J1758" s="34" t="n">
        <f aca="false">IF(Packages!$AD$165=0,0,MAX(1,ROUNDUP(Packages!$AD$165/(R_SHEET*Fronts!$I$11),0)))</f>
        <v>3</v>
      </c>
      <c r="K1758" s="34" t="n">
        <f aca="false">IF(J1758=0,0,ROUNDUP(J1758*7/WD,0))</f>
        <v>4</v>
      </c>
      <c r="L1758" s="15" t="s">
        <v>5368</v>
      </c>
      <c r="M1758" s="34" t="n">
        <f aca="false">ROUNDUP(K1757*LADDER,0)</f>
        <v>2</v>
      </c>
      <c r="N1758" s="34" t="n">
        <f aca="false">IF(K1758=0,0,FFLAG)</f>
        <v>2</v>
      </c>
      <c r="O1758" s="15"/>
      <c r="P1758" s="16" t="n">
        <f aca="false">MAX(P1757+M1758,R1747)</f>
        <v>46462</v>
      </c>
      <c r="Q1758" s="16" t="n">
        <f aca="false">MAX(P1758+K1758,Q1757+N1758)</f>
        <v>46468</v>
      </c>
      <c r="R1758" s="16" t="n">
        <f aca="false">IF(K1758&gt;0,Q1758,R1747)</f>
        <v>46468</v>
      </c>
      <c r="S1758" s="15" t="s">
        <v>5354</v>
      </c>
    </row>
    <row r="1759" customFormat="false" ht="15" hidden="false" customHeight="false" outlineLevel="0" collapsed="false">
      <c r="A1759" s="15" t="s">
        <v>5370</v>
      </c>
      <c r="B1759" s="15" t="s">
        <v>5365</v>
      </c>
      <c r="C1759" s="15" t="s">
        <v>403</v>
      </c>
      <c r="D1759" s="15" t="s">
        <v>1502</v>
      </c>
      <c r="E1759" s="15" t="s">
        <v>1505</v>
      </c>
      <c r="F1759" s="15" t="s">
        <v>3014</v>
      </c>
      <c r="G1759" s="15" t="s">
        <v>3015</v>
      </c>
      <c r="H1759" s="33" t="n">
        <f aca="false">Packages!$O$165</f>
        <v>32.2438785395946</v>
      </c>
      <c r="I1759" s="15" t="s">
        <v>118</v>
      </c>
      <c r="J1759" s="34" t="n">
        <f aca="false">IF(Packages!$AG$165=0,0,ROUNDUP(Packages!$O$165/R_DW,0)+DW_DRAW)</f>
        <v>8</v>
      </c>
      <c r="K1759" s="34" t="n">
        <f aca="false">IF(J1759=0,0,ROUNDUP(J1759*7/WD,0))</f>
        <v>10</v>
      </c>
      <c r="L1759" s="15" t="s">
        <v>5369</v>
      </c>
      <c r="M1759" s="34" t="n">
        <f aca="false">ROUNDUP(K1758*LADDER,0)</f>
        <v>2</v>
      </c>
      <c r="N1759" s="34" t="n">
        <f aca="false">IF(K1759=0,0,FFLAG)</f>
        <v>2</v>
      </c>
      <c r="O1759" s="15" t="s">
        <v>5371</v>
      </c>
      <c r="P1759" s="16" t="n">
        <f aca="false">MAX(P1758+M1759,Q1749-K1759)</f>
        <v>46482</v>
      </c>
      <c r="Q1759" s="16" t="n">
        <f aca="false">MAX(P1759+K1759,Q1758+N1759)</f>
        <v>46492</v>
      </c>
      <c r="R1759" s="12"/>
      <c r="S1759" s="12"/>
    </row>
    <row r="1760" customFormat="false" ht="15" hidden="false" customHeight="false" outlineLevel="0" collapsed="false">
      <c r="A1760" s="15" t="s">
        <v>5372</v>
      </c>
      <c r="B1760" s="15" t="s">
        <v>5365</v>
      </c>
      <c r="C1760" s="15" t="s">
        <v>403</v>
      </c>
      <c r="D1760" s="15" t="s">
        <v>1502</v>
      </c>
      <c r="E1760" s="15" t="s">
        <v>1505</v>
      </c>
      <c r="F1760" s="15" t="s">
        <v>3017</v>
      </c>
      <c r="G1760" s="15" t="s">
        <v>3018</v>
      </c>
      <c r="H1760" s="33" t="n">
        <f aca="false">Packages!$X$165+Packages!$Y$165</f>
        <v>454.82319154567</v>
      </c>
      <c r="I1760" s="15" t="s">
        <v>3019</v>
      </c>
      <c r="J1760" s="34" t="n">
        <f aca="false">MAX(1,ROUNDUP((Packages!$X$165/R_EXS+Packages!$Y$165/R_EXO)/Fronts!$J$11,0))</f>
        <v>2</v>
      </c>
      <c r="K1760" s="34" t="n">
        <f aca="false">IF(J1760=0,0,ROUNDUP(J1760*7/WD,0))</f>
        <v>3</v>
      </c>
      <c r="L1760" s="15" t="s">
        <v>5370</v>
      </c>
      <c r="M1760" s="34" t="n">
        <f aca="false">IF(K1759=0,0,ROUNDUP((K1759-ROUNDUP(DW_DRAW*7/WD,0))*LADDER,0)+ROUNDUP(DW_DRAW*7/WD,0))</f>
        <v>10</v>
      </c>
      <c r="N1760" s="34" t="n">
        <f aca="false">IF(K1760=0,0,FFLAG)</f>
        <v>2</v>
      </c>
      <c r="O1760" s="15" t="s">
        <v>5373</v>
      </c>
      <c r="P1760" s="16" t="n">
        <f aca="false">MAX(P1759+M1760,R1749,P1749)</f>
        <v>46492</v>
      </c>
      <c r="Q1760" s="16" t="n">
        <f aca="false">MAX(P1760+K1760,Q1759+N1760)</f>
        <v>46495</v>
      </c>
      <c r="R1760" s="16" t="n">
        <f aca="false">IF(K1760&gt;0,Q1760,R1749)</f>
        <v>46495</v>
      </c>
      <c r="S1760" s="15" t="s">
        <v>5357</v>
      </c>
    </row>
    <row r="1761" customFormat="false" ht="15" hidden="false" customHeight="false" outlineLevel="0" collapsed="false">
      <c r="A1761" s="15" t="s">
        <v>5374</v>
      </c>
      <c r="B1761" s="15" t="s">
        <v>5365</v>
      </c>
      <c r="C1761" s="15" t="s">
        <v>403</v>
      </c>
      <c r="D1761" s="15" t="s">
        <v>1502</v>
      </c>
      <c r="E1761" s="15" t="s">
        <v>1505</v>
      </c>
      <c r="F1761" s="15" t="s">
        <v>3022</v>
      </c>
      <c r="G1761" s="15" t="s">
        <v>3023</v>
      </c>
      <c r="H1761" s="33" t="n">
        <f aca="false">Packages!$O$165</f>
        <v>32.2438785395946</v>
      </c>
      <c r="I1761" s="15" t="s">
        <v>118</v>
      </c>
      <c r="J1761" s="34" t="n">
        <f aca="false">MAX(1,ROUNDUP(Packages!$O$165/(R_SLAB*Fronts!$K$11),0))+SLAB_CURE</f>
        <v>6</v>
      </c>
      <c r="K1761" s="34" t="n">
        <f aca="false">IF(J1761=0,0,ROUNDUP(J1761*7/WD,0))</f>
        <v>7</v>
      </c>
      <c r="L1761" s="15" t="s">
        <v>5372</v>
      </c>
      <c r="M1761" s="34" t="n">
        <f aca="false">ROUNDUP(K1760*LADDER,0)</f>
        <v>1</v>
      </c>
      <c r="N1761" s="34" t="n">
        <f aca="false">IF(K1761=0,0,FFLAG)</f>
        <v>2</v>
      </c>
      <c r="O1761" s="15"/>
      <c r="P1761" s="16" t="n">
        <f aca="false">MAX(P1760+M1761,R1750)</f>
        <v>46537</v>
      </c>
      <c r="Q1761" s="16" t="n">
        <f aca="false">MAX(P1761+K1761,Q1760+N1761)</f>
        <v>46544</v>
      </c>
      <c r="R1761" s="16" t="n">
        <f aca="false">IF(K1761&gt;0,Q1761,R1750)</f>
        <v>46544</v>
      </c>
      <c r="S1761" s="15" t="s">
        <v>5358</v>
      </c>
    </row>
    <row r="1762" customFormat="false" ht="15" hidden="false" customHeight="false" outlineLevel="0" collapsed="false">
      <c r="A1762" s="15" t="s">
        <v>5375</v>
      </c>
      <c r="B1762" s="15" t="s">
        <v>5365</v>
      </c>
      <c r="C1762" s="15" t="s">
        <v>403</v>
      </c>
      <c r="D1762" s="15" t="s">
        <v>1502</v>
      </c>
      <c r="E1762" s="15" t="s">
        <v>1505</v>
      </c>
      <c r="F1762" s="15" t="s">
        <v>3025</v>
      </c>
      <c r="G1762" s="15" t="s">
        <v>3026</v>
      </c>
      <c r="H1762" s="33" t="n">
        <f aca="false">Packages!$O$165</f>
        <v>32.2438785395946</v>
      </c>
      <c r="I1762" s="15" t="s">
        <v>118</v>
      </c>
      <c r="J1762" s="34" t="n">
        <f aca="false">MAX(1,ROUNDUP(Packages!$O$165/(IF(Packages!$N$165&gt;=PIPE_T1,R_PIPE_L,IF(Packages!$N$165&gt;=PIPE_T2,R_PIPE_M,R_PIPE_S))*Fronts!$L$11)+Packages!$M$165*FIT_D+IF(Packages!$G$165&lt;&gt;"Run",TIE_D,0),0))</f>
        <v>3</v>
      </c>
      <c r="K1762" s="34" t="n">
        <f aca="false">IF(J1762=0,0,ROUNDUP(J1762*7/WD,0))</f>
        <v>4</v>
      </c>
      <c r="L1762" s="15" t="s">
        <v>5374</v>
      </c>
      <c r="M1762" s="34" t="n">
        <f aca="false">ROUNDUP(K1761*LADDER,0)</f>
        <v>3</v>
      </c>
      <c r="N1762" s="34" t="n">
        <f aca="false">IF(K1762=0,0,FFLAG)</f>
        <v>2</v>
      </c>
      <c r="O1762" s="15"/>
      <c r="P1762" s="16" t="n">
        <f aca="false">MAX(P1761+M1762,R1751)</f>
        <v>46540</v>
      </c>
      <c r="Q1762" s="16" t="n">
        <f aca="false">MAX(P1762+K1762,Q1761+N1762)</f>
        <v>46546</v>
      </c>
      <c r="R1762" s="16" t="n">
        <f aca="false">IF(K1762&gt;0,Q1762,R1751)</f>
        <v>46546</v>
      </c>
      <c r="S1762" s="15" t="s">
        <v>5359</v>
      </c>
    </row>
    <row r="1763" customFormat="false" ht="15" hidden="false" customHeight="false" outlineLevel="0" collapsed="false">
      <c r="A1763" s="15" t="s">
        <v>5376</v>
      </c>
      <c r="B1763" s="15" t="s">
        <v>5365</v>
      </c>
      <c r="C1763" s="15" t="s">
        <v>403</v>
      </c>
      <c r="D1763" s="15" t="s">
        <v>1502</v>
      </c>
      <c r="E1763" s="15" t="s">
        <v>1505</v>
      </c>
      <c r="F1763" s="15" t="s">
        <v>3028</v>
      </c>
      <c r="G1763" s="15" t="s">
        <v>3029</v>
      </c>
      <c r="H1763" s="33" t="n">
        <f aca="false">Packages!$O$165</f>
        <v>32.2438785395946</v>
      </c>
      <c r="I1763" s="15" t="s">
        <v>118</v>
      </c>
      <c r="J1763" s="34" t="n">
        <f aca="false">TEST_D+ROUNDUP(Packages!$O$165/R_TEST,0)</f>
        <v>3</v>
      </c>
      <c r="K1763" s="34" t="n">
        <f aca="false">IF(J1763=0,0,ROUNDUP(J1763*7/WD,0))</f>
        <v>4</v>
      </c>
      <c r="L1763" s="15" t="s">
        <v>5375</v>
      </c>
      <c r="M1763" s="34" t="n">
        <f aca="false">ROUNDUP(K1762*LADDER,0)</f>
        <v>2</v>
      </c>
      <c r="N1763" s="34" t="n">
        <f aca="false">IF(K1763=0,0,FFLAG)</f>
        <v>2</v>
      </c>
      <c r="O1763" s="15"/>
      <c r="P1763" s="16" t="n">
        <f aca="false">MAX(P1762+M1763)</f>
        <v>46542</v>
      </c>
      <c r="Q1763" s="16" t="n">
        <f aca="false">MAX(P1763+K1763,Q1762+N1763)</f>
        <v>46548</v>
      </c>
      <c r="R1763" s="12"/>
      <c r="S1763" s="12"/>
    </row>
    <row r="1764" customFormat="false" ht="15" hidden="false" customHeight="false" outlineLevel="0" collapsed="false">
      <c r="A1764" s="15" t="s">
        <v>5377</v>
      </c>
      <c r="B1764" s="15" t="s">
        <v>5365</v>
      </c>
      <c r="C1764" s="15" t="s">
        <v>403</v>
      </c>
      <c r="D1764" s="15" t="s">
        <v>1502</v>
      </c>
      <c r="E1764" s="15" t="s">
        <v>1505</v>
      </c>
      <c r="F1764" s="15" t="s">
        <v>3031</v>
      </c>
      <c r="G1764" s="15" t="s">
        <v>3032</v>
      </c>
      <c r="H1764" s="33" t="n">
        <f aca="false">Packages!$AB$165</f>
        <v>397.192690108854</v>
      </c>
      <c r="I1764" s="15" t="s">
        <v>3019</v>
      </c>
      <c r="J1764" s="34" t="n">
        <f aca="false">MAX(1,ROUNDUP(Packages!$AB$165/(R_BF*Fronts!$M$11),0))</f>
        <v>2</v>
      </c>
      <c r="K1764" s="34" t="n">
        <f aca="false">IF(J1764=0,0,ROUNDUP(J1764*7/WD,0))</f>
        <v>3</v>
      </c>
      <c r="L1764" s="15" t="s">
        <v>5376</v>
      </c>
      <c r="M1764" s="34" t="n">
        <f aca="false">ROUNDUP(K1763*LADDER,0)</f>
        <v>2</v>
      </c>
      <c r="N1764" s="34" t="n">
        <f aca="false">IF(K1764=0,0,FFLAG)</f>
        <v>2</v>
      </c>
      <c r="O1764" s="15" t="s">
        <v>5378</v>
      </c>
      <c r="P1764" s="16" t="n">
        <f aca="false">MAX(P1763+M1764,R1753,Q1751)</f>
        <v>46554</v>
      </c>
      <c r="Q1764" s="16" t="n">
        <f aca="false">MAX(P1764+K1764,Q1763+N1764)</f>
        <v>46557</v>
      </c>
      <c r="R1764" s="16" t="n">
        <f aca="false">IF(K1764&gt;0,Q1764,R1753)</f>
        <v>46557</v>
      </c>
      <c r="S1764" s="15" t="s">
        <v>5361</v>
      </c>
    </row>
    <row r="1765" customFormat="false" ht="15" hidden="false" customHeight="false" outlineLevel="0" collapsed="false">
      <c r="A1765" s="15" t="s">
        <v>5379</v>
      </c>
      <c r="B1765" s="15" t="s">
        <v>5365</v>
      </c>
      <c r="C1765" s="15" t="s">
        <v>403</v>
      </c>
      <c r="D1765" s="15" t="s">
        <v>1502</v>
      </c>
      <c r="E1765" s="15" t="s">
        <v>1505</v>
      </c>
      <c r="F1765" s="15" t="s">
        <v>3034</v>
      </c>
      <c r="G1765" s="15" t="s">
        <v>3035</v>
      </c>
      <c r="H1765" s="33" t="n">
        <f aca="false">Packages!$AD$165</f>
        <v>64.4877570791892</v>
      </c>
      <c r="I1765" s="15" t="s">
        <v>3012</v>
      </c>
      <c r="J1765" s="34" t="n">
        <f aca="false">IF(Packages!$AD$165&gt;0,ROUNDUP(Packages!$AD$165/R_EXT,0),0)+IF(Packages!$AG$165&gt;0,1,0)</f>
        <v>3</v>
      </c>
      <c r="K1765" s="34" t="n">
        <f aca="false">IF(J1765=0,0,ROUNDUP(J1765*7/WD,0))</f>
        <v>4</v>
      </c>
      <c r="L1765" s="15" t="s">
        <v>5377</v>
      </c>
      <c r="M1765" s="34" t="n">
        <f aca="false">ROUNDUP(K1764*LADDER,0)</f>
        <v>1</v>
      </c>
      <c r="N1765" s="34" t="n">
        <f aca="false">IF(K1765=0,0,FFLAG)</f>
        <v>2</v>
      </c>
      <c r="O1765" s="15"/>
      <c r="P1765" s="16" t="n">
        <f aca="false">MAX(P1764+M1765)</f>
        <v>46555</v>
      </c>
      <c r="Q1765" s="16" t="n">
        <f aca="false">MAX(P1765+K1765,Q1764+N1765)</f>
        <v>46559</v>
      </c>
      <c r="R1765" s="12"/>
      <c r="S1765" s="12"/>
    </row>
    <row r="1766" customFormat="false" ht="15" hidden="false" customHeight="false" outlineLevel="0" collapsed="false">
      <c r="A1766" s="15" t="s">
        <v>5380</v>
      </c>
      <c r="B1766" s="15" t="s">
        <v>5381</v>
      </c>
      <c r="C1766" s="15" t="s">
        <v>403</v>
      </c>
      <c r="D1766" s="15" t="s">
        <v>1460</v>
      </c>
      <c r="E1766" s="15" t="s">
        <v>1461</v>
      </c>
      <c r="F1766" s="15" t="s">
        <v>2998</v>
      </c>
      <c r="G1766" s="15" t="s">
        <v>2999</v>
      </c>
      <c r="H1766" s="12"/>
      <c r="I1766" s="12"/>
      <c r="J1766" s="34" t="n">
        <f aca="false">0</f>
        <v>0</v>
      </c>
      <c r="K1766" s="34" t="n">
        <f aca="false">IF(J1766=0,0,ROUNDUP(J1766*7/WD,0))</f>
        <v>0</v>
      </c>
      <c r="L1766" s="12"/>
      <c r="M1766" s="12"/>
      <c r="N1766" s="12"/>
      <c r="O1766" s="15" t="s">
        <v>3038</v>
      </c>
      <c r="P1766" s="16" t="n">
        <f aca="false">MAX(START,D_DLU,Packages!$I$166,Packages!$K$166)</f>
        <v>46357</v>
      </c>
      <c r="Q1766" s="16" t="n">
        <f aca="false">P1766+K1766</f>
        <v>46357</v>
      </c>
      <c r="R1766" s="12"/>
      <c r="S1766" s="12"/>
    </row>
    <row r="1767" customFormat="false" ht="15" hidden="false" customHeight="false" outlineLevel="0" collapsed="false">
      <c r="A1767" s="15" t="s">
        <v>5382</v>
      </c>
      <c r="B1767" s="15" t="s">
        <v>5381</v>
      </c>
      <c r="C1767" s="15" t="s">
        <v>403</v>
      </c>
      <c r="D1767" s="15" t="s">
        <v>1460</v>
      </c>
      <c r="E1767" s="15" t="s">
        <v>1461</v>
      </c>
      <c r="F1767" s="15" t="s">
        <v>3002</v>
      </c>
      <c r="G1767" s="15" t="s">
        <v>205</v>
      </c>
      <c r="H1767" s="33" t="n">
        <f aca="false">Packages!$O$166</f>
        <v>19.7181359808448</v>
      </c>
      <c r="I1767" s="15" t="s">
        <v>118</v>
      </c>
      <c r="J1767" s="34" t="n">
        <f aca="false">MAX(1,ROUNDUP(Packages!$O$166/R_PLAT,0))</f>
        <v>1</v>
      </c>
      <c r="K1767" s="34" t="n">
        <f aca="false">IF(J1767=0,0,ROUNDUP(J1767*7/WD,0))</f>
        <v>2</v>
      </c>
      <c r="L1767" s="15" t="s">
        <v>5380</v>
      </c>
      <c r="M1767" s="12"/>
      <c r="N1767" s="12"/>
      <c r="O1767" s="15" t="s">
        <v>5383</v>
      </c>
      <c r="P1767" s="16" t="n">
        <f aca="false">MAX(Q1766,P1746)</f>
        <v>46454</v>
      </c>
      <c r="Q1767" s="16" t="n">
        <f aca="false">P1767+K1767</f>
        <v>46456</v>
      </c>
      <c r="R1767" s="12"/>
      <c r="S1767" s="12"/>
    </row>
    <row r="1768" customFormat="false" ht="15" hidden="false" customHeight="false" outlineLevel="0" collapsed="false">
      <c r="A1768" s="15" t="s">
        <v>5384</v>
      </c>
      <c r="B1768" s="15" t="s">
        <v>5381</v>
      </c>
      <c r="C1768" s="15" t="s">
        <v>403</v>
      </c>
      <c r="D1768" s="15" t="s">
        <v>1460</v>
      </c>
      <c r="E1768" s="15" t="s">
        <v>1461</v>
      </c>
      <c r="F1768" s="15" t="s">
        <v>3005</v>
      </c>
      <c r="G1768" s="15" t="s">
        <v>3006</v>
      </c>
      <c r="H1768" s="33" t="n">
        <f aca="false">Packages!$AC$166</f>
        <v>16</v>
      </c>
      <c r="I1768" s="15" t="s">
        <v>3007</v>
      </c>
      <c r="J1768" s="34" t="n">
        <f aca="false">IF(Packages!$AC$166=0,0,MAX(1,ROUNDUP(Packages!$AC$166/(R_PILE*Fronts!$H$11),0)))</f>
        <v>4</v>
      </c>
      <c r="K1768" s="34" t="n">
        <f aca="false">IF(J1768=0,0,ROUNDUP(J1768*7/WD,0))</f>
        <v>5</v>
      </c>
      <c r="L1768" s="15" t="s">
        <v>5382</v>
      </c>
      <c r="M1768" s="34" t="n">
        <f aca="false">ROUNDUP(K1767*LADDER,0)</f>
        <v>1</v>
      </c>
      <c r="N1768" s="34" t="n">
        <f aca="false">IF(K1768=0,0,FFLAG)</f>
        <v>2</v>
      </c>
      <c r="O1768" s="15" t="s">
        <v>3008</v>
      </c>
      <c r="P1768" s="16" t="n">
        <f aca="false">MAX(P1767+M1768,D_PILEDES)</f>
        <v>46455</v>
      </c>
      <c r="Q1768" s="16" t="n">
        <f aca="false">MAX(P1768+K1768,Q1767+N1768)</f>
        <v>46460</v>
      </c>
      <c r="R1768" s="16" t="n">
        <f aca="false">IF(K1768&gt;0,Q1768,0)</f>
        <v>46460</v>
      </c>
      <c r="S1768" s="12"/>
    </row>
    <row r="1769" customFormat="false" ht="15" hidden="false" customHeight="false" outlineLevel="0" collapsed="false">
      <c r="A1769" s="15" t="s">
        <v>5385</v>
      </c>
      <c r="B1769" s="15" t="s">
        <v>5381</v>
      </c>
      <c r="C1769" s="15" t="s">
        <v>403</v>
      </c>
      <c r="D1769" s="15" t="s">
        <v>1460</v>
      </c>
      <c r="E1769" s="15" t="s">
        <v>1461</v>
      </c>
      <c r="F1769" s="15" t="s">
        <v>3010</v>
      </c>
      <c r="G1769" s="15" t="s">
        <v>3011</v>
      </c>
      <c r="H1769" s="33" t="n">
        <f aca="false">Packages!$AD$166</f>
        <v>39.4362719616896</v>
      </c>
      <c r="I1769" s="15" t="s">
        <v>3012</v>
      </c>
      <c r="J1769" s="34" t="n">
        <f aca="false">IF(Packages!$AD$166=0,0,MAX(1,ROUNDUP(Packages!$AD$166/(R_SHEET*Fronts!$I$11),0)))</f>
        <v>2</v>
      </c>
      <c r="K1769" s="34" t="n">
        <f aca="false">IF(J1769=0,0,ROUNDUP(J1769*7/WD,0))</f>
        <v>3</v>
      </c>
      <c r="L1769" s="15" t="s">
        <v>5384</v>
      </c>
      <c r="M1769" s="34" t="n">
        <f aca="false">ROUNDUP(K1768*LADDER,0)</f>
        <v>2</v>
      </c>
      <c r="N1769" s="34" t="n">
        <f aca="false">IF(K1769=0,0,FFLAG)</f>
        <v>2</v>
      </c>
      <c r="O1769" s="15"/>
      <c r="P1769" s="16" t="n">
        <f aca="false">MAX(P1768+M1769)</f>
        <v>46457</v>
      </c>
      <c r="Q1769" s="16" t="n">
        <f aca="false">MAX(P1769+K1769,Q1768+N1769)</f>
        <v>46462</v>
      </c>
      <c r="R1769" s="16" t="n">
        <f aca="false">IF(K1769&gt;0,Q1769,0)</f>
        <v>46462</v>
      </c>
      <c r="S1769" s="12"/>
    </row>
    <row r="1770" customFormat="false" ht="15" hidden="false" customHeight="false" outlineLevel="0" collapsed="false">
      <c r="A1770" s="15" t="s">
        <v>5386</v>
      </c>
      <c r="B1770" s="15" t="s">
        <v>5381</v>
      </c>
      <c r="C1770" s="15" t="s">
        <v>403</v>
      </c>
      <c r="D1770" s="15" t="s">
        <v>1460</v>
      </c>
      <c r="E1770" s="15" t="s">
        <v>1461</v>
      </c>
      <c r="F1770" s="15" t="s">
        <v>3014</v>
      </c>
      <c r="G1770" s="15" t="s">
        <v>3015</v>
      </c>
      <c r="H1770" s="33" t="n">
        <f aca="false">Packages!$O$166</f>
        <v>19.7181359808448</v>
      </c>
      <c r="I1770" s="15" t="s">
        <v>118</v>
      </c>
      <c r="J1770" s="34" t="n">
        <f aca="false">IF(Packages!$AG$166=0,0,ROUNDUP(Packages!$O$166/R_DW,0)+DW_DRAW)</f>
        <v>8</v>
      </c>
      <c r="K1770" s="34" t="n">
        <f aca="false">IF(J1770=0,0,ROUNDUP(J1770*7/WD,0))</f>
        <v>10</v>
      </c>
      <c r="L1770" s="15" t="s">
        <v>5385</v>
      </c>
      <c r="M1770" s="34" t="n">
        <f aca="false">ROUNDUP(K1769*LADDER,0)</f>
        <v>1</v>
      </c>
      <c r="N1770" s="34" t="n">
        <f aca="false">IF(K1770=0,0,FFLAG)</f>
        <v>2</v>
      </c>
      <c r="O1770" s="15"/>
      <c r="P1770" s="16" t="n">
        <f aca="false">MAX(P1769+M1770)</f>
        <v>46458</v>
      </c>
      <c r="Q1770" s="16" t="n">
        <f aca="false">MAX(P1770+K1770,Q1769+N1770)</f>
        <v>46468</v>
      </c>
      <c r="R1770" s="12"/>
      <c r="S1770" s="12"/>
    </row>
    <row r="1771" customFormat="false" ht="15" hidden="false" customHeight="false" outlineLevel="0" collapsed="false">
      <c r="A1771" s="15" t="s">
        <v>5387</v>
      </c>
      <c r="B1771" s="15" t="s">
        <v>5381</v>
      </c>
      <c r="C1771" s="15" t="s">
        <v>403</v>
      </c>
      <c r="D1771" s="15" t="s">
        <v>1460</v>
      </c>
      <c r="E1771" s="15" t="s">
        <v>1461</v>
      </c>
      <c r="F1771" s="15" t="s">
        <v>3017</v>
      </c>
      <c r="G1771" s="15" t="s">
        <v>3018</v>
      </c>
      <c r="H1771" s="33" t="n">
        <f aca="false">Packages!$X$166+Packages!$Y$166</f>
        <v>404.267562775721</v>
      </c>
      <c r="I1771" s="15" t="s">
        <v>3019</v>
      </c>
      <c r="J1771" s="34" t="n">
        <f aca="false">MAX(1,ROUNDUP((Packages!$X$166/R_EXS+Packages!$Y$166/R_EXO)/Fronts!$J$11,0))</f>
        <v>2</v>
      </c>
      <c r="K1771" s="34" t="n">
        <f aca="false">IF(J1771=0,0,ROUNDUP(J1771*7/WD,0))</f>
        <v>3</v>
      </c>
      <c r="L1771" s="15" t="s">
        <v>5386</v>
      </c>
      <c r="M1771" s="34" t="n">
        <f aca="false">IF(K1770=0,0,ROUNDUP((K1770-ROUNDUP(DW_DRAW*7/WD,0))*LADDER,0)+ROUNDUP(DW_DRAW*7/WD,0))</f>
        <v>10</v>
      </c>
      <c r="N1771" s="34" t="n">
        <f aca="false">IF(K1771=0,0,FFLAG)</f>
        <v>2</v>
      </c>
      <c r="O1771" s="15"/>
      <c r="P1771" s="16" t="n">
        <f aca="false">MAX(P1770+M1771)</f>
        <v>46468</v>
      </c>
      <c r="Q1771" s="16" t="n">
        <f aca="false">MAX(P1771+K1771,Q1770+N1771)</f>
        <v>46471</v>
      </c>
      <c r="R1771" s="16" t="n">
        <f aca="false">IF(K1771&gt;0,Q1771,0)</f>
        <v>46471</v>
      </c>
      <c r="S1771" s="12"/>
    </row>
    <row r="1772" customFormat="false" ht="15" hidden="false" customHeight="false" outlineLevel="0" collapsed="false">
      <c r="A1772" s="15" t="s">
        <v>5388</v>
      </c>
      <c r="B1772" s="15" t="s">
        <v>5381</v>
      </c>
      <c r="C1772" s="15" t="s">
        <v>403</v>
      </c>
      <c r="D1772" s="15" t="s">
        <v>1460</v>
      </c>
      <c r="E1772" s="15" t="s">
        <v>1461</v>
      </c>
      <c r="F1772" s="15" t="s">
        <v>3022</v>
      </c>
      <c r="G1772" s="15" t="s">
        <v>3023</v>
      </c>
      <c r="H1772" s="33" t="n">
        <f aca="false">Packages!$O$166</f>
        <v>19.7181359808448</v>
      </c>
      <c r="I1772" s="15" t="s">
        <v>118</v>
      </c>
      <c r="J1772" s="34" t="n">
        <f aca="false">MAX(1,ROUNDUP(Packages!$O$166/(R_SLAB*Fronts!$K$11),0))+SLAB_CURE</f>
        <v>5</v>
      </c>
      <c r="K1772" s="34" t="n">
        <f aca="false">IF(J1772=0,0,ROUNDUP(J1772*7/WD,0))</f>
        <v>6</v>
      </c>
      <c r="L1772" s="15" t="s">
        <v>5387</v>
      </c>
      <c r="M1772" s="34" t="n">
        <f aca="false">ROUNDUP(K1771*LADDER,0)</f>
        <v>1</v>
      </c>
      <c r="N1772" s="34" t="n">
        <f aca="false">IF(K1772=0,0,FFLAG)</f>
        <v>2</v>
      </c>
      <c r="O1772" s="15"/>
      <c r="P1772" s="16" t="n">
        <f aca="false">MAX(P1771+M1772)</f>
        <v>46469</v>
      </c>
      <c r="Q1772" s="16" t="n">
        <f aca="false">MAX(P1772+K1772,Q1771+N1772)</f>
        <v>46475</v>
      </c>
      <c r="R1772" s="16" t="n">
        <f aca="false">IF(K1772&gt;0,Q1772,0)</f>
        <v>46475</v>
      </c>
      <c r="S1772" s="12"/>
    </row>
    <row r="1773" customFormat="false" ht="15" hidden="false" customHeight="false" outlineLevel="0" collapsed="false">
      <c r="A1773" s="15" t="s">
        <v>5389</v>
      </c>
      <c r="B1773" s="15" t="s">
        <v>5381</v>
      </c>
      <c r="C1773" s="15" t="s">
        <v>403</v>
      </c>
      <c r="D1773" s="15" t="s">
        <v>1460</v>
      </c>
      <c r="E1773" s="15" t="s">
        <v>1461</v>
      </c>
      <c r="F1773" s="15" t="s">
        <v>3025</v>
      </c>
      <c r="G1773" s="15" t="s">
        <v>3026</v>
      </c>
      <c r="H1773" s="33" t="n">
        <f aca="false">Packages!$O$166</f>
        <v>19.7181359808448</v>
      </c>
      <c r="I1773" s="15" t="s">
        <v>118</v>
      </c>
      <c r="J1773" s="34" t="n">
        <f aca="false">MAX(1,ROUNDUP(Packages!$O$166/(IF(Packages!$N$166&gt;=PIPE_T1,R_PIPE_L,IF(Packages!$N$166&gt;=PIPE_T2,R_PIPE_M,R_PIPE_S))*Fronts!$L$11)+Packages!$M$166*FIT_D+IF(Packages!$G$166&lt;&gt;"Run",TIE_D,0),0))</f>
        <v>6</v>
      </c>
      <c r="K1773" s="34" t="n">
        <f aca="false">IF(J1773=0,0,ROUNDUP(J1773*7/WD,0))</f>
        <v>7</v>
      </c>
      <c r="L1773" s="15" t="s">
        <v>5388</v>
      </c>
      <c r="M1773" s="34" t="n">
        <f aca="false">ROUNDUP(K1772*LADDER,0)</f>
        <v>2</v>
      </c>
      <c r="N1773" s="34" t="n">
        <f aca="false">IF(K1773=0,0,FFLAG)</f>
        <v>2</v>
      </c>
      <c r="O1773" s="15" t="s">
        <v>5390</v>
      </c>
      <c r="P1773" s="16" t="n">
        <f aca="false">MAX(P1772+M1773,Q1751)</f>
        <v>46539</v>
      </c>
      <c r="Q1773" s="16" t="n">
        <f aca="false">MAX(P1773+K1773,Q1772+N1773)</f>
        <v>46546</v>
      </c>
      <c r="R1773" s="16" t="n">
        <f aca="false">IF(K1773&gt;0,Q1773,0)</f>
        <v>46546</v>
      </c>
      <c r="S1773" s="12"/>
    </row>
    <row r="1774" customFormat="false" ht="15" hidden="false" customHeight="false" outlineLevel="0" collapsed="false">
      <c r="A1774" s="15" t="s">
        <v>5391</v>
      </c>
      <c r="B1774" s="15" t="s">
        <v>5381</v>
      </c>
      <c r="C1774" s="15" t="s">
        <v>403</v>
      </c>
      <c r="D1774" s="15" t="s">
        <v>1460</v>
      </c>
      <c r="E1774" s="15" t="s">
        <v>1461</v>
      </c>
      <c r="F1774" s="15" t="s">
        <v>3028</v>
      </c>
      <c r="G1774" s="15" t="s">
        <v>3029</v>
      </c>
      <c r="H1774" s="33" t="n">
        <f aca="false">Packages!$O$166</f>
        <v>19.7181359808448</v>
      </c>
      <c r="I1774" s="15" t="s">
        <v>118</v>
      </c>
      <c r="J1774" s="34" t="n">
        <f aca="false">TEST_D+ROUNDUP(Packages!$O$166/R_TEST,0)</f>
        <v>3</v>
      </c>
      <c r="K1774" s="34" t="n">
        <f aca="false">IF(J1774=0,0,ROUNDUP(J1774*7/WD,0))</f>
        <v>4</v>
      </c>
      <c r="L1774" s="15" t="s">
        <v>5389</v>
      </c>
      <c r="M1774" s="34" t="n">
        <f aca="false">ROUNDUP(K1773*LADDER,0)</f>
        <v>3</v>
      </c>
      <c r="N1774" s="34" t="n">
        <f aca="false">IF(K1774=0,0,FFLAG)</f>
        <v>2</v>
      </c>
      <c r="O1774" s="15"/>
      <c r="P1774" s="16" t="n">
        <f aca="false">MAX(P1773+M1774)</f>
        <v>46542</v>
      </c>
      <c r="Q1774" s="16" t="n">
        <f aca="false">MAX(P1774+K1774,Q1773+N1774)</f>
        <v>46548</v>
      </c>
      <c r="R1774" s="12"/>
      <c r="S1774" s="12"/>
    </row>
    <row r="1775" customFormat="false" ht="15" hidden="false" customHeight="false" outlineLevel="0" collapsed="false">
      <c r="A1775" s="15" t="s">
        <v>5392</v>
      </c>
      <c r="B1775" s="15" t="s">
        <v>5381</v>
      </c>
      <c r="C1775" s="15" t="s">
        <v>403</v>
      </c>
      <c r="D1775" s="15" t="s">
        <v>1460</v>
      </c>
      <c r="E1775" s="15" t="s">
        <v>1461</v>
      </c>
      <c r="F1775" s="15" t="s">
        <v>3031</v>
      </c>
      <c r="G1775" s="15" t="s">
        <v>3032</v>
      </c>
      <c r="H1775" s="33" t="n">
        <f aca="false">Packages!$AB$166</f>
        <v>315.210061519035</v>
      </c>
      <c r="I1775" s="15" t="s">
        <v>3019</v>
      </c>
      <c r="J1775" s="34" t="n">
        <f aca="false">MAX(1,ROUNDUP(Packages!$AB$166/(R_BF*Fronts!$M$11),0))</f>
        <v>1</v>
      </c>
      <c r="K1775" s="34" t="n">
        <f aca="false">IF(J1775=0,0,ROUNDUP(J1775*7/WD,0))</f>
        <v>2</v>
      </c>
      <c r="L1775" s="15" t="s">
        <v>5391</v>
      </c>
      <c r="M1775" s="34" t="n">
        <f aca="false">ROUNDUP(K1774*LADDER,0)</f>
        <v>2</v>
      </c>
      <c r="N1775" s="34" t="n">
        <f aca="false">IF(K1775=0,0,FFLAG)</f>
        <v>2</v>
      </c>
      <c r="O1775" s="15" t="s">
        <v>5393</v>
      </c>
      <c r="P1775" s="16" t="n">
        <f aca="false">MAX(P1774+M1775,Q1795,Q1817,Q1806,Q1784)</f>
        <v>46561</v>
      </c>
      <c r="Q1775" s="16" t="n">
        <f aca="false">MAX(P1775+K1775,Q1774+N1775)</f>
        <v>46563</v>
      </c>
      <c r="R1775" s="16" t="n">
        <f aca="false">IF(K1775&gt;0,Q1775,0)</f>
        <v>46563</v>
      </c>
      <c r="S1775" s="12"/>
    </row>
    <row r="1776" customFormat="false" ht="15" hidden="false" customHeight="false" outlineLevel="0" collapsed="false">
      <c r="A1776" s="15" t="s">
        <v>5394</v>
      </c>
      <c r="B1776" s="15" t="s">
        <v>5381</v>
      </c>
      <c r="C1776" s="15" t="s">
        <v>403</v>
      </c>
      <c r="D1776" s="15" t="s">
        <v>1460</v>
      </c>
      <c r="E1776" s="15" t="s">
        <v>1461</v>
      </c>
      <c r="F1776" s="15" t="s">
        <v>3034</v>
      </c>
      <c r="G1776" s="15" t="s">
        <v>3035</v>
      </c>
      <c r="H1776" s="33" t="n">
        <f aca="false">Packages!$AD$166</f>
        <v>39.4362719616896</v>
      </c>
      <c r="I1776" s="15" t="s">
        <v>3012</v>
      </c>
      <c r="J1776" s="34" t="n">
        <f aca="false">IF(Packages!$AD$166&gt;0,ROUNDUP(Packages!$AD$166/R_EXT,0),0)+IF(Packages!$AG$166&gt;0,1,0)</f>
        <v>2</v>
      </c>
      <c r="K1776" s="34" t="n">
        <f aca="false">IF(J1776=0,0,ROUNDUP(J1776*7/WD,0))</f>
        <v>3</v>
      </c>
      <c r="L1776" s="15" t="s">
        <v>5392</v>
      </c>
      <c r="M1776" s="34" t="n">
        <f aca="false">ROUNDUP(K1775*LADDER,0)</f>
        <v>1</v>
      </c>
      <c r="N1776" s="34" t="n">
        <f aca="false">IF(K1776=0,0,FFLAG)</f>
        <v>2</v>
      </c>
      <c r="O1776" s="15"/>
      <c r="P1776" s="16" t="n">
        <f aca="false">MAX(P1775+M1776)</f>
        <v>46562</v>
      </c>
      <c r="Q1776" s="16" t="n">
        <f aca="false">MAX(P1776+K1776,Q1775+N1776)</f>
        <v>46565</v>
      </c>
      <c r="R1776" s="12"/>
      <c r="S1776" s="12"/>
    </row>
    <row r="1777" customFormat="false" ht="15" hidden="false" customHeight="false" outlineLevel="0" collapsed="false">
      <c r="A1777" s="15" t="s">
        <v>5395</v>
      </c>
      <c r="B1777" s="15" t="s">
        <v>5396</v>
      </c>
      <c r="C1777" s="15" t="s">
        <v>403</v>
      </c>
      <c r="D1777" s="15" t="s">
        <v>1502</v>
      </c>
      <c r="E1777" s="15" t="s">
        <v>1589</v>
      </c>
      <c r="F1777" s="15" t="s">
        <v>2998</v>
      </c>
      <c r="G1777" s="15" t="s">
        <v>2999</v>
      </c>
      <c r="H1777" s="12"/>
      <c r="I1777" s="12"/>
      <c r="J1777" s="34" t="n">
        <f aca="false">0</f>
        <v>0</v>
      </c>
      <c r="K1777" s="34" t="n">
        <f aca="false">IF(J1777=0,0,ROUNDUP(J1777*7/WD,0))</f>
        <v>0</v>
      </c>
      <c r="L1777" s="12"/>
      <c r="M1777" s="12"/>
      <c r="N1777" s="12"/>
      <c r="O1777" s="15" t="s">
        <v>3000</v>
      </c>
      <c r="P1777" s="16" t="n">
        <f aca="false">MAX(START,D_DLU,Packages!$I$167,Packages!$K$167)</f>
        <v>46357</v>
      </c>
      <c r="Q1777" s="16" t="n">
        <f aca="false">P1777+K1777</f>
        <v>46357</v>
      </c>
      <c r="R1777" s="12"/>
      <c r="S1777" s="12"/>
    </row>
    <row r="1778" customFormat="false" ht="15" hidden="false" customHeight="false" outlineLevel="0" collapsed="false">
      <c r="A1778" s="15" t="s">
        <v>5397</v>
      </c>
      <c r="B1778" s="15" t="s">
        <v>5396</v>
      </c>
      <c r="C1778" s="15" t="s">
        <v>403</v>
      </c>
      <c r="D1778" s="15" t="s">
        <v>1502</v>
      </c>
      <c r="E1778" s="15" t="s">
        <v>1589</v>
      </c>
      <c r="F1778" s="15" t="s">
        <v>3002</v>
      </c>
      <c r="G1778" s="15" t="s">
        <v>205</v>
      </c>
      <c r="H1778" s="33" t="n">
        <f aca="false">Packages!$O$167</f>
        <v>9.27437517407019</v>
      </c>
      <c r="I1778" s="15" t="s">
        <v>118</v>
      </c>
      <c r="J1778" s="34" t="n">
        <f aca="false">MAX(1,ROUNDUP(Packages!$O$167/R_PLAT,0))</f>
        <v>1</v>
      </c>
      <c r="K1778" s="34" t="n">
        <f aca="false">IF(J1778=0,0,ROUNDUP(J1778*7/WD,0))</f>
        <v>2</v>
      </c>
      <c r="L1778" s="15" t="s">
        <v>5395</v>
      </c>
      <c r="M1778" s="12"/>
      <c r="N1778" s="12"/>
      <c r="O1778" s="15" t="s">
        <v>5398</v>
      </c>
      <c r="P1778" s="16" t="n">
        <f aca="false">MAX(Q1777,P1757)</f>
        <v>46460</v>
      </c>
      <c r="Q1778" s="16" t="n">
        <f aca="false">P1778+K1778</f>
        <v>46462</v>
      </c>
      <c r="R1778" s="12"/>
      <c r="S1778" s="12"/>
    </row>
    <row r="1779" customFormat="false" ht="15" hidden="false" customHeight="false" outlineLevel="0" collapsed="false">
      <c r="A1779" s="15" t="s">
        <v>5399</v>
      </c>
      <c r="B1779" s="15" t="s">
        <v>5396</v>
      </c>
      <c r="C1779" s="15" t="s">
        <v>403</v>
      </c>
      <c r="D1779" s="15" t="s">
        <v>1502</v>
      </c>
      <c r="E1779" s="15" t="s">
        <v>1589</v>
      </c>
      <c r="F1779" s="15" t="s">
        <v>3005</v>
      </c>
      <c r="G1779" s="15" t="s">
        <v>3006</v>
      </c>
      <c r="H1779" s="33" t="n">
        <f aca="false">Packages!$AC$167</f>
        <v>10</v>
      </c>
      <c r="I1779" s="15" t="s">
        <v>3007</v>
      </c>
      <c r="J1779" s="34" t="n">
        <f aca="false">IF(Packages!$AC$167=0,0,MAX(1,ROUNDUP(Packages!$AC$167/(R_PILE*Fronts!$H$11),0)))</f>
        <v>2</v>
      </c>
      <c r="K1779" s="34" t="n">
        <f aca="false">IF(J1779=0,0,ROUNDUP(J1779*7/WD,0))</f>
        <v>3</v>
      </c>
      <c r="L1779" s="15" t="s">
        <v>5397</v>
      </c>
      <c r="M1779" s="34" t="n">
        <f aca="false">ROUNDUP(K1778*LADDER,0)</f>
        <v>1</v>
      </c>
      <c r="N1779" s="34" t="n">
        <f aca="false">IF(K1779=0,0,FFLAG)</f>
        <v>2</v>
      </c>
      <c r="O1779" s="15" t="s">
        <v>3008</v>
      </c>
      <c r="P1779" s="16" t="n">
        <f aca="false">MAX(P1778+M1779,D_PILEDES,R1757)</f>
        <v>46466</v>
      </c>
      <c r="Q1779" s="16" t="n">
        <f aca="false">MAX(P1779+K1779,Q1778+N1779)</f>
        <v>46469</v>
      </c>
      <c r="R1779" s="16" t="n">
        <f aca="false">IF(K1779&gt;0,Q1779,R1757)</f>
        <v>46469</v>
      </c>
      <c r="S1779" s="15" t="s">
        <v>5368</v>
      </c>
    </row>
    <row r="1780" customFormat="false" ht="15" hidden="false" customHeight="false" outlineLevel="0" collapsed="false">
      <c r="A1780" s="15" t="s">
        <v>5400</v>
      </c>
      <c r="B1780" s="15" t="s">
        <v>5396</v>
      </c>
      <c r="C1780" s="15" t="s">
        <v>403</v>
      </c>
      <c r="D1780" s="15" t="s">
        <v>1502</v>
      </c>
      <c r="E1780" s="15" t="s">
        <v>1589</v>
      </c>
      <c r="F1780" s="15" t="s">
        <v>3010</v>
      </c>
      <c r="G1780" s="15" t="s">
        <v>3011</v>
      </c>
      <c r="H1780" s="33" t="n">
        <f aca="false">Packages!$AD$167</f>
        <v>18.5487503481404</v>
      </c>
      <c r="I1780" s="15" t="s">
        <v>3012</v>
      </c>
      <c r="J1780" s="34" t="n">
        <f aca="false">IF(Packages!$AD$167=0,0,MAX(1,ROUNDUP(Packages!$AD$167/(R_SHEET*Fronts!$I$11),0)))</f>
        <v>1</v>
      </c>
      <c r="K1780" s="34" t="n">
        <f aca="false">IF(J1780=0,0,ROUNDUP(J1780*7/WD,0))</f>
        <v>2</v>
      </c>
      <c r="L1780" s="15" t="s">
        <v>5399</v>
      </c>
      <c r="M1780" s="34" t="n">
        <f aca="false">ROUNDUP(K1779*LADDER,0)</f>
        <v>1</v>
      </c>
      <c r="N1780" s="34" t="n">
        <f aca="false">IF(K1780=0,0,FFLAG)</f>
        <v>2</v>
      </c>
      <c r="O1780" s="15"/>
      <c r="P1780" s="16" t="n">
        <f aca="false">MAX(P1779+M1780,R1758)</f>
        <v>46468</v>
      </c>
      <c r="Q1780" s="16" t="n">
        <f aca="false">MAX(P1780+K1780,Q1779+N1780)</f>
        <v>46471</v>
      </c>
      <c r="R1780" s="16" t="n">
        <f aca="false">IF(K1780&gt;0,Q1780,R1758)</f>
        <v>46471</v>
      </c>
      <c r="S1780" s="15" t="s">
        <v>5369</v>
      </c>
    </row>
    <row r="1781" customFormat="false" ht="15" hidden="false" customHeight="false" outlineLevel="0" collapsed="false">
      <c r="A1781" s="15" t="s">
        <v>5401</v>
      </c>
      <c r="B1781" s="15" t="s">
        <v>5396</v>
      </c>
      <c r="C1781" s="15" t="s">
        <v>403</v>
      </c>
      <c r="D1781" s="15" t="s">
        <v>1502</v>
      </c>
      <c r="E1781" s="15" t="s">
        <v>1589</v>
      </c>
      <c r="F1781" s="15" t="s">
        <v>3014</v>
      </c>
      <c r="G1781" s="15" t="s">
        <v>3015</v>
      </c>
      <c r="H1781" s="33" t="n">
        <f aca="false">Packages!$O$167</f>
        <v>9.27437517407019</v>
      </c>
      <c r="I1781" s="15" t="s">
        <v>118</v>
      </c>
      <c r="J1781" s="34" t="n">
        <f aca="false">IF(Packages!$AG$167=0,0,ROUNDUP(Packages!$O$167/R_DW,0)+DW_DRAW)</f>
        <v>8</v>
      </c>
      <c r="K1781" s="34" t="n">
        <f aca="false">IF(J1781=0,0,ROUNDUP(J1781*7/WD,0))</f>
        <v>10</v>
      </c>
      <c r="L1781" s="15" t="s">
        <v>5400</v>
      </c>
      <c r="M1781" s="34" t="n">
        <f aca="false">ROUNDUP(K1780*LADDER,0)</f>
        <v>1</v>
      </c>
      <c r="N1781" s="34" t="n">
        <f aca="false">IF(K1781=0,0,FFLAG)</f>
        <v>2</v>
      </c>
      <c r="O1781" s="15" t="s">
        <v>5402</v>
      </c>
      <c r="P1781" s="16" t="n">
        <f aca="false">MAX(P1780+M1781,Q1760-K1781)</f>
        <v>46485</v>
      </c>
      <c r="Q1781" s="16" t="n">
        <f aca="false">MAX(P1781+K1781,Q1780+N1781)</f>
        <v>46495</v>
      </c>
      <c r="R1781" s="12"/>
      <c r="S1781" s="12"/>
    </row>
    <row r="1782" customFormat="false" ht="15" hidden="false" customHeight="false" outlineLevel="0" collapsed="false">
      <c r="A1782" s="15" t="s">
        <v>5403</v>
      </c>
      <c r="B1782" s="15" t="s">
        <v>5396</v>
      </c>
      <c r="C1782" s="15" t="s">
        <v>403</v>
      </c>
      <c r="D1782" s="15" t="s">
        <v>1502</v>
      </c>
      <c r="E1782" s="15" t="s">
        <v>1589</v>
      </c>
      <c r="F1782" s="15" t="s">
        <v>3017</v>
      </c>
      <c r="G1782" s="15" t="s">
        <v>3018</v>
      </c>
      <c r="H1782" s="33" t="n">
        <f aca="false">Packages!$X$167+Packages!$Y$167</f>
        <v>131.051485044281</v>
      </c>
      <c r="I1782" s="15" t="s">
        <v>3019</v>
      </c>
      <c r="J1782" s="34" t="n">
        <f aca="false">MAX(1,ROUNDUP((Packages!$X$167/R_EXS+Packages!$Y$167/R_EXO)/Fronts!$J$11,0))</f>
        <v>1</v>
      </c>
      <c r="K1782" s="34" t="n">
        <f aca="false">IF(J1782=0,0,ROUNDUP(J1782*7/WD,0))</f>
        <v>2</v>
      </c>
      <c r="L1782" s="15" t="s">
        <v>5401</v>
      </c>
      <c r="M1782" s="34" t="n">
        <f aca="false">IF(K1781=0,0,ROUNDUP((K1781-ROUNDUP(DW_DRAW*7/WD,0))*LADDER,0)+ROUNDUP(DW_DRAW*7/WD,0))</f>
        <v>10</v>
      </c>
      <c r="N1782" s="34" t="n">
        <f aca="false">IF(K1782=0,0,FFLAG)</f>
        <v>2</v>
      </c>
      <c r="O1782" s="15" t="s">
        <v>5404</v>
      </c>
      <c r="P1782" s="16" t="n">
        <f aca="false">MAX(P1781+M1782,R1760,P1771,P1749)</f>
        <v>46495</v>
      </c>
      <c r="Q1782" s="16" t="n">
        <f aca="false">MAX(P1782+K1782,Q1781+N1782)</f>
        <v>46497</v>
      </c>
      <c r="R1782" s="16" t="n">
        <f aca="false">IF(K1782&gt;0,Q1782,R1760)</f>
        <v>46497</v>
      </c>
      <c r="S1782" s="15" t="s">
        <v>5372</v>
      </c>
    </row>
    <row r="1783" customFormat="false" ht="15" hidden="false" customHeight="false" outlineLevel="0" collapsed="false">
      <c r="A1783" s="15" t="s">
        <v>5405</v>
      </c>
      <c r="B1783" s="15" t="s">
        <v>5396</v>
      </c>
      <c r="C1783" s="15" t="s">
        <v>403</v>
      </c>
      <c r="D1783" s="15" t="s">
        <v>1502</v>
      </c>
      <c r="E1783" s="15" t="s">
        <v>1589</v>
      </c>
      <c r="F1783" s="15" t="s">
        <v>3022</v>
      </c>
      <c r="G1783" s="15" t="s">
        <v>3023</v>
      </c>
      <c r="H1783" s="33" t="n">
        <f aca="false">Packages!$O$167</f>
        <v>9.27437517407019</v>
      </c>
      <c r="I1783" s="15" t="s">
        <v>118</v>
      </c>
      <c r="J1783" s="34" t="n">
        <f aca="false">MAX(1,ROUNDUP(Packages!$O$167/(R_SLAB*Fronts!$K$11),0))+SLAB_CURE</f>
        <v>4</v>
      </c>
      <c r="K1783" s="34" t="n">
        <f aca="false">IF(J1783=0,0,ROUNDUP(J1783*7/WD,0))</f>
        <v>5</v>
      </c>
      <c r="L1783" s="15" t="s">
        <v>5403</v>
      </c>
      <c r="M1783" s="34" t="n">
        <f aca="false">ROUNDUP(K1782*LADDER,0)</f>
        <v>1</v>
      </c>
      <c r="N1783" s="34" t="n">
        <f aca="false">IF(K1783=0,0,FFLAG)</f>
        <v>2</v>
      </c>
      <c r="O1783" s="15"/>
      <c r="P1783" s="16" t="n">
        <f aca="false">MAX(P1782+M1783,R1761)</f>
        <v>46544</v>
      </c>
      <c r="Q1783" s="16" t="n">
        <f aca="false">MAX(P1783+K1783,Q1782+N1783)</f>
        <v>46549</v>
      </c>
      <c r="R1783" s="16" t="n">
        <f aca="false">IF(K1783&gt;0,Q1783,R1761)</f>
        <v>46549</v>
      </c>
      <c r="S1783" s="15" t="s">
        <v>5374</v>
      </c>
    </row>
    <row r="1784" customFormat="false" ht="15" hidden="false" customHeight="false" outlineLevel="0" collapsed="false">
      <c r="A1784" s="15" t="s">
        <v>5406</v>
      </c>
      <c r="B1784" s="15" t="s">
        <v>5396</v>
      </c>
      <c r="C1784" s="15" t="s">
        <v>403</v>
      </c>
      <c r="D1784" s="15" t="s">
        <v>1502</v>
      </c>
      <c r="E1784" s="15" t="s">
        <v>1589</v>
      </c>
      <c r="F1784" s="15" t="s">
        <v>3025</v>
      </c>
      <c r="G1784" s="15" t="s">
        <v>3026</v>
      </c>
      <c r="H1784" s="33" t="n">
        <f aca="false">Packages!$O$167</f>
        <v>9.27437517407019</v>
      </c>
      <c r="I1784" s="15" t="s">
        <v>118</v>
      </c>
      <c r="J1784" s="34" t="n">
        <f aca="false">MAX(1,ROUNDUP(Packages!$O$167/(IF(Packages!$N$167&gt;=PIPE_T1,R_PIPE_L,IF(Packages!$N$167&gt;=PIPE_T2,R_PIPE_M,R_PIPE_S))*Fronts!$L$11)+Packages!$M$167*FIT_D+IF(Packages!$G$167&lt;&gt;"Run",TIE_D,0),0))</f>
        <v>1</v>
      </c>
      <c r="K1784" s="34" t="n">
        <f aca="false">IF(J1784=0,0,ROUNDUP(J1784*7/WD,0))</f>
        <v>2</v>
      </c>
      <c r="L1784" s="15" t="s">
        <v>5405</v>
      </c>
      <c r="M1784" s="34" t="n">
        <f aca="false">ROUNDUP(K1783*LADDER,0)</f>
        <v>2</v>
      </c>
      <c r="N1784" s="34" t="n">
        <f aca="false">IF(K1784=0,0,FFLAG)</f>
        <v>2</v>
      </c>
      <c r="O1784" s="15"/>
      <c r="P1784" s="16" t="n">
        <f aca="false">MAX(P1783+M1784,R1762)</f>
        <v>46546</v>
      </c>
      <c r="Q1784" s="16" t="n">
        <f aca="false">MAX(P1784+K1784,Q1783+N1784)</f>
        <v>46551</v>
      </c>
      <c r="R1784" s="16" t="n">
        <f aca="false">IF(K1784&gt;0,Q1784,R1762)</f>
        <v>46551</v>
      </c>
      <c r="S1784" s="15" t="s">
        <v>5375</v>
      </c>
    </row>
    <row r="1785" customFormat="false" ht="15" hidden="false" customHeight="false" outlineLevel="0" collapsed="false">
      <c r="A1785" s="15" t="s">
        <v>5407</v>
      </c>
      <c r="B1785" s="15" t="s">
        <v>5396</v>
      </c>
      <c r="C1785" s="15" t="s">
        <v>403</v>
      </c>
      <c r="D1785" s="15" t="s">
        <v>1502</v>
      </c>
      <c r="E1785" s="15" t="s">
        <v>1589</v>
      </c>
      <c r="F1785" s="15" t="s">
        <v>3028</v>
      </c>
      <c r="G1785" s="15" t="s">
        <v>3029</v>
      </c>
      <c r="H1785" s="33" t="n">
        <f aca="false">Packages!$O$167</f>
        <v>9.27437517407019</v>
      </c>
      <c r="I1785" s="15" t="s">
        <v>118</v>
      </c>
      <c r="J1785" s="34" t="n">
        <f aca="false">TEST_D+ROUNDUP(Packages!$O$167/R_TEST,0)</f>
        <v>3</v>
      </c>
      <c r="K1785" s="34" t="n">
        <f aca="false">IF(J1785=0,0,ROUNDUP(J1785*7/WD,0))</f>
        <v>4</v>
      </c>
      <c r="L1785" s="15" t="s">
        <v>5406</v>
      </c>
      <c r="M1785" s="34" t="n">
        <f aca="false">ROUNDUP(K1784*LADDER,0)</f>
        <v>1</v>
      </c>
      <c r="N1785" s="34" t="n">
        <f aca="false">IF(K1785=0,0,FFLAG)</f>
        <v>2</v>
      </c>
      <c r="O1785" s="15"/>
      <c r="P1785" s="16" t="n">
        <f aca="false">MAX(P1784+M1785)</f>
        <v>46547</v>
      </c>
      <c r="Q1785" s="16" t="n">
        <f aca="false">MAX(P1785+K1785,Q1784+N1785)</f>
        <v>46553</v>
      </c>
      <c r="R1785" s="12"/>
      <c r="S1785" s="12"/>
    </row>
    <row r="1786" customFormat="false" ht="15" hidden="false" customHeight="false" outlineLevel="0" collapsed="false">
      <c r="A1786" s="15" t="s">
        <v>5408</v>
      </c>
      <c r="B1786" s="15" t="s">
        <v>5396</v>
      </c>
      <c r="C1786" s="15" t="s">
        <v>403</v>
      </c>
      <c r="D1786" s="15" t="s">
        <v>1502</v>
      </c>
      <c r="E1786" s="15" t="s">
        <v>1589</v>
      </c>
      <c r="F1786" s="15" t="s">
        <v>3031</v>
      </c>
      <c r="G1786" s="15" t="s">
        <v>3032</v>
      </c>
      <c r="H1786" s="33" t="n">
        <f aca="false">Packages!$AB$167</f>
        <v>114.397957497465</v>
      </c>
      <c r="I1786" s="15" t="s">
        <v>3019</v>
      </c>
      <c r="J1786" s="34" t="n">
        <f aca="false">MAX(1,ROUNDUP(Packages!$AB$167/(R_BF*Fronts!$M$11),0))</f>
        <v>1</v>
      </c>
      <c r="K1786" s="34" t="n">
        <f aca="false">IF(J1786=0,0,ROUNDUP(J1786*7/WD,0))</f>
        <v>2</v>
      </c>
      <c r="L1786" s="15" t="s">
        <v>5407</v>
      </c>
      <c r="M1786" s="34" t="n">
        <f aca="false">ROUNDUP(K1785*LADDER,0)</f>
        <v>2</v>
      </c>
      <c r="N1786" s="34" t="n">
        <f aca="false">IF(K1786=0,0,FFLAG)</f>
        <v>2</v>
      </c>
      <c r="O1786" s="15" t="s">
        <v>5409</v>
      </c>
      <c r="P1786" s="16" t="n">
        <f aca="false">MAX(P1785+M1786,R1764,Q1773,Q1751)</f>
        <v>46557</v>
      </c>
      <c r="Q1786" s="16" t="n">
        <f aca="false">MAX(P1786+K1786,Q1785+N1786)</f>
        <v>46559</v>
      </c>
      <c r="R1786" s="16" t="n">
        <f aca="false">IF(K1786&gt;0,Q1786,R1764)</f>
        <v>46559</v>
      </c>
      <c r="S1786" s="15" t="s">
        <v>5377</v>
      </c>
    </row>
    <row r="1787" customFormat="false" ht="15" hidden="false" customHeight="false" outlineLevel="0" collapsed="false">
      <c r="A1787" s="15" t="s">
        <v>5410</v>
      </c>
      <c r="B1787" s="15" t="s">
        <v>5396</v>
      </c>
      <c r="C1787" s="15" t="s">
        <v>403</v>
      </c>
      <c r="D1787" s="15" t="s">
        <v>1502</v>
      </c>
      <c r="E1787" s="15" t="s">
        <v>1589</v>
      </c>
      <c r="F1787" s="15" t="s">
        <v>3034</v>
      </c>
      <c r="G1787" s="15" t="s">
        <v>3035</v>
      </c>
      <c r="H1787" s="33" t="n">
        <f aca="false">Packages!$AD$167</f>
        <v>18.5487503481404</v>
      </c>
      <c r="I1787" s="15" t="s">
        <v>3012</v>
      </c>
      <c r="J1787" s="34" t="n">
        <f aca="false">IF(Packages!$AD$167&gt;0,ROUNDUP(Packages!$AD$167/R_EXT,0),0)+IF(Packages!$AG$167&gt;0,1,0)</f>
        <v>2</v>
      </c>
      <c r="K1787" s="34" t="n">
        <f aca="false">IF(J1787=0,0,ROUNDUP(J1787*7/WD,0))</f>
        <v>3</v>
      </c>
      <c r="L1787" s="15" t="s">
        <v>5408</v>
      </c>
      <c r="M1787" s="34" t="n">
        <f aca="false">ROUNDUP(K1786*LADDER,0)</f>
        <v>1</v>
      </c>
      <c r="N1787" s="34" t="n">
        <f aca="false">IF(K1787=0,0,FFLAG)</f>
        <v>2</v>
      </c>
      <c r="O1787" s="15"/>
      <c r="P1787" s="16" t="n">
        <f aca="false">MAX(P1786+M1787)</f>
        <v>46558</v>
      </c>
      <c r="Q1787" s="16" t="n">
        <f aca="false">MAX(P1787+K1787,Q1786+N1787)</f>
        <v>46561</v>
      </c>
      <c r="R1787" s="12"/>
      <c r="S1787" s="12"/>
    </row>
    <row r="1788" customFormat="false" ht="15" hidden="false" customHeight="false" outlineLevel="0" collapsed="false">
      <c r="A1788" s="15" t="s">
        <v>5411</v>
      </c>
      <c r="B1788" s="15" t="s">
        <v>5412</v>
      </c>
      <c r="C1788" s="15" t="s">
        <v>403</v>
      </c>
      <c r="D1788" s="15" t="s">
        <v>1502</v>
      </c>
      <c r="E1788" s="15" t="s">
        <v>1548</v>
      </c>
      <c r="F1788" s="15" t="s">
        <v>2998</v>
      </c>
      <c r="G1788" s="15" t="s">
        <v>2999</v>
      </c>
      <c r="H1788" s="12"/>
      <c r="I1788" s="12"/>
      <c r="J1788" s="34" t="n">
        <f aca="false">0</f>
        <v>0</v>
      </c>
      <c r="K1788" s="34" t="n">
        <f aca="false">IF(J1788=0,0,ROUNDUP(J1788*7/WD,0))</f>
        <v>0</v>
      </c>
      <c r="L1788" s="12"/>
      <c r="M1788" s="12"/>
      <c r="N1788" s="12"/>
      <c r="O1788" s="15" t="s">
        <v>3038</v>
      </c>
      <c r="P1788" s="16" t="n">
        <f aca="false">MAX(START,D_DLU,Packages!$I$168,Packages!$K$168)</f>
        <v>46357</v>
      </c>
      <c r="Q1788" s="16" t="n">
        <f aca="false">P1788+K1788</f>
        <v>46357</v>
      </c>
      <c r="R1788" s="12"/>
      <c r="S1788" s="12"/>
    </row>
    <row r="1789" customFormat="false" ht="15" hidden="false" customHeight="false" outlineLevel="0" collapsed="false">
      <c r="A1789" s="15" t="s">
        <v>5413</v>
      </c>
      <c r="B1789" s="15" t="s">
        <v>5412</v>
      </c>
      <c r="C1789" s="15" t="s">
        <v>403</v>
      </c>
      <c r="D1789" s="15" t="s">
        <v>1502</v>
      </c>
      <c r="E1789" s="15" t="s">
        <v>1548</v>
      </c>
      <c r="F1789" s="15" t="s">
        <v>3002</v>
      </c>
      <c r="G1789" s="15" t="s">
        <v>205</v>
      </c>
      <c r="H1789" s="33" t="n">
        <f aca="false">Packages!$O$168</f>
        <v>11.570495569924</v>
      </c>
      <c r="I1789" s="15" t="s">
        <v>118</v>
      </c>
      <c r="J1789" s="34" t="n">
        <f aca="false">MAX(1,ROUNDUP(Packages!$O$168/R_PLAT,0))</f>
        <v>1</v>
      </c>
      <c r="K1789" s="34" t="n">
        <f aca="false">IF(J1789=0,0,ROUNDUP(J1789*7/WD,0))</f>
        <v>2</v>
      </c>
      <c r="L1789" s="15" t="s">
        <v>5411</v>
      </c>
      <c r="M1789" s="12"/>
      <c r="N1789" s="12"/>
      <c r="O1789" s="15" t="s">
        <v>5414</v>
      </c>
      <c r="P1789" s="16" t="n">
        <f aca="false">MAX(Q1788,P1735)</f>
        <v>46451</v>
      </c>
      <c r="Q1789" s="16" t="n">
        <f aca="false">P1789+K1789</f>
        <v>46453</v>
      </c>
      <c r="R1789" s="12"/>
      <c r="S1789" s="12"/>
    </row>
    <row r="1790" customFormat="false" ht="15" hidden="false" customHeight="false" outlineLevel="0" collapsed="false">
      <c r="A1790" s="15" t="s">
        <v>5415</v>
      </c>
      <c r="B1790" s="15" t="s">
        <v>5412</v>
      </c>
      <c r="C1790" s="15" t="s">
        <v>403</v>
      </c>
      <c r="D1790" s="15" t="s">
        <v>1502</v>
      </c>
      <c r="E1790" s="15" t="s">
        <v>1548</v>
      </c>
      <c r="F1790" s="15" t="s">
        <v>3005</v>
      </c>
      <c r="G1790" s="15" t="s">
        <v>3006</v>
      </c>
      <c r="H1790" s="33" t="n">
        <f aca="false">Packages!$AC$168</f>
        <v>10</v>
      </c>
      <c r="I1790" s="15" t="s">
        <v>3007</v>
      </c>
      <c r="J1790" s="34" t="n">
        <f aca="false">IF(Packages!$AC$168=0,0,MAX(1,ROUNDUP(Packages!$AC$168/(R_PILE*Fronts!$H$11),0)))</f>
        <v>2</v>
      </c>
      <c r="K1790" s="34" t="n">
        <f aca="false">IF(J1790=0,0,ROUNDUP(J1790*7/WD,0))</f>
        <v>3</v>
      </c>
      <c r="L1790" s="15" t="s">
        <v>5413</v>
      </c>
      <c r="M1790" s="34" t="n">
        <f aca="false">ROUNDUP(K1789*LADDER,0)</f>
        <v>1</v>
      </c>
      <c r="N1790" s="34" t="n">
        <f aca="false">IF(K1790=0,0,FFLAG)</f>
        <v>2</v>
      </c>
      <c r="O1790" s="15" t="s">
        <v>3008</v>
      </c>
      <c r="P1790" s="16" t="n">
        <f aca="false">MAX(P1789+M1790,D_PILEDES)</f>
        <v>46452</v>
      </c>
      <c r="Q1790" s="16" t="n">
        <f aca="false">MAX(P1790+K1790,Q1789+N1790)</f>
        <v>46455</v>
      </c>
      <c r="R1790" s="16" t="n">
        <f aca="false">IF(K1790&gt;0,Q1790,0)</f>
        <v>46455</v>
      </c>
      <c r="S1790" s="12"/>
    </row>
    <row r="1791" customFormat="false" ht="15" hidden="false" customHeight="false" outlineLevel="0" collapsed="false">
      <c r="A1791" s="15" t="s">
        <v>5416</v>
      </c>
      <c r="B1791" s="15" t="s">
        <v>5412</v>
      </c>
      <c r="C1791" s="15" t="s">
        <v>403</v>
      </c>
      <c r="D1791" s="15" t="s">
        <v>1502</v>
      </c>
      <c r="E1791" s="15" t="s">
        <v>1548</v>
      </c>
      <c r="F1791" s="15" t="s">
        <v>3010</v>
      </c>
      <c r="G1791" s="15" t="s">
        <v>3011</v>
      </c>
      <c r="H1791" s="33" t="n">
        <f aca="false">Packages!$AD$168</f>
        <v>23.1409911398481</v>
      </c>
      <c r="I1791" s="15" t="s">
        <v>3012</v>
      </c>
      <c r="J1791" s="34" t="n">
        <f aca="false">IF(Packages!$AD$168=0,0,MAX(1,ROUNDUP(Packages!$AD$168/(R_SHEET*Fronts!$I$11),0)))</f>
        <v>1</v>
      </c>
      <c r="K1791" s="34" t="n">
        <f aca="false">IF(J1791=0,0,ROUNDUP(J1791*7/WD,0))</f>
        <v>2</v>
      </c>
      <c r="L1791" s="15" t="s">
        <v>5415</v>
      </c>
      <c r="M1791" s="34" t="n">
        <f aca="false">ROUNDUP(K1790*LADDER,0)</f>
        <v>1</v>
      </c>
      <c r="N1791" s="34" t="n">
        <f aca="false">IF(K1791=0,0,FFLAG)</f>
        <v>2</v>
      </c>
      <c r="O1791" s="15"/>
      <c r="P1791" s="16" t="n">
        <f aca="false">MAX(P1790+M1791)</f>
        <v>46453</v>
      </c>
      <c r="Q1791" s="16" t="n">
        <f aca="false">MAX(P1791+K1791,Q1790+N1791)</f>
        <v>46457</v>
      </c>
      <c r="R1791" s="16" t="n">
        <f aca="false">IF(K1791&gt;0,Q1791,0)</f>
        <v>46457</v>
      </c>
      <c r="S1791" s="12"/>
    </row>
    <row r="1792" customFormat="false" ht="15" hidden="false" customHeight="false" outlineLevel="0" collapsed="false">
      <c r="A1792" s="15" t="s">
        <v>5417</v>
      </c>
      <c r="B1792" s="15" t="s">
        <v>5412</v>
      </c>
      <c r="C1792" s="15" t="s">
        <v>403</v>
      </c>
      <c r="D1792" s="15" t="s">
        <v>1502</v>
      </c>
      <c r="E1792" s="15" t="s">
        <v>1548</v>
      </c>
      <c r="F1792" s="15" t="s">
        <v>3014</v>
      </c>
      <c r="G1792" s="15" t="s">
        <v>3015</v>
      </c>
      <c r="H1792" s="33" t="n">
        <f aca="false">Packages!$O$168</f>
        <v>11.570495569924</v>
      </c>
      <c r="I1792" s="15" t="s">
        <v>118</v>
      </c>
      <c r="J1792" s="34" t="n">
        <f aca="false">IF(Packages!$AG$168=0,0,ROUNDUP(Packages!$O$168/R_DW,0)+DW_DRAW)</f>
        <v>8</v>
      </c>
      <c r="K1792" s="34" t="n">
        <f aca="false">IF(J1792=0,0,ROUNDUP(J1792*7/WD,0))</f>
        <v>10</v>
      </c>
      <c r="L1792" s="15" t="s">
        <v>5416</v>
      </c>
      <c r="M1792" s="34" t="n">
        <f aca="false">ROUNDUP(K1791*LADDER,0)</f>
        <v>1</v>
      </c>
      <c r="N1792" s="34" t="n">
        <f aca="false">IF(K1792=0,0,FFLAG)</f>
        <v>2</v>
      </c>
      <c r="O1792" s="15"/>
      <c r="P1792" s="16" t="n">
        <f aca="false">MAX(P1791+M1792)</f>
        <v>46454</v>
      </c>
      <c r="Q1792" s="16" t="n">
        <f aca="false">MAX(P1792+K1792,Q1791+N1792)</f>
        <v>46464</v>
      </c>
      <c r="R1792" s="12"/>
      <c r="S1792" s="12"/>
    </row>
    <row r="1793" customFormat="false" ht="15" hidden="false" customHeight="false" outlineLevel="0" collapsed="false">
      <c r="A1793" s="15" t="s">
        <v>5418</v>
      </c>
      <c r="B1793" s="15" t="s">
        <v>5412</v>
      </c>
      <c r="C1793" s="15" t="s">
        <v>403</v>
      </c>
      <c r="D1793" s="15" t="s">
        <v>1502</v>
      </c>
      <c r="E1793" s="15" t="s">
        <v>1548</v>
      </c>
      <c r="F1793" s="15" t="s">
        <v>3017</v>
      </c>
      <c r="G1793" s="15" t="s">
        <v>3018</v>
      </c>
      <c r="H1793" s="33" t="n">
        <f aca="false">Packages!$X$168+Packages!$Y$168</f>
        <v>192.764456194935</v>
      </c>
      <c r="I1793" s="15" t="s">
        <v>3019</v>
      </c>
      <c r="J1793" s="34" t="n">
        <f aca="false">MAX(1,ROUNDUP((Packages!$X$168/R_EXS+Packages!$Y$168/R_EXO)/Fronts!$J$11,0))</f>
        <v>1</v>
      </c>
      <c r="K1793" s="34" t="n">
        <f aca="false">IF(J1793=0,0,ROUNDUP(J1793*7/WD,0))</f>
        <v>2</v>
      </c>
      <c r="L1793" s="15" t="s">
        <v>5417</v>
      </c>
      <c r="M1793" s="34" t="n">
        <f aca="false">IF(K1792=0,0,ROUNDUP((K1792-ROUNDUP(DW_DRAW*7/WD,0))*LADDER,0)+ROUNDUP(DW_DRAW*7/WD,0))</f>
        <v>10</v>
      </c>
      <c r="N1793" s="34" t="n">
        <f aca="false">IF(K1793=0,0,FFLAG)</f>
        <v>2</v>
      </c>
      <c r="O1793" s="15" t="s">
        <v>5419</v>
      </c>
      <c r="P1793" s="16" t="n">
        <f aca="false">MAX(P1792+M1793,P1771)</f>
        <v>46468</v>
      </c>
      <c r="Q1793" s="16" t="n">
        <f aca="false">MAX(P1793+K1793,Q1792+N1793)</f>
        <v>46470</v>
      </c>
      <c r="R1793" s="16" t="n">
        <f aca="false">IF(K1793&gt;0,Q1793,0)</f>
        <v>46470</v>
      </c>
      <c r="S1793" s="12"/>
    </row>
    <row r="1794" customFormat="false" ht="15" hidden="false" customHeight="false" outlineLevel="0" collapsed="false">
      <c r="A1794" s="15" t="s">
        <v>5420</v>
      </c>
      <c r="B1794" s="15" t="s">
        <v>5412</v>
      </c>
      <c r="C1794" s="15" t="s">
        <v>403</v>
      </c>
      <c r="D1794" s="15" t="s">
        <v>1502</v>
      </c>
      <c r="E1794" s="15" t="s">
        <v>1548</v>
      </c>
      <c r="F1794" s="15" t="s">
        <v>3022</v>
      </c>
      <c r="G1794" s="15" t="s">
        <v>3023</v>
      </c>
      <c r="H1794" s="33" t="n">
        <f aca="false">Packages!$O$168</f>
        <v>11.570495569924</v>
      </c>
      <c r="I1794" s="15" t="s">
        <v>118</v>
      </c>
      <c r="J1794" s="34" t="n">
        <f aca="false">MAX(1,ROUNDUP(Packages!$O$168/(R_SLAB*Fronts!$K$11),0))+SLAB_CURE</f>
        <v>4</v>
      </c>
      <c r="K1794" s="34" t="n">
        <f aca="false">IF(J1794=0,0,ROUNDUP(J1794*7/WD,0))</f>
        <v>5</v>
      </c>
      <c r="L1794" s="15" t="s">
        <v>5418</v>
      </c>
      <c r="M1794" s="34" t="n">
        <f aca="false">ROUNDUP(K1793*LADDER,0)</f>
        <v>1</v>
      </c>
      <c r="N1794" s="34" t="n">
        <f aca="false">IF(K1794=0,0,FFLAG)</f>
        <v>2</v>
      </c>
      <c r="O1794" s="15"/>
      <c r="P1794" s="16" t="n">
        <f aca="false">MAX(P1793+M1794)</f>
        <v>46469</v>
      </c>
      <c r="Q1794" s="16" t="n">
        <f aca="false">MAX(P1794+K1794,Q1793+N1794)</f>
        <v>46474</v>
      </c>
      <c r="R1794" s="16" t="n">
        <f aca="false">IF(K1794&gt;0,Q1794,0)</f>
        <v>46474</v>
      </c>
      <c r="S1794" s="12"/>
    </row>
    <row r="1795" customFormat="false" ht="15" hidden="false" customHeight="false" outlineLevel="0" collapsed="false">
      <c r="A1795" s="15" t="s">
        <v>5421</v>
      </c>
      <c r="B1795" s="15" t="s">
        <v>5412</v>
      </c>
      <c r="C1795" s="15" t="s">
        <v>403</v>
      </c>
      <c r="D1795" s="15" t="s">
        <v>1502</v>
      </c>
      <c r="E1795" s="15" t="s">
        <v>1548</v>
      </c>
      <c r="F1795" s="15" t="s">
        <v>3025</v>
      </c>
      <c r="G1795" s="15" t="s">
        <v>3026</v>
      </c>
      <c r="H1795" s="33" t="n">
        <f aca="false">Packages!$O$168</f>
        <v>11.570495569924</v>
      </c>
      <c r="I1795" s="15" t="s">
        <v>118</v>
      </c>
      <c r="J1795" s="34" t="n">
        <f aca="false">MAX(1,ROUNDUP(Packages!$O$168/(IF(Packages!$N$168&gt;=PIPE_T1,R_PIPE_L,IF(Packages!$N$168&gt;=PIPE_T2,R_PIPE_M,R_PIPE_S))*Fronts!$L$11)+Packages!$M$168*FIT_D+IF(Packages!$G$168&lt;&gt;"Run",TIE_D,0),0))</f>
        <v>4</v>
      </c>
      <c r="K1795" s="34" t="n">
        <f aca="false">IF(J1795=0,0,ROUNDUP(J1795*7/WD,0))</f>
        <v>5</v>
      </c>
      <c r="L1795" s="15" t="s">
        <v>5420</v>
      </c>
      <c r="M1795" s="34" t="n">
        <f aca="false">ROUNDUP(K1794*LADDER,0)</f>
        <v>2</v>
      </c>
      <c r="N1795" s="34" t="n">
        <f aca="false">IF(K1795=0,0,FFLAG)</f>
        <v>2</v>
      </c>
      <c r="O1795" s="15" t="s">
        <v>5422</v>
      </c>
      <c r="P1795" s="16" t="n">
        <f aca="false">MAX(P1794+M1795,Q1740)</f>
        <v>46532</v>
      </c>
      <c r="Q1795" s="16" t="n">
        <f aca="false">MAX(P1795+K1795,Q1794+N1795)</f>
        <v>46537</v>
      </c>
      <c r="R1795" s="16" t="n">
        <f aca="false">IF(K1795&gt;0,Q1795,0)</f>
        <v>46537</v>
      </c>
      <c r="S1795" s="12"/>
    </row>
    <row r="1796" customFormat="false" ht="15" hidden="false" customHeight="false" outlineLevel="0" collapsed="false">
      <c r="A1796" s="15" t="s">
        <v>5423</v>
      </c>
      <c r="B1796" s="15" t="s">
        <v>5412</v>
      </c>
      <c r="C1796" s="15" t="s">
        <v>403</v>
      </c>
      <c r="D1796" s="15" t="s">
        <v>1502</v>
      </c>
      <c r="E1796" s="15" t="s">
        <v>1548</v>
      </c>
      <c r="F1796" s="15" t="s">
        <v>3028</v>
      </c>
      <c r="G1796" s="15" t="s">
        <v>3029</v>
      </c>
      <c r="H1796" s="33" t="n">
        <f aca="false">Packages!$O$168</f>
        <v>11.570495569924</v>
      </c>
      <c r="I1796" s="15" t="s">
        <v>118</v>
      </c>
      <c r="J1796" s="34" t="n">
        <f aca="false">TEST_D+ROUNDUP(Packages!$O$168/R_TEST,0)</f>
        <v>3</v>
      </c>
      <c r="K1796" s="34" t="n">
        <f aca="false">IF(J1796=0,0,ROUNDUP(J1796*7/WD,0))</f>
        <v>4</v>
      </c>
      <c r="L1796" s="15" t="s">
        <v>5421</v>
      </c>
      <c r="M1796" s="34" t="n">
        <f aca="false">ROUNDUP(K1795*LADDER,0)</f>
        <v>2</v>
      </c>
      <c r="N1796" s="34" t="n">
        <f aca="false">IF(K1796=0,0,FFLAG)</f>
        <v>2</v>
      </c>
      <c r="O1796" s="15"/>
      <c r="P1796" s="16" t="n">
        <f aca="false">MAX(P1795+M1796)</f>
        <v>46534</v>
      </c>
      <c r="Q1796" s="16" t="n">
        <f aca="false">MAX(P1796+K1796,Q1795+N1796)</f>
        <v>46539</v>
      </c>
      <c r="R1796" s="12"/>
      <c r="S1796" s="12"/>
    </row>
    <row r="1797" customFormat="false" ht="15" hidden="false" customHeight="false" outlineLevel="0" collapsed="false">
      <c r="A1797" s="15" t="s">
        <v>5424</v>
      </c>
      <c r="B1797" s="15" t="s">
        <v>5412</v>
      </c>
      <c r="C1797" s="15" t="s">
        <v>403</v>
      </c>
      <c r="D1797" s="15" t="s">
        <v>1502</v>
      </c>
      <c r="E1797" s="15" t="s">
        <v>1548</v>
      </c>
      <c r="F1797" s="15" t="s">
        <v>3031</v>
      </c>
      <c r="G1797" s="15" t="s">
        <v>3032</v>
      </c>
      <c r="H1797" s="33" t="n">
        <f aca="false">Packages!$AB$168</f>
        <v>161.068467409401</v>
      </c>
      <c r="I1797" s="15" t="s">
        <v>3019</v>
      </c>
      <c r="J1797" s="34" t="n">
        <f aca="false">MAX(1,ROUNDUP(Packages!$AB$168/(R_BF*Fronts!$M$11),0))</f>
        <v>1</v>
      </c>
      <c r="K1797" s="34" t="n">
        <f aca="false">IF(J1797=0,0,ROUNDUP(J1797*7/WD,0))</f>
        <v>2</v>
      </c>
      <c r="L1797" s="15" t="s">
        <v>5423</v>
      </c>
      <c r="M1797" s="34" t="n">
        <f aca="false">ROUNDUP(K1796*LADDER,0)</f>
        <v>2</v>
      </c>
      <c r="N1797" s="34" t="n">
        <f aca="false">IF(K1797=0,0,FFLAG)</f>
        <v>2</v>
      </c>
      <c r="O1797" s="15" t="s">
        <v>5425</v>
      </c>
      <c r="P1797" s="16" t="n">
        <f aca="false">MAX(P1796+M1797,Q1773)</f>
        <v>46546</v>
      </c>
      <c r="Q1797" s="16" t="n">
        <f aca="false">MAX(P1797+K1797,Q1796+N1797)</f>
        <v>46548</v>
      </c>
      <c r="R1797" s="16" t="n">
        <f aca="false">IF(K1797&gt;0,Q1797,0)</f>
        <v>46548</v>
      </c>
      <c r="S1797" s="12"/>
    </row>
    <row r="1798" customFormat="false" ht="15" hidden="false" customHeight="false" outlineLevel="0" collapsed="false">
      <c r="A1798" s="15" t="s">
        <v>5426</v>
      </c>
      <c r="B1798" s="15" t="s">
        <v>5412</v>
      </c>
      <c r="C1798" s="15" t="s">
        <v>403</v>
      </c>
      <c r="D1798" s="15" t="s">
        <v>1502</v>
      </c>
      <c r="E1798" s="15" t="s">
        <v>1548</v>
      </c>
      <c r="F1798" s="15" t="s">
        <v>3034</v>
      </c>
      <c r="G1798" s="15" t="s">
        <v>3035</v>
      </c>
      <c r="H1798" s="33" t="n">
        <f aca="false">Packages!$AD$168</f>
        <v>23.1409911398481</v>
      </c>
      <c r="I1798" s="15" t="s">
        <v>3012</v>
      </c>
      <c r="J1798" s="34" t="n">
        <f aca="false">IF(Packages!$AD$168&gt;0,ROUNDUP(Packages!$AD$168/R_EXT,0),0)+IF(Packages!$AG$168&gt;0,1,0)</f>
        <v>2</v>
      </c>
      <c r="K1798" s="34" t="n">
        <f aca="false">IF(J1798=0,0,ROUNDUP(J1798*7/WD,0))</f>
        <v>3</v>
      </c>
      <c r="L1798" s="15" t="s">
        <v>5424</v>
      </c>
      <c r="M1798" s="34" t="n">
        <f aca="false">ROUNDUP(K1797*LADDER,0)</f>
        <v>1</v>
      </c>
      <c r="N1798" s="34" t="n">
        <f aca="false">IF(K1798=0,0,FFLAG)</f>
        <v>2</v>
      </c>
      <c r="O1798" s="15"/>
      <c r="P1798" s="16" t="n">
        <f aca="false">MAX(P1797+M1798)</f>
        <v>46547</v>
      </c>
      <c r="Q1798" s="16" t="n">
        <f aca="false">MAX(P1798+K1798,Q1797+N1798)</f>
        <v>46550</v>
      </c>
      <c r="R1798" s="12"/>
      <c r="S1798" s="12"/>
    </row>
    <row r="1799" customFormat="false" ht="15" hidden="false" customHeight="false" outlineLevel="0" collapsed="false">
      <c r="A1799" s="15" t="s">
        <v>5427</v>
      </c>
      <c r="B1799" s="15" t="s">
        <v>5428</v>
      </c>
      <c r="C1799" s="15" t="s">
        <v>403</v>
      </c>
      <c r="D1799" s="15" t="s">
        <v>1502</v>
      </c>
      <c r="E1799" s="15" t="s">
        <v>1561</v>
      </c>
      <c r="F1799" s="15" t="s">
        <v>2998</v>
      </c>
      <c r="G1799" s="15" t="s">
        <v>2999</v>
      </c>
      <c r="H1799" s="12"/>
      <c r="I1799" s="12"/>
      <c r="J1799" s="34" t="n">
        <f aca="false">0</f>
        <v>0</v>
      </c>
      <c r="K1799" s="34" t="n">
        <f aca="false">IF(J1799=0,0,ROUNDUP(J1799*7/WD,0))</f>
        <v>0</v>
      </c>
      <c r="L1799" s="12"/>
      <c r="M1799" s="12"/>
      <c r="N1799" s="12"/>
      <c r="O1799" s="15" t="s">
        <v>3000</v>
      </c>
      <c r="P1799" s="16" t="n">
        <f aca="false">MAX(START,D_DLU,Packages!$I$169,Packages!$K$169)</f>
        <v>46357</v>
      </c>
      <c r="Q1799" s="16" t="n">
        <f aca="false">P1799+K1799</f>
        <v>46357</v>
      </c>
      <c r="R1799" s="12"/>
      <c r="S1799" s="12"/>
    </row>
    <row r="1800" customFormat="false" ht="15" hidden="false" customHeight="false" outlineLevel="0" collapsed="false">
      <c r="A1800" s="15" t="s">
        <v>5429</v>
      </c>
      <c r="B1800" s="15" t="s">
        <v>5428</v>
      </c>
      <c r="C1800" s="15" t="s">
        <v>403</v>
      </c>
      <c r="D1800" s="15" t="s">
        <v>1502</v>
      </c>
      <c r="E1800" s="15" t="s">
        <v>1561</v>
      </c>
      <c r="F1800" s="15" t="s">
        <v>3002</v>
      </c>
      <c r="G1800" s="15" t="s">
        <v>205</v>
      </c>
      <c r="H1800" s="33" t="n">
        <f aca="false">Packages!$O$169</f>
        <v>5.26368000025213</v>
      </c>
      <c r="I1800" s="15" t="s">
        <v>118</v>
      </c>
      <c r="J1800" s="34" t="n">
        <f aca="false">MAX(1,ROUNDUP(Packages!$O$169/R_PLAT,0))</f>
        <v>1</v>
      </c>
      <c r="K1800" s="34" t="n">
        <f aca="false">IF(J1800=0,0,ROUNDUP(J1800*7/WD,0))</f>
        <v>2</v>
      </c>
      <c r="L1800" s="15" t="s">
        <v>5427</v>
      </c>
      <c r="M1800" s="12"/>
      <c r="N1800" s="12"/>
      <c r="O1800" s="15" t="s">
        <v>5430</v>
      </c>
      <c r="P1800" s="16" t="n">
        <f aca="false">MAX(Q1799,P1779)</f>
        <v>46466</v>
      </c>
      <c r="Q1800" s="16" t="n">
        <f aca="false">P1800+K1800</f>
        <v>46468</v>
      </c>
      <c r="R1800" s="12"/>
      <c r="S1800" s="12"/>
    </row>
    <row r="1801" customFormat="false" ht="15" hidden="false" customHeight="false" outlineLevel="0" collapsed="false">
      <c r="A1801" s="15" t="s">
        <v>5431</v>
      </c>
      <c r="B1801" s="15" t="s">
        <v>5428</v>
      </c>
      <c r="C1801" s="15" t="s">
        <v>403</v>
      </c>
      <c r="D1801" s="15" t="s">
        <v>1502</v>
      </c>
      <c r="E1801" s="15" t="s">
        <v>1561</v>
      </c>
      <c r="F1801" s="15" t="s">
        <v>3005</v>
      </c>
      <c r="G1801" s="15" t="s">
        <v>3006</v>
      </c>
      <c r="H1801" s="33" t="n">
        <f aca="false">Packages!$AC$169</f>
        <v>6</v>
      </c>
      <c r="I1801" s="15" t="s">
        <v>3007</v>
      </c>
      <c r="J1801" s="34" t="n">
        <f aca="false">IF(Packages!$AC$169=0,0,MAX(1,ROUNDUP(Packages!$AC$169/(R_PILE*Fronts!$H$11),0)))</f>
        <v>2</v>
      </c>
      <c r="K1801" s="34" t="n">
        <f aca="false">IF(J1801=0,0,ROUNDUP(J1801*7/WD,0))</f>
        <v>3</v>
      </c>
      <c r="L1801" s="15" t="s">
        <v>5429</v>
      </c>
      <c r="M1801" s="34" t="n">
        <f aca="false">ROUNDUP(K1800*LADDER,0)</f>
        <v>1</v>
      </c>
      <c r="N1801" s="34" t="n">
        <f aca="false">IF(K1801=0,0,FFLAG)</f>
        <v>2</v>
      </c>
      <c r="O1801" s="15" t="s">
        <v>3008</v>
      </c>
      <c r="P1801" s="16" t="n">
        <f aca="false">MAX(P1800+M1801,D_PILEDES,R1779)</f>
        <v>46469</v>
      </c>
      <c r="Q1801" s="16" t="n">
        <f aca="false">MAX(P1801+K1801,Q1800+N1801)</f>
        <v>46472</v>
      </c>
      <c r="R1801" s="16" t="n">
        <f aca="false">IF(K1801&gt;0,Q1801,R1779)</f>
        <v>46472</v>
      </c>
      <c r="S1801" s="15" t="s">
        <v>5399</v>
      </c>
    </row>
    <row r="1802" customFormat="false" ht="15" hidden="false" customHeight="false" outlineLevel="0" collapsed="false">
      <c r="A1802" s="15" t="s">
        <v>5432</v>
      </c>
      <c r="B1802" s="15" t="s">
        <v>5428</v>
      </c>
      <c r="C1802" s="15" t="s">
        <v>403</v>
      </c>
      <c r="D1802" s="15" t="s">
        <v>1502</v>
      </c>
      <c r="E1802" s="15" t="s">
        <v>1561</v>
      </c>
      <c r="F1802" s="15" t="s">
        <v>3010</v>
      </c>
      <c r="G1802" s="15" t="s">
        <v>3011</v>
      </c>
      <c r="H1802" s="33" t="n">
        <f aca="false">Packages!$AD$169</f>
        <v>10.5273600005043</v>
      </c>
      <c r="I1802" s="15" t="s">
        <v>3012</v>
      </c>
      <c r="J1802" s="34" t="n">
        <f aca="false">IF(Packages!$AD$169=0,0,MAX(1,ROUNDUP(Packages!$AD$169/(R_SHEET*Fronts!$I$11),0)))</f>
        <v>1</v>
      </c>
      <c r="K1802" s="34" t="n">
        <f aca="false">IF(J1802=0,0,ROUNDUP(J1802*7/WD,0))</f>
        <v>2</v>
      </c>
      <c r="L1802" s="15" t="s">
        <v>5431</v>
      </c>
      <c r="M1802" s="34" t="n">
        <f aca="false">ROUNDUP(K1801*LADDER,0)</f>
        <v>1</v>
      </c>
      <c r="N1802" s="34" t="n">
        <f aca="false">IF(K1802=0,0,FFLAG)</f>
        <v>2</v>
      </c>
      <c r="O1802" s="15"/>
      <c r="P1802" s="16" t="n">
        <f aca="false">MAX(P1801+M1802,R1780)</f>
        <v>46471</v>
      </c>
      <c r="Q1802" s="16" t="n">
        <f aca="false">MAX(P1802+K1802,Q1801+N1802)</f>
        <v>46474</v>
      </c>
      <c r="R1802" s="16" t="n">
        <f aca="false">IF(K1802&gt;0,Q1802,R1780)</f>
        <v>46474</v>
      </c>
      <c r="S1802" s="15" t="s">
        <v>5400</v>
      </c>
    </row>
    <row r="1803" customFormat="false" ht="15" hidden="false" customHeight="false" outlineLevel="0" collapsed="false">
      <c r="A1803" s="15" t="s">
        <v>5433</v>
      </c>
      <c r="B1803" s="15" t="s">
        <v>5428</v>
      </c>
      <c r="C1803" s="15" t="s">
        <v>403</v>
      </c>
      <c r="D1803" s="15" t="s">
        <v>1502</v>
      </c>
      <c r="E1803" s="15" t="s">
        <v>1561</v>
      </c>
      <c r="F1803" s="15" t="s">
        <v>3014</v>
      </c>
      <c r="G1803" s="15" t="s">
        <v>3015</v>
      </c>
      <c r="H1803" s="33" t="n">
        <f aca="false">Packages!$O$169</f>
        <v>5.26368000025213</v>
      </c>
      <c r="I1803" s="15" t="s">
        <v>118</v>
      </c>
      <c r="J1803" s="34" t="n">
        <f aca="false">IF(Packages!$AG$169=0,0,ROUNDUP(Packages!$O$169/R_DW,0)+DW_DRAW)</f>
        <v>8</v>
      </c>
      <c r="K1803" s="34" t="n">
        <f aca="false">IF(J1803=0,0,ROUNDUP(J1803*7/WD,0))</f>
        <v>10</v>
      </c>
      <c r="L1803" s="15" t="s">
        <v>5432</v>
      </c>
      <c r="M1803" s="34" t="n">
        <f aca="false">ROUNDUP(K1802*LADDER,0)</f>
        <v>1</v>
      </c>
      <c r="N1803" s="34" t="n">
        <f aca="false">IF(K1803=0,0,FFLAG)</f>
        <v>2</v>
      </c>
      <c r="O1803" s="15" t="s">
        <v>5434</v>
      </c>
      <c r="P1803" s="16" t="n">
        <f aca="false">MAX(P1802+M1803,Q1782-K1803)</f>
        <v>46487</v>
      </c>
      <c r="Q1803" s="16" t="n">
        <f aca="false">MAX(P1803+K1803,Q1802+N1803)</f>
        <v>46497</v>
      </c>
      <c r="R1803" s="12"/>
      <c r="S1803" s="12"/>
    </row>
    <row r="1804" customFormat="false" ht="15" hidden="false" customHeight="false" outlineLevel="0" collapsed="false">
      <c r="A1804" s="15" t="s">
        <v>5435</v>
      </c>
      <c r="B1804" s="15" t="s">
        <v>5428</v>
      </c>
      <c r="C1804" s="15" t="s">
        <v>403</v>
      </c>
      <c r="D1804" s="15" t="s">
        <v>1502</v>
      </c>
      <c r="E1804" s="15" t="s">
        <v>1561</v>
      </c>
      <c r="F1804" s="15" t="s">
        <v>3017</v>
      </c>
      <c r="G1804" s="15" t="s">
        <v>3018</v>
      </c>
      <c r="H1804" s="33" t="n">
        <f aca="false">Packages!$X$169+Packages!$Y$169</f>
        <v>87.6926117268816</v>
      </c>
      <c r="I1804" s="15" t="s">
        <v>3019</v>
      </c>
      <c r="J1804" s="34" t="n">
        <f aca="false">MAX(1,ROUNDUP((Packages!$X$169/R_EXS+Packages!$Y$169/R_EXO)/Fronts!$J$11,0))</f>
        <v>1</v>
      </c>
      <c r="K1804" s="34" t="n">
        <f aca="false">IF(J1804=0,0,ROUNDUP(J1804*7/WD,0))</f>
        <v>2</v>
      </c>
      <c r="L1804" s="15" t="s">
        <v>5433</v>
      </c>
      <c r="M1804" s="34" t="n">
        <f aca="false">IF(K1803=0,0,ROUNDUP((K1803-ROUNDUP(DW_DRAW*7/WD,0))*LADDER,0)+ROUNDUP(DW_DRAW*7/WD,0))</f>
        <v>10</v>
      </c>
      <c r="N1804" s="34" t="n">
        <f aca="false">IF(K1804=0,0,FFLAG)</f>
        <v>2</v>
      </c>
      <c r="O1804" s="15" t="s">
        <v>5419</v>
      </c>
      <c r="P1804" s="16" t="n">
        <f aca="false">MAX(P1803+M1804,R1782,P1771)</f>
        <v>46497</v>
      </c>
      <c r="Q1804" s="16" t="n">
        <f aca="false">MAX(P1804+K1804,Q1803+N1804)</f>
        <v>46499</v>
      </c>
      <c r="R1804" s="16" t="n">
        <f aca="false">IF(K1804&gt;0,Q1804,R1782)</f>
        <v>46499</v>
      </c>
      <c r="S1804" s="15" t="s">
        <v>5403</v>
      </c>
    </row>
    <row r="1805" customFormat="false" ht="15" hidden="false" customHeight="false" outlineLevel="0" collapsed="false">
      <c r="A1805" s="15" t="s">
        <v>5436</v>
      </c>
      <c r="B1805" s="15" t="s">
        <v>5428</v>
      </c>
      <c r="C1805" s="15" t="s">
        <v>403</v>
      </c>
      <c r="D1805" s="15" t="s">
        <v>1502</v>
      </c>
      <c r="E1805" s="15" t="s">
        <v>1561</v>
      </c>
      <c r="F1805" s="15" t="s">
        <v>3022</v>
      </c>
      <c r="G1805" s="15" t="s">
        <v>3023</v>
      </c>
      <c r="H1805" s="33" t="n">
        <f aca="false">Packages!$O$169</f>
        <v>5.26368000025213</v>
      </c>
      <c r="I1805" s="15" t="s">
        <v>118</v>
      </c>
      <c r="J1805" s="34" t="n">
        <f aca="false">MAX(1,ROUNDUP(Packages!$O$169/(R_SLAB*Fronts!$K$11),0))+SLAB_CURE</f>
        <v>4</v>
      </c>
      <c r="K1805" s="34" t="n">
        <f aca="false">IF(J1805=0,0,ROUNDUP(J1805*7/WD,0))</f>
        <v>5</v>
      </c>
      <c r="L1805" s="15" t="s">
        <v>5435</v>
      </c>
      <c r="M1805" s="34" t="n">
        <f aca="false">ROUNDUP(K1804*LADDER,0)</f>
        <v>1</v>
      </c>
      <c r="N1805" s="34" t="n">
        <f aca="false">IF(K1805=0,0,FFLAG)</f>
        <v>2</v>
      </c>
      <c r="O1805" s="15"/>
      <c r="P1805" s="16" t="n">
        <f aca="false">MAX(P1804+M1805,R1783)</f>
        <v>46549</v>
      </c>
      <c r="Q1805" s="16" t="n">
        <f aca="false">MAX(P1805+K1805,Q1804+N1805)</f>
        <v>46554</v>
      </c>
      <c r="R1805" s="16" t="n">
        <f aca="false">IF(K1805&gt;0,Q1805,R1783)</f>
        <v>46554</v>
      </c>
      <c r="S1805" s="15" t="s">
        <v>5405</v>
      </c>
    </row>
    <row r="1806" customFormat="false" ht="15" hidden="false" customHeight="false" outlineLevel="0" collapsed="false">
      <c r="A1806" s="15" t="s">
        <v>5437</v>
      </c>
      <c r="B1806" s="15" t="s">
        <v>5428</v>
      </c>
      <c r="C1806" s="15" t="s">
        <v>403</v>
      </c>
      <c r="D1806" s="15" t="s">
        <v>1502</v>
      </c>
      <c r="E1806" s="15" t="s">
        <v>1561</v>
      </c>
      <c r="F1806" s="15" t="s">
        <v>3025</v>
      </c>
      <c r="G1806" s="15" t="s">
        <v>3026</v>
      </c>
      <c r="H1806" s="33" t="n">
        <f aca="false">Packages!$O$169</f>
        <v>5.26368000025213</v>
      </c>
      <c r="I1806" s="15" t="s">
        <v>118</v>
      </c>
      <c r="J1806" s="34" t="n">
        <f aca="false">MAX(1,ROUNDUP(Packages!$O$169/(IF(Packages!$N$169&gt;=PIPE_T1,R_PIPE_L,IF(Packages!$N$169&gt;=PIPE_T2,R_PIPE_M,R_PIPE_S))*Fronts!$L$11)+Packages!$M$169*FIT_D+IF(Packages!$G$169&lt;&gt;"Run",TIE_D,0),0))</f>
        <v>1</v>
      </c>
      <c r="K1806" s="34" t="n">
        <f aca="false">IF(J1806=0,0,ROUNDUP(J1806*7/WD,0))</f>
        <v>2</v>
      </c>
      <c r="L1806" s="15" t="s">
        <v>5436</v>
      </c>
      <c r="M1806" s="34" t="n">
        <f aca="false">ROUNDUP(K1805*LADDER,0)</f>
        <v>2</v>
      </c>
      <c r="N1806" s="34" t="n">
        <f aca="false">IF(K1806=0,0,FFLAG)</f>
        <v>2</v>
      </c>
      <c r="O1806" s="15"/>
      <c r="P1806" s="16" t="n">
        <f aca="false">MAX(P1805+M1806,R1784)</f>
        <v>46551</v>
      </c>
      <c r="Q1806" s="16" t="n">
        <f aca="false">MAX(P1806+K1806,Q1805+N1806)</f>
        <v>46556</v>
      </c>
      <c r="R1806" s="16" t="n">
        <f aca="false">IF(K1806&gt;0,Q1806,R1784)</f>
        <v>46556</v>
      </c>
      <c r="S1806" s="15" t="s">
        <v>5406</v>
      </c>
    </row>
    <row r="1807" customFormat="false" ht="15" hidden="false" customHeight="false" outlineLevel="0" collapsed="false">
      <c r="A1807" s="15" t="s">
        <v>5438</v>
      </c>
      <c r="B1807" s="15" t="s">
        <v>5428</v>
      </c>
      <c r="C1807" s="15" t="s">
        <v>403</v>
      </c>
      <c r="D1807" s="15" t="s">
        <v>1502</v>
      </c>
      <c r="E1807" s="15" t="s">
        <v>1561</v>
      </c>
      <c r="F1807" s="15" t="s">
        <v>3028</v>
      </c>
      <c r="G1807" s="15" t="s">
        <v>3029</v>
      </c>
      <c r="H1807" s="33" t="n">
        <f aca="false">Packages!$O$169</f>
        <v>5.26368000025213</v>
      </c>
      <c r="I1807" s="15" t="s">
        <v>118</v>
      </c>
      <c r="J1807" s="34" t="n">
        <f aca="false">TEST_D+ROUNDUP(Packages!$O$169/R_TEST,0)</f>
        <v>3</v>
      </c>
      <c r="K1807" s="34" t="n">
        <f aca="false">IF(J1807=0,0,ROUNDUP(J1807*7/WD,0))</f>
        <v>4</v>
      </c>
      <c r="L1807" s="15" t="s">
        <v>5437</v>
      </c>
      <c r="M1807" s="34" t="n">
        <f aca="false">ROUNDUP(K1806*LADDER,0)</f>
        <v>1</v>
      </c>
      <c r="N1807" s="34" t="n">
        <f aca="false">IF(K1807=0,0,FFLAG)</f>
        <v>2</v>
      </c>
      <c r="O1807" s="15"/>
      <c r="P1807" s="16" t="n">
        <f aca="false">MAX(P1806+M1807)</f>
        <v>46552</v>
      </c>
      <c r="Q1807" s="16" t="n">
        <f aca="false">MAX(P1807+K1807,Q1806+N1807)</f>
        <v>46558</v>
      </c>
      <c r="R1807" s="12"/>
      <c r="S1807" s="12"/>
    </row>
    <row r="1808" customFormat="false" ht="15" hidden="false" customHeight="false" outlineLevel="0" collapsed="false">
      <c r="A1808" s="15" t="s">
        <v>5439</v>
      </c>
      <c r="B1808" s="15" t="s">
        <v>5428</v>
      </c>
      <c r="C1808" s="15" t="s">
        <v>403</v>
      </c>
      <c r="D1808" s="15" t="s">
        <v>1502</v>
      </c>
      <c r="E1808" s="15" t="s">
        <v>1561</v>
      </c>
      <c r="F1808" s="15" t="s">
        <v>3031</v>
      </c>
      <c r="G1808" s="15" t="s">
        <v>3032</v>
      </c>
      <c r="H1808" s="33" t="n">
        <f aca="false">Packages!$AB$169</f>
        <v>73.2735113925207</v>
      </c>
      <c r="I1808" s="15" t="s">
        <v>3019</v>
      </c>
      <c r="J1808" s="34" t="n">
        <f aca="false">MAX(1,ROUNDUP(Packages!$AB$169/(R_BF*Fronts!$M$11),0))</f>
        <v>1</v>
      </c>
      <c r="K1808" s="34" t="n">
        <f aca="false">IF(J1808=0,0,ROUNDUP(J1808*7/WD,0))</f>
        <v>2</v>
      </c>
      <c r="L1808" s="15" t="s">
        <v>5438</v>
      </c>
      <c r="M1808" s="34" t="n">
        <f aca="false">ROUNDUP(K1807*LADDER,0)</f>
        <v>2</v>
      </c>
      <c r="N1808" s="34" t="n">
        <f aca="false">IF(K1808=0,0,FFLAG)</f>
        <v>2</v>
      </c>
      <c r="O1808" s="15" t="s">
        <v>5425</v>
      </c>
      <c r="P1808" s="16" t="n">
        <f aca="false">MAX(P1807+M1808,R1786,Q1773)</f>
        <v>46559</v>
      </c>
      <c r="Q1808" s="16" t="n">
        <f aca="false">MAX(P1808+K1808,Q1807+N1808)</f>
        <v>46561</v>
      </c>
      <c r="R1808" s="16" t="n">
        <f aca="false">IF(K1808&gt;0,Q1808,R1786)</f>
        <v>46561</v>
      </c>
      <c r="S1808" s="15" t="s">
        <v>5408</v>
      </c>
    </row>
    <row r="1809" customFormat="false" ht="15" hidden="false" customHeight="false" outlineLevel="0" collapsed="false">
      <c r="A1809" s="15" t="s">
        <v>5440</v>
      </c>
      <c r="B1809" s="15" t="s">
        <v>5428</v>
      </c>
      <c r="C1809" s="15" t="s">
        <v>403</v>
      </c>
      <c r="D1809" s="15" t="s">
        <v>1502</v>
      </c>
      <c r="E1809" s="15" t="s">
        <v>1561</v>
      </c>
      <c r="F1809" s="15" t="s">
        <v>3034</v>
      </c>
      <c r="G1809" s="15" t="s">
        <v>3035</v>
      </c>
      <c r="H1809" s="33" t="n">
        <f aca="false">Packages!$AD$169</f>
        <v>10.5273600005043</v>
      </c>
      <c r="I1809" s="15" t="s">
        <v>3012</v>
      </c>
      <c r="J1809" s="34" t="n">
        <f aca="false">IF(Packages!$AD$169&gt;0,ROUNDUP(Packages!$AD$169/R_EXT,0),0)+IF(Packages!$AG$169&gt;0,1,0)</f>
        <v>2</v>
      </c>
      <c r="K1809" s="34" t="n">
        <f aca="false">IF(J1809=0,0,ROUNDUP(J1809*7/WD,0))</f>
        <v>3</v>
      </c>
      <c r="L1809" s="15" t="s">
        <v>5439</v>
      </c>
      <c r="M1809" s="34" t="n">
        <f aca="false">ROUNDUP(K1808*LADDER,0)</f>
        <v>1</v>
      </c>
      <c r="N1809" s="34" t="n">
        <f aca="false">IF(K1809=0,0,FFLAG)</f>
        <v>2</v>
      </c>
      <c r="O1809" s="15"/>
      <c r="P1809" s="16" t="n">
        <f aca="false">MAX(P1808+M1809)</f>
        <v>46560</v>
      </c>
      <c r="Q1809" s="16" t="n">
        <f aca="false">MAX(P1809+K1809,Q1808+N1809)</f>
        <v>46563</v>
      </c>
      <c r="R1809" s="12"/>
      <c r="S1809" s="12"/>
    </row>
    <row r="1810" customFormat="false" ht="15" hidden="false" customHeight="false" outlineLevel="0" collapsed="false">
      <c r="A1810" s="15" t="s">
        <v>5441</v>
      </c>
      <c r="B1810" s="15" t="s">
        <v>5442</v>
      </c>
      <c r="C1810" s="15" t="s">
        <v>403</v>
      </c>
      <c r="D1810" s="15" t="s">
        <v>1502</v>
      </c>
      <c r="E1810" s="15" t="s">
        <v>1559</v>
      </c>
      <c r="F1810" s="15" t="s">
        <v>2998</v>
      </c>
      <c r="G1810" s="15" t="s">
        <v>2999</v>
      </c>
      <c r="H1810" s="12"/>
      <c r="I1810" s="12"/>
      <c r="J1810" s="34" t="n">
        <f aca="false">0</f>
        <v>0</v>
      </c>
      <c r="K1810" s="34" t="n">
        <f aca="false">IF(J1810=0,0,ROUNDUP(J1810*7/WD,0))</f>
        <v>0</v>
      </c>
      <c r="L1810" s="12"/>
      <c r="M1810" s="12"/>
      <c r="N1810" s="12"/>
      <c r="O1810" s="15" t="s">
        <v>3038</v>
      </c>
      <c r="P1810" s="16" t="n">
        <f aca="false">MAX(START,D_DLU,Packages!$I$170,Packages!$K$170)</f>
        <v>46357</v>
      </c>
      <c r="Q1810" s="16" t="n">
        <f aca="false">P1810+K1810</f>
        <v>46357</v>
      </c>
      <c r="R1810" s="12"/>
      <c r="S1810" s="12"/>
    </row>
    <row r="1811" customFormat="false" ht="15" hidden="false" customHeight="false" outlineLevel="0" collapsed="false">
      <c r="A1811" s="15" t="s">
        <v>5443</v>
      </c>
      <c r="B1811" s="15" t="s">
        <v>5442</v>
      </c>
      <c r="C1811" s="15" t="s">
        <v>403</v>
      </c>
      <c r="D1811" s="15" t="s">
        <v>1502</v>
      </c>
      <c r="E1811" s="15" t="s">
        <v>1559</v>
      </c>
      <c r="F1811" s="15" t="s">
        <v>3002</v>
      </c>
      <c r="G1811" s="15" t="s">
        <v>205</v>
      </c>
      <c r="H1811" s="33" t="n">
        <f aca="false">Packages!$O$170</f>
        <v>6.00000000002508</v>
      </c>
      <c r="I1811" s="15" t="s">
        <v>118</v>
      </c>
      <c r="J1811" s="34" t="n">
        <f aca="false">MAX(1,ROUNDUP(Packages!$O$170/R_PLAT,0))</f>
        <v>1</v>
      </c>
      <c r="K1811" s="34" t="n">
        <f aca="false">IF(J1811=0,0,ROUNDUP(J1811*7/WD,0))</f>
        <v>2</v>
      </c>
      <c r="L1811" s="15" t="s">
        <v>5441</v>
      </c>
      <c r="M1811" s="12"/>
      <c r="N1811" s="12"/>
      <c r="O1811" s="15" t="s">
        <v>5444</v>
      </c>
      <c r="P1811" s="16" t="n">
        <f aca="false">MAX(Q1810,P1801)</f>
        <v>46469</v>
      </c>
      <c r="Q1811" s="16" t="n">
        <f aca="false">P1811+K1811</f>
        <v>46471</v>
      </c>
      <c r="R1811" s="12"/>
      <c r="S1811" s="12"/>
    </row>
    <row r="1812" customFormat="false" ht="15" hidden="false" customHeight="false" outlineLevel="0" collapsed="false">
      <c r="A1812" s="15" t="s">
        <v>5445</v>
      </c>
      <c r="B1812" s="15" t="s">
        <v>5442</v>
      </c>
      <c r="C1812" s="15" t="s">
        <v>403</v>
      </c>
      <c r="D1812" s="15" t="s">
        <v>1502</v>
      </c>
      <c r="E1812" s="15" t="s">
        <v>1559</v>
      </c>
      <c r="F1812" s="15" t="s">
        <v>3005</v>
      </c>
      <c r="G1812" s="15" t="s">
        <v>3006</v>
      </c>
      <c r="H1812" s="33" t="n">
        <f aca="false">Packages!$AC$170</f>
        <v>6</v>
      </c>
      <c r="I1812" s="15" t="s">
        <v>3007</v>
      </c>
      <c r="J1812" s="34" t="n">
        <f aca="false">IF(Packages!$AC$170=0,0,MAX(1,ROUNDUP(Packages!$AC$170/(R_PILE*Fronts!$H$11),0)))</f>
        <v>2</v>
      </c>
      <c r="K1812" s="34" t="n">
        <f aca="false">IF(J1812=0,0,ROUNDUP(J1812*7/WD,0))</f>
        <v>3</v>
      </c>
      <c r="L1812" s="15" t="s">
        <v>5443</v>
      </c>
      <c r="M1812" s="34" t="n">
        <f aca="false">ROUNDUP(K1811*LADDER,0)</f>
        <v>1</v>
      </c>
      <c r="N1812" s="34" t="n">
        <f aca="false">IF(K1812=0,0,FFLAG)</f>
        <v>2</v>
      </c>
      <c r="O1812" s="15" t="s">
        <v>3008</v>
      </c>
      <c r="P1812" s="16" t="n">
        <f aca="false">MAX(P1811+M1812,D_PILEDES)</f>
        <v>46470</v>
      </c>
      <c r="Q1812" s="16" t="n">
        <f aca="false">MAX(P1812+K1812,Q1811+N1812)</f>
        <v>46473</v>
      </c>
      <c r="R1812" s="16" t="n">
        <f aca="false">IF(K1812&gt;0,Q1812,0)</f>
        <v>46473</v>
      </c>
      <c r="S1812" s="12"/>
    </row>
    <row r="1813" customFormat="false" ht="15" hidden="false" customHeight="false" outlineLevel="0" collapsed="false">
      <c r="A1813" s="15" t="s">
        <v>5446</v>
      </c>
      <c r="B1813" s="15" t="s">
        <v>5442</v>
      </c>
      <c r="C1813" s="15" t="s">
        <v>403</v>
      </c>
      <c r="D1813" s="15" t="s">
        <v>1502</v>
      </c>
      <c r="E1813" s="15" t="s">
        <v>1559</v>
      </c>
      <c r="F1813" s="15" t="s">
        <v>3010</v>
      </c>
      <c r="G1813" s="15" t="s">
        <v>3011</v>
      </c>
      <c r="H1813" s="33" t="n">
        <f aca="false">Packages!$AD$170</f>
        <v>12.0000000000502</v>
      </c>
      <c r="I1813" s="15" t="s">
        <v>3012</v>
      </c>
      <c r="J1813" s="34" t="n">
        <f aca="false">IF(Packages!$AD$170=0,0,MAX(1,ROUNDUP(Packages!$AD$170/(R_SHEET*Fronts!$I$11),0)))</f>
        <v>1</v>
      </c>
      <c r="K1813" s="34" t="n">
        <f aca="false">IF(J1813=0,0,ROUNDUP(J1813*7/WD,0))</f>
        <v>2</v>
      </c>
      <c r="L1813" s="15" t="s">
        <v>5445</v>
      </c>
      <c r="M1813" s="34" t="n">
        <f aca="false">ROUNDUP(K1812*LADDER,0)</f>
        <v>1</v>
      </c>
      <c r="N1813" s="34" t="n">
        <f aca="false">IF(K1813=0,0,FFLAG)</f>
        <v>2</v>
      </c>
      <c r="O1813" s="15"/>
      <c r="P1813" s="16" t="n">
        <f aca="false">MAX(P1812+M1813)</f>
        <v>46471</v>
      </c>
      <c r="Q1813" s="16" t="n">
        <f aca="false">MAX(P1813+K1813,Q1812+N1813)</f>
        <v>46475</v>
      </c>
      <c r="R1813" s="16" t="n">
        <f aca="false">IF(K1813&gt;0,Q1813,0)</f>
        <v>46475</v>
      </c>
      <c r="S1813" s="12"/>
    </row>
    <row r="1814" customFormat="false" ht="15" hidden="false" customHeight="false" outlineLevel="0" collapsed="false">
      <c r="A1814" s="15" t="s">
        <v>5447</v>
      </c>
      <c r="B1814" s="15" t="s">
        <v>5442</v>
      </c>
      <c r="C1814" s="15" t="s">
        <v>403</v>
      </c>
      <c r="D1814" s="15" t="s">
        <v>1502</v>
      </c>
      <c r="E1814" s="15" t="s">
        <v>1559</v>
      </c>
      <c r="F1814" s="15" t="s">
        <v>3014</v>
      </c>
      <c r="G1814" s="15" t="s">
        <v>3015</v>
      </c>
      <c r="H1814" s="33" t="n">
        <f aca="false">Packages!$O$170</f>
        <v>6.00000000002508</v>
      </c>
      <c r="I1814" s="15" t="s">
        <v>118</v>
      </c>
      <c r="J1814" s="34" t="n">
        <f aca="false">IF(Packages!$AG$170=0,0,ROUNDUP(Packages!$O$170/R_DW,0)+DW_DRAW)</f>
        <v>8</v>
      </c>
      <c r="K1814" s="34" t="n">
        <f aca="false">IF(J1814=0,0,ROUNDUP(J1814*7/WD,0))</f>
        <v>10</v>
      </c>
      <c r="L1814" s="15" t="s">
        <v>5446</v>
      </c>
      <c r="M1814" s="34" t="n">
        <f aca="false">ROUNDUP(K1813*LADDER,0)</f>
        <v>1</v>
      </c>
      <c r="N1814" s="34" t="n">
        <f aca="false">IF(K1814=0,0,FFLAG)</f>
        <v>2</v>
      </c>
      <c r="O1814" s="15"/>
      <c r="P1814" s="16" t="n">
        <f aca="false">MAX(P1813+M1814)</f>
        <v>46472</v>
      </c>
      <c r="Q1814" s="16" t="n">
        <f aca="false">MAX(P1814+K1814,Q1813+N1814)</f>
        <v>46482</v>
      </c>
      <c r="R1814" s="12"/>
      <c r="S1814" s="12"/>
    </row>
    <row r="1815" customFormat="false" ht="15" hidden="false" customHeight="false" outlineLevel="0" collapsed="false">
      <c r="A1815" s="15" t="s">
        <v>5448</v>
      </c>
      <c r="B1815" s="15" t="s">
        <v>5442</v>
      </c>
      <c r="C1815" s="15" t="s">
        <v>403</v>
      </c>
      <c r="D1815" s="15" t="s">
        <v>1502</v>
      </c>
      <c r="E1815" s="15" t="s">
        <v>1559</v>
      </c>
      <c r="F1815" s="15" t="s">
        <v>3017</v>
      </c>
      <c r="G1815" s="15" t="s">
        <v>3018</v>
      </c>
      <c r="H1815" s="33" t="n">
        <f aca="false">Packages!$X$170+Packages!$Y$170</f>
        <v>99.9596613658668</v>
      </c>
      <c r="I1815" s="15" t="s">
        <v>3019</v>
      </c>
      <c r="J1815" s="34" t="n">
        <f aca="false">MAX(1,ROUNDUP((Packages!$X$170/R_EXS+Packages!$Y$170/R_EXO)/Fronts!$J$11,0))</f>
        <v>1</v>
      </c>
      <c r="K1815" s="34" t="n">
        <f aca="false">IF(J1815=0,0,ROUNDUP(J1815*7/WD,0))</f>
        <v>2</v>
      </c>
      <c r="L1815" s="15" t="s">
        <v>5447</v>
      </c>
      <c r="M1815" s="34" t="n">
        <f aca="false">IF(K1814=0,0,ROUNDUP((K1814-ROUNDUP(DW_DRAW*7/WD,0))*LADDER,0)+ROUNDUP(DW_DRAW*7/WD,0))</f>
        <v>10</v>
      </c>
      <c r="N1815" s="34" t="n">
        <f aca="false">IF(K1815=0,0,FFLAG)</f>
        <v>2</v>
      </c>
      <c r="O1815" s="15" t="s">
        <v>5419</v>
      </c>
      <c r="P1815" s="16" t="n">
        <f aca="false">MAX(P1814+M1815,P1771)</f>
        <v>46482</v>
      </c>
      <c r="Q1815" s="16" t="n">
        <f aca="false">MAX(P1815+K1815,Q1814+N1815)</f>
        <v>46484</v>
      </c>
      <c r="R1815" s="16" t="n">
        <f aca="false">IF(K1815&gt;0,Q1815,0)</f>
        <v>46484</v>
      </c>
      <c r="S1815" s="12"/>
    </row>
    <row r="1816" customFormat="false" ht="15" hidden="false" customHeight="false" outlineLevel="0" collapsed="false">
      <c r="A1816" s="15" t="s">
        <v>5449</v>
      </c>
      <c r="B1816" s="15" t="s">
        <v>5442</v>
      </c>
      <c r="C1816" s="15" t="s">
        <v>403</v>
      </c>
      <c r="D1816" s="15" t="s">
        <v>1502</v>
      </c>
      <c r="E1816" s="15" t="s">
        <v>1559</v>
      </c>
      <c r="F1816" s="15" t="s">
        <v>3022</v>
      </c>
      <c r="G1816" s="15" t="s">
        <v>3023</v>
      </c>
      <c r="H1816" s="33" t="n">
        <f aca="false">Packages!$O$170</f>
        <v>6.00000000002508</v>
      </c>
      <c r="I1816" s="15" t="s">
        <v>118</v>
      </c>
      <c r="J1816" s="34" t="n">
        <f aca="false">MAX(1,ROUNDUP(Packages!$O$170/(R_SLAB*Fronts!$K$11),0))+SLAB_CURE</f>
        <v>4</v>
      </c>
      <c r="K1816" s="34" t="n">
        <f aca="false">IF(J1816=0,0,ROUNDUP(J1816*7/WD,0))</f>
        <v>5</v>
      </c>
      <c r="L1816" s="15" t="s">
        <v>5448</v>
      </c>
      <c r="M1816" s="34" t="n">
        <f aca="false">ROUNDUP(K1815*LADDER,0)</f>
        <v>1</v>
      </c>
      <c r="N1816" s="34" t="n">
        <f aca="false">IF(K1816=0,0,FFLAG)</f>
        <v>2</v>
      </c>
      <c r="O1816" s="15"/>
      <c r="P1816" s="16" t="n">
        <f aca="false">MAX(P1815+M1816)</f>
        <v>46483</v>
      </c>
      <c r="Q1816" s="16" t="n">
        <f aca="false">MAX(P1816+K1816,Q1815+N1816)</f>
        <v>46488</v>
      </c>
      <c r="R1816" s="16" t="n">
        <f aca="false">IF(K1816&gt;0,Q1816,0)</f>
        <v>46488</v>
      </c>
      <c r="S1816" s="12"/>
    </row>
    <row r="1817" customFormat="false" ht="15" hidden="false" customHeight="false" outlineLevel="0" collapsed="false">
      <c r="A1817" s="15" t="s">
        <v>5450</v>
      </c>
      <c r="B1817" s="15" t="s">
        <v>5442</v>
      </c>
      <c r="C1817" s="15" t="s">
        <v>403</v>
      </c>
      <c r="D1817" s="15" t="s">
        <v>1502</v>
      </c>
      <c r="E1817" s="15" t="s">
        <v>1559</v>
      </c>
      <c r="F1817" s="15" t="s">
        <v>3025</v>
      </c>
      <c r="G1817" s="15" t="s">
        <v>3026</v>
      </c>
      <c r="H1817" s="33" t="n">
        <f aca="false">Packages!$O$170</f>
        <v>6.00000000002508</v>
      </c>
      <c r="I1817" s="15" t="s">
        <v>118</v>
      </c>
      <c r="J1817" s="34" t="n">
        <f aca="false">MAX(1,ROUNDUP(Packages!$O$170/(IF(Packages!$N$170&gt;=PIPE_T1,R_PIPE_L,IF(Packages!$N$170&gt;=PIPE_T2,R_PIPE_M,R_PIPE_S))*Fronts!$L$11)+Packages!$M$170*FIT_D+IF(Packages!$G$170&lt;&gt;"Run",TIE_D,0),0))</f>
        <v>4</v>
      </c>
      <c r="K1817" s="34" t="n">
        <f aca="false">IF(J1817=0,0,ROUNDUP(J1817*7/WD,0))</f>
        <v>5</v>
      </c>
      <c r="L1817" s="15" t="s">
        <v>5449</v>
      </c>
      <c r="M1817" s="34" t="n">
        <f aca="false">ROUNDUP(K1816*LADDER,0)</f>
        <v>2</v>
      </c>
      <c r="N1817" s="34" t="n">
        <f aca="false">IF(K1817=0,0,FFLAG)</f>
        <v>2</v>
      </c>
      <c r="O1817" s="15" t="s">
        <v>5451</v>
      </c>
      <c r="P1817" s="16" t="n">
        <f aca="false">MAX(P1816+M1817,Q1806)</f>
        <v>46556</v>
      </c>
      <c r="Q1817" s="16" t="n">
        <f aca="false">MAX(P1817+K1817,Q1816+N1817)</f>
        <v>46561</v>
      </c>
      <c r="R1817" s="16" t="n">
        <f aca="false">IF(K1817&gt;0,Q1817,0)</f>
        <v>46561</v>
      </c>
      <c r="S1817" s="12"/>
    </row>
    <row r="1818" customFormat="false" ht="15" hidden="false" customHeight="false" outlineLevel="0" collapsed="false">
      <c r="A1818" s="15" t="s">
        <v>5452</v>
      </c>
      <c r="B1818" s="15" t="s">
        <v>5442</v>
      </c>
      <c r="C1818" s="15" t="s">
        <v>403</v>
      </c>
      <c r="D1818" s="15" t="s">
        <v>1502</v>
      </c>
      <c r="E1818" s="15" t="s">
        <v>1559</v>
      </c>
      <c r="F1818" s="15" t="s">
        <v>3028</v>
      </c>
      <c r="G1818" s="15" t="s">
        <v>3029</v>
      </c>
      <c r="H1818" s="33" t="n">
        <f aca="false">Packages!$O$170</f>
        <v>6.00000000002508</v>
      </c>
      <c r="I1818" s="15" t="s">
        <v>118</v>
      </c>
      <c r="J1818" s="34" t="n">
        <f aca="false">TEST_D+ROUNDUP(Packages!$O$170/R_TEST,0)</f>
        <v>3</v>
      </c>
      <c r="K1818" s="34" t="n">
        <f aca="false">IF(J1818=0,0,ROUNDUP(J1818*7/WD,0))</f>
        <v>4</v>
      </c>
      <c r="L1818" s="15" t="s">
        <v>5450</v>
      </c>
      <c r="M1818" s="34" t="n">
        <f aca="false">ROUNDUP(K1817*LADDER,0)</f>
        <v>2</v>
      </c>
      <c r="N1818" s="34" t="n">
        <f aca="false">IF(K1818=0,0,FFLAG)</f>
        <v>2</v>
      </c>
      <c r="O1818" s="15"/>
      <c r="P1818" s="16" t="n">
        <f aca="false">MAX(P1817+M1818)</f>
        <v>46558</v>
      </c>
      <c r="Q1818" s="16" t="n">
        <f aca="false">MAX(P1818+K1818,Q1817+N1818)</f>
        <v>46563</v>
      </c>
      <c r="R1818" s="12"/>
      <c r="S1818" s="12"/>
    </row>
    <row r="1819" customFormat="false" ht="15" hidden="false" customHeight="false" outlineLevel="0" collapsed="false">
      <c r="A1819" s="15" t="s">
        <v>5453</v>
      </c>
      <c r="B1819" s="15" t="s">
        <v>5442</v>
      </c>
      <c r="C1819" s="15" t="s">
        <v>403</v>
      </c>
      <c r="D1819" s="15" t="s">
        <v>1502</v>
      </c>
      <c r="E1819" s="15" t="s">
        <v>1559</v>
      </c>
      <c r="F1819" s="15" t="s">
        <v>3031</v>
      </c>
      <c r="G1819" s="15" t="s">
        <v>3032</v>
      </c>
      <c r="H1819" s="33" t="n">
        <f aca="false">Packages!$AB$170</f>
        <v>83.5235174508904</v>
      </c>
      <c r="I1819" s="15" t="s">
        <v>3019</v>
      </c>
      <c r="J1819" s="34" t="n">
        <f aca="false">MAX(1,ROUNDUP(Packages!$AB$170/(R_BF*Fronts!$M$11),0))</f>
        <v>1</v>
      </c>
      <c r="K1819" s="34" t="n">
        <f aca="false">IF(J1819=0,0,ROUNDUP(J1819*7/WD,0))</f>
        <v>2</v>
      </c>
      <c r="L1819" s="15" t="s">
        <v>5452</v>
      </c>
      <c r="M1819" s="34" t="n">
        <f aca="false">ROUNDUP(K1818*LADDER,0)</f>
        <v>2</v>
      </c>
      <c r="N1819" s="34" t="n">
        <f aca="false">IF(K1819=0,0,FFLAG)</f>
        <v>2</v>
      </c>
      <c r="O1819" s="15" t="s">
        <v>5425</v>
      </c>
      <c r="P1819" s="16" t="n">
        <f aca="false">MAX(P1818+M1819,Q1773)</f>
        <v>46560</v>
      </c>
      <c r="Q1819" s="16" t="n">
        <f aca="false">MAX(P1819+K1819,Q1818+N1819)</f>
        <v>46565</v>
      </c>
      <c r="R1819" s="16" t="n">
        <f aca="false">IF(K1819&gt;0,Q1819,0)</f>
        <v>46565</v>
      </c>
      <c r="S1819" s="12"/>
    </row>
    <row r="1820" customFormat="false" ht="15" hidden="false" customHeight="false" outlineLevel="0" collapsed="false">
      <c r="A1820" s="15" t="s">
        <v>5454</v>
      </c>
      <c r="B1820" s="15" t="s">
        <v>5442</v>
      </c>
      <c r="C1820" s="15" t="s">
        <v>403</v>
      </c>
      <c r="D1820" s="15" t="s">
        <v>1502</v>
      </c>
      <c r="E1820" s="15" t="s">
        <v>1559</v>
      </c>
      <c r="F1820" s="15" t="s">
        <v>3034</v>
      </c>
      <c r="G1820" s="15" t="s">
        <v>3035</v>
      </c>
      <c r="H1820" s="33" t="n">
        <f aca="false">Packages!$AD$170</f>
        <v>12.0000000000502</v>
      </c>
      <c r="I1820" s="15" t="s">
        <v>3012</v>
      </c>
      <c r="J1820" s="34" t="n">
        <f aca="false">IF(Packages!$AD$170&gt;0,ROUNDUP(Packages!$AD$170/R_EXT,0),0)+IF(Packages!$AG$170&gt;0,1,0)</f>
        <v>2</v>
      </c>
      <c r="K1820" s="34" t="n">
        <f aca="false">IF(J1820=0,0,ROUNDUP(J1820*7/WD,0))</f>
        <v>3</v>
      </c>
      <c r="L1820" s="15" t="s">
        <v>5453</v>
      </c>
      <c r="M1820" s="34" t="n">
        <f aca="false">ROUNDUP(K1819*LADDER,0)</f>
        <v>1</v>
      </c>
      <c r="N1820" s="34" t="n">
        <f aca="false">IF(K1820=0,0,FFLAG)</f>
        <v>2</v>
      </c>
      <c r="O1820" s="15"/>
      <c r="P1820" s="16" t="n">
        <f aca="false">MAX(P1819+M1820)</f>
        <v>46561</v>
      </c>
      <c r="Q1820" s="16" t="n">
        <f aca="false">MAX(P1820+K1820,Q1819+N1820)</f>
        <v>46567</v>
      </c>
      <c r="R1820" s="12"/>
      <c r="S1820" s="12"/>
    </row>
    <row r="1821" customFormat="false" ht="15" hidden="false" customHeight="false" outlineLevel="0" collapsed="false">
      <c r="A1821" s="15" t="s">
        <v>5455</v>
      </c>
      <c r="B1821" s="15" t="s">
        <v>5456</v>
      </c>
      <c r="C1821" s="15" t="s">
        <v>403</v>
      </c>
      <c r="D1821" s="15" t="s">
        <v>1502</v>
      </c>
      <c r="E1821" s="15" t="s">
        <v>1503</v>
      </c>
      <c r="F1821" s="15" t="s">
        <v>2998</v>
      </c>
      <c r="G1821" s="15" t="s">
        <v>2999</v>
      </c>
      <c r="H1821" s="12"/>
      <c r="I1821" s="12"/>
      <c r="J1821" s="34" t="n">
        <f aca="false">0</f>
        <v>0</v>
      </c>
      <c r="K1821" s="34" t="n">
        <f aca="false">IF(J1821=0,0,ROUNDUP(J1821*7/WD,0))</f>
        <v>0</v>
      </c>
      <c r="L1821" s="12"/>
      <c r="M1821" s="12"/>
      <c r="N1821" s="12"/>
      <c r="O1821" s="15" t="s">
        <v>3038</v>
      </c>
      <c r="P1821" s="16" t="n">
        <f aca="false">MAX(START,D_DLU,Packages!$I$171,Packages!$K$171)</f>
        <v>46357</v>
      </c>
      <c r="Q1821" s="16" t="n">
        <f aca="false">P1821+K1821</f>
        <v>46357</v>
      </c>
      <c r="R1821" s="12"/>
      <c r="S1821" s="12"/>
    </row>
    <row r="1822" customFormat="false" ht="15" hidden="false" customHeight="false" outlineLevel="0" collapsed="false">
      <c r="A1822" s="15" t="s">
        <v>5457</v>
      </c>
      <c r="B1822" s="15" t="s">
        <v>5456</v>
      </c>
      <c r="C1822" s="15" t="s">
        <v>403</v>
      </c>
      <c r="D1822" s="15" t="s">
        <v>1502</v>
      </c>
      <c r="E1822" s="15" t="s">
        <v>1503</v>
      </c>
      <c r="F1822" s="15" t="s">
        <v>3002</v>
      </c>
      <c r="G1822" s="15" t="s">
        <v>205</v>
      </c>
      <c r="H1822" s="33" t="n">
        <f aca="false">Packages!$O$171</f>
        <v>6.00000000003895</v>
      </c>
      <c r="I1822" s="15" t="s">
        <v>118</v>
      </c>
      <c r="J1822" s="34" t="n">
        <f aca="false">MAX(1,ROUNDUP(Packages!$O$171/R_PLAT,0))</f>
        <v>1</v>
      </c>
      <c r="K1822" s="34" t="n">
        <f aca="false">IF(J1822=0,0,ROUNDUP(J1822*7/WD,0))</f>
        <v>2</v>
      </c>
      <c r="L1822" s="15" t="s">
        <v>5455</v>
      </c>
      <c r="M1822" s="12"/>
      <c r="N1822" s="12"/>
      <c r="O1822" s="15" t="s">
        <v>5458</v>
      </c>
      <c r="P1822" s="16" t="n">
        <f aca="false">MAX(Q1821,P1757)</f>
        <v>46460</v>
      </c>
      <c r="Q1822" s="16" t="n">
        <f aca="false">P1822+K1822</f>
        <v>46462</v>
      </c>
      <c r="R1822" s="12"/>
      <c r="S1822" s="12"/>
    </row>
    <row r="1823" customFormat="false" ht="15" hidden="false" customHeight="false" outlineLevel="0" collapsed="false">
      <c r="A1823" s="15" t="s">
        <v>5459</v>
      </c>
      <c r="B1823" s="15" t="s">
        <v>5456</v>
      </c>
      <c r="C1823" s="15" t="s">
        <v>403</v>
      </c>
      <c r="D1823" s="15" t="s">
        <v>1502</v>
      </c>
      <c r="E1823" s="15" t="s">
        <v>1503</v>
      </c>
      <c r="F1823" s="15" t="s">
        <v>3005</v>
      </c>
      <c r="G1823" s="15" t="s">
        <v>3006</v>
      </c>
      <c r="H1823" s="33" t="n">
        <f aca="false">Packages!$AC$171</f>
        <v>4</v>
      </c>
      <c r="I1823" s="15" t="s">
        <v>3007</v>
      </c>
      <c r="J1823" s="34" t="n">
        <f aca="false">IF(Packages!$AC$171=0,0,MAX(1,ROUNDUP(Packages!$AC$171/(R_PILE*Fronts!$H$11),0)))</f>
        <v>1</v>
      </c>
      <c r="K1823" s="34" t="n">
        <f aca="false">IF(J1823=0,0,ROUNDUP(J1823*7/WD,0))</f>
        <v>2</v>
      </c>
      <c r="L1823" s="15" t="s">
        <v>5457</v>
      </c>
      <c r="M1823" s="34" t="n">
        <f aca="false">ROUNDUP(K1822*LADDER,0)</f>
        <v>1</v>
      </c>
      <c r="N1823" s="34" t="n">
        <f aca="false">IF(K1823=0,0,FFLAG)</f>
        <v>2</v>
      </c>
      <c r="O1823" s="15" t="s">
        <v>3008</v>
      </c>
      <c r="P1823" s="16" t="n">
        <f aca="false">MAX(P1822+M1823,D_PILEDES)</f>
        <v>46461</v>
      </c>
      <c r="Q1823" s="16" t="n">
        <f aca="false">MAX(P1823+K1823,Q1822+N1823)</f>
        <v>46464</v>
      </c>
      <c r="R1823" s="16" t="n">
        <f aca="false">IF(K1823&gt;0,Q1823,0)</f>
        <v>46464</v>
      </c>
      <c r="S1823" s="12"/>
    </row>
    <row r="1824" customFormat="false" ht="15" hidden="false" customHeight="false" outlineLevel="0" collapsed="false">
      <c r="A1824" s="15" t="s">
        <v>5460</v>
      </c>
      <c r="B1824" s="15" t="s">
        <v>5456</v>
      </c>
      <c r="C1824" s="15" t="s">
        <v>403</v>
      </c>
      <c r="D1824" s="15" t="s">
        <v>1502</v>
      </c>
      <c r="E1824" s="15" t="s">
        <v>1503</v>
      </c>
      <c r="F1824" s="15" t="s">
        <v>3010</v>
      </c>
      <c r="G1824" s="15" t="s">
        <v>3011</v>
      </c>
      <c r="H1824" s="33" t="n">
        <f aca="false">Packages!$AD$171</f>
        <v>12.0000000000779</v>
      </c>
      <c r="I1824" s="15" t="s">
        <v>3012</v>
      </c>
      <c r="J1824" s="34" t="n">
        <f aca="false">IF(Packages!$AD$171=0,0,MAX(1,ROUNDUP(Packages!$AD$171/(R_SHEET*Fronts!$I$11),0)))</f>
        <v>1</v>
      </c>
      <c r="K1824" s="34" t="n">
        <f aca="false">IF(J1824=0,0,ROUNDUP(J1824*7/WD,0))</f>
        <v>2</v>
      </c>
      <c r="L1824" s="15" t="s">
        <v>5459</v>
      </c>
      <c r="M1824" s="34" t="n">
        <f aca="false">ROUNDUP(K1823*LADDER,0)</f>
        <v>1</v>
      </c>
      <c r="N1824" s="34" t="n">
        <f aca="false">IF(K1824=0,0,FFLAG)</f>
        <v>2</v>
      </c>
      <c r="O1824" s="15"/>
      <c r="P1824" s="16" t="n">
        <f aca="false">MAX(P1823+M1824)</f>
        <v>46462</v>
      </c>
      <c r="Q1824" s="16" t="n">
        <f aca="false">MAX(P1824+K1824,Q1823+N1824)</f>
        <v>46466</v>
      </c>
      <c r="R1824" s="16" t="n">
        <f aca="false">IF(K1824&gt;0,Q1824,0)</f>
        <v>46466</v>
      </c>
      <c r="S1824" s="12"/>
    </row>
    <row r="1825" customFormat="false" ht="15" hidden="false" customHeight="false" outlineLevel="0" collapsed="false">
      <c r="A1825" s="15" t="s">
        <v>5461</v>
      </c>
      <c r="B1825" s="15" t="s">
        <v>5456</v>
      </c>
      <c r="C1825" s="15" t="s">
        <v>403</v>
      </c>
      <c r="D1825" s="15" t="s">
        <v>1502</v>
      </c>
      <c r="E1825" s="15" t="s">
        <v>1503</v>
      </c>
      <c r="F1825" s="15" t="s">
        <v>3014</v>
      </c>
      <c r="G1825" s="15" t="s">
        <v>3015</v>
      </c>
      <c r="H1825" s="33" t="n">
        <f aca="false">Packages!$O$171</f>
        <v>6.00000000003895</v>
      </c>
      <c r="I1825" s="15" t="s">
        <v>118</v>
      </c>
      <c r="J1825" s="34" t="n">
        <f aca="false">IF(Packages!$AG$171=0,0,ROUNDUP(Packages!$O$171/R_DW,0)+DW_DRAW)</f>
        <v>8</v>
      </c>
      <c r="K1825" s="34" t="n">
        <f aca="false">IF(J1825=0,0,ROUNDUP(J1825*7/WD,0))</f>
        <v>10</v>
      </c>
      <c r="L1825" s="15" t="s">
        <v>5460</v>
      </c>
      <c r="M1825" s="34" t="n">
        <f aca="false">ROUNDUP(K1824*LADDER,0)</f>
        <v>1</v>
      </c>
      <c r="N1825" s="34" t="n">
        <f aca="false">IF(K1825=0,0,FFLAG)</f>
        <v>2</v>
      </c>
      <c r="O1825" s="15"/>
      <c r="P1825" s="16" t="n">
        <f aca="false">MAX(P1824+M1825)</f>
        <v>46463</v>
      </c>
      <c r="Q1825" s="16" t="n">
        <f aca="false">MAX(P1825+K1825,Q1824+N1825)</f>
        <v>46473</v>
      </c>
      <c r="R1825" s="12"/>
      <c r="S1825" s="12"/>
    </row>
    <row r="1826" customFormat="false" ht="15" hidden="false" customHeight="false" outlineLevel="0" collapsed="false">
      <c r="A1826" s="15" t="s">
        <v>5462</v>
      </c>
      <c r="B1826" s="15" t="s">
        <v>5456</v>
      </c>
      <c r="C1826" s="15" t="s">
        <v>403</v>
      </c>
      <c r="D1826" s="15" t="s">
        <v>1502</v>
      </c>
      <c r="E1826" s="15" t="s">
        <v>1503</v>
      </c>
      <c r="F1826" s="15" t="s">
        <v>3017</v>
      </c>
      <c r="G1826" s="15" t="s">
        <v>3018</v>
      </c>
      <c r="H1826" s="33" t="n">
        <f aca="false">Packages!$X$171+Packages!$Y$171</f>
        <v>84.5998585381178</v>
      </c>
      <c r="I1826" s="15" t="s">
        <v>3019</v>
      </c>
      <c r="J1826" s="34" t="n">
        <f aca="false">MAX(1,ROUNDUP((Packages!$X$171/R_EXS+Packages!$Y$171/R_EXO)/Fronts!$J$11,0))</f>
        <v>1</v>
      </c>
      <c r="K1826" s="34" t="n">
        <f aca="false">IF(J1826=0,0,ROUNDUP(J1826*7/WD,0))</f>
        <v>2</v>
      </c>
      <c r="L1826" s="15" t="s">
        <v>5461</v>
      </c>
      <c r="M1826" s="34" t="n">
        <f aca="false">IF(K1825=0,0,ROUNDUP((K1825-ROUNDUP(DW_DRAW*7/WD,0))*LADDER,0)+ROUNDUP(DW_DRAW*7/WD,0))</f>
        <v>10</v>
      </c>
      <c r="N1826" s="34" t="n">
        <f aca="false">IF(K1826=0,0,FFLAG)</f>
        <v>2</v>
      </c>
      <c r="O1826" s="15"/>
      <c r="P1826" s="16" t="n">
        <f aca="false">MAX(P1825+M1826)</f>
        <v>46473</v>
      </c>
      <c r="Q1826" s="16" t="n">
        <f aca="false">MAX(P1826+K1826,Q1825+N1826)</f>
        <v>46475</v>
      </c>
      <c r="R1826" s="16" t="n">
        <f aca="false">IF(K1826&gt;0,Q1826,0)</f>
        <v>46475</v>
      </c>
      <c r="S1826" s="12"/>
    </row>
    <row r="1827" customFormat="false" ht="15" hidden="false" customHeight="false" outlineLevel="0" collapsed="false">
      <c r="A1827" s="15" t="s">
        <v>5463</v>
      </c>
      <c r="B1827" s="15" t="s">
        <v>5456</v>
      </c>
      <c r="C1827" s="15" t="s">
        <v>403</v>
      </c>
      <c r="D1827" s="15" t="s">
        <v>1502</v>
      </c>
      <c r="E1827" s="15" t="s">
        <v>1503</v>
      </c>
      <c r="F1827" s="15" t="s">
        <v>3022</v>
      </c>
      <c r="G1827" s="15" t="s">
        <v>3023</v>
      </c>
      <c r="H1827" s="33" t="n">
        <f aca="false">Packages!$O$171</f>
        <v>6.00000000003895</v>
      </c>
      <c r="I1827" s="15" t="s">
        <v>118</v>
      </c>
      <c r="J1827" s="34" t="n">
        <f aca="false">MAX(1,ROUNDUP(Packages!$O$171/(R_SLAB*Fronts!$K$11),0))+SLAB_CURE</f>
        <v>4</v>
      </c>
      <c r="K1827" s="34" t="n">
        <f aca="false">IF(J1827=0,0,ROUNDUP(J1827*7/WD,0))</f>
        <v>5</v>
      </c>
      <c r="L1827" s="15" t="s">
        <v>5462</v>
      </c>
      <c r="M1827" s="34" t="n">
        <f aca="false">ROUNDUP(K1826*LADDER,0)</f>
        <v>1</v>
      </c>
      <c r="N1827" s="34" t="n">
        <f aca="false">IF(K1827=0,0,FFLAG)</f>
        <v>2</v>
      </c>
      <c r="O1827" s="15"/>
      <c r="P1827" s="16" t="n">
        <f aca="false">MAX(P1826+M1827)</f>
        <v>46474</v>
      </c>
      <c r="Q1827" s="16" t="n">
        <f aca="false">MAX(P1827+K1827,Q1826+N1827)</f>
        <v>46479</v>
      </c>
      <c r="R1827" s="16" t="n">
        <f aca="false">IF(K1827&gt;0,Q1827,0)</f>
        <v>46479</v>
      </c>
      <c r="S1827" s="12"/>
    </row>
    <row r="1828" customFormat="false" ht="15" hidden="false" customHeight="false" outlineLevel="0" collapsed="false">
      <c r="A1828" s="15" t="s">
        <v>5464</v>
      </c>
      <c r="B1828" s="15" t="s">
        <v>5456</v>
      </c>
      <c r="C1828" s="15" t="s">
        <v>403</v>
      </c>
      <c r="D1828" s="15" t="s">
        <v>1502</v>
      </c>
      <c r="E1828" s="15" t="s">
        <v>1503</v>
      </c>
      <c r="F1828" s="15" t="s">
        <v>3025</v>
      </c>
      <c r="G1828" s="15" t="s">
        <v>3026</v>
      </c>
      <c r="H1828" s="33" t="n">
        <f aca="false">Packages!$O$171</f>
        <v>6.00000000003895</v>
      </c>
      <c r="I1828" s="15" t="s">
        <v>118</v>
      </c>
      <c r="J1828" s="34" t="n">
        <f aca="false">MAX(1,ROUNDUP(Packages!$O$171/(IF(Packages!$N$171&gt;=PIPE_T1,R_PIPE_L,IF(Packages!$N$171&gt;=PIPE_T2,R_PIPE_M,R_PIPE_S))*Fronts!$L$11)+Packages!$M$171*FIT_D+IF(Packages!$G$171&lt;&gt;"Run",TIE_D,0),0))</f>
        <v>4</v>
      </c>
      <c r="K1828" s="34" t="n">
        <f aca="false">IF(J1828=0,0,ROUNDUP(J1828*7/WD,0))</f>
        <v>5</v>
      </c>
      <c r="L1828" s="15" t="s">
        <v>5463</v>
      </c>
      <c r="M1828" s="34" t="n">
        <f aca="false">ROUNDUP(K1827*LADDER,0)</f>
        <v>2</v>
      </c>
      <c r="N1828" s="34" t="n">
        <f aca="false">IF(K1828=0,0,FFLAG)</f>
        <v>2</v>
      </c>
      <c r="O1828" s="15" t="s">
        <v>5465</v>
      </c>
      <c r="P1828" s="16" t="n">
        <f aca="false">MAX(P1827+M1828,Q1762)</f>
        <v>46546</v>
      </c>
      <c r="Q1828" s="16" t="n">
        <f aca="false">MAX(P1828+K1828,Q1827+N1828)</f>
        <v>46551</v>
      </c>
      <c r="R1828" s="16" t="n">
        <f aca="false">IF(K1828&gt;0,Q1828,0)</f>
        <v>46551</v>
      </c>
      <c r="S1828" s="12"/>
    </row>
    <row r="1829" customFormat="false" ht="15" hidden="false" customHeight="false" outlineLevel="0" collapsed="false">
      <c r="A1829" s="15" t="s">
        <v>5466</v>
      </c>
      <c r="B1829" s="15" t="s">
        <v>5456</v>
      </c>
      <c r="C1829" s="15" t="s">
        <v>403</v>
      </c>
      <c r="D1829" s="15" t="s">
        <v>1502</v>
      </c>
      <c r="E1829" s="15" t="s">
        <v>1503</v>
      </c>
      <c r="F1829" s="15" t="s">
        <v>3028</v>
      </c>
      <c r="G1829" s="15" t="s">
        <v>3029</v>
      </c>
      <c r="H1829" s="33" t="n">
        <f aca="false">Packages!$O$171</f>
        <v>6.00000000003895</v>
      </c>
      <c r="I1829" s="15" t="s">
        <v>118</v>
      </c>
      <c r="J1829" s="34" t="n">
        <f aca="false">TEST_D+ROUNDUP(Packages!$O$171/R_TEST,0)</f>
        <v>3</v>
      </c>
      <c r="K1829" s="34" t="n">
        <f aca="false">IF(J1829=0,0,ROUNDUP(J1829*7/WD,0))</f>
        <v>4</v>
      </c>
      <c r="L1829" s="15" t="s">
        <v>5464</v>
      </c>
      <c r="M1829" s="34" t="n">
        <f aca="false">ROUNDUP(K1828*LADDER,0)</f>
        <v>2</v>
      </c>
      <c r="N1829" s="34" t="n">
        <f aca="false">IF(K1829=0,0,FFLAG)</f>
        <v>2</v>
      </c>
      <c r="O1829" s="15"/>
      <c r="P1829" s="16" t="n">
        <f aca="false">MAX(P1828+M1829)</f>
        <v>46548</v>
      </c>
      <c r="Q1829" s="16" t="n">
        <f aca="false">MAX(P1829+K1829,Q1828+N1829)</f>
        <v>46553</v>
      </c>
      <c r="R1829" s="12"/>
      <c r="S1829" s="12"/>
    </row>
    <row r="1830" customFormat="false" ht="15" hidden="false" customHeight="false" outlineLevel="0" collapsed="false">
      <c r="A1830" s="15" t="s">
        <v>5467</v>
      </c>
      <c r="B1830" s="15" t="s">
        <v>5456</v>
      </c>
      <c r="C1830" s="15" t="s">
        <v>403</v>
      </c>
      <c r="D1830" s="15" t="s">
        <v>1502</v>
      </c>
      <c r="E1830" s="15" t="s">
        <v>1503</v>
      </c>
      <c r="F1830" s="15" t="s">
        <v>3031</v>
      </c>
      <c r="G1830" s="15" t="s">
        <v>3032</v>
      </c>
      <c r="H1830" s="33" t="n">
        <f aca="false">Packages!$AB$171</f>
        <v>73.8875168059782</v>
      </c>
      <c r="I1830" s="15" t="s">
        <v>3019</v>
      </c>
      <c r="J1830" s="34" t="n">
        <f aca="false">MAX(1,ROUNDUP(Packages!$AB$171/(R_BF*Fronts!$M$11),0))</f>
        <v>1</v>
      </c>
      <c r="K1830" s="34" t="n">
        <f aca="false">IF(J1830=0,0,ROUNDUP(J1830*7/WD,0))</f>
        <v>2</v>
      </c>
      <c r="L1830" s="15" t="s">
        <v>5466</v>
      </c>
      <c r="M1830" s="34" t="n">
        <f aca="false">ROUNDUP(K1829*LADDER,0)</f>
        <v>2</v>
      </c>
      <c r="N1830" s="34" t="n">
        <f aca="false">IF(K1830=0,0,FFLAG)</f>
        <v>2</v>
      </c>
      <c r="O1830" s="15"/>
      <c r="P1830" s="16" t="n">
        <f aca="false">MAX(P1829+M1830)</f>
        <v>46550</v>
      </c>
      <c r="Q1830" s="16" t="n">
        <f aca="false">MAX(P1830+K1830,Q1829+N1830)</f>
        <v>46555</v>
      </c>
      <c r="R1830" s="16" t="n">
        <f aca="false">IF(K1830&gt;0,Q1830,0)</f>
        <v>46555</v>
      </c>
      <c r="S1830" s="12"/>
    </row>
    <row r="1831" customFormat="false" ht="15" hidden="false" customHeight="false" outlineLevel="0" collapsed="false">
      <c r="A1831" s="15" t="s">
        <v>5468</v>
      </c>
      <c r="B1831" s="15" t="s">
        <v>5456</v>
      </c>
      <c r="C1831" s="15" t="s">
        <v>403</v>
      </c>
      <c r="D1831" s="15" t="s">
        <v>1502</v>
      </c>
      <c r="E1831" s="15" t="s">
        <v>1503</v>
      </c>
      <c r="F1831" s="15" t="s">
        <v>3034</v>
      </c>
      <c r="G1831" s="15" t="s">
        <v>3035</v>
      </c>
      <c r="H1831" s="33" t="n">
        <f aca="false">Packages!$AD$171</f>
        <v>12.0000000000779</v>
      </c>
      <c r="I1831" s="15" t="s">
        <v>3012</v>
      </c>
      <c r="J1831" s="34" t="n">
        <f aca="false">IF(Packages!$AD$171&gt;0,ROUNDUP(Packages!$AD$171/R_EXT,0),0)+IF(Packages!$AG$171&gt;0,1,0)</f>
        <v>2</v>
      </c>
      <c r="K1831" s="34" t="n">
        <f aca="false">IF(J1831=0,0,ROUNDUP(J1831*7/WD,0))</f>
        <v>3</v>
      </c>
      <c r="L1831" s="15" t="s">
        <v>5467</v>
      </c>
      <c r="M1831" s="34" t="n">
        <f aca="false">ROUNDUP(K1830*LADDER,0)</f>
        <v>1</v>
      </c>
      <c r="N1831" s="34" t="n">
        <f aca="false">IF(K1831=0,0,FFLAG)</f>
        <v>2</v>
      </c>
      <c r="O1831" s="15"/>
      <c r="P1831" s="16" t="n">
        <f aca="false">MAX(P1830+M1831)</f>
        <v>46551</v>
      </c>
      <c r="Q1831" s="16" t="n">
        <f aca="false">MAX(P1831+K1831,Q1830+N1831)</f>
        <v>46557</v>
      </c>
      <c r="R1831" s="12"/>
      <c r="S1831" s="12"/>
    </row>
    <row r="1832" customFormat="false" ht="15" hidden="false" customHeight="false" outlineLevel="0" collapsed="false">
      <c r="A1832" s="15" t="s">
        <v>5469</v>
      </c>
      <c r="B1832" s="15" t="s">
        <v>5470</v>
      </c>
      <c r="C1832" s="15" t="s">
        <v>403</v>
      </c>
      <c r="D1832" s="15" t="s">
        <v>1502</v>
      </c>
      <c r="E1832" s="15" t="s">
        <v>1539</v>
      </c>
      <c r="F1832" s="15" t="s">
        <v>2998</v>
      </c>
      <c r="G1832" s="15" t="s">
        <v>2999</v>
      </c>
      <c r="H1832" s="12"/>
      <c r="I1832" s="12"/>
      <c r="J1832" s="34" t="n">
        <f aca="false">0</f>
        <v>0</v>
      </c>
      <c r="K1832" s="34" t="n">
        <f aca="false">IF(J1832=0,0,ROUNDUP(J1832*7/WD,0))</f>
        <v>0</v>
      </c>
      <c r="L1832" s="12"/>
      <c r="M1832" s="12"/>
      <c r="N1832" s="12"/>
      <c r="O1832" s="15" t="s">
        <v>3000</v>
      </c>
      <c r="P1832" s="16" t="n">
        <f aca="false">MAX(START,D_DLU,Packages!$I$172,Packages!$K$172)</f>
        <v>46357</v>
      </c>
      <c r="Q1832" s="16" t="n">
        <f aca="false">P1832+K1832</f>
        <v>46357</v>
      </c>
      <c r="R1832" s="12"/>
      <c r="S1832" s="12"/>
    </row>
    <row r="1833" customFormat="false" ht="15" hidden="false" customHeight="false" outlineLevel="0" collapsed="false">
      <c r="A1833" s="15" t="s">
        <v>5471</v>
      </c>
      <c r="B1833" s="15" t="s">
        <v>5470</v>
      </c>
      <c r="C1833" s="15" t="s">
        <v>403</v>
      </c>
      <c r="D1833" s="15" t="s">
        <v>1502</v>
      </c>
      <c r="E1833" s="15" t="s">
        <v>1539</v>
      </c>
      <c r="F1833" s="15" t="s">
        <v>3002</v>
      </c>
      <c r="G1833" s="15" t="s">
        <v>205</v>
      </c>
      <c r="H1833" s="33" t="n">
        <f aca="false">Packages!$O$172</f>
        <v>16.0999999999617</v>
      </c>
      <c r="I1833" s="15" t="s">
        <v>118</v>
      </c>
      <c r="J1833" s="34" t="n">
        <f aca="false">MAX(1,ROUNDUP(Packages!$O$172/R_PLAT,0))</f>
        <v>1</v>
      </c>
      <c r="K1833" s="34" t="n">
        <f aca="false">IF(J1833=0,0,ROUNDUP(J1833*7/WD,0))</f>
        <v>2</v>
      </c>
      <c r="L1833" s="15" t="s">
        <v>5469</v>
      </c>
      <c r="M1833" s="12"/>
      <c r="N1833" s="12"/>
      <c r="O1833" s="15" t="s">
        <v>5472</v>
      </c>
      <c r="P1833" s="16" t="n">
        <f aca="false">MAX(Q1832,P1801)</f>
        <v>46469</v>
      </c>
      <c r="Q1833" s="16" t="n">
        <f aca="false">P1833+K1833</f>
        <v>46471</v>
      </c>
      <c r="R1833" s="12"/>
      <c r="S1833" s="12"/>
    </row>
    <row r="1834" customFormat="false" ht="15" hidden="false" customHeight="false" outlineLevel="0" collapsed="false">
      <c r="A1834" s="15" t="s">
        <v>5473</v>
      </c>
      <c r="B1834" s="15" t="s">
        <v>5470</v>
      </c>
      <c r="C1834" s="15" t="s">
        <v>403</v>
      </c>
      <c r="D1834" s="15" t="s">
        <v>1502</v>
      </c>
      <c r="E1834" s="15" t="s">
        <v>1539</v>
      </c>
      <c r="F1834" s="15" t="s">
        <v>3005</v>
      </c>
      <c r="G1834" s="15" t="s">
        <v>3006</v>
      </c>
      <c r="H1834" s="33" t="n">
        <f aca="false">Packages!$AC$172</f>
        <v>14</v>
      </c>
      <c r="I1834" s="15" t="s">
        <v>3007</v>
      </c>
      <c r="J1834" s="34" t="n">
        <f aca="false">IF(Packages!$AC$172=0,0,MAX(1,ROUNDUP(Packages!$AC$172/(R_PILE*Fronts!$H$11),0)))</f>
        <v>3</v>
      </c>
      <c r="K1834" s="34" t="n">
        <f aca="false">IF(J1834=0,0,ROUNDUP(J1834*7/WD,0))</f>
        <v>4</v>
      </c>
      <c r="L1834" s="15" t="s">
        <v>5471</v>
      </c>
      <c r="M1834" s="34" t="n">
        <f aca="false">ROUNDUP(K1833*LADDER,0)</f>
        <v>1</v>
      </c>
      <c r="N1834" s="34" t="n">
        <f aca="false">IF(K1834=0,0,FFLAG)</f>
        <v>2</v>
      </c>
      <c r="O1834" s="15" t="s">
        <v>3008</v>
      </c>
      <c r="P1834" s="16" t="n">
        <f aca="false">MAX(P1833+M1834,D_PILEDES,R1801)</f>
        <v>46472</v>
      </c>
      <c r="Q1834" s="16" t="n">
        <f aca="false">MAX(P1834+K1834,Q1833+N1834)</f>
        <v>46476</v>
      </c>
      <c r="R1834" s="16" t="n">
        <f aca="false">IF(K1834&gt;0,Q1834,R1801)</f>
        <v>46476</v>
      </c>
      <c r="S1834" s="15" t="s">
        <v>5431</v>
      </c>
    </row>
    <row r="1835" customFormat="false" ht="15" hidden="false" customHeight="false" outlineLevel="0" collapsed="false">
      <c r="A1835" s="15" t="s">
        <v>5474</v>
      </c>
      <c r="B1835" s="15" t="s">
        <v>5470</v>
      </c>
      <c r="C1835" s="15" t="s">
        <v>403</v>
      </c>
      <c r="D1835" s="15" t="s">
        <v>1502</v>
      </c>
      <c r="E1835" s="15" t="s">
        <v>1539</v>
      </c>
      <c r="F1835" s="15" t="s">
        <v>3010</v>
      </c>
      <c r="G1835" s="15" t="s">
        <v>3011</v>
      </c>
      <c r="H1835" s="33" t="n">
        <f aca="false">Packages!$AD$172</f>
        <v>32.1999999999234</v>
      </c>
      <c r="I1835" s="15" t="s">
        <v>3012</v>
      </c>
      <c r="J1835" s="34" t="n">
        <f aca="false">IF(Packages!$AD$172=0,0,MAX(1,ROUNDUP(Packages!$AD$172/(R_SHEET*Fronts!$I$11),0)))</f>
        <v>2</v>
      </c>
      <c r="K1835" s="34" t="n">
        <f aca="false">IF(J1835=0,0,ROUNDUP(J1835*7/WD,0))</f>
        <v>3</v>
      </c>
      <c r="L1835" s="15" t="s">
        <v>5473</v>
      </c>
      <c r="M1835" s="34" t="n">
        <f aca="false">ROUNDUP(K1834*LADDER,0)</f>
        <v>2</v>
      </c>
      <c r="N1835" s="34" t="n">
        <f aca="false">IF(K1835=0,0,FFLAG)</f>
        <v>2</v>
      </c>
      <c r="O1835" s="15"/>
      <c r="P1835" s="16" t="n">
        <f aca="false">MAX(P1834+M1835,R1802)</f>
        <v>46474</v>
      </c>
      <c r="Q1835" s="16" t="n">
        <f aca="false">MAX(P1835+K1835,Q1834+N1835)</f>
        <v>46478</v>
      </c>
      <c r="R1835" s="16" t="n">
        <f aca="false">IF(K1835&gt;0,Q1835,R1802)</f>
        <v>46478</v>
      </c>
      <c r="S1835" s="15" t="s">
        <v>5432</v>
      </c>
    </row>
    <row r="1836" customFormat="false" ht="15" hidden="false" customHeight="false" outlineLevel="0" collapsed="false">
      <c r="A1836" s="15" t="s">
        <v>5475</v>
      </c>
      <c r="B1836" s="15" t="s">
        <v>5470</v>
      </c>
      <c r="C1836" s="15" t="s">
        <v>403</v>
      </c>
      <c r="D1836" s="15" t="s">
        <v>1502</v>
      </c>
      <c r="E1836" s="15" t="s">
        <v>1539</v>
      </c>
      <c r="F1836" s="15" t="s">
        <v>3014</v>
      </c>
      <c r="G1836" s="15" t="s">
        <v>3015</v>
      </c>
      <c r="H1836" s="33" t="n">
        <f aca="false">Packages!$O$172</f>
        <v>16.0999999999617</v>
      </c>
      <c r="I1836" s="15" t="s">
        <v>118</v>
      </c>
      <c r="J1836" s="34" t="n">
        <f aca="false">IF(Packages!$AG$172=0,0,ROUNDUP(Packages!$O$172/R_DW,0)+DW_DRAW)</f>
        <v>8</v>
      </c>
      <c r="K1836" s="34" t="n">
        <f aca="false">IF(J1836=0,0,ROUNDUP(J1836*7/WD,0))</f>
        <v>10</v>
      </c>
      <c r="L1836" s="15" t="s">
        <v>5474</v>
      </c>
      <c r="M1836" s="34" t="n">
        <f aca="false">ROUNDUP(K1835*LADDER,0)</f>
        <v>1</v>
      </c>
      <c r="N1836" s="34" t="n">
        <f aca="false">IF(K1836=0,0,FFLAG)</f>
        <v>2</v>
      </c>
      <c r="O1836" s="15" t="s">
        <v>5476</v>
      </c>
      <c r="P1836" s="16" t="n">
        <f aca="false">MAX(P1835+M1836,Q1804-K1836)</f>
        <v>46489</v>
      </c>
      <c r="Q1836" s="16" t="n">
        <f aca="false">MAX(P1836+K1836,Q1835+N1836)</f>
        <v>46499</v>
      </c>
      <c r="R1836" s="12"/>
      <c r="S1836" s="12"/>
    </row>
    <row r="1837" customFormat="false" ht="15" hidden="false" customHeight="false" outlineLevel="0" collapsed="false">
      <c r="A1837" s="15" t="s">
        <v>5477</v>
      </c>
      <c r="B1837" s="15" t="s">
        <v>5470</v>
      </c>
      <c r="C1837" s="15" t="s">
        <v>403</v>
      </c>
      <c r="D1837" s="15" t="s">
        <v>1502</v>
      </c>
      <c r="E1837" s="15" t="s">
        <v>1539</v>
      </c>
      <c r="F1837" s="15" t="s">
        <v>3017</v>
      </c>
      <c r="G1837" s="15" t="s">
        <v>3018</v>
      </c>
      <c r="H1837" s="33" t="n">
        <f aca="false">Packages!$X$172+Packages!$Y$172</f>
        <v>264.46800140235</v>
      </c>
      <c r="I1837" s="15" t="s">
        <v>3019</v>
      </c>
      <c r="J1837" s="34" t="n">
        <f aca="false">MAX(1,ROUNDUP((Packages!$X$172/R_EXS+Packages!$Y$172/R_EXO)/Fronts!$J$11,0))</f>
        <v>2</v>
      </c>
      <c r="K1837" s="34" t="n">
        <f aca="false">IF(J1837=0,0,ROUNDUP(J1837*7/WD,0))</f>
        <v>3</v>
      </c>
      <c r="L1837" s="15" t="s">
        <v>5475</v>
      </c>
      <c r="M1837" s="34" t="n">
        <f aca="false">IF(K1836=0,0,ROUNDUP((K1836-ROUNDUP(DW_DRAW*7/WD,0))*LADDER,0)+ROUNDUP(DW_DRAW*7/WD,0))</f>
        <v>10</v>
      </c>
      <c r="N1837" s="34" t="n">
        <f aca="false">IF(K1837=0,0,FFLAG)</f>
        <v>2</v>
      </c>
      <c r="O1837" s="15"/>
      <c r="P1837" s="16" t="n">
        <f aca="false">MAX(P1836+M1837,R1804)</f>
        <v>46499</v>
      </c>
      <c r="Q1837" s="16" t="n">
        <f aca="false">MAX(P1837+K1837,Q1836+N1837)</f>
        <v>46502</v>
      </c>
      <c r="R1837" s="16" t="n">
        <f aca="false">IF(K1837&gt;0,Q1837,R1804)</f>
        <v>46502</v>
      </c>
      <c r="S1837" s="15" t="s">
        <v>5435</v>
      </c>
    </row>
    <row r="1838" customFormat="false" ht="15" hidden="false" customHeight="false" outlineLevel="0" collapsed="false">
      <c r="A1838" s="15" t="s">
        <v>5478</v>
      </c>
      <c r="B1838" s="15" t="s">
        <v>5470</v>
      </c>
      <c r="C1838" s="15" t="s">
        <v>403</v>
      </c>
      <c r="D1838" s="15" t="s">
        <v>1502</v>
      </c>
      <c r="E1838" s="15" t="s">
        <v>1539</v>
      </c>
      <c r="F1838" s="15" t="s">
        <v>3022</v>
      </c>
      <c r="G1838" s="15" t="s">
        <v>3023</v>
      </c>
      <c r="H1838" s="33" t="n">
        <f aca="false">Packages!$O$172</f>
        <v>16.0999999999617</v>
      </c>
      <c r="I1838" s="15" t="s">
        <v>118</v>
      </c>
      <c r="J1838" s="34" t="n">
        <f aca="false">MAX(1,ROUNDUP(Packages!$O$172/(R_SLAB*Fronts!$K$11),0))+SLAB_CURE</f>
        <v>5</v>
      </c>
      <c r="K1838" s="34" t="n">
        <f aca="false">IF(J1838=0,0,ROUNDUP(J1838*7/WD,0))</f>
        <v>6</v>
      </c>
      <c r="L1838" s="15" t="s">
        <v>5477</v>
      </c>
      <c r="M1838" s="34" t="n">
        <f aca="false">ROUNDUP(K1837*LADDER,0)</f>
        <v>1</v>
      </c>
      <c r="N1838" s="34" t="n">
        <f aca="false">IF(K1838=0,0,FFLAG)</f>
        <v>2</v>
      </c>
      <c r="O1838" s="15"/>
      <c r="P1838" s="16" t="n">
        <f aca="false">MAX(P1837+M1838,R1805)</f>
        <v>46554</v>
      </c>
      <c r="Q1838" s="16" t="n">
        <f aca="false">MAX(P1838+K1838,Q1837+N1838)</f>
        <v>46560</v>
      </c>
      <c r="R1838" s="16" t="n">
        <f aca="false">IF(K1838&gt;0,Q1838,R1805)</f>
        <v>46560</v>
      </c>
      <c r="S1838" s="15" t="s">
        <v>5436</v>
      </c>
    </row>
    <row r="1839" customFormat="false" ht="15" hidden="false" customHeight="false" outlineLevel="0" collapsed="false">
      <c r="A1839" s="15" t="s">
        <v>5479</v>
      </c>
      <c r="B1839" s="15" t="s">
        <v>5470</v>
      </c>
      <c r="C1839" s="15" t="s">
        <v>403</v>
      </c>
      <c r="D1839" s="15" t="s">
        <v>1502</v>
      </c>
      <c r="E1839" s="15" t="s">
        <v>1539</v>
      </c>
      <c r="F1839" s="15" t="s">
        <v>3025</v>
      </c>
      <c r="G1839" s="15" t="s">
        <v>3026</v>
      </c>
      <c r="H1839" s="33" t="n">
        <f aca="false">Packages!$O$172</f>
        <v>16.0999999999617</v>
      </c>
      <c r="I1839" s="15" t="s">
        <v>118</v>
      </c>
      <c r="J1839" s="34" t="n">
        <f aca="false">MAX(1,ROUNDUP(Packages!$O$172/(IF(Packages!$N$172&gt;=PIPE_T1,R_PIPE_L,IF(Packages!$N$172&gt;=PIPE_T2,R_PIPE_M,R_PIPE_S))*Fronts!$L$11)+Packages!$M$172*FIT_D+IF(Packages!$G$172&lt;&gt;"Run",TIE_D,0),0))</f>
        <v>1</v>
      </c>
      <c r="K1839" s="34" t="n">
        <f aca="false">IF(J1839=0,0,ROUNDUP(J1839*7/WD,0))</f>
        <v>2</v>
      </c>
      <c r="L1839" s="15" t="s">
        <v>5478</v>
      </c>
      <c r="M1839" s="34" t="n">
        <f aca="false">ROUNDUP(K1838*LADDER,0)</f>
        <v>2</v>
      </c>
      <c r="N1839" s="34" t="n">
        <f aca="false">IF(K1839=0,0,FFLAG)</f>
        <v>2</v>
      </c>
      <c r="O1839" s="15"/>
      <c r="P1839" s="16" t="n">
        <f aca="false">MAX(P1838+M1839,R1806)</f>
        <v>46556</v>
      </c>
      <c r="Q1839" s="16" t="n">
        <f aca="false">MAX(P1839+K1839,Q1838+N1839)</f>
        <v>46562</v>
      </c>
      <c r="R1839" s="16" t="n">
        <f aca="false">IF(K1839&gt;0,Q1839,R1806)</f>
        <v>46562</v>
      </c>
      <c r="S1839" s="15" t="s">
        <v>5437</v>
      </c>
    </row>
    <row r="1840" customFormat="false" ht="15" hidden="false" customHeight="false" outlineLevel="0" collapsed="false">
      <c r="A1840" s="15" t="s">
        <v>5480</v>
      </c>
      <c r="B1840" s="15" t="s">
        <v>5470</v>
      </c>
      <c r="C1840" s="15" t="s">
        <v>403</v>
      </c>
      <c r="D1840" s="15" t="s">
        <v>1502</v>
      </c>
      <c r="E1840" s="15" t="s">
        <v>1539</v>
      </c>
      <c r="F1840" s="15" t="s">
        <v>3028</v>
      </c>
      <c r="G1840" s="15" t="s">
        <v>3029</v>
      </c>
      <c r="H1840" s="33" t="n">
        <f aca="false">Packages!$O$172</f>
        <v>16.0999999999617</v>
      </c>
      <c r="I1840" s="15" t="s">
        <v>118</v>
      </c>
      <c r="J1840" s="34" t="n">
        <f aca="false">TEST_D+ROUNDUP(Packages!$O$172/R_TEST,0)</f>
        <v>3</v>
      </c>
      <c r="K1840" s="34" t="n">
        <f aca="false">IF(J1840=0,0,ROUNDUP(J1840*7/WD,0))</f>
        <v>4</v>
      </c>
      <c r="L1840" s="15" t="s">
        <v>5479</v>
      </c>
      <c r="M1840" s="34" t="n">
        <f aca="false">ROUNDUP(K1839*LADDER,0)</f>
        <v>1</v>
      </c>
      <c r="N1840" s="34" t="n">
        <f aca="false">IF(K1840=0,0,FFLAG)</f>
        <v>2</v>
      </c>
      <c r="O1840" s="15"/>
      <c r="P1840" s="16" t="n">
        <f aca="false">MAX(P1839+M1840)</f>
        <v>46557</v>
      </c>
      <c r="Q1840" s="16" t="n">
        <f aca="false">MAX(P1840+K1840,Q1839+N1840)</f>
        <v>46564</v>
      </c>
      <c r="R1840" s="12"/>
      <c r="S1840" s="12"/>
    </row>
    <row r="1841" customFormat="false" ht="15" hidden="false" customHeight="false" outlineLevel="0" collapsed="false">
      <c r="A1841" s="15" t="s">
        <v>5481</v>
      </c>
      <c r="B1841" s="15" t="s">
        <v>5470</v>
      </c>
      <c r="C1841" s="15" t="s">
        <v>403</v>
      </c>
      <c r="D1841" s="15" t="s">
        <v>1502</v>
      </c>
      <c r="E1841" s="15" t="s">
        <v>1539</v>
      </c>
      <c r="F1841" s="15" t="s">
        <v>3031</v>
      </c>
      <c r="G1841" s="15" t="s">
        <v>3032</v>
      </c>
      <c r="H1841" s="33" t="n">
        <f aca="false">Packages!$AB$172</f>
        <v>220.364413346113</v>
      </c>
      <c r="I1841" s="15" t="s">
        <v>3019</v>
      </c>
      <c r="J1841" s="34" t="n">
        <f aca="false">MAX(1,ROUNDUP(Packages!$AB$172/(R_BF*Fronts!$M$11),0))</f>
        <v>1</v>
      </c>
      <c r="K1841" s="34" t="n">
        <f aca="false">IF(J1841=0,0,ROUNDUP(J1841*7/WD,0))</f>
        <v>2</v>
      </c>
      <c r="L1841" s="15" t="s">
        <v>5480</v>
      </c>
      <c r="M1841" s="34" t="n">
        <f aca="false">ROUNDUP(K1840*LADDER,0)</f>
        <v>2</v>
      </c>
      <c r="N1841" s="34" t="n">
        <f aca="false">IF(K1841=0,0,FFLAG)</f>
        <v>2</v>
      </c>
      <c r="O1841" s="15"/>
      <c r="P1841" s="16" t="n">
        <f aca="false">MAX(P1840+M1841,R1808)</f>
        <v>46561</v>
      </c>
      <c r="Q1841" s="16" t="n">
        <f aca="false">MAX(P1841+K1841,Q1840+N1841)</f>
        <v>46566</v>
      </c>
      <c r="R1841" s="16" t="n">
        <f aca="false">IF(K1841&gt;0,Q1841,R1808)</f>
        <v>46566</v>
      </c>
      <c r="S1841" s="15" t="s">
        <v>5439</v>
      </c>
    </row>
    <row r="1842" customFormat="false" ht="15" hidden="false" customHeight="false" outlineLevel="0" collapsed="false">
      <c r="A1842" s="15" t="s">
        <v>5482</v>
      </c>
      <c r="B1842" s="15" t="s">
        <v>5470</v>
      </c>
      <c r="C1842" s="15" t="s">
        <v>403</v>
      </c>
      <c r="D1842" s="15" t="s">
        <v>1502</v>
      </c>
      <c r="E1842" s="15" t="s">
        <v>1539</v>
      </c>
      <c r="F1842" s="15" t="s">
        <v>3034</v>
      </c>
      <c r="G1842" s="15" t="s">
        <v>3035</v>
      </c>
      <c r="H1842" s="33" t="n">
        <f aca="false">Packages!$AD$172</f>
        <v>32.1999999999234</v>
      </c>
      <c r="I1842" s="15" t="s">
        <v>3012</v>
      </c>
      <c r="J1842" s="34" t="n">
        <f aca="false">IF(Packages!$AD$172&gt;0,ROUNDUP(Packages!$AD$172/R_EXT,0),0)+IF(Packages!$AG$172&gt;0,1,0)</f>
        <v>2</v>
      </c>
      <c r="K1842" s="34" t="n">
        <f aca="false">IF(J1842=0,0,ROUNDUP(J1842*7/WD,0))</f>
        <v>3</v>
      </c>
      <c r="L1842" s="15" t="s">
        <v>5481</v>
      </c>
      <c r="M1842" s="34" t="n">
        <f aca="false">ROUNDUP(K1841*LADDER,0)</f>
        <v>1</v>
      </c>
      <c r="N1842" s="34" t="n">
        <f aca="false">IF(K1842=0,0,FFLAG)</f>
        <v>2</v>
      </c>
      <c r="O1842" s="15"/>
      <c r="P1842" s="16" t="n">
        <f aca="false">MAX(P1841+M1842)</f>
        <v>46562</v>
      </c>
      <c r="Q1842" s="16" t="n">
        <f aca="false">MAX(P1842+K1842,Q1841+N1842)</f>
        <v>46568</v>
      </c>
      <c r="R1842" s="12"/>
      <c r="S1842" s="12"/>
    </row>
    <row r="1843" customFormat="false" ht="15" hidden="false" customHeight="false" outlineLevel="0" collapsed="false">
      <c r="A1843" s="15" t="s">
        <v>5483</v>
      </c>
      <c r="B1843" s="15" t="s">
        <v>5484</v>
      </c>
      <c r="C1843" s="15" t="s">
        <v>403</v>
      </c>
      <c r="D1843" s="15" t="s">
        <v>1502</v>
      </c>
      <c r="E1843" s="15" t="s">
        <v>1535</v>
      </c>
      <c r="F1843" s="15" t="s">
        <v>2998</v>
      </c>
      <c r="G1843" s="15" t="s">
        <v>2999</v>
      </c>
      <c r="H1843" s="12"/>
      <c r="I1843" s="12"/>
      <c r="J1843" s="34" t="n">
        <f aca="false">0</f>
        <v>0</v>
      </c>
      <c r="K1843" s="34" t="n">
        <f aca="false">IF(J1843=0,0,ROUNDUP(J1843*7/WD,0))</f>
        <v>0</v>
      </c>
      <c r="L1843" s="12"/>
      <c r="M1843" s="12"/>
      <c r="N1843" s="12"/>
      <c r="O1843" s="15" t="s">
        <v>3000</v>
      </c>
      <c r="P1843" s="16" t="n">
        <f aca="false">MAX(START,D_DLU,Packages!$I$173,Packages!$K$173)</f>
        <v>46357</v>
      </c>
      <c r="Q1843" s="16" t="n">
        <f aca="false">P1843+K1843</f>
        <v>46357</v>
      </c>
      <c r="R1843" s="12"/>
      <c r="S1843" s="12"/>
    </row>
    <row r="1844" customFormat="false" ht="15" hidden="false" customHeight="false" outlineLevel="0" collapsed="false">
      <c r="A1844" s="15" t="s">
        <v>5485</v>
      </c>
      <c r="B1844" s="15" t="s">
        <v>5484</v>
      </c>
      <c r="C1844" s="15" t="s">
        <v>403</v>
      </c>
      <c r="D1844" s="15" t="s">
        <v>1502</v>
      </c>
      <c r="E1844" s="15" t="s">
        <v>1535</v>
      </c>
      <c r="F1844" s="15" t="s">
        <v>3002</v>
      </c>
      <c r="G1844" s="15" t="s">
        <v>205</v>
      </c>
      <c r="H1844" s="33" t="n">
        <f aca="false">Packages!$O$173</f>
        <v>5.18840520727568</v>
      </c>
      <c r="I1844" s="15" t="s">
        <v>118</v>
      </c>
      <c r="J1844" s="34" t="n">
        <f aca="false">MAX(1,ROUNDUP(Packages!$O$173/R_PLAT,0))</f>
        <v>1</v>
      </c>
      <c r="K1844" s="34" t="n">
        <f aca="false">IF(J1844=0,0,ROUNDUP(J1844*7/WD,0))</f>
        <v>2</v>
      </c>
      <c r="L1844" s="15" t="s">
        <v>5483</v>
      </c>
      <c r="M1844" s="12"/>
      <c r="N1844" s="12"/>
      <c r="O1844" s="15" t="s">
        <v>5486</v>
      </c>
      <c r="P1844" s="16" t="n">
        <f aca="false">MAX(Q1843,P1834)</f>
        <v>46472</v>
      </c>
      <c r="Q1844" s="16" t="n">
        <f aca="false">P1844+K1844</f>
        <v>46474</v>
      </c>
      <c r="R1844" s="12"/>
      <c r="S1844" s="12"/>
    </row>
    <row r="1845" customFormat="false" ht="15" hidden="false" customHeight="false" outlineLevel="0" collapsed="false">
      <c r="A1845" s="15" t="s">
        <v>5487</v>
      </c>
      <c r="B1845" s="15" t="s">
        <v>5484</v>
      </c>
      <c r="C1845" s="15" t="s">
        <v>403</v>
      </c>
      <c r="D1845" s="15" t="s">
        <v>1502</v>
      </c>
      <c r="E1845" s="15" t="s">
        <v>1535</v>
      </c>
      <c r="F1845" s="15" t="s">
        <v>3005</v>
      </c>
      <c r="G1845" s="15" t="s">
        <v>3006</v>
      </c>
      <c r="H1845" s="33" t="n">
        <f aca="false">Packages!$AC$173</f>
        <v>6</v>
      </c>
      <c r="I1845" s="15" t="s">
        <v>3007</v>
      </c>
      <c r="J1845" s="34" t="n">
        <f aca="false">IF(Packages!$AC$173=0,0,MAX(1,ROUNDUP(Packages!$AC$173/(R_PILE*Fronts!$H$11),0)))</f>
        <v>2</v>
      </c>
      <c r="K1845" s="34" t="n">
        <f aca="false">IF(J1845=0,0,ROUNDUP(J1845*7/WD,0))</f>
        <v>3</v>
      </c>
      <c r="L1845" s="15" t="s">
        <v>5485</v>
      </c>
      <c r="M1845" s="34" t="n">
        <f aca="false">ROUNDUP(K1844*LADDER,0)</f>
        <v>1</v>
      </c>
      <c r="N1845" s="34" t="n">
        <f aca="false">IF(K1845=0,0,FFLAG)</f>
        <v>2</v>
      </c>
      <c r="O1845" s="15" t="s">
        <v>3008</v>
      </c>
      <c r="P1845" s="16" t="n">
        <f aca="false">MAX(P1844+M1845,D_PILEDES,R1834)</f>
        <v>46476</v>
      </c>
      <c r="Q1845" s="16" t="n">
        <f aca="false">MAX(P1845+K1845,Q1844+N1845)</f>
        <v>46479</v>
      </c>
      <c r="R1845" s="16" t="n">
        <f aca="false">IF(K1845&gt;0,Q1845,R1834)</f>
        <v>46479</v>
      </c>
      <c r="S1845" s="15" t="s">
        <v>5473</v>
      </c>
    </row>
    <row r="1846" customFormat="false" ht="15" hidden="false" customHeight="false" outlineLevel="0" collapsed="false">
      <c r="A1846" s="15" t="s">
        <v>5488</v>
      </c>
      <c r="B1846" s="15" t="s">
        <v>5484</v>
      </c>
      <c r="C1846" s="15" t="s">
        <v>403</v>
      </c>
      <c r="D1846" s="15" t="s">
        <v>1502</v>
      </c>
      <c r="E1846" s="15" t="s">
        <v>1535</v>
      </c>
      <c r="F1846" s="15" t="s">
        <v>3010</v>
      </c>
      <c r="G1846" s="15" t="s">
        <v>3011</v>
      </c>
      <c r="H1846" s="33" t="n">
        <f aca="false">Packages!$AD$173</f>
        <v>10.3768104145514</v>
      </c>
      <c r="I1846" s="15" t="s">
        <v>3012</v>
      </c>
      <c r="J1846" s="34" t="n">
        <f aca="false">IF(Packages!$AD$173=0,0,MAX(1,ROUNDUP(Packages!$AD$173/(R_SHEET*Fronts!$I$11),0)))</f>
        <v>1</v>
      </c>
      <c r="K1846" s="34" t="n">
        <f aca="false">IF(J1846=0,0,ROUNDUP(J1846*7/WD,0))</f>
        <v>2</v>
      </c>
      <c r="L1846" s="15" t="s">
        <v>5487</v>
      </c>
      <c r="M1846" s="34" t="n">
        <f aca="false">ROUNDUP(K1845*LADDER,0)</f>
        <v>1</v>
      </c>
      <c r="N1846" s="34" t="n">
        <f aca="false">IF(K1846=0,0,FFLAG)</f>
        <v>2</v>
      </c>
      <c r="O1846" s="15"/>
      <c r="P1846" s="16" t="n">
        <f aca="false">MAX(P1845+M1846,R1835)</f>
        <v>46478</v>
      </c>
      <c r="Q1846" s="16" t="n">
        <f aca="false">MAX(P1846+K1846,Q1845+N1846)</f>
        <v>46481</v>
      </c>
      <c r="R1846" s="16" t="n">
        <f aca="false">IF(K1846&gt;0,Q1846,R1835)</f>
        <v>46481</v>
      </c>
      <c r="S1846" s="15" t="s">
        <v>5474</v>
      </c>
    </row>
    <row r="1847" customFormat="false" ht="15" hidden="false" customHeight="false" outlineLevel="0" collapsed="false">
      <c r="A1847" s="15" t="s">
        <v>5489</v>
      </c>
      <c r="B1847" s="15" t="s">
        <v>5484</v>
      </c>
      <c r="C1847" s="15" t="s">
        <v>403</v>
      </c>
      <c r="D1847" s="15" t="s">
        <v>1502</v>
      </c>
      <c r="E1847" s="15" t="s">
        <v>1535</v>
      </c>
      <c r="F1847" s="15" t="s">
        <v>3014</v>
      </c>
      <c r="G1847" s="15" t="s">
        <v>3015</v>
      </c>
      <c r="H1847" s="33" t="n">
        <f aca="false">Packages!$O$173</f>
        <v>5.18840520727568</v>
      </c>
      <c r="I1847" s="15" t="s">
        <v>118</v>
      </c>
      <c r="J1847" s="34" t="n">
        <f aca="false">IF(Packages!$AG$173=0,0,ROUNDUP(Packages!$O$173/R_DW,0)+DW_DRAW)</f>
        <v>8</v>
      </c>
      <c r="K1847" s="34" t="n">
        <f aca="false">IF(J1847=0,0,ROUNDUP(J1847*7/WD,0))</f>
        <v>10</v>
      </c>
      <c r="L1847" s="15" t="s">
        <v>5488</v>
      </c>
      <c r="M1847" s="34" t="n">
        <f aca="false">ROUNDUP(K1846*LADDER,0)</f>
        <v>1</v>
      </c>
      <c r="N1847" s="34" t="n">
        <f aca="false">IF(K1847=0,0,FFLAG)</f>
        <v>2</v>
      </c>
      <c r="O1847" s="15" t="s">
        <v>5490</v>
      </c>
      <c r="P1847" s="16" t="n">
        <f aca="false">MAX(P1846+M1847,Q1837-K1847)</f>
        <v>46492</v>
      </c>
      <c r="Q1847" s="16" t="n">
        <f aca="false">MAX(P1847+K1847,Q1846+N1847)</f>
        <v>46502</v>
      </c>
      <c r="R1847" s="12"/>
      <c r="S1847" s="12"/>
    </row>
    <row r="1848" customFormat="false" ht="15" hidden="false" customHeight="false" outlineLevel="0" collapsed="false">
      <c r="A1848" s="15" t="s">
        <v>5491</v>
      </c>
      <c r="B1848" s="15" t="s">
        <v>5484</v>
      </c>
      <c r="C1848" s="15" t="s">
        <v>403</v>
      </c>
      <c r="D1848" s="15" t="s">
        <v>1502</v>
      </c>
      <c r="E1848" s="15" t="s">
        <v>1535</v>
      </c>
      <c r="F1848" s="15" t="s">
        <v>3017</v>
      </c>
      <c r="G1848" s="15" t="s">
        <v>3018</v>
      </c>
      <c r="H1848" s="33" t="n">
        <f aca="false">Packages!$X$173+Packages!$Y$173</f>
        <v>84.5336113963685</v>
      </c>
      <c r="I1848" s="15" t="s">
        <v>3019</v>
      </c>
      <c r="J1848" s="34" t="n">
        <f aca="false">MAX(1,ROUNDUP((Packages!$X$173/R_EXS+Packages!$Y$173/R_EXO)/Fronts!$J$11,0))</f>
        <v>1</v>
      </c>
      <c r="K1848" s="34" t="n">
        <f aca="false">IF(J1848=0,0,ROUNDUP(J1848*7/WD,0))</f>
        <v>2</v>
      </c>
      <c r="L1848" s="15" t="s">
        <v>5489</v>
      </c>
      <c r="M1848" s="34" t="n">
        <f aca="false">IF(K1847=0,0,ROUNDUP((K1847-ROUNDUP(DW_DRAW*7/WD,0))*LADDER,0)+ROUNDUP(DW_DRAW*7/WD,0))</f>
        <v>10</v>
      </c>
      <c r="N1848" s="34" t="n">
        <f aca="false">IF(K1848=0,0,FFLAG)</f>
        <v>2</v>
      </c>
      <c r="O1848" s="15"/>
      <c r="P1848" s="16" t="n">
        <f aca="false">MAX(P1847+M1848,R1837)</f>
        <v>46502</v>
      </c>
      <c r="Q1848" s="16" t="n">
        <f aca="false">MAX(P1848+K1848,Q1847+N1848)</f>
        <v>46504</v>
      </c>
      <c r="R1848" s="16" t="n">
        <f aca="false">IF(K1848&gt;0,Q1848,R1837)</f>
        <v>46504</v>
      </c>
      <c r="S1848" s="15" t="s">
        <v>5477</v>
      </c>
    </row>
    <row r="1849" customFormat="false" ht="15" hidden="false" customHeight="false" outlineLevel="0" collapsed="false">
      <c r="A1849" s="15" t="s">
        <v>5492</v>
      </c>
      <c r="B1849" s="15" t="s">
        <v>5484</v>
      </c>
      <c r="C1849" s="15" t="s">
        <v>403</v>
      </c>
      <c r="D1849" s="15" t="s">
        <v>1502</v>
      </c>
      <c r="E1849" s="15" t="s">
        <v>1535</v>
      </c>
      <c r="F1849" s="15" t="s">
        <v>3022</v>
      </c>
      <c r="G1849" s="15" t="s">
        <v>3023</v>
      </c>
      <c r="H1849" s="33" t="n">
        <f aca="false">Packages!$O$173</f>
        <v>5.18840520727568</v>
      </c>
      <c r="I1849" s="15" t="s">
        <v>118</v>
      </c>
      <c r="J1849" s="34" t="n">
        <f aca="false">MAX(1,ROUNDUP(Packages!$O$173/(R_SLAB*Fronts!$K$11),0))+SLAB_CURE</f>
        <v>4</v>
      </c>
      <c r="K1849" s="34" t="n">
        <f aca="false">IF(J1849=0,0,ROUNDUP(J1849*7/WD,0))</f>
        <v>5</v>
      </c>
      <c r="L1849" s="15" t="s">
        <v>5491</v>
      </c>
      <c r="M1849" s="34" t="n">
        <f aca="false">ROUNDUP(K1848*LADDER,0)</f>
        <v>1</v>
      </c>
      <c r="N1849" s="34" t="n">
        <f aca="false">IF(K1849=0,0,FFLAG)</f>
        <v>2</v>
      </c>
      <c r="O1849" s="15"/>
      <c r="P1849" s="16" t="n">
        <f aca="false">MAX(P1848+M1849,R1838)</f>
        <v>46560</v>
      </c>
      <c r="Q1849" s="16" t="n">
        <f aca="false">MAX(P1849+K1849,Q1848+N1849)</f>
        <v>46565</v>
      </c>
      <c r="R1849" s="16" t="n">
        <f aca="false">IF(K1849&gt;0,Q1849,R1838)</f>
        <v>46565</v>
      </c>
      <c r="S1849" s="15" t="s">
        <v>5478</v>
      </c>
    </row>
    <row r="1850" customFormat="false" ht="15" hidden="false" customHeight="false" outlineLevel="0" collapsed="false">
      <c r="A1850" s="15" t="s">
        <v>5493</v>
      </c>
      <c r="B1850" s="15" t="s">
        <v>5484</v>
      </c>
      <c r="C1850" s="15" t="s">
        <v>403</v>
      </c>
      <c r="D1850" s="15" t="s">
        <v>1502</v>
      </c>
      <c r="E1850" s="15" t="s">
        <v>1535</v>
      </c>
      <c r="F1850" s="15" t="s">
        <v>3025</v>
      </c>
      <c r="G1850" s="15" t="s">
        <v>3026</v>
      </c>
      <c r="H1850" s="33" t="n">
        <f aca="false">Packages!$O$173</f>
        <v>5.18840520727568</v>
      </c>
      <c r="I1850" s="15" t="s">
        <v>118</v>
      </c>
      <c r="J1850" s="34" t="n">
        <f aca="false">MAX(1,ROUNDUP(Packages!$O$173/(IF(Packages!$N$173&gt;=PIPE_T1,R_PIPE_L,IF(Packages!$N$173&gt;=PIPE_T2,R_PIPE_M,R_PIPE_S))*Fronts!$L$11)+Packages!$M$173*FIT_D+IF(Packages!$G$173&lt;&gt;"Run",TIE_D,0),0))</f>
        <v>1</v>
      </c>
      <c r="K1850" s="34" t="n">
        <f aca="false">IF(J1850=0,0,ROUNDUP(J1850*7/WD,0))</f>
        <v>2</v>
      </c>
      <c r="L1850" s="15" t="s">
        <v>5492</v>
      </c>
      <c r="M1850" s="34" t="n">
        <f aca="false">ROUNDUP(K1849*LADDER,0)</f>
        <v>2</v>
      </c>
      <c r="N1850" s="34" t="n">
        <f aca="false">IF(K1850=0,0,FFLAG)</f>
        <v>2</v>
      </c>
      <c r="O1850" s="15"/>
      <c r="P1850" s="16" t="n">
        <f aca="false">MAX(P1849+M1850,R1839)</f>
        <v>46562</v>
      </c>
      <c r="Q1850" s="16" t="n">
        <f aca="false">MAX(P1850+K1850,Q1849+N1850)</f>
        <v>46567</v>
      </c>
      <c r="R1850" s="16" t="n">
        <f aca="false">IF(K1850&gt;0,Q1850,R1839)</f>
        <v>46567</v>
      </c>
      <c r="S1850" s="15" t="s">
        <v>5479</v>
      </c>
    </row>
    <row r="1851" customFormat="false" ht="15" hidden="false" customHeight="false" outlineLevel="0" collapsed="false">
      <c r="A1851" s="15" t="s">
        <v>5494</v>
      </c>
      <c r="B1851" s="15" t="s">
        <v>5484</v>
      </c>
      <c r="C1851" s="15" t="s">
        <v>403</v>
      </c>
      <c r="D1851" s="15" t="s">
        <v>1502</v>
      </c>
      <c r="E1851" s="15" t="s">
        <v>1535</v>
      </c>
      <c r="F1851" s="15" t="s">
        <v>3028</v>
      </c>
      <c r="G1851" s="15" t="s">
        <v>3029</v>
      </c>
      <c r="H1851" s="33" t="n">
        <f aca="false">Packages!$O$173</f>
        <v>5.18840520727568</v>
      </c>
      <c r="I1851" s="15" t="s">
        <v>118</v>
      </c>
      <c r="J1851" s="34" t="n">
        <f aca="false">TEST_D+ROUNDUP(Packages!$O$173/R_TEST,0)</f>
        <v>3</v>
      </c>
      <c r="K1851" s="34" t="n">
        <f aca="false">IF(J1851=0,0,ROUNDUP(J1851*7/WD,0))</f>
        <v>4</v>
      </c>
      <c r="L1851" s="15" t="s">
        <v>5493</v>
      </c>
      <c r="M1851" s="34" t="n">
        <f aca="false">ROUNDUP(K1850*LADDER,0)</f>
        <v>1</v>
      </c>
      <c r="N1851" s="34" t="n">
        <f aca="false">IF(K1851=0,0,FFLAG)</f>
        <v>2</v>
      </c>
      <c r="O1851" s="15"/>
      <c r="P1851" s="16" t="n">
        <f aca="false">MAX(P1850+M1851)</f>
        <v>46563</v>
      </c>
      <c r="Q1851" s="16" t="n">
        <f aca="false">MAX(P1851+K1851,Q1850+N1851)</f>
        <v>46569</v>
      </c>
      <c r="R1851" s="12"/>
      <c r="S1851" s="12"/>
    </row>
    <row r="1852" customFormat="false" ht="15" hidden="false" customHeight="false" outlineLevel="0" collapsed="false">
      <c r="A1852" s="15" t="s">
        <v>5495</v>
      </c>
      <c r="B1852" s="15" t="s">
        <v>5484</v>
      </c>
      <c r="C1852" s="15" t="s">
        <v>403</v>
      </c>
      <c r="D1852" s="15" t="s">
        <v>1502</v>
      </c>
      <c r="E1852" s="15" t="s">
        <v>1535</v>
      </c>
      <c r="F1852" s="15" t="s">
        <v>3031</v>
      </c>
      <c r="G1852" s="15" t="s">
        <v>3032</v>
      </c>
      <c r="H1852" s="33" t="n">
        <f aca="false">Packages!$AB$173</f>
        <v>70.3206824128397</v>
      </c>
      <c r="I1852" s="15" t="s">
        <v>3019</v>
      </c>
      <c r="J1852" s="34" t="n">
        <f aca="false">MAX(1,ROUNDUP(Packages!$AB$173/(R_BF*Fronts!$M$11),0))</f>
        <v>1</v>
      </c>
      <c r="K1852" s="34" t="n">
        <f aca="false">IF(J1852=0,0,ROUNDUP(J1852*7/WD,0))</f>
        <v>2</v>
      </c>
      <c r="L1852" s="15" t="s">
        <v>5494</v>
      </c>
      <c r="M1852" s="34" t="n">
        <f aca="false">ROUNDUP(K1851*LADDER,0)</f>
        <v>2</v>
      </c>
      <c r="N1852" s="34" t="n">
        <f aca="false">IF(K1852=0,0,FFLAG)</f>
        <v>2</v>
      </c>
      <c r="O1852" s="15"/>
      <c r="P1852" s="16" t="n">
        <f aca="false">MAX(P1851+M1852,R1841)</f>
        <v>46566</v>
      </c>
      <c r="Q1852" s="16" t="n">
        <f aca="false">MAX(P1852+K1852,Q1851+N1852)</f>
        <v>46571</v>
      </c>
      <c r="R1852" s="16" t="n">
        <f aca="false">IF(K1852&gt;0,Q1852,R1841)</f>
        <v>46571</v>
      </c>
      <c r="S1852" s="15" t="s">
        <v>5481</v>
      </c>
    </row>
    <row r="1853" customFormat="false" ht="15" hidden="false" customHeight="false" outlineLevel="0" collapsed="false">
      <c r="A1853" s="15" t="s">
        <v>5496</v>
      </c>
      <c r="B1853" s="15" t="s">
        <v>5484</v>
      </c>
      <c r="C1853" s="15" t="s">
        <v>403</v>
      </c>
      <c r="D1853" s="15" t="s">
        <v>1502</v>
      </c>
      <c r="E1853" s="15" t="s">
        <v>1535</v>
      </c>
      <c r="F1853" s="15" t="s">
        <v>3034</v>
      </c>
      <c r="G1853" s="15" t="s">
        <v>3035</v>
      </c>
      <c r="H1853" s="33" t="n">
        <f aca="false">Packages!$AD$173</f>
        <v>10.3768104145514</v>
      </c>
      <c r="I1853" s="15" t="s">
        <v>3012</v>
      </c>
      <c r="J1853" s="34" t="n">
        <f aca="false">IF(Packages!$AD$173&gt;0,ROUNDUP(Packages!$AD$173/R_EXT,0),0)+IF(Packages!$AG$173&gt;0,1,0)</f>
        <v>2</v>
      </c>
      <c r="K1853" s="34" t="n">
        <f aca="false">IF(J1853=0,0,ROUNDUP(J1853*7/WD,0))</f>
        <v>3</v>
      </c>
      <c r="L1853" s="15" t="s">
        <v>5495</v>
      </c>
      <c r="M1853" s="34" t="n">
        <f aca="false">ROUNDUP(K1852*LADDER,0)</f>
        <v>1</v>
      </c>
      <c r="N1853" s="34" t="n">
        <f aca="false">IF(K1853=0,0,FFLAG)</f>
        <v>2</v>
      </c>
      <c r="O1853" s="15"/>
      <c r="P1853" s="16" t="n">
        <f aca="false">MAX(P1852+M1853)</f>
        <v>46567</v>
      </c>
      <c r="Q1853" s="16" t="n">
        <f aca="false">MAX(P1853+K1853,Q1852+N1853)</f>
        <v>46573</v>
      </c>
      <c r="R1853" s="12"/>
      <c r="S1853" s="12"/>
    </row>
    <row r="1854" customFormat="false" ht="15" hidden="false" customHeight="false" outlineLevel="0" collapsed="false">
      <c r="A1854" s="15" t="s">
        <v>5497</v>
      </c>
      <c r="B1854" s="15" t="s">
        <v>5498</v>
      </c>
      <c r="C1854" s="15" t="s">
        <v>403</v>
      </c>
      <c r="D1854" s="15" t="s">
        <v>1502</v>
      </c>
      <c r="E1854" s="15" t="s">
        <v>1553</v>
      </c>
      <c r="F1854" s="15" t="s">
        <v>2998</v>
      </c>
      <c r="G1854" s="15" t="s">
        <v>2999</v>
      </c>
      <c r="H1854" s="12"/>
      <c r="I1854" s="12"/>
      <c r="J1854" s="34" t="n">
        <f aca="false">0</f>
        <v>0</v>
      </c>
      <c r="K1854" s="34" t="n">
        <f aca="false">IF(J1854=0,0,ROUNDUP(J1854*7/WD,0))</f>
        <v>0</v>
      </c>
      <c r="L1854" s="12"/>
      <c r="M1854" s="12"/>
      <c r="N1854" s="12"/>
      <c r="O1854" s="15" t="s">
        <v>3000</v>
      </c>
      <c r="P1854" s="16" t="n">
        <f aca="false">MAX(START,D_DLU,Packages!$I$174,Packages!$K$174)</f>
        <v>46357</v>
      </c>
      <c r="Q1854" s="16" t="n">
        <f aca="false">P1854+K1854</f>
        <v>46357</v>
      </c>
      <c r="R1854" s="12"/>
      <c r="S1854" s="12"/>
    </row>
    <row r="1855" customFormat="false" ht="15" hidden="false" customHeight="false" outlineLevel="0" collapsed="false">
      <c r="A1855" s="15" t="s">
        <v>5499</v>
      </c>
      <c r="B1855" s="15" t="s">
        <v>5498</v>
      </c>
      <c r="C1855" s="15" t="s">
        <v>403</v>
      </c>
      <c r="D1855" s="15" t="s">
        <v>1502</v>
      </c>
      <c r="E1855" s="15" t="s">
        <v>1553</v>
      </c>
      <c r="F1855" s="15" t="s">
        <v>3002</v>
      </c>
      <c r="G1855" s="15" t="s">
        <v>205</v>
      </c>
      <c r="H1855" s="33" t="n">
        <f aca="false">Packages!$O$174</f>
        <v>15.8256832941216</v>
      </c>
      <c r="I1855" s="15" t="s">
        <v>118</v>
      </c>
      <c r="J1855" s="34" t="n">
        <f aca="false">MAX(1,ROUNDUP(Packages!$O$174/R_PLAT,0))</f>
        <v>1</v>
      </c>
      <c r="K1855" s="34" t="n">
        <f aca="false">IF(J1855=0,0,ROUNDUP(J1855*7/WD,0))</f>
        <v>2</v>
      </c>
      <c r="L1855" s="15" t="s">
        <v>5497</v>
      </c>
      <c r="M1855" s="12"/>
      <c r="N1855" s="12"/>
      <c r="O1855" s="15" t="s">
        <v>5500</v>
      </c>
      <c r="P1855" s="16" t="n">
        <f aca="false">MAX(Q1854,P1845)</f>
        <v>46476</v>
      </c>
      <c r="Q1855" s="16" t="n">
        <f aca="false">P1855+K1855</f>
        <v>46478</v>
      </c>
      <c r="R1855" s="12"/>
      <c r="S1855" s="12"/>
    </row>
    <row r="1856" customFormat="false" ht="15" hidden="false" customHeight="false" outlineLevel="0" collapsed="false">
      <c r="A1856" s="15" t="s">
        <v>5501</v>
      </c>
      <c r="B1856" s="15" t="s">
        <v>5498</v>
      </c>
      <c r="C1856" s="15" t="s">
        <v>403</v>
      </c>
      <c r="D1856" s="15" t="s">
        <v>1502</v>
      </c>
      <c r="E1856" s="15" t="s">
        <v>1553</v>
      </c>
      <c r="F1856" s="15" t="s">
        <v>3005</v>
      </c>
      <c r="G1856" s="15" t="s">
        <v>3006</v>
      </c>
      <c r="H1856" s="33" t="n">
        <f aca="false">Packages!$AC$174</f>
        <v>14</v>
      </c>
      <c r="I1856" s="15" t="s">
        <v>3007</v>
      </c>
      <c r="J1856" s="34" t="n">
        <f aca="false">IF(Packages!$AC$174=0,0,MAX(1,ROUNDUP(Packages!$AC$174/(R_PILE*Fronts!$H$11),0)))</f>
        <v>3</v>
      </c>
      <c r="K1856" s="34" t="n">
        <f aca="false">IF(J1856=0,0,ROUNDUP(J1856*7/WD,0))</f>
        <v>4</v>
      </c>
      <c r="L1856" s="15" t="s">
        <v>5499</v>
      </c>
      <c r="M1856" s="34" t="n">
        <f aca="false">ROUNDUP(K1855*LADDER,0)</f>
        <v>1</v>
      </c>
      <c r="N1856" s="34" t="n">
        <f aca="false">IF(K1856=0,0,FFLAG)</f>
        <v>2</v>
      </c>
      <c r="O1856" s="15" t="s">
        <v>3008</v>
      </c>
      <c r="P1856" s="16" t="n">
        <f aca="false">MAX(P1855+M1856,D_PILEDES,R1845)</f>
        <v>46479</v>
      </c>
      <c r="Q1856" s="16" t="n">
        <f aca="false">MAX(P1856+K1856,Q1855+N1856)</f>
        <v>46483</v>
      </c>
      <c r="R1856" s="16" t="n">
        <f aca="false">IF(K1856&gt;0,Q1856,R1845)</f>
        <v>46483</v>
      </c>
      <c r="S1856" s="15" t="s">
        <v>5487</v>
      </c>
    </row>
    <row r="1857" customFormat="false" ht="15" hidden="false" customHeight="false" outlineLevel="0" collapsed="false">
      <c r="A1857" s="15" t="s">
        <v>5502</v>
      </c>
      <c r="B1857" s="15" t="s">
        <v>5498</v>
      </c>
      <c r="C1857" s="15" t="s">
        <v>403</v>
      </c>
      <c r="D1857" s="15" t="s">
        <v>1502</v>
      </c>
      <c r="E1857" s="15" t="s">
        <v>1553</v>
      </c>
      <c r="F1857" s="15" t="s">
        <v>3010</v>
      </c>
      <c r="G1857" s="15" t="s">
        <v>3011</v>
      </c>
      <c r="H1857" s="33" t="n">
        <f aca="false">Packages!$AD$174</f>
        <v>31.6513665882432</v>
      </c>
      <c r="I1857" s="15" t="s">
        <v>3012</v>
      </c>
      <c r="J1857" s="34" t="n">
        <f aca="false">IF(Packages!$AD$174=0,0,MAX(1,ROUNDUP(Packages!$AD$174/(R_SHEET*Fronts!$I$11),0)))</f>
        <v>2</v>
      </c>
      <c r="K1857" s="34" t="n">
        <f aca="false">IF(J1857=0,0,ROUNDUP(J1857*7/WD,0))</f>
        <v>3</v>
      </c>
      <c r="L1857" s="15" t="s">
        <v>5501</v>
      </c>
      <c r="M1857" s="34" t="n">
        <f aca="false">ROUNDUP(K1856*LADDER,0)</f>
        <v>2</v>
      </c>
      <c r="N1857" s="34" t="n">
        <f aca="false">IF(K1857=0,0,FFLAG)</f>
        <v>2</v>
      </c>
      <c r="O1857" s="15"/>
      <c r="P1857" s="16" t="n">
        <f aca="false">MAX(P1856+M1857,R1846)</f>
        <v>46481</v>
      </c>
      <c r="Q1857" s="16" t="n">
        <f aca="false">MAX(P1857+K1857,Q1856+N1857)</f>
        <v>46485</v>
      </c>
      <c r="R1857" s="16" t="n">
        <f aca="false">IF(K1857&gt;0,Q1857,R1846)</f>
        <v>46485</v>
      </c>
      <c r="S1857" s="15" t="s">
        <v>5488</v>
      </c>
    </row>
    <row r="1858" customFormat="false" ht="15" hidden="false" customHeight="false" outlineLevel="0" collapsed="false">
      <c r="A1858" s="15" t="s">
        <v>5503</v>
      </c>
      <c r="B1858" s="15" t="s">
        <v>5498</v>
      </c>
      <c r="C1858" s="15" t="s">
        <v>403</v>
      </c>
      <c r="D1858" s="15" t="s">
        <v>1502</v>
      </c>
      <c r="E1858" s="15" t="s">
        <v>1553</v>
      </c>
      <c r="F1858" s="15" t="s">
        <v>3014</v>
      </c>
      <c r="G1858" s="15" t="s">
        <v>3015</v>
      </c>
      <c r="H1858" s="33" t="n">
        <f aca="false">Packages!$O$174</f>
        <v>15.8256832941216</v>
      </c>
      <c r="I1858" s="15" t="s">
        <v>118</v>
      </c>
      <c r="J1858" s="34" t="n">
        <f aca="false">IF(Packages!$AG$174=0,0,ROUNDUP(Packages!$O$174/R_DW,0)+DW_DRAW)</f>
        <v>8</v>
      </c>
      <c r="K1858" s="34" t="n">
        <f aca="false">IF(J1858=0,0,ROUNDUP(J1858*7/WD,0))</f>
        <v>10</v>
      </c>
      <c r="L1858" s="15" t="s">
        <v>5502</v>
      </c>
      <c r="M1858" s="34" t="n">
        <f aca="false">ROUNDUP(K1857*LADDER,0)</f>
        <v>1</v>
      </c>
      <c r="N1858" s="34" t="n">
        <f aca="false">IF(K1858=0,0,FFLAG)</f>
        <v>2</v>
      </c>
      <c r="O1858" s="15" t="s">
        <v>5504</v>
      </c>
      <c r="P1858" s="16" t="n">
        <f aca="false">MAX(P1857+M1858,Q1848-K1858)</f>
        <v>46494</v>
      </c>
      <c r="Q1858" s="16" t="n">
        <f aca="false">MAX(P1858+K1858,Q1857+N1858)</f>
        <v>46504</v>
      </c>
      <c r="R1858" s="12"/>
      <c r="S1858" s="12"/>
    </row>
    <row r="1859" customFormat="false" ht="15" hidden="false" customHeight="false" outlineLevel="0" collapsed="false">
      <c r="A1859" s="15" t="s">
        <v>5505</v>
      </c>
      <c r="B1859" s="15" t="s">
        <v>5498</v>
      </c>
      <c r="C1859" s="15" t="s">
        <v>403</v>
      </c>
      <c r="D1859" s="15" t="s">
        <v>1502</v>
      </c>
      <c r="E1859" s="15" t="s">
        <v>1553</v>
      </c>
      <c r="F1859" s="15" t="s">
        <v>3017</v>
      </c>
      <c r="G1859" s="15" t="s">
        <v>3018</v>
      </c>
      <c r="H1859" s="33" t="n">
        <f aca="false">Packages!$X$174+Packages!$Y$174</f>
        <v>236.88237954388</v>
      </c>
      <c r="I1859" s="15" t="s">
        <v>3019</v>
      </c>
      <c r="J1859" s="34" t="n">
        <f aca="false">MAX(1,ROUNDUP((Packages!$X$174/R_EXS+Packages!$Y$174/R_EXO)/Fronts!$J$11,0))</f>
        <v>1</v>
      </c>
      <c r="K1859" s="34" t="n">
        <f aca="false">IF(J1859=0,0,ROUNDUP(J1859*7/WD,0))</f>
        <v>2</v>
      </c>
      <c r="L1859" s="15" t="s">
        <v>5503</v>
      </c>
      <c r="M1859" s="34" t="n">
        <f aca="false">IF(K1858=0,0,ROUNDUP((K1858-ROUNDUP(DW_DRAW*7/WD,0))*LADDER,0)+ROUNDUP(DW_DRAW*7/WD,0))</f>
        <v>10</v>
      </c>
      <c r="N1859" s="34" t="n">
        <f aca="false">IF(K1859=0,0,FFLAG)</f>
        <v>2</v>
      </c>
      <c r="O1859" s="15"/>
      <c r="P1859" s="16" t="n">
        <f aca="false">MAX(P1858+M1859,R1848)</f>
        <v>46504</v>
      </c>
      <c r="Q1859" s="16" t="n">
        <f aca="false">MAX(P1859+K1859,Q1858+N1859)</f>
        <v>46506</v>
      </c>
      <c r="R1859" s="16" t="n">
        <f aca="false">IF(K1859&gt;0,Q1859,R1848)</f>
        <v>46506</v>
      </c>
      <c r="S1859" s="15" t="s">
        <v>5491</v>
      </c>
    </row>
    <row r="1860" customFormat="false" ht="15" hidden="false" customHeight="false" outlineLevel="0" collapsed="false">
      <c r="A1860" s="15" t="s">
        <v>5506</v>
      </c>
      <c r="B1860" s="15" t="s">
        <v>5498</v>
      </c>
      <c r="C1860" s="15" t="s">
        <v>403</v>
      </c>
      <c r="D1860" s="15" t="s">
        <v>1502</v>
      </c>
      <c r="E1860" s="15" t="s">
        <v>1553</v>
      </c>
      <c r="F1860" s="15" t="s">
        <v>3022</v>
      </c>
      <c r="G1860" s="15" t="s">
        <v>3023</v>
      </c>
      <c r="H1860" s="33" t="n">
        <f aca="false">Packages!$O$174</f>
        <v>15.8256832941216</v>
      </c>
      <c r="I1860" s="15" t="s">
        <v>118</v>
      </c>
      <c r="J1860" s="34" t="n">
        <f aca="false">MAX(1,ROUNDUP(Packages!$O$174/(R_SLAB*Fronts!$K$11),0))+SLAB_CURE</f>
        <v>5</v>
      </c>
      <c r="K1860" s="34" t="n">
        <f aca="false">IF(J1860=0,0,ROUNDUP(J1860*7/WD,0))</f>
        <v>6</v>
      </c>
      <c r="L1860" s="15" t="s">
        <v>5505</v>
      </c>
      <c r="M1860" s="34" t="n">
        <f aca="false">ROUNDUP(K1859*LADDER,0)</f>
        <v>1</v>
      </c>
      <c r="N1860" s="34" t="n">
        <f aca="false">IF(K1860=0,0,FFLAG)</f>
        <v>2</v>
      </c>
      <c r="O1860" s="15"/>
      <c r="P1860" s="16" t="n">
        <f aca="false">MAX(P1859+M1860,R1849)</f>
        <v>46565</v>
      </c>
      <c r="Q1860" s="16" t="n">
        <f aca="false">MAX(P1860+K1860,Q1859+N1860)</f>
        <v>46571</v>
      </c>
      <c r="R1860" s="16" t="n">
        <f aca="false">IF(K1860&gt;0,Q1860,R1849)</f>
        <v>46571</v>
      </c>
      <c r="S1860" s="15" t="s">
        <v>5492</v>
      </c>
    </row>
    <row r="1861" customFormat="false" ht="15" hidden="false" customHeight="false" outlineLevel="0" collapsed="false">
      <c r="A1861" s="15" t="s">
        <v>5507</v>
      </c>
      <c r="B1861" s="15" t="s">
        <v>5498</v>
      </c>
      <c r="C1861" s="15" t="s">
        <v>403</v>
      </c>
      <c r="D1861" s="15" t="s">
        <v>1502</v>
      </c>
      <c r="E1861" s="15" t="s">
        <v>1553</v>
      </c>
      <c r="F1861" s="15" t="s">
        <v>3025</v>
      </c>
      <c r="G1861" s="15" t="s">
        <v>3026</v>
      </c>
      <c r="H1861" s="33" t="n">
        <f aca="false">Packages!$O$174</f>
        <v>15.8256832941216</v>
      </c>
      <c r="I1861" s="15" t="s">
        <v>118</v>
      </c>
      <c r="J1861" s="34" t="n">
        <f aca="false">MAX(1,ROUNDUP(Packages!$O$174/(IF(Packages!$N$174&gt;=PIPE_T1,R_PIPE_L,IF(Packages!$N$174&gt;=PIPE_T2,R_PIPE_M,R_PIPE_S))*Fronts!$L$11)+Packages!$M$174*FIT_D+IF(Packages!$G$174&lt;&gt;"Run",TIE_D,0),0))</f>
        <v>2</v>
      </c>
      <c r="K1861" s="34" t="n">
        <f aca="false">IF(J1861=0,0,ROUNDUP(J1861*7/WD,0))</f>
        <v>3</v>
      </c>
      <c r="L1861" s="15" t="s">
        <v>5506</v>
      </c>
      <c r="M1861" s="34" t="n">
        <f aca="false">ROUNDUP(K1860*LADDER,0)</f>
        <v>2</v>
      </c>
      <c r="N1861" s="34" t="n">
        <f aca="false">IF(K1861=0,0,FFLAG)</f>
        <v>2</v>
      </c>
      <c r="O1861" s="15"/>
      <c r="P1861" s="16" t="n">
        <f aca="false">MAX(P1860+M1861,R1850)</f>
        <v>46567</v>
      </c>
      <c r="Q1861" s="16" t="n">
        <f aca="false">MAX(P1861+K1861,Q1860+N1861)</f>
        <v>46573</v>
      </c>
      <c r="R1861" s="16" t="n">
        <f aca="false">IF(K1861&gt;0,Q1861,R1850)</f>
        <v>46573</v>
      </c>
      <c r="S1861" s="15" t="s">
        <v>5493</v>
      </c>
    </row>
    <row r="1862" customFormat="false" ht="15" hidden="false" customHeight="false" outlineLevel="0" collapsed="false">
      <c r="A1862" s="15" t="s">
        <v>5508</v>
      </c>
      <c r="B1862" s="15" t="s">
        <v>5498</v>
      </c>
      <c r="C1862" s="15" t="s">
        <v>403</v>
      </c>
      <c r="D1862" s="15" t="s">
        <v>1502</v>
      </c>
      <c r="E1862" s="15" t="s">
        <v>1553</v>
      </c>
      <c r="F1862" s="15" t="s">
        <v>3028</v>
      </c>
      <c r="G1862" s="15" t="s">
        <v>3029</v>
      </c>
      <c r="H1862" s="33" t="n">
        <f aca="false">Packages!$O$174</f>
        <v>15.8256832941216</v>
      </c>
      <c r="I1862" s="15" t="s">
        <v>118</v>
      </c>
      <c r="J1862" s="34" t="n">
        <f aca="false">TEST_D+ROUNDUP(Packages!$O$174/R_TEST,0)</f>
        <v>3</v>
      </c>
      <c r="K1862" s="34" t="n">
        <f aca="false">IF(J1862=0,0,ROUNDUP(J1862*7/WD,0))</f>
        <v>4</v>
      </c>
      <c r="L1862" s="15" t="s">
        <v>5507</v>
      </c>
      <c r="M1862" s="34" t="n">
        <f aca="false">ROUNDUP(K1861*LADDER,0)</f>
        <v>1</v>
      </c>
      <c r="N1862" s="34" t="n">
        <f aca="false">IF(K1862=0,0,FFLAG)</f>
        <v>2</v>
      </c>
      <c r="O1862" s="15"/>
      <c r="P1862" s="16" t="n">
        <f aca="false">MAX(P1861+M1862)</f>
        <v>46568</v>
      </c>
      <c r="Q1862" s="16" t="n">
        <f aca="false">MAX(P1862+K1862,Q1861+N1862)</f>
        <v>46575</v>
      </c>
      <c r="R1862" s="12"/>
      <c r="S1862" s="12"/>
    </row>
    <row r="1863" customFormat="false" ht="15" hidden="false" customHeight="false" outlineLevel="0" collapsed="false">
      <c r="A1863" s="15" t="s">
        <v>5509</v>
      </c>
      <c r="B1863" s="15" t="s">
        <v>5498</v>
      </c>
      <c r="C1863" s="15" t="s">
        <v>403</v>
      </c>
      <c r="D1863" s="15" t="s">
        <v>1502</v>
      </c>
      <c r="E1863" s="15" t="s">
        <v>1553</v>
      </c>
      <c r="F1863" s="15" t="s">
        <v>3031</v>
      </c>
      <c r="G1863" s="15" t="s">
        <v>3032</v>
      </c>
      <c r="H1863" s="33" t="n">
        <f aca="false">Packages!$AB$174</f>
        <v>203.413639743879</v>
      </c>
      <c r="I1863" s="15" t="s">
        <v>3019</v>
      </c>
      <c r="J1863" s="34" t="n">
        <f aca="false">MAX(1,ROUNDUP(Packages!$AB$174/(R_BF*Fronts!$M$11),0))</f>
        <v>1</v>
      </c>
      <c r="K1863" s="34" t="n">
        <f aca="false">IF(J1863=0,0,ROUNDUP(J1863*7/WD,0))</f>
        <v>2</v>
      </c>
      <c r="L1863" s="15" t="s">
        <v>5508</v>
      </c>
      <c r="M1863" s="34" t="n">
        <f aca="false">ROUNDUP(K1862*LADDER,0)</f>
        <v>2</v>
      </c>
      <c r="N1863" s="34" t="n">
        <f aca="false">IF(K1863=0,0,FFLAG)</f>
        <v>2</v>
      </c>
      <c r="O1863" s="15"/>
      <c r="P1863" s="16" t="n">
        <f aca="false">MAX(P1862+M1863,R1852)</f>
        <v>46571</v>
      </c>
      <c r="Q1863" s="16" t="n">
        <f aca="false">MAX(P1863+K1863,Q1862+N1863)</f>
        <v>46577</v>
      </c>
      <c r="R1863" s="16" t="n">
        <f aca="false">IF(K1863&gt;0,Q1863,R1852)</f>
        <v>46577</v>
      </c>
      <c r="S1863" s="15" t="s">
        <v>5495</v>
      </c>
    </row>
    <row r="1864" customFormat="false" ht="15" hidden="false" customHeight="false" outlineLevel="0" collapsed="false">
      <c r="A1864" s="15" t="s">
        <v>5510</v>
      </c>
      <c r="B1864" s="15" t="s">
        <v>5498</v>
      </c>
      <c r="C1864" s="15" t="s">
        <v>403</v>
      </c>
      <c r="D1864" s="15" t="s">
        <v>1502</v>
      </c>
      <c r="E1864" s="15" t="s">
        <v>1553</v>
      </c>
      <c r="F1864" s="15" t="s">
        <v>3034</v>
      </c>
      <c r="G1864" s="15" t="s">
        <v>3035</v>
      </c>
      <c r="H1864" s="33" t="n">
        <f aca="false">Packages!$AD$174</f>
        <v>31.6513665882432</v>
      </c>
      <c r="I1864" s="15" t="s">
        <v>3012</v>
      </c>
      <c r="J1864" s="34" t="n">
        <f aca="false">IF(Packages!$AD$174&gt;0,ROUNDUP(Packages!$AD$174/R_EXT,0),0)+IF(Packages!$AG$174&gt;0,1,0)</f>
        <v>2</v>
      </c>
      <c r="K1864" s="34" t="n">
        <f aca="false">IF(J1864=0,0,ROUNDUP(J1864*7/WD,0))</f>
        <v>3</v>
      </c>
      <c r="L1864" s="15" t="s">
        <v>5509</v>
      </c>
      <c r="M1864" s="34" t="n">
        <f aca="false">ROUNDUP(K1863*LADDER,0)</f>
        <v>1</v>
      </c>
      <c r="N1864" s="34" t="n">
        <f aca="false">IF(K1864=0,0,FFLAG)</f>
        <v>2</v>
      </c>
      <c r="O1864" s="15"/>
      <c r="P1864" s="16" t="n">
        <f aca="false">MAX(P1863+M1864)</f>
        <v>46572</v>
      </c>
      <c r="Q1864" s="16" t="n">
        <f aca="false">MAX(P1864+K1864,Q1863+N1864)</f>
        <v>46579</v>
      </c>
      <c r="R1864" s="12"/>
      <c r="S1864" s="12"/>
    </row>
    <row r="1865" customFormat="false" ht="15" hidden="false" customHeight="false" outlineLevel="0" collapsed="false">
      <c r="A1865" s="15" t="s">
        <v>5511</v>
      </c>
      <c r="B1865" s="15" t="s">
        <v>5512</v>
      </c>
      <c r="C1865" s="15" t="s">
        <v>403</v>
      </c>
      <c r="D1865" s="15" t="s">
        <v>1502</v>
      </c>
      <c r="E1865" s="15" t="s">
        <v>1551</v>
      </c>
      <c r="F1865" s="15" t="s">
        <v>2998</v>
      </c>
      <c r="G1865" s="15" t="s">
        <v>2999</v>
      </c>
      <c r="H1865" s="12"/>
      <c r="I1865" s="12"/>
      <c r="J1865" s="34" t="n">
        <f aca="false">0</f>
        <v>0</v>
      </c>
      <c r="K1865" s="34" t="n">
        <f aca="false">IF(J1865=0,0,ROUNDUP(J1865*7/WD,0))</f>
        <v>0</v>
      </c>
      <c r="L1865" s="12"/>
      <c r="M1865" s="12"/>
      <c r="N1865" s="12"/>
      <c r="O1865" s="15" t="s">
        <v>3038</v>
      </c>
      <c r="P1865" s="16" t="n">
        <f aca="false">MAX(START,D_DLU,Packages!$I$175,Packages!$K$175)</f>
        <v>46357</v>
      </c>
      <c r="Q1865" s="16" t="n">
        <f aca="false">P1865+K1865</f>
        <v>46357</v>
      </c>
      <c r="R1865" s="12"/>
      <c r="S1865" s="12"/>
    </row>
    <row r="1866" customFormat="false" ht="15" hidden="false" customHeight="false" outlineLevel="0" collapsed="false">
      <c r="A1866" s="15" t="s">
        <v>5513</v>
      </c>
      <c r="B1866" s="15" t="s">
        <v>5512</v>
      </c>
      <c r="C1866" s="15" t="s">
        <v>403</v>
      </c>
      <c r="D1866" s="15" t="s">
        <v>1502</v>
      </c>
      <c r="E1866" s="15" t="s">
        <v>1551</v>
      </c>
      <c r="F1866" s="15" t="s">
        <v>3002</v>
      </c>
      <c r="G1866" s="15" t="s">
        <v>205</v>
      </c>
      <c r="H1866" s="33" t="n">
        <f aca="false">Packages!$O$175</f>
        <v>0.636396937728476</v>
      </c>
      <c r="I1866" s="15" t="s">
        <v>118</v>
      </c>
      <c r="J1866" s="34" t="n">
        <f aca="false">MAX(1,ROUNDUP(Packages!$O$175/R_PLAT,0))</f>
        <v>1</v>
      </c>
      <c r="K1866" s="34" t="n">
        <f aca="false">IF(J1866=0,0,ROUNDUP(J1866*7/WD,0))</f>
        <v>2</v>
      </c>
      <c r="L1866" s="15" t="s">
        <v>5511</v>
      </c>
      <c r="M1866" s="12"/>
      <c r="N1866" s="12"/>
      <c r="O1866" s="15" t="s">
        <v>5514</v>
      </c>
      <c r="P1866" s="16" t="n">
        <f aca="false">MAX(Q1865,P1856)</f>
        <v>46479</v>
      </c>
      <c r="Q1866" s="16" t="n">
        <f aca="false">P1866+K1866</f>
        <v>46481</v>
      </c>
      <c r="R1866" s="12"/>
      <c r="S1866" s="12"/>
    </row>
    <row r="1867" customFormat="false" ht="15" hidden="false" customHeight="false" outlineLevel="0" collapsed="false">
      <c r="A1867" s="15" t="s">
        <v>5515</v>
      </c>
      <c r="B1867" s="15" t="s">
        <v>5512</v>
      </c>
      <c r="C1867" s="15" t="s">
        <v>403</v>
      </c>
      <c r="D1867" s="15" t="s">
        <v>1502</v>
      </c>
      <c r="E1867" s="15" t="s">
        <v>1551</v>
      </c>
      <c r="F1867" s="15" t="s">
        <v>3005</v>
      </c>
      <c r="G1867" s="15" t="s">
        <v>3006</v>
      </c>
      <c r="H1867" s="33" t="n">
        <f aca="false">Packages!$AC$175</f>
        <v>2</v>
      </c>
      <c r="I1867" s="15" t="s">
        <v>3007</v>
      </c>
      <c r="J1867" s="34" t="n">
        <f aca="false">IF(Packages!$AC$175=0,0,MAX(1,ROUNDUP(Packages!$AC$175/(R_PILE*Fronts!$H$11),0)))</f>
        <v>1</v>
      </c>
      <c r="K1867" s="34" t="n">
        <f aca="false">IF(J1867=0,0,ROUNDUP(J1867*7/WD,0))</f>
        <v>2</v>
      </c>
      <c r="L1867" s="15" t="s">
        <v>5513</v>
      </c>
      <c r="M1867" s="34" t="n">
        <f aca="false">ROUNDUP(K1866*LADDER,0)</f>
        <v>1</v>
      </c>
      <c r="N1867" s="34" t="n">
        <f aca="false">IF(K1867=0,0,FFLAG)</f>
        <v>2</v>
      </c>
      <c r="O1867" s="15" t="s">
        <v>3008</v>
      </c>
      <c r="P1867" s="16" t="n">
        <f aca="false">MAX(P1866+M1867,D_PILEDES)</f>
        <v>46480</v>
      </c>
      <c r="Q1867" s="16" t="n">
        <f aca="false">MAX(P1867+K1867,Q1866+N1867)</f>
        <v>46483</v>
      </c>
      <c r="R1867" s="16" t="n">
        <f aca="false">IF(K1867&gt;0,Q1867,0)</f>
        <v>46483</v>
      </c>
      <c r="S1867" s="12"/>
    </row>
    <row r="1868" customFormat="false" ht="15" hidden="false" customHeight="false" outlineLevel="0" collapsed="false">
      <c r="A1868" s="15" t="s">
        <v>5516</v>
      </c>
      <c r="B1868" s="15" t="s">
        <v>5512</v>
      </c>
      <c r="C1868" s="15" t="s">
        <v>403</v>
      </c>
      <c r="D1868" s="15" t="s">
        <v>1502</v>
      </c>
      <c r="E1868" s="15" t="s">
        <v>1551</v>
      </c>
      <c r="F1868" s="15" t="s">
        <v>3010</v>
      </c>
      <c r="G1868" s="15" t="s">
        <v>3011</v>
      </c>
      <c r="H1868" s="33" t="n">
        <f aca="false">Packages!$AD$175</f>
        <v>1.27279387545695</v>
      </c>
      <c r="I1868" s="15" t="s">
        <v>3012</v>
      </c>
      <c r="J1868" s="34" t="n">
        <f aca="false">IF(Packages!$AD$175=0,0,MAX(1,ROUNDUP(Packages!$AD$175/(R_SHEET*Fronts!$I$11),0)))</f>
        <v>1</v>
      </c>
      <c r="K1868" s="34" t="n">
        <f aca="false">IF(J1868=0,0,ROUNDUP(J1868*7/WD,0))</f>
        <v>2</v>
      </c>
      <c r="L1868" s="15" t="s">
        <v>5515</v>
      </c>
      <c r="M1868" s="34" t="n">
        <f aca="false">ROUNDUP(K1867*LADDER,0)</f>
        <v>1</v>
      </c>
      <c r="N1868" s="34" t="n">
        <f aca="false">IF(K1868=0,0,FFLAG)</f>
        <v>2</v>
      </c>
      <c r="O1868" s="15"/>
      <c r="P1868" s="16" t="n">
        <f aca="false">MAX(P1867+M1868)</f>
        <v>46481</v>
      </c>
      <c r="Q1868" s="16" t="n">
        <f aca="false">MAX(P1868+K1868,Q1867+N1868)</f>
        <v>46485</v>
      </c>
      <c r="R1868" s="16" t="n">
        <f aca="false">IF(K1868&gt;0,Q1868,0)</f>
        <v>46485</v>
      </c>
      <c r="S1868" s="12"/>
    </row>
    <row r="1869" customFormat="false" ht="15" hidden="false" customHeight="false" outlineLevel="0" collapsed="false">
      <c r="A1869" s="15" t="s">
        <v>5517</v>
      </c>
      <c r="B1869" s="15" t="s">
        <v>5512</v>
      </c>
      <c r="C1869" s="15" t="s">
        <v>403</v>
      </c>
      <c r="D1869" s="15" t="s">
        <v>1502</v>
      </c>
      <c r="E1869" s="15" t="s">
        <v>1551</v>
      </c>
      <c r="F1869" s="15" t="s">
        <v>3014</v>
      </c>
      <c r="G1869" s="15" t="s">
        <v>3015</v>
      </c>
      <c r="H1869" s="33" t="n">
        <f aca="false">Packages!$O$175</f>
        <v>0.636396937728476</v>
      </c>
      <c r="I1869" s="15" t="s">
        <v>118</v>
      </c>
      <c r="J1869" s="34" t="n">
        <f aca="false">IF(Packages!$AG$175=0,0,ROUNDUP(Packages!$O$175/R_DW,0)+DW_DRAW)</f>
        <v>8</v>
      </c>
      <c r="K1869" s="34" t="n">
        <f aca="false">IF(J1869=0,0,ROUNDUP(J1869*7/WD,0))</f>
        <v>10</v>
      </c>
      <c r="L1869" s="15" t="s">
        <v>5516</v>
      </c>
      <c r="M1869" s="34" t="n">
        <f aca="false">ROUNDUP(K1868*LADDER,0)</f>
        <v>1</v>
      </c>
      <c r="N1869" s="34" t="n">
        <f aca="false">IF(K1869=0,0,FFLAG)</f>
        <v>2</v>
      </c>
      <c r="O1869" s="15"/>
      <c r="P1869" s="16" t="n">
        <f aca="false">MAX(P1868+M1869)</f>
        <v>46482</v>
      </c>
      <c r="Q1869" s="16" t="n">
        <f aca="false">MAX(P1869+K1869,Q1868+N1869)</f>
        <v>46492</v>
      </c>
      <c r="R1869" s="12"/>
      <c r="S1869" s="12"/>
    </row>
    <row r="1870" customFormat="false" ht="15" hidden="false" customHeight="false" outlineLevel="0" collapsed="false">
      <c r="A1870" s="15" t="s">
        <v>5518</v>
      </c>
      <c r="B1870" s="15" t="s">
        <v>5512</v>
      </c>
      <c r="C1870" s="15" t="s">
        <v>403</v>
      </c>
      <c r="D1870" s="15" t="s">
        <v>1502</v>
      </c>
      <c r="E1870" s="15" t="s">
        <v>1551</v>
      </c>
      <c r="F1870" s="15" t="s">
        <v>3017</v>
      </c>
      <c r="G1870" s="15" t="s">
        <v>3018</v>
      </c>
      <c r="H1870" s="33" t="n">
        <f aca="false">Packages!$X$175+Packages!$Y$175</f>
        <v>8.89748944447978</v>
      </c>
      <c r="I1870" s="15" t="s">
        <v>3019</v>
      </c>
      <c r="J1870" s="34" t="n">
        <f aca="false">MAX(1,ROUNDUP((Packages!$X$175/R_EXS+Packages!$Y$175/R_EXO)/Fronts!$J$11,0))</f>
        <v>1</v>
      </c>
      <c r="K1870" s="34" t="n">
        <f aca="false">IF(J1870=0,0,ROUNDUP(J1870*7/WD,0))</f>
        <v>2</v>
      </c>
      <c r="L1870" s="15" t="s">
        <v>5517</v>
      </c>
      <c r="M1870" s="34" t="n">
        <f aca="false">IF(K1869=0,0,ROUNDUP((K1869-ROUNDUP(DW_DRAW*7/WD,0))*LADDER,0)+ROUNDUP(DW_DRAW*7/WD,0))</f>
        <v>10</v>
      </c>
      <c r="N1870" s="34" t="n">
        <f aca="false">IF(K1870=0,0,FFLAG)</f>
        <v>2</v>
      </c>
      <c r="O1870" s="15"/>
      <c r="P1870" s="16" t="n">
        <f aca="false">MAX(P1869+M1870)</f>
        <v>46492</v>
      </c>
      <c r="Q1870" s="16" t="n">
        <f aca="false">MAX(P1870+K1870,Q1869+N1870)</f>
        <v>46494</v>
      </c>
      <c r="R1870" s="16" t="n">
        <f aca="false">IF(K1870&gt;0,Q1870,0)</f>
        <v>46494</v>
      </c>
      <c r="S1870" s="12"/>
    </row>
    <row r="1871" customFormat="false" ht="15" hidden="false" customHeight="false" outlineLevel="0" collapsed="false">
      <c r="A1871" s="15" t="s">
        <v>5519</v>
      </c>
      <c r="B1871" s="15" t="s">
        <v>5512</v>
      </c>
      <c r="C1871" s="15" t="s">
        <v>403</v>
      </c>
      <c r="D1871" s="15" t="s">
        <v>1502</v>
      </c>
      <c r="E1871" s="15" t="s">
        <v>1551</v>
      </c>
      <c r="F1871" s="15" t="s">
        <v>3022</v>
      </c>
      <c r="G1871" s="15" t="s">
        <v>3023</v>
      </c>
      <c r="H1871" s="33" t="n">
        <f aca="false">Packages!$O$175</f>
        <v>0.636396937728476</v>
      </c>
      <c r="I1871" s="15" t="s">
        <v>118</v>
      </c>
      <c r="J1871" s="34" t="n">
        <f aca="false">MAX(1,ROUNDUP(Packages!$O$175/(R_SLAB*Fronts!$K$11),0))+SLAB_CURE</f>
        <v>4</v>
      </c>
      <c r="K1871" s="34" t="n">
        <f aca="false">IF(J1871=0,0,ROUNDUP(J1871*7/WD,0))</f>
        <v>5</v>
      </c>
      <c r="L1871" s="15" t="s">
        <v>5518</v>
      </c>
      <c r="M1871" s="34" t="n">
        <f aca="false">ROUNDUP(K1870*LADDER,0)</f>
        <v>1</v>
      </c>
      <c r="N1871" s="34" t="n">
        <f aca="false">IF(K1871=0,0,FFLAG)</f>
        <v>2</v>
      </c>
      <c r="O1871" s="15"/>
      <c r="P1871" s="16" t="n">
        <f aca="false">MAX(P1870+M1871)</f>
        <v>46493</v>
      </c>
      <c r="Q1871" s="16" t="n">
        <f aca="false">MAX(P1871+K1871,Q1870+N1871)</f>
        <v>46498</v>
      </c>
      <c r="R1871" s="16" t="n">
        <f aca="false">IF(K1871&gt;0,Q1871,0)</f>
        <v>46498</v>
      </c>
      <c r="S1871" s="12"/>
    </row>
    <row r="1872" customFormat="false" ht="15" hidden="false" customHeight="false" outlineLevel="0" collapsed="false">
      <c r="A1872" s="15" t="s">
        <v>5520</v>
      </c>
      <c r="B1872" s="15" t="s">
        <v>5512</v>
      </c>
      <c r="C1872" s="15" t="s">
        <v>403</v>
      </c>
      <c r="D1872" s="15" t="s">
        <v>1502</v>
      </c>
      <c r="E1872" s="15" t="s">
        <v>1551</v>
      </c>
      <c r="F1872" s="15" t="s">
        <v>3025</v>
      </c>
      <c r="G1872" s="15" t="s">
        <v>3026</v>
      </c>
      <c r="H1872" s="33" t="n">
        <f aca="false">Packages!$O$175</f>
        <v>0.636396937728476</v>
      </c>
      <c r="I1872" s="15" t="s">
        <v>118</v>
      </c>
      <c r="J1872" s="34" t="n">
        <f aca="false">MAX(1,ROUNDUP(Packages!$O$175/(IF(Packages!$N$175&gt;=PIPE_T1,R_PIPE_L,IF(Packages!$N$175&gt;=PIPE_T2,R_PIPE_M,R_PIPE_S))*Fronts!$L$11)+Packages!$M$175*FIT_D+IF(Packages!$G$175&lt;&gt;"Run",TIE_D,0),0))</f>
        <v>4</v>
      </c>
      <c r="K1872" s="34" t="n">
        <f aca="false">IF(J1872=0,0,ROUNDUP(J1872*7/WD,0))</f>
        <v>5</v>
      </c>
      <c r="L1872" s="15" t="s">
        <v>5519</v>
      </c>
      <c r="M1872" s="34" t="n">
        <f aca="false">ROUNDUP(K1871*LADDER,0)</f>
        <v>2</v>
      </c>
      <c r="N1872" s="34" t="n">
        <f aca="false">IF(K1872=0,0,FFLAG)</f>
        <v>2</v>
      </c>
      <c r="O1872" s="15" t="s">
        <v>5521</v>
      </c>
      <c r="P1872" s="16" t="n">
        <f aca="false">MAX(P1871+M1872,Q1861)</f>
        <v>46573</v>
      </c>
      <c r="Q1872" s="16" t="n">
        <f aca="false">MAX(P1872+K1872,Q1871+N1872)</f>
        <v>46578</v>
      </c>
      <c r="R1872" s="16" t="n">
        <f aca="false">IF(K1872&gt;0,Q1872,0)</f>
        <v>46578</v>
      </c>
      <c r="S1872" s="12"/>
    </row>
    <row r="1873" customFormat="false" ht="15" hidden="false" customHeight="false" outlineLevel="0" collapsed="false">
      <c r="A1873" s="15" t="s">
        <v>5522</v>
      </c>
      <c r="B1873" s="15" t="s">
        <v>5512</v>
      </c>
      <c r="C1873" s="15" t="s">
        <v>403</v>
      </c>
      <c r="D1873" s="15" t="s">
        <v>1502</v>
      </c>
      <c r="E1873" s="15" t="s">
        <v>1551</v>
      </c>
      <c r="F1873" s="15" t="s">
        <v>3028</v>
      </c>
      <c r="G1873" s="15" t="s">
        <v>3029</v>
      </c>
      <c r="H1873" s="33" t="n">
        <f aca="false">Packages!$O$175</f>
        <v>0.636396937728476</v>
      </c>
      <c r="I1873" s="15" t="s">
        <v>118</v>
      </c>
      <c r="J1873" s="34" t="n">
        <f aca="false">TEST_D+ROUNDUP(Packages!$O$175/R_TEST,0)</f>
        <v>3</v>
      </c>
      <c r="K1873" s="34" t="n">
        <f aca="false">IF(J1873=0,0,ROUNDUP(J1873*7/WD,0))</f>
        <v>4</v>
      </c>
      <c r="L1873" s="15" t="s">
        <v>5520</v>
      </c>
      <c r="M1873" s="34" t="n">
        <f aca="false">ROUNDUP(K1872*LADDER,0)</f>
        <v>2</v>
      </c>
      <c r="N1873" s="34" t="n">
        <f aca="false">IF(K1873=0,0,FFLAG)</f>
        <v>2</v>
      </c>
      <c r="O1873" s="15"/>
      <c r="P1873" s="16" t="n">
        <f aca="false">MAX(P1872+M1873)</f>
        <v>46575</v>
      </c>
      <c r="Q1873" s="16" t="n">
        <f aca="false">MAX(P1873+K1873,Q1872+N1873)</f>
        <v>46580</v>
      </c>
      <c r="R1873" s="12"/>
      <c r="S1873" s="12"/>
    </row>
    <row r="1874" customFormat="false" ht="15" hidden="false" customHeight="false" outlineLevel="0" collapsed="false">
      <c r="A1874" s="15" t="s">
        <v>5523</v>
      </c>
      <c r="B1874" s="15" t="s">
        <v>5512</v>
      </c>
      <c r="C1874" s="15" t="s">
        <v>403</v>
      </c>
      <c r="D1874" s="15" t="s">
        <v>1502</v>
      </c>
      <c r="E1874" s="15" t="s">
        <v>1551</v>
      </c>
      <c r="F1874" s="15" t="s">
        <v>3031</v>
      </c>
      <c r="G1874" s="15" t="s">
        <v>3032</v>
      </c>
      <c r="H1874" s="33" t="n">
        <f aca="false">Packages!$AB$175</f>
        <v>7.78640840145135</v>
      </c>
      <c r="I1874" s="15" t="s">
        <v>3019</v>
      </c>
      <c r="J1874" s="34" t="n">
        <f aca="false">MAX(1,ROUNDUP(Packages!$AB$175/(R_BF*Fronts!$M$11),0))</f>
        <v>1</v>
      </c>
      <c r="K1874" s="34" t="n">
        <f aca="false">IF(J1874=0,0,ROUNDUP(J1874*7/WD,0))</f>
        <v>2</v>
      </c>
      <c r="L1874" s="15" t="s">
        <v>5522</v>
      </c>
      <c r="M1874" s="34" t="n">
        <f aca="false">ROUNDUP(K1873*LADDER,0)</f>
        <v>2</v>
      </c>
      <c r="N1874" s="34" t="n">
        <f aca="false">IF(K1874=0,0,FFLAG)</f>
        <v>2</v>
      </c>
      <c r="O1874" s="15"/>
      <c r="P1874" s="16" t="n">
        <f aca="false">MAX(P1873+M1874)</f>
        <v>46577</v>
      </c>
      <c r="Q1874" s="16" t="n">
        <f aca="false">MAX(P1874+K1874,Q1873+N1874)</f>
        <v>46582</v>
      </c>
      <c r="R1874" s="16" t="n">
        <f aca="false">IF(K1874&gt;0,Q1874,0)</f>
        <v>46582</v>
      </c>
      <c r="S1874" s="12"/>
    </row>
    <row r="1875" customFormat="false" ht="15" hidden="false" customHeight="false" outlineLevel="0" collapsed="false">
      <c r="A1875" s="15" t="s">
        <v>5524</v>
      </c>
      <c r="B1875" s="15" t="s">
        <v>5512</v>
      </c>
      <c r="C1875" s="15" t="s">
        <v>403</v>
      </c>
      <c r="D1875" s="15" t="s">
        <v>1502</v>
      </c>
      <c r="E1875" s="15" t="s">
        <v>1551</v>
      </c>
      <c r="F1875" s="15" t="s">
        <v>3034</v>
      </c>
      <c r="G1875" s="15" t="s">
        <v>3035</v>
      </c>
      <c r="H1875" s="33" t="n">
        <f aca="false">Packages!$AD$175</f>
        <v>1.27279387545695</v>
      </c>
      <c r="I1875" s="15" t="s">
        <v>3012</v>
      </c>
      <c r="J1875" s="34" t="n">
        <f aca="false">IF(Packages!$AD$175&gt;0,ROUNDUP(Packages!$AD$175/R_EXT,0),0)+IF(Packages!$AG$175&gt;0,1,0)</f>
        <v>2</v>
      </c>
      <c r="K1875" s="34" t="n">
        <f aca="false">IF(J1875=0,0,ROUNDUP(J1875*7/WD,0))</f>
        <v>3</v>
      </c>
      <c r="L1875" s="15" t="s">
        <v>5523</v>
      </c>
      <c r="M1875" s="34" t="n">
        <f aca="false">ROUNDUP(K1874*LADDER,0)</f>
        <v>1</v>
      </c>
      <c r="N1875" s="34" t="n">
        <f aca="false">IF(K1875=0,0,FFLAG)</f>
        <v>2</v>
      </c>
      <c r="O1875" s="15"/>
      <c r="P1875" s="16" t="n">
        <f aca="false">MAX(P1874+M1875)</f>
        <v>46578</v>
      </c>
      <c r="Q1875" s="16" t="n">
        <f aca="false">MAX(P1875+K1875,Q1874+N1875)</f>
        <v>46584</v>
      </c>
      <c r="R1875" s="12"/>
      <c r="S1875" s="12"/>
    </row>
    <row r="1876" customFormat="false" ht="15" hidden="false" customHeight="false" outlineLevel="0" collapsed="false">
      <c r="A1876" s="15" t="s">
        <v>5525</v>
      </c>
      <c r="B1876" s="15" t="s">
        <v>5526</v>
      </c>
      <c r="C1876" s="15" t="s">
        <v>403</v>
      </c>
      <c r="D1876" s="15" t="s">
        <v>1502</v>
      </c>
      <c r="E1876" s="15" t="s">
        <v>1570</v>
      </c>
      <c r="F1876" s="15" t="s">
        <v>2998</v>
      </c>
      <c r="G1876" s="15" t="s">
        <v>2999</v>
      </c>
      <c r="H1876" s="12"/>
      <c r="I1876" s="12"/>
      <c r="J1876" s="34" t="n">
        <f aca="false">0</f>
        <v>0</v>
      </c>
      <c r="K1876" s="34" t="n">
        <f aca="false">IF(J1876=0,0,ROUNDUP(J1876*7/WD,0))</f>
        <v>0</v>
      </c>
      <c r="L1876" s="12"/>
      <c r="M1876" s="12"/>
      <c r="N1876" s="12"/>
      <c r="O1876" s="15" t="s">
        <v>3000</v>
      </c>
      <c r="P1876" s="16" t="n">
        <f aca="false">MAX(START,D_DLU,Packages!$I$176,Packages!$K$176)</f>
        <v>46357</v>
      </c>
      <c r="Q1876" s="16" t="n">
        <f aca="false">P1876+K1876</f>
        <v>46357</v>
      </c>
      <c r="R1876" s="12"/>
      <c r="S1876" s="12"/>
    </row>
    <row r="1877" customFormat="false" ht="15" hidden="false" customHeight="false" outlineLevel="0" collapsed="false">
      <c r="A1877" s="15" t="s">
        <v>5527</v>
      </c>
      <c r="B1877" s="15" t="s">
        <v>5526</v>
      </c>
      <c r="C1877" s="15" t="s">
        <v>403</v>
      </c>
      <c r="D1877" s="15" t="s">
        <v>1502</v>
      </c>
      <c r="E1877" s="15" t="s">
        <v>1570</v>
      </c>
      <c r="F1877" s="15" t="s">
        <v>3002</v>
      </c>
      <c r="G1877" s="15" t="s">
        <v>205</v>
      </c>
      <c r="H1877" s="33" t="n">
        <f aca="false">Packages!$O$176</f>
        <v>31.4976860234119</v>
      </c>
      <c r="I1877" s="15" t="s">
        <v>118</v>
      </c>
      <c r="J1877" s="34" t="n">
        <f aca="false">MAX(1,ROUNDUP(Packages!$O$176/R_PLAT,0))</f>
        <v>1</v>
      </c>
      <c r="K1877" s="34" t="n">
        <f aca="false">IF(J1877=0,0,ROUNDUP(J1877*7/WD,0))</f>
        <v>2</v>
      </c>
      <c r="L1877" s="15" t="s">
        <v>5525</v>
      </c>
      <c r="M1877" s="12"/>
      <c r="N1877" s="12"/>
      <c r="O1877" s="15" t="s">
        <v>5528</v>
      </c>
      <c r="P1877" s="16" t="n">
        <f aca="false">MAX(Q1876,P1856)</f>
        <v>46479</v>
      </c>
      <c r="Q1877" s="16" t="n">
        <f aca="false">P1877+K1877</f>
        <v>46481</v>
      </c>
      <c r="R1877" s="12"/>
      <c r="S1877" s="12"/>
    </row>
    <row r="1878" customFormat="false" ht="15" hidden="false" customHeight="false" outlineLevel="0" collapsed="false">
      <c r="A1878" s="15" t="s">
        <v>5529</v>
      </c>
      <c r="B1878" s="15" t="s">
        <v>5526</v>
      </c>
      <c r="C1878" s="15" t="s">
        <v>403</v>
      </c>
      <c r="D1878" s="15" t="s">
        <v>1502</v>
      </c>
      <c r="E1878" s="15" t="s">
        <v>1570</v>
      </c>
      <c r="F1878" s="15" t="s">
        <v>3005</v>
      </c>
      <c r="G1878" s="15" t="s">
        <v>3006</v>
      </c>
      <c r="H1878" s="33" t="n">
        <f aca="false">Packages!$AC$176</f>
        <v>12</v>
      </c>
      <c r="I1878" s="15" t="s">
        <v>3007</v>
      </c>
      <c r="J1878" s="34" t="n">
        <f aca="false">IF(Packages!$AC$176=0,0,MAX(1,ROUNDUP(Packages!$AC$176/(R_PILE*Fronts!$H$11),0)))</f>
        <v>3</v>
      </c>
      <c r="K1878" s="34" t="n">
        <f aca="false">IF(J1878=0,0,ROUNDUP(J1878*7/WD,0))</f>
        <v>4</v>
      </c>
      <c r="L1878" s="15" t="s">
        <v>5527</v>
      </c>
      <c r="M1878" s="34" t="n">
        <f aca="false">ROUNDUP(K1877*LADDER,0)</f>
        <v>1</v>
      </c>
      <c r="N1878" s="34" t="n">
        <f aca="false">IF(K1878=0,0,FFLAG)</f>
        <v>2</v>
      </c>
      <c r="O1878" s="15" t="s">
        <v>3008</v>
      </c>
      <c r="P1878" s="16" t="n">
        <f aca="false">MAX(P1877+M1878,D_PILEDES,R1856)</f>
        <v>46483</v>
      </c>
      <c r="Q1878" s="16" t="n">
        <f aca="false">MAX(P1878+K1878,Q1877+N1878)</f>
        <v>46487</v>
      </c>
      <c r="R1878" s="16" t="n">
        <f aca="false">IF(K1878&gt;0,Q1878,R1856)</f>
        <v>46487</v>
      </c>
      <c r="S1878" s="15" t="s">
        <v>5501</v>
      </c>
    </row>
    <row r="1879" customFormat="false" ht="15" hidden="false" customHeight="false" outlineLevel="0" collapsed="false">
      <c r="A1879" s="15" t="s">
        <v>5530</v>
      </c>
      <c r="B1879" s="15" t="s">
        <v>5526</v>
      </c>
      <c r="C1879" s="15" t="s">
        <v>403</v>
      </c>
      <c r="D1879" s="15" t="s">
        <v>1502</v>
      </c>
      <c r="E1879" s="15" t="s">
        <v>1570</v>
      </c>
      <c r="F1879" s="15" t="s">
        <v>3010</v>
      </c>
      <c r="G1879" s="15" t="s">
        <v>3011</v>
      </c>
      <c r="H1879" s="33" t="n">
        <f aca="false">Packages!$AD$176</f>
        <v>62.9953720468238</v>
      </c>
      <c r="I1879" s="15" t="s">
        <v>3012</v>
      </c>
      <c r="J1879" s="34" t="n">
        <f aca="false">IF(Packages!$AD$176=0,0,MAX(1,ROUNDUP(Packages!$AD$176/(R_SHEET*Fronts!$I$11),0)))</f>
        <v>3</v>
      </c>
      <c r="K1879" s="34" t="n">
        <f aca="false">IF(J1879=0,0,ROUNDUP(J1879*7/WD,0))</f>
        <v>4</v>
      </c>
      <c r="L1879" s="15" t="s">
        <v>5529</v>
      </c>
      <c r="M1879" s="34" t="n">
        <f aca="false">ROUNDUP(K1878*LADDER,0)</f>
        <v>2</v>
      </c>
      <c r="N1879" s="34" t="n">
        <f aca="false">IF(K1879=0,0,FFLAG)</f>
        <v>2</v>
      </c>
      <c r="O1879" s="15"/>
      <c r="P1879" s="16" t="n">
        <f aca="false">MAX(P1878+M1879,R1857)</f>
        <v>46485</v>
      </c>
      <c r="Q1879" s="16" t="n">
        <f aca="false">MAX(P1879+K1879,Q1878+N1879)</f>
        <v>46489</v>
      </c>
      <c r="R1879" s="16" t="n">
        <f aca="false">IF(K1879&gt;0,Q1879,R1857)</f>
        <v>46489</v>
      </c>
      <c r="S1879" s="15" t="s">
        <v>5502</v>
      </c>
    </row>
    <row r="1880" customFormat="false" ht="15" hidden="false" customHeight="false" outlineLevel="0" collapsed="false">
      <c r="A1880" s="15" t="s">
        <v>5531</v>
      </c>
      <c r="B1880" s="15" t="s">
        <v>5526</v>
      </c>
      <c r="C1880" s="15" t="s">
        <v>403</v>
      </c>
      <c r="D1880" s="15" t="s">
        <v>1502</v>
      </c>
      <c r="E1880" s="15" t="s">
        <v>1570</v>
      </c>
      <c r="F1880" s="15" t="s">
        <v>3014</v>
      </c>
      <c r="G1880" s="15" t="s">
        <v>3015</v>
      </c>
      <c r="H1880" s="33" t="n">
        <f aca="false">Packages!$O$176</f>
        <v>31.4976860234119</v>
      </c>
      <c r="I1880" s="15" t="s">
        <v>118</v>
      </c>
      <c r="J1880" s="34" t="n">
        <f aca="false">IF(Packages!$AG$176=0,0,ROUNDUP(Packages!$O$176/R_DW,0)+DW_DRAW)</f>
        <v>8</v>
      </c>
      <c r="K1880" s="34" t="n">
        <f aca="false">IF(J1880=0,0,ROUNDUP(J1880*7/WD,0))</f>
        <v>10</v>
      </c>
      <c r="L1880" s="15" t="s">
        <v>5530</v>
      </c>
      <c r="M1880" s="34" t="n">
        <f aca="false">ROUNDUP(K1879*LADDER,0)</f>
        <v>2</v>
      </c>
      <c r="N1880" s="34" t="n">
        <f aca="false">IF(K1880=0,0,FFLAG)</f>
        <v>2</v>
      </c>
      <c r="O1880" s="15" t="s">
        <v>5532</v>
      </c>
      <c r="P1880" s="16" t="n">
        <f aca="false">MAX(P1879+M1880,Q1859-K1880)</f>
        <v>46496</v>
      </c>
      <c r="Q1880" s="16" t="n">
        <f aca="false">MAX(P1880+K1880,Q1879+N1880)</f>
        <v>46506</v>
      </c>
      <c r="R1880" s="12"/>
      <c r="S1880" s="12"/>
    </row>
    <row r="1881" customFormat="false" ht="15" hidden="false" customHeight="false" outlineLevel="0" collapsed="false">
      <c r="A1881" s="15" t="s">
        <v>5533</v>
      </c>
      <c r="B1881" s="15" t="s">
        <v>5526</v>
      </c>
      <c r="C1881" s="15" t="s">
        <v>403</v>
      </c>
      <c r="D1881" s="15" t="s">
        <v>1502</v>
      </c>
      <c r="E1881" s="15" t="s">
        <v>1570</v>
      </c>
      <c r="F1881" s="15" t="s">
        <v>3017</v>
      </c>
      <c r="G1881" s="15" t="s">
        <v>3018</v>
      </c>
      <c r="H1881" s="33" t="n">
        <f aca="false">Packages!$X$176+Packages!$Y$176</f>
        <v>321.215925122966</v>
      </c>
      <c r="I1881" s="15" t="s">
        <v>3019</v>
      </c>
      <c r="J1881" s="34" t="n">
        <f aca="false">MAX(1,ROUNDUP((Packages!$X$176/R_EXS+Packages!$Y$176/R_EXO)/Fronts!$J$11,0))</f>
        <v>2</v>
      </c>
      <c r="K1881" s="34" t="n">
        <f aca="false">IF(J1881=0,0,ROUNDUP(J1881*7/WD,0))</f>
        <v>3</v>
      </c>
      <c r="L1881" s="15" t="s">
        <v>5531</v>
      </c>
      <c r="M1881" s="34" t="n">
        <f aca="false">IF(K1880=0,0,ROUNDUP((K1880-ROUNDUP(DW_DRAW*7/WD,0))*LADDER,0)+ROUNDUP(DW_DRAW*7/WD,0))</f>
        <v>10</v>
      </c>
      <c r="N1881" s="34" t="n">
        <f aca="false">IF(K1881=0,0,FFLAG)</f>
        <v>2</v>
      </c>
      <c r="O1881" s="15"/>
      <c r="P1881" s="16" t="n">
        <f aca="false">MAX(P1880+M1881,R1859)</f>
        <v>46506</v>
      </c>
      <c r="Q1881" s="16" t="n">
        <f aca="false">MAX(P1881+K1881,Q1880+N1881)</f>
        <v>46509</v>
      </c>
      <c r="R1881" s="16" t="n">
        <f aca="false">IF(K1881&gt;0,Q1881,R1859)</f>
        <v>46509</v>
      </c>
      <c r="S1881" s="15" t="s">
        <v>5505</v>
      </c>
    </row>
    <row r="1882" customFormat="false" ht="15" hidden="false" customHeight="false" outlineLevel="0" collapsed="false">
      <c r="A1882" s="15" t="s">
        <v>5534</v>
      </c>
      <c r="B1882" s="15" t="s">
        <v>5526</v>
      </c>
      <c r="C1882" s="15" t="s">
        <v>403</v>
      </c>
      <c r="D1882" s="15" t="s">
        <v>1502</v>
      </c>
      <c r="E1882" s="15" t="s">
        <v>1570</v>
      </c>
      <c r="F1882" s="15" t="s">
        <v>3022</v>
      </c>
      <c r="G1882" s="15" t="s">
        <v>3023</v>
      </c>
      <c r="H1882" s="33" t="n">
        <f aca="false">Packages!$O$176</f>
        <v>31.4976860234119</v>
      </c>
      <c r="I1882" s="15" t="s">
        <v>118</v>
      </c>
      <c r="J1882" s="34" t="n">
        <f aca="false">MAX(1,ROUNDUP(Packages!$O$176/(R_SLAB*Fronts!$K$11),0))+SLAB_CURE</f>
        <v>6</v>
      </c>
      <c r="K1882" s="34" t="n">
        <f aca="false">IF(J1882=0,0,ROUNDUP(J1882*7/WD,0))</f>
        <v>7</v>
      </c>
      <c r="L1882" s="15" t="s">
        <v>5533</v>
      </c>
      <c r="M1882" s="34" t="n">
        <f aca="false">ROUNDUP(K1881*LADDER,0)</f>
        <v>1</v>
      </c>
      <c r="N1882" s="34" t="n">
        <f aca="false">IF(K1882=0,0,FFLAG)</f>
        <v>2</v>
      </c>
      <c r="O1882" s="15"/>
      <c r="P1882" s="16" t="n">
        <f aca="false">MAX(P1881+M1882,R1860)</f>
        <v>46571</v>
      </c>
      <c r="Q1882" s="16" t="n">
        <f aca="false">MAX(P1882+K1882,Q1881+N1882)</f>
        <v>46578</v>
      </c>
      <c r="R1882" s="16" t="n">
        <f aca="false">IF(K1882&gt;0,Q1882,R1860)</f>
        <v>46578</v>
      </c>
      <c r="S1882" s="15" t="s">
        <v>5506</v>
      </c>
    </row>
    <row r="1883" customFormat="false" ht="15" hidden="false" customHeight="false" outlineLevel="0" collapsed="false">
      <c r="A1883" s="15" t="s">
        <v>5535</v>
      </c>
      <c r="B1883" s="15" t="s">
        <v>5526</v>
      </c>
      <c r="C1883" s="15" t="s">
        <v>403</v>
      </c>
      <c r="D1883" s="15" t="s">
        <v>1502</v>
      </c>
      <c r="E1883" s="15" t="s">
        <v>1570</v>
      </c>
      <c r="F1883" s="15" t="s">
        <v>3025</v>
      </c>
      <c r="G1883" s="15" t="s">
        <v>3026</v>
      </c>
      <c r="H1883" s="33" t="n">
        <f aca="false">Packages!$O$176</f>
        <v>31.4976860234119</v>
      </c>
      <c r="I1883" s="15" t="s">
        <v>118</v>
      </c>
      <c r="J1883" s="34" t="n">
        <f aca="false">MAX(1,ROUNDUP(Packages!$O$176/(IF(Packages!$N$176&gt;=PIPE_T1,R_PIPE_L,IF(Packages!$N$176&gt;=PIPE_T2,R_PIPE_M,R_PIPE_S))*Fronts!$L$11)+Packages!$M$176*FIT_D+IF(Packages!$G$176&lt;&gt;"Run",TIE_D,0),0))</f>
        <v>4</v>
      </c>
      <c r="K1883" s="34" t="n">
        <f aca="false">IF(J1883=0,0,ROUNDUP(J1883*7/WD,0))</f>
        <v>5</v>
      </c>
      <c r="L1883" s="15" t="s">
        <v>5534</v>
      </c>
      <c r="M1883" s="34" t="n">
        <f aca="false">ROUNDUP(K1882*LADDER,0)</f>
        <v>3</v>
      </c>
      <c r="N1883" s="34" t="n">
        <f aca="false">IF(K1883=0,0,FFLAG)</f>
        <v>2</v>
      </c>
      <c r="O1883" s="15"/>
      <c r="P1883" s="16" t="n">
        <f aca="false">MAX(P1882+M1883,R1861)</f>
        <v>46574</v>
      </c>
      <c r="Q1883" s="16" t="n">
        <f aca="false">MAX(P1883+K1883,Q1882+N1883)</f>
        <v>46580</v>
      </c>
      <c r="R1883" s="16" t="n">
        <f aca="false">IF(K1883&gt;0,Q1883,R1861)</f>
        <v>46580</v>
      </c>
      <c r="S1883" s="15" t="s">
        <v>5507</v>
      </c>
    </row>
    <row r="1884" customFormat="false" ht="15" hidden="false" customHeight="false" outlineLevel="0" collapsed="false">
      <c r="A1884" s="15" t="s">
        <v>5536</v>
      </c>
      <c r="B1884" s="15" t="s">
        <v>5526</v>
      </c>
      <c r="C1884" s="15" t="s">
        <v>403</v>
      </c>
      <c r="D1884" s="15" t="s">
        <v>1502</v>
      </c>
      <c r="E1884" s="15" t="s">
        <v>1570</v>
      </c>
      <c r="F1884" s="15" t="s">
        <v>3028</v>
      </c>
      <c r="G1884" s="15" t="s">
        <v>3029</v>
      </c>
      <c r="H1884" s="33" t="n">
        <f aca="false">Packages!$O$176</f>
        <v>31.4976860234119</v>
      </c>
      <c r="I1884" s="15" t="s">
        <v>118</v>
      </c>
      <c r="J1884" s="34" t="n">
        <f aca="false">TEST_D+ROUNDUP(Packages!$O$176/R_TEST,0)</f>
        <v>3</v>
      </c>
      <c r="K1884" s="34" t="n">
        <f aca="false">IF(J1884=0,0,ROUNDUP(J1884*7/WD,0))</f>
        <v>4</v>
      </c>
      <c r="L1884" s="15" t="s">
        <v>5535</v>
      </c>
      <c r="M1884" s="34" t="n">
        <f aca="false">ROUNDUP(K1883*LADDER,0)</f>
        <v>2</v>
      </c>
      <c r="N1884" s="34" t="n">
        <f aca="false">IF(K1884=0,0,FFLAG)</f>
        <v>2</v>
      </c>
      <c r="O1884" s="15"/>
      <c r="P1884" s="16" t="n">
        <f aca="false">MAX(P1883+M1884)</f>
        <v>46576</v>
      </c>
      <c r="Q1884" s="16" t="n">
        <f aca="false">MAX(P1884+K1884,Q1883+N1884)</f>
        <v>46582</v>
      </c>
      <c r="R1884" s="12"/>
      <c r="S1884" s="12"/>
    </row>
    <row r="1885" customFormat="false" ht="15" hidden="false" customHeight="false" outlineLevel="0" collapsed="false">
      <c r="A1885" s="15" t="s">
        <v>5537</v>
      </c>
      <c r="B1885" s="15" t="s">
        <v>5526</v>
      </c>
      <c r="C1885" s="15" t="s">
        <v>403</v>
      </c>
      <c r="D1885" s="15" t="s">
        <v>1502</v>
      </c>
      <c r="E1885" s="15" t="s">
        <v>1570</v>
      </c>
      <c r="F1885" s="15" t="s">
        <v>3031</v>
      </c>
      <c r="G1885" s="15" t="s">
        <v>3032</v>
      </c>
      <c r="H1885" s="33" t="n">
        <f aca="false">Packages!$AB$176</f>
        <v>265.005435751609</v>
      </c>
      <c r="I1885" s="15" t="s">
        <v>3019</v>
      </c>
      <c r="J1885" s="34" t="n">
        <f aca="false">MAX(1,ROUNDUP(Packages!$AB$176/(R_BF*Fronts!$M$11),0))</f>
        <v>1</v>
      </c>
      <c r="K1885" s="34" t="n">
        <f aca="false">IF(J1885=0,0,ROUNDUP(J1885*7/WD,0))</f>
        <v>2</v>
      </c>
      <c r="L1885" s="15" t="s">
        <v>5536</v>
      </c>
      <c r="M1885" s="34" t="n">
        <f aca="false">ROUNDUP(K1884*LADDER,0)</f>
        <v>2</v>
      </c>
      <c r="N1885" s="34" t="n">
        <f aca="false">IF(K1885=0,0,FFLAG)</f>
        <v>2</v>
      </c>
      <c r="O1885" s="15"/>
      <c r="P1885" s="16" t="n">
        <f aca="false">MAX(P1884+M1885,R1863)</f>
        <v>46578</v>
      </c>
      <c r="Q1885" s="16" t="n">
        <f aca="false">MAX(P1885+K1885,Q1884+N1885)</f>
        <v>46584</v>
      </c>
      <c r="R1885" s="16" t="n">
        <f aca="false">IF(K1885&gt;0,Q1885,R1863)</f>
        <v>46584</v>
      </c>
      <c r="S1885" s="15" t="s">
        <v>5509</v>
      </c>
    </row>
    <row r="1886" customFormat="false" ht="15" hidden="false" customHeight="false" outlineLevel="0" collapsed="false">
      <c r="A1886" s="15" t="s">
        <v>5538</v>
      </c>
      <c r="B1886" s="15" t="s">
        <v>5526</v>
      </c>
      <c r="C1886" s="15" t="s">
        <v>403</v>
      </c>
      <c r="D1886" s="15" t="s">
        <v>1502</v>
      </c>
      <c r="E1886" s="15" t="s">
        <v>1570</v>
      </c>
      <c r="F1886" s="15" t="s">
        <v>3034</v>
      </c>
      <c r="G1886" s="15" t="s">
        <v>3035</v>
      </c>
      <c r="H1886" s="33" t="n">
        <f aca="false">Packages!$AD$176</f>
        <v>62.9953720468238</v>
      </c>
      <c r="I1886" s="15" t="s">
        <v>3012</v>
      </c>
      <c r="J1886" s="34" t="n">
        <f aca="false">IF(Packages!$AD$176&gt;0,ROUNDUP(Packages!$AD$176/R_EXT,0),0)+IF(Packages!$AG$176&gt;0,1,0)</f>
        <v>3</v>
      </c>
      <c r="K1886" s="34" t="n">
        <f aca="false">IF(J1886=0,0,ROUNDUP(J1886*7/WD,0))</f>
        <v>4</v>
      </c>
      <c r="L1886" s="15" t="s">
        <v>5537</v>
      </c>
      <c r="M1886" s="34" t="n">
        <f aca="false">ROUNDUP(K1885*LADDER,0)</f>
        <v>1</v>
      </c>
      <c r="N1886" s="34" t="n">
        <f aca="false">IF(K1886=0,0,FFLAG)</f>
        <v>2</v>
      </c>
      <c r="O1886" s="15"/>
      <c r="P1886" s="16" t="n">
        <f aca="false">MAX(P1885+M1886)</f>
        <v>46579</v>
      </c>
      <c r="Q1886" s="16" t="n">
        <f aca="false">MAX(P1886+K1886,Q1885+N1886)</f>
        <v>46586</v>
      </c>
      <c r="R1886" s="12"/>
      <c r="S1886" s="12"/>
    </row>
    <row r="1887" customFormat="false" ht="15" hidden="false" customHeight="false" outlineLevel="0" collapsed="false">
      <c r="A1887" s="15" t="s">
        <v>5539</v>
      </c>
      <c r="B1887" s="15" t="s">
        <v>5540</v>
      </c>
      <c r="C1887" s="15" t="s">
        <v>403</v>
      </c>
      <c r="D1887" s="15" t="s">
        <v>1502</v>
      </c>
      <c r="E1887" s="15" t="s">
        <v>1518</v>
      </c>
      <c r="F1887" s="15" t="s">
        <v>2998</v>
      </c>
      <c r="G1887" s="15" t="s">
        <v>2999</v>
      </c>
      <c r="H1887" s="12"/>
      <c r="I1887" s="12"/>
      <c r="J1887" s="34" t="n">
        <f aca="false">0</f>
        <v>0</v>
      </c>
      <c r="K1887" s="34" t="n">
        <f aca="false">IF(J1887=0,0,ROUNDUP(J1887*7/WD,0))</f>
        <v>0</v>
      </c>
      <c r="L1887" s="12"/>
      <c r="M1887" s="12"/>
      <c r="N1887" s="12"/>
      <c r="O1887" s="15" t="s">
        <v>3000</v>
      </c>
      <c r="P1887" s="16" t="n">
        <f aca="false">MAX(START,D_DLU,Packages!$I$177,Packages!$K$177)</f>
        <v>46357</v>
      </c>
      <c r="Q1887" s="16" t="n">
        <f aca="false">P1887+K1887</f>
        <v>46357</v>
      </c>
      <c r="R1887" s="12"/>
      <c r="S1887" s="12"/>
    </row>
    <row r="1888" customFormat="false" ht="15" hidden="false" customHeight="false" outlineLevel="0" collapsed="false">
      <c r="A1888" s="15" t="s">
        <v>5541</v>
      </c>
      <c r="B1888" s="15" t="s">
        <v>5540</v>
      </c>
      <c r="C1888" s="15" t="s">
        <v>403</v>
      </c>
      <c r="D1888" s="15" t="s">
        <v>1502</v>
      </c>
      <c r="E1888" s="15" t="s">
        <v>1518</v>
      </c>
      <c r="F1888" s="15" t="s">
        <v>3002</v>
      </c>
      <c r="G1888" s="15" t="s">
        <v>205</v>
      </c>
      <c r="H1888" s="33" t="n">
        <f aca="false">Packages!$O$177</f>
        <v>42.2115947917713</v>
      </c>
      <c r="I1888" s="15" t="s">
        <v>118</v>
      </c>
      <c r="J1888" s="34" t="n">
        <f aca="false">MAX(1,ROUNDUP(Packages!$O$177/R_PLAT,0))</f>
        <v>1</v>
      </c>
      <c r="K1888" s="34" t="n">
        <f aca="false">IF(J1888=0,0,ROUNDUP(J1888*7/WD,0))</f>
        <v>2</v>
      </c>
      <c r="L1888" s="15" t="s">
        <v>5539</v>
      </c>
      <c r="M1888" s="12"/>
      <c r="N1888" s="12"/>
      <c r="O1888" s="15" t="s">
        <v>5542</v>
      </c>
      <c r="P1888" s="16" t="n">
        <f aca="false">MAX(Q1887,P1878)</f>
        <v>46483</v>
      </c>
      <c r="Q1888" s="16" t="n">
        <f aca="false">P1888+K1888</f>
        <v>46485</v>
      </c>
      <c r="R1888" s="12"/>
      <c r="S1888" s="12"/>
    </row>
    <row r="1889" customFormat="false" ht="15" hidden="false" customHeight="false" outlineLevel="0" collapsed="false">
      <c r="A1889" s="15" t="s">
        <v>5543</v>
      </c>
      <c r="B1889" s="15" t="s">
        <v>5540</v>
      </c>
      <c r="C1889" s="15" t="s">
        <v>403</v>
      </c>
      <c r="D1889" s="15" t="s">
        <v>1502</v>
      </c>
      <c r="E1889" s="15" t="s">
        <v>1518</v>
      </c>
      <c r="F1889" s="15" t="s">
        <v>3005</v>
      </c>
      <c r="G1889" s="15" t="s">
        <v>3006</v>
      </c>
      <c r="H1889" s="33" t="n">
        <f aca="false">Packages!$AC$177</f>
        <v>32</v>
      </c>
      <c r="I1889" s="15" t="s">
        <v>3007</v>
      </c>
      <c r="J1889" s="34" t="n">
        <f aca="false">IF(Packages!$AC$177=0,0,MAX(1,ROUNDUP(Packages!$AC$177/(R_PILE*Fronts!$H$11),0)))</f>
        <v>7</v>
      </c>
      <c r="K1889" s="34" t="n">
        <f aca="false">IF(J1889=0,0,ROUNDUP(J1889*7/WD,0))</f>
        <v>9</v>
      </c>
      <c r="L1889" s="15" t="s">
        <v>5541</v>
      </c>
      <c r="M1889" s="34" t="n">
        <f aca="false">ROUNDUP(K1888*LADDER,0)</f>
        <v>1</v>
      </c>
      <c r="N1889" s="34" t="n">
        <f aca="false">IF(K1889=0,0,FFLAG)</f>
        <v>2</v>
      </c>
      <c r="O1889" s="15" t="s">
        <v>3008</v>
      </c>
      <c r="P1889" s="16" t="n">
        <f aca="false">MAX(P1888+M1889,D_PILEDES,R1878)</f>
        <v>46487</v>
      </c>
      <c r="Q1889" s="16" t="n">
        <f aca="false">MAX(P1889+K1889,Q1888+N1889)</f>
        <v>46496</v>
      </c>
      <c r="R1889" s="16" t="n">
        <f aca="false">IF(K1889&gt;0,Q1889,R1878)</f>
        <v>46496</v>
      </c>
      <c r="S1889" s="15" t="s">
        <v>5529</v>
      </c>
    </row>
    <row r="1890" customFormat="false" ht="15" hidden="false" customHeight="false" outlineLevel="0" collapsed="false">
      <c r="A1890" s="15" t="s">
        <v>5544</v>
      </c>
      <c r="B1890" s="15" t="s">
        <v>5540</v>
      </c>
      <c r="C1890" s="15" t="s">
        <v>403</v>
      </c>
      <c r="D1890" s="15" t="s">
        <v>1502</v>
      </c>
      <c r="E1890" s="15" t="s">
        <v>1518</v>
      </c>
      <c r="F1890" s="15" t="s">
        <v>3010</v>
      </c>
      <c r="G1890" s="15" t="s">
        <v>3011</v>
      </c>
      <c r="H1890" s="33" t="n">
        <f aca="false">Packages!$AD$177</f>
        <v>84.4231895835427</v>
      </c>
      <c r="I1890" s="15" t="s">
        <v>3012</v>
      </c>
      <c r="J1890" s="34" t="n">
        <f aca="false">IF(Packages!$AD$177=0,0,MAX(1,ROUNDUP(Packages!$AD$177/(R_SHEET*Fronts!$I$11),0)))</f>
        <v>4</v>
      </c>
      <c r="K1890" s="34" t="n">
        <f aca="false">IF(J1890=0,0,ROUNDUP(J1890*7/WD,0))</f>
        <v>5</v>
      </c>
      <c r="L1890" s="15" t="s">
        <v>5543</v>
      </c>
      <c r="M1890" s="34" t="n">
        <f aca="false">ROUNDUP(K1889*LADDER,0)</f>
        <v>3</v>
      </c>
      <c r="N1890" s="34" t="n">
        <f aca="false">IF(K1890=0,0,FFLAG)</f>
        <v>2</v>
      </c>
      <c r="O1890" s="15"/>
      <c r="P1890" s="16" t="n">
        <f aca="false">MAX(P1889+M1890,R1879)</f>
        <v>46490</v>
      </c>
      <c r="Q1890" s="16" t="n">
        <f aca="false">MAX(P1890+K1890,Q1889+N1890)</f>
        <v>46498</v>
      </c>
      <c r="R1890" s="16" t="n">
        <f aca="false">IF(K1890&gt;0,Q1890,R1879)</f>
        <v>46498</v>
      </c>
      <c r="S1890" s="15" t="s">
        <v>5530</v>
      </c>
    </row>
    <row r="1891" customFormat="false" ht="15" hidden="false" customHeight="false" outlineLevel="0" collapsed="false">
      <c r="A1891" s="15" t="s">
        <v>5545</v>
      </c>
      <c r="B1891" s="15" t="s">
        <v>5540</v>
      </c>
      <c r="C1891" s="15" t="s">
        <v>403</v>
      </c>
      <c r="D1891" s="15" t="s">
        <v>1502</v>
      </c>
      <c r="E1891" s="15" t="s">
        <v>1518</v>
      </c>
      <c r="F1891" s="15" t="s">
        <v>3014</v>
      </c>
      <c r="G1891" s="15" t="s">
        <v>3015</v>
      </c>
      <c r="H1891" s="33" t="n">
        <f aca="false">Packages!$O$177</f>
        <v>42.2115947917713</v>
      </c>
      <c r="I1891" s="15" t="s">
        <v>118</v>
      </c>
      <c r="J1891" s="34" t="n">
        <f aca="false">IF(Packages!$AG$177=0,0,ROUNDUP(Packages!$O$177/R_DW,0)+DW_DRAW)</f>
        <v>9</v>
      </c>
      <c r="K1891" s="34" t="n">
        <f aca="false">IF(J1891=0,0,ROUNDUP(J1891*7/WD,0))</f>
        <v>11</v>
      </c>
      <c r="L1891" s="15" t="s">
        <v>5544</v>
      </c>
      <c r="M1891" s="34" t="n">
        <f aca="false">ROUNDUP(K1890*LADDER,0)</f>
        <v>2</v>
      </c>
      <c r="N1891" s="34" t="n">
        <f aca="false">IF(K1891=0,0,FFLAG)</f>
        <v>2</v>
      </c>
      <c r="O1891" s="15" t="s">
        <v>5546</v>
      </c>
      <c r="P1891" s="16" t="n">
        <f aca="false">MAX(P1890+M1891,Q1881-K1891)</f>
        <v>46498</v>
      </c>
      <c r="Q1891" s="16" t="n">
        <f aca="false">MAX(P1891+K1891,Q1890+N1891)</f>
        <v>46509</v>
      </c>
      <c r="R1891" s="12"/>
      <c r="S1891" s="12"/>
    </row>
    <row r="1892" customFormat="false" ht="15" hidden="false" customHeight="false" outlineLevel="0" collapsed="false">
      <c r="A1892" s="15" t="s">
        <v>5547</v>
      </c>
      <c r="B1892" s="15" t="s">
        <v>5540</v>
      </c>
      <c r="C1892" s="15" t="s">
        <v>403</v>
      </c>
      <c r="D1892" s="15" t="s">
        <v>1502</v>
      </c>
      <c r="E1892" s="15" t="s">
        <v>1518</v>
      </c>
      <c r="F1892" s="15" t="s">
        <v>3017</v>
      </c>
      <c r="G1892" s="15" t="s">
        <v>3018</v>
      </c>
      <c r="H1892" s="33" t="n">
        <f aca="false">Packages!$X$177+Packages!$Y$177</f>
        <v>463.581084833135</v>
      </c>
      <c r="I1892" s="15" t="s">
        <v>3019</v>
      </c>
      <c r="J1892" s="34" t="n">
        <f aca="false">MAX(1,ROUNDUP((Packages!$X$177/R_EXS+Packages!$Y$177/R_EXO)/Fronts!$J$11,0))</f>
        <v>2</v>
      </c>
      <c r="K1892" s="34" t="n">
        <f aca="false">IF(J1892=0,0,ROUNDUP(J1892*7/WD,0))</f>
        <v>3</v>
      </c>
      <c r="L1892" s="15" t="s">
        <v>5545</v>
      </c>
      <c r="M1892" s="34" t="n">
        <f aca="false">IF(K1891=0,0,ROUNDUP((K1891-ROUNDUP(DW_DRAW*7/WD,0))*LADDER,0)+ROUNDUP(DW_DRAW*7/WD,0))</f>
        <v>10</v>
      </c>
      <c r="N1892" s="34" t="n">
        <f aca="false">IF(K1892=0,0,FFLAG)</f>
        <v>2</v>
      </c>
      <c r="O1892" s="15"/>
      <c r="P1892" s="16" t="n">
        <f aca="false">MAX(P1891+M1892,R1881)</f>
        <v>46509</v>
      </c>
      <c r="Q1892" s="16" t="n">
        <f aca="false">MAX(P1892+K1892,Q1891+N1892)</f>
        <v>46512</v>
      </c>
      <c r="R1892" s="16" t="n">
        <f aca="false">IF(K1892&gt;0,Q1892,R1881)</f>
        <v>46512</v>
      </c>
      <c r="S1892" s="15" t="s">
        <v>5533</v>
      </c>
    </row>
    <row r="1893" customFormat="false" ht="15" hidden="false" customHeight="false" outlineLevel="0" collapsed="false">
      <c r="A1893" s="15" t="s">
        <v>5548</v>
      </c>
      <c r="B1893" s="15" t="s">
        <v>5540</v>
      </c>
      <c r="C1893" s="15" t="s">
        <v>403</v>
      </c>
      <c r="D1893" s="15" t="s">
        <v>1502</v>
      </c>
      <c r="E1893" s="15" t="s">
        <v>1518</v>
      </c>
      <c r="F1893" s="15" t="s">
        <v>3022</v>
      </c>
      <c r="G1893" s="15" t="s">
        <v>3023</v>
      </c>
      <c r="H1893" s="33" t="n">
        <f aca="false">Packages!$O$177</f>
        <v>42.2115947917713</v>
      </c>
      <c r="I1893" s="15" t="s">
        <v>118</v>
      </c>
      <c r="J1893" s="34" t="n">
        <f aca="false">MAX(1,ROUNDUP(Packages!$O$177/(R_SLAB*Fronts!$K$11),0))+SLAB_CURE</f>
        <v>7</v>
      </c>
      <c r="K1893" s="34" t="n">
        <f aca="false">IF(J1893=0,0,ROUNDUP(J1893*7/WD,0))</f>
        <v>9</v>
      </c>
      <c r="L1893" s="15" t="s">
        <v>5547</v>
      </c>
      <c r="M1893" s="34" t="n">
        <f aca="false">ROUNDUP(K1892*LADDER,0)</f>
        <v>1</v>
      </c>
      <c r="N1893" s="34" t="n">
        <f aca="false">IF(K1893=0,0,FFLAG)</f>
        <v>2</v>
      </c>
      <c r="O1893" s="15"/>
      <c r="P1893" s="16" t="n">
        <f aca="false">MAX(P1892+M1893,R1882)</f>
        <v>46578</v>
      </c>
      <c r="Q1893" s="16" t="n">
        <f aca="false">MAX(P1893+K1893,Q1892+N1893)</f>
        <v>46587</v>
      </c>
      <c r="R1893" s="16" t="n">
        <f aca="false">IF(K1893&gt;0,Q1893,R1882)</f>
        <v>46587</v>
      </c>
      <c r="S1893" s="15" t="s">
        <v>5534</v>
      </c>
    </row>
    <row r="1894" customFormat="false" ht="15" hidden="false" customHeight="false" outlineLevel="0" collapsed="false">
      <c r="A1894" s="15" t="s">
        <v>5549</v>
      </c>
      <c r="B1894" s="15" t="s">
        <v>5540</v>
      </c>
      <c r="C1894" s="15" t="s">
        <v>403</v>
      </c>
      <c r="D1894" s="15" t="s">
        <v>1502</v>
      </c>
      <c r="E1894" s="15" t="s">
        <v>1518</v>
      </c>
      <c r="F1894" s="15" t="s">
        <v>3025</v>
      </c>
      <c r="G1894" s="15" t="s">
        <v>3026</v>
      </c>
      <c r="H1894" s="33" t="n">
        <f aca="false">Packages!$O$177</f>
        <v>42.2115947917713</v>
      </c>
      <c r="I1894" s="15" t="s">
        <v>118</v>
      </c>
      <c r="J1894" s="34" t="n">
        <f aca="false">MAX(1,ROUNDUP(Packages!$O$177/(IF(Packages!$N$177&gt;=PIPE_T1,R_PIPE_L,IF(Packages!$N$177&gt;=PIPE_T2,R_PIPE_M,R_PIPE_S))*Fronts!$L$11)+Packages!$M$177*FIT_D+IF(Packages!$G$177&lt;&gt;"Run",TIE_D,0),0))</f>
        <v>6</v>
      </c>
      <c r="K1894" s="34" t="n">
        <f aca="false">IF(J1894=0,0,ROUNDUP(J1894*7/WD,0))</f>
        <v>7</v>
      </c>
      <c r="L1894" s="15" t="s">
        <v>5548</v>
      </c>
      <c r="M1894" s="34" t="n">
        <f aca="false">ROUNDUP(K1893*LADDER,0)</f>
        <v>3</v>
      </c>
      <c r="N1894" s="34" t="n">
        <f aca="false">IF(K1894=0,0,FFLAG)</f>
        <v>2</v>
      </c>
      <c r="O1894" s="15"/>
      <c r="P1894" s="16" t="n">
        <f aca="false">MAX(P1893+M1894,R1883)</f>
        <v>46581</v>
      </c>
      <c r="Q1894" s="16" t="n">
        <f aca="false">MAX(P1894+K1894,Q1893+N1894)</f>
        <v>46589</v>
      </c>
      <c r="R1894" s="16" t="n">
        <f aca="false">IF(K1894&gt;0,Q1894,R1883)</f>
        <v>46589</v>
      </c>
      <c r="S1894" s="15" t="s">
        <v>5535</v>
      </c>
    </row>
    <row r="1895" customFormat="false" ht="15" hidden="false" customHeight="false" outlineLevel="0" collapsed="false">
      <c r="A1895" s="15" t="s">
        <v>5550</v>
      </c>
      <c r="B1895" s="15" t="s">
        <v>5540</v>
      </c>
      <c r="C1895" s="15" t="s">
        <v>403</v>
      </c>
      <c r="D1895" s="15" t="s">
        <v>1502</v>
      </c>
      <c r="E1895" s="15" t="s">
        <v>1518</v>
      </c>
      <c r="F1895" s="15" t="s">
        <v>3028</v>
      </c>
      <c r="G1895" s="15" t="s">
        <v>3029</v>
      </c>
      <c r="H1895" s="33" t="n">
        <f aca="false">Packages!$O$177</f>
        <v>42.2115947917713</v>
      </c>
      <c r="I1895" s="15" t="s">
        <v>118</v>
      </c>
      <c r="J1895" s="34" t="n">
        <f aca="false">TEST_D+ROUNDUP(Packages!$O$177/R_TEST,0)</f>
        <v>3</v>
      </c>
      <c r="K1895" s="34" t="n">
        <f aca="false">IF(J1895=0,0,ROUNDUP(J1895*7/WD,0))</f>
        <v>4</v>
      </c>
      <c r="L1895" s="15" t="s">
        <v>5549</v>
      </c>
      <c r="M1895" s="34" t="n">
        <f aca="false">ROUNDUP(K1894*LADDER,0)</f>
        <v>3</v>
      </c>
      <c r="N1895" s="34" t="n">
        <f aca="false">IF(K1895=0,0,FFLAG)</f>
        <v>2</v>
      </c>
      <c r="O1895" s="15"/>
      <c r="P1895" s="16" t="n">
        <f aca="false">MAX(P1894+M1895)</f>
        <v>46584</v>
      </c>
      <c r="Q1895" s="16" t="n">
        <f aca="false">MAX(P1895+K1895,Q1894+N1895)</f>
        <v>46591</v>
      </c>
      <c r="R1895" s="12"/>
      <c r="S1895" s="12"/>
    </row>
    <row r="1896" customFormat="false" ht="15" hidden="false" customHeight="false" outlineLevel="0" collapsed="false">
      <c r="A1896" s="15" t="s">
        <v>5551</v>
      </c>
      <c r="B1896" s="15" t="s">
        <v>5540</v>
      </c>
      <c r="C1896" s="15" t="s">
        <v>403</v>
      </c>
      <c r="D1896" s="15" t="s">
        <v>1502</v>
      </c>
      <c r="E1896" s="15" t="s">
        <v>1518</v>
      </c>
      <c r="F1896" s="15" t="s">
        <v>3031</v>
      </c>
      <c r="G1896" s="15" t="s">
        <v>3032</v>
      </c>
      <c r="H1896" s="33" t="n">
        <f aca="false">Packages!$AB$177</f>
        <v>385.495905104573</v>
      </c>
      <c r="I1896" s="15" t="s">
        <v>3019</v>
      </c>
      <c r="J1896" s="34" t="n">
        <f aca="false">MAX(1,ROUNDUP(Packages!$AB$177/(R_BF*Fronts!$M$11),0))</f>
        <v>2</v>
      </c>
      <c r="K1896" s="34" t="n">
        <f aca="false">IF(J1896=0,0,ROUNDUP(J1896*7/WD,0))</f>
        <v>3</v>
      </c>
      <c r="L1896" s="15" t="s">
        <v>5550</v>
      </c>
      <c r="M1896" s="34" t="n">
        <f aca="false">ROUNDUP(K1895*LADDER,0)</f>
        <v>2</v>
      </c>
      <c r="N1896" s="34" t="n">
        <f aca="false">IF(K1896=0,0,FFLAG)</f>
        <v>2</v>
      </c>
      <c r="O1896" s="15" t="s">
        <v>5552</v>
      </c>
      <c r="P1896" s="16" t="n">
        <f aca="false">MAX(P1895+M1896,R1885,Q1916)</f>
        <v>46600</v>
      </c>
      <c r="Q1896" s="16" t="n">
        <f aca="false">MAX(P1896+K1896,Q1895+N1896)</f>
        <v>46603</v>
      </c>
      <c r="R1896" s="16" t="n">
        <f aca="false">IF(K1896&gt;0,Q1896,R1885)</f>
        <v>46603</v>
      </c>
      <c r="S1896" s="15" t="s">
        <v>5537</v>
      </c>
    </row>
    <row r="1897" customFormat="false" ht="15" hidden="false" customHeight="false" outlineLevel="0" collapsed="false">
      <c r="A1897" s="15" t="s">
        <v>5553</v>
      </c>
      <c r="B1897" s="15" t="s">
        <v>5540</v>
      </c>
      <c r="C1897" s="15" t="s">
        <v>403</v>
      </c>
      <c r="D1897" s="15" t="s">
        <v>1502</v>
      </c>
      <c r="E1897" s="15" t="s">
        <v>1518</v>
      </c>
      <c r="F1897" s="15" t="s">
        <v>3034</v>
      </c>
      <c r="G1897" s="15" t="s">
        <v>3035</v>
      </c>
      <c r="H1897" s="33" t="n">
        <f aca="false">Packages!$AD$177</f>
        <v>84.4231895835427</v>
      </c>
      <c r="I1897" s="15" t="s">
        <v>3012</v>
      </c>
      <c r="J1897" s="34" t="n">
        <f aca="false">IF(Packages!$AD$177&gt;0,ROUNDUP(Packages!$AD$177/R_EXT,0),0)+IF(Packages!$AG$177&gt;0,1,0)</f>
        <v>3</v>
      </c>
      <c r="K1897" s="34" t="n">
        <f aca="false">IF(J1897=0,0,ROUNDUP(J1897*7/WD,0))</f>
        <v>4</v>
      </c>
      <c r="L1897" s="15" t="s">
        <v>5551</v>
      </c>
      <c r="M1897" s="34" t="n">
        <f aca="false">ROUNDUP(K1896*LADDER,0)</f>
        <v>1</v>
      </c>
      <c r="N1897" s="34" t="n">
        <f aca="false">IF(K1897=0,0,FFLAG)</f>
        <v>2</v>
      </c>
      <c r="O1897" s="15"/>
      <c r="P1897" s="16" t="n">
        <f aca="false">MAX(P1896+M1897)</f>
        <v>46601</v>
      </c>
      <c r="Q1897" s="16" t="n">
        <f aca="false">MAX(P1897+K1897,Q1896+N1897)</f>
        <v>46605</v>
      </c>
      <c r="R1897" s="12"/>
      <c r="S1897" s="12"/>
    </row>
    <row r="1898" customFormat="false" ht="15" hidden="false" customHeight="false" outlineLevel="0" collapsed="false">
      <c r="A1898" s="15" t="s">
        <v>5554</v>
      </c>
      <c r="B1898" s="15" t="s">
        <v>5555</v>
      </c>
      <c r="C1898" s="15" t="s">
        <v>403</v>
      </c>
      <c r="D1898" s="15" t="s">
        <v>1502</v>
      </c>
      <c r="E1898" s="15" t="s">
        <v>1516</v>
      </c>
      <c r="F1898" s="15" t="s">
        <v>2998</v>
      </c>
      <c r="G1898" s="15" t="s">
        <v>2999</v>
      </c>
      <c r="H1898" s="12"/>
      <c r="I1898" s="12"/>
      <c r="J1898" s="34" t="n">
        <f aca="false">0</f>
        <v>0</v>
      </c>
      <c r="K1898" s="34" t="n">
        <f aca="false">IF(J1898=0,0,ROUNDUP(J1898*7/WD,0))</f>
        <v>0</v>
      </c>
      <c r="L1898" s="12"/>
      <c r="M1898" s="12"/>
      <c r="N1898" s="12"/>
      <c r="O1898" s="15" t="s">
        <v>3038</v>
      </c>
      <c r="P1898" s="16" t="n">
        <f aca="false">MAX(START,D_DLU,Packages!$I$178,Packages!$K$178)</f>
        <v>46357</v>
      </c>
      <c r="Q1898" s="16" t="n">
        <f aca="false">P1898+K1898</f>
        <v>46357</v>
      </c>
      <c r="R1898" s="12"/>
      <c r="S1898" s="12"/>
    </row>
    <row r="1899" customFormat="false" ht="15" hidden="false" customHeight="false" outlineLevel="0" collapsed="false">
      <c r="A1899" s="15" t="s">
        <v>5556</v>
      </c>
      <c r="B1899" s="15" t="s">
        <v>5555</v>
      </c>
      <c r="C1899" s="15" t="s">
        <v>403</v>
      </c>
      <c r="D1899" s="15" t="s">
        <v>1502</v>
      </c>
      <c r="E1899" s="15" t="s">
        <v>1516</v>
      </c>
      <c r="F1899" s="15" t="s">
        <v>3002</v>
      </c>
      <c r="G1899" s="15" t="s">
        <v>205</v>
      </c>
      <c r="H1899" s="33" t="n">
        <f aca="false">Packages!$O$178</f>
        <v>6.00000000037933</v>
      </c>
      <c r="I1899" s="15" t="s">
        <v>118</v>
      </c>
      <c r="J1899" s="34" t="n">
        <f aca="false">MAX(1,ROUNDUP(Packages!$O$178/R_PLAT,0))</f>
        <v>1</v>
      </c>
      <c r="K1899" s="34" t="n">
        <f aca="false">IF(J1899=0,0,ROUNDUP(J1899*7/WD,0))</f>
        <v>2</v>
      </c>
      <c r="L1899" s="15" t="s">
        <v>5554</v>
      </c>
      <c r="M1899" s="12"/>
      <c r="N1899" s="12"/>
      <c r="O1899" s="15" t="s">
        <v>5557</v>
      </c>
      <c r="P1899" s="16" t="n">
        <f aca="false">MAX(Q1898,P1889)</f>
        <v>46487</v>
      </c>
      <c r="Q1899" s="16" t="n">
        <f aca="false">P1899+K1899</f>
        <v>46489</v>
      </c>
      <c r="R1899" s="12"/>
      <c r="S1899" s="12"/>
    </row>
    <row r="1900" customFormat="false" ht="15" hidden="false" customHeight="false" outlineLevel="0" collapsed="false">
      <c r="A1900" s="15" t="s">
        <v>5558</v>
      </c>
      <c r="B1900" s="15" t="s">
        <v>5555</v>
      </c>
      <c r="C1900" s="15" t="s">
        <v>403</v>
      </c>
      <c r="D1900" s="15" t="s">
        <v>1502</v>
      </c>
      <c r="E1900" s="15" t="s">
        <v>1516</v>
      </c>
      <c r="F1900" s="15" t="s">
        <v>3005</v>
      </c>
      <c r="G1900" s="15" t="s">
        <v>3006</v>
      </c>
      <c r="H1900" s="33" t="n">
        <f aca="false">Packages!$AC$178</f>
        <v>4</v>
      </c>
      <c r="I1900" s="15" t="s">
        <v>3007</v>
      </c>
      <c r="J1900" s="34" t="n">
        <f aca="false">IF(Packages!$AC$178=0,0,MAX(1,ROUNDUP(Packages!$AC$178/(R_PILE*Fronts!$H$11),0)))</f>
        <v>1</v>
      </c>
      <c r="K1900" s="34" t="n">
        <f aca="false">IF(J1900=0,0,ROUNDUP(J1900*7/WD,0))</f>
        <v>2</v>
      </c>
      <c r="L1900" s="15" t="s">
        <v>5556</v>
      </c>
      <c r="M1900" s="34" t="n">
        <f aca="false">ROUNDUP(K1899*LADDER,0)</f>
        <v>1</v>
      </c>
      <c r="N1900" s="34" t="n">
        <f aca="false">IF(K1900=0,0,FFLAG)</f>
        <v>2</v>
      </c>
      <c r="O1900" s="15" t="s">
        <v>3008</v>
      </c>
      <c r="P1900" s="16" t="n">
        <f aca="false">MAX(P1899+M1900,D_PILEDES)</f>
        <v>46488</v>
      </c>
      <c r="Q1900" s="16" t="n">
        <f aca="false">MAX(P1900+K1900,Q1899+N1900)</f>
        <v>46491</v>
      </c>
      <c r="R1900" s="16" t="n">
        <f aca="false">IF(K1900&gt;0,Q1900,0)</f>
        <v>46491</v>
      </c>
      <c r="S1900" s="12"/>
    </row>
    <row r="1901" customFormat="false" ht="15" hidden="false" customHeight="false" outlineLevel="0" collapsed="false">
      <c r="A1901" s="15" t="s">
        <v>5559</v>
      </c>
      <c r="B1901" s="15" t="s">
        <v>5555</v>
      </c>
      <c r="C1901" s="15" t="s">
        <v>403</v>
      </c>
      <c r="D1901" s="15" t="s">
        <v>1502</v>
      </c>
      <c r="E1901" s="15" t="s">
        <v>1516</v>
      </c>
      <c r="F1901" s="15" t="s">
        <v>3010</v>
      </c>
      <c r="G1901" s="15" t="s">
        <v>3011</v>
      </c>
      <c r="H1901" s="33" t="n">
        <f aca="false">Packages!$AD$178</f>
        <v>12.0000000007587</v>
      </c>
      <c r="I1901" s="15" t="s">
        <v>3012</v>
      </c>
      <c r="J1901" s="34" t="n">
        <f aca="false">IF(Packages!$AD$178=0,0,MAX(1,ROUNDUP(Packages!$AD$178/(R_SHEET*Fronts!$I$11),0)))</f>
        <v>1</v>
      </c>
      <c r="K1901" s="34" t="n">
        <f aca="false">IF(J1901=0,0,ROUNDUP(J1901*7/WD,0))</f>
        <v>2</v>
      </c>
      <c r="L1901" s="15" t="s">
        <v>5558</v>
      </c>
      <c r="M1901" s="34" t="n">
        <f aca="false">ROUNDUP(K1900*LADDER,0)</f>
        <v>1</v>
      </c>
      <c r="N1901" s="34" t="n">
        <f aca="false">IF(K1901=0,0,FFLAG)</f>
        <v>2</v>
      </c>
      <c r="O1901" s="15"/>
      <c r="P1901" s="16" t="n">
        <f aca="false">MAX(P1900+M1901)</f>
        <v>46489</v>
      </c>
      <c r="Q1901" s="16" t="n">
        <f aca="false">MAX(P1901+K1901,Q1900+N1901)</f>
        <v>46493</v>
      </c>
      <c r="R1901" s="16" t="n">
        <f aca="false">IF(K1901&gt;0,Q1901,0)</f>
        <v>46493</v>
      </c>
      <c r="S1901" s="12"/>
    </row>
    <row r="1902" customFormat="false" ht="15" hidden="false" customHeight="false" outlineLevel="0" collapsed="false">
      <c r="A1902" s="15" t="s">
        <v>5560</v>
      </c>
      <c r="B1902" s="15" t="s">
        <v>5555</v>
      </c>
      <c r="C1902" s="15" t="s">
        <v>403</v>
      </c>
      <c r="D1902" s="15" t="s">
        <v>1502</v>
      </c>
      <c r="E1902" s="15" t="s">
        <v>1516</v>
      </c>
      <c r="F1902" s="15" t="s">
        <v>3014</v>
      </c>
      <c r="G1902" s="15" t="s">
        <v>3015</v>
      </c>
      <c r="H1902" s="33" t="n">
        <f aca="false">Packages!$O$178</f>
        <v>6.00000000037933</v>
      </c>
      <c r="I1902" s="15" t="s">
        <v>118</v>
      </c>
      <c r="J1902" s="34" t="n">
        <f aca="false">IF(Packages!$AG$178=0,0,ROUNDUP(Packages!$O$178/R_DW,0)+DW_DRAW)</f>
        <v>8</v>
      </c>
      <c r="K1902" s="34" t="n">
        <f aca="false">IF(J1902=0,0,ROUNDUP(J1902*7/WD,0))</f>
        <v>10</v>
      </c>
      <c r="L1902" s="15" t="s">
        <v>5559</v>
      </c>
      <c r="M1902" s="34" t="n">
        <f aca="false">ROUNDUP(K1901*LADDER,0)</f>
        <v>1</v>
      </c>
      <c r="N1902" s="34" t="n">
        <f aca="false">IF(K1902=0,0,FFLAG)</f>
        <v>2</v>
      </c>
      <c r="O1902" s="15"/>
      <c r="P1902" s="16" t="n">
        <f aca="false">MAX(P1901+M1902)</f>
        <v>46490</v>
      </c>
      <c r="Q1902" s="16" t="n">
        <f aca="false">MAX(P1902+K1902,Q1901+N1902)</f>
        <v>46500</v>
      </c>
      <c r="R1902" s="12"/>
      <c r="S1902" s="12"/>
    </row>
    <row r="1903" customFormat="false" ht="15" hidden="false" customHeight="false" outlineLevel="0" collapsed="false">
      <c r="A1903" s="15" t="s">
        <v>5561</v>
      </c>
      <c r="B1903" s="15" t="s">
        <v>5555</v>
      </c>
      <c r="C1903" s="15" t="s">
        <v>403</v>
      </c>
      <c r="D1903" s="15" t="s">
        <v>1502</v>
      </c>
      <c r="E1903" s="15" t="s">
        <v>1516</v>
      </c>
      <c r="F1903" s="15" t="s">
        <v>3017</v>
      </c>
      <c r="G1903" s="15" t="s">
        <v>3018</v>
      </c>
      <c r="H1903" s="33" t="n">
        <f aca="false">Packages!$X$178+Packages!$Y$178</f>
        <v>62.0999361034144</v>
      </c>
      <c r="I1903" s="15" t="s">
        <v>3019</v>
      </c>
      <c r="J1903" s="34" t="n">
        <f aca="false">MAX(1,ROUNDUP((Packages!$X$178/R_EXS+Packages!$Y$178/R_EXO)/Fronts!$J$11,0))</f>
        <v>1</v>
      </c>
      <c r="K1903" s="34" t="n">
        <f aca="false">IF(J1903=0,0,ROUNDUP(J1903*7/WD,0))</f>
        <v>2</v>
      </c>
      <c r="L1903" s="15" t="s">
        <v>5560</v>
      </c>
      <c r="M1903" s="34" t="n">
        <f aca="false">IF(K1902=0,0,ROUNDUP((K1902-ROUNDUP(DW_DRAW*7/WD,0))*LADDER,0)+ROUNDUP(DW_DRAW*7/WD,0))</f>
        <v>10</v>
      </c>
      <c r="N1903" s="34" t="n">
        <f aca="false">IF(K1903=0,0,FFLAG)</f>
        <v>2</v>
      </c>
      <c r="O1903" s="15"/>
      <c r="P1903" s="16" t="n">
        <f aca="false">MAX(P1902+M1903)</f>
        <v>46500</v>
      </c>
      <c r="Q1903" s="16" t="n">
        <f aca="false">MAX(P1903+K1903,Q1902+N1903)</f>
        <v>46502</v>
      </c>
      <c r="R1903" s="16" t="n">
        <f aca="false">IF(K1903&gt;0,Q1903,0)</f>
        <v>46502</v>
      </c>
      <c r="S1903" s="12"/>
    </row>
    <row r="1904" customFormat="false" ht="15" hidden="false" customHeight="false" outlineLevel="0" collapsed="false">
      <c r="A1904" s="15" t="s">
        <v>5562</v>
      </c>
      <c r="B1904" s="15" t="s">
        <v>5555</v>
      </c>
      <c r="C1904" s="15" t="s">
        <v>403</v>
      </c>
      <c r="D1904" s="15" t="s">
        <v>1502</v>
      </c>
      <c r="E1904" s="15" t="s">
        <v>1516</v>
      </c>
      <c r="F1904" s="15" t="s">
        <v>3022</v>
      </c>
      <c r="G1904" s="15" t="s">
        <v>3023</v>
      </c>
      <c r="H1904" s="33" t="n">
        <f aca="false">Packages!$O$178</f>
        <v>6.00000000037933</v>
      </c>
      <c r="I1904" s="15" t="s">
        <v>118</v>
      </c>
      <c r="J1904" s="34" t="n">
        <f aca="false">MAX(1,ROUNDUP(Packages!$O$178/(R_SLAB*Fronts!$K$11),0))+SLAB_CURE</f>
        <v>4</v>
      </c>
      <c r="K1904" s="34" t="n">
        <f aca="false">IF(J1904=0,0,ROUNDUP(J1904*7/WD,0))</f>
        <v>5</v>
      </c>
      <c r="L1904" s="15" t="s">
        <v>5561</v>
      </c>
      <c r="M1904" s="34" t="n">
        <f aca="false">ROUNDUP(K1903*LADDER,0)</f>
        <v>1</v>
      </c>
      <c r="N1904" s="34" t="n">
        <f aca="false">IF(K1904=0,0,FFLAG)</f>
        <v>2</v>
      </c>
      <c r="O1904" s="15"/>
      <c r="P1904" s="16" t="n">
        <f aca="false">MAX(P1903+M1904)</f>
        <v>46501</v>
      </c>
      <c r="Q1904" s="16" t="n">
        <f aca="false">MAX(P1904+K1904,Q1903+N1904)</f>
        <v>46506</v>
      </c>
      <c r="R1904" s="16" t="n">
        <f aca="false">IF(K1904&gt;0,Q1904,0)</f>
        <v>46506</v>
      </c>
      <c r="S1904" s="12"/>
    </row>
    <row r="1905" customFormat="false" ht="15" hidden="false" customHeight="false" outlineLevel="0" collapsed="false">
      <c r="A1905" s="15" t="s">
        <v>5563</v>
      </c>
      <c r="B1905" s="15" t="s">
        <v>5555</v>
      </c>
      <c r="C1905" s="15" t="s">
        <v>403</v>
      </c>
      <c r="D1905" s="15" t="s">
        <v>1502</v>
      </c>
      <c r="E1905" s="15" t="s">
        <v>1516</v>
      </c>
      <c r="F1905" s="15" t="s">
        <v>3025</v>
      </c>
      <c r="G1905" s="15" t="s">
        <v>3026</v>
      </c>
      <c r="H1905" s="33" t="n">
        <f aca="false">Packages!$O$178</f>
        <v>6.00000000037933</v>
      </c>
      <c r="I1905" s="15" t="s">
        <v>118</v>
      </c>
      <c r="J1905" s="34" t="n">
        <f aca="false">MAX(1,ROUNDUP(Packages!$O$178/(IF(Packages!$N$178&gt;=PIPE_T1,R_PIPE_L,IF(Packages!$N$178&gt;=PIPE_T2,R_PIPE_M,R_PIPE_S))*Fronts!$L$11)+Packages!$M$178*FIT_D+IF(Packages!$G$178&lt;&gt;"Run",TIE_D,0),0))</f>
        <v>4</v>
      </c>
      <c r="K1905" s="34" t="n">
        <f aca="false">IF(J1905=0,0,ROUNDUP(J1905*7/WD,0))</f>
        <v>5</v>
      </c>
      <c r="L1905" s="15" t="s">
        <v>5562</v>
      </c>
      <c r="M1905" s="34" t="n">
        <f aca="false">ROUNDUP(K1904*LADDER,0)</f>
        <v>2</v>
      </c>
      <c r="N1905" s="34" t="n">
        <f aca="false">IF(K1905=0,0,FFLAG)</f>
        <v>2</v>
      </c>
      <c r="O1905" s="15" t="s">
        <v>5564</v>
      </c>
      <c r="P1905" s="16" t="n">
        <f aca="false">MAX(P1904+M1905,Q1894)</f>
        <v>46589</v>
      </c>
      <c r="Q1905" s="16" t="n">
        <f aca="false">MAX(P1905+K1905,Q1904+N1905)</f>
        <v>46594</v>
      </c>
      <c r="R1905" s="16" t="n">
        <f aca="false">IF(K1905&gt;0,Q1905,0)</f>
        <v>46594</v>
      </c>
      <c r="S1905" s="12"/>
    </row>
    <row r="1906" customFormat="false" ht="15" hidden="false" customHeight="false" outlineLevel="0" collapsed="false">
      <c r="A1906" s="15" t="s">
        <v>5565</v>
      </c>
      <c r="B1906" s="15" t="s">
        <v>5555</v>
      </c>
      <c r="C1906" s="15" t="s">
        <v>403</v>
      </c>
      <c r="D1906" s="15" t="s">
        <v>1502</v>
      </c>
      <c r="E1906" s="15" t="s">
        <v>1516</v>
      </c>
      <c r="F1906" s="15" t="s">
        <v>3028</v>
      </c>
      <c r="G1906" s="15" t="s">
        <v>3029</v>
      </c>
      <c r="H1906" s="33" t="n">
        <f aca="false">Packages!$O$178</f>
        <v>6.00000000037933</v>
      </c>
      <c r="I1906" s="15" t="s">
        <v>118</v>
      </c>
      <c r="J1906" s="34" t="n">
        <f aca="false">TEST_D+ROUNDUP(Packages!$O$178/R_TEST,0)</f>
        <v>3</v>
      </c>
      <c r="K1906" s="34" t="n">
        <f aca="false">IF(J1906=0,0,ROUNDUP(J1906*7/WD,0))</f>
        <v>4</v>
      </c>
      <c r="L1906" s="15" t="s">
        <v>5563</v>
      </c>
      <c r="M1906" s="34" t="n">
        <f aca="false">ROUNDUP(K1905*LADDER,0)</f>
        <v>2</v>
      </c>
      <c r="N1906" s="34" t="n">
        <f aca="false">IF(K1906=0,0,FFLAG)</f>
        <v>2</v>
      </c>
      <c r="O1906" s="15"/>
      <c r="P1906" s="16" t="n">
        <f aca="false">MAX(P1905+M1906)</f>
        <v>46591</v>
      </c>
      <c r="Q1906" s="16" t="n">
        <f aca="false">MAX(P1906+K1906,Q1905+N1906)</f>
        <v>46596</v>
      </c>
      <c r="R1906" s="12"/>
      <c r="S1906" s="12"/>
    </row>
    <row r="1907" customFormat="false" ht="15" hidden="false" customHeight="false" outlineLevel="0" collapsed="false">
      <c r="A1907" s="15" t="s">
        <v>5566</v>
      </c>
      <c r="B1907" s="15" t="s">
        <v>5555</v>
      </c>
      <c r="C1907" s="15" t="s">
        <v>403</v>
      </c>
      <c r="D1907" s="15" t="s">
        <v>1502</v>
      </c>
      <c r="E1907" s="15" t="s">
        <v>1516</v>
      </c>
      <c r="F1907" s="15" t="s">
        <v>3031</v>
      </c>
      <c r="G1907" s="15" t="s">
        <v>3032</v>
      </c>
      <c r="H1907" s="33" t="n">
        <f aca="false">Packages!$AB$178</f>
        <v>51.3875738546485</v>
      </c>
      <c r="I1907" s="15" t="s">
        <v>3019</v>
      </c>
      <c r="J1907" s="34" t="n">
        <f aca="false">MAX(1,ROUNDUP(Packages!$AB$178/(R_BF*Fronts!$M$11),0))</f>
        <v>1</v>
      </c>
      <c r="K1907" s="34" t="n">
        <f aca="false">IF(J1907=0,0,ROUNDUP(J1907*7/WD,0))</f>
        <v>2</v>
      </c>
      <c r="L1907" s="15" t="s">
        <v>5565</v>
      </c>
      <c r="M1907" s="34" t="n">
        <f aca="false">ROUNDUP(K1906*LADDER,0)</f>
        <v>2</v>
      </c>
      <c r="N1907" s="34" t="n">
        <f aca="false">IF(K1907=0,0,FFLAG)</f>
        <v>2</v>
      </c>
      <c r="O1907" s="15" t="s">
        <v>5552</v>
      </c>
      <c r="P1907" s="16" t="n">
        <f aca="false">MAX(P1906+M1907,Q1916)</f>
        <v>46600</v>
      </c>
      <c r="Q1907" s="16" t="n">
        <f aca="false">MAX(P1907+K1907,Q1906+N1907)</f>
        <v>46602</v>
      </c>
      <c r="R1907" s="16" t="n">
        <f aca="false">IF(K1907&gt;0,Q1907,0)</f>
        <v>46602</v>
      </c>
      <c r="S1907" s="12"/>
    </row>
    <row r="1908" customFormat="false" ht="15" hidden="false" customHeight="false" outlineLevel="0" collapsed="false">
      <c r="A1908" s="15" t="s">
        <v>5567</v>
      </c>
      <c r="B1908" s="15" t="s">
        <v>5555</v>
      </c>
      <c r="C1908" s="15" t="s">
        <v>403</v>
      </c>
      <c r="D1908" s="15" t="s">
        <v>1502</v>
      </c>
      <c r="E1908" s="15" t="s">
        <v>1516</v>
      </c>
      <c r="F1908" s="15" t="s">
        <v>3034</v>
      </c>
      <c r="G1908" s="15" t="s">
        <v>3035</v>
      </c>
      <c r="H1908" s="33" t="n">
        <f aca="false">Packages!$AD$178</f>
        <v>12.0000000007587</v>
      </c>
      <c r="I1908" s="15" t="s">
        <v>3012</v>
      </c>
      <c r="J1908" s="34" t="n">
        <f aca="false">IF(Packages!$AD$178&gt;0,ROUNDUP(Packages!$AD$178/R_EXT,0),0)+IF(Packages!$AG$178&gt;0,1,0)</f>
        <v>2</v>
      </c>
      <c r="K1908" s="34" t="n">
        <f aca="false">IF(J1908=0,0,ROUNDUP(J1908*7/WD,0))</f>
        <v>3</v>
      </c>
      <c r="L1908" s="15" t="s">
        <v>5566</v>
      </c>
      <c r="M1908" s="34" t="n">
        <f aca="false">ROUNDUP(K1907*LADDER,0)</f>
        <v>1</v>
      </c>
      <c r="N1908" s="34" t="n">
        <f aca="false">IF(K1908=0,0,FFLAG)</f>
        <v>2</v>
      </c>
      <c r="O1908" s="15"/>
      <c r="P1908" s="16" t="n">
        <f aca="false">MAX(P1907+M1908)</f>
        <v>46601</v>
      </c>
      <c r="Q1908" s="16" t="n">
        <f aca="false">MAX(P1908+K1908,Q1907+N1908)</f>
        <v>46604</v>
      </c>
      <c r="R1908" s="12"/>
      <c r="S1908" s="12"/>
    </row>
    <row r="1909" customFormat="false" ht="15" hidden="false" customHeight="false" outlineLevel="0" collapsed="false">
      <c r="A1909" s="15" t="s">
        <v>5568</v>
      </c>
      <c r="B1909" s="15" t="s">
        <v>5569</v>
      </c>
      <c r="C1909" s="15" t="s">
        <v>403</v>
      </c>
      <c r="D1909" s="15" t="s">
        <v>1807</v>
      </c>
      <c r="E1909" s="15" t="s">
        <v>1808</v>
      </c>
      <c r="F1909" s="15" t="s">
        <v>2998</v>
      </c>
      <c r="G1909" s="15" t="s">
        <v>2999</v>
      </c>
      <c r="H1909" s="12"/>
      <c r="I1909" s="12"/>
      <c r="J1909" s="34" t="n">
        <f aca="false">0</f>
        <v>0</v>
      </c>
      <c r="K1909" s="34" t="n">
        <f aca="false">IF(J1909=0,0,ROUNDUP(J1909*7/WD,0))</f>
        <v>0</v>
      </c>
      <c r="L1909" s="12"/>
      <c r="M1909" s="12"/>
      <c r="N1909" s="12"/>
      <c r="O1909" s="15" t="s">
        <v>3038</v>
      </c>
      <c r="P1909" s="16" t="n">
        <f aca="false">MAX(START,D_DLU,Packages!$I$179,Packages!$K$179)</f>
        <v>46357</v>
      </c>
      <c r="Q1909" s="16" t="n">
        <f aca="false">P1909+K1909</f>
        <v>46357</v>
      </c>
      <c r="R1909" s="12"/>
      <c r="S1909" s="12"/>
    </row>
    <row r="1910" customFormat="false" ht="15" hidden="false" customHeight="false" outlineLevel="0" collapsed="false">
      <c r="A1910" s="15" t="s">
        <v>5570</v>
      </c>
      <c r="B1910" s="15" t="s">
        <v>5569</v>
      </c>
      <c r="C1910" s="15" t="s">
        <v>403</v>
      </c>
      <c r="D1910" s="15" t="s">
        <v>1807</v>
      </c>
      <c r="E1910" s="15" t="s">
        <v>1808</v>
      </c>
      <c r="F1910" s="15" t="s">
        <v>3002</v>
      </c>
      <c r="G1910" s="15" t="s">
        <v>205</v>
      </c>
      <c r="H1910" s="33" t="n">
        <f aca="false">Packages!$O$179</f>
        <v>37.5871894306267</v>
      </c>
      <c r="I1910" s="15" t="s">
        <v>118</v>
      </c>
      <c r="J1910" s="34" t="n">
        <f aca="false">MAX(1,ROUNDUP(Packages!$O$179/R_PLAT,0))</f>
        <v>1</v>
      </c>
      <c r="K1910" s="34" t="n">
        <f aca="false">IF(J1910=0,0,ROUNDUP(J1910*7/WD,0))</f>
        <v>2</v>
      </c>
      <c r="L1910" s="15" t="s">
        <v>5568</v>
      </c>
      <c r="M1910" s="12"/>
      <c r="N1910" s="12"/>
      <c r="O1910" s="15" t="s">
        <v>3003</v>
      </c>
      <c r="P1910" s="16" t="n">
        <f aca="false">MAX(Q1909)</f>
        <v>46357</v>
      </c>
      <c r="Q1910" s="16" t="n">
        <f aca="false">P1910+K1910</f>
        <v>46359</v>
      </c>
      <c r="R1910" s="12"/>
      <c r="S1910" s="12"/>
    </row>
    <row r="1911" customFormat="false" ht="15" hidden="false" customHeight="false" outlineLevel="0" collapsed="false">
      <c r="A1911" s="15" t="s">
        <v>5571</v>
      </c>
      <c r="B1911" s="15" t="s">
        <v>5569</v>
      </c>
      <c r="C1911" s="15" t="s">
        <v>403</v>
      </c>
      <c r="D1911" s="15" t="s">
        <v>1807</v>
      </c>
      <c r="E1911" s="15" t="s">
        <v>1808</v>
      </c>
      <c r="F1911" s="15" t="s">
        <v>3005</v>
      </c>
      <c r="G1911" s="15" t="s">
        <v>3006</v>
      </c>
      <c r="H1911" s="33" t="n">
        <f aca="false">Packages!$AC$179</f>
        <v>28</v>
      </c>
      <c r="I1911" s="15" t="s">
        <v>3007</v>
      </c>
      <c r="J1911" s="34" t="n">
        <f aca="false">IF(Packages!$AC$179=0,0,MAX(1,ROUNDUP(Packages!$AC$179/(R_PILE*Fronts!$H$11),0)))</f>
        <v>6</v>
      </c>
      <c r="K1911" s="34" t="n">
        <f aca="false">IF(J1911=0,0,ROUNDUP(J1911*7/WD,0))</f>
        <v>7</v>
      </c>
      <c r="L1911" s="15" t="s">
        <v>5570</v>
      </c>
      <c r="M1911" s="34" t="n">
        <f aca="false">ROUNDUP(K1910*LADDER,0)</f>
        <v>1</v>
      </c>
      <c r="N1911" s="34" t="n">
        <f aca="false">IF(K1911=0,0,FFLAG)</f>
        <v>2</v>
      </c>
      <c r="O1911" s="15" t="s">
        <v>3008</v>
      </c>
      <c r="P1911" s="16" t="n">
        <f aca="false">MAX(P1910+M1911,D_PILEDES)</f>
        <v>46358</v>
      </c>
      <c r="Q1911" s="16" t="n">
        <f aca="false">MAX(P1911+K1911,Q1910+N1911)</f>
        <v>46365</v>
      </c>
      <c r="R1911" s="16" t="n">
        <f aca="false">IF(K1911&gt;0,Q1911,0)</f>
        <v>46365</v>
      </c>
      <c r="S1911" s="12"/>
    </row>
    <row r="1912" customFormat="false" ht="15" hidden="false" customHeight="false" outlineLevel="0" collapsed="false">
      <c r="A1912" s="15" t="s">
        <v>5572</v>
      </c>
      <c r="B1912" s="15" t="s">
        <v>5569</v>
      </c>
      <c r="C1912" s="15" t="s">
        <v>403</v>
      </c>
      <c r="D1912" s="15" t="s">
        <v>1807</v>
      </c>
      <c r="E1912" s="15" t="s">
        <v>1808</v>
      </c>
      <c r="F1912" s="15" t="s">
        <v>3010</v>
      </c>
      <c r="G1912" s="15" t="s">
        <v>3011</v>
      </c>
      <c r="H1912" s="33" t="n">
        <f aca="false">Packages!$AD$179</f>
        <v>1.67994769135224</v>
      </c>
      <c r="I1912" s="15" t="s">
        <v>3012</v>
      </c>
      <c r="J1912" s="34" t="n">
        <f aca="false">IF(Packages!$AD$179=0,0,MAX(1,ROUNDUP(Packages!$AD$179/(R_SHEET*Fronts!$I$11),0)))</f>
        <v>1</v>
      </c>
      <c r="K1912" s="34" t="n">
        <f aca="false">IF(J1912=0,0,ROUNDUP(J1912*7/WD,0))</f>
        <v>2</v>
      </c>
      <c r="L1912" s="15" t="s">
        <v>5571</v>
      </c>
      <c r="M1912" s="34" t="n">
        <f aca="false">ROUNDUP(K1911*LADDER,0)</f>
        <v>3</v>
      </c>
      <c r="N1912" s="34" t="n">
        <f aca="false">IF(K1912=0,0,FFLAG)</f>
        <v>2</v>
      </c>
      <c r="O1912" s="15"/>
      <c r="P1912" s="16" t="n">
        <f aca="false">MAX(P1911+M1912)</f>
        <v>46361</v>
      </c>
      <c r="Q1912" s="16" t="n">
        <f aca="false">MAX(P1912+K1912,Q1911+N1912)</f>
        <v>46367</v>
      </c>
      <c r="R1912" s="16" t="n">
        <f aca="false">IF(K1912&gt;0,Q1912,0)</f>
        <v>46367</v>
      </c>
      <c r="S1912" s="12"/>
    </row>
    <row r="1913" customFormat="false" ht="15" hidden="false" customHeight="false" outlineLevel="0" collapsed="false">
      <c r="A1913" s="15" t="s">
        <v>5573</v>
      </c>
      <c r="B1913" s="15" t="s">
        <v>5569</v>
      </c>
      <c r="C1913" s="15" t="s">
        <v>403</v>
      </c>
      <c r="D1913" s="15" t="s">
        <v>1807</v>
      </c>
      <c r="E1913" s="15" t="s">
        <v>1808</v>
      </c>
      <c r="F1913" s="15" t="s">
        <v>3014</v>
      </c>
      <c r="G1913" s="15" t="s">
        <v>3015</v>
      </c>
      <c r="H1913" s="33" t="n">
        <f aca="false">Packages!$O$179</f>
        <v>37.5871894306267</v>
      </c>
      <c r="I1913" s="15" t="s">
        <v>118</v>
      </c>
      <c r="J1913" s="34" t="n">
        <f aca="false">IF(Packages!$AG$179=0,0,ROUNDUP(Packages!$O$179/R_DW,0)+DW_DRAW)</f>
        <v>8</v>
      </c>
      <c r="K1913" s="34" t="n">
        <f aca="false">IF(J1913=0,0,ROUNDUP(J1913*7/WD,0))</f>
        <v>10</v>
      </c>
      <c r="L1913" s="15" t="s">
        <v>5572</v>
      </c>
      <c r="M1913" s="34" t="n">
        <f aca="false">ROUNDUP(K1912*LADDER,0)</f>
        <v>1</v>
      </c>
      <c r="N1913" s="34" t="n">
        <f aca="false">IF(K1913=0,0,FFLAG)</f>
        <v>2</v>
      </c>
      <c r="O1913" s="15"/>
      <c r="P1913" s="16" t="n">
        <f aca="false">MAX(P1912+M1913)</f>
        <v>46362</v>
      </c>
      <c r="Q1913" s="16" t="n">
        <f aca="false">MAX(P1913+K1913,Q1912+N1913)</f>
        <v>46372</v>
      </c>
      <c r="R1913" s="12"/>
      <c r="S1913" s="12"/>
    </row>
    <row r="1914" customFormat="false" ht="15" hidden="false" customHeight="false" outlineLevel="0" collapsed="false">
      <c r="A1914" s="15" t="s">
        <v>5574</v>
      </c>
      <c r="B1914" s="15" t="s">
        <v>5569</v>
      </c>
      <c r="C1914" s="15" t="s">
        <v>403</v>
      </c>
      <c r="D1914" s="15" t="s">
        <v>1807</v>
      </c>
      <c r="E1914" s="15" t="s">
        <v>1808</v>
      </c>
      <c r="F1914" s="15" t="s">
        <v>3017</v>
      </c>
      <c r="G1914" s="15" t="s">
        <v>3018</v>
      </c>
      <c r="H1914" s="33" t="n">
        <f aca="false">Packages!$X$179+Packages!$Y$179</f>
        <v>974.908294405653</v>
      </c>
      <c r="I1914" s="15" t="s">
        <v>3019</v>
      </c>
      <c r="J1914" s="34" t="n">
        <f aca="false">MAX(1,ROUNDUP((Packages!$X$179/R_EXS+Packages!$Y$179/R_EXO)/Fronts!$J$11,0))</f>
        <v>3</v>
      </c>
      <c r="K1914" s="34" t="n">
        <f aca="false">IF(J1914=0,0,ROUNDUP(J1914*7/WD,0))</f>
        <v>4</v>
      </c>
      <c r="L1914" s="15" t="s">
        <v>5573</v>
      </c>
      <c r="M1914" s="34" t="n">
        <f aca="false">IF(K1913=0,0,ROUNDUP((K1913-ROUNDUP(DW_DRAW*7/WD,0))*LADDER,0)+ROUNDUP(DW_DRAW*7/WD,0))</f>
        <v>10</v>
      </c>
      <c r="N1914" s="34" t="n">
        <f aca="false">IF(K1914=0,0,FFLAG)</f>
        <v>2</v>
      </c>
      <c r="O1914" s="15" t="s">
        <v>5575</v>
      </c>
      <c r="P1914" s="16" t="n">
        <f aca="false">MAX(P1913+M1914,Q1874,Q1863,Q1885,P1903,P1892)</f>
        <v>46584</v>
      </c>
      <c r="Q1914" s="16" t="n">
        <f aca="false">MAX(P1914+K1914,Q1913+N1914)</f>
        <v>46588</v>
      </c>
      <c r="R1914" s="16" t="n">
        <f aca="false">IF(K1914&gt;0,Q1914,0)</f>
        <v>46588</v>
      </c>
      <c r="S1914" s="12"/>
    </row>
    <row r="1915" customFormat="false" ht="15" hidden="false" customHeight="false" outlineLevel="0" collapsed="false">
      <c r="A1915" s="15" t="s">
        <v>5576</v>
      </c>
      <c r="B1915" s="15" t="s">
        <v>5569</v>
      </c>
      <c r="C1915" s="15" t="s">
        <v>403</v>
      </c>
      <c r="D1915" s="15" t="s">
        <v>1807</v>
      </c>
      <c r="E1915" s="15" t="s">
        <v>1808</v>
      </c>
      <c r="F1915" s="15" t="s">
        <v>3022</v>
      </c>
      <c r="G1915" s="15" t="s">
        <v>3023</v>
      </c>
      <c r="H1915" s="33" t="n">
        <f aca="false">Packages!$O$179</f>
        <v>37.5871894306267</v>
      </c>
      <c r="I1915" s="15" t="s">
        <v>118</v>
      </c>
      <c r="J1915" s="34" t="n">
        <f aca="false">MAX(1,ROUNDUP(Packages!$O$179/(R_SLAB*Fronts!$K$11),0))+SLAB_CURE</f>
        <v>7</v>
      </c>
      <c r="K1915" s="34" t="n">
        <f aca="false">IF(J1915=0,0,ROUNDUP(J1915*7/WD,0))</f>
        <v>9</v>
      </c>
      <c r="L1915" s="15" t="s">
        <v>5574</v>
      </c>
      <c r="M1915" s="34" t="n">
        <f aca="false">ROUNDUP(K1914*LADDER,0)</f>
        <v>2</v>
      </c>
      <c r="N1915" s="34" t="n">
        <f aca="false">IF(K1915=0,0,FFLAG)</f>
        <v>2</v>
      </c>
      <c r="O1915" s="15"/>
      <c r="P1915" s="16" t="n">
        <f aca="false">MAX(P1914+M1915)</f>
        <v>46586</v>
      </c>
      <c r="Q1915" s="16" t="n">
        <f aca="false">MAX(P1915+K1915,Q1914+N1915)</f>
        <v>46595</v>
      </c>
      <c r="R1915" s="16" t="n">
        <f aca="false">IF(K1915&gt;0,Q1915,0)</f>
        <v>46595</v>
      </c>
      <c r="S1915" s="12"/>
    </row>
    <row r="1916" customFormat="false" ht="15" hidden="false" customHeight="false" outlineLevel="0" collapsed="false">
      <c r="A1916" s="15" t="s">
        <v>5577</v>
      </c>
      <c r="B1916" s="15" t="s">
        <v>5569</v>
      </c>
      <c r="C1916" s="15" t="s">
        <v>403</v>
      </c>
      <c r="D1916" s="15" t="s">
        <v>1807</v>
      </c>
      <c r="E1916" s="15" t="s">
        <v>1808</v>
      </c>
      <c r="F1916" s="15" t="s">
        <v>3025</v>
      </c>
      <c r="G1916" s="15" t="s">
        <v>3026</v>
      </c>
      <c r="H1916" s="33" t="n">
        <f aca="false">Packages!$O$179</f>
        <v>37.5871894306267</v>
      </c>
      <c r="I1916" s="15" t="s">
        <v>118</v>
      </c>
      <c r="J1916" s="34" t="n">
        <f aca="false">MAX(1,ROUNDUP(Packages!$O$179/(IF(Packages!$N$179&gt;=PIPE_T1,R_PIPE_L,IF(Packages!$N$179&gt;=PIPE_T2,R_PIPE_M,R_PIPE_S))*Fronts!$L$11)+Packages!$M$179*FIT_D+IF(Packages!$G$179&lt;&gt;"Run",TIE_D,0),0))</f>
        <v>9</v>
      </c>
      <c r="K1916" s="34" t="n">
        <f aca="false">IF(J1916=0,0,ROUNDUP(J1916*7/WD,0))</f>
        <v>11</v>
      </c>
      <c r="L1916" s="15" t="s">
        <v>5576</v>
      </c>
      <c r="M1916" s="34" t="n">
        <f aca="false">ROUNDUP(K1915*LADDER,0)</f>
        <v>3</v>
      </c>
      <c r="N1916" s="34" t="n">
        <f aca="false">IF(K1916=0,0,FFLAG)</f>
        <v>2</v>
      </c>
      <c r="O1916" s="15"/>
      <c r="P1916" s="16" t="n">
        <f aca="false">MAX(P1915+M1916)</f>
        <v>46589</v>
      </c>
      <c r="Q1916" s="16" t="n">
        <f aca="false">MAX(P1916+K1916,Q1915+N1916)</f>
        <v>46600</v>
      </c>
      <c r="R1916" s="16" t="n">
        <f aca="false">IF(K1916&gt;0,Q1916,0)</f>
        <v>46600</v>
      </c>
      <c r="S1916" s="12"/>
    </row>
    <row r="1917" customFormat="false" ht="15" hidden="false" customHeight="false" outlineLevel="0" collapsed="false">
      <c r="A1917" s="15" t="s">
        <v>5578</v>
      </c>
      <c r="B1917" s="15" t="s">
        <v>5569</v>
      </c>
      <c r="C1917" s="15" t="s">
        <v>403</v>
      </c>
      <c r="D1917" s="15" t="s">
        <v>1807</v>
      </c>
      <c r="E1917" s="15" t="s">
        <v>1808</v>
      </c>
      <c r="F1917" s="15" t="s">
        <v>3028</v>
      </c>
      <c r="G1917" s="15" t="s">
        <v>3029</v>
      </c>
      <c r="H1917" s="33" t="n">
        <f aca="false">Packages!$O$179</f>
        <v>37.5871894306267</v>
      </c>
      <c r="I1917" s="15" t="s">
        <v>118</v>
      </c>
      <c r="J1917" s="34" t="n">
        <f aca="false">TEST_D+ROUNDUP(Packages!$O$179/R_TEST,0)</f>
        <v>3</v>
      </c>
      <c r="K1917" s="34" t="n">
        <f aca="false">IF(J1917=0,0,ROUNDUP(J1917*7/WD,0))</f>
        <v>4</v>
      </c>
      <c r="L1917" s="15" t="s">
        <v>5577</v>
      </c>
      <c r="M1917" s="34" t="n">
        <f aca="false">ROUNDUP(K1916*LADDER,0)</f>
        <v>4</v>
      </c>
      <c r="N1917" s="34" t="n">
        <f aca="false">IF(K1917=0,0,FFLAG)</f>
        <v>2</v>
      </c>
      <c r="O1917" s="15"/>
      <c r="P1917" s="16" t="n">
        <f aca="false">MAX(P1916+M1917)</f>
        <v>46593</v>
      </c>
      <c r="Q1917" s="16" t="n">
        <f aca="false">MAX(P1917+K1917,Q1916+N1917)</f>
        <v>46602</v>
      </c>
      <c r="R1917" s="12"/>
      <c r="S1917" s="12"/>
    </row>
    <row r="1918" customFormat="false" ht="15" hidden="false" customHeight="false" outlineLevel="0" collapsed="false">
      <c r="A1918" s="15" t="s">
        <v>5579</v>
      </c>
      <c r="B1918" s="15" t="s">
        <v>5569</v>
      </c>
      <c r="C1918" s="15" t="s">
        <v>403</v>
      </c>
      <c r="D1918" s="15" t="s">
        <v>1807</v>
      </c>
      <c r="E1918" s="15" t="s">
        <v>1808</v>
      </c>
      <c r="F1918" s="15" t="s">
        <v>3031</v>
      </c>
      <c r="G1918" s="15" t="s">
        <v>3032</v>
      </c>
      <c r="H1918" s="33" t="n">
        <f aca="false">Packages!$AB$179</f>
        <v>861.088313590957</v>
      </c>
      <c r="I1918" s="15" t="s">
        <v>3019</v>
      </c>
      <c r="J1918" s="34" t="n">
        <f aca="false">MAX(1,ROUNDUP(Packages!$AB$179/(R_BF*Fronts!$M$11),0))</f>
        <v>3</v>
      </c>
      <c r="K1918" s="34" t="n">
        <f aca="false">IF(J1918=0,0,ROUNDUP(J1918*7/WD,0))</f>
        <v>4</v>
      </c>
      <c r="L1918" s="15" t="s">
        <v>5578</v>
      </c>
      <c r="M1918" s="34" t="n">
        <f aca="false">ROUNDUP(K1917*LADDER,0)</f>
        <v>2</v>
      </c>
      <c r="N1918" s="34" t="n">
        <f aca="false">IF(K1918=0,0,FFLAG)</f>
        <v>2</v>
      </c>
      <c r="O1918" s="15" t="s">
        <v>5580</v>
      </c>
      <c r="P1918" s="16" t="n">
        <f aca="false">MAX(P1917+M1918,Q1905,Q1894)</f>
        <v>46595</v>
      </c>
      <c r="Q1918" s="16" t="n">
        <f aca="false">MAX(P1918+K1918,Q1917+N1918)</f>
        <v>46604</v>
      </c>
      <c r="R1918" s="16" t="n">
        <f aca="false">IF(K1918&gt;0,Q1918,0)</f>
        <v>46604</v>
      </c>
      <c r="S1918" s="12"/>
    </row>
    <row r="1919" customFormat="false" ht="15" hidden="false" customHeight="false" outlineLevel="0" collapsed="false">
      <c r="A1919" s="15" t="s">
        <v>5581</v>
      </c>
      <c r="B1919" s="15" t="s">
        <v>5569</v>
      </c>
      <c r="C1919" s="15" t="s">
        <v>403</v>
      </c>
      <c r="D1919" s="15" t="s">
        <v>1807</v>
      </c>
      <c r="E1919" s="15" t="s">
        <v>1808</v>
      </c>
      <c r="F1919" s="15" t="s">
        <v>3034</v>
      </c>
      <c r="G1919" s="15" t="s">
        <v>3035</v>
      </c>
      <c r="H1919" s="33" t="n">
        <f aca="false">Packages!$AD$179</f>
        <v>1.67994769135224</v>
      </c>
      <c r="I1919" s="15" t="s">
        <v>3012</v>
      </c>
      <c r="J1919" s="34" t="n">
        <f aca="false">IF(Packages!$AD$179&gt;0,ROUNDUP(Packages!$AD$179/R_EXT,0),0)+IF(Packages!$AG$179&gt;0,1,0)</f>
        <v>2</v>
      </c>
      <c r="K1919" s="34" t="n">
        <f aca="false">IF(J1919=0,0,ROUNDUP(J1919*7/WD,0))</f>
        <v>3</v>
      </c>
      <c r="L1919" s="15" t="s">
        <v>5579</v>
      </c>
      <c r="M1919" s="34" t="n">
        <f aca="false">ROUNDUP(K1918*LADDER,0)</f>
        <v>2</v>
      </c>
      <c r="N1919" s="34" t="n">
        <f aca="false">IF(K1919=0,0,FFLAG)</f>
        <v>2</v>
      </c>
      <c r="O1919" s="15"/>
      <c r="P1919" s="16" t="n">
        <f aca="false">MAX(P1918+M1919)</f>
        <v>46597</v>
      </c>
      <c r="Q1919" s="16" t="n">
        <f aca="false">MAX(P1919+K1919,Q1918+N1919)</f>
        <v>46606</v>
      </c>
      <c r="R1919" s="12"/>
      <c r="S1919" s="12"/>
    </row>
    <row r="1920" customFormat="false" ht="15" hidden="false" customHeight="false" outlineLevel="0" collapsed="false">
      <c r="A1920" s="15" t="s">
        <v>5582</v>
      </c>
      <c r="B1920" s="15" t="s">
        <v>5583</v>
      </c>
      <c r="C1920" s="15" t="s">
        <v>403</v>
      </c>
      <c r="D1920" s="15" t="s">
        <v>1502</v>
      </c>
      <c r="E1920" s="15" t="s">
        <v>1583</v>
      </c>
      <c r="F1920" s="15" t="s">
        <v>2998</v>
      </c>
      <c r="G1920" s="15" t="s">
        <v>2999</v>
      </c>
      <c r="H1920" s="12"/>
      <c r="I1920" s="12"/>
      <c r="J1920" s="34" t="n">
        <f aca="false">0</f>
        <v>0</v>
      </c>
      <c r="K1920" s="34" t="n">
        <f aca="false">IF(J1920=0,0,ROUNDUP(J1920*7/WD,0))</f>
        <v>0</v>
      </c>
      <c r="L1920" s="12"/>
      <c r="M1920" s="12"/>
      <c r="N1920" s="12"/>
      <c r="O1920" s="15" t="s">
        <v>3038</v>
      </c>
      <c r="P1920" s="16" t="n">
        <f aca="false">MAX(START,D_DLU,Packages!$I$180,Packages!$K$180)</f>
        <v>46357</v>
      </c>
      <c r="Q1920" s="16" t="n">
        <f aca="false">P1920+K1920</f>
        <v>46357</v>
      </c>
      <c r="R1920" s="12"/>
      <c r="S1920" s="12"/>
    </row>
    <row r="1921" customFormat="false" ht="15" hidden="false" customHeight="false" outlineLevel="0" collapsed="false">
      <c r="A1921" s="15" t="s">
        <v>5584</v>
      </c>
      <c r="B1921" s="15" t="s">
        <v>5583</v>
      </c>
      <c r="C1921" s="15" t="s">
        <v>403</v>
      </c>
      <c r="D1921" s="15" t="s">
        <v>1502</v>
      </c>
      <c r="E1921" s="15" t="s">
        <v>1583</v>
      </c>
      <c r="F1921" s="15" t="s">
        <v>3002</v>
      </c>
      <c r="G1921" s="15" t="s">
        <v>205</v>
      </c>
      <c r="H1921" s="33" t="n">
        <f aca="false">Packages!$O$180</f>
        <v>29.1958291364335</v>
      </c>
      <c r="I1921" s="15" t="s">
        <v>118</v>
      </c>
      <c r="J1921" s="34" t="n">
        <f aca="false">MAX(1,ROUNDUP(Packages!$O$180/R_PLAT,0))</f>
        <v>1</v>
      </c>
      <c r="K1921" s="34" t="n">
        <f aca="false">IF(J1921=0,0,ROUNDUP(J1921*7/WD,0))</f>
        <v>2</v>
      </c>
      <c r="L1921" s="15" t="s">
        <v>5582</v>
      </c>
      <c r="M1921" s="12"/>
      <c r="N1921" s="12"/>
      <c r="O1921" s="15" t="s">
        <v>5585</v>
      </c>
      <c r="P1921" s="16" t="n">
        <f aca="false">MAX(Q1920,P1779)</f>
        <v>46466</v>
      </c>
      <c r="Q1921" s="16" t="n">
        <f aca="false">P1921+K1921</f>
        <v>46468</v>
      </c>
      <c r="R1921" s="12"/>
      <c r="S1921" s="12"/>
    </row>
    <row r="1922" customFormat="false" ht="15" hidden="false" customHeight="false" outlineLevel="0" collapsed="false">
      <c r="A1922" s="15" t="s">
        <v>5586</v>
      </c>
      <c r="B1922" s="15" t="s">
        <v>5583</v>
      </c>
      <c r="C1922" s="15" t="s">
        <v>403</v>
      </c>
      <c r="D1922" s="15" t="s">
        <v>1502</v>
      </c>
      <c r="E1922" s="15" t="s">
        <v>1583</v>
      </c>
      <c r="F1922" s="15" t="s">
        <v>3005</v>
      </c>
      <c r="G1922" s="15" t="s">
        <v>3006</v>
      </c>
      <c r="H1922" s="33" t="n">
        <f aca="false">Packages!$AC$180</f>
        <v>11</v>
      </c>
      <c r="I1922" s="15" t="s">
        <v>3007</v>
      </c>
      <c r="J1922" s="34" t="n">
        <f aca="false">IF(Packages!$AC$180=0,0,MAX(1,ROUNDUP(Packages!$AC$180/(R_PILE*Fronts!$H$11),0)))</f>
        <v>3</v>
      </c>
      <c r="K1922" s="34" t="n">
        <f aca="false">IF(J1922=0,0,ROUNDUP(J1922*7/WD,0))</f>
        <v>4</v>
      </c>
      <c r="L1922" s="15" t="s">
        <v>5584</v>
      </c>
      <c r="M1922" s="34" t="n">
        <f aca="false">ROUNDUP(K1921*LADDER,0)</f>
        <v>1</v>
      </c>
      <c r="N1922" s="34" t="n">
        <f aca="false">IF(K1922=0,0,FFLAG)</f>
        <v>2</v>
      </c>
      <c r="O1922" s="15" t="s">
        <v>3008</v>
      </c>
      <c r="P1922" s="16" t="n">
        <f aca="false">MAX(P1921+M1922,D_PILEDES)</f>
        <v>46467</v>
      </c>
      <c r="Q1922" s="16" t="n">
        <f aca="false">MAX(P1922+K1922,Q1921+N1922)</f>
        <v>46471</v>
      </c>
      <c r="R1922" s="16" t="n">
        <f aca="false">IF(K1922&gt;0,Q1922,0)</f>
        <v>46471</v>
      </c>
      <c r="S1922" s="12"/>
    </row>
    <row r="1923" customFormat="false" ht="15" hidden="false" customHeight="false" outlineLevel="0" collapsed="false">
      <c r="A1923" s="15" t="s">
        <v>5587</v>
      </c>
      <c r="B1923" s="15" t="s">
        <v>5583</v>
      </c>
      <c r="C1923" s="15" t="s">
        <v>403</v>
      </c>
      <c r="D1923" s="15" t="s">
        <v>1502</v>
      </c>
      <c r="E1923" s="15" t="s">
        <v>1583</v>
      </c>
      <c r="F1923" s="15" t="s">
        <v>3010</v>
      </c>
      <c r="G1923" s="15" t="s">
        <v>3011</v>
      </c>
      <c r="H1923" s="33" t="n">
        <f aca="false">Packages!$AD$180</f>
        <v>58.3916582728671</v>
      </c>
      <c r="I1923" s="15" t="s">
        <v>3012</v>
      </c>
      <c r="J1923" s="34" t="n">
        <f aca="false">IF(Packages!$AD$180=0,0,MAX(1,ROUNDUP(Packages!$AD$180/(R_SHEET*Fronts!$I$11),0)))</f>
        <v>3</v>
      </c>
      <c r="K1923" s="34" t="n">
        <f aca="false">IF(J1923=0,0,ROUNDUP(J1923*7/WD,0))</f>
        <v>4</v>
      </c>
      <c r="L1923" s="15" t="s">
        <v>5586</v>
      </c>
      <c r="M1923" s="34" t="n">
        <f aca="false">ROUNDUP(K1922*LADDER,0)</f>
        <v>2</v>
      </c>
      <c r="N1923" s="34" t="n">
        <f aca="false">IF(K1923=0,0,FFLAG)</f>
        <v>2</v>
      </c>
      <c r="O1923" s="15"/>
      <c r="P1923" s="16" t="n">
        <f aca="false">MAX(P1922+M1923)</f>
        <v>46469</v>
      </c>
      <c r="Q1923" s="16" t="n">
        <f aca="false">MAX(P1923+K1923,Q1922+N1923)</f>
        <v>46473</v>
      </c>
      <c r="R1923" s="16" t="n">
        <f aca="false">IF(K1923&gt;0,Q1923,0)</f>
        <v>46473</v>
      </c>
      <c r="S1923" s="12"/>
    </row>
    <row r="1924" customFormat="false" ht="15" hidden="false" customHeight="false" outlineLevel="0" collapsed="false">
      <c r="A1924" s="15" t="s">
        <v>5588</v>
      </c>
      <c r="B1924" s="15" t="s">
        <v>5583</v>
      </c>
      <c r="C1924" s="15" t="s">
        <v>403</v>
      </c>
      <c r="D1924" s="15" t="s">
        <v>1502</v>
      </c>
      <c r="E1924" s="15" t="s">
        <v>1583</v>
      </c>
      <c r="F1924" s="15" t="s">
        <v>3014</v>
      </c>
      <c r="G1924" s="15" t="s">
        <v>3015</v>
      </c>
      <c r="H1924" s="33" t="n">
        <f aca="false">Packages!$O$180</f>
        <v>29.1958291364335</v>
      </c>
      <c r="I1924" s="15" t="s">
        <v>118</v>
      </c>
      <c r="J1924" s="34" t="n">
        <f aca="false">IF(Packages!$AG$180=0,0,ROUNDUP(Packages!$O$180/R_DW,0)+DW_DRAW)</f>
        <v>8</v>
      </c>
      <c r="K1924" s="34" t="n">
        <f aca="false">IF(J1924=0,0,ROUNDUP(J1924*7/WD,0))</f>
        <v>10</v>
      </c>
      <c r="L1924" s="15" t="s">
        <v>5587</v>
      </c>
      <c r="M1924" s="34" t="n">
        <f aca="false">ROUNDUP(K1923*LADDER,0)</f>
        <v>2</v>
      </c>
      <c r="N1924" s="34" t="n">
        <f aca="false">IF(K1924=0,0,FFLAG)</f>
        <v>2</v>
      </c>
      <c r="O1924" s="15"/>
      <c r="P1924" s="16" t="n">
        <f aca="false">MAX(P1923+M1924)</f>
        <v>46471</v>
      </c>
      <c r="Q1924" s="16" t="n">
        <f aca="false">MAX(P1924+K1924,Q1923+N1924)</f>
        <v>46481</v>
      </c>
      <c r="R1924" s="12"/>
      <c r="S1924" s="12"/>
    </row>
    <row r="1925" customFormat="false" ht="15" hidden="false" customHeight="false" outlineLevel="0" collapsed="false">
      <c r="A1925" s="15" t="s">
        <v>5589</v>
      </c>
      <c r="B1925" s="15" t="s">
        <v>5583</v>
      </c>
      <c r="C1925" s="15" t="s">
        <v>403</v>
      </c>
      <c r="D1925" s="15" t="s">
        <v>1502</v>
      </c>
      <c r="E1925" s="15" t="s">
        <v>1583</v>
      </c>
      <c r="F1925" s="15" t="s">
        <v>3017</v>
      </c>
      <c r="G1925" s="15" t="s">
        <v>3018</v>
      </c>
      <c r="H1925" s="33" t="n">
        <f aca="false">Packages!$X$180+Packages!$Y$180</f>
        <v>411.660875580358</v>
      </c>
      <c r="I1925" s="15" t="s">
        <v>3019</v>
      </c>
      <c r="J1925" s="34" t="n">
        <f aca="false">MAX(1,ROUNDUP((Packages!$X$180/R_EXS+Packages!$Y$180/R_EXO)/Fronts!$J$11,0))</f>
        <v>2</v>
      </c>
      <c r="K1925" s="34" t="n">
        <f aca="false">IF(J1925=0,0,ROUNDUP(J1925*7/WD,0))</f>
        <v>3</v>
      </c>
      <c r="L1925" s="15" t="s">
        <v>5588</v>
      </c>
      <c r="M1925" s="34" t="n">
        <f aca="false">IF(K1924=0,0,ROUNDUP((K1924-ROUNDUP(DW_DRAW*7/WD,0))*LADDER,0)+ROUNDUP(DW_DRAW*7/WD,0))</f>
        <v>10</v>
      </c>
      <c r="N1925" s="34" t="n">
        <f aca="false">IF(K1925=0,0,FFLAG)</f>
        <v>2</v>
      </c>
      <c r="O1925" s="15"/>
      <c r="P1925" s="16" t="n">
        <f aca="false">MAX(P1924+M1925)</f>
        <v>46481</v>
      </c>
      <c r="Q1925" s="16" t="n">
        <f aca="false">MAX(P1925+K1925,Q1924+N1925)</f>
        <v>46484</v>
      </c>
      <c r="R1925" s="16" t="n">
        <f aca="false">IF(K1925&gt;0,Q1925,0)</f>
        <v>46484</v>
      </c>
      <c r="S1925" s="12"/>
    </row>
    <row r="1926" customFormat="false" ht="15" hidden="false" customHeight="false" outlineLevel="0" collapsed="false">
      <c r="A1926" s="15" t="s">
        <v>5590</v>
      </c>
      <c r="B1926" s="15" t="s">
        <v>5583</v>
      </c>
      <c r="C1926" s="15" t="s">
        <v>403</v>
      </c>
      <c r="D1926" s="15" t="s">
        <v>1502</v>
      </c>
      <c r="E1926" s="15" t="s">
        <v>1583</v>
      </c>
      <c r="F1926" s="15" t="s">
        <v>3022</v>
      </c>
      <c r="G1926" s="15" t="s">
        <v>3023</v>
      </c>
      <c r="H1926" s="33" t="n">
        <f aca="false">Packages!$O$180</f>
        <v>29.1958291364335</v>
      </c>
      <c r="I1926" s="15" t="s">
        <v>118</v>
      </c>
      <c r="J1926" s="34" t="n">
        <f aca="false">MAX(1,ROUNDUP(Packages!$O$180/(R_SLAB*Fronts!$K$11),0))+SLAB_CURE</f>
        <v>6</v>
      </c>
      <c r="K1926" s="34" t="n">
        <f aca="false">IF(J1926=0,0,ROUNDUP(J1926*7/WD,0))</f>
        <v>7</v>
      </c>
      <c r="L1926" s="15" t="s">
        <v>5589</v>
      </c>
      <c r="M1926" s="34" t="n">
        <f aca="false">ROUNDUP(K1925*LADDER,0)</f>
        <v>1</v>
      </c>
      <c r="N1926" s="34" t="n">
        <f aca="false">IF(K1926=0,0,FFLAG)</f>
        <v>2</v>
      </c>
      <c r="O1926" s="15"/>
      <c r="P1926" s="16" t="n">
        <f aca="false">MAX(P1925+M1926)</f>
        <v>46482</v>
      </c>
      <c r="Q1926" s="16" t="n">
        <f aca="false">MAX(P1926+K1926,Q1925+N1926)</f>
        <v>46489</v>
      </c>
      <c r="R1926" s="16" t="n">
        <f aca="false">IF(K1926&gt;0,Q1926,0)</f>
        <v>46489</v>
      </c>
      <c r="S1926" s="12"/>
    </row>
    <row r="1927" customFormat="false" ht="15" hidden="false" customHeight="false" outlineLevel="0" collapsed="false">
      <c r="A1927" s="15" t="s">
        <v>5591</v>
      </c>
      <c r="B1927" s="15" t="s">
        <v>5583</v>
      </c>
      <c r="C1927" s="15" t="s">
        <v>403</v>
      </c>
      <c r="D1927" s="15" t="s">
        <v>1502</v>
      </c>
      <c r="E1927" s="15" t="s">
        <v>1583</v>
      </c>
      <c r="F1927" s="15" t="s">
        <v>3025</v>
      </c>
      <c r="G1927" s="15" t="s">
        <v>3026</v>
      </c>
      <c r="H1927" s="33" t="n">
        <f aca="false">Packages!$O$180</f>
        <v>29.1958291364335</v>
      </c>
      <c r="I1927" s="15" t="s">
        <v>118</v>
      </c>
      <c r="J1927" s="34" t="n">
        <f aca="false">MAX(1,ROUNDUP(Packages!$O$180/(IF(Packages!$N$180&gt;=PIPE_T1,R_PIPE_L,IF(Packages!$N$180&gt;=PIPE_T2,R_PIPE_M,R_PIPE_S))*Fronts!$L$11)+Packages!$M$180*FIT_D+IF(Packages!$G$180&lt;&gt;"Run",TIE_D,0),0))</f>
        <v>5</v>
      </c>
      <c r="K1927" s="34" t="n">
        <f aca="false">IF(J1927=0,0,ROUNDUP(J1927*7/WD,0))</f>
        <v>6</v>
      </c>
      <c r="L1927" s="15" t="s">
        <v>5590</v>
      </c>
      <c r="M1927" s="34" t="n">
        <f aca="false">ROUNDUP(K1926*LADDER,0)</f>
        <v>3</v>
      </c>
      <c r="N1927" s="34" t="n">
        <f aca="false">IF(K1927=0,0,FFLAG)</f>
        <v>2</v>
      </c>
      <c r="O1927" s="15" t="s">
        <v>5592</v>
      </c>
      <c r="P1927" s="16" t="n">
        <f aca="false">MAX(P1926+M1927,Q1784)</f>
        <v>46551</v>
      </c>
      <c r="Q1927" s="16" t="n">
        <f aca="false">MAX(P1927+K1927,Q1926+N1927)</f>
        <v>46557</v>
      </c>
      <c r="R1927" s="16" t="n">
        <f aca="false">IF(K1927&gt;0,Q1927,0)</f>
        <v>46557</v>
      </c>
      <c r="S1927" s="12"/>
    </row>
    <row r="1928" customFormat="false" ht="15" hidden="false" customHeight="false" outlineLevel="0" collapsed="false">
      <c r="A1928" s="15" t="s">
        <v>5593</v>
      </c>
      <c r="B1928" s="15" t="s">
        <v>5583</v>
      </c>
      <c r="C1928" s="15" t="s">
        <v>403</v>
      </c>
      <c r="D1928" s="15" t="s">
        <v>1502</v>
      </c>
      <c r="E1928" s="15" t="s">
        <v>1583</v>
      </c>
      <c r="F1928" s="15" t="s">
        <v>3028</v>
      </c>
      <c r="G1928" s="15" t="s">
        <v>3029</v>
      </c>
      <c r="H1928" s="33" t="n">
        <f aca="false">Packages!$O$180</f>
        <v>29.1958291364335</v>
      </c>
      <c r="I1928" s="15" t="s">
        <v>118</v>
      </c>
      <c r="J1928" s="34" t="n">
        <f aca="false">TEST_D+ROUNDUP(Packages!$O$180/R_TEST,0)</f>
        <v>3</v>
      </c>
      <c r="K1928" s="34" t="n">
        <f aca="false">IF(J1928=0,0,ROUNDUP(J1928*7/WD,0))</f>
        <v>4</v>
      </c>
      <c r="L1928" s="15" t="s">
        <v>5591</v>
      </c>
      <c r="M1928" s="34" t="n">
        <f aca="false">ROUNDUP(K1927*LADDER,0)</f>
        <v>2</v>
      </c>
      <c r="N1928" s="34" t="n">
        <f aca="false">IF(K1928=0,0,FFLAG)</f>
        <v>2</v>
      </c>
      <c r="O1928" s="15"/>
      <c r="P1928" s="16" t="n">
        <f aca="false">MAX(P1927+M1928)</f>
        <v>46553</v>
      </c>
      <c r="Q1928" s="16" t="n">
        <f aca="false">MAX(P1928+K1928,Q1927+N1928)</f>
        <v>46559</v>
      </c>
      <c r="R1928" s="12"/>
      <c r="S1928" s="12"/>
    </row>
    <row r="1929" customFormat="false" ht="15" hidden="false" customHeight="false" outlineLevel="0" collapsed="false">
      <c r="A1929" s="15" t="s">
        <v>5594</v>
      </c>
      <c r="B1929" s="15" t="s">
        <v>5583</v>
      </c>
      <c r="C1929" s="15" t="s">
        <v>403</v>
      </c>
      <c r="D1929" s="15" t="s">
        <v>1502</v>
      </c>
      <c r="E1929" s="15" t="s">
        <v>1583</v>
      </c>
      <c r="F1929" s="15" t="s">
        <v>3031</v>
      </c>
      <c r="G1929" s="15" t="s">
        <v>3032</v>
      </c>
      <c r="H1929" s="33" t="n">
        <f aca="false">Packages!$AB$180</f>
        <v>359.534801152341</v>
      </c>
      <c r="I1929" s="15" t="s">
        <v>3019</v>
      </c>
      <c r="J1929" s="34" t="n">
        <f aca="false">MAX(1,ROUNDUP(Packages!$AB$180/(R_BF*Fronts!$M$11),0))</f>
        <v>2</v>
      </c>
      <c r="K1929" s="34" t="n">
        <f aca="false">IF(J1929=0,0,ROUNDUP(J1929*7/WD,0))</f>
        <v>3</v>
      </c>
      <c r="L1929" s="15" t="s">
        <v>5593</v>
      </c>
      <c r="M1929" s="34" t="n">
        <f aca="false">ROUNDUP(K1928*LADDER,0)</f>
        <v>2</v>
      </c>
      <c r="N1929" s="34" t="n">
        <f aca="false">IF(K1929=0,0,FFLAG)</f>
        <v>2</v>
      </c>
      <c r="O1929" s="15"/>
      <c r="P1929" s="16" t="n">
        <f aca="false">MAX(P1928+M1929)</f>
        <v>46555</v>
      </c>
      <c r="Q1929" s="16" t="n">
        <f aca="false">MAX(P1929+K1929,Q1928+N1929)</f>
        <v>46561</v>
      </c>
      <c r="R1929" s="16" t="n">
        <f aca="false">IF(K1929&gt;0,Q1929,0)</f>
        <v>46561</v>
      </c>
      <c r="S1929" s="12"/>
    </row>
    <row r="1930" customFormat="false" ht="15" hidden="false" customHeight="false" outlineLevel="0" collapsed="false">
      <c r="A1930" s="15" t="s">
        <v>5595</v>
      </c>
      <c r="B1930" s="15" t="s">
        <v>5583</v>
      </c>
      <c r="C1930" s="15" t="s">
        <v>403</v>
      </c>
      <c r="D1930" s="15" t="s">
        <v>1502</v>
      </c>
      <c r="E1930" s="15" t="s">
        <v>1583</v>
      </c>
      <c r="F1930" s="15" t="s">
        <v>3034</v>
      </c>
      <c r="G1930" s="15" t="s">
        <v>3035</v>
      </c>
      <c r="H1930" s="33" t="n">
        <f aca="false">Packages!$AD$180</f>
        <v>58.3916582728671</v>
      </c>
      <c r="I1930" s="15" t="s">
        <v>3012</v>
      </c>
      <c r="J1930" s="34" t="n">
        <f aca="false">IF(Packages!$AD$180&gt;0,ROUNDUP(Packages!$AD$180/R_EXT,0),0)+IF(Packages!$AG$180&gt;0,1,0)</f>
        <v>3</v>
      </c>
      <c r="K1930" s="34" t="n">
        <f aca="false">IF(J1930=0,0,ROUNDUP(J1930*7/WD,0))</f>
        <v>4</v>
      </c>
      <c r="L1930" s="15" t="s">
        <v>5594</v>
      </c>
      <c r="M1930" s="34" t="n">
        <f aca="false">ROUNDUP(K1929*LADDER,0)</f>
        <v>1</v>
      </c>
      <c r="N1930" s="34" t="n">
        <f aca="false">IF(K1930=0,0,FFLAG)</f>
        <v>2</v>
      </c>
      <c r="O1930" s="15"/>
      <c r="P1930" s="16" t="n">
        <f aca="false">MAX(P1929+M1930)</f>
        <v>46556</v>
      </c>
      <c r="Q1930" s="16" t="n">
        <f aca="false">MAX(P1930+K1930,Q1929+N1930)</f>
        <v>46563</v>
      </c>
      <c r="R1930" s="12"/>
      <c r="S1930" s="12"/>
    </row>
    <row r="1931" customFormat="false" ht="15" hidden="false" customHeight="false" outlineLevel="0" collapsed="false">
      <c r="A1931" s="15" t="s">
        <v>5596</v>
      </c>
      <c r="B1931" s="15" t="s">
        <v>5597</v>
      </c>
      <c r="C1931" s="15" t="s">
        <v>406</v>
      </c>
      <c r="D1931" s="15" t="s">
        <v>2058</v>
      </c>
      <c r="E1931" s="15" t="s">
        <v>2059</v>
      </c>
      <c r="F1931" s="15" t="s">
        <v>2998</v>
      </c>
      <c r="G1931" s="15" t="s">
        <v>2999</v>
      </c>
      <c r="H1931" s="12"/>
      <c r="I1931" s="12"/>
      <c r="J1931" s="34" t="n">
        <f aca="false">0</f>
        <v>0</v>
      </c>
      <c r="K1931" s="34" t="n">
        <f aca="false">IF(J1931=0,0,ROUNDUP(J1931*7/WD,0))</f>
        <v>0</v>
      </c>
      <c r="L1931" s="12"/>
      <c r="M1931" s="12"/>
      <c r="N1931" s="12"/>
      <c r="O1931" s="15" t="s">
        <v>3038</v>
      </c>
      <c r="P1931" s="16" t="n">
        <f aca="false">MAX(START,D_DLU,Packages!$I$181,Packages!$K$181)</f>
        <v>46357</v>
      </c>
      <c r="Q1931" s="16" t="n">
        <f aca="false">P1931+K1931</f>
        <v>46357</v>
      </c>
      <c r="R1931" s="12"/>
      <c r="S1931" s="12"/>
    </row>
    <row r="1932" customFormat="false" ht="15" hidden="false" customHeight="false" outlineLevel="0" collapsed="false">
      <c r="A1932" s="15" t="s">
        <v>5598</v>
      </c>
      <c r="B1932" s="15" t="s">
        <v>5597</v>
      </c>
      <c r="C1932" s="15" t="s">
        <v>406</v>
      </c>
      <c r="D1932" s="15" t="s">
        <v>2058</v>
      </c>
      <c r="E1932" s="15" t="s">
        <v>2059</v>
      </c>
      <c r="F1932" s="15" t="s">
        <v>3002</v>
      </c>
      <c r="G1932" s="15" t="s">
        <v>205</v>
      </c>
      <c r="H1932" s="33" t="n">
        <f aca="false">Packages!$O$181</f>
        <v>12.2025900003074</v>
      </c>
      <c r="I1932" s="15" t="s">
        <v>118</v>
      </c>
      <c r="J1932" s="34" t="n">
        <f aca="false">MAX(1,ROUNDUP(Packages!$O$181/R_PLAT,0))</f>
        <v>1</v>
      </c>
      <c r="K1932" s="34" t="n">
        <f aca="false">IF(J1932=0,0,ROUNDUP(J1932*7/WD,0))</f>
        <v>2</v>
      </c>
      <c r="L1932" s="15" t="s">
        <v>5596</v>
      </c>
      <c r="M1932" s="12"/>
      <c r="N1932" s="12"/>
      <c r="O1932" s="15" t="s">
        <v>3003</v>
      </c>
      <c r="P1932" s="16" t="n">
        <f aca="false">MAX(Q1931)</f>
        <v>46357</v>
      </c>
      <c r="Q1932" s="16" t="n">
        <f aca="false">P1932+K1932</f>
        <v>46359</v>
      </c>
      <c r="R1932" s="12"/>
      <c r="S1932" s="12"/>
    </row>
    <row r="1933" customFormat="false" ht="15" hidden="false" customHeight="false" outlineLevel="0" collapsed="false">
      <c r="A1933" s="15" t="s">
        <v>5599</v>
      </c>
      <c r="B1933" s="15" t="s">
        <v>5597</v>
      </c>
      <c r="C1933" s="15" t="s">
        <v>406</v>
      </c>
      <c r="D1933" s="15" t="s">
        <v>2058</v>
      </c>
      <c r="E1933" s="15" t="s">
        <v>2059</v>
      </c>
      <c r="F1933" s="15" t="s">
        <v>3005</v>
      </c>
      <c r="G1933" s="15" t="s">
        <v>3006</v>
      </c>
      <c r="H1933" s="33" t="n">
        <f aca="false">Packages!$AC$181</f>
        <v>12</v>
      </c>
      <c r="I1933" s="15" t="s">
        <v>3007</v>
      </c>
      <c r="J1933" s="34" t="n">
        <f aca="false">IF(Packages!$AC$181=0,0,MAX(1,ROUNDUP(Packages!$AC$181/(R_PILE*Fronts!$H$12),0)))</f>
        <v>2</v>
      </c>
      <c r="K1933" s="34" t="n">
        <f aca="false">IF(J1933=0,0,ROUNDUP(J1933*7/WD,0))</f>
        <v>3</v>
      </c>
      <c r="L1933" s="15" t="s">
        <v>5598</v>
      </c>
      <c r="M1933" s="34" t="n">
        <f aca="false">ROUNDUP(K1932*LADDER,0)</f>
        <v>1</v>
      </c>
      <c r="N1933" s="34" t="n">
        <f aca="false">IF(K1933=0,0,FFLAG)</f>
        <v>2</v>
      </c>
      <c r="O1933" s="15" t="s">
        <v>3008</v>
      </c>
      <c r="P1933" s="16" t="n">
        <f aca="false">MAX(P1932+M1933,D_PILEDES)</f>
        <v>46358</v>
      </c>
      <c r="Q1933" s="16" t="n">
        <f aca="false">MAX(P1933+K1933,Q1932+N1933)</f>
        <v>46361</v>
      </c>
      <c r="R1933" s="16" t="n">
        <f aca="false">IF(K1933&gt;0,Q1933,0)</f>
        <v>46361</v>
      </c>
      <c r="S1933" s="12"/>
    </row>
    <row r="1934" customFormat="false" ht="15" hidden="false" customHeight="false" outlineLevel="0" collapsed="false">
      <c r="A1934" s="15" t="s">
        <v>5600</v>
      </c>
      <c r="B1934" s="15" t="s">
        <v>5597</v>
      </c>
      <c r="C1934" s="15" t="s">
        <v>406</v>
      </c>
      <c r="D1934" s="15" t="s">
        <v>2058</v>
      </c>
      <c r="E1934" s="15" t="s">
        <v>2059</v>
      </c>
      <c r="F1934" s="15" t="s">
        <v>3010</v>
      </c>
      <c r="G1934" s="15" t="s">
        <v>3011</v>
      </c>
      <c r="H1934" s="33" t="n">
        <f aca="false">Packages!$AD$181</f>
        <v>24.4051800006147</v>
      </c>
      <c r="I1934" s="15" t="s">
        <v>3012</v>
      </c>
      <c r="J1934" s="34" t="n">
        <f aca="false">IF(Packages!$AD$181=0,0,MAX(1,ROUNDUP(Packages!$AD$181/(R_SHEET*Fronts!$I$12),0)))</f>
        <v>1</v>
      </c>
      <c r="K1934" s="34" t="n">
        <f aca="false">IF(J1934=0,0,ROUNDUP(J1934*7/WD,0))</f>
        <v>2</v>
      </c>
      <c r="L1934" s="15" t="s">
        <v>5599</v>
      </c>
      <c r="M1934" s="34" t="n">
        <f aca="false">ROUNDUP(K1933*LADDER,0)</f>
        <v>1</v>
      </c>
      <c r="N1934" s="34" t="n">
        <f aca="false">IF(K1934=0,0,FFLAG)</f>
        <v>2</v>
      </c>
      <c r="O1934" s="15"/>
      <c r="P1934" s="16" t="n">
        <f aca="false">MAX(P1933+M1934)</f>
        <v>46359</v>
      </c>
      <c r="Q1934" s="16" t="n">
        <f aca="false">MAX(P1934+K1934,Q1933+N1934)</f>
        <v>46363</v>
      </c>
      <c r="R1934" s="16" t="n">
        <f aca="false">IF(K1934&gt;0,Q1934,0)</f>
        <v>46363</v>
      </c>
      <c r="S1934" s="12"/>
    </row>
    <row r="1935" customFormat="false" ht="15" hidden="false" customHeight="false" outlineLevel="0" collapsed="false">
      <c r="A1935" s="15" t="s">
        <v>5601</v>
      </c>
      <c r="B1935" s="15" t="s">
        <v>5597</v>
      </c>
      <c r="C1935" s="15" t="s">
        <v>406</v>
      </c>
      <c r="D1935" s="15" t="s">
        <v>2058</v>
      </c>
      <c r="E1935" s="15" t="s">
        <v>2059</v>
      </c>
      <c r="F1935" s="15" t="s">
        <v>3014</v>
      </c>
      <c r="G1935" s="15" t="s">
        <v>3015</v>
      </c>
      <c r="H1935" s="33" t="n">
        <f aca="false">Packages!$O$181</f>
        <v>12.2025900003074</v>
      </c>
      <c r="I1935" s="15" t="s">
        <v>118</v>
      </c>
      <c r="J1935" s="34" t="n">
        <f aca="false">IF(Packages!$AG$181=0,0,ROUNDUP(Packages!$O$181/R_DW,0)+DW_DRAW)</f>
        <v>8</v>
      </c>
      <c r="K1935" s="34" t="n">
        <f aca="false">IF(J1935=0,0,ROUNDUP(J1935*7/WD,0))</f>
        <v>10</v>
      </c>
      <c r="L1935" s="15" t="s">
        <v>5600</v>
      </c>
      <c r="M1935" s="34" t="n">
        <f aca="false">ROUNDUP(K1934*LADDER,0)</f>
        <v>1</v>
      </c>
      <c r="N1935" s="34" t="n">
        <f aca="false">IF(K1935=0,0,FFLAG)</f>
        <v>2</v>
      </c>
      <c r="O1935" s="15"/>
      <c r="P1935" s="16" t="n">
        <f aca="false">MAX(P1934+M1935)</f>
        <v>46360</v>
      </c>
      <c r="Q1935" s="16" t="n">
        <f aca="false">MAX(P1935+K1935,Q1934+N1935)</f>
        <v>46370</v>
      </c>
      <c r="R1935" s="12"/>
      <c r="S1935" s="12"/>
    </row>
    <row r="1936" customFormat="false" ht="15" hidden="false" customHeight="false" outlineLevel="0" collapsed="false">
      <c r="A1936" s="15" t="s">
        <v>5602</v>
      </c>
      <c r="B1936" s="15" t="s">
        <v>5597</v>
      </c>
      <c r="C1936" s="15" t="s">
        <v>406</v>
      </c>
      <c r="D1936" s="15" t="s">
        <v>2058</v>
      </c>
      <c r="E1936" s="15" t="s">
        <v>2059</v>
      </c>
      <c r="F1936" s="15" t="s">
        <v>3017</v>
      </c>
      <c r="G1936" s="15" t="s">
        <v>3018</v>
      </c>
      <c r="H1936" s="33" t="n">
        <f aca="false">Packages!$X$181+Packages!$Y$181</f>
        <v>289.000565558834</v>
      </c>
      <c r="I1936" s="15" t="s">
        <v>3019</v>
      </c>
      <c r="J1936" s="34" t="n">
        <f aca="false">MAX(1,ROUNDUP((Packages!$X$181/R_EXS+Packages!$Y$181/R_EXO)/Fronts!$J$12,0))</f>
        <v>1</v>
      </c>
      <c r="K1936" s="34" t="n">
        <f aca="false">IF(J1936=0,0,ROUNDUP(J1936*7/WD,0))</f>
        <v>2</v>
      </c>
      <c r="L1936" s="15" t="s">
        <v>5601</v>
      </c>
      <c r="M1936" s="34" t="n">
        <f aca="false">IF(K1935=0,0,ROUNDUP((K1935-ROUNDUP(DW_DRAW*7/WD,0))*LADDER,0)+ROUNDUP(DW_DRAW*7/WD,0))</f>
        <v>10</v>
      </c>
      <c r="N1936" s="34" t="n">
        <f aca="false">IF(K1936=0,0,FFLAG)</f>
        <v>2</v>
      </c>
      <c r="O1936" s="15"/>
      <c r="P1936" s="16" t="n">
        <f aca="false">MAX(P1935+M1936)</f>
        <v>46370</v>
      </c>
      <c r="Q1936" s="16" t="n">
        <f aca="false">MAX(P1936+K1936,Q1935+N1936)</f>
        <v>46372</v>
      </c>
      <c r="R1936" s="16" t="n">
        <f aca="false">IF(K1936&gt;0,Q1936,0)</f>
        <v>46372</v>
      </c>
      <c r="S1936" s="12"/>
    </row>
    <row r="1937" customFormat="false" ht="15" hidden="false" customHeight="false" outlineLevel="0" collapsed="false">
      <c r="A1937" s="15" t="s">
        <v>5603</v>
      </c>
      <c r="B1937" s="15" t="s">
        <v>5597</v>
      </c>
      <c r="C1937" s="15" t="s">
        <v>406</v>
      </c>
      <c r="D1937" s="15" t="s">
        <v>2058</v>
      </c>
      <c r="E1937" s="15" t="s">
        <v>2059</v>
      </c>
      <c r="F1937" s="15" t="s">
        <v>3022</v>
      </c>
      <c r="G1937" s="15" t="s">
        <v>3023</v>
      </c>
      <c r="H1937" s="33" t="n">
        <f aca="false">Packages!$O$181</f>
        <v>12.2025900003074</v>
      </c>
      <c r="I1937" s="15" t="s">
        <v>118</v>
      </c>
      <c r="J1937" s="34" t="n">
        <f aca="false">MAX(1,ROUNDUP(Packages!$O$181/(R_SLAB*Fronts!$K$12),0))+SLAB_CURE</f>
        <v>4</v>
      </c>
      <c r="K1937" s="34" t="n">
        <f aca="false">IF(J1937=0,0,ROUNDUP(J1937*7/WD,0))</f>
        <v>5</v>
      </c>
      <c r="L1937" s="15" t="s">
        <v>5602</v>
      </c>
      <c r="M1937" s="34" t="n">
        <f aca="false">ROUNDUP(K1936*LADDER,0)</f>
        <v>1</v>
      </c>
      <c r="N1937" s="34" t="n">
        <f aca="false">IF(K1937=0,0,FFLAG)</f>
        <v>2</v>
      </c>
      <c r="O1937" s="15"/>
      <c r="P1937" s="16" t="n">
        <f aca="false">MAX(P1936+M1937)</f>
        <v>46371</v>
      </c>
      <c r="Q1937" s="16" t="n">
        <f aca="false">MAX(P1937+K1937,Q1936+N1937)</f>
        <v>46376</v>
      </c>
      <c r="R1937" s="16" t="n">
        <f aca="false">IF(K1937&gt;0,Q1937,0)</f>
        <v>46376</v>
      </c>
      <c r="S1937" s="12"/>
    </row>
    <row r="1938" customFormat="false" ht="15" hidden="false" customHeight="false" outlineLevel="0" collapsed="false">
      <c r="A1938" s="15" t="s">
        <v>5604</v>
      </c>
      <c r="B1938" s="15" t="s">
        <v>5597</v>
      </c>
      <c r="C1938" s="15" t="s">
        <v>406</v>
      </c>
      <c r="D1938" s="15" t="s">
        <v>2058</v>
      </c>
      <c r="E1938" s="15" t="s">
        <v>2059</v>
      </c>
      <c r="F1938" s="15" t="s">
        <v>3025</v>
      </c>
      <c r="G1938" s="15" t="s">
        <v>3026</v>
      </c>
      <c r="H1938" s="33" t="n">
        <f aca="false">Packages!$O$181</f>
        <v>12.2025900003074</v>
      </c>
      <c r="I1938" s="15" t="s">
        <v>118</v>
      </c>
      <c r="J1938" s="34" t="n">
        <f aca="false">MAX(1,ROUNDUP(Packages!$O$181/(IF(Packages!$N$181&gt;=PIPE_T1,R_PIPE_L,IF(Packages!$N$181&gt;=PIPE_T2,R_PIPE_M,R_PIPE_S))*Fronts!$L$12)+Packages!$M$181*FIT_D+IF(Packages!$G$181&lt;&gt;"Run",TIE_D,0),0))</f>
        <v>4</v>
      </c>
      <c r="K1938" s="34" t="n">
        <f aca="false">IF(J1938=0,0,ROUNDUP(J1938*7/WD,0))</f>
        <v>5</v>
      </c>
      <c r="L1938" s="15" t="s">
        <v>5603</v>
      </c>
      <c r="M1938" s="34" t="n">
        <f aca="false">ROUNDUP(K1937*LADDER,0)</f>
        <v>2</v>
      </c>
      <c r="N1938" s="34" t="n">
        <f aca="false">IF(K1938=0,0,FFLAG)</f>
        <v>2</v>
      </c>
      <c r="O1938" s="15"/>
      <c r="P1938" s="16" t="n">
        <f aca="false">MAX(P1937+M1938)</f>
        <v>46373</v>
      </c>
      <c r="Q1938" s="16" t="n">
        <f aca="false">MAX(P1938+K1938,Q1937+N1938)</f>
        <v>46378</v>
      </c>
      <c r="R1938" s="16" t="n">
        <f aca="false">IF(K1938&gt;0,Q1938,0)</f>
        <v>46378</v>
      </c>
      <c r="S1938" s="12"/>
    </row>
    <row r="1939" customFormat="false" ht="15" hidden="false" customHeight="false" outlineLevel="0" collapsed="false">
      <c r="A1939" s="15" t="s">
        <v>5605</v>
      </c>
      <c r="B1939" s="15" t="s">
        <v>5597</v>
      </c>
      <c r="C1939" s="15" t="s">
        <v>406</v>
      </c>
      <c r="D1939" s="15" t="s">
        <v>2058</v>
      </c>
      <c r="E1939" s="15" t="s">
        <v>2059</v>
      </c>
      <c r="F1939" s="15" t="s">
        <v>3028</v>
      </c>
      <c r="G1939" s="15" t="s">
        <v>3029</v>
      </c>
      <c r="H1939" s="33" t="n">
        <f aca="false">Packages!$O$181</f>
        <v>12.2025900003074</v>
      </c>
      <c r="I1939" s="15" t="s">
        <v>118</v>
      </c>
      <c r="J1939" s="34" t="n">
        <f aca="false">TEST_D+ROUNDUP(Packages!$O$181/R_TEST,0)</f>
        <v>3</v>
      </c>
      <c r="K1939" s="34" t="n">
        <f aca="false">IF(J1939=0,0,ROUNDUP(J1939*7/WD,0))</f>
        <v>4</v>
      </c>
      <c r="L1939" s="15" t="s">
        <v>5604</v>
      </c>
      <c r="M1939" s="34" t="n">
        <f aca="false">ROUNDUP(K1938*LADDER,0)</f>
        <v>2</v>
      </c>
      <c r="N1939" s="34" t="n">
        <f aca="false">IF(K1939=0,0,FFLAG)</f>
        <v>2</v>
      </c>
      <c r="O1939" s="15"/>
      <c r="P1939" s="16" t="n">
        <f aca="false">MAX(P1938+M1939)</f>
        <v>46375</v>
      </c>
      <c r="Q1939" s="16" t="n">
        <f aca="false">MAX(P1939+K1939,Q1938+N1939)</f>
        <v>46380</v>
      </c>
      <c r="R1939" s="12"/>
      <c r="S1939" s="12"/>
    </row>
    <row r="1940" customFormat="false" ht="15" hidden="false" customHeight="false" outlineLevel="0" collapsed="false">
      <c r="A1940" s="15" t="s">
        <v>5606</v>
      </c>
      <c r="B1940" s="15" t="s">
        <v>5597</v>
      </c>
      <c r="C1940" s="15" t="s">
        <v>406</v>
      </c>
      <c r="D1940" s="15" t="s">
        <v>2058</v>
      </c>
      <c r="E1940" s="15" t="s">
        <v>2059</v>
      </c>
      <c r="F1940" s="15" t="s">
        <v>3031</v>
      </c>
      <c r="G1940" s="15" t="s">
        <v>3032</v>
      </c>
      <c r="H1940" s="33" t="n">
        <f aca="false">Packages!$AB$181</f>
        <v>219.346684566033</v>
      </c>
      <c r="I1940" s="15" t="s">
        <v>3019</v>
      </c>
      <c r="J1940" s="34" t="n">
        <f aca="false">MAX(1,ROUNDUP(Packages!$AB$181/(R_BF*Fronts!$M$12),0))</f>
        <v>1</v>
      </c>
      <c r="K1940" s="34" t="n">
        <f aca="false">IF(J1940=0,0,ROUNDUP(J1940*7/WD,0))</f>
        <v>2</v>
      </c>
      <c r="L1940" s="15" t="s">
        <v>5605</v>
      </c>
      <c r="M1940" s="34" t="n">
        <f aca="false">ROUNDUP(K1939*LADDER,0)</f>
        <v>2</v>
      </c>
      <c r="N1940" s="34" t="n">
        <f aca="false">IF(K1940=0,0,FFLAG)</f>
        <v>2</v>
      </c>
      <c r="O1940" s="15" t="s">
        <v>5607</v>
      </c>
      <c r="P1940" s="16" t="n">
        <f aca="false">MAX(P1939+M1940,Q1949,Q1960)</f>
        <v>46380</v>
      </c>
      <c r="Q1940" s="16" t="n">
        <f aca="false">MAX(P1940+K1940,Q1939+N1940)</f>
        <v>46382</v>
      </c>
      <c r="R1940" s="16" t="n">
        <f aca="false">IF(K1940&gt;0,Q1940,0)</f>
        <v>46382</v>
      </c>
      <c r="S1940" s="12"/>
    </row>
    <row r="1941" customFormat="false" ht="15" hidden="false" customHeight="false" outlineLevel="0" collapsed="false">
      <c r="A1941" s="15" t="s">
        <v>5608</v>
      </c>
      <c r="B1941" s="15" t="s">
        <v>5597</v>
      </c>
      <c r="C1941" s="15" t="s">
        <v>406</v>
      </c>
      <c r="D1941" s="15" t="s">
        <v>2058</v>
      </c>
      <c r="E1941" s="15" t="s">
        <v>2059</v>
      </c>
      <c r="F1941" s="15" t="s">
        <v>3034</v>
      </c>
      <c r="G1941" s="15" t="s">
        <v>3035</v>
      </c>
      <c r="H1941" s="33" t="n">
        <f aca="false">Packages!$AD$181</f>
        <v>24.4051800006147</v>
      </c>
      <c r="I1941" s="15" t="s">
        <v>3012</v>
      </c>
      <c r="J1941" s="34" t="n">
        <f aca="false">IF(Packages!$AD$181&gt;0,ROUNDUP(Packages!$AD$181/R_EXT,0),0)+IF(Packages!$AG$181&gt;0,1,0)</f>
        <v>2</v>
      </c>
      <c r="K1941" s="34" t="n">
        <f aca="false">IF(J1941=0,0,ROUNDUP(J1941*7/WD,0))</f>
        <v>3</v>
      </c>
      <c r="L1941" s="15" t="s">
        <v>5606</v>
      </c>
      <c r="M1941" s="34" t="n">
        <f aca="false">ROUNDUP(K1940*LADDER,0)</f>
        <v>1</v>
      </c>
      <c r="N1941" s="34" t="n">
        <f aca="false">IF(K1941=0,0,FFLAG)</f>
        <v>2</v>
      </c>
      <c r="O1941" s="15"/>
      <c r="P1941" s="16" t="n">
        <f aca="false">MAX(P1940+M1941)</f>
        <v>46381</v>
      </c>
      <c r="Q1941" s="16" t="n">
        <f aca="false">MAX(P1941+K1941,Q1940+N1941)</f>
        <v>46384</v>
      </c>
      <c r="R1941" s="12"/>
      <c r="S1941" s="12"/>
    </row>
    <row r="1942" customFormat="false" ht="15" hidden="false" customHeight="false" outlineLevel="0" collapsed="false">
      <c r="A1942" s="15" t="s">
        <v>5609</v>
      </c>
      <c r="B1942" s="15" t="s">
        <v>5610</v>
      </c>
      <c r="C1942" s="15" t="s">
        <v>406</v>
      </c>
      <c r="D1942" s="15" t="s">
        <v>2062</v>
      </c>
      <c r="E1942" s="15" t="s">
        <v>2063</v>
      </c>
      <c r="F1942" s="15" t="s">
        <v>2998</v>
      </c>
      <c r="G1942" s="15" t="s">
        <v>2999</v>
      </c>
      <c r="H1942" s="12"/>
      <c r="I1942" s="12"/>
      <c r="J1942" s="34" t="n">
        <f aca="false">0</f>
        <v>0</v>
      </c>
      <c r="K1942" s="34" t="n">
        <f aca="false">IF(J1942=0,0,ROUNDUP(J1942*7/WD,0))</f>
        <v>0</v>
      </c>
      <c r="L1942" s="12"/>
      <c r="M1942" s="12"/>
      <c r="N1942" s="12"/>
      <c r="O1942" s="15" t="s">
        <v>3038</v>
      </c>
      <c r="P1942" s="16" t="n">
        <f aca="false">MAX(START,D_DLU,Packages!$I$182,Packages!$K$182)</f>
        <v>46357</v>
      </c>
      <c r="Q1942" s="16" t="n">
        <f aca="false">P1942+K1942</f>
        <v>46357</v>
      </c>
      <c r="R1942" s="12"/>
      <c r="S1942" s="12"/>
    </row>
    <row r="1943" customFormat="false" ht="15" hidden="false" customHeight="false" outlineLevel="0" collapsed="false">
      <c r="A1943" s="15" t="s">
        <v>5611</v>
      </c>
      <c r="B1943" s="15" t="s">
        <v>5610</v>
      </c>
      <c r="C1943" s="15" t="s">
        <v>406</v>
      </c>
      <c r="D1943" s="15" t="s">
        <v>2062</v>
      </c>
      <c r="E1943" s="15" t="s">
        <v>2063</v>
      </c>
      <c r="F1943" s="15" t="s">
        <v>3002</v>
      </c>
      <c r="G1943" s="15" t="s">
        <v>205</v>
      </c>
      <c r="H1943" s="33" t="n">
        <f aca="false">Packages!$O$182</f>
        <v>12.2103899998167</v>
      </c>
      <c r="I1943" s="15" t="s">
        <v>118</v>
      </c>
      <c r="J1943" s="34" t="n">
        <f aca="false">MAX(1,ROUNDUP(Packages!$O$182/R_PLAT,0))</f>
        <v>1</v>
      </c>
      <c r="K1943" s="34" t="n">
        <f aca="false">IF(J1943=0,0,ROUNDUP(J1943*7/WD,0))</f>
        <v>2</v>
      </c>
      <c r="L1943" s="15" t="s">
        <v>5609</v>
      </c>
      <c r="M1943" s="12"/>
      <c r="N1943" s="12"/>
      <c r="O1943" s="15" t="s">
        <v>3003</v>
      </c>
      <c r="P1943" s="16" t="n">
        <f aca="false">MAX(Q1942)</f>
        <v>46357</v>
      </c>
      <c r="Q1943" s="16" t="n">
        <f aca="false">P1943+K1943</f>
        <v>46359</v>
      </c>
      <c r="R1943" s="12"/>
      <c r="S1943" s="12"/>
    </row>
    <row r="1944" customFormat="false" ht="15" hidden="false" customHeight="false" outlineLevel="0" collapsed="false">
      <c r="A1944" s="15" t="s">
        <v>5612</v>
      </c>
      <c r="B1944" s="15" t="s">
        <v>5610</v>
      </c>
      <c r="C1944" s="15" t="s">
        <v>406</v>
      </c>
      <c r="D1944" s="15" t="s">
        <v>2062</v>
      </c>
      <c r="E1944" s="15" t="s">
        <v>2063</v>
      </c>
      <c r="F1944" s="15" t="s">
        <v>3005</v>
      </c>
      <c r="G1944" s="15" t="s">
        <v>3006</v>
      </c>
      <c r="H1944" s="33" t="n">
        <f aca="false">Packages!$AC$182</f>
        <v>12</v>
      </c>
      <c r="I1944" s="15" t="s">
        <v>3007</v>
      </c>
      <c r="J1944" s="34" t="n">
        <f aca="false">IF(Packages!$AC$182=0,0,MAX(1,ROUNDUP(Packages!$AC$182/(R_PILE*Fronts!$H$12),0)))</f>
        <v>2</v>
      </c>
      <c r="K1944" s="34" t="n">
        <f aca="false">IF(J1944=0,0,ROUNDUP(J1944*7/WD,0))</f>
        <v>3</v>
      </c>
      <c r="L1944" s="15" t="s">
        <v>5611</v>
      </c>
      <c r="M1944" s="34" t="n">
        <f aca="false">ROUNDUP(K1943*LADDER,0)</f>
        <v>1</v>
      </c>
      <c r="N1944" s="34" t="n">
        <f aca="false">IF(K1944=0,0,FFLAG)</f>
        <v>2</v>
      </c>
      <c r="O1944" s="15" t="s">
        <v>3008</v>
      </c>
      <c r="P1944" s="16" t="n">
        <f aca="false">MAX(P1943+M1944,D_PILEDES)</f>
        <v>46358</v>
      </c>
      <c r="Q1944" s="16" t="n">
        <f aca="false">MAX(P1944+K1944,Q1943+N1944)</f>
        <v>46361</v>
      </c>
      <c r="R1944" s="16" t="n">
        <f aca="false">IF(K1944&gt;0,Q1944,0)</f>
        <v>46361</v>
      </c>
      <c r="S1944" s="12"/>
    </row>
    <row r="1945" customFormat="false" ht="15" hidden="false" customHeight="false" outlineLevel="0" collapsed="false">
      <c r="A1945" s="15" t="s">
        <v>5613</v>
      </c>
      <c r="B1945" s="15" t="s">
        <v>5610</v>
      </c>
      <c r="C1945" s="15" t="s">
        <v>406</v>
      </c>
      <c r="D1945" s="15" t="s">
        <v>2062</v>
      </c>
      <c r="E1945" s="15" t="s">
        <v>2063</v>
      </c>
      <c r="F1945" s="15" t="s">
        <v>3010</v>
      </c>
      <c r="G1945" s="15" t="s">
        <v>3011</v>
      </c>
      <c r="H1945" s="33" t="n">
        <f aca="false">Packages!$AD$182</f>
        <v>24.4207799996334</v>
      </c>
      <c r="I1945" s="15" t="s">
        <v>3012</v>
      </c>
      <c r="J1945" s="34" t="n">
        <f aca="false">IF(Packages!$AD$182=0,0,MAX(1,ROUNDUP(Packages!$AD$182/(R_SHEET*Fronts!$I$12),0)))</f>
        <v>1</v>
      </c>
      <c r="K1945" s="34" t="n">
        <f aca="false">IF(J1945=0,0,ROUNDUP(J1945*7/WD,0))</f>
        <v>2</v>
      </c>
      <c r="L1945" s="15" t="s">
        <v>5612</v>
      </c>
      <c r="M1945" s="34" t="n">
        <f aca="false">ROUNDUP(K1944*LADDER,0)</f>
        <v>1</v>
      </c>
      <c r="N1945" s="34" t="n">
        <f aca="false">IF(K1945=0,0,FFLAG)</f>
        <v>2</v>
      </c>
      <c r="O1945" s="15"/>
      <c r="P1945" s="16" t="n">
        <f aca="false">MAX(P1944+M1945)</f>
        <v>46359</v>
      </c>
      <c r="Q1945" s="16" t="n">
        <f aca="false">MAX(P1945+K1945,Q1944+N1945)</f>
        <v>46363</v>
      </c>
      <c r="R1945" s="16" t="n">
        <f aca="false">IF(K1945&gt;0,Q1945,0)</f>
        <v>46363</v>
      </c>
      <c r="S1945" s="12"/>
    </row>
    <row r="1946" customFormat="false" ht="15" hidden="false" customHeight="false" outlineLevel="0" collapsed="false">
      <c r="A1946" s="15" t="s">
        <v>5614</v>
      </c>
      <c r="B1946" s="15" t="s">
        <v>5610</v>
      </c>
      <c r="C1946" s="15" t="s">
        <v>406</v>
      </c>
      <c r="D1946" s="15" t="s">
        <v>2062</v>
      </c>
      <c r="E1946" s="15" t="s">
        <v>2063</v>
      </c>
      <c r="F1946" s="15" t="s">
        <v>3014</v>
      </c>
      <c r="G1946" s="15" t="s">
        <v>3015</v>
      </c>
      <c r="H1946" s="33" t="n">
        <f aca="false">Packages!$O$182</f>
        <v>12.2103899998167</v>
      </c>
      <c r="I1946" s="15" t="s">
        <v>118</v>
      </c>
      <c r="J1946" s="34" t="n">
        <f aca="false">IF(Packages!$AG$182=0,0,ROUNDUP(Packages!$O$182/R_DW,0)+DW_DRAW)</f>
        <v>8</v>
      </c>
      <c r="K1946" s="34" t="n">
        <f aca="false">IF(J1946=0,0,ROUNDUP(J1946*7/WD,0))</f>
        <v>10</v>
      </c>
      <c r="L1946" s="15" t="s">
        <v>5613</v>
      </c>
      <c r="M1946" s="34" t="n">
        <f aca="false">ROUNDUP(K1945*LADDER,0)</f>
        <v>1</v>
      </c>
      <c r="N1946" s="34" t="n">
        <f aca="false">IF(K1946=0,0,FFLAG)</f>
        <v>2</v>
      </c>
      <c r="O1946" s="15"/>
      <c r="P1946" s="16" t="n">
        <f aca="false">MAX(P1945+M1946)</f>
        <v>46360</v>
      </c>
      <c r="Q1946" s="16" t="n">
        <f aca="false">MAX(P1946+K1946,Q1945+N1946)</f>
        <v>46370</v>
      </c>
      <c r="R1946" s="12"/>
      <c r="S1946" s="12"/>
    </row>
    <row r="1947" customFormat="false" ht="15" hidden="false" customHeight="false" outlineLevel="0" collapsed="false">
      <c r="A1947" s="15" t="s">
        <v>5615</v>
      </c>
      <c r="B1947" s="15" t="s">
        <v>5610</v>
      </c>
      <c r="C1947" s="15" t="s">
        <v>406</v>
      </c>
      <c r="D1947" s="15" t="s">
        <v>2062</v>
      </c>
      <c r="E1947" s="15" t="s">
        <v>2063</v>
      </c>
      <c r="F1947" s="15" t="s">
        <v>3017</v>
      </c>
      <c r="G1947" s="15" t="s">
        <v>3018</v>
      </c>
      <c r="H1947" s="33" t="n">
        <f aca="false">Packages!$X$182+Packages!$Y$182</f>
        <v>289.185279153847</v>
      </c>
      <c r="I1947" s="15" t="s">
        <v>3019</v>
      </c>
      <c r="J1947" s="34" t="n">
        <f aca="false">MAX(1,ROUNDUP((Packages!$X$182/R_EXS+Packages!$Y$182/R_EXO)/Fronts!$J$12,0))</f>
        <v>1</v>
      </c>
      <c r="K1947" s="34" t="n">
        <f aca="false">IF(J1947=0,0,ROUNDUP(J1947*7/WD,0))</f>
        <v>2</v>
      </c>
      <c r="L1947" s="15" t="s">
        <v>5614</v>
      </c>
      <c r="M1947" s="34" t="n">
        <f aca="false">IF(K1946=0,0,ROUNDUP((K1946-ROUNDUP(DW_DRAW*7/WD,0))*LADDER,0)+ROUNDUP(DW_DRAW*7/WD,0))</f>
        <v>10</v>
      </c>
      <c r="N1947" s="34" t="n">
        <f aca="false">IF(K1947=0,0,FFLAG)</f>
        <v>2</v>
      </c>
      <c r="O1947" s="15" t="s">
        <v>5616</v>
      </c>
      <c r="P1947" s="16" t="n">
        <f aca="false">MAX(P1946+M1947,P1936)</f>
        <v>46370</v>
      </c>
      <c r="Q1947" s="16" t="n">
        <f aca="false">MAX(P1947+K1947,Q1946+N1947)</f>
        <v>46372</v>
      </c>
      <c r="R1947" s="16" t="n">
        <f aca="false">IF(K1947&gt;0,Q1947,0)</f>
        <v>46372</v>
      </c>
      <c r="S1947" s="12"/>
    </row>
    <row r="1948" customFormat="false" ht="15" hidden="false" customHeight="false" outlineLevel="0" collapsed="false">
      <c r="A1948" s="15" t="s">
        <v>5617</v>
      </c>
      <c r="B1948" s="15" t="s">
        <v>5610</v>
      </c>
      <c r="C1948" s="15" t="s">
        <v>406</v>
      </c>
      <c r="D1948" s="15" t="s">
        <v>2062</v>
      </c>
      <c r="E1948" s="15" t="s">
        <v>2063</v>
      </c>
      <c r="F1948" s="15" t="s">
        <v>3022</v>
      </c>
      <c r="G1948" s="15" t="s">
        <v>3023</v>
      </c>
      <c r="H1948" s="33" t="n">
        <f aca="false">Packages!$O$182</f>
        <v>12.2103899998167</v>
      </c>
      <c r="I1948" s="15" t="s">
        <v>118</v>
      </c>
      <c r="J1948" s="34" t="n">
        <f aca="false">MAX(1,ROUNDUP(Packages!$O$182/(R_SLAB*Fronts!$K$12),0))+SLAB_CURE</f>
        <v>4</v>
      </c>
      <c r="K1948" s="34" t="n">
        <f aca="false">IF(J1948=0,0,ROUNDUP(J1948*7/WD,0))</f>
        <v>5</v>
      </c>
      <c r="L1948" s="15" t="s">
        <v>5615</v>
      </c>
      <c r="M1948" s="34" t="n">
        <f aca="false">ROUNDUP(K1947*LADDER,0)</f>
        <v>1</v>
      </c>
      <c r="N1948" s="34" t="n">
        <f aca="false">IF(K1948=0,0,FFLAG)</f>
        <v>2</v>
      </c>
      <c r="O1948" s="15"/>
      <c r="P1948" s="16" t="n">
        <f aca="false">MAX(P1947+M1948)</f>
        <v>46371</v>
      </c>
      <c r="Q1948" s="16" t="n">
        <f aca="false">MAX(P1948+K1948,Q1947+N1948)</f>
        <v>46376</v>
      </c>
      <c r="R1948" s="16" t="n">
        <f aca="false">IF(K1948&gt;0,Q1948,0)</f>
        <v>46376</v>
      </c>
      <c r="S1948" s="12"/>
    </row>
    <row r="1949" customFormat="false" ht="15" hidden="false" customHeight="false" outlineLevel="0" collapsed="false">
      <c r="A1949" s="15" t="s">
        <v>5618</v>
      </c>
      <c r="B1949" s="15" t="s">
        <v>5610</v>
      </c>
      <c r="C1949" s="15" t="s">
        <v>406</v>
      </c>
      <c r="D1949" s="15" t="s">
        <v>2062</v>
      </c>
      <c r="E1949" s="15" t="s">
        <v>2063</v>
      </c>
      <c r="F1949" s="15" t="s">
        <v>3025</v>
      </c>
      <c r="G1949" s="15" t="s">
        <v>3026</v>
      </c>
      <c r="H1949" s="33" t="n">
        <f aca="false">Packages!$O$182</f>
        <v>12.2103899998167</v>
      </c>
      <c r="I1949" s="15" t="s">
        <v>118</v>
      </c>
      <c r="J1949" s="34" t="n">
        <f aca="false">MAX(1,ROUNDUP(Packages!$O$182/(IF(Packages!$N$182&gt;=PIPE_T1,R_PIPE_L,IF(Packages!$N$182&gt;=PIPE_T2,R_PIPE_M,R_PIPE_S))*Fronts!$L$12)+Packages!$M$182*FIT_D+IF(Packages!$G$182&lt;&gt;"Run",TIE_D,0),0))</f>
        <v>4</v>
      </c>
      <c r="K1949" s="34" t="n">
        <f aca="false">IF(J1949=0,0,ROUNDUP(J1949*7/WD,0))</f>
        <v>5</v>
      </c>
      <c r="L1949" s="15" t="s">
        <v>5617</v>
      </c>
      <c r="M1949" s="34" t="n">
        <f aca="false">ROUNDUP(K1948*LADDER,0)</f>
        <v>2</v>
      </c>
      <c r="N1949" s="34" t="n">
        <f aca="false">IF(K1949=0,0,FFLAG)</f>
        <v>2</v>
      </c>
      <c r="O1949" s="15"/>
      <c r="P1949" s="16" t="n">
        <f aca="false">MAX(P1948+M1949)</f>
        <v>46373</v>
      </c>
      <c r="Q1949" s="16" t="n">
        <f aca="false">MAX(P1949+K1949,Q1948+N1949)</f>
        <v>46378</v>
      </c>
      <c r="R1949" s="16" t="n">
        <f aca="false">IF(K1949&gt;0,Q1949,0)</f>
        <v>46378</v>
      </c>
      <c r="S1949" s="12"/>
    </row>
    <row r="1950" customFormat="false" ht="15" hidden="false" customHeight="false" outlineLevel="0" collapsed="false">
      <c r="A1950" s="15" t="s">
        <v>5619</v>
      </c>
      <c r="B1950" s="15" t="s">
        <v>5610</v>
      </c>
      <c r="C1950" s="15" t="s">
        <v>406</v>
      </c>
      <c r="D1950" s="15" t="s">
        <v>2062</v>
      </c>
      <c r="E1950" s="15" t="s">
        <v>2063</v>
      </c>
      <c r="F1950" s="15" t="s">
        <v>3028</v>
      </c>
      <c r="G1950" s="15" t="s">
        <v>3029</v>
      </c>
      <c r="H1950" s="33" t="n">
        <f aca="false">Packages!$O$182</f>
        <v>12.2103899998167</v>
      </c>
      <c r="I1950" s="15" t="s">
        <v>118</v>
      </c>
      <c r="J1950" s="34" t="n">
        <f aca="false">TEST_D+ROUNDUP(Packages!$O$182/R_TEST,0)</f>
        <v>3</v>
      </c>
      <c r="K1950" s="34" t="n">
        <f aca="false">IF(J1950=0,0,ROUNDUP(J1950*7/WD,0))</f>
        <v>4</v>
      </c>
      <c r="L1950" s="15" t="s">
        <v>5618</v>
      </c>
      <c r="M1950" s="34" t="n">
        <f aca="false">ROUNDUP(K1949*LADDER,0)</f>
        <v>2</v>
      </c>
      <c r="N1950" s="34" t="n">
        <f aca="false">IF(K1950=0,0,FFLAG)</f>
        <v>2</v>
      </c>
      <c r="O1950" s="15"/>
      <c r="P1950" s="16" t="n">
        <f aca="false">MAX(P1949+M1950)</f>
        <v>46375</v>
      </c>
      <c r="Q1950" s="16" t="n">
        <f aca="false">MAX(P1950+K1950,Q1949+N1950)</f>
        <v>46380</v>
      </c>
      <c r="R1950" s="12"/>
      <c r="S1950" s="12"/>
    </row>
    <row r="1951" customFormat="false" ht="15" hidden="false" customHeight="false" outlineLevel="0" collapsed="false">
      <c r="A1951" s="15" t="s">
        <v>5620</v>
      </c>
      <c r="B1951" s="15" t="s">
        <v>5610</v>
      </c>
      <c r="C1951" s="15" t="s">
        <v>406</v>
      </c>
      <c r="D1951" s="15" t="s">
        <v>2062</v>
      </c>
      <c r="E1951" s="15" t="s">
        <v>2063</v>
      </c>
      <c r="F1951" s="15" t="s">
        <v>3031</v>
      </c>
      <c r="G1951" s="15" t="s">
        <v>3032</v>
      </c>
      <c r="H1951" s="33" t="n">
        <f aca="false">Packages!$AB$182</f>
        <v>219.486884379286</v>
      </c>
      <c r="I1951" s="15" t="s">
        <v>3019</v>
      </c>
      <c r="J1951" s="34" t="n">
        <f aca="false">MAX(1,ROUNDUP(Packages!$AB$182/(R_BF*Fronts!$M$12),0))</f>
        <v>1</v>
      </c>
      <c r="K1951" s="34" t="n">
        <f aca="false">IF(J1951=0,0,ROUNDUP(J1951*7/WD,0))</f>
        <v>2</v>
      </c>
      <c r="L1951" s="15" t="s">
        <v>5619</v>
      </c>
      <c r="M1951" s="34" t="n">
        <f aca="false">ROUNDUP(K1950*LADDER,0)</f>
        <v>2</v>
      </c>
      <c r="N1951" s="34" t="n">
        <f aca="false">IF(K1951=0,0,FFLAG)</f>
        <v>2</v>
      </c>
      <c r="O1951" s="15" t="s">
        <v>5621</v>
      </c>
      <c r="P1951" s="16" t="n">
        <f aca="false">MAX(P1950+M1951,Q1938,Q1960)</f>
        <v>46380</v>
      </c>
      <c r="Q1951" s="16" t="n">
        <f aca="false">MAX(P1951+K1951,Q1950+N1951)</f>
        <v>46382</v>
      </c>
      <c r="R1951" s="16" t="n">
        <f aca="false">IF(K1951&gt;0,Q1951,0)</f>
        <v>46382</v>
      </c>
      <c r="S1951" s="12"/>
    </row>
    <row r="1952" customFormat="false" ht="15" hidden="false" customHeight="false" outlineLevel="0" collapsed="false">
      <c r="A1952" s="15" t="s">
        <v>5622</v>
      </c>
      <c r="B1952" s="15" t="s">
        <v>5610</v>
      </c>
      <c r="C1952" s="15" t="s">
        <v>406</v>
      </c>
      <c r="D1952" s="15" t="s">
        <v>2062</v>
      </c>
      <c r="E1952" s="15" t="s">
        <v>2063</v>
      </c>
      <c r="F1952" s="15" t="s">
        <v>3034</v>
      </c>
      <c r="G1952" s="15" t="s">
        <v>3035</v>
      </c>
      <c r="H1952" s="33" t="n">
        <f aca="false">Packages!$AD$182</f>
        <v>24.4207799996334</v>
      </c>
      <c r="I1952" s="15" t="s">
        <v>3012</v>
      </c>
      <c r="J1952" s="34" t="n">
        <f aca="false">IF(Packages!$AD$182&gt;0,ROUNDUP(Packages!$AD$182/R_EXT,0),0)+IF(Packages!$AG$182&gt;0,1,0)</f>
        <v>2</v>
      </c>
      <c r="K1952" s="34" t="n">
        <f aca="false">IF(J1952=0,0,ROUNDUP(J1952*7/WD,0))</f>
        <v>3</v>
      </c>
      <c r="L1952" s="15" t="s">
        <v>5620</v>
      </c>
      <c r="M1952" s="34" t="n">
        <f aca="false">ROUNDUP(K1951*LADDER,0)</f>
        <v>1</v>
      </c>
      <c r="N1952" s="34" t="n">
        <f aca="false">IF(K1952=0,0,FFLAG)</f>
        <v>2</v>
      </c>
      <c r="O1952" s="15"/>
      <c r="P1952" s="16" t="n">
        <f aca="false">MAX(P1951+M1952)</f>
        <v>46381</v>
      </c>
      <c r="Q1952" s="16" t="n">
        <f aca="false">MAX(P1952+K1952,Q1951+N1952)</f>
        <v>46384</v>
      </c>
      <c r="R1952" s="12"/>
      <c r="S1952" s="12"/>
    </row>
    <row r="1953" customFormat="false" ht="15" hidden="false" customHeight="false" outlineLevel="0" collapsed="false">
      <c r="A1953" s="15" t="s">
        <v>5623</v>
      </c>
      <c r="B1953" s="15" t="s">
        <v>5624</v>
      </c>
      <c r="C1953" s="15" t="s">
        <v>406</v>
      </c>
      <c r="D1953" s="15" t="s">
        <v>2297</v>
      </c>
      <c r="E1953" s="15" t="s">
        <v>2301</v>
      </c>
      <c r="F1953" s="15" t="s">
        <v>2998</v>
      </c>
      <c r="G1953" s="15" t="s">
        <v>2999</v>
      </c>
      <c r="H1953" s="12"/>
      <c r="I1953" s="12"/>
      <c r="J1953" s="34" t="n">
        <f aca="false">0</f>
        <v>0</v>
      </c>
      <c r="K1953" s="34" t="n">
        <f aca="false">IF(J1953=0,0,ROUNDUP(J1953*7/WD,0))</f>
        <v>0</v>
      </c>
      <c r="L1953" s="12"/>
      <c r="M1953" s="12"/>
      <c r="N1953" s="12"/>
      <c r="O1953" s="15" t="s">
        <v>3038</v>
      </c>
      <c r="P1953" s="16" t="n">
        <f aca="false">MAX(START,D_DLU,Packages!$I$183,Packages!$K$183)</f>
        <v>46357</v>
      </c>
      <c r="Q1953" s="16" t="n">
        <f aca="false">P1953+K1953</f>
        <v>46357</v>
      </c>
      <c r="R1953" s="12"/>
      <c r="S1953" s="12"/>
    </row>
    <row r="1954" customFormat="false" ht="15" hidden="false" customHeight="false" outlineLevel="0" collapsed="false">
      <c r="A1954" s="15" t="s">
        <v>5625</v>
      </c>
      <c r="B1954" s="15" t="s">
        <v>5624</v>
      </c>
      <c r="C1954" s="15" t="s">
        <v>406</v>
      </c>
      <c r="D1954" s="15" t="s">
        <v>2297</v>
      </c>
      <c r="E1954" s="15" t="s">
        <v>2301</v>
      </c>
      <c r="F1954" s="15" t="s">
        <v>3002</v>
      </c>
      <c r="G1954" s="15" t="s">
        <v>205</v>
      </c>
      <c r="H1954" s="33" t="n">
        <f aca="false">Packages!$O$183</f>
        <v>12.4454263124163</v>
      </c>
      <c r="I1954" s="15" t="s">
        <v>118</v>
      </c>
      <c r="J1954" s="34" t="n">
        <f aca="false">MAX(1,ROUNDUP(Packages!$O$183/R_PLAT,0))</f>
        <v>1</v>
      </c>
      <c r="K1954" s="34" t="n">
        <f aca="false">IF(J1954=0,0,ROUNDUP(J1954*7/WD,0))</f>
        <v>2</v>
      </c>
      <c r="L1954" s="15" t="s">
        <v>5623</v>
      </c>
      <c r="M1954" s="12"/>
      <c r="N1954" s="12"/>
      <c r="O1954" s="15" t="s">
        <v>3003</v>
      </c>
      <c r="P1954" s="16" t="n">
        <f aca="false">MAX(Q1953)</f>
        <v>46357</v>
      </c>
      <c r="Q1954" s="16" t="n">
        <f aca="false">P1954+K1954</f>
        <v>46359</v>
      </c>
      <c r="R1954" s="12"/>
      <c r="S1954" s="12"/>
    </row>
    <row r="1955" customFormat="false" ht="15" hidden="false" customHeight="false" outlineLevel="0" collapsed="false">
      <c r="A1955" s="15" t="s">
        <v>5626</v>
      </c>
      <c r="B1955" s="15" t="s">
        <v>5624</v>
      </c>
      <c r="C1955" s="15" t="s">
        <v>406</v>
      </c>
      <c r="D1955" s="15" t="s">
        <v>2297</v>
      </c>
      <c r="E1955" s="15" t="s">
        <v>2301</v>
      </c>
      <c r="F1955" s="15" t="s">
        <v>3005</v>
      </c>
      <c r="G1955" s="15" t="s">
        <v>3006</v>
      </c>
      <c r="H1955" s="33" t="n">
        <f aca="false">Packages!$AC$183</f>
        <v>6</v>
      </c>
      <c r="I1955" s="15" t="s">
        <v>3007</v>
      </c>
      <c r="J1955" s="34" t="n">
        <f aca="false">IF(Packages!$AC$183=0,0,MAX(1,ROUNDUP(Packages!$AC$183/(R_PILE*Fronts!$H$12),0)))</f>
        <v>1</v>
      </c>
      <c r="K1955" s="34" t="n">
        <f aca="false">IF(J1955=0,0,ROUNDUP(J1955*7/WD,0))</f>
        <v>2</v>
      </c>
      <c r="L1955" s="15" t="s">
        <v>5625</v>
      </c>
      <c r="M1955" s="34" t="n">
        <f aca="false">ROUNDUP(K1954*LADDER,0)</f>
        <v>1</v>
      </c>
      <c r="N1955" s="34" t="n">
        <f aca="false">IF(K1955=0,0,FFLAG)</f>
        <v>2</v>
      </c>
      <c r="O1955" s="15" t="s">
        <v>3008</v>
      </c>
      <c r="P1955" s="16" t="n">
        <f aca="false">MAX(P1954+M1955,D_PILEDES)</f>
        <v>46358</v>
      </c>
      <c r="Q1955" s="16" t="n">
        <f aca="false">MAX(P1955+K1955,Q1954+N1955)</f>
        <v>46361</v>
      </c>
      <c r="R1955" s="16" t="n">
        <f aca="false">IF(K1955&gt;0,Q1955,0)</f>
        <v>46361</v>
      </c>
      <c r="S1955" s="12"/>
    </row>
    <row r="1956" customFormat="false" ht="15" hidden="false" customHeight="false" outlineLevel="0" collapsed="false">
      <c r="A1956" s="15" t="s">
        <v>5627</v>
      </c>
      <c r="B1956" s="15" t="s">
        <v>5624</v>
      </c>
      <c r="C1956" s="15" t="s">
        <v>406</v>
      </c>
      <c r="D1956" s="15" t="s">
        <v>2297</v>
      </c>
      <c r="E1956" s="15" t="s">
        <v>2301</v>
      </c>
      <c r="F1956" s="15" t="s">
        <v>3010</v>
      </c>
      <c r="G1956" s="15" t="s">
        <v>3011</v>
      </c>
      <c r="H1956" s="33" t="n">
        <f aca="false">Packages!$AD$183</f>
        <v>24.8908526248326</v>
      </c>
      <c r="I1956" s="15" t="s">
        <v>3012</v>
      </c>
      <c r="J1956" s="34" t="n">
        <f aca="false">IF(Packages!$AD$183=0,0,MAX(1,ROUNDUP(Packages!$AD$183/(R_SHEET*Fronts!$I$12),0)))</f>
        <v>1</v>
      </c>
      <c r="K1956" s="34" t="n">
        <f aca="false">IF(J1956=0,0,ROUNDUP(J1956*7/WD,0))</f>
        <v>2</v>
      </c>
      <c r="L1956" s="15" t="s">
        <v>5626</v>
      </c>
      <c r="M1956" s="34" t="n">
        <f aca="false">ROUNDUP(K1955*LADDER,0)</f>
        <v>1</v>
      </c>
      <c r="N1956" s="34" t="n">
        <f aca="false">IF(K1956=0,0,FFLAG)</f>
        <v>2</v>
      </c>
      <c r="O1956" s="15"/>
      <c r="P1956" s="16" t="n">
        <f aca="false">MAX(P1955+M1956)</f>
        <v>46359</v>
      </c>
      <c r="Q1956" s="16" t="n">
        <f aca="false">MAX(P1956+K1956,Q1955+N1956)</f>
        <v>46363</v>
      </c>
      <c r="R1956" s="16" t="n">
        <f aca="false">IF(K1956&gt;0,Q1956,0)</f>
        <v>46363</v>
      </c>
      <c r="S1956" s="12"/>
    </row>
    <row r="1957" customFormat="false" ht="15" hidden="false" customHeight="false" outlineLevel="0" collapsed="false">
      <c r="A1957" s="15" t="s">
        <v>5628</v>
      </c>
      <c r="B1957" s="15" t="s">
        <v>5624</v>
      </c>
      <c r="C1957" s="15" t="s">
        <v>406</v>
      </c>
      <c r="D1957" s="15" t="s">
        <v>2297</v>
      </c>
      <c r="E1957" s="15" t="s">
        <v>2301</v>
      </c>
      <c r="F1957" s="15" t="s">
        <v>3014</v>
      </c>
      <c r="G1957" s="15" t="s">
        <v>3015</v>
      </c>
      <c r="H1957" s="33" t="n">
        <f aca="false">Packages!$O$183</f>
        <v>12.4454263124163</v>
      </c>
      <c r="I1957" s="15" t="s">
        <v>118</v>
      </c>
      <c r="J1957" s="34" t="n">
        <f aca="false">IF(Packages!$AG$183=0,0,ROUNDUP(Packages!$O$183/R_DW,0)+DW_DRAW)</f>
        <v>8</v>
      </c>
      <c r="K1957" s="34" t="n">
        <f aca="false">IF(J1957=0,0,ROUNDUP(J1957*7/WD,0))</f>
        <v>10</v>
      </c>
      <c r="L1957" s="15" t="s">
        <v>5627</v>
      </c>
      <c r="M1957" s="34" t="n">
        <f aca="false">ROUNDUP(K1956*LADDER,0)</f>
        <v>1</v>
      </c>
      <c r="N1957" s="34" t="n">
        <f aca="false">IF(K1957=0,0,FFLAG)</f>
        <v>2</v>
      </c>
      <c r="O1957" s="15"/>
      <c r="P1957" s="16" t="n">
        <f aca="false">MAX(P1956+M1957)</f>
        <v>46360</v>
      </c>
      <c r="Q1957" s="16" t="n">
        <f aca="false">MAX(P1957+K1957,Q1956+N1957)</f>
        <v>46370</v>
      </c>
      <c r="R1957" s="12"/>
      <c r="S1957" s="12"/>
    </row>
    <row r="1958" customFormat="false" ht="15" hidden="false" customHeight="false" outlineLevel="0" collapsed="false">
      <c r="A1958" s="15" t="s">
        <v>5629</v>
      </c>
      <c r="B1958" s="15" t="s">
        <v>5624</v>
      </c>
      <c r="C1958" s="15" t="s">
        <v>406</v>
      </c>
      <c r="D1958" s="15" t="s">
        <v>2297</v>
      </c>
      <c r="E1958" s="15" t="s">
        <v>2301</v>
      </c>
      <c r="F1958" s="15" t="s">
        <v>3017</v>
      </c>
      <c r="G1958" s="15" t="s">
        <v>3018</v>
      </c>
      <c r="H1958" s="33" t="n">
        <f aca="false">Packages!$X$183+Packages!$Y$183</f>
        <v>152.456469158659</v>
      </c>
      <c r="I1958" s="15" t="s">
        <v>3019</v>
      </c>
      <c r="J1958" s="34" t="n">
        <f aca="false">MAX(1,ROUNDUP((Packages!$X$183/R_EXS+Packages!$Y$183/R_EXO)/Fronts!$J$12,0))</f>
        <v>1</v>
      </c>
      <c r="K1958" s="34" t="n">
        <f aca="false">IF(J1958=0,0,ROUNDUP(J1958*7/WD,0))</f>
        <v>2</v>
      </c>
      <c r="L1958" s="15" t="s">
        <v>5628</v>
      </c>
      <c r="M1958" s="34" t="n">
        <f aca="false">IF(K1957=0,0,ROUNDUP((K1957-ROUNDUP(DW_DRAW*7/WD,0))*LADDER,0)+ROUNDUP(DW_DRAW*7/WD,0))</f>
        <v>10</v>
      </c>
      <c r="N1958" s="34" t="n">
        <f aca="false">IF(K1958=0,0,FFLAG)</f>
        <v>2</v>
      </c>
      <c r="O1958" s="15" t="s">
        <v>5630</v>
      </c>
      <c r="P1958" s="16" t="n">
        <f aca="false">MAX(P1957+M1958,P1936,P1947)</f>
        <v>46370</v>
      </c>
      <c r="Q1958" s="16" t="n">
        <f aca="false">MAX(P1958+K1958,Q1957+N1958)</f>
        <v>46372</v>
      </c>
      <c r="R1958" s="16" t="n">
        <f aca="false">IF(K1958&gt;0,Q1958,0)</f>
        <v>46372</v>
      </c>
      <c r="S1958" s="12"/>
    </row>
    <row r="1959" customFormat="false" ht="15" hidden="false" customHeight="false" outlineLevel="0" collapsed="false">
      <c r="A1959" s="15" t="s">
        <v>5631</v>
      </c>
      <c r="B1959" s="15" t="s">
        <v>5624</v>
      </c>
      <c r="C1959" s="15" t="s">
        <v>406</v>
      </c>
      <c r="D1959" s="15" t="s">
        <v>2297</v>
      </c>
      <c r="E1959" s="15" t="s">
        <v>2301</v>
      </c>
      <c r="F1959" s="15" t="s">
        <v>3022</v>
      </c>
      <c r="G1959" s="15" t="s">
        <v>3023</v>
      </c>
      <c r="H1959" s="33" t="n">
        <f aca="false">Packages!$O$183</f>
        <v>12.4454263124163</v>
      </c>
      <c r="I1959" s="15" t="s">
        <v>118</v>
      </c>
      <c r="J1959" s="34" t="n">
        <f aca="false">MAX(1,ROUNDUP(Packages!$O$183/(R_SLAB*Fronts!$K$12),0))+SLAB_CURE</f>
        <v>4</v>
      </c>
      <c r="K1959" s="34" t="n">
        <f aca="false">IF(J1959=0,0,ROUNDUP(J1959*7/WD,0))</f>
        <v>5</v>
      </c>
      <c r="L1959" s="15" t="s">
        <v>5629</v>
      </c>
      <c r="M1959" s="34" t="n">
        <f aca="false">ROUNDUP(K1958*LADDER,0)</f>
        <v>1</v>
      </c>
      <c r="N1959" s="34" t="n">
        <f aca="false">IF(K1959=0,0,FFLAG)</f>
        <v>2</v>
      </c>
      <c r="O1959" s="15"/>
      <c r="P1959" s="16" t="n">
        <f aca="false">MAX(P1958+M1959)</f>
        <v>46371</v>
      </c>
      <c r="Q1959" s="16" t="n">
        <f aca="false">MAX(P1959+K1959,Q1958+N1959)</f>
        <v>46376</v>
      </c>
      <c r="R1959" s="16" t="n">
        <f aca="false">IF(K1959&gt;0,Q1959,0)</f>
        <v>46376</v>
      </c>
      <c r="S1959" s="12"/>
    </row>
    <row r="1960" customFormat="false" ht="15" hidden="false" customHeight="false" outlineLevel="0" collapsed="false">
      <c r="A1960" s="15" t="s">
        <v>5632</v>
      </c>
      <c r="B1960" s="15" t="s">
        <v>5624</v>
      </c>
      <c r="C1960" s="15" t="s">
        <v>406</v>
      </c>
      <c r="D1960" s="15" t="s">
        <v>2297</v>
      </c>
      <c r="E1960" s="15" t="s">
        <v>2301</v>
      </c>
      <c r="F1960" s="15" t="s">
        <v>3025</v>
      </c>
      <c r="G1960" s="15" t="s">
        <v>3026</v>
      </c>
      <c r="H1960" s="33" t="n">
        <f aca="false">Packages!$O$183</f>
        <v>12.4454263124163</v>
      </c>
      <c r="I1960" s="15" t="s">
        <v>118</v>
      </c>
      <c r="J1960" s="34" t="n">
        <f aca="false">MAX(1,ROUNDUP(Packages!$O$183/(IF(Packages!$N$183&gt;=PIPE_T1,R_PIPE_L,IF(Packages!$N$183&gt;=PIPE_T2,R_PIPE_M,R_PIPE_S))*Fronts!$L$12)+Packages!$M$183*FIT_D+IF(Packages!$G$183&lt;&gt;"Run",TIE_D,0),0))</f>
        <v>6</v>
      </c>
      <c r="K1960" s="34" t="n">
        <f aca="false">IF(J1960=0,0,ROUNDUP(J1960*7/WD,0))</f>
        <v>7</v>
      </c>
      <c r="L1960" s="15" t="s">
        <v>5631</v>
      </c>
      <c r="M1960" s="34" t="n">
        <f aca="false">ROUNDUP(K1959*LADDER,0)</f>
        <v>2</v>
      </c>
      <c r="N1960" s="34" t="n">
        <f aca="false">IF(K1960=0,0,FFLAG)</f>
        <v>2</v>
      </c>
      <c r="O1960" s="15"/>
      <c r="P1960" s="16" t="n">
        <f aca="false">MAX(P1959+M1960)</f>
        <v>46373</v>
      </c>
      <c r="Q1960" s="16" t="n">
        <f aca="false">MAX(P1960+K1960,Q1959+N1960)</f>
        <v>46380</v>
      </c>
      <c r="R1960" s="16" t="n">
        <f aca="false">IF(K1960&gt;0,Q1960,0)</f>
        <v>46380</v>
      </c>
      <c r="S1960" s="12"/>
    </row>
    <row r="1961" customFormat="false" ht="15" hidden="false" customHeight="false" outlineLevel="0" collapsed="false">
      <c r="A1961" s="15" t="s">
        <v>5633</v>
      </c>
      <c r="B1961" s="15" t="s">
        <v>5624</v>
      </c>
      <c r="C1961" s="15" t="s">
        <v>406</v>
      </c>
      <c r="D1961" s="15" t="s">
        <v>2297</v>
      </c>
      <c r="E1961" s="15" t="s">
        <v>2301</v>
      </c>
      <c r="F1961" s="15" t="s">
        <v>3028</v>
      </c>
      <c r="G1961" s="15" t="s">
        <v>3029</v>
      </c>
      <c r="H1961" s="33" t="n">
        <f aca="false">Packages!$O$183</f>
        <v>12.4454263124163</v>
      </c>
      <c r="I1961" s="15" t="s">
        <v>118</v>
      </c>
      <c r="J1961" s="34" t="n">
        <f aca="false">TEST_D+ROUNDUP(Packages!$O$183/R_TEST,0)</f>
        <v>3</v>
      </c>
      <c r="K1961" s="34" t="n">
        <f aca="false">IF(J1961=0,0,ROUNDUP(J1961*7/WD,0))</f>
        <v>4</v>
      </c>
      <c r="L1961" s="15" t="s">
        <v>5632</v>
      </c>
      <c r="M1961" s="34" t="n">
        <f aca="false">ROUNDUP(K1960*LADDER,0)</f>
        <v>3</v>
      </c>
      <c r="N1961" s="34" t="n">
        <f aca="false">IF(K1961=0,0,FFLAG)</f>
        <v>2</v>
      </c>
      <c r="O1961" s="15"/>
      <c r="P1961" s="16" t="n">
        <f aca="false">MAX(P1960+M1961)</f>
        <v>46376</v>
      </c>
      <c r="Q1961" s="16" t="n">
        <f aca="false">MAX(P1961+K1961,Q1960+N1961)</f>
        <v>46382</v>
      </c>
      <c r="R1961" s="12"/>
      <c r="S1961" s="12"/>
    </row>
    <row r="1962" customFormat="false" ht="15" hidden="false" customHeight="false" outlineLevel="0" collapsed="false">
      <c r="A1962" s="15" t="s">
        <v>5634</v>
      </c>
      <c r="B1962" s="15" t="s">
        <v>5624</v>
      </c>
      <c r="C1962" s="15" t="s">
        <v>406</v>
      </c>
      <c r="D1962" s="15" t="s">
        <v>2297</v>
      </c>
      <c r="E1962" s="15" t="s">
        <v>2301</v>
      </c>
      <c r="F1962" s="15" t="s">
        <v>3031</v>
      </c>
      <c r="G1962" s="15" t="s">
        <v>3032</v>
      </c>
      <c r="H1962" s="33" t="n">
        <f aca="false">Packages!$AB$183</f>
        <v>140.67874634439</v>
      </c>
      <c r="I1962" s="15" t="s">
        <v>3019</v>
      </c>
      <c r="J1962" s="34" t="n">
        <f aca="false">MAX(1,ROUNDUP(Packages!$AB$183/(R_BF*Fronts!$M$12),0))</f>
        <v>1</v>
      </c>
      <c r="K1962" s="34" t="n">
        <f aca="false">IF(J1962=0,0,ROUNDUP(J1962*7/WD,0))</f>
        <v>2</v>
      </c>
      <c r="L1962" s="15" t="s">
        <v>5633</v>
      </c>
      <c r="M1962" s="34" t="n">
        <f aca="false">ROUNDUP(K1961*LADDER,0)</f>
        <v>2</v>
      </c>
      <c r="N1962" s="34" t="n">
        <f aca="false">IF(K1962=0,0,FFLAG)</f>
        <v>2</v>
      </c>
      <c r="O1962" s="15" t="s">
        <v>5635</v>
      </c>
      <c r="P1962" s="16" t="n">
        <f aca="false">MAX(P1961+M1962,Q1938,Q1949)</f>
        <v>46378</v>
      </c>
      <c r="Q1962" s="16" t="n">
        <f aca="false">MAX(P1962+K1962,Q1961+N1962)</f>
        <v>46384</v>
      </c>
      <c r="R1962" s="16" t="n">
        <f aca="false">IF(K1962&gt;0,Q1962,0)</f>
        <v>46384</v>
      </c>
      <c r="S1962" s="12"/>
    </row>
    <row r="1963" customFormat="false" ht="15" hidden="false" customHeight="false" outlineLevel="0" collapsed="false">
      <c r="A1963" s="15" t="s">
        <v>5636</v>
      </c>
      <c r="B1963" s="15" t="s">
        <v>5624</v>
      </c>
      <c r="C1963" s="15" t="s">
        <v>406</v>
      </c>
      <c r="D1963" s="15" t="s">
        <v>2297</v>
      </c>
      <c r="E1963" s="15" t="s">
        <v>2301</v>
      </c>
      <c r="F1963" s="15" t="s">
        <v>3034</v>
      </c>
      <c r="G1963" s="15" t="s">
        <v>3035</v>
      </c>
      <c r="H1963" s="33" t="n">
        <f aca="false">Packages!$AD$183</f>
        <v>24.8908526248326</v>
      </c>
      <c r="I1963" s="15" t="s">
        <v>3012</v>
      </c>
      <c r="J1963" s="34" t="n">
        <f aca="false">IF(Packages!$AD$183&gt;0,ROUNDUP(Packages!$AD$183/R_EXT,0),0)+IF(Packages!$AG$183&gt;0,1,0)</f>
        <v>2</v>
      </c>
      <c r="K1963" s="34" t="n">
        <f aca="false">IF(J1963=0,0,ROUNDUP(J1963*7/WD,0))</f>
        <v>3</v>
      </c>
      <c r="L1963" s="15" t="s">
        <v>5634</v>
      </c>
      <c r="M1963" s="34" t="n">
        <f aca="false">ROUNDUP(K1962*LADDER,0)</f>
        <v>1</v>
      </c>
      <c r="N1963" s="34" t="n">
        <f aca="false">IF(K1963=0,0,FFLAG)</f>
        <v>2</v>
      </c>
      <c r="O1963" s="15"/>
      <c r="P1963" s="16" t="n">
        <f aca="false">MAX(P1962+M1963)</f>
        <v>46379</v>
      </c>
      <c r="Q1963" s="16" t="n">
        <f aca="false">MAX(P1963+K1963,Q1962+N1963)</f>
        <v>46386</v>
      </c>
      <c r="R1963" s="12"/>
      <c r="S1963" s="12"/>
    </row>
    <row r="1964" customFormat="false" ht="15" hidden="false" customHeight="false" outlineLevel="0" collapsed="false">
      <c r="A1964" s="15" t="s">
        <v>5637</v>
      </c>
      <c r="B1964" s="15" t="s">
        <v>5638</v>
      </c>
      <c r="C1964" s="15" t="s">
        <v>406</v>
      </c>
      <c r="D1964" s="15" t="s">
        <v>956</v>
      </c>
      <c r="E1964" s="15" t="s">
        <v>957</v>
      </c>
      <c r="F1964" s="15" t="s">
        <v>2998</v>
      </c>
      <c r="G1964" s="15" t="s">
        <v>2999</v>
      </c>
      <c r="H1964" s="12"/>
      <c r="I1964" s="12"/>
      <c r="J1964" s="34" t="n">
        <f aca="false">0</f>
        <v>0</v>
      </c>
      <c r="K1964" s="34" t="n">
        <f aca="false">IF(J1964=0,0,ROUNDUP(J1964*7/WD,0))</f>
        <v>0</v>
      </c>
      <c r="L1964" s="12"/>
      <c r="M1964" s="12"/>
      <c r="N1964" s="12"/>
      <c r="O1964" s="15" t="s">
        <v>3000</v>
      </c>
      <c r="P1964" s="16" t="n">
        <f aca="false">MAX(START,D_DLU,Packages!$I$184,Packages!$K$184)</f>
        <v>46357</v>
      </c>
      <c r="Q1964" s="16" t="n">
        <f aca="false">P1964+K1964</f>
        <v>46357</v>
      </c>
      <c r="R1964" s="12"/>
      <c r="S1964" s="12"/>
    </row>
    <row r="1965" customFormat="false" ht="15" hidden="false" customHeight="false" outlineLevel="0" collapsed="false">
      <c r="A1965" s="15" t="s">
        <v>5639</v>
      </c>
      <c r="B1965" s="15" t="s">
        <v>5638</v>
      </c>
      <c r="C1965" s="15" t="s">
        <v>406</v>
      </c>
      <c r="D1965" s="15" t="s">
        <v>956</v>
      </c>
      <c r="E1965" s="15" t="s">
        <v>957</v>
      </c>
      <c r="F1965" s="15" t="s">
        <v>3002</v>
      </c>
      <c r="G1965" s="15" t="s">
        <v>205</v>
      </c>
      <c r="H1965" s="33" t="n">
        <f aca="false">Packages!$O$184</f>
        <v>49.299999999661</v>
      </c>
      <c r="I1965" s="15" t="s">
        <v>118</v>
      </c>
      <c r="J1965" s="34" t="n">
        <f aca="false">MAX(1,ROUNDUP(Packages!$O$184/R_PLAT,0))</f>
        <v>1</v>
      </c>
      <c r="K1965" s="34" t="n">
        <f aca="false">IF(J1965=0,0,ROUNDUP(J1965*7/WD,0))</f>
        <v>2</v>
      </c>
      <c r="L1965" s="15" t="s">
        <v>5637</v>
      </c>
      <c r="M1965" s="12"/>
      <c r="N1965" s="12"/>
      <c r="O1965" s="15" t="s">
        <v>3003</v>
      </c>
      <c r="P1965" s="16" t="n">
        <f aca="false">MAX(Q1964)</f>
        <v>46357</v>
      </c>
      <c r="Q1965" s="16" t="n">
        <f aca="false">P1965+K1965</f>
        <v>46359</v>
      </c>
      <c r="R1965" s="12"/>
      <c r="S1965" s="12"/>
    </row>
    <row r="1966" customFormat="false" ht="15" hidden="false" customHeight="false" outlineLevel="0" collapsed="false">
      <c r="A1966" s="15" t="s">
        <v>5640</v>
      </c>
      <c r="B1966" s="15" t="s">
        <v>5638</v>
      </c>
      <c r="C1966" s="15" t="s">
        <v>406</v>
      </c>
      <c r="D1966" s="15" t="s">
        <v>956</v>
      </c>
      <c r="E1966" s="15" t="s">
        <v>957</v>
      </c>
      <c r="F1966" s="15" t="s">
        <v>3005</v>
      </c>
      <c r="G1966" s="15" t="s">
        <v>3006</v>
      </c>
      <c r="H1966" s="33" t="n">
        <f aca="false">Packages!$AC$184</f>
        <v>36</v>
      </c>
      <c r="I1966" s="15" t="s">
        <v>3007</v>
      </c>
      <c r="J1966" s="34" t="n">
        <f aca="false">IF(Packages!$AC$184=0,0,MAX(1,ROUNDUP(Packages!$AC$184/(R_PILE*Fronts!$H$12),0)))</f>
        <v>4</v>
      </c>
      <c r="K1966" s="34" t="n">
        <f aca="false">IF(J1966=0,0,ROUNDUP(J1966*7/WD,0))</f>
        <v>5</v>
      </c>
      <c r="L1966" s="15" t="s">
        <v>5639</v>
      </c>
      <c r="M1966" s="34" t="n">
        <f aca="false">ROUNDUP(K1965*LADDER,0)</f>
        <v>1</v>
      </c>
      <c r="N1966" s="34" t="n">
        <f aca="false">IF(K1966=0,0,FFLAG)</f>
        <v>2</v>
      </c>
      <c r="O1966" s="15" t="s">
        <v>3008</v>
      </c>
      <c r="P1966" s="16" t="n">
        <f aca="false">MAX(P1965+M1966,D_PILEDES)</f>
        <v>46358</v>
      </c>
      <c r="Q1966" s="16" t="n">
        <f aca="false">MAX(P1966+K1966,Q1965+N1966)</f>
        <v>46363</v>
      </c>
      <c r="R1966" s="16" t="n">
        <f aca="false">IF(K1966&gt;0,Q1966,0)</f>
        <v>46363</v>
      </c>
      <c r="S1966" s="12"/>
    </row>
    <row r="1967" customFormat="false" ht="15" hidden="false" customHeight="false" outlineLevel="0" collapsed="false">
      <c r="A1967" s="15" t="s">
        <v>5641</v>
      </c>
      <c r="B1967" s="15" t="s">
        <v>5638</v>
      </c>
      <c r="C1967" s="15" t="s">
        <v>406</v>
      </c>
      <c r="D1967" s="15" t="s">
        <v>956</v>
      </c>
      <c r="E1967" s="15" t="s">
        <v>957</v>
      </c>
      <c r="F1967" s="15" t="s">
        <v>3010</v>
      </c>
      <c r="G1967" s="15" t="s">
        <v>3011</v>
      </c>
      <c r="H1967" s="33" t="n">
        <f aca="false">Packages!$AD$184</f>
        <v>98.5999999993219</v>
      </c>
      <c r="I1967" s="15" t="s">
        <v>3012</v>
      </c>
      <c r="J1967" s="34" t="n">
        <f aca="false">IF(Packages!$AD$184=0,0,MAX(1,ROUNDUP(Packages!$AD$184/(R_SHEET*Fronts!$I$12),0)))</f>
        <v>2</v>
      </c>
      <c r="K1967" s="34" t="n">
        <f aca="false">IF(J1967=0,0,ROUNDUP(J1967*7/WD,0))</f>
        <v>3</v>
      </c>
      <c r="L1967" s="15" t="s">
        <v>5640</v>
      </c>
      <c r="M1967" s="34" t="n">
        <f aca="false">ROUNDUP(K1966*LADDER,0)</f>
        <v>2</v>
      </c>
      <c r="N1967" s="34" t="n">
        <f aca="false">IF(K1967=0,0,FFLAG)</f>
        <v>2</v>
      </c>
      <c r="O1967" s="15"/>
      <c r="P1967" s="16" t="n">
        <f aca="false">MAX(P1966+M1967)</f>
        <v>46360</v>
      </c>
      <c r="Q1967" s="16" t="n">
        <f aca="false">MAX(P1967+K1967,Q1966+N1967)</f>
        <v>46365</v>
      </c>
      <c r="R1967" s="16" t="n">
        <f aca="false">IF(K1967&gt;0,Q1967,0)</f>
        <v>46365</v>
      </c>
      <c r="S1967" s="12"/>
    </row>
    <row r="1968" customFormat="false" ht="15" hidden="false" customHeight="false" outlineLevel="0" collapsed="false">
      <c r="A1968" s="15" t="s">
        <v>5642</v>
      </c>
      <c r="B1968" s="15" t="s">
        <v>5638</v>
      </c>
      <c r="C1968" s="15" t="s">
        <v>406</v>
      </c>
      <c r="D1968" s="15" t="s">
        <v>956</v>
      </c>
      <c r="E1968" s="15" t="s">
        <v>957</v>
      </c>
      <c r="F1968" s="15" t="s">
        <v>3014</v>
      </c>
      <c r="G1968" s="15" t="s">
        <v>3015</v>
      </c>
      <c r="H1968" s="33" t="n">
        <f aca="false">Packages!$O$184</f>
        <v>49.299999999661</v>
      </c>
      <c r="I1968" s="15" t="s">
        <v>118</v>
      </c>
      <c r="J1968" s="34" t="n">
        <f aca="false">IF(Packages!$AG$184=0,0,ROUNDUP(Packages!$O$184/R_DW,0)+DW_DRAW)</f>
        <v>9</v>
      </c>
      <c r="K1968" s="34" t="n">
        <f aca="false">IF(J1968=0,0,ROUNDUP(J1968*7/WD,0))</f>
        <v>11</v>
      </c>
      <c r="L1968" s="15" t="s">
        <v>5641</v>
      </c>
      <c r="M1968" s="34" t="n">
        <f aca="false">ROUNDUP(K1967*LADDER,0)</f>
        <v>1</v>
      </c>
      <c r="N1968" s="34" t="n">
        <f aca="false">IF(K1968=0,0,FFLAG)</f>
        <v>2</v>
      </c>
      <c r="O1968" s="15"/>
      <c r="P1968" s="16" t="n">
        <f aca="false">MAX(P1967+M1968)</f>
        <v>46361</v>
      </c>
      <c r="Q1968" s="16" t="n">
        <f aca="false">MAX(P1968+K1968,Q1967+N1968)</f>
        <v>46372</v>
      </c>
      <c r="R1968" s="12"/>
      <c r="S1968" s="12"/>
    </row>
    <row r="1969" customFormat="false" ht="15" hidden="false" customHeight="false" outlineLevel="0" collapsed="false">
      <c r="A1969" s="15" t="s">
        <v>5643</v>
      </c>
      <c r="B1969" s="15" t="s">
        <v>5638</v>
      </c>
      <c r="C1969" s="15" t="s">
        <v>406</v>
      </c>
      <c r="D1969" s="15" t="s">
        <v>956</v>
      </c>
      <c r="E1969" s="15" t="s">
        <v>957</v>
      </c>
      <c r="F1969" s="15" t="s">
        <v>3017</v>
      </c>
      <c r="G1969" s="15" t="s">
        <v>3018</v>
      </c>
      <c r="H1969" s="33" t="n">
        <f aca="false">Packages!$X$184+Packages!$Y$184</f>
        <v>920.863396811861</v>
      </c>
      <c r="I1969" s="15" t="s">
        <v>3019</v>
      </c>
      <c r="J1969" s="34" t="n">
        <f aca="false">MAX(1,ROUNDUP((Packages!$X$184/R_EXS+Packages!$Y$184/R_EXO)/Fronts!$J$12,0))</f>
        <v>2</v>
      </c>
      <c r="K1969" s="34" t="n">
        <f aca="false">IF(J1969=0,0,ROUNDUP(J1969*7/WD,0))</f>
        <v>3</v>
      </c>
      <c r="L1969" s="15" t="s">
        <v>5642</v>
      </c>
      <c r="M1969" s="34" t="n">
        <f aca="false">IF(K1968=0,0,ROUNDUP((K1968-ROUNDUP(DW_DRAW*7/WD,0))*LADDER,0)+ROUNDUP(DW_DRAW*7/WD,0))</f>
        <v>10</v>
      </c>
      <c r="N1969" s="34" t="n">
        <f aca="false">IF(K1969=0,0,FFLAG)</f>
        <v>2</v>
      </c>
      <c r="O1969" s="15"/>
      <c r="P1969" s="16" t="n">
        <f aca="false">MAX(P1968+M1969)</f>
        <v>46371</v>
      </c>
      <c r="Q1969" s="16" t="n">
        <f aca="false">MAX(P1969+K1969,Q1968+N1969)</f>
        <v>46374</v>
      </c>
      <c r="R1969" s="16" t="n">
        <f aca="false">IF(K1969&gt;0,Q1969,0)</f>
        <v>46374</v>
      </c>
      <c r="S1969" s="12"/>
    </row>
    <row r="1970" customFormat="false" ht="15" hidden="false" customHeight="false" outlineLevel="0" collapsed="false">
      <c r="A1970" s="15" t="s">
        <v>5644</v>
      </c>
      <c r="B1970" s="15" t="s">
        <v>5638</v>
      </c>
      <c r="C1970" s="15" t="s">
        <v>406</v>
      </c>
      <c r="D1970" s="15" t="s">
        <v>956</v>
      </c>
      <c r="E1970" s="15" t="s">
        <v>957</v>
      </c>
      <c r="F1970" s="15" t="s">
        <v>3022</v>
      </c>
      <c r="G1970" s="15" t="s">
        <v>3023</v>
      </c>
      <c r="H1970" s="33" t="n">
        <f aca="false">Packages!$O$184</f>
        <v>49.299999999661</v>
      </c>
      <c r="I1970" s="15" t="s">
        <v>118</v>
      </c>
      <c r="J1970" s="34" t="n">
        <f aca="false">MAX(1,ROUNDUP(Packages!$O$184/(R_SLAB*Fronts!$K$12),0))+SLAB_CURE</f>
        <v>6</v>
      </c>
      <c r="K1970" s="34" t="n">
        <f aca="false">IF(J1970=0,0,ROUNDUP(J1970*7/WD,0))</f>
        <v>7</v>
      </c>
      <c r="L1970" s="15" t="s">
        <v>5643</v>
      </c>
      <c r="M1970" s="34" t="n">
        <f aca="false">ROUNDUP(K1969*LADDER,0)</f>
        <v>1</v>
      </c>
      <c r="N1970" s="34" t="n">
        <f aca="false">IF(K1970=0,0,FFLAG)</f>
        <v>2</v>
      </c>
      <c r="O1970" s="15"/>
      <c r="P1970" s="16" t="n">
        <f aca="false">MAX(P1969+M1970)</f>
        <v>46372</v>
      </c>
      <c r="Q1970" s="16" t="n">
        <f aca="false">MAX(P1970+K1970,Q1969+N1970)</f>
        <v>46379</v>
      </c>
      <c r="R1970" s="16" t="n">
        <f aca="false">IF(K1970&gt;0,Q1970,0)</f>
        <v>46379</v>
      </c>
      <c r="S1970" s="12"/>
    </row>
    <row r="1971" customFormat="false" ht="15" hidden="false" customHeight="false" outlineLevel="0" collapsed="false">
      <c r="A1971" s="15" t="s">
        <v>5645</v>
      </c>
      <c r="B1971" s="15" t="s">
        <v>5638</v>
      </c>
      <c r="C1971" s="15" t="s">
        <v>406</v>
      </c>
      <c r="D1971" s="15" t="s">
        <v>956</v>
      </c>
      <c r="E1971" s="15" t="s">
        <v>957</v>
      </c>
      <c r="F1971" s="15" t="s">
        <v>3025</v>
      </c>
      <c r="G1971" s="15" t="s">
        <v>3026</v>
      </c>
      <c r="H1971" s="33" t="n">
        <f aca="false">Packages!$O$184</f>
        <v>49.299999999661</v>
      </c>
      <c r="I1971" s="15" t="s">
        <v>118</v>
      </c>
      <c r="J1971" s="34" t="n">
        <f aca="false">MAX(1,ROUNDUP(Packages!$O$184/(IF(Packages!$N$184&gt;=PIPE_T1,R_PIPE_L,IF(Packages!$N$184&gt;=PIPE_T2,R_PIPE_M,R_PIPE_S))*Fronts!$L$12)+Packages!$M$184*FIT_D+IF(Packages!$G$184&lt;&gt;"Run",TIE_D,0),0))</f>
        <v>3</v>
      </c>
      <c r="K1971" s="34" t="n">
        <f aca="false">IF(J1971=0,0,ROUNDUP(J1971*7/WD,0))</f>
        <v>4</v>
      </c>
      <c r="L1971" s="15" t="s">
        <v>5644</v>
      </c>
      <c r="M1971" s="34" t="n">
        <f aca="false">ROUNDUP(K1970*LADDER,0)</f>
        <v>3</v>
      </c>
      <c r="N1971" s="34" t="n">
        <f aca="false">IF(K1971=0,0,FFLAG)</f>
        <v>2</v>
      </c>
      <c r="O1971" s="15"/>
      <c r="P1971" s="16" t="n">
        <f aca="false">MAX(P1970+M1971)</f>
        <v>46375</v>
      </c>
      <c r="Q1971" s="16" t="n">
        <f aca="false">MAX(P1971+K1971,Q1970+N1971)</f>
        <v>46381</v>
      </c>
      <c r="R1971" s="16" t="n">
        <f aca="false">IF(K1971&gt;0,Q1971,0)</f>
        <v>46381</v>
      </c>
      <c r="S1971" s="12"/>
    </row>
    <row r="1972" customFormat="false" ht="15" hidden="false" customHeight="false" outlineLevel="0" collapsed="false">
      <c r="A1972" s="15" t="s">
        <v>5646</v>
      </c>
      <c r="B1972" s="15" t="s">
        <v>5638</v>
      </c>
      <c r="C1972" s="15" t="s">
        <v>406</v>
      </c>
      <c r="D1972" s="15" t="s">
        <v>956</v>
      </c>
      <c r="E1972" s="15" t="s">
        <v>957</v>
      </c>
      <c r="F1972" s="15" t="s">
        <v>3028</v>
      </c>
      <c r="G1972" s="15" t="s">
        <v>3029</v>
      </c>
      <c r="H1972" s="33" t="n">
        <f aca="false">Packages!$O$184</f>
        <v>49.299999999661</v>
      </c>
      <c r="I1972" s="15" t="s">
        <v>118</v>
      </c>
      <c r="J1972" s="34" t="n">
        <f aca="false">TEST_D+ROUNDUP(Packages!$O$184/R_TEST,0)</f>
        <v>3</v>
      </c>
      <c r="K1972" s="34" t="n">
        <f aca="false">IF(J1972=0,0,ROUNDUP(J1972*7/WD,0))</f>
        <v>4</v>
      </c>
      <c r="L1972" s="15" t="s">
        <v>5645</v>
      </c>
      <c r="M1972" s="34" t="n">
        <f aca="false">ROUNDUP(K1971*LADDER,0)</f>
        <v>2</v>
      </c>
      <c r="N1972" s="34" t="n">
        <f aca="false">IF(K1972=0,0,FFLAG)</f>
        <v>2</v>
      </c>
      <c r="O1972" s="15"/>
      <c r="P1972" s="16" t="n">
        <f aca="false">MAX(P1971+M1972)</f>
        <v>46377</v>
      </c>
      <c r="Q1972" s="16" t="n">
        <f aca="false">MAX(P1972+K1972,Q1971+N1972)</f>
        <v>46383</v>
      </c>
      <c r="R1972" s="12"/>
      <c r="S1972" s="12"/>
    </row>
    <row r="1973" customFormat="false" ht="15" hidden="false" customHeight="false" outlineLevel="0" collapsed="false">
      <c r="A1973" s="15" t="s">
        <v>5647</v>
      </c>
      <c r="B1973" s="15" t="s">
        <v>5638</v>
      </c>
      <c r="C1973" s="15" t="s">
        <v>406</v>
      </c>
      <c r="D1973" s="15" t="s">
        <v>956</v>
      </c>
      <c r="E1973" s="15" t="s">
        <v>957</v>
      </c>
      <c r="F1973" s="15" t="s">
        <v>3031</v>
      </c>
      <c r="G1973" s="15" t="s">
        <v>3032</v>
      </c>
      <c r="H1973" s="33" t="n">
        <f aca="false">Packages!$AB$184</f>
        <v>683.962818287582</v>
      </c>
      <c r="I1973" s="15" t="s">
        <v>3019</v>
      </c>
      <c r="J1973" s="34" t="n">
        <f aca="false">MAX(1,ROUNDUP(Packages!$AB$184/(R_BF*Fronts!$M$12),0))</f>
        <v>1</v>
      </c>
      <c r="K1973" s="34" t="n">
        <f aca="false">IF(J1973=0,0,ROUNDUP(J1973*7/WD,0))</f>
        <v>2</v>
      </c>
      <c r="L1973" s="15" t="s">
        <v>5646</v>
      </c>
      <c r="M1973" s="34" t="n">
        <f aca="false">ROUNDUP(K1972*LADDER,0)</f>
        <v>2</v>
      </c>
      <c r="N1973" s="34" t="n">
        <f aca="false">IF(K1973=0,0,FFLAG)</f>
        <v>2</v>
      </c>
      <c r="O1973" s="15" t="s">
        <v>5648</v>
      </c>
      <c r="P1973" s="16" t="n">
        <f aca="false">MAX(P1972+M1973,Q2004,Q1993,Q1982)</f>
        <v>46393</v>
      </c>
      <c r="Q1973" s="16" t="n">
        <f aca="false">MAX(P1973+K1973,Q1972+N1973)</f>
        <v>46395</v>
      </c>
      <c r="R1973" s="16" t="n">
        <f aca="false">IF(K1973&gt;0,Q1973,0)</f>
        <v>46395</v>
      </c>
      <c r="S1973" s="12"/>
    </row>
    <row r="1974" customFormat="false" ht="15" hidden="false" customHeight="false" outlineLevel="0" collapsed="false">
      <c r="A1974" s="15" t="s">
        <v>5649</v>
      </c>
      <c r="B1974" s="15" t="s">
        <v>5638</v>
      </c>
      <c r="C1974" s="15" t="s">
        <v>406</v>
      </c>
      <c r="D1974" s="15" t="s">
        <v>956</v>
      </c>
      <c r="E1974" s="15" t="s">
        <v>957</v>
      </c>
      <c r="F1974" s="15" t="s">
        <v>3034</v>
      </c>
      <c r="G1974" s="15" t="s">
        <v>3035</v>
      </c>
      <c r="H1974" s="33" t="n">
        <f aca="false">Packages!$AD$184</f>
        <v>98.5999999993219</v>
      </c>
      <c r="I1974" s="15" t="s">
        <v>3012</v>
      </c>
      <c r="J1974" s="34" t="n">
        <f aca="false">IF(Packages!$AD$184&gt;0,ROUNDUP(Packages!$AD$184/R_EXT,0),0)+IF(Packages!$AG$184&gt;0,1,0)</f>
        <v>3</v>
      </c>
      <c r="K1974" s="34" t="n">
        <f aca="false">IF(J1974=0,0,ROUNDUP(J1974*7/WD,0))</f>
        <v>4</v>
      </c>
      <c r="L1974" s="15" t="s">
        <v>5647</v>
      </c>
      <c r="M1974" s="34" t="n">
        <f aca="false">ROUNDUP(K1973*LADDER,0)</f>
        <v>1</v>
      </c>
      <c r="N1974" s="34" t="n">
        <f aca="false">IF(K1974=0,0,FFLAG)</f>
        <v>2</v>
      </c>
      <c r="O1974" s="15"/>
      <c r="P1974" s="16" t="n">
        <f aca="false">MAX(P1973+M1974)</f>
        <v>46394</v>
      </c>
      <c r="Q1974" s="16" t="n">
        <f aca="false">MAX(P1974+K1974,Q1973+N1974)</f>
        <v>46398</v>
      </c>
      <c r="R1974" s="12"/>
      <c r="S1974" s="12"/>
    </row>
    <row r="1975" customFormat="false" ht="15" hidden="false" customHeight="false" outlineLevel="0" collapsed="false">
      <c r="A1975" s="15" t="s">
        <v>5650</v>
      </c>
      <c r="B1975" s="15" t="s">
        <v>5651</v>
      </c>
      <c r="C1975" s="15" t="s">
        <v>406</v>
      </c>
      <c r="D1975" s="15" t="s">
        <v>993</v>
      </c>
      <c r="E1975" s="15" t="s">
        <v>1070</v>
      </c>
      <c r="F1975" s="15" t="s">
        <v>2998</v>
      </c>
      <c r="G1975" s="15" t="s">
        <v>2999</v>
      </c>
      <c r="H1975" s="12"/>
      <c r="I1975" s="12"/>
      <c r="J1975" s="34" t="n">
        <f aca="false">0</f>
        <v>0</v>
      </c>
      <c r="K1975" s="34" t="n">
        <f aca="false">IF(J1975=0,0,ROUNDUP(J1975*7/WD,0))</f>
        <v>0</v>
      </c>
      <c r="L1975" s="12"/>
      <c r="M1975" s="12"/>
      <c r="N1975" s="12"/>
      <c r="O1975" s="15" t="s">
        <v>3000</v>
      </c>
      <c r="P1975" s="16" t="n">
        <f aca="false">MAX(START,D_DLU,Packages!$I$185,Packages!$K$185)</f>
        <v>46357</v>
      </c>
      <c r="Q1975" s="16" t="n">
        <f aca="false">P1975+K1975</f>
        <v>46357</v>
      </c>
      <c r="R1975" s="12"/>
      <c r="S1975" s="12"/>
    </row>
    <row r="1976" customFormat="false" ht="15" hidden="false" customHeight="false" outlineLevel="0" collapsed="false">
      <c r="A1976" s="15" t="s">
        <v>5652</v>
      </c>
      <c r="B1976" s="15" t="s">
        <v>5651</v>
      </c>
      <c r="C1976" s="15" t="s">
        <v>406</v>
      </c>
      <c r="D1976" s="15" t="s">
        <v>993</v>
      </c>
      <c r="E1976" s="15" t="s">
        <v>1070</v>
      </c>
      <c r="F1976" s="15" t="s">
        <v>3002</v>
      </c>
      <c r="G1976" s="15" t="s">
        <v>205</v>
      </c>
      <c r="H1976" s="33" t="n">
        <f aca="false">Packages!$O$185</f>
        <v>6.31246142820857</v>
      </c>
      <c r="I1976" s="15" t="s">
        <v>118</v>
      </c>
      <c r="J1976" s="34" t="n">
        <f aca="false">MAX(1,ROUNDUP(Packages!$O$185/R_PLAT,0))</f>
        <v>1</v>
      </c>
      <c r="K1976" s="34" t="n">
        <f aca="false">IF(J1976=0,0,ROUNDUP(J1976*7/WD,0))</f>
        <v>2</v>
      </c>
      <c r="L1976" s="15" t="s">
        <v>5650</v>
      </c>
      <c r="M1976" s="12"/>
      <c r="N1976" s="12"/>
      <c r="O1976" s="15" t="s">
        <v>5653</v>
      </c>
      <c r="P1976" s="16" t="n">
        <f aca="false">MAX(Q1975,P1966)</f>
        <v>46358</v>
      </c>
      <c r="Q1976" s="16" t="n">
        <f aca="false">P1976+K1976</f>
        <v>46360</v>
      </c>
      <c r="R1976" s="12"/>
      <c r="S1976" s="12"/>
    </row>
    <row r="1977" customFormat="false" ht="15" hidden="false" customHeight="false" outlineLevel="0" collapsed="false">
      <c r="A1977" s="15" t="s">
        <v>5654</v>
      </c>
      <c r="B1977" s="15" t="s">
        <v>5651</v>
      </c>
      <c r="C1977" s="15" t="s">
        <v>406</v>
      </c>
      <c r="D1977" s="15" t="s">
        <v>993</v>
      </c>
      <c r="E1977" s="15" t="s">
        <v>1070</v>
      </c>
      <c r="F1977" s="15" t="s">
        <v>3005</v>
      </c>
      <c r="G1977" s="15" t="s">
        <v>3006</v>
      </c>
      <c r="H1977" s="33" t="n">
        <f aca="false">Packages!$AC$185</f>
        <v>8</v>
      </c>
      <c r="I1977" s="15" t="s">
        <v>3007</v>
      </c>
      <c r="J1977" s="34" t="n">
        <f aca="false">IF(Packages!$AC$185=0,0,MAX(1,ROUNDUP(Packages!$AC$185/(R_PILE*Fronts!$H$12),0)))</f>
        <v>1</v>
      </c>
      <c r="K1977" s="34" t="n">
        <f aca="false">IF(J1977=0,0,ROUNDUP(J1977*7/WD,0))</f>
        <v>2</v>
      </c>
      <c r="L1977" s="15" t="s">
        <v>5652</v>
      </c>
      <c r="M1977" s="34" t="n">
        <f aca="false">ROUNDUP(K1976*LADDER,0)</f>
        <v>1</v>
      </c>
      <c r="N1977" s="34" t="n">
        <f aca="false">IF(K1977=0,0,FFLAG)</f>
        <v>2</v>
      </c>
      <c r="O1977" s="15" t="s">
        <v>3008</v>
      </c>
      <c r="P1977" s="16" t="n">
        <f aca="false">MAX(P1976+M1977,D_PILEDES,R1966)</f>
        <v>46363</v>
      </c>
      <c r="Q1977" s="16" t="n">
        <f aca="false">MAX(P1977+K1977,Q1976+N1977)</f>
        <v>46365</v>
      </c>
      <c r="R1977" s="16" t="n">
        <f aca="false">IF(K1977&gt;0,Q1977,R1966)</f>
        <v>46365</v>
      </c>
      <c r="S1977" s="15" t="s">
        <v>5640</v>
      </c>
    </row>
    <row r="1978" customFormat="false" ht="15" hidden="false" customHeight="false" outlineLevel="0" collapsed="false">
      <c r="A1978" s="15" t="s">
        <v>5655</v>
      </c>
      <c r="B1978" s="15" t="s">
        <v>5651</v>
      </c>
      <c r="C1978" s="15" t="s">
        <v>406</v>
      </c>
      <c r="D1978" s="15" t="s">
        <v>993</v>
      </c>
      <c r="E1978" s="15" t="s">
        <v>1070</v>
      </c>
      <c r="F1978" s="15" t="s">
        <v>3010</v>
      </c>
      <c r="G1978" s="15" t="s">
        <v>3011</v>
      </c>
      <c r="H1978" s="33" t="n">
        <f aca="false">Packages!$AD$185</f>
        <v>12.6249228564171</v>
      </c>
      <c r="I1978" s="15" t="s">
        <v>3012</v>
      </c>
      <c r="J1978" s="34" t="n">
        <f aca="false">IF(Packages!$AD$185=0,0,MAX(1,ROUNDUP(Packages!$AD$185/(R_SHEET*Fronts!$I$12),0)))</f>
        <v>1</v>
      </c>
      <c r="K1978" s="34" t="n">
        <f aca="false">IF(J1978=0,0,ROUNDUP(J1978*7/WD,0))</f>
        <v>2</v>
      </c>
      <c r="L1978" s="15" t="s">
        <v>5654</v>
      </c>
      <c r="M1978" s="34" t="n">
        <f aca="false">ROUNDUP(K1977*LADDER,0)</f>
        <v>1</v>
      </c>
      <c r="N1978" s="34" t="n">
        <f aca="false">IF(K1978=0,0,FFLAG)</f>
        <v>2</v>
      </c>
      <c r="O1978" s="15"/>
      <c r="P1978" s="16" t="n">
        <f aca="false">MAX(P1977+M1978,R1967)</f>
        <v>46365</v>
      </c>
      <c r="Q1978" s="16" t="n">
        <f aca="false">MAX(P1978+K1978,Q1977+N1978)</f>
        <v>46367</v>
      </c>
      <c r="R1978" s="16" t="n">
        <f aca="false">IF(K1978&gt;0,Q1978,R1967)</f>
        <v>46367</v>
      </c>
      <c r="S1978" s="15" t="s">
        <v>5641</v>
      </c>
    </row>
    <row r="1979" customFormat="false" ht="15" hidden="false" customHeight="false" outlineLevel="0" collapsed="false">
      <c r="A1979" s="15" t="s">
        <v>5656</v>
      </c>
      <c r="B1979" s="15" t="s">
        <v>5651</v>
      </c>
      <c r="C1979" s="15" t="s">
        <v>406</v>
      </c>
      <c r="D1979" s="15" t="s">
        <v>993</v>
      </c>
      <c r="E1979" s="15" t="s">
        <v>1070</v>
      </c>
      <c r="F1979" s="15" t="s">
        <v>3014</v>
      </c>
      <c r="G1979" s="15" t="s">
        <v>3015</v>
      </c>
      <c r="H1979" s="33" t="n">
        <f aca="false">Packages!$O$185</f>
        <v>6.31246142820857</v>
      </c>
      <c r="I1979" s="15" t="s">
        <v>118</v>
      </c>
      <c r="J1979" s="34" t="n">
        <f aca="false">IF(Packages!$AG$185=0,0,ROUNDUP(Packages!$O$185/R_DW,0)+DW_DRAW)</f>
        <v>8</v>
      </c>
      <c r="K1979" s="34" t="n">
        <f aca="false">IF(J1979=0,0,ROUNDUP(J1979*7/WD,0))</f>
        <v>10</v>
      </c>
      <c r="L1979" s="15" t="s">
        <v>5655</v>
      </c>
      <c r="M1979" s="34" t="n">
        <f aca="false">ROUNDUP(K1978*LADDER,0)</f>
        <v>1</v>
      </c>
      <c r="N1979" s="34" t="n">
        <f aca="false">IF(K1979=0,0,FFLAG)</f>
        <v>2</v>
      </c>
      <c r="O1979" s="15" t="s">
        <v>5657</v>
      </c>
      <c r="P1979" s="16" t="n">
        <f aca="false">MAX(P1978+M1979,Q1969-K1979)</f>
        <v>46366</v>
      </c>
      <c r="Q1979" s="16" t="n">
        <f aca="false">MAX(P1979+K1979,Q1978+N1979)</f>
        <v>46376</v>
      </c>
      <c r="R1979" s="12"/>
      <c r="S1979" s="12"/>
    </row>
    <row r="1980" customFormat="false" ht="15" hidden="false" customHeight="false" outlineLevel="0" collapsed="false">
      <c r="A1980" s="15" t="s">
        <v>5658</v>
      </c>
      <c r="B1980" s="15" t="s">
        <v>5651</v>
      </c>
      <c r="C1980" s="15" t="s">
        <v>406</v>
      </c>
      <c r="D1980" s="15" t="s">
        <v>993</v>
      </c>
      <c r="E1980" s="15" t="s">
        <v>1070</v>
      </c>
      <c r="F1980" s="15" t="s">
        <v>3017</v>
      </c>
      <c r="G1980" s="15" t="s">
        <v>3018</v>
      </c>
      <c r="H1980" s="33" t="n">
        <f aca="false">Packages!$X$185+Packages!$Y$185</f>
        <v>83.7718463881426</v>
      </c>
      <c r="I1980" s="15" t="s">
        <v>3019</v>
      </c>
      <c r="J1980" s="34" t="n">
        <f aca="false">MAX(1,ROUNDUP((Packages!$X$185/R_EXS+Packages!$Y$185/R_EXO)/Fronts!$J$12,0))</f>
        <v>1</v>
      </c>
      <c r="K1980" s="34" t="n">
        <f aca="false">IF(J1980=0,0,ROUNDUP(J1980*7/WD,0))</f>
        <v>2</v>
      </c>
      <c r="L1980" s="15" t="s">
        <v>5656</v>
      </c>
      <c r="M1980" s="34" t="n">
        <f aca="false">IF(K1979=0,0,ROUNDUP((K1979-ROUNDUP(DW_DRAW*7/WD,0))*LADDER,0)+ROUNDUP(DW_DRAW*7/WD,0))</f>
        <v>10</v>
      </c>
      <c r="N1980" s="34" t="n">
        <f aca="false">IF(K1980=0,0,FFLAG)</f>
        <v>2</v>
      </c>
      <c r="O1980" s="15" t="s">
        <v>5659</v>
      </c>
      <c r="P1980" s="16" t="n">
        <f aca="false">MAX(P1979+M1980,R1969,P1969)</f>
        <v>46376</v>
      </c>
      <c r="Q1980" s="16" t="n">
        <f aca="false">MAX(P1980+K1980,Q1979+N1980)</f>
        <v>46378</v>
      </c>
      <c r="R1980" s="16" t="n">
        <f aca="false">IF(K1980&gt;0,Q1980,R1969)</f>
        <v>46378</v>
      </c>
      <c r="S1980" s="15" t="s">
        <v>5643</v>
      </c>
    </row>
    <row r="1981" customFormat="false" ht="15" hidden="false" customHeight="false" outlineLevel="0" collapsed="false">
      <c r="A1981" s="15" t="s">
        <v>5660</v>
      </c>
      <c r="B1981" s="15" t="s">
        <v>5651</v>
      </c>
      <c r="C1981" s="15" t="s">
        <v>406</v>
      </c>
      <c r="D1981" s="15" t="s">
        <v>993</v>
      </c>
      <c r="E1981" s="15" t="s">
        <v>1070</v>
      </c>
      <c r="F1981" s="15" t="s">
        <v>3022</v>
      </c>
      <c r="G1981" s="15" t="s">
        <v>3023</v>
      </c>
      <c r="H1981" s="33" t="n">
        <f aca="false">Packages!$O$185</f>
        <v>6.31246142820857</v>
      </c>
      <c r="I1981" s="15" t="s">
        <v>118</v>
      </c>
      <c r="J1981" s="34" t="n">
        <f aca="false">MAX(1,ROUNDUP(Packages!$O$185/(R_SLAB*Fronts!$K$12),0))+SLAB_CURE</f>
        <v>4</v>
      </c>
      <c r="K1981" s="34" t="n">
        <f aca="false">IF(J1981=0,0,ROUNDUP(J1981*7/WD,0))</f>
        <v>5</v>
      </c>
      <c r="L1981" s="15" t="s">
        <v>5658</v>
      </c>
      <c r="M1981" s="34" t="n">
        <f aca="false">ROUNDUP(K1980*LADDER,0)</f>
        <v>1</v>
      </c>
      <c r="N1981" s="34" t="n">
        <f aca="false">IF(K1981=0,0,FFLAG)</f>
        <v>2</v>
      </c>
      <c r="O1981" s="15"/>
      <c r="P1981" s="16" t="n">
        <f aca="false">MAX(P1980+M1981,R1970)</f>
        <v>46379</v>
      </c>
      <c r="Q1981" s="16" t="n">
        <f aca="false">MAX(P1981+K1981,Q1980+N1981)</f>
        <v>46384</v>
      </c>
      <c r="R1981" s="16" t="n">
        <f aca="false">IF(K1981&gt;0,Q1981,R1970)</f>
        <v>46384</v>
      </c>
      <c r="S1981" s="15" t="s">
        <v>5644</v>
      </c>
    </row>
    <row r="1982" customFormat="false" ht="15" hidden="false" customHeight="false" outlineLevel="0" collapsed="false">
      <c r="A1982" s="15" t="s">
        <v>5661</v>
      </c>
      <c r="B1982" s="15" t="s">
        <v>5651</v>
      </c>
      <c r="C1982" s="15" t="s">
        <v>406</v>
      </c>
      <c r="D1982" s="15" t="s">
        <v>993</v>
      </c>
      <c r="E1982" s="15" t="s">
        <v>1070</v>
      </c>
      <c r="F1982" s="15" t="s">
        <v>3025</v>
      </c>
      <c r="G1982" s="15" t="s">
        <v>3026</v>
      </c>
      <c r="H1982" s="33" t="n">
        <f aca="false">Packages!$O$185</f>
        <v>6.31246142820857</v>
      </c>
      <c r="I1982" s="15" t="s">
        <v>118</v>
      </c>
      <c r="J1982" s="34" t="n">
        <f aca="false">MAX(1,ROUNDUP(Packages!$O$185/(IF(Packages!$N$185&gt;=PIPE_T1,R_PIPE_L,IF(Packages!$N$185&gt;=PIPE_T2,R_PIPE_M,R_PIPE_S))*Fronts!$L$12)+Packages!$M$185*FIT_D+IF(Packages!$G$185&lt;&gt;"Run",TIE_D,0),0))</f>
        <v>1</v>
      </c>
      <c r="K1982" s="34" t="n">
        <f aca="false">IF(J1982=0,0,ROUNDUP(J1982*7/WD,0))</f>
        <v>2</v>
      </c>
      <c r="L1982" s="15" t="s">
        <v>5660</v>
      </c>
      <c r="M1982" s="34" t="n">
        <f aca="false">ROUNDUP(K1981*LADDER,0)</f>
        <v>2</v>
      </c>
      <c r="N1982" s="34" t="n">
        <f aca="false">IF(K1982=0,0,FFLAG)</f>
        <v>2</v>
      </c>
      <c r="O1982" s="15"/>
      <c r="P1982" s="16" t="n">
        <f aca="false">MAX(P1981+M1982,R1971)</f>
        <v>46381</v>
      </c>
      <c r="Q1982" s="16" t="n">
        <f aca="false">MAX(P1982+K1982,Q1981+N1982)</f>
        <v>46386</v>
      </c>
      <c r="R1982" s="16" t="n">
        <f aca="false">IF(K1982&gt;0,Q1982,R1971)</f>
        <v>46386</v>
      </c>
      <c r="S1982" s="15" t="s">
        <v>5645</v>
      </c>
    </row>
    <row r="1983" customFormat="false" ht="15" hidden="false" customHeight="false" outlineLevel="0" collapsed="false">
      <c r="A1983" s="15" t="s">
        <v>5662</v>
      </c>
      <c r="B1983" s="15" t="s">
        <v>5651</v>
      </c>
      <c r="C1983" s="15" t="s">
        <v>406</v>
      </c>
      <c r="D1983" s="15" t="s">
        <v>993</v>
      </c>
      <c r="E1983" s="15" t="s">
        <v>1070</v>
      </c>
      <c r="F1983" s="15" t="s">
        <v>3028</v>
      </c>
      <c r="G1983" s="15" t="s">
        <v>3029</v>
      </c>
      <c r="H1983" s="33" t="n">
        <f aca="false">Packages!$O$185</f>
        <v>6.31246142820857</v>
      </c>
      <c r="I1983" s="15" t="s">
        <v>118</v>
      </c>
      <c r="J1983" s="34" t="n">
        <f aca="false">TEST_D+ROUNDUP(Packages!$O$185/R_TEST,0)</f>
        <v>3</v>
      </c>
      <c r="K1983" s="34" t="n">
        <f aca="false">IF(J1983=0,0,ROUNDUP(J1983*7/WD,0))</f>
        <v>4</v>
      </c>
      <c r="L1983" s="15" t="s">
        <v>5661</v>
      </c>
      <c r="M1983" s="34" t="n">
        <f aca="false">ROUNDUP(K1982*LADDER,0)</f>
        <v>1</v>
      </c>
      <c r="N1983" s="34" t="n">
        <f aca="false">IF(K1983=0,0,FFLAG)</f>
        <v>2</v>
      </c>
      <c r="O1983" s="15"/>
      <c r="P1983" s="16" t="n">
        <f aca="false">MAX(P1982+M1983)</f>
        <v>46382</v>
      </c>
      <c r="Q1983" s="16" t="n">
        <f aca="false">MAX(P1983+K1983,Q1982+N1983)</f>
        <v>46388</v>
      </c>
      <c r="R1983" s="12"/>
      <c r="S1983" s="12"/>
    </row>
    <row r="1984" customFormat="false" ht="15" hidden="false" customHeight="false" outlineLevel="0" collapsed="false">
      <c r="A1984" s="15" t="s">
        <v>5663</v>
      </c>
      <c r="B1984" s="15" t="s">
        <v>5651</v>
      </c>
      <c r="C1984" s="15" t="s">
        <v>406</v>
      </c>
      <c r="D1984" s="15" t="s">
        <v>993</v>
      </c>
      <c r="E1984" s="15" t="s">
        <v>1070</v>
      </c>
      <c r="F1984" s="15" t="s">
        <v>3031</v>
      </c>
      <c r="G1984" s="15" t="s">
        <v>3032</v>
      </c>
      <c r="H1984" s="33" t="n">
        <f aca="false">Packages!$AB$185</f>
        <v>69.5013034291528</v>
      </c>
      <c r="I1984" s="15" t="s">
        <v>3019</v>
      </c>
      <c r="J1984" s="34" t="n">
        <f aca="false">MAX(1,ROUNDUP(Packages!$AB$185/(R_BF*Fronts!$M$12),0))</f>
        <v>1</v>
      </c>
      <c r="K1984" s="34" t="n">
        <f aca="false">IF(J1984=0,0,ROUNDUP(J1984*7/WD,0))</f>
        <v>2</v>
      </c>
      <c r="L1984" s="15" t="s">
        <v>5662</v>
      </c>
      <c r="M1984" s="34" t="n">
        <f aca="false">ROUNDUP(K1983*LADDER,0)</f>
        <v>2</v>
      </c>
      <c r="N1984" s="34" t="n">
        <f aca="false">IF(K1984=0,0,FFLAG)</f>
        <v>2</v>
      </c>
      <c r="O1984" s="15" t="s">
        <v>5664</v>
      </c>
      <c r="P1984" s="16" t="n">
        <f aca="false">MAX(P1983+M1984,R1973,Q1971,Q2015)</f>
        <v>46404</v>
      </c>
      <c r="Q1984" s="16" t="n">
        <f aca="false">MAX(P1984+K1984,Q1983+N1984)</f>
        <v>46406</v>
      </c>
      <c r="R1984" s="16" t="n">
        <f aca="false">IF(K1984&gt;0,Q1984,R1973)</f>
        <v>46406</v>
      </c>
      <c r="S1984" s="15" t="s">
        <v>5647</v>
      </c>
    </row>
    <row r="1985" customFormat="false" ht="15" hidden="false" customHeight="false" outlineLevel="0" collapsed="false">
      <c r="A1985" s="15" t="s">
        <v>5665</v>
      </c>
      <c r="B1985" s="15" t="s">
        <v>5651</v>
      </c>
      <c r="C1985" s="15" t="s">
        <v>406</v>
      </c>
      <c r="D1985" s="15" t="s">
        <v>993</v>
      </c>
      <c r="E1985" s="15" t="s">
        <v>1070</v>
      </c>
      <c r="F1985" s="15" t="s">
        <v>3034</v>
      </c>
      <c r="G1985" s="15" t="s">
        <v>3035</v>
      </c>
      <c r="H1985" s="33" t="n">
        <f aca="false">Packages!$AD$185</f>
        <v>12.6249228564171</v>
      </c>
      <c r="I1985" s="15" t="s">
        <v>3012</v>
      </c>
      <c r="J1985" s="34" t="n">
        <f aca="false">IF(Packages!$AD$185&gt;0,ROUNDUP(Packages!$AD$185/R_EXT,0),0)+IF(Packages!$AG$185&gt;0,1,0)</f>
        <v>2</v>
      </c>
      <c r="K1985" s="34" t="n">
        <f aca="false">IF(J1985=0,0,ROUNDUP(J1985*7/WD,0))</f>
        <v>3</v>
      </c>
      <c r="L1985" s="15" t="s">
        <v>5663</v>
      </c>
      <c r="M1985" s="34" t="n">
        <f aca="false">ROUNDUP(K1984*LADDER,0)</f>
        <v>1</v>
      </c>
      <c r="N1985" s="34" t="n">
        <f aca="false">IF(K1985=0,0,FFLAG)</f>
        <v>2</v>
      </c>
      <c r="O1985" s="15"/>
      <c r="P1985" s="16" t="n">
        <f aca="false">MAX(P1984+M1985)</f>
        <v>46405</v>
      </c>
      <c r="Q1985" s="16" t="n">
        <f aca="false">MAX(P1985+K1985,Q1984+N1985)</f>
        <v>46408</v>
      </c>
      <c r="R1985" s="12"/>
      <c r="S1985" s="12"/>
    </row>
    <row r="1986" customFormat="false" ht="15" hidden="false" customHeight="false" outlineLevel="0" collapsed="false">
      <c r="A1986" s="15" t="s">
        <v>5666</v>
      </c>
      <c r="B1986" s="15" t="s">
        <v>5667</v>
      </c>
      <c r="C1986" s="15" t="s">
        <v>406</v>
      </c>
      <c r="D1986" s="15" t="s">
        <v>993</v>
      </c>
      <c r="E1986" s="15" t="s">
        <v>1067</v>
      </c>
      <c r="F1986" s="15" t="s">
        <v>2998</v>
      </c>
      <c r="G1986" s="15" t="s">
        <v>2999</v>
      </c>
      <c r="H1986" s="12"/>
      <c r="I1986" s="12"/>
      <c r="J1986" s="34" t="n">
        <f aca="false">0</f>
        <v>0</v>
      </c>
      <c r="K1986" s="34" t="n">
        <f aca="false">IF(J1986=0,0,ROUNDUP(J1986*7/WD,0))</f>
        <v>0</v>
      </c>
      <c r="L1986" s="12"/>
      <c r="M1986" s="12"/>
      <c r="N1986" s="12"/>
      <c r="O1986" s="15" t="s">
        <v>3038</v>
      </c>
      <c r="P1986" s="16" t="n">
        <f aca="false">MAX(START,D_DLU,Packages!$I$186,Packages!$K$186)</f>
        <v>46357</v>
      </c>
      <c r="Q1986" s="16" t="n">
        <f aca="false">P1986+K1986</f>
        <v>46357</v>
      </c>
      <c r="R1986" s="12"/>
      <c r="S1986" s="12"/>
    </row>
    <row r="1987" customFormat="false" ht="15" hidden="false" customHeight="false" outlineLevel="0" collapsed="false">
      <c r="A1987" s="15" t="s">
        <v>5668</v>
      </c>
      <c r="B1987" s="15" t="s">
        <v>5667</v>
      </c>
      <c r="C1987" s="15" t="s">
        <v>406</v>
      </c>
      <c r="D1987" s="15" t="s">
        <v>993</v>
      </c>
      <c r="E1987" s="15" t="s">
        <v>1067</v>
      </c>
      <c r="F1987" s="15" t="s">
        <v>3002</v>
      </c>
      <c r="G1987" s="15" t="s">
        <v>205</v>
      </c>
      <c r="H1987" s="33" t="n">
        <f aca="false">Packages!$O$186</f>
        <v>0.880820655459211</v>
      </c>
      <c r="I1987" s="15" t="s">
        <v>118</v>
      </c>
      <c r="J1987" s="34" t="n">
        <f aca="false">MAX(1,ROUNDUP(Packages!$O$186/R_PLAT,0))</f>
        <v>1</v>
      </c>
      <c r="K1987" s="34" t="n">
        <f aca="false">IF(J1987=0,0,ROUNDUP(J1987*7/WD,0))</f>
        <v>2</v>
      </c>
      <c r="L1987" s="15" t="s">
        <v>5666</v>
      </c>
      <c r="M1987" s="12"/>
      <c r="N1987" s="12"/>
      <c r="O1987" s="15" t="s">
        <v>5669</v>
      </c>
      <c r="P1987" s="16" t="n">
        <f aca="false">MAX(Q1986,P1977)</f>
        <v>46363</v>
      </c>
      <c r="Q1987" s="16" t="n">
        <f aca="false">P1987+K1987</f>
        <v>46365</v>
      </c>
      <c r="R1987" s="12"/>
      <c r="S1987" s="12"/>
    </row>
    <row r="1988" customFormat="false" ht="15" hidden="false" customHeight="false" outlineLevel="0" collapsed="false">
      <c r="A1988" s="15" t="s">
        <v>5670</v>
      </c>
      <c r="B1988" s="15" t="s">
        <v>5667</v>
      </c>
      <c r="C1988" s="15" t="s">
        <v>406</v>
      </c>
      <c r="D1988" s="15" t="s">
        <v>993</v>
      </c>
      <c r="E1988" s="15" t="s">
        <v>1067</v>
      </c>
      <c r="F1988" s="15" t="s">
        <v>3005</v>
      </c>
      <c r="G1988" s="15" t="s">
        <v>3006</v>
      </c>
      <c r="H1988" s="33" t="n">
        <f aca="false">Packages!$AC$186</f>
        <v>4</v>
      </c>
      <c r="I1988" s="15" t="s">
        <v>3007</v>
      </c>
      <c r="J1988" s="34" t="n">
        <f aca="false">IF(Packages!$AC$186=0,0,MAX(1,ROUNDUP(Packages!$AC$186/(R_PILE*Fronts!$H$12),0)))</f>
        <v>1</v>
      </c>
      <c r="K1988" s="34" t="n">
        <f aca="false">IF(J1988=0,0,ROUNDUP(J1988*7/WD,0))</f>
        <v>2</v>
      </c>
      <c r="L1988" s="15" t="s">
        <v>5668</v>
      </c>
      <c r="M1988" s="34" t="n">
        <f aca="false">ROUNDUP(K1987*LADDER,0)</f>
        <v>1</v>
      </c>
      <c r="N1988" s="34" t="n">
        <f aca="false">IF(K1988=0,0,FFLAG)</f>
        <v>2</v>
      </c>
      <c r="O1988" s="15" t="s">
        <v>3008</v>
      </c>
      <c r="P1988" s="16" t="n">
        <f aca="false">MAX(P1987+M1988,D_PILEDES)</f>
        <v>46364</v>
      </c>
      <c r="Q1988" s="16" t="n">
        <f aca="false">MAX(P1988+K1988,Q1987+N1988)</f>
        <v>46367</v>
      </c>
      <c r="R1988" s="16" t="n">
        <f aca="false">IF(K1988&gt;0,Q1988,0)</f>
        <v>46367</v>
      </c>
      <c r="S1988" s="12"/>
    </row>
    <row r="1989" customFormat="false" ht="15" hidden="false" customHeight="false" outlineLevel="0" collapsed="false">
      <c r="A1989" s="15" t="s">
        <v>5671</v>
      </c>
      <c r="B1989" s="15" t="s">
        <v>5667</v>
      </c>
      <c r="C1989" s="15" t="s">
        <v>406</v>
      </c>
      <c r="D1989" s="15" t="s">
        <v>993</v>
      </c>
      <c r="E1989" s="15" t="s">
        <v>1067</v>
      </c>
      <c r="F1989" s="15" t="s">
        <v>3010</v>
      </c>
      <c r="G1989" s="15" t="s">
        <v>3011</v>
      </c>
      <c r="H1989" s="33" t="n">
        <f aca="false">Packages!$AD$186</f>
        <v>1.76164131091842</v>
      </c>
      <c r="I1989" s="15" t="s">
        <v>3012</v>
      </c>
      <c r="J1989" s="34" t="n">
        <f aca="false">IF(Packages!$AD$186=0,0,MAX(1,ROUNDUP(Packages!$AD$186/(R_SHEET*Fronts!$I$12),0)))</f>
        <v>1</v>
      </c>
      <c r="K1989" s="34" t="n">
        <f aca="false">IF(J1989=0,0,ROUNDUP(J1989*7/WD,0))</f>
        <v>2</v>
      </c>
      <c r="L1989" s="15" t="s">
        <v>5670</v>
      </c>
      <c r="M1989" s="34" t="n">
        <f aca="false">ROUNDUP(K1988*LADDER,0)</f>
        <v>1</v>
      </c>
      <c r="N1989" s="34" t="n">
        <f aca="false">IF(K1989=0,0,FFLAG)</f>
        <v>2</v>
      </c>
      <c r="O1989" s="15"/>
      <c r="P1989" s="16" t="n">
        <f aca="false">MAX(P1988+M1989)</f>
        <v>46365</v>
      </c>
      <c r="Q1989" s="16" t="n">
        <f aca="false">MAX(P1989+K1989,Q1988+N1989)</f>
        <v>46369</v>
      </c>
      <c r="R1989" s="16" t="n">
        <f aca="false">IF(K1989&gt;0,Q1989,0)</f>
        <v>46369</v>
      </c>
      <c r="S1989" s="12"/>
    </row>
    <row r="1990" customFormat="false" ht="15" hidden="false" customHeight="false" outlineLevel="0" collapsed="false">
      <c r="A1990" s="15" t="s">
        <v>5672</v>
      </c>
      <c r="B1990" s="15" t="s">
        <v>5667</v>
      </c>
      <c r="C1990" s="15" t="s">
        <v>406</v>
      </c>
      <c r="D1990" s="15" t="s">
        <v>993</v>
      </c>
      <c r="E1990" s="15" t="s">
        <v>1067</v>
      </c>
      <c r="F1990" s="15" t="s">
        <v>3014</v>
      </c>
      <c r="G1990" s="15" t="s">
        <v>3015</v>
      </c>
      <c r="H1990" s="33" t="n">
        <f aca="false">Packages!$O$186</f>
        <v>0.880820655459211</v>
      </c>
      <c r="I1990" s="15" t="s">
        <v>118</v>
      </c>
      <c r="J1990" s="34" t="n">
        <f aca="false">IF(Packages!$AG$186=0,0,ROUNDUP(Packages!$O$186/R_DW,0)+DW_DRAW)</f>
        <v>8</v>
      </c>
      <c r="K1990" s="34" t="n">
        <f aca="false">IF(J1990=0,0,ROUNDUP(J1990*7/WD,0))</f>
        <v>10</v>
      </c>
      <c r="L1990" s="15" t="s">
        <v>5671</v>
      </c>
      <c r="M1990" s="34" t="n">
        <f aca="false">ROUNDUP(K1989*LADDER,0)</f>
        <v>1</v>
      </c>
      <c r="N1990" s="34" t="n">
        <f aca="false">IF(K1990=0,0,FFLAG)</f>
        <v>2</v>
      </c>
      <c r="O1990" s="15"/>
      <c r="P1990" s="16" t="n">
        <f aca="false">MAX(P1989+M1990)</f>
        <v>46366</v>
      </c>
      <c r="Q1990" s="16" t="n">
        <f aca="false">MAX(P1990+K1990,Q1989+N1990)</f>
        <v>46376</v>
      </c>
      <c r="R1990" s="12"/>
      <c r="S1990" s="12"/>
    </row>
    <row r="1991" customFormat="false" ht="15" hidden="false" customHeight="false" outlineLevel="0" collapsed="false">
      <c r="A1991" s="15" t="s">
        <v>5673</v>
      </c>
      <c r="B1991" s="15" t="s">
        <v>5667</v>
      </c>
      <c r="C1991" s="15" t="s">
        <v>406</v>
      </c>
      <c r="D1991" s="15" t="s">
        <v>993</v>
      </c>
      <c r="E1991" s="15" t="s">
        <v>1067</v>
      </c>
      <c r="F1991" s="15" t="s">
        <v>3017</v>
      </c>
      <c r="G1991" s="15" t="s">
        <v>3018</v>
      </c>
      <c r="H1991" s="33" t="n">
        <f aca="false">Packages!$X$186+Packages!$Y$186</f>
        <v>11.5950039042641</v>
      </c>
      <c r="I1991" s="15" t="s">
        <v>3019</v>
      </c>
      <c r="J1991" s="34" t="n">
        <f aca="false">MAX(1,ROUNDUP((Packages!$X$186/R_EXS+Packages!$Y$186/R_EXO)/Fronts!$J$12,0))</f>
        <v>1</v>
      </c>
      <c r="K1991" s="34" t="n">
        <f aca="false">IF(J1991=0,0,ROUNDUP(J1991*7/WD,0))</f>
        <v>2</v>
      </c>
      <c r="L1991" s="15" t="s">
        <v>5672</v>
      </c>
      <c r="M1991" s="34" t="n">
        <f aca="false">IF(K1990=0,0,ROUNDUP((K1990-ROUNDUP(DW_DRAW*7/WD,0))*LADDER,0)+ROUNDUP(DW_DRAW*7/WD,0))</f>
        <v>10</v>
      </c>
      <c r="N1991" s="34" t="n">
        <f aca="false">IF(K1991=0,0,FFLAG)</f>
        <v>2</v>
      </c>
      <c r="O1991" s="15" t="s">
        <v>5659</v>
      </c>
      <c r="P1991" s="16" t="n">
        <f aca="false">MAX(P1990+M1991,P1969)</f>
        <v>46376</v>
      </c>
      <c r="Q1991" s="16" t="n">
        <f aca="false">MAX(P1991+K1991,Q1990+N1991)</f>
        <v>46378</v>
      </c>
      <c r="R1991" s="16" t="n">
        <f aca="false">IF(K1991&gt;0,Q1991,0)</f>
        <v>46378</v>
      </c>
      <c r="S1991" s="12"/>
    </row>
    <row r="1992" customFormat="false" ht="15" hidden="false" customHeight="false" outlineLevel="0" collapsed="false">
      <c r="A1992" s="15" t="s">
        <v>5674</v>
      </c>
      <c r="B1992" s="15" t="s">
        <v>5667</v>
      </c>
      <c r="C1992" s="15" t="s">
        <v>406</v>
      </c>
      <c r="D1992" s="15" t="s">
        <v>993</v>
      </c>
      <c r="E1992" s="15" t="s">
        <v>1067</v>
      </c>
      <c r="F1992" s="15" t="s">
        <v>3022</v>
      </c>
      <c r="G1992" s="15" t="s">
        <v>3023</v>
      </c>
      <c r="H1992" s="33" t="n">
        <f aca="false">Packages!$O$186</f>
        <v>0.880820655459211</v>
      </c>
      <c r="I1992" s="15" t="s">
        <v>118</v>
      </c>
      <c r="J1992" s="34" t="n">
        <f aca="false">MAX(1,ROUNDUP(Packages!$O$186/(R_SLAB*Fronts!$K$12),0))+SLAB_CURE</f>
        <v>4</v>
      </c>
      <c r="K1992" s="34" t="n">
        <f aca="false">IF(J1992=0,0,ROUNDUP(J1992*7/WD,0))</f>
        <v>5</v>
      </c>
      <c r="L1992" s="15" t="s">
        <v>5673</v>
      </c>
      <c r="M1992" s="34" t="n">
        <f aca="false">ROUNDUP(K1991*LADDER,0)</f>
        <v>1</v>
      </c>
      <c r="N1992" s="34" t="n">
        <f aca="false">IF(K1992=0,0,FFLAG)</f>
        <v>2</v>
      </c>
      <c r="O1992" s="15"/>
      <c r="P1992" s="16" t="n">
        <f aca="false">MAX(P1991+M1992)</f>
        <v>46377</v>
      </c>
      <c r="Q1992" s="16" t="n">
        <f aca="false">MAX(P1992+K1992,Q1991+N1992)</f>
        <v>46382</v>
      </c>
      <c r="R1992" s="16" t="n">
        <f aca="false">IF(K1992&gt;0,Q1992,0)</f>
        <v>46382</v>
      </c>
      <c r="S1992" s="12"/>
    </row>
    <row r="1993" customFormat="false" ht="15" hidden="false" customHeight="false" outlineLevel="0" collapsed="false">
      <c r="A1993" s="15" t="s">
        <v>5675</v>
      </c>
      <c r="B1993" s="15" t="s">
        <v>5667</v>
      </c>
      <c r="C1993" s="15" t="s">
        <v>406</v>
      </c>
      <c r="D1993" s="15" t="s">
        <v>993</v>
      </c>
      <c r="E1993" s="15" t="s">
        <v>1067</v>
      </c>
      <c r="F1993" s="15" t="s">
        <v>3025</v>
      </c>
      <c r="G1993" s="15" t="s">
        <v>3026</v>
      </c>
      <c r="H1993" s="33" t="n">
        <f aca="false">Packages!$O$186</f>
        <v>0.880820655459211</v>
      </c>
      <c r="I1993" s="15" t="s">
        <v>118</v>
      </c>
      <c r="J1993" s="34" t="n">
        <f aca="false">MAX(1,ROUNDUP(Packages!$O$186/(IF(Packages!$N$186&gt;=PIPE_T1,R_PIPE_L,IF(Packages!$N$186&gt;=PIPE_T2,R_PIPE_M,R_PIPE_S))*Fronts!$L$12)+Packages!$M$186*FIT_D+IF(Packages!$G$186&lt;&gt;"Run",TIE_D,0),0))</f>
        <v>4</v>
      </c>
      <c r="K1993" s="34" t="n">
        <f aca="false">IF(J1993=0,0,ROUNDUP(J1993*7/WD,0))</f>
        <v>5</v>
      </c>
      <c r="L1993" s="15" t="s">
        <v>5674</v>
      </c>
      <c r="M1993" s="34" t="n">
        <f aca="false">ROUNDUP(K1992*LADDER,0)</f>
        <v>2</v>
      </c>
      <c r="N1993" s="34" t="n">
        <f aca="false">IF(K1993=0,0,FFLAG)</f>
        <v>2</v>
      </c>
      <c r="O1993" s="15" t="s">
        <v>5676</v>
      </c>
      <c r="P1993" s="16" t="n">
        <f aca="false">MAX(P1992+M1993,Q1982)</f>
        <v>46386</v>
      </c>
      <c r="Q1993" s="16" t="n">
        <f aca="false">MAX(P1993+K1993,Q1992+N1993)</f>
        <v>46391</v>
      </c>
      <c r="R1993" s="16" t="n">
        <f aca="false">IF(K1993&gt;0,Q1993,0)</f>
        <v>46391</v>
      </c>
      <c r="S1993" s="12"/>
    </row>
    <row r="1994" customFormat="false" ht="15" hidden="false" customHeight="false" outlineLevel="0" collapsed="false">
      <c r="A1994" s="15" t="s">
        <v>5677</v>
      </c>
      <c r="B1994" s="15" t="s">
        <v>5667</v>
      </c>
      <c r="C1994" s="15" t="s">
        <v>406</v>
      </c>
      <c r="D1994" s="15" t="s">
        <v>993</v>
      </c>
      <c r="E1994" s="15" t="s">
        <v>1067</v>
      </c>
      <c r="F1994" s="15" t="s">
        <v>3028</v>
      </c>
      <c r="G1994" s="15" t="s">
        <v>3029</v>
      </c>
      <c r="H1994" s="33" t="n">
        <f aca="false">Packages!$O$186</f>
        <v>0.880820655459211</v>
      </c>
      <c r="I1994" s="15" t="s">
        <v>118</v>
      </c>
      <c r="J1994" s="34" t="n">
        <f aca="false">TEST_D+ROUNDUP(Packages!$O$186/R_TEST,0)</f>
        <v>3</v>
      </c>
      <c r="K1994" s="34" t="n">
        <f aca="false">IF(J1994=0,0,ROUNDUP(J1994*7/WD,0))</f>
        <v>4</v>
      </c>
      <c r="L1994" s="15" t="s">
        <v>5675</v>
      </c>
      <c r="M1994" s="34" t="n">
        <f aca="false">ROUNDUP(K1993*LADDER,0)</f>
        <v>2</v>
      </c>
      <c r="N1994" s="34" t="n">
        <f aca="false">IF(K1994=0,0,FFLAG)</f>
        <v>2</v>
      </c>
      <c r="O1994" s="15"/>
      <c r="P1994" s="16" t="n">
        <f aca="false">MAX(P1993+M1994)</f>
        <v>46388</v>
      </c>
      <c r="Q1994" s="16" t="n">
        <f aca="false">MAX(P1994+K1994,Q1993+N1994)</f>
        <v>46393</v>
      </c>
      <c r="R1994" s="12"/>
      <c r="S1994" s="12"/>
    </row>
    <row r="1995" customFormat="false" ht="15" hidden="false" customHeight="false" outlineLevel="0" collapsed="false">
      <c r="A1995" s="15" t="s">
        <v>5678</v>
      </c>
      <c r="B1995" s="15" t="s">
        <v>5667</v>
      </c>
      <c r="C1995" s="15" t="s">
        <v>406</v>
      </c>
      <c r="D1995" s="15" t="s">
        <v>993</v>
      </c>
      <c r="E1995" s="15" t="s">
        <v>1067</v>
      </c>
      <c r="F1995" s="15" t="s">
        <v>3031</v>
      </c>
      <c r="G1995" s="15" t="s">
        <v>3032</v>
      </c>
      <c r="H1995" s="33" t="n">
        <f aca="false">Packages!$AB$186</f>
        <v>9.64310852986451</v>
      </c>
      <c r="I1995" s="15" t="s">
        <v>3019</v>
      </c>
      <c r="J1995" s="34" t="n">
        <f aca="false">MAX(1,ROUNDUP(Packages!$AB$186/(R_BF*Fronts!$M$12),0))</f>
        <v>1</v>
      </c>
      <c r="K1995" s="34" t="n">
        <f aca="false">IF(J1995=0,0,ROUNDUP(J1995*7/WD,0))</f>
        <v>2</v>
      </c>
      <c r="L1995" s="15" t="s">
        <v>5677</v>
      </c>
      <c r="M1995" s="34" t="n">
        <f aca="false">ROUNDUP(K1994*LADDER,0)</f>
        <v>2</v>
      </c>
      <c r="N1995" s="34" t="n">
        <f aca="false">IF(K1995=0,0,FFLAG)</f>
        <v>2</v>
      </c>
      <c r="O1995" s="15" t="s">
        <v>5679</v>
      </c>
      <c r="P1995" s="16" t="n">
        <f aca="false">MAX(P1994+M1995,Q1971)</f>
        <v>46390</v>
      </c>
      <c r="Q1995" s="16" t="n">
        <f aca="false">MAX(P1995+K1995,Q1994+N1995)</f>
        <v>46395</v>
      </c>
      <c r="R1995" s="16" t="n">
        <f aca="false">IF(K1995&gt;0,Q1995,0)</f>
        <v>46395</v>
      </c>
      <c r="S1995" s="12"/>
    </row>
    <row r="1996" customFormat="false" ht="15" hidden="false" customHeight="false" outlineLevel="0" collapsed="false">
      <c r="A1996" s="15" t="s">
        <v>5680</v>
      </c>
      <c r="B1996" s="15" t="s">
        <v>5667</v>
      </c>
      <c r="C1996" s="15" t="s">
        <v>406</v>
      </c>
      <c r="D1996" s="15" t="s">
        <v>993</v>
      </c>
      <c r="E1996" s="15" t="s">
        <v>1067</v>
      </c>
      <c r="F1996" s="15" t="s">
        <v>3034</v>
      </c>
      <c r="G1996" s="15" t="s">
        <v>3035</v>
      </c>
      <c r="H1996" s="33" t="n">
        <f aca="false">Packages!$AD$186</f>
        <v>1.76164131091842</v>
      </c>
      <c r="I1996" s="15" t="s">
        <v>3012</v>
      </c>
      <c r="J1996" s="34" t="n">
        <f aca="false">IF(Packages!$AD$186&gt;0,ROUNDUP(Packages!$AD$186/R_EXT,0),0)+IF(Packages!$AG$186&gt;0,1,0)</f>
        <v>2</v>
      </c>
      <c r="K1996" s="34" t="n">
        <f aca="false">IF(J1996=0,0,ROUNDUP(J1996*7/WD,0))</f>
        <v>3</v>
      </c>
      <c r="L1996" s="15" t="s">
        <v>5678</v>
      </c>
      <c r="M1996" s="34" t="n">
        <f aca="false">ROUNDUP(K1995*LADDER,0)</f>
        <v>1</v>
      </c>
      <c r="N1996" s="34" t="n">
        <f aca="false">IF(K1996=0,0,FFLAG)</f>
        <v>2</v>
      </c>
      <c r="O1996" s="15"/>
      <c r="P1996" s="16" t="n">
        <f aca="false">MAX(P1995+M1996)</f>
        <v>46391</v>
      </c>
      <c r="Q1996" s="16" t="n">
        <f aca="false">MAX(P1996+K1996,Q1995+N1996)</f>
        <v>46397</v>
      </c>
      <c r="R1996" s="12"/>
      <c r="S1996" s="12"/>
    </row>
    <row r="1997" customFormat="false" ht="15" hidden="false" customHeight="false" outlineLevel="0" collapsed="false">
      <c r="A1997" s="15" t="s">
        <v>5681</v>
      </c>
      <c r="B1997" s="15" t="s">
        <v>5682</v>
      </c>
      <c r="C1997" s="15" t="s">
        <v>406</v>
      </c>
      <c r="D1997" s="15" t="s">
        <v>993</v>
      </c>
      <c r="E1997" s="15" t="s">
        <v>1044</v>
      </c>
      <c r="F1997" s="15" t="s">
        <v>2998</v>
      </c>
      <c r="G1997" s="15" t="s">
        <v>2999</v>
      </c>
      <c r="H1997" s="12"/>
      <c r="I1997" s="12"/>
      <c r="J1997" s="34" t="n">
        <f aca="false">0</f>
        <v>0</v>
      </c>
      <c r="K1997" s="34" t="n">
        <f aca="false">IF(J1997=0,0,ROUNDUP(J1997*7/WD,0))</f>
        <v>0</v>
      </c>
      <c r="L1997" s="12"/>
      <c r="M1997" s="12"/>
      <c r="N1997" s="12"/>
      <c r="O1997" s="15" t="s">
        <v>3000</v>
      </c>
      <c r="P1997" s="16" t="n">
        <f aca="false">MAX(START,D_DLU,Packages!$I$187,Packages!$K$187)</f>
        <v>46357</v>
      </c>
      <c r="Q1997" s="16" t="n">
        <f aca="false">P1997+K1997</f>
        <v>46357</v>
      </c>
      <c r="R1997" s="12"/>
      <c r="S1997" s="12"/>
    </row>
    <row r="1998" customFormat="false" ht="15" hidden="false" customHeight="false" outlineLevel="0" collapsed="false">
      <c r="A1998" s="15" t="s">
        <v>5683</v>
      </c>
      <c r="B1998" s="15" t="s">
        <v>5682</v>
      </c>
      <c r="C1998" s="15" t="s">
        <v>406</v>
      </c>
      <c r="D1998" s="15" t="s">
        <v>993</v>
      </c>
      <c r="E1998" s="15" t="s">
        <v>1044</v>
      </c>
      <c r="F1998" s="15" t="s">
        <v>3002</v>
      </c>
      <c r="G1998" s="15" t="s">
        <v>205</v>
      </c>
      <c r="H1998" s="33" t="n">
        <f aca="false">Packages!$O$187</f>
        <v>62.526693312255</v>
      </c>
      <c r="I1998" s="15" t="s">
        <v>118</v>
      </c>
      <c r="J1998" s="34" t="n">
        <f aca="false">MAX(1,ROUNDUP(Packages!$O$187/R_PLAT,0))</f>
        <v>1</v>
      </c>
      <c r="K1998" s="34" t="n">
        <f aca="false">IF(J1998=0,0,ROUNDUP(J1998*7/WD,0))</f>
        <v>2</v>
      </c>
      <c r="L1998" s="15" t="s">
        <v>5681</v>
      </c>
      <c r="M1998" s="12"/>
      <c r="N1998" s="12"/>
      <c r="O1998" s="15" t="s">
        <v>5684</v>
      </c>
      <c r="P1998" s="16" t="n">
        <f aca="false">MAX(Q1997,P1977)</f>
        <v>46363</v>
      </c>
      <c r="Q1998" s="16" t="n">
        <f aca="false">P1998+K1998</f>
        <v>46365</v>
      </c>
      <c r="R1998" s="12"/>
      <c r="S1998" s="12"/>
    </row>
    <row r="1999" customFormat="false" ht="15" hidden="false" customHeight="false" outlineLevel="0" collapsed="false">
      <c r="A1999" s="15" t="s">
        <v>5685</v>
      </c>
      <c r="B1999" s="15" t="s">
        <v>5682</v>
      </c>
      <c r="C1999" s="15" t="s">
        <v>406</v>
      </c>
      <c r="D1999" s="15" t="s">
        <v>993</v>
      </c>
      <c r="E1999" s="15" t="s">
        <v>1044</v>
      </c>
      <c r="F1999" s="15" t="s">
        <v>3005</v>
      </c>
      <c r="G1999" s="15" t="s">
        <v>3006</v>
      </c>
      <c r="H1999" s="33" t="n">
        <f aca="false">Packages!$AC$187</f>
        <v>44</v>
      </c>
      <c r="I1999" s="15" t="s">
        <v>3007</v>
      </c>
      <c r="J1999" s="34" t="n">
        <f aca="false">IF(Packages!$AC$187=0,0,MAX(1,ROUNDUP(Packages!$AC$187/(R_PILE*Fronts!$H$12),0)))</f>
        <v>5</v>
      </c>
      <c r="K1999" s="34" t="n">
        <f aca="false">IF(J1999=0,0,ROUNDUP(J1999*7/WD,0))</f>
        <v>6</v>
      </c>
      <c r="L1999" s="15" t="s">
        <v>5683</v>
      </c>
      <c r="M1999" s="34" t="n">
        <f aca="false">ROUNDUP(K1998*LADDER,0)</f>
        <v>1</v>
      </c>
      <c r="N1999" s="34" t="n">
        <f aca="false">IF(K1999=0,0,FFLAG)</f>
        <v>2</v>
      </c>
      <c r="O1999" s="15" t="s">
        <v>3008</v>
      </c>
      <c r="P1999" s="16" t="n">
        <f aca="false">MAX(P1998+M1999,D_PILEDES,R1977)</f>
        <v>46365</v>
      </c>
      <c r="Q1999" s="16" t="n">
        <f aca="false">MAX(P1999+K1999,Q1998+N1999)</f>
        <v>46371</v>
      </c>
      <c r="R1999" s="16" t="n">
        <f aca="false">IF(K1999&gt;0,Q1999,R1977)</f>
        <v>46371</v>
      </c>
      <c r="S1999" s="15" t="s">
        <v>5654</v>
      </c>
    </row>
    <row r="2000" customFormat="false" ht="15" hidden="false" customHeight="false" outlineLevel="0" collapsed="false">
      <c r="A2000" s="15" t="s">
        <v>5686</v>
      </c>
      <c r="B2000" s="15" t="s">
        <v>5682</v>
      </c>
      <c r="C2000" s="15" t="s">
        <v>406</v>
      </c>
      <c r="D2000" s="15" t="s">
        <v>993</v>
      </c>
      <c r="E2000" s="15" t="s">
        <v>1044</v>
      </c>
      <c r="F2000" s="15" t="s">
        <v>3010</v>
      </c>
      <c r="G2000" s="15" t="s">
        <v>3011</v>
      </c>
      <c r="H2000" s="33" t="n">
        <f aca="false">Packages!$AD$187</f>
        <v>125.05338662451</v>
      </c>
      <c r="I2000" s="15" t="s">
        <v>3012</v>
      </c>
      <c r="J2000" s="34" t="n">
        <f aca="false">IF(Packages!$AD$187=0,0,MAX(1,ROUNDUP(Packages!$AD$187/(R_SHEET*Fronts!$I$12),0)))</f>
        <v>3</v>
      </c>
      <c r="K2000" s="34" t="n">
        <f aca="false">IF(J2000=0,0,ROUNDUP(J2000*7/WD,0))</f>
        <v>4</v>
      </c>
      <c r="L2000" s="15" t="s">
        <v>5685</v>
      </c>
      <c r="M2000" s="34" t="n">
        <f aca="false">ROUNDUP(K1999*LADDER,0)</f>
        <v>2</v>
      </c>
      <c r="N2000" s="34" t="n">
        <f aca="false">IF(K2000=0,0,FFLAG)</f>
        <v>2</v>
      </c>
      <c r="O2000" s="15"/>
      <c r="P2000" s="16" t="n">
        <f aca="false">MAX(P1999+M2000,R1978)</f>
        <v>46367</v>
      </c>
      <c r="Q2000" s="16" t="n">
        <f aca="false">MAX(P2000+K2000,Q1999+N2000)</f>
        <v>46373</v>
      </c>
      <c r="R2000" s="16" t="n">
        <f aca="false">IF(K2000&gt;0,Q2000,R1978)</f>
        <v>46373</v>
      </c>
      <c r="S2000" s="15" t="s">
        <v>5655</v>
      </c>
    </row>
    <row r="2001" customFormat="false" ht="15" hidden="false" customHeight="false" outlineLevel="0" collapsed="false">
      <c r="A2001" s="15" t="s">
        <v>5687</v>
      </c>
      <c r="B2001" s="15" t="s">
        <v>5682</v>
      </c>
      <c r="C2001" s="15" t="s">
        <v>406</v>
      </c>
      <c r="D2001" s="15" t="s">
        <v>993</v>
      </c>
      <c r="E2001" s="15" t="s">
        <v>1044</v>
      </c>
      <c r="F2001" s="15" t="s">
        <v>3014</v>
      </c>
      <c r="G2001" s="15" t="s">
        <v>3015</v>
      </c>
      <c r="H2001" s="33" t="n">
        <f aca="false">Packages!$O$187</f>
        <v>62.526693312255</v>
      </c>
      <c r="I2001" s="15" t="s">
        <v>118</v>
      </c>
      <c r="J2001" s="34" t="n">
        <f aca="false">IF(Packages!$AG$187=0,0,ROUNDUP(Packages!$O$187/R_DW,0)+DW_DRAW)</f>
        <v>9</v>
      </c>
      <c r="K2001" s="34" t="n">
        <f aca="false">IF(J2001=0,0,ROUNDUP(J2001*7/WD,0))</f>
        <v>11</v>
      </c>
      <c r="L2001" s="15" t="s">
        <v>5686</v>
      </c>
      <c r="M2001" s="34" t="n">
        <f aca="false">ROUNDUP(K2000*LADDER,0)</f>
        <v>2</v>
      </c>
      <c r="N2001" s="34" t="n">
        <f aca="false">IF(K2001=0,0,FFLAG)</f>
        <v>2</v>
      </c>
      <c r="O2001" s="15" t="s">
        <v>5688</v>
      </c>
      <c r="P2001" s="16" t="n">
        <f aca="false">MAX(P2000+M2001,Q1980-K2001)</f>
        <v>46369</v>
      </c>
      <c r="Q2001" s="16" t="n">
        <f aca="false">MAX(P2001+K2001,Q2000+N2001)</f>
        <v>46380</v>
      </c>
      <c r="R2001" s="12"/>
      <c r="S2001" s="12"/>
    </row>
    <row r="2002" customFormat="false" ht="15" hidden="false" customHeight="false" outlineLevel="0" collapsed="false">
      <c r="A2002" s="15" t="s">
        <v>5689</v>
      </c>
      <c r="B2002" s="15" t="s">
        <v>5682</v>
      </c>
      <c r="C2002" s="15" t="s">
        <v>406</v>
      </c>
      <c r="D2002" s="15" t="s">
        <v>993</v>
      </c>
      <c r="E2002" s="15" t="s">
        <v>1044</v>
      </c>
      <c r="F2002" s="15" t="s">
        <v>3017</v>
      </c>
      <c r="G2002" s="15" t="s">
        <v>3018</v>
      </c>
      <c r="H2002" s="33" t="n">
        <f aca="false">Packages!$X$187+Packages!$Y$187</f>
        <v>949.848859964535</v>
      </c>
      <c r="I2002" s="15" t="s">
        <v>3019</v>
      </c>
      <c r="J2002" s="34" t="n">
        <f aca="false">MAX(1,ROUNDUP((Packages!$X$187/R_EXS+Packages!$Y$187/R_EXO)/Fronts!$J$12,0))</f>
        <v>2</v>
      </c>
      <c r="K2002" s="34" t="n">
        <f aca="false">IF(J2002=0,0,ROUNDUP(J2002*7/WD,0))</f>
        <v>3</v>
      </c>
      <c r="L2002" s="15" t="s">
        <v>5687</v>
      </c>
      <c r="M2002" s="34" t="n">
        <f aca="false">IF(K2001=0,0,ROUNDUP((K2001-ROUNDUP(DW_DRAW*7/WD,0))*LADDER,0)+ROUNDUP(DW_DRAW*7/WD,0))</f>
        <v>10</v>
      </c>
      <c r="N2002" s="34" t="n">
        <f aca="false">IF(K2002=0,0,FFLAG)</f>
        <v>2</v>
      </c>
      <c r="O2002" s="15" t="s">
        <v>5659</v>
      </c>
      <c r="P2002" s="16" t="n">
        <f aca="false">MAX(P2001+M2002,R1980,P1969)</f>
        <v>46379</v>
      </c>
      <c r="Q2002" s="16" t="n">
        <f aca="false">MAX(P2002+K2002,Q2001+N2002)</f>
        <v>46382</v>
      </c>
      <c r="R2002" s="16" t="n">
        <f aca="false">IF(K2002&gt;0,Q2002,R1980)</f>
        <v>46382</v>
      </c>
      <c r="S2002" s="15" t="s">
        <v>5658</v>
      </c>
    </row>
    <row r="2003" customFormat="false" ht="15" hidden="false" customHeight="false" outlineLevel="0" collapsed="false">
      <c r="A2003" s="15" t="s">
        <v>5690</v>
      </c>
      <c r="B2003" s="15" t="s">
        <v>5682</v>
      </c>
      <c r="C2003" s="15" t="s">
        <v>406</v>
      </c>
      <c r="D2003" s="15" t="s">
        <v>993</v>
      </c>
      <c r="E2003" s="15" t="s">
        <v>1044</v>
      </c>
      <c r="F2003" s="15" t="s">
        <v>3022</v>
      </c>
      <c r="G2003" s="15" t="s">
        <v>3023</v>
      </c>
      <c r="H2003" s="33" t="n">
        <f aca="false">Packages!$O$187</f>
        <v>62.526693312255</v>
      </c>
      <c r="I2003" s="15" t="s">
        <v>118</v>
      </c>
      <c r="J2003" s="34" t="n">
        <f aca="false">MAX(1,ROUNDUP(Packages!$O$187/(R_SLAB*Fronts!$K$12),0))+SLAB_CURE</f>
        <v>6</v>
      </c>
      <c r="K2003" s="34" t="n">
        <f aca="false">IF(J2003=0,0,ROUNDUP(J2003*7/WD,0))</f>
        <v>7</v>
      </c>
      <c r="L2003" s="15" t="s">
        <v>5689</v>
      </c>
      <c r="M2003" s="34" t="n">
        <f aca="false">ROUNDUP(K2002*LADDER,0)</f>
        <v>1</v>
      </c>
      <c r="N2003" s="34" t="n">
        <f aca="false">IF(K2003=0,0,FFLAG)</f>
        <v>2</v>
      </c>
      <c r="O2003" s="15"/>
      <c r="P2003" s="16" t="n">
        <f aca="false">MAX(P2002+M2003,R1981)</f>
        <v>46384</v>
      </c>
      <c r="Q2003" s="16" t="n">
        <f aca="false">MAX(P2003+K2003,Q2002+N2003)</f>
        <v>46391</v>
      </c>
      <c r="R2003" s="16" t="n">
        <f aca="false">IF(K2003&gt;0,Q2003,R1981)</f>
        <v>46391</v>
      </c>
      <c r="S2003" s="15" t="s">
        <v>5660</v>
      </c>
    </row>
    <row r="2004" customFormat="false" ht="15" hidden="false" customHeight="false" outlineLevel="0" collapsed="false">
      <c r="A2004" s="15" t="s">
        <v>5691</v>
      </c>
      <c r="B2004" s="15" t="s">
        <v>5682</v>
      </c>
      <c r="C2004" s="15" t="s">
        <v>406</v>
      </c>
      <c r="D2004" s="15" t="s">
        <v>993</v>
      </c>
      <c r="E2004" s="15" t="s">
        <v>1044</v>
      </c>
      <c r="F2004" s="15" t="s">
        <v>3025</v>
      </c>
      <c r="G2004" s="15" t="s">
        <v>3026</v>
      </c>
      <c r="H2004" s="33" t="n">
        <f aca="false">Packages!$O$187</f>
        <v>62.526693312255</v>
      </c>
      <c r="I2004" s="15" t="s">
        <v>118</v>
      </c>
      <c r="J2004" s="34" t="n">
        <f aca="false">MAX(1,ROUNDUP(Packages!$O$187/(IF(Packages!$N$187&gt;=PIPE_T1,R_PIPE_L,IF(Packages!$N$187&gt;=PIPE_T2,R_PIPE_M,R_PIPE_S))*Fronts!$L$12)+Packages!$M$187*FIT_D+IF(Packages!$G$187&lt;&gt;"Run",TIE_D,0),0))</f>
        <v>3</v>
      </c>
      <c r="K2004" s="34" t="n">
        <f aca="false">IF(J2004=0,0,ROUNDUP(J2004*7/WD,0))</f>
        <v>4</v>
      </c>
      <c r="L2004" s="15" t="s">
        <v>5690</v>
      </c>
      <c r="M2004" s="34" t="n">
        <f aca="false">ROUNDUP(K2003*LADDER,0)</f>
        <v>3</v>
      </c>
      <c r="N2004" s="34" t="n">
        <f aca="false">IF(K2004=0,0,FFLAG)</f>
        <v>2</v>
      </c>
      <c r="O2004" s="15"/>
      <c r="P2004" s="16" t="n">
        <f aca="false">MAX(P2003+M2004,R1982)</f>
        <v>46387</v>
      </c>
      <c r="Q2004" s="16" t="n">
        <f aca="false">MAX(P2004+K2004,Q2003+N2004)</f>
        <v>46393</v>
      </c>
      <c r="R2004" s="16" t="n">
        <f aca="false">IF(K2004&gt;0,Q2004,R1982)</f>
        <v>46393</v>
      </c>
      <c r="S2004" s="15" t="s">
        <v>5661</v>
      </c>
    </row>
    <row r="2005" customFormat="false" ht="15" hidden="false" customHeight="false" outlineLevel="0" collapsed="false">
      <c r="A2005" s="15" t="s">
        <v>5692</v>
      </c>
      <c r="B2005" s="15" t="s">
        <v>5682</v>
      </c>
      <c r="C2005" s="15" t="s">
        <v>406</v>
      </c>
      <c r="D2005" s="15" t="s">
        <v>993</v>
      </c>
      <c r="E2005" s="15" t="s">
        <v>1044</v>
      </c>
      <c r="F2005" s="15" t="s">
        <v>3028</v>
      </c>
      <c r="G2005" s="15" t="s">
        <v>3029</v>
      </c>
      <c r="H2005" s="33" t="n">
        <f aca="false">Packages!$O$187</f>
        <v>62.526693312255</v>
      </c>
      <c r="I2005" s="15" t="s">
        <v>118</v>
      </c>
      <c r="J2005" s="34" t="n">
        <f aca="false">TEST_D+ROUNDUP(Packages!$O$187/R_TEST,0)</f>
        <v>3</v>
      </c>
      <c r="K2005" s="34" t="n">
        <f aca="false">IF(J2005=0,0,ROUNDUP(J2005*7/WD,0))</f>
        <v>4</v>
      </c>
      <c r="L2005" s="15" t="s">
        <v>5691</v>
      </c>
      <c r="M2005" s="34" t="n">
        <f aca="false">ROUNDUP(K2004*LADDER,0)</f>
        <v>2</v>
      </c>
      <c r="N2005" s="34" t="n">
        <f aca="false">IF(K2005=0,0,FFLAG)</f>
        <v>2</v>
      </c>
      <c r="O2005" s="15"/>
      <c r="P2005" s="16" t="n">
        <f aca="false">MAX(P2004+M2005)</f>
        <v>46389</v>
      </c>
      <c r="Q2005" s="16" t="n">
        <f aca="false">MAX(P2005+K2005,Q2004+N2005)</f>
        <v>46395</v>
      </c>
      <c r="R2005" s="12"/>
      <c r="S2005" s="12"/>
    </row>
    <row r="2006" customFormat="false" ht="15" hidden="false" customHeight="false" outlineLevel="0" collapsed="false">
      <c r="A2006" s="15" t="s">
        <v>5693</v>
      </c>
      <c r="B2006" s="15" t="s">
        <v>5682</v>
      </c>
      <c r="C2006" s="15" t="s">
        <v>406</v>
      </c>
      <c r="D2006" s="15" t="s">
        <v>993</v>
      </c>
      <c r="E2006" s="15" t="s">
        <v>1044</v>
      </c>
      <c r="F2006" s="15" t="s">
        <v>3031</v>
      </c>
      <c r="G2006" s="15" t="s">
        <v>3032</v>
      </c>
      <c r="H2006" s="33" t="n">
        <f aca="false">Packages!$AB$187</f>
        <v>741.751354470392</v>
      </c>
      <c r="I2006" s="15" t="s">
        <v>3019</v>
      </c>
      <c r="J2006" s="34" t="n">
        <f aca="false">MAX(1,ROUNDUP(Packages!$AB$187/(R_BF*Fronts!$M$12),0))</f>
        <v>2</v>
      </c>
      <c r="K2006" s="34" t="n">
        <f aca="false">IF(J2006=0,0,ROUNDUP(J2006*7/WD,0))</f>
        <v>3</v>
      </c>
      <c r="L2006" s="15" t="s">
        <v>5692</v>
      </c>
      <c r="M2006" s="34" t="n">
        <f aca="false">ROUNDUP(K2005*LADDER,0)</f>
        <v>2</v>
      </c>
      <c r="N2006" s="34" t="n">
        <f aca="false">IF(K2006=0,0,FFLAG)</f>
        <v>2</v>
      </c>
      <c r="O2006" s="15" t="s">
        <v>5694</v>
      </c>
      <c r="P2006" s="16" t="n">
        <f aca="false">MAX(P2005+M2006,R1984,Q1971,Q2015,Q2136)</f>
        <v>46483</v>
      </c>
      <c r="Q2006" s="16" t="n">
        <f aca="false">MAX(P2006+K2006,Q2005+N2006)</f>
        <v>46486</v>
      </c>
      <c r="R2006" s="16" t="n">
        <f aca="false">IF(K2006&gt;0,Q2006,R1984)</f>
        <v>46486</v>
      </c>
      <c r="S2006" s="15" t="s">
        <v>5663</v>
      </c>
    </row>
    <row r="2007" customFormat="false" ht="15" hidden="false" customHeight="false" outlineLevel="0" collapsed="false">
      <c r="A2007" s="15" t="s">
        <v>5695</v>
      </c>
      <c r="B2007" s="15" t="s">
        <v>5682</v>
      </c>
      <c r="C2007" s="15" t="s">
        <v>406</v>
      </c>
      <c r="D2007" s="15" t="s">
        <v>993</v>
      </c>
      <c r="E2007" s="15" t="s">
        <v>1044</v>
      </c>
      <c r="F2007" s="15" t="s">
        <v>3034</v>
      </c>
      <c r="G2007" s="15" t="s">
        <v>3035</v>
      </c>
      <c r="H2007" s="33" t="n">
        <f aca="false">Packages!$AD$187</f>
        <v>125.05338662451</v>
      </c>
      <c r="I2007" s="15" t="s">
        <v>3012</v>
      </c>
      <c r="J2007" s="34" t="n">
        <f aca="false">IF(Packages!$AD$187&gt;0,ROUNDUP(Packages!$AD$187/R_EXT,0),0)+IF(Packages!$AG$187&gt;0,1,0)</f>
        <v>4</v>
      </c>
      <c r="K2007" s="34" t="n">
        <f aca="false">IF(J2007=0,0,ROUNDUP(J2007*7/WD,0))</f>
        <v>5</v>
      </c>
      <c r="L2007" s="15" t="s">
        <v>5693</v>
      </c>
      <c r="M2007" s="34" t="n">
        <f aca="false">ROUNDUP(K2006*LADDER,0)</f>
        <v>1</v>
      </c>
      <c r="N2007" s="34" t="n">
        <f aca="false">IF(K2007=0,0,FFLAG)</f>
        <v>2</v>
      </c>
      <c r="O2007" s="15"/>
      <c r="P2007" s="16" t="n">
        <f aca="false">MAX(P2006+M2007)</f>
        <v>46484</v>
      </c>
      <c r="Q2007" s="16" t="n">
        <f aca="false">MAX(P2007+K2007,Q2006+N2007)</f>
        <v>46489</v>
      </c>
      <c r="R2007" s="12"/>
      <c r="S2007" s="12"/>
    </row>
    <row r="2008" customFormat="false" ht="15" hidden="false" customHeight="false" outlineLevel="0" collapsed="false">
      <c r="A2008" s="15" t="s">
        <v>5696</v>
      </c>
      <c r="B2008" s="15" t="s">
        <v>5697</v>
      </c>
      <c r="C2008" s="15" t="s">
        <v>406</v>
      </c>
      <c r="D2008" s="15" t="s">
        <v>1872</v>
      </c>
      <c r="E2008" s="15" t="s">
        <v>1882</v>
      </c>
      <c r="F2008" s="15" t="s">
        <v>2998</v>
      </c>
      <c r="G2008" s="15" t="s">
        <v>2999</v>
      </c>
      <c r="H2008" s="12"/>
      <c r="I2008" s="12"/>
      <c r="J2008" s="34" t="n">
        <f aca="false">0</f>
        <v>0</v>
      </c>
      <c r="K2008" s="34" t="n">
        <f aca="false">IF(J2008=0,0,ROUNDUP(J2008*7/WD,0))</f>
        <v>0</v>
      </c>
      <c r="L2008" s="12"/>
      <c r="M2008" s="12"/>
      <c r="N2008" s="12"/>
      <c r="O2008" s="15" t="s">
        <v>3000</v>
      </c>
      <c r="P2008" s="16" t="n">
        <f aca="false">MAX(START,D_DLU,Packages!$I$188,Packages!$K$188)</f>
        <v>46357</v>
      </c>
      <c r="Q2008" s="16" t="n">
        <f aca="false">P2008+K2008</f>
        <v>46357</v>
      </c>
      <c r="R2008" s="12"/>
      <c r="S2008" s="12"/>
    </row>
    <row r="2009" customFormat="false" ht="15" hidden="false" customHeight="false" outlineLevel="0" collapsed="false">
      <c r="A2009" s="15" t="s">
        <v>5698</v>
      </c>
      <c r="B2009" s="15" t="s">
        <v>5697</v>
      </c>
      <c r="C2009" s="15" t="s">
        <v>406</v>
      </c>
      <c r="D2009" s="15" t="s">
        <v>1872</v>
      </c>
      <c r="E2009" s="15" t="s">
        <v>1882</v>
      </c>
      <c r="F2009" s="15" t="s">
        <v>3002</v>
      </c>
      <c r="G2009" s="15" t="s">
        <v>205</v>
      </c>
      <c r="H2009" s="33" t="n">
        <f aca="false">Packages!$O$188</f>
        <v>45.2674440291802</v>
      </c>
      <c r="I2009" s="15" t="s">
        <v>118</v>
      </c>
      <c r="J2009" s="34" t="n">
        <f aca="false">MAX(1,ROUNDUP(Packages!$O$188/R_PLAT,0))</f>
        <v>1</v>
      </c>
      <c r="K2009" s="34" t="n">
        <f aca="false">IF(J2009=0,0,ROUNDUP(J2009*7/WD,0))</f>
        <v>2</v>
      </c>
      <c r="L2009" s="15" t="s">
        <v>5696</v>
      </c>
      <c r="M2009" s="12"/>
      <c r="N2009" s="12"/>
      <c r="O2009" s="15" t="s">
        <v>5699</v>
      </c>
      <c r="P2009" s="16" t="n">
        <f aca="false">MAX(Q2008,P1999)</f>
        <v>46365</v>
      </c>
      <c r="Q2009" s="16" t="n">
        <f aca="false">P2009+K2009</f>
        <v>46367</v>
      </c>
      <c r="R2009" s="12"/>
      <c r="S2009" s="12"/>
    </row>
    <row r="2010" customFormat="false" ht="15" hidden="false" customHeight="false" outlineLevel="0" collapsed="false">
      <c r="A2010" s="15" t="s">
        <v>5700</v>
      </c>
      <c r="B2010" s="15" t="s">
        <v>5697</v>
      </c>
      <c r="C2010" s="15" t="s">
        <v>406</v>
      </c>
      <c r="D2010" s="15" t="s">
        <v>1872</v>
      </c>
      <c r="E2010" s="15" t="s">
        <v>1882</v>
      </c>
      <c r="F2010" s="15" t="s">
        <v>3005</v>
      </c>
      <c r="G2010" s="15" t="s">
        <v>3006</v>
      </c>
      <c r="H2010" s="33" t="n">
        <f aca="false">Packages!$AC$188</f>
        <v>34</v>
      </c>
      <c r="I2010" s="15" t="s">
        <v>3007</v>
      </c>
      <c r="J2010" s="34" t="n">
        <f aca="false">IF(Packages!$AC$188=0,0,MAX(1,ROUNDUP(Packages!$AC$188/(R_PILE*Fronts!$H$12),0)))</f>
        <v>4</v>
      </c>
      <c r="K2010" s="34" t="n">
        <f aca="false">IF(J2010=0,0,ROUNDUP(J2010*7/WD,0))</f>
        <v>5</v>
      </c>
      <c r="L2010" s="15" t="s">
        <v>5698</v>
      </c>
      <c r="M2010" s="34" t="n">
        <f aca="false">ROUNDUP(K2009*LADDER,0)</f>
        <v>1</v>
      </c>
      <c r="N2010" s="34" t="n">
        <f aca="false">IF(K2010=0,0,FFLAG)</f>
        <v>2</v>
      </c>
      <c r="O2010" s="15" t="s">
        <v>3008</v>
      </c>
      <c r="P2010" s="16" t="n">
        <f aca="false">MAX(P2009+M2010,D_PILEDES,R1999)</f>
        <v>46371</v>
      </c>
      <c r="Q2010" s="16" t="n">
        <f aca="false">MAX(P2010+K2010,Q2009+N2010)</f>
        <v>46376</v>
      </c>
      <c r="R2010" s="16" t="n">
        <f aca="false">IF(K2010&gt;0,Q2010,R1999)</f>
        <v>46376</v>
      </c>
      <c r="S2010" s="15" t="s">
        <v>5685</v>
      </c>
    </row>
    <row r="2011" customFormat="false" ht="15" hidden="false" customHeight="false" outlineLevel="0" collapsed="false">
      <c r="A2011" s="15" t="s">
        <v>5701</v>
      </c>
      <c r="B2011" s="15" t="s">
        <v>5697</v>
      </c>
      <c r="C2011" s="15" t="s">
        <v>406</v>
      </c>
      <c r="D2011" s="15" t="s">
        <v>1872</v>
      </c>
      <c r="E2011" s="15" t="s">
        <v>1882</v>
      </c>
      <c r="F2011" s="15" t="s">
        <v>3010</v>
      </c>
      <c r="G2011" s="15" t="s">
        <v>3011</v>
      </c>
      <c r="H2011" s="33" t="n">
        <f aca="false">Packages!$AD$188</f>
        <v>80.0000000007904</v>
      </c>
      <c r="I2011" s="15" t="s">
        <v>3012</v>
      </c>
      <c r="J2011" s="34" t="n">
        <f aca="false">IF(Packages!$AD$188=0,0,MAX(1,ROUNDUP(Packages!$AD$188/(R_SHEET*Fronts!$I$12),0)))</f>
        <v>2</v>
      </c>
      <c r="K2011" s="34" t="n">
        <f aca="false">IF(J2011=0,0,ROUNDUP(J2011*7/WD,0))</f>
        <v>3</v>
      </c>
      <c r="L2011" s="15" t="s">
        <v>5700</v>
      </c>
      <c r="M2011" s="34" t="n">
        <f aca="false">ROUNDUP(K2010*LADDER,0)</f>
        <v>2</v>
      </c>
      <c r="N2011" s="34" t="n">
        <f aca="false">IF(K2011=0,0,FFLAG)</f>
        <v>2</v>
      </c>
      <c r="O2011" s="15"/>
      <c r="P2011" s="16" t="n">
        <f aca="false">MAX(P2010+M2011,R2000)</f>
        <v>46373</v>
      </c>
      <c r="Q2011" s="16" t="n">
        <f aca="false">MAX(P2011+K2011,Q2010+N2011)</f>
        <v>46378</v>
      </c>
      <c r="R2011" s="16" t="n">
        <f aca="false">IF(K2011&gt;0,Q2011,R2000)</f>
        <v>46378</v>
      </c>
      <c r="S2011" s="15" t="s">
        <v>5686</v>
      </c>
    </row>
    <row r="2012" customFormat="false" ht="15" hidden="false" customHeight="false" outlineLevel="0" collapsed="false">
      <c r="A2012" s="15" t="s">
        <v>5702</v>
      </c>
      <c r="B2012" s="15" t="s">
        <v>5697</v>
      </c>
      <c r="C2012" s="15" t="s">
        <v>406</v>
      </c>
      <c r="D2012" s="15" t="s">
        <v>1872</v>
      </c>
      <c r="E2012" s="15" t="s">
        <v>1882</v>
      </c>
      <c r="F2012" s="15" t="s">
        <v>3014</v>
      </c>
      <c r="G2012" s="15" t="s">
        <v>3015</v>
      </c>
      <c r="H2012" s="33" t="n">
        <f aca="false">Packages!$O$188</f>
        <v>45.2674440291802</v>
      </c>
      <c r="I2012" s="15" t="s">
        <v>118</v>
      </c>
      <c r="J2012" s="34" t="n">
        <f aca="false">IF(Packages!$AG$188=0,0,ROUNDUP(Packages!$O$188/R_DW,0)+DW_DRAW)</f>
        <v>9</v>
      </c>
      <c r="K2012" s="34" t="n">
        <f aca="false">IF(J2012=0,0,ROUNDUP(J2012*7/WD,0))</f>
        <v>11</v>
      </c>
      <c r="L2012" s="15" t="s">
        <v>5701</v>
      </c>
      <c r="M2012" s="34" t="n">
        <f aca="false">ROUNDUP(K2011*LADDER,0)</f>
        <v>1</v>
      </c>
      <c r="N2012" s="34" t="n">
        <f aca="false">IF(K2012=0,0,FFLAG)</f>
        <v>2</v>
      </c>
      <c r="O2012" s="15" t="s">
        <v>5703</v>
      </c>
      <c r="P2012" s="16" t="n">
        <f aca="false">MAX(P2011+M2012,Q2002-K2012)</f>
        <v>46374</v>
      </c>
      <c r="Q2012" s="16" t="n">
        <f aca="false">MAX(P2012+K2012,Q2011+N2012)</f>
        <v>46385</v>
      </c>
      <c r="R2012" s="12"/>
      <c r="S2012" s="12"/>
    </row>
    <row r="2013" customFormat="false" ht="15" hidden="false" customHeight="false" outlineLevel="0" collapsed="false">
      <c r="A2013" s="15" t="s">
        <v>5704</v>
      </c>
      <c r="B2013" s="15" t="s">
        <v>5697</v>
      </c>
      <c r="C2013" s="15" t="s">
        <v>406</v>
      </c>
      <c r="D2013" s="15" t="s">
        <v>1872</v>
      </c>
      <c r="E2013" s="15" t="s">
        <v>1882</v>
      </c>
      <c r="F2013" s="15" t="s">
        <v>3017</v>
      </c>
      <c r="G2013" s="15" t="s">
        <v>3018</v>
      </c>
      <c r="H2013" s="33" t="n">
        <f aca="false">Packages!$X$188+Packages!$Y$188</f>
        <v>782.365022160116</v>
      </c>
      <c r="I2013" s="15" t="s">
        <v>3019</v>
      </c>
      <c r="J2013" s="34" t="n">
        <f aca="false">MAX(1,ROUNDUP((Packages!$X$188/R_EXS+Packages!$Y$188/R_EXO)/Fronts!$J$12,0))</f>
        <v>2</v>
      </c>
      <c r="K2013" s="34" t="n">
        <f aca="false">IF(J2013=0,0,ROUNDUP(J2013*7/WD,0))</f>
        <v>3</v>
      </c>
      <c r="L2013" s="15" t="s">
        <v>5702</v>
      </c>
      <c r="M2013" s="34" t="n">
        <f aca="false">IF(K2012=0,0,ROUNDUP((K2012-ROUNDUP(DW_DRAW*7/WD,0))*LADDER,0)+ROUNDUP(DW_DRAW*7/WD,0))</f>
        <v>10</v>
      </c>
      <c r="N2013" s="34" t="n">
        <f aca="false">IF(K2013=0,0,FFLAG)</f>
        <v>2</v>
      </c>
      <c r="O2013" s="15" t="s">
        <v>5705</v>
      </c>
      <c r="P2013" s="16" t="n">
        <f aca="false">MAX(P2012+M2013,R2002,Q1973,P2002,P1980)</f>
        <v>46395</v>
      </c>
      <c r="Q2013" s="16" t="n">
        <f aca="false">MAX(P2013+K2013,Q2012+N2013)</f>
        <v>46398</v>
      </c>
      <c r="R2013" s="16" t="n">
        <f aca="false">IF(K2013&gt;0,Q2013,R2002)</f>
        <v>46398</v>
      </c>
      <c r="S2013" s="15" t="s">
        <v>5689</v>
      </c>
    </row>
    <row r="2014" customFormat="false" ht="15" hidden="false" customHeight="false" outlineLevel="0" collapsed="false">
      <c r="A2014" s="15" t="s">
        <v>5706</v>
      </c>
      <c r="B2014" s="15" t="s">
        <v>5697</v>
      </c>
      <c r="C2014" s="15" t="s">
        <v>406</v>
      </c>
      <c r="D2014" s="15" t="s">
        <v>1872</v>
      </c>
      <c r="E2014" s="15" t="s">
        <v>1882</v>
      </c>
      <c r="F2014" s="15" t="s">
        <v>3022</v>
      </c>
      <c r="G2014" s="15" t="s">
        <v>3023</v>
      </c>
      <c r="H2014" s="33" t="n">
        <f aca="false">Packages!$O$188</f>
        <v>45.2674440291802</v>
      </c>
      <c r="I2014" s="15" t="s">
        <v>118</v>
      </c>
      <c r="J2014" s="34" t="n">
        <f aca="false">MAX(1,ROUNDUP(Packages!$O$188/(R_SLAB*Fronts!$K$12),0))+SLAB_CURE</f>
        <v>5</v>
      </c>
      <c r="K2014" s="34" t="n">
        <f aca="false">IF(J2014=0,0,ROUNDUP(J2014*7/WD,0))</f>
        <v>6</v>
      </c>
      <c r="L2014" s="15" t="s">
        <v>5704</v>
      </c>
      <c r="M2014" s="34" t="n">
        <f aca="false">ROUNDUP(K2013*LADDER,0)</f>
        <v>1</v>
      </c>
      <c r="N2014" s="34" t="n">
        <f aca="false">IF(K2014=0,0,FFLAG)</f>
        <v>2</v>
      </c>
      <c r="O2014" s="15"/>
      <c r="P2014" s="16" t="n">
        <f aca="false">MAX(P2013+M2014,R2003)</f>
        <v>46396</v>
      </c>
      <c r="Q2014" s="16" t="n">
        <f aca="false">MAX(P2014+K2014,Q2013+N2014)</f>
        <v>46402</v>
      </c>
      <c r="R2014" s="16" t="n">
        <f aca="false">IF(K2014&gt;0,Q2014,R2003)</f>
        <v>46402</v>
      </c>
      <c r="S2014" s="15" t="s">
        <v>5690</v>
      </c>
    </row>
    <row r="2015" customFormat="false" ht="15" hidden="false" customHeight="false" outlineLevel="0" collapsed="false">
      <c r="A2015" s="15" t="s">
        <v>5707</v>
      </c>
      <c r="B2015" s="15" t="s">
        <v>5697</v>
      </c>
      <c r="C2015" s="15" t="s">
        <v>406</v>
      </c>
      <c r="D2015" s="15" t="s">
        <v>1872</v>
      </c>
      <c r="E2015" s="15" t="s">
        <v>1882</v>
      </c>
      <c r="F2015" s="15" t="s">
        <v>3025</v>
      </c>
      <c r="G2015" s="15" t="s">
        <v>3026</v>
      </c>
      <c r="H2015" s="33" t="n">
        <f aca="false">Packages!$O$188</f>
        <v>45.2674440291802</v>
      </c>
      <c r="I2015" s="15" t="s">
        <v>118</v>
      </c>
      <c r="J2015" s="34" t="n">
        <f aca="false">MAX(1,ROUNDUP(Packages!$O$188/(IF(Packages!$N$188&gt;=PIPE_T1,R_PIPE_L,IF(Packages!$N$188&gt;=PIPE_T2,R_PIPE_M,R_PIPE_S))*Fronts!$L$12)+Packages!$M$188*FIT_D+IF(Packages!$G$188&lt;&gt;"Run",TIE_D,0),0))</f>
        <v>3</v>
      </c>
      <c r="K2015" s="34" t="n">
        <f aca="false">IF(J2015=0,0,ROUNDUP(J2015*7/WD,0))</f>
        <v>4</v>
      </c>
      <c r="L2015" s="15" t="s">
        <v>5706</v>
      </c>
      <c r="M2015" s="34" t="n">
        <f aca="false">ROUNDUP(K2014*LADDER,0)</f>
        <v>2</v>
      </c>
      <c r="N2015" s="34" t="n">
        <f aca="false">IF(K2015=0,0,FFLAG)</f>
        <v>2</v>
      </c>
      <c r="O2015" s="15"/>
      <c r="P2015" s="16" t="n">
        <f aca="false">MAX(P2014+M2015,R2004)</f>
        <v>46398</v>
      </c>
      <c r="Q2015" s="16" t="n">
        <f aca="false">MAX(P2015+K2015,Q2014+N2015)</f>
        <v>46404</v>
      </c>
      <c r="R2015" s="16" t="n">
        <f aca="false">IF(K2015&gt;0,Q2015,R2004)</f>
        <v>46404</v>
      </c>
      <c r="S2015" s="15" t="s">
        <v>5691</v>
      </c>
    </row>
    <row r="2016" customFormat="false" ht="15" hidden="false" customHeight="false" outlineLevel="0" collapsed="false">
      <c r="A2016" s="15" t="s">
        <v>5708</v>
      </c>
      <c r="B2016" s="15" t="s">
        <v>5697</v>
      </c>
      <c r="C2016" s="15" t="s">
        <v>406</v>
      </c>
      <c r="D2016" s="15" t="s">
        <v>1872</v>
      </c>
      <c r="E2016" s="15" t="s">
        <v>1882</v>
      </c>
      <c r="F2016" s="15" t="s">
        <v>3028</v>
      </c>
      <c r="G2016" s="15" t="s">
        <v>3029</v>
      </c>
      <c r="H2016" s="33" t="n">
        <f aca="false">Packages!$O$188</f>
        <v>45.2674440291802</v>
      </c>
      <c r="I2016" s="15" t="s">
        <v>118</v>
      </c>
      <c r="J2016" s="34" t="n">
        <f aca="false">TEST_D+ROUNDUP(Packages!$O$188/R_TEST,0)</f>
        <v>3</v>
      </c>
      <c r="K2016" s="34" t="n">
        <f aca="false">IF(J2016=0,0,ROUNDUP(J2016*7/WD,0))</f>
        <v>4</v>
      </c>
      <c r="L2016" s="15" t="s">
        <v>5707</v>
      </c>
      <c r="M2016" s="34" t="n">
        <f aca="false">ROUNDUP(K2015*LADDER,0)</f>
        <v>2</v>
      </c>
      <c r="N2016" s="34" t="n">
        <f aca="false">IF(K2016=0,0,FFLAG)</f>
        <v>2</v>
      </c>
      <c r="O2016" s="15"/>
      <c r="P2016" s="16" t="n">
        <f aca="false">MAX(P2015+M2016)</f>
        <v>46400</v>
      </c>
      <c r="Q2016" s="16" t="n">
        <f aca="false">MAX(P2016+K2016,Q2015+N2016)</f>
        <v>46406</v>
      </c>
      <c r="R2016" s="12"/>
      <c r="S2016" s="12"/>
    </row>
    <row r="2017" customFormat="false" ht="15" hidden="false" customHeight="false" outlineLevel="0" collapsed="false">
      <c r="A2017" s="15" t="s">
        <v>5709</v>
      </c>
      <c r="B2017" s="15" t="s">
        <v>5697</v>
      </c>
      <c r="C2017" s="15" t="s">
        <v>406</v>
      </c>
      <c r="D2017" s="15" t="s">
        <v>1872</v>
      </c>
      <c r="E2017" s="15" t="s">
        <v>1882</v>
      </c>
      <c r="F2017" s="15" t="s">
        <v>3031</v>
      </c>
      <c r="G2017" s="15" t="s">
        <v>3032</v>
      </c>
      <c r="H2017" s="33" t="n">
        <f aca="false">Packages!$AB$188</f>
        <v>523.973101070541</v>
      </c>
      <c r="I2017" s="15" t="s">
        <v>3019</v>
      </c>
      <c r="J2017" s="34" t="n">
        <f aca="false">MAX(1,ROUNDUP(Packages!$AB$188/(R_BF*Fronts!$M$12),0))</f>
        <v>1</v>
      </c>
      <c r="K2017" s="34" t="n">
        <f aca="false">IF(J2017=0,0,ROUNDUP(J2017*7/WD,0))</f>
        <v>2</v>
      </c>
      <c r="L2017" s="15" t="s">
        <v>5708</v>
      </c>
      <c r="M2017" s="34" t="n">
        <f aca="false">ROUNDUP(K2016*LADDER,0)</f>
        <v>2</v>
      </c>
      <c r="N2017" s="34" t="n">
        <f aca="false">IF(K2017=0,0,FFLAG)</f>
        <v>2</v>
      </c>
      <c r="O2017" s="15" t="s">
        <v>5710</v>
      </c>
      <c r="P2017" s="16" t="n">
        <f aca="false">MAX(P2016+M2017,R2006,Q2004,Q1982,Q2191,Q2147)</f>
        <v>46515</v>
      </c>
      <c r="Q2017" s="16" t="n">
        <f aca="false">MAX(P2017+K2017,Q2016+N2017)</f>
        <v>46517</v>
      </c>
      <c r="R2017" s="16" t="n">
        <f aca="false">IF(K2017&gt;0,Q2017,R2006)</f>
        <v>46517</v>
      </c>
      <c r="S2017" s="15" t="s">
        <v>5693</v>
      </c>
    </row>
    <row r="2018" customFormat="false" ht="15" hidden="false" customHeight="false" outlineLevel="0" collapsed="false">
      <c r="A2018" s="15" t="s">
        <v>5711</v>
      </c>
      <c r="B2018" s="15" t="s">
        <v>5697</v>
      </c>
      <c r="C2018" s="15" t="s">
        <v>406</v>
      </c>
      <c r="D2018" s="15" t="s">
        <v>1872</v>
      </c>
      <c r="E2018" s="15" t="s">
        <v>1882</v>
      </c>
      <c r="F2018" s="15" t="s">
        <v>3034</v>
      </c>
      <c r="G2018" s="15" t="s">
        <v>3035</v>
      </c>
      <c r="H2018" s="33" t="n">
        <f aca="false">Packages!$AD$188</f>
        <v>80.0000000007904</v>
      </c>
      <c r="I2018" s="15" t="s">
        <v>3012</v>
      </c>
      <c r="J2018" s="34" t="n">
        <f aca="false">IF(Packages!$AD$188&gt;0,ROUNDUP(Packages!$AD$188/R_EXT,0),0)+IF(Packages!$AG$188&gt;0,1,0)</f>
        <v>3</v>
      </c>
      <c r="K2018" s="34" t="n">
        <f aca="false">IF(J2018=0,0,ROUNDUP(J2018*7/WD,0))</f>
        <v>4</v>
      </c>
      <c r="L2018" s="15" t="s">
        <v>5709</v>
      </c>
      <c r="M2018" s="34" t="n">
        <f aca="false">ROUNDUP(K2017*LADDER,0)</f>
        <v>1</v>
      </c>
      <c r="N2018" s="34" t="n">
        <f aca="false">IF(K2018=0,0,FFLAG)</f>
        <v>2</v>
      </c>
      <c r="O2018" s="15"/>
      <c r="P2018" s="16" t="n">
        <f aca="false">MAX(P2017+M2018)</f>
        <v>46516</v>
      </c>
      <c r="Q2018" s="16" t="n">
        <f aca="false">MAX(P2018+K2018,Q2017+N2018)</f>
        <v>46520</v>
      </c>
      <c r="R2018" s="12"/>
      <c r="S2018" s="12"/>
    </row>
    <row r="2019" customFormat="false" ht="15" hidden="false" customHeight="false" outlineLevel="0" collapsed="false">
      <c r="A2019" s="15" t="s">
        <v>5712</v>
      </c>
      <c r="B2019" s="15" t="s">
        <v>5713</v>
      </c>
      <c r="C2019" s="15" t="s">
        <v>406</v>
      </c>
      <c r="D2019" s="15" t="s">
        <v>1996</v>
      </c>
      <c r="E2019" s="15" t="s">
        <v>2010</v>
      </c>
      <c r="F2019" s="15" t="s">
        <v>2998</v>
      </c>
      <c r="G2019" s="15" t="s">
        <v>2999</v>
      </c>
      <c r="H2019" s="12"/>
      <c r="I2019" s="12"/>
      <c r="J2019" s="34" t="n">
        <f aca="false">0</f>
        <v>0</v>
      </c>
      <c r="K2019" s="34" t="n">
        <f aca="false">IF(J2019=0,0,ROUNDUP(J2019*7/WD,0))</f>
        <v>0</v>
      </c>
      <c r="L2019" s="12"/>
      <c r="M2019" s="12"/>
      <c r="N2019" s="12"/>
      <c r="O2019" s="15" t="s">
        <v>3000</v>
      </c>
      <c r="P2019" s="16" t="n">
        <f aca="false">MAX(START,D_DLU,Packages!$I$189,Packages!$K$189)</f>
        <v>46357</v>
      </c>
      <c r="Q2019" s="16" t="n">
        <f aca="false">P2019+K2019</f>
        <v>46357</v>
      </c>
      <c r="R2019" s="12"/>
      <c r="S2019" s="12"/>
    </row>
    <row r="2020" customFormat="false" ht="15" hidden="false" customHeight="false" outlineLevel="0" collapsed="false">
      <c r="A2020" s="15" t="s">
        <v>5714</v>
      </c>
      <c r="B2020" s="15" t="s">
        <v>5713</v>
      </c>
      <c r="C2020" s="15" t="s">
        <v>406</v>
      </c>
      <c r="D2020" s="15" t="s">
        <v>1996</v>
      </c>
      <c r="E2020" s="15" t="s">
        <v>2010</v>
      </c>
      <c r="F2020" s="15" t="s">
        <v>3002</v>
      </c>
      <c r="G2020" s="15" t="s">
        <v>205</v>
      </c>
      <c r="H2020" s="33" t="n">
        <f aca="false">Packages!$O$189</f>
        <v>82.2204456512704</v>
      </c>
      <c r="I2020" s="15" t="s">
        <v>118</v>
      </c>
      <c r="J2020" s="34" t="n">
        <f aca="false">MAX(1,ROUNDUP(Packages!$O$189/R_PLAT,0))</f>
        <v>2</v>
      </c>
      <c r="K2020" s="34" t="n">
        <f aca="false">IF(J2020=0,0,ROUNDUP(J2020*7/WD,0))</f>
        <v>3</v>
      </c>
      <c r="L2020" s="15" t="s">
        <v>5712</v>
      </c>
      <c r="M2020" s="12"/>
      <c r="N2020" s="12"/>
      <c r="O2020" s="15" t="s">
        <v>5715</v>
      </c>
      <c r="P2020" s="16" t="n">
        <f aca="false">MAX(Q2019,P2010)</f>
        <v>46371</v>
      </c>
      <c r="Q2020" s="16" t="n">
        <f aca="false">P2020+K2020</f>
        <v>46374</v>
      </c>
      <c r="R2020" s="12"/>
      <c r="S2020" s="12"/>
    </row>
    <row r="2021" customFormat="false" ht="15" hidden="false" customHeight="false" outlineLevel="0" collapsed="false">
      <c r="A2021" s="15" t="s">
        <v>5716</v>
      </c>
      <c r="B2021" s="15" t="s">
        <v>5713</v>
      </c>
      <c r="C2021" s="15" t="s">
        <v>406</v>
      </c>
      <c r="D2021" s="15" t="s">
        <v>1996</v>
      </c>
      <c r="E2021" s="15" t="s">
        <v>2010</v>
      </c>
      <c r="F2021" s="15" t="s">
        <v>3005</v>
      </c>
      <c r="G2021" s="15" t="s">
        <v>3006</v>
      </c>
      <c r="H2021" s="33" t="n">
        <f aca="false">Packages!$AC$189</f>
        <v>58</v>
      </c>
      <c r="I2021" s="15" t="s">
        <v>3007</v>
      </c>
      <c r="J2021" s="34" t="n">
        <f aca="false">IF(Packages!$AC$189=0,0,MAX(1,ROUNDUP(Packages!$AC$189/(R_PILE*Fronts!$H$12),0)))</f>
        <v>6</v>
      </c>
      <c r="K2021" s="34" t="n">
        <f aca="false">IF(J2021=0,0,ROUNDUP(J2021*7/WD,0))</f>
        <v>7</v>
      </c>
      <c r="L2021" s="15" t="s">
        <v>5714</v>
      </c>
      <c r="M2021" s="34" t="n">
        <f aca="false">ROUNDUP(K2020*LADDER,0)</f>
        <v>1</v>
      </c>
      <c r="N2021" s="34" t="n">
        <f aca="false">IF(K2021=0,0,FFLAG)</f>
        <v>2</v>
      </c>
      <c r="O2021" s="15" t="s">
        <v>3008</v>
      </c>
      <c r="P2021" s="16" t="n">
        <f aca="false">MAX(P2020+M2021,D_PILEDES,R2010)</f>
        <v>46376</v>
      </c>
      <c r="Q2021" s="16" t="n">
        <f aca="false">MAX(P2021+K2021,Q2020+N2021)</f>
        <v>46383</v>
      </c>
      <c r="R2021" s="16" t="n">
        <f aca="false">IF(K2021&gt;0,Q2021,R2010)</f>
        <v>46383</v>
      </c>
      <c r="S2021" s="15" t="s">
        <v>5700</v>
      </c>
    </row>
    <row r="2022" customFormat="false" ht="15" hidden="false" customHeight="false" outlineLevel="0" collapsed="false">
      <c r="A2022" s="15" t="s">
        <v>5717</v>
      </c>
      <c r="B2022" s="15" t="s">
        <v>5713</v>
      </c>
      <c r="C2022" s="15" t="s">
        <v>406</v>
      </c>
      <c r="D2022" s="15" t="s">
        <v>1996</v>
      </c>
      <c r="E2022" s="15" t="s">
        <v>2010</v>
      </c>
      <c r="F2022" s="15" t="s">
        <v>3010</v>
      </c>
      <c r="G2022" s="15" t="s">
        <v>3011</v>
      </c>
      <c r="H2022" s="33" t="n">
        <f aca="false">Packages!$AD$189</f>
        <v>164.440891302541</v>
      </c>
      <c r="I2022" s="15" t="s">
        <v>3012</v>
      </c>
      <c r="J2022" s="34" t="n">
        <f aca="false">IF(Packages!$AD$189=0,0,MAX(1,ROUNDUP(Packages!$AD$189/(R_SHEET*Fronts!$I$12),0)))</f>
        <v>4</v>
      </c>
      <c r="K2022" s="34" t="n">
        <f aca="false">IF(J2022=0,0,ROUNDUP(J2022*7/WD,0))</f>
        <v>5</v>
      </c>
      <c r="L2022" s="15" t="s">
        <v>5716</v>
      </c>
      <c r="M2022" s="34" t="n">
        <f aca="false">ROUNDUP(K2021*LADDER,0)</f>
        <v>3</v>
      </c>
      <c r="N2022" s="34" t="n">
        <f aca="false">IF(K2022=0,0,FFLAG)</f>
        <v>2</v>
      </c>
      <c r="O2022" s="15"/>
      <c r="P2022" s="16" t="n">
        <f aca="false">MAX(P2021+M2022,R2011)</f>
        <v>46379</v>
      </c>
      <c r="Q2022" s="16" t="n">
        <f aca="false">MAX(P2022+K2022,Q2021+N2022)</f>
        <v>46385</v>
      </c>
      <c r="R2022" s="16" t="n">
        <f aca="false">IF(K2022&gt;0,Q2022,R2011)</f>
        <v>46385</v>
      </c>
      <c r="S2022" s="15" t="s">
        <v>5701</v>
      </c>
    </row>
    <row r="2023" customFormat="false" ht="15" hidden="false" customHeight="false" outlineLevel="0" collapsed="false">
      <c r="A2023" s="15" t="s">
        <v>5718</v>
      </c>
      <c r="B2023" s="15" t="s">
        <v>5713</v>
      </c>
      <c r="C2023" s="15" t="s">
        <v>406</v>
      </c>
      <c r="D2023" s="15" t="s">
        <v>1996</v>
      </c>
      <c r="E2023" s="15" t="s">
        <v>2010</v>
      </c>
      <c r="F2023" s="15" t="s">
        <v>3014</v>
      </c>
      <c r="G2023" s="15" t="s">
        <v>3015</v>
      </c>
      <c r="H2023" s="33" t="n">
        <f aca="false">Packages!$O$189</f>
        <v>82.2204456512704</v>
      </c>
      <c r="I2023" s="15" t="s">
        <v>118</v>
      </c>
      <c r="J2023" s="34" t="n">
        <f aca="false">IF(Packages!$AG$189=0,0,ROUNDUP(Packages!$O$189/R_DW,0)+DW_DRAW)</f>
        <v>10</v>
      </c>
      <c r="K2023" s="34" t="n">
        <f aca="false">IF(J2023=0,0,ROUNDUP(J2023*7/WD,0))</f>
        <v>12</v>
      </c>
      <c r="L2023" s="15" t="s">
        <v>5717</v>
      </c>
      <c r="M2023" s="34" t="n">
        <f aca="false">ROUNDUP(K2022*LADDER,0)</f>
        <v>2</v>
      </c>
      <c r="N2023" s="34" t="n">
        <f aca="false">IF(K2023=0,0,FFLAG)</f>
        <v>2</v>
      </c>
      <c r="O2023" s="15" t="s">
        <v>5719</v>
      </c>
      <c r="P2023" s="16" t="n">
        <f aca="false">MAX(P2022+M2023,Q2013-K2023)</f>
        <v>46386</v>
      </c>
      <c r="Q2023" s="16" t="n">
        <f aca="false">MAX(P2023+K2023,Q2022+N2023)</f>
        <v>46398</v>
      </c>
      <c r="R2023" s="12"/>
      <c r="S2023" s="12"/>
    </row>
    <row r="2024" customFormat="false" ht="15" hidden="false" customHeight="false" outlineLevel="0" collapsed="false">
      <c r="A2024" s="15" t="s">
        <v>5720</v>
      </c>
      <c r="B2024" s="15" t="s">
        <v>5713</v>
      </c>
      <c r="C2024" s="15" t="s">
        <v>406</v>
      </c>
      <c r="D2024" s="15" t="s">
        <v>1996</v>
      </c>
      <c r="E2024" s="15" t="s">
        <v>2010</v>
      </c>
      <c r="F2024" s="15" t="s">
        <v>3017</v>
      </c>
      <c r="G2024" s="15" t="s">
        <v>3018</v>
      </c>
      <c r="H2024" s="33" t="n">
        <f aca="false">Packages!$X$189+Packages!$Y$189</f>
        <v>1202.99040597312</v>
      </c>
      <c r="I2024" s="15" t="s">
        <v>3019</v>
      </c>
      <c r="J2024" s="34" t="n">
        <f aca="false">MAX(1,ROUNDUP((Packages!$X$189/R_EXS+Packages!$Y$189/R_EXO)/Fronts!$J$12,0))</f>
        <v>3</v>
      </c>
      <c r="K2024" s="34" t="n">
        <f aca="false">IF(J2024=0,0,ROUNDUP(J2024*7/WD,0))</f>
        <v>4</v>
      </c>
      <c r="L2024" s="15" t="s">
        <v>5718</v>
      </c>
      <c r="M2024" s="34" t="n">
        <f aca="false">IF(K2023=0,0,ROUNDUP((K2023-ROUNDUP(DW_DRAW*7/WD,0))*LADDER,0)+ROUNDUP(DW_DRAW*7/WD,0))</f>
        <v>10</v>
      </c>
      <c r="N2024" s="34" t="n">
        <f aca="false">IF(K2024=0,0,FFLAG)</f>
        <v>2</v>
      </c>
      <c r="O2024" s="15"/>
      <c r="P2024" s="16" t="n">
        <f aca="false">MAX(P2023+M2024,R2013)</f>
        <v>46398</v>
      </c>
      <c r="Q2024" s="16" t="n">
        <f aca="false">MAX(P2024+K2024,Q2023+N2024)</f>
        <v>46402</v>
      </c>
      <c r="R2024" s="16" t="n">
        <f aca="false">IF(K2024&gt;0,Q2024,R2013)</f>
        <v>46402</v>
      </c>
      <c r="S2024" s="15" t="s">
        <v>5704</v>
      </c>
    </row>
    <row r="2025" customFormat="false" ht="15" hidden="false" customHeight="false" outlineLevel="0" collapsed="false">
      <c r="A2025" s="15" t="s">
        <v>5721</v>
      </c>
      <c r="B2025" s="15" t="s">
        <v>5713</v>
      </c>
      <c r="C2025" s="15" t="s">
        <v>406</v>
      </c>
      <c r="D2025" s="15" t="s">
        <v>1996</v>
      </c>
      <c r="E2025" s="15" t="s">
        <v>2010</v>
      </c>
      <c r="F2025" s="15" t="s">
        <v>3022</v>
      </c>
      <c r="G2025" s="15" t="s">
        <v>3023</v>
      </c>
      <c r="H2025" s="33" t="n">
        <f aca="false">Packages!$O$189</f>
        <v>82.2204456512704</v>
      </c>
      <c r="I2025" s="15" t="s">
        <v>118</v>
      </c>
      <c r="J2025" s="34" t="n">
        <f aca="false">MAX(1,ROUNDUP(Packages!$O$189/(R_SLAB*Fronts!$K$12),0))+SLAB_CURE</f>
        <v>7</v>
      </c>
      <c r="K2025" s="34" t="n">
        <f aca="false">IF(J2025=0,0,ROUNDUP(J2025*7/WD,0))</f>
        <v>9</v>
      </c>
      <c r="L2025" s="15" t="s">
        <v>5720</v>
      </c>
      <c r="M2025" s="34" t="n">
        <f aca="false">ROUNDUP(K2024*LADDER,0)</f>
        <v>2</v>
      </c>
      <c r="N2025" s="34" t="n">
        <f aca="false">IF(K2025=0,0,FFLAG)</f>
        <v>2</v>
      </c>
      <c r="O2025" s="15"/>
      <c r="P2025" s="16" t="n">
        <f aca="false">MAX(P2024+M2025,R2014)</f>
        <v>46402</v>
      </c>
      <c r="Q2025" s="16" t="n">
        <f aca="false">MAX(P2025+K2025,Q2024+N2025)</f>
        <v>46411</v>
      </c>
      <c r="R2025" s="16" t="n">
        <f aca="false">IF(K2025&gt;0,Q2025,R2014)</f>
        <v>46411</v>
      </c>
      <c r="S2025" s="15" t="s">
        <v>5706</v>
      </c>
    </row>
    <row r="2026" customFormat="false" ht="15" hidden="false" customHeight="false" outlineLevel="0" collapsed="false">
      <c r="A2026" s="15" t="s">
        <v>5722</v>
      </c>
      <c r="B2026" s="15" t="s">
        <v>5713</v>
      </c>
      <c r="C2026" s="15" t="s">
        <v>406</v>
      </c>
      <c r="D2026" s="15" t="s">
        <v>1996</v>
      </c>
      <c r="E2026" s="15" t="s">
        <v>2010</v>
      </c>
      <c r="F2026" s="15" t="s">
        <v>3025</v>
      </c>
      <c r="G2026" s="15" t="s">
        <v>3026</v>
      </c>
      <c r="H2026" s="33" t="n">
        <f aca="false">Packages!$O$189</f>
        <v>82.2204456512704</v>
      </c>
      <c r="I2026" s="15" t="s">
        <v>118</v>
      </c>
      <c r="J2026" s="34" t="n">
        <f aca="false">MAX(1,ROUNDUP(Packages!$O$189/(IF(Packages!$N$189&gt;=PIPE_T1,R_PIPE_L,IF(Packages!$N$189&gt;=PIPE_T2,R_PIPE_M,R_PIPE_S))*Fronts!$L$12)+Packages!$M$189*FIT_D+IF(Packages!$G$189&lt;&gt;"Run",TIE_D,0),0))</f>
        <v>5</v>
      </c>
      <c r="K2026" s="34" t="n">
        <f aca="false">IF(J2026=0,0,ROUNDUP(J2026*7/WD,0))</f>
        <v>6</v>
      </c>
      <c r="L2026" s="15" t="s">
        <v>5721</v>
      </c>
      <c r="M2026" s="34" t="n">
        <f aca="false">ROUNDUP(K2025*LADDER,0)</f>
        <v>3</v>
      </c>
      <c r="N2026" s="34" t="n">
        <f aca="false">IF(K2026=0,0,FFLAG)</f>
        <v>2</v>
      </c>
      <c r="O2026" s="15"/>
      <c r="P2026" s="16" t="n">
        <f aca="false">MAX(P2025+M2026,R2015)</f>
        <v>46405</v>
      </c>
      <c r="Q2026" s="16" t="n">
        <f aca="false">MAX(P2026+K2026,Q2025+N2026)</f>
        <v>46413</v>
      </c>
      <c r="R2026" s="16" t="n">
        <f aca="false">IF(K2026&gt;0,Q2026,R2015)</f>
        <v>46413</v>
      </c>
      <c r="S2026" s="15" t="s">
        <v>5707</v>
      </c>
    </row>
    <row r="2027" customFormat="false" ht="15" hidden="false" customHeight="false" outlineLevel="0" collapsed="false">
      <c r="A2027" s="15" t="s">
        <v>5723</v>
      </c>
      <c r="B2027" s="15" t="s">
        <v>5713</v>
      </c>
      <c r="C2027" s="15" t="s">
        <v>406</v>
      </c>
      <c r="D2027" s="15" t="s">
        <v>1996</v>
      </c>
      <c r="E2027" s="15" t="s">
        <v>2010</v>
      </c>
      <c r="F2027" s="15" t="s">
        <v>3028</v>
      </c>
      <c r="G2027" s="15" t="s">
        <v>3029</v>
      </c>
      <c r="H2027" s="33" t="n">
        <f aca="false">Packages!$O$189</f>
        <v>82.2204456512704</v>
      </c>
      <c r="I2027" s="15" t="s">
        <v>118</v>
      </c>
      <c r="J2027" s="34" t="n">
        <f aca="false">TEST_D+ROUNDUP(Packages!$O$189/R_TEST,0)</f>
        <v>3</v>
      </c>
      <c r="K2027" s="34" t="n">
        <f aca="false">IF(J2027=0,0,ROUNDUP(J2027*7/WD,0))</f>
        <v>4</v>
      </c>
      <c r="L2027" s="15" t="s">
        <v>5722</v>
      </c>
      <c r="M2027" s="34" t="n">
        <f aca="false">ROUNDUP(K2026*LADDER,0)</f>
        <v>2</v>
      </c>
      <c r="N2027" s="34" t="n">
        <f aca="false">IF(K2027=0,0,FFLAG)</f>
        <v>2</v>
      </c>
      <c r="O2027" s="15"/>
      <c r="P2027" s="16" t="n">
        <f aca="false">MAX(P2026+M2027)</f>
        <v>46407</v>
      </c>
      <c r="Q2027" s="16" t="n">
        <f aca="false">MAX(P2027+K2027,Q2026+N2027)</f>
        <v>46415</v>
      </c>
      <c r="R2027" s="12"/>
      <c r="S2027" s="12"/>
    </row>
    <row r="2028" customFormat="false" ht="15" hidden="false" customHeight="false" outlineLevel="0" collapsed="false">
      <c r="A2028" s="15" t="s">
        <v>5724</v>
      </c>
      <c r="B2028" s="15" t="s">
        <v>5713</v>
      </c>
      <c r="C2028" s="15" t="s">
        <v>406</v>
      </c>
      <c r="D2028" s="15" t="s">
        <v>1996</v>
      </c>
      <c r="E2028" s="15" t="s">
        <v>2010</v>
      </c>
      <c r="F2028" s="15" t="s">
        <v>3031</v>
      </c>
      <c r="G2028" s="15" t="s">
        <v>3032</v>
      </c>
      <c r="H2028" s="33" t="n">
        <f aca="false">Packages!$AB$189</f>
        <v>862.524444837497</v>
      </c>
      <c r="I2028" s="15" t="s">
        <v>3019</v>
      </c>
      <c r="J2028" s="34" t="n">
        <f aca="false">MAX(1,ROUNDUP(Packages!$AB$189/(R_BF*Fronts!$M$12),0))</f>
        <v>2</v>
      </c>
      <c r="K2028" s="34" t="n">
        <f aca="false">IF(J2028=0,0,ROUNDUP(J2028*7/WD,0))</f>
        <v>3</v>
      </c>
      <c r="L2028" s="15" t="s">
        <v>5723</v>
      </c>
      <c r="M2028" s="34" t="n">
        <f aca="false">ROUNDUP(K2027*LADDER,0)</f>
        <v>2</v>
      </c>
      <c r="N2028" s="34" t="n">
        <f aca="false">IF(K2028=0,0,FFLAG)</f>
        <v>2</v>
      </c>
      <c r="O2028" s="15" t="s">
        <v>5725</v>
      </c>
      <c r="P2028" s="16" t="n">
        <f aca="false">MAX(P2027+M2028,R2017,Q2037)</f>
        <v>46517</v>
      </c>
      <c r="Q2028" s="16" t="n">
        <f aca="false">MAX(P2028+K2028,Q2027+N2028)</f>
        <v>46520</v>
      </c>
      <c r="R2028" s="16" t="n">
        <f aca="false">IF(K2028&gt;0,Q2028,R2017)</f>
        <v>46520</v>
      </c>
      <c r="S2028" s="15" t="s">
        <v>5709</v>
      </c>
    </row>
    <row r="2029" customFormat="false" ht="15" hidden="false" customHeight="false" outlineLevel="0" collapsed="false">
      <c r="A2029" s="15" t="s">
        <v>5726</v>
      </c>
      <c r="B2029" s="15" t="s">
        <v>5713</v>
      </c>
      <c r="C2029" s="15" t="s">
        <v>406</v>
      </c>
      <c r="D2029" s="15" t="s">
        <v>1996</v>
      </c>
      <c r="E2029" s="15" t="s">
        <v>2010</v>
      </c>
      <c r="F2029" s="15" t="s">
        <v>3034</v>
      </c>
      <c r="G2029" s="15" t="s">
        <v>3035</v>
      </c>
      <c r="H2029" s="33" t="n">
        <f aca="false">Packages!$AD$189</f>
        <v>164.440891302541</v>
      </c>
      <c r="I2029" s="15" t="s">
        <v>3012</v>
      </c>
      <c r="J2029" s="34" t="n">
        <f aca="false">IF(Packages!$AD$189&gt;0,ROUNDUP(Packages!$AD$189/R_EXT,0),0)+IF(Packages!$AG$189&gt;0,1,0)</f>
        <v>5</v>
      </c>
      <c r="K2029" s="34" t="n">
        <f aca="false">IF(J2029=0,0,ROUNDUP(J2029*7/WD,0))</f>
        <v>6</v>
      </c>
      <c r="L2029" s="15" t="s">
        <v>5724</v>
      </c>
      <c r="M2029" s="34" t="n">
        <f aca="false">ROUNDUP(K2028*LADDER,0)</f>
        <v>1</v>
      </c>
      <c r="N2029" s="34" t="n">
        <f aca="false">IF(K2029=0,0,FFLAG)</f>
        <v>2</v>
      </c>
      <c r="O2029" s="15"/>
      <c r="P2029" s="16" t="n">
        <f aca="false">MAX(P2028+M2029)</f>
        <v>46518</v>
      </c>
      <c r="Q2029" s="16" t="n">
        <f aca="false">MAX(P2029+K2029,Q2028+N2029)</f>
        <v>46524</v>
      </c>
      <c r="R2029" s="12"/>
      <c r="S2029" s="12"/>
    </row>
    <row r="2030" customFormat="false" ht="15" hidden="false" customHeight="false" outlineLevel="0" collapsed="false">
      <c r="A2030" s="15" t="s">
        <v>5727</v>
      </c>
      <c r="B2030" s="15" t="s">
        <v>5728</v>
      </c>
      <c r="C2030" s="15" t="s">
        <v>406</v>
      </c>
      <c r="D2030" s="15" t="s">
        <v>2030</v>
      </c>
      <c r="E2030" s="15" t="s">
        <v>2035</v>
      </c>
      <c r="F2030" s="15" t="s">
        <v>2998</v>
      </c>
      <c r="G2030" s="15" t="s">
        <v>2999</v>
      </c>
      <c r="H2030" s="12"/>
      <c r="I2030" s="12"/>
      <c r="J2030" s="34" t="n">
        <f aca="false">0</f>
        <v>0</v>
      </c>
      <c r="K2030" s="34" t="n">
        <f aca="false">IF(J2030=0,0,ROUNDUP(J2030*7/WD,0))</f>
        <v>0</v>
      </c>
      <c r="L2030" s="12"/>
      <c r="M2030" s="12"/>
      <c r="N2030" s="12"/>
      <c r="O2030" s="15" t="s">
        <v>3000</v>
      </c>
      <c r="P2030" s="16" t="n">
        <f aca="false">MAX(START,D_DLU,Packages!$I$190,Packages!$K$190)</f>
        <v>46357</v>
      </c>
      <c r="Q2030" s="16" t="n">
        <f aca="false">P2030+K2030</f>
        <v>46357</v>
      </c>
      <c r="R2030" s="12"/>
      <c r="S2030" s="12"/>
    </row>
    <row r="2031" customFormat="false" ht="15" hidden="false" customHeight="false" outlineLevel="0" collapsed="false">
      <c r="A2031" s="15" t="s">
        <v>5729</v>
      </c>
      <c r="B2031" s="15" t="s">
        <v>5728</v>
      </c>
      <c r="C2031" s="15" t="s">
        <v>406</v>
      </c>
      <c r="D2031" s="15" t="s">
        <v>2030</v>
      </c>
      <c r="E2031" s="15" t="s">
        <v>2035</v>
      </c>
      <c r="F2031" s="15" t="s">
        <v>3002</v>
      </c>
      <c r="G2031" s="15" t="s">
        <v>205</v>
      </c>
      <c r="H2031" s="33" t="n">
        <f aca="false">Packages!$O$190</f>
        <v>107.006882520685</v>
      </c>
      <c r="I2031" s="15" t="s">
        <v>118</v>
      </c>
      <c r="J2031" s="34" t="n">
        <f aca="false">MAX(1,ROUNDUP(Packages!$O$190/R_PLAT,0))</f>
        <v>2</v>
      </c>
      <c r="K2031" s="34" t="n">
        <f aca="false">IF(J2031=0,0,ROUNDUP(J2031*7/WD,0))</f>
        <v>3</v>
      </c>
      <c r="L2031" s="15" t="s">
        <v>5727</v>
      </c>
      <c r="M2031" s="12"/>
      <c r="N2031" s="12"/>
      <c r="O2031" s="15" t="s">
        <v>5730</v>
      </c>
      <c r="P2031" s="16" t="n">
        <f aca="false">MAX(Q2030,P2021)</f>
        <v>46376</v>
      </c>
      <c r="Q2031" s="16" t="n">
        <f aca="false">P2031+K2031</f>
        <v>46379</v>
      </c>
      <c r="R2031" s="12"/>
      <c r="S2031" s="12"/>
    </row>
    <row r="2032" customFormat="false" ht="15" hidden="false" customHeight="false" outlineLevel="0" collapsed="false">
      <c r="A2032" s="15" t="s">
        <v>5731</v>
      </c>
      <c r="B2032" s="15" t="s">
        <v>5728</v>
      </c>
      <c r="C2032" s="15" t="s">
        <v>406</v>
      </c>
      <c r="D2032" s="15" t="s">
        <v>2030</v>
      </c>
      <c r="E2032" s="15" t="s">
        <v>2035</v>
      </c>
      <c r="F2032" s="15" t="s">
        <v>3005</v>
      </c>
      <c r="G2032" s="15" t="s">
        <v>3006</v>
      </c>
      <c r="H2032" s="33" t="n">
        <f aca="false">Packages!$AC$190</f>
        <v>74</v>
      </c>
      <c r="I2032" s="15" t="s">
        <v>3007</v>
      </c>
      <c r="J2032" s="34" t="n">
        <f aca="false">IF(Packages!$AC$190=0,0,MAX(1,ROUNDUP(Packages!$AC$190/(R_PILE*Fronts!$H$12),0)))</f>
        <v>8</v>
      </c>
      <c r="K2032" s="34" t="n">
        <f aca="false">IF(J2032=0,0,ROUNDUP(J2032*7/WD,0))</f>
        <v>10</v>
      </c>
      <c r="L2032" s="15" t="s">
        <v>5729</v>
      </c>
      <c r="M2032" s="34" t="n">
        <f aca="false">ROUNDUP(K2031*LADDER,0)</f>
        <v>1</v>
      </c>
      <c r="N2032" s="34" t="n">
        <f aca="false">IF(K2032=0,0,FFLAG)</f>
        <v>2</v>
      </c>
      <c r="O2032" s="15" t="s">
        <v>3008</v>
      </c>
      <c r="P2032" s="16" t="n">
        <f aca="false">MAX(P2031+M2032,D_PILEDES,R2021)</f>
        <v>46383</v>
      </c>
      <c r="Q2032" s="16" t="n">
        <f aca="false">MAX(P2032+K2032,Q2031+N2032)</f>
        <v>46393</v>
      </c>
      <c r="R2032" s="16" t="n">
        <f aca="false">IF(K2032&gt;0,Q2032,R2021)</f>
        <v>46393</v>
      </c>
      <c r="S2032" s="15" t="s">
        <v>5716</v>
      </c>
    </row>
    <row r="2033" customFormat="false" ht="15" hidden="false" customHeight="false" outlineLevel="0" collapsed="false">
      <c r="A2033" s="15" t="s">
        <v>5732</v>
      </c>
      <c r="B2033" s="15" t="s">
        <v>5728</v>
      </c>
      <c r="C2033" s="15" t="s">
        <v>406</v>
      </c>
      <c r="D2033" s="15" t="s">
        <v>2030</v>
      </c>
      <c r="E2033" s="15" t="s">
        <v>2035</v>
      </c>
      <c r="F2033" s="15" t="s">
        <v>3010</v>
      </c>
      <c r="G2033" s="15" t="s">
        <v>3011</v>
      </c>
      <c r="H2033" s="33" t="n">
        <f aca="false">Packages!$AD$190</f>
        <v>214.01376504137</v>
      </c>
      <c r="I2033" s="15" t="s">
        <v>3012</v>
      </c>
      <c r="J2033" s="34" t="n">
        <f aca="false">IF(Packages!$AD$190=0,0,MAX(1,ROUNDUP(Packages!$AD$190/(R_SHEET*Fronts!$I$12),0)))</f>
        <v>5</v>
      </c>
      <c r="K2033" s="34" t="n">
        <f aca="false">IF(J2033=0,0,ROUNDUP(J2033*7/WD,0))</f>
        <v>6</v>
      </c>
      <c r="L2033" s="15" t="s">
        <v>5731</v>
      </c>
      <c r="M2033" s="34" t="n">
        <f aca="false">ROUNDUP(K2032*LADDER,0)</f>
        <v>3</v>
      </c>
      <c r="N2033" s="34" t="n">
        <f aca="false">IF(K2033=0,0,FFLAG)</f>
        <v>2</v>
      </c>
      <c r="O2033" s="15"/>
      <c r="P2033" s="16" t="n">
        <f aca="false">MAX(P2032+M2033,R2022)</f>
        <v>46386</v>
      </c>
      <c r="Q2033" s="16" t="n">
        <f aca="false">MAX(P2033+K2033,Q2032+N2033)</f>
        <v>46395</v>
      </c>
      <c r="R2033" s="16" t="n">
        <f aca="false">IF(K2033&gt;0,Q2033,R2022)</f>
        <v>46395</v>
      </c>
      <c r="S2033" s="15" t="s">
        <v>5717</v>
      </c>
    </row>
    <row r="2034" customFormat="false" ht="15" hidden="false" customHeight="false" outlineLevel="0" collapsed="false">
      <c r="A2034" s="15" t="s">
        <v>5733</v>
      </c>
      <c r="B2034" s="15" t="s">
        <v>5728</v>
      </c>
      <c r="C2034" s="15" t="s">
        <v>406</v>
      </c>
      <c r="D2034" s="15" t="s">
        <v>2030</v>
      </c>
      <c r="E2034" s="15" t="s">
        <v>2035</v>
      </c>
      <c r="F2034" s="15" t="s">
        <v>3014</v>
      </c>
      <c r="G2034" s="15" t="s">
        <v>3015</v>
      </c>
      <c r="H2034" s="33" t="n">
        <f aca="false">Packages!$O$190</f>
        <v>107.006882520685</v>
      </c>
      <c r="I2034" s="15" t="s">
        <v>118</v>
      </c>
      <c r="J2034" s="34" t="n">
        <f aca="false">IF(Packages!$AG$190=0,0,ROUNDUP(Packages!$O$190/R_DW,0)+DW_DRAW)</f>
        <v>10</v>
      </c>
      <c r="K2034" s="34" t="n">
        <f aca="false">IF(J2034=0,0,ROUNDUP(J2034*7/WD,0))</f>
        <v>12</v>
      </c>
      <c r="L2034" s="15" t="s">
        <v>5732</v>
      </c>
      <c r="M2034" s="34" t="n">
        <f aca="false">ROUNDUP(K2033*LADDER,0)</f>
        <v>2</v>
      </c>
      <c r="N2034" s="34" t="n">
        <f aca="false">IF(K2034=0,0,FFLAG)</f>
        <v>2</v>
      </c>
      <c r="O2034" s="15" t="s">
        <v>5734</v>
      </c>
      <c r="P2034" s="16" t="n">
        <f aca="false">MAX(P2033+M2034,Q2024-K2034)</f>
        <v>46390</v>
      </c>
      <c r="Q2034" s="16" t="n">
        <f aca="false">MAX(P2034+K2034,Q2033+N2034)</f>
        <v>46402</v>
      </c>
      <c r="R2034" s="12"/>
      <c r="S2034" s="12"/>
    </row>
    <row r="2035" customFormat="false" ht="15" hidden="false" customHeight="false" outlineLevel="0" collapsed="false">
      <c r="A2035" s="15" t="s">
        <v>5735</v>
      </c>
      <c r="B2035" s="15" t="s">
        <v>5728</v>
      </c>
      <c r="C2035" s="15" t="s">
        <v>406</v>
      </c>
      <c r="D2035" s="15" t="s">
        <v>2030</v>
      </c>
      <c r="E2035" s="15" t="s">
        <v>2035</v>
      </c>
      <c r="F2035" s="15" t="s">
        <v>3017</v>
      </c>
      <c r="G2035" s="15" t="s">
        <v>3018</v>
      </c>
      <c r="H2035" s="33" t="n">
        <f aca="false">Packages!$X$190+Packages!$Y$190</f>
        <v>1532.13802522048</v>
      </c>
      <c r="I2035" s="15" t="s">
        <v>3019</v>
      </c>
      <c r="J2035" s="34" t="n">
        <f aca="false">MAX(1,ROUNDUP((Packages!$X$190/R_EXS+Packages!$Y$190/R_EXO)/Fronts!$J$12,0))</f>
        <v>4</v>
      </c>
      <c r="K2035" s="34" t="n">
        <f aca="false">IF(J2035=0,0,ROUNDUP(J2035*7/WD,0))</f>
        <v>5</v>
      </c>
      <c r="L2035" s="15" t="s">
        <v>5733</v>
      </c>
      <c r="M2035" s="34" t="n">
        <f aca="false">IF(K2034=0,0,ROUNDUP((K2034-ROUNDUP(DW_DRAW*7/WD,0))*LADDER,0)+ROUNDUP(DW_DRAW*7/WD,0))</f>
        <v>10</v>
      </c>
      <c r="N2035" s="34" t="n">
        <f aca="false">IF(K2035=0,0,FFLAG)</f>
        <v>2</v>
      </c>
      <c r="O2035" s="15" t="s">
        <v>5736</v>
      </c>
      <c r="P2035" s="16" t="n">
        <f aca="false">MAX(P2034+M2035,R2024,P2024)</f>
        <v>46402</v>
      </c>
      <c r="Q2035" s="16" t="n">
        <f aca="false">MAX(P2035+K2035,Q2034+N2035)</f>
        <v>46407</v>
      </c>
      <c r="R2035" s="16" t="n">
        <f aca="false">IF(K2035&gt;0,Q2035,R2024)</f>
        <v>46407</v>
      </c>
      <c r="S2035" s="15" t="s">
        <v>5720</v>
      </c>
    </row>
    <row r="2036" customFormat="false" ht="15" hidden="false" customHeight="false" outlineLevel="0" collapsed="false">
      <c r="A2036" s="15" t="s">
        <v>5737</v>
      </c>
      <c r="B2036" s="15" t="s">
        <v>5728</v>
      </c>
      <c r="C2036" s="15" t="s">
        <v>406</v>
      </c>
      <c r="D2036" s="15" t="s">
        <v>2030</v>
      </c>
      <c r="E2036" s="15" t="s">
        <v>2035</v>
      </c>
      <c r="F2036" s="15" t="s">
        <v>3022</v>
      </c>
      <c r="G2036" s="15" t="s">
        <v>3023</v>
      </c>
      <c r="H2036" s="33" t="n">
        <f aca="false">Packages!$O$190</f>
        <v>107.006882520685</v>
      </c>
      <c r="I2036" s="15" t="s">
        <v>118</v>
      </c>
      <c r="J2036" s="34" t="n">
        <f aca="false">MAX(1,ROUNDUP(Packages!$O$190/(R_SLAB*Fronts!$K$12),0))+SLAB_CURE</f>
        <v>8</v>
      </c>
      <c r="K2036" s="34" t="n">
        <f aca="false">IF(J2036=0,0,ROUNDUP(J2036*7/WD,0))</f>
        <v>10</v>
      </c>
      <c r="L2036" s="15" t="s">
        <v>5735</v>
      </c>
      <c r="M2036" s="34" t="n">
        <f aca="false">ROUNDUP(K2035*LADDER,0)</f>
        <v>2</v>
      </c>
      <c r="N2036" s="34" t="n">
        <f aca="false">IF(K2036=0,0,FFLAG)</f>
        <v>2</v>
      </c>
      <c r="O2036" s="15"/>
      <c r="P2036" s="16" t="n">
        <f aca="false">MAX(P2035+M2036,R2025)</f>
        <v>46411</v>
      </c>
      <c r="Q2036" s="16" t="n">
        <f aca="false">MAX(P2036+K2036,Q2035+N2036)</f>
        <v>46421</v>
      </c>
      <c r="R2036" s="16" t="n">
        <f aca="false">IF(K2036&gt;0,Q2036,R2025)</f>
        <v>46421</v>
      </c>
      <c r="S2036" s="15" t="s">
        <v>5721</v>
      </c>
    </row>
    <row r="2037" customFormat="false" ht="15" hidden="false" customHeight="false" outlineLevel="0" collapsed="false">
      <c r="A2037" s="15" t="s">
        <v>5738</v>
      </c>
      <c r="B2037" s="15" t="s">
        <v>5728</v>
      </c>
      <c r="C2037" s="15" t="s">
        <v>406</v>
      </c>
      <c r="D2037" s="15" t="s">
        <v>2030</v>
      </c>
      <c r="E2037" s="15" t="s">
        <v>2035</v>
      </c>
      <c r="F2037" s="15" t="s">
        <v>3025</v>
      </c>
      <c r="G2037" s="15" t="s">
        <v>3026</v>
      </c>
      <c r="H2037" s="33" t="n">
        <f aca="false">Packages!$O$190</f>
        <v>107.006882520685</v>
      </c>
      <c r="I2037" s="15" t="s">
        <v>118</v>
      </c>
      <c r="J2037" s="34" t="n">
        <f aca="false">MAX(1,ROUNDUP(Packages!$O$190/(IF(Packages!$N$190&gt;=PIPE_T1,R_PIPE_L,IF(Packages!$N$190&gt;=PIPE_T2,R_PIPE_M,R_PIPE_S))*Fronts!$L$12)+Packages!$M$190*FIT_D+IF(Packages!$G$190&lt;&gt;"Run",TIE_D,0),0))</f>
        <v>6</v>
      </c>
      <c r="K2037" s="34" t="n">
        <f aca="false">IF(J2037=0,0,ROUNDUP(J2037*7/WD,0))</f>
        <v>7</v>
      </c>
      <c r="L2037" s="15" t="s">
        <v>5737</v>
      </c>
      <c r="M2037" s="34" t="n">
        <f aca="false">ROUNDUP(K2036*LADDER,0)</f>
        <v>3</v>
      </c>
      <c r="N2037" s="34" t="n">
        <f aca="false">IF(K2037=0,0,FFLAG)</f>
        <v>2</v>
      </c>
      <c r="O2037" s="15"/>
      <c r="P2037" s="16" t="n">
        <f aca="false">MAX(P2036+M2037,R2026)</f>
        <v>46414</v>
      </c>
      <c r="Q2037" s="16" t="n">
        <f aca="false">MAX(P2037+K2037,Q2036+N2037)</f>
        <v>46423</v>
      </c>
      <c r="R2037" s="16" t="n">
        <f aca="false">IF(K2037&gt;0,Q2037,R2026)</f>
        <v>46423</v>
      </c>
      <c r="S2037" s="15" t="s">
        <v>5722</v>
      </c>
    </row>
    <row r="2038" customFormat="false" ht="15" hidden="false" customHeight="false" outlineLevel="0" collapsed="false">
      <c r="A2038" s="15" t="s">
        <v>5739</v>
      </c>
      <c r="B2038" s="15" t="s">
        <v>5728</v>
      </c>
      <c r="C2038" s="15" t="s">
        <v>406</v>
      </c>
      <c r="D2038" s="15" t="s">
        <v>2030</v>
      </c>
      <c r="E2038" s="15" t="s">
        <v>2035</v>
      </c>
      <c r="F2038" s="15" t="s">
        <v>3028</v>
      </c>
      <c r="G2038" s="15" t="s">
        <v>3029</v>
      </c>
      <c r="H2038" s="33" t="n">
        <f aca="false">Packages!$O$190</f>
        <v>107.006882520685</v>
      </c>
      <c r="I2038" s="15" t="s">
        <v>118</v>
      </c>
      <c r="J2038" s="34" t="n">
        <f aca="false">TEST_D+ROUNDUP(Packages!$O$190/R_TEST,0)</f>
        <v>3</v>
      </c>
      <c r="K2038" s="34" t="n">
        <f aca="false">IF(J2038=0,0,ROUNDUP(J2038*7/WD,0))</f>
        <v>4</v>
      </c>
      <c r="L2038" s="15" t="s">
        <v>5738</v>
      </c>
      <c r="M2038" s="34" t="n">
        <f aca="false">ROUNDUP(K2037*LADDER,0)</f>
        <v>3</v>
      </c>
      <c r="N2038" s="34" t="n">
        <f aca="false">IF(K2038=0,0,FFLAG)</f>
        <v>2</v>
      </c>
      <c r="O2038" s="15"/>
      <c r="P2038" s="16" t="n">
        <f aca="false">MAX(P2037+M2038)</f>
        <v>46417</v>
      </c>
      <c r="Q2038" s="16" t="n">
        <f aca="false">MAX(P2038+K2038,Q2037+N2038)</f>
        <v>46425</v>
      </c>
      <c r="R2038" s="12"/>
      <c r="S2038" s="12"/>
    </row>
    <row r="2039" customFormat="false" ht="15" hidden="false" customHeight="false" outlineLevel="0" collapsed="false">
      <c r="A2039" s="15" t="s">
        <v>5740</v>
      </c>
      <c r="B2039" s="15" t="s">
        <v>5728</v>
      </c>
      <c r="C2039" s="15" t="s">
        <v>406</v>
      </c>
      <c r="D2039" s="15" t="s">
        <v>2030</v>
      </c>
      <c r="E2039" s="15" t="s">
        <v>2035</v>
      </c>
      <c r="F2039" s="15" t="s">
        <v>3031</v>
      </c>
      <c r="G2039" s="15" t="s">
        <v>3032</v>
      </c>
      <c r="H2039" s="33" t="n">
        <f aca="false">Packages!$AB$190</f>
        <v>1088.84251426684</v>
      </c>
      <c r="I2039" s="15" t="s">
        <v>3019</v>
      </c>
      <c r="J2039" s="34" t="n">
        <f aca="false">MAX(1,ROUNDUP(Packages!$AB$190/(R_BF*Fronts!$M$12),0))</f>
        <v>2</v>
      </c>
      <c r="K2039" s="34" t="n">
        <f aca="false">IF(J2039=0,0,ROUNDUP(J2039*7/WD,0))</f>
        <v>3</v>
      </c>
      <c r="L2039" s="15" t="s">
        <v>5739</v>
      </c>
      <c r="M2039" s="34" t="n">
        <f aca="false">ROUNDUP(K2038*LADDER,0)</f>
        <v>2</v>
      </c>
      <c r="N2039" s="34" t="n">
        <f aca="false">IF(K2039=0,0,FFLAG)</f>
        <v>2</v>
      </c>
      <c r="O2039" s="15" t="s">
        <v>5741</v>
      </c>
      <c r="P2039" s="16" t="n">
        <f aca="false">MAX(P2038+M2039,R2028,Q2147,Q2070,Q2059,Q2026)</f>
        <v>46520</v>
      </c>
      <c r="Q2039" s="16" t="n">
        <f aca="false">MAX(P2039+K2039,Q2038+N2039)</f>
        <v>46523</v>
      </c>
      <c r="R2039" s="16" t="n">
        <f aca="false">IF(K2039&gt;0,Q2039,R2028)</f>
        <v>46523</v>
      </c>
      <c r="S2039" s="15" t="s">
        <v>5724</v>
      </c>
    </row>
    <row r="2040" customFormat="false" ht="15" hidden="false" customHeight="false" outlineLevel="0" collapsed="false">
      <c r="A2040" s="15" t="s">
        <v>5742</v>
      </c>
      <c r="B2040" s="15" t="s">
        <v>5728</v>
      </c>
      <c r="C2040" s="15" t="s">
        <v>406</v>
      </c>
      <c r="D2040" s="15" t="s">
        <v>2030</v>
      </c>
      <c r="E2040" s="15" t="s">
        <v>2035</v>
      </c>
      <c r="F2040" s="15" t="s">
        <v>3034</v>
      </c>
      <c r="G2040" s="15" t="s">
        <v>3035</v>
      </c>
      <c r="H2040" s="33" t="n">
        <f aca="false">Packages!$AD$190</f>
        <v>214.01376504137</v>
      </c>
      <c r="I2040" s="15" t="s">
        <v>3012</v>
      </c>
      <c r="J2040" s="34" t="n">
        <f aca="false">IF(Packages!$AD$190&gt;0,ROUNDUP(Packages!$AD$190/R_EXT,0),0)+IF(Packages!$AG$190&gt;0,1,0)</f>
        <v>6</v>
      </c>
      <c r="K2040" s="34" t="n">
        <f aca="false">IF(J2040=0,0,ROUNDUP(J2040*7/WD,0))</f>
        <v>7</v>
      </c>
      <c r="L2040" s="15" t="s">
        <v>5740</v>
      </c>
      <c r="M2040" s="34" t="n">
        <f aca="false">ROUNDUP(K2039*LADDER,0)</f>
        <v>1</v>
      </c>
      <c r="N2040" s="34" t="n">
        <f aca="false">IF(K2040=0,0,FFLAG)</f>
        <v>2</v>
      </c>
      <c r="O2040" s="15"/>
      <c r="P2040" s="16" t="n">
        <f aca="false">MAX(P2039+M2040)</f>
        <v>46521</v>
      </c>
      <c r="Q2040" s="16" t="n">
        <f aca="false">MAX(P2040+K2040,Q2039+N2040)</f>
        <v>46528</v>
      </c>
      <c r="R2040" s="12"/>
      <c r="S2040" s="12"/>
    </row>
    <row r="2041" customFormat="false" ht="15" hidden="false" customHeight="false" outlineLevel="0" collapsed="false">
      <c r="A2041" s="15" t="s">
        <v>5743</v>
      </c>
      <c r="B2041" s="15" t="s">
        <v>5744</v>
      </c>
      <c r="C2041" s="15" t="s">
        <v>406</v>
      </c>
      <c r="D2041" s="15" t="s">
        <v>2030</v>
      </c>
      <c r="E2041" s="15" t="s">
        <v>2031</v>
      </c>
      <c r="F2041" s="15" t="s">
        <v>2998</v>
      </c>
      <c r="G2041" s="15" t="s">
        <v>2999</v>
      </c>
      <c r="H2041" s="12"/>
      <c r="I2041" s="12"/>
      <c r="J2041" s="34" t="n">
        <f aca="false">0</f>
        <v>0</v>
      </c>
      <c r="K2041" s="34" t="n">
        <f aca="false">IF(J2041=0,0,ROUNDUP(J2041*7/WD,0))</f>
        <v>0</v>
      </c>
      <c r="L2041" s="12"/>
      <c r="M2041" s="12"/>
      <c r="N2041" s="12"/>
      <c r="O2041" s="15" t="s">
        <v>3038</v>
      </c>
      <c r="P2041" s="16" t="n">
        <f aca="false">MAX(START,D_DLU,Packages!$I$191,Packages!$K$191)</f>
        <v>46357</v>
      </c>
      <c r="Q2041" s="16" t="n">
        <f aca="false">P2041+K2041</f>
        <v>46357</v>
      </c>
      <c r="R2041" s="12"/>
      <c r="S2041" s="12"/>
    </row>
    <row r="2042" customFormat="false" ht="15" hidden="false" customHeight="false" outlineLevel="0" collapsed="false">
      <c r="A2042" s="15" t="s">
        <v>5745</v>
      </c>
      <c r="B2042" s="15" t="s">
        <v>5744</v>
      </c>
      <c r="C2042" s="15" t="s">
        <v>406</v>
      </c>
      <c r="D2042" s="15" t="s">
        <v>2030</v>
      </c>
      <c r="E2042" s="15" t="s">
        <v>2031</v>
      </c>
      <c r="F2042" s="15" t="s">
        <v>3002</v>
      </c>
      <c r="G2042" s="15" t="s">
        <v>205</v>
      </c>
      <c r="H2042" s="33" t="n">
        <f aca="false">Packages!$O$191</f>
        <v>2.71845777906527</v>
      </c>
      <c r="I2042" s="15" t="s">
        <v>118</v>
      </c>
      <c r="J2042" s="34" t="n">
        <f aca="false">MAX(1,ROUNDUP(Packages!$O$191/R_PLAT,0))</f>
        <v>1</v>
      </c>
      <c r="K2042" s="34" t="n">
        <f aca="false">IF(J2042=0,0,ROUNDUP(J2042*7/WD,0))</f>
        <v>2</v>
      </c>
      <c r="L2042" s="15" t="s">
        <v>5743</v>
      </c>
      <c r="M2042" s="12"/>
      <c r="N2042" s="12"/>
      <c r="O2042" s="15" t="s">
        <v>5746</v>
      </c>
      <c r="P2042" s="16" t="n">
        <f aca="false">MAX(Q2041,P2032)</f>
        <v>46383</v>
      </c>
      <c r="Q2042" s="16" t="n">
        <f aca="false">P2042+K2042</f>
        <v>46385</v>
      </c>
      <c r="R2042" s="12"/>
      <c r="S2042" s="12"/>
    </row>
    <row r="2043" customFormat="false" ht="15" hidden="false" customHeight="false" outlineLevel="0" collapsed="false">
      <c r="A2043" s="15" t="s">
        <v>5747</v>
      </c>
      <c r="B2043" s="15" t="s">
        <v>5744</v>
      </c>
      <c r="C2043" s="15" t="s">
        <v>406</v>
      </c>
      <c r="D2043" s="15" t="s">
        <v>2030</v>
      </c>
      <c r="E2043" s="15" t="s">
        <v>2031</v>
      </c>
      <c r="F2043" s="15" t="s">
        <v>3005</v>
      </c>
      <c r="G2043" s="15" t="s">
        <v>3006</v>
      </c>
      <c r="H2043" s="33" t="n">
        <f aca="false">Packages!$AC$191</f>
        <v>4</v>
      </c>
      <c r="I2043" s="15" t="s">
        <v>3007</v>
      </c>
      <c r="J2043" s="34" t="n">
        <f aca="false">IF(Packages!$AC$191=0,0,MAX(1,ROUNDUP(Packages!$AC$191/(R_PILE*Fronts!$H$12),0)))</f>
        <v>1</v>
      </c>
      <c r="K2043" s="34" t="n">
        <f aca="false">IF(J2043=0,0,ROUNDUP(J2043*7/WD,0))</f>
        <v>2</v>
      </c>
      <c r="L2043" s="15" t="s">
        <v>5745</v>
      </c>
      <c r="M2043" s="34" t="n">
        <f aca="false">ROUNDUP(K2042*LADDER,0)</f>
        <v>1</v>
      </c>
      <c r="N2043" s="34" t="n">
        <f aca="false">IF(K2043=0,0,FFLAG)</f>
        <v>2</v>
      </c>
      <c r="O2043" s="15" t="s">
        <v>3008</v>
      </c>
      <c r="P2043" s="16" t="n">
        <f aca="false">MAX(P2042+M2043,D_PILEDES)</f>
        <v>46384</v>
      </c>
      <c r="Q2043" s="16" t="n">
        <f aca="false">MAX(P2043+K2043,Q2042+N2043)</f>
        <v>46387</v>
      </c>
      <c r="R2043" s="16" t="n">
        <f aca="false">IF(K2043&gt;0,Q2043,0)</f>
        <v>46387</v>
      </c>
      <c r="S2043" s="12"/>
    </row>
    <row r="2044" customFormat="false" ht="15" hidden="false" customHeight="false" outlineLevel="0" collapsed="false">
      <c r="A2044" s="15" t="s">
        <v>5748</v>
      </c>
      <c r="B2044" s="15" t="s">
        <v>5744</v>
      </c>
      <c r="C2044" s="15" t="s">
        <v>406</v>
      </c>
      <c r="D2044" s="15" t="s">
        <v>2030</v>
      </c>
      <c r="E2044" s="15" t="s">
        <v>2031</v>
      </c>
      <c r="F2044" s="15" t="s">
        <v>3010</v>
      </c>
      <c r="G2044" s="15" t="s">
        <v>3011</v>
      </c>
      <c r="H2044" s="33" t="n">
        <f aca="false">Packages!$AD$191</f>
        <v>5.43691555813055</v>
      </c>
      <c r="I2044" s="15" t="s">
        <v>3012</v>
      </c>
      <c r="J2044" s="34" t="n">
        <f aca="false">IF(Packages!$AD$191=0,0,MAX(1,ROUNDUP(Packages!$AD$191/(R_SHEET*Fronts!$I$12),0)))</f>
        <v>1</v>
      </c>
      <c r="K2044" s="34" t="n">
        <f aca="false">IF(J2044=0,0,ROUNDUP(J2044*7/WD,0))</f>
        <v>2</v>
      </c>
      <c r="L2044" s="15" t="s">
        <v>5747</v>
      </c>
      <c r="M2044" s="34" t="n">
        <f aca="false">ROUNDUP(K2043*LADDER,0)</f>
        <v>1</v>
      </c>
      <c r="N2044" s="34" t="n">
        <f aca="false">IF(K2044=0,0,FFLAG)</f>
        <v>2</v>
      </c>
      <c r="O2044" s="15"/>
      <c r="P2044" s="16" t="n">
        <f aca="false">MAX(P2043+M2044)</f>
        <v>46385</v>
      </c>
      <c r="Q2044" s="16" t="n">
        <f aca="false">MAX(P2044+K2044,Q2043+N2044)</f>
        <v>46389</v>
      </c>
      <c r="R2044" s="16" t="n">
        <f aca="false">IF(K2044&gt;0,Q2044,0)</f>
        <v>46389</v>
      </c>
      <c r="S2044" s="12"/>
    </row>
    <row r="2045" customFormat="false" ht="15" hidden="false" customHeight="false" outlineLevel="0" collapsed="false">
      <c r="A2045" s="15" t="s">
        <v>5749</v>
      </c>
      <c r="B2045" s="15" t="s">
        <v>5744</v>
      </c>
      <c r="C2045" s="15" t="s">
        <v>406</v>
      </c>
      <c r="D2045" s="15" t="s">
        <v>2030</v>
      </c>
      <c r="E2045" s="15" t="s">
        <v>2031</v>
      </c>
      <c r="F2045" s="15" t="s">
        <v>3014</v>
      </c>
      <c r="G2045" s="15" t="s">
        <v>3015</v>
      </c>
      <c r="H2045" s="33" t="n">
        <f aca="false">Packages!$O$191</f>
        <v>2.71845777906527</v>
      </c>
      <c r="I2045" s="15" t="s">
        <v>118</v>
      </c>
      <c r="J2045" s="34" t="n">
        <f aca="false">IF(Packages!$AG$191=0,0,ROUNDUP(Packages!$O$191/R_DW,0)+DW_DRAW)</f>
        <v>8</v>
      </c>
      <c r="K2045" s="34" t="n">
        <f aca="false">IF(J2045=0,0,ROUNDUP(J2045*7/WD,0))</f>
        <v>10</v>
      </c>
      <c r="L2045" s="15" t="s">
        <v>5748</v>
      </c>
      <c r="M2045" s="34" t="n">
        <f aca="false">ROUNDUP(K2044*LADDER,0)</f>
        <v>1</v>
      </c>
      <c r="N2045" s="34" t="n">
        <f aca="false">IF(K2045=0,0,FFLAG)</f>
        <v>2</v>
      </c>
      <c r="O2045" s="15"/>
      <c r="P2045" s="16" t="n">
        <f aca="false">MAX(P2044+M2045)</f>
        <v>46386</v>
      </c>
      <c r="Q2045" s="16" t="n">
        <f aca="false">MAX(P2045+K2045,Q2044+N2045)</f>
        <v>46396</v>
      </c>
      <c r="R2045" s="12"/>
      <c r="S2045" s="12"/>
    </row>
    <row r="2046" customFormat="false" ht="15" hidden="false" customHeight="false" outlineLevel="0" collapsed="false">
      <c r="A2046" s="15" t="s">
        <v>5750</v>
      </c>
      <c r="B2046" s="15" t="s">
        <v>5744</v>
      </c>
      <c r="C2046" s="15" t="s">
        <v>406</v>
      </c>
      <c r="D2046" s="15" t="s">
        <v>2030</v>
      </c>
      <c r="E2046" s="15" t="s">
        <v>2031</v>
      </c>
      <c r="F2046" s="15" t="s">
        <v>3017</v>
      </c>
      <c r="G2046" s="15" t="s">
        <v>3018</v>
      </c>
      <c r="H2046" s="33" t="n">
        <f aca="false">Packages!$X$191+Packages!$Y$191</f>
        <v>37.9197408772266</v>
      </c>
      <c r="I2046" s="15" t="s">
        <v>3019</v>
      </c>
      <c r="J2046" s="34" t="n">
        <f aca="false">MAX(1,ROUNDUP((Packages!$X$191/R_EXS+Packages!$Y$191/R_EXO)/Fronts!$J$12,0))</f>
        <v>1</v>
      </c>
      <c r="K2046" s="34" t="n">
        <f aca="false">IF(J2046=0,0,ROUNDUP(J2046*7/WD,0))</f>
        <v>2</v>
      </c>
      <c r="L2046" s="15" t="s">
        <v>5749</v>
      </c>
      <c r="M2046" s="34" t="n">
        <f aca="false">IF(K2045=0,0,ROUNDUP((K2045-ROUNDUP(DW_DRAW*7/WD,0))*LADDER,0)+ROUNDUP(DW_DRAW*7/WD,0))</f>
        <v>10</v>
      </c>
      <c r="N2046" s="34" t="n">
        <f aca="false">IF(K2046=0,0,FFLAG)</f>
        <v>2</v>
      </c>
      <c r="O2046" s="15"/>
      <c r="P2046" s="16" t="n">
        <f aca="false">MAX(P2045+M2046)</f>
        <v>46396</v>
      </c>
      <c r="Q2046" s="16" t="n">
        <f aca="false">MAX(P2046+K2046,Q2045+N2046)</f>
        <v>46398</v>
      </c>
      <c r="R2046" s="16" t="n">
        <f aca="false">IF(K2046&gt;0,Q2046,0)</f>
        <v>46398</v>
      </c>
      <c r="S2046" s="12"/>
    </row>
    <row r="2047" customFormat="false" ht="15" hidden="false" customHeight="false" outlineLevel="0" collapsed="false">
      <c r="A2047" s="15" t="s">
        <v>5751</v>
      </c>
      <c r="B2047" s="15" t="s">
        <v>5744</v>
      </c>
      <c r="C2047" s="15" t="s">
        <v>406</v>
      </c>
      <c r="D2047" s="15" t="s">
        <v>2030</v>
      </c>
      <c r="E2047" s="15" t="s">
        <v>2031</v>
      </c>
      <c r="F2047" s="15" t="s">
        <v>3022</v>
      </c>
      <c r="G2047" s="15" t="s">
        <v>3023</v>
      </c>
      <c r="H2047" s="33" t="n">
        <f aca="false">Packages!$O$191</f>
        <v>2.71845777906527</v>
      </c>
      <c r="I2047" s="15" t="s">
        <v>118</v>
      </c>
      <c r="J2047" s="34" t="n">
        <f aca="false">MAX(1,ROUNDUP(Packages!$O$191/(R_SLAB*Fronts!$K$12),0))+SLAB_CURE</f>
        <v>4</v>
      </c>
      <c r="K2047" s="34" t="n">
        <f aca="false">IF(J2047=0,0,ROUNDUP(J2047*7/WD,0))</f>
        <v>5</v>
      </c>
      <c r="L2047" s="15" t="s">
        <v>5750</v>
      </c>
      <c r="M2047" s="34" t="n">
        <f aca="false">ROUNDUP(K2046*LADDER,0)</f>
        <v>1</v>
      </c>
      <c r="N2047" s="34" t="n">
        <f aca="false">IF(K2047=0,0,FFLAG)</f>
        <v>2</v>
      </c>
      <c r="O2047" s="15"/>
      <c r="P2047" s="16" t="n">
        <f aca="false">MAX(P2046+M2047)</f>
        <v>46397</v>
      </c>
      <c r="Q2047" s="16" t="n">
        <f aca="false">MAX(P2047+K2047,Q2046+N2047)</f>
        <v>46402</v>
      </c>
      <c r="R2047" s="16" t="n">
        <f aca="false">IF(K2047&gt;0,Q2047,0)</f>
        <v>46402</v>
      </c>
      <c r="S2047" s="12"/>
    </row>
    <row r="2048" customFormat="false" ht="15" hidden="false" customHeight="false" outlineLevel="0" collapsed="false">
      <c r="A2048" s="15" t="s">
        <v>5752</v>
      </c>
      <c r="B2048" s="15" t="s">
        <v>5744</v>
      </c>
      <c r="C2048" s="15" t="s">
        <v>406</v>
      </c>
      <c r="D2048" s="15" t="s">
        <v>2030</v>
      </c>
      <c r="E2048" s="15" t="s">
        <v>2031</v>
      </c>
      <c r="F2048" s="15" t="s">
        <v>3025</v>
      </c>
      <c r="G2048" s="15" t="s">
        <v>3026</v>
      </c>
      <c r="H2048" s="33" t="n">
        <f aca="false">Packages!$O$191</f>
        <v>2.71845777906527</v>
      </c>
      <c r="I2048" s="15" t="s">
        <v>118</v>
      </c>
      <c r="J2048" s="34" t="n">
        <f aca="false">MAX(1,ROUNDUP(Packages!$O$191/(IF(Packages!$N$191&gt;=PIPE_T1,R_PIPE_L,IF(Packages!$N$191&gt;=PIPE_T2,R_PIPE_M,R_PIPE_S))*Fronts!$L$12)+Packages!$M$191*FIT_D+IF(Packages!$G$191&lt;&gt;"Run",TIE_D,0),0))</f>
        <v>5</v>
      </c>
      <c r="K2048" s="34" t="n">
        <f aca="false">IF(J2048=0,0,ROUNDUP(J2048*7/WD,0))</f>
        <v>6</v>
      </c>
      <c r="L2048" s="15" t="s">
        <v>5751</v>
      </c>
      <c r="M2048" s="34" t="n">
        <f aca="false">ROUNDUP(K2047*LADDER,0)</f>
        <v>2</v>
      </c>
      <c r="N2048" s="34" t="n">
        <f aca="false">IF(K2048=0,0,FFLAG)</f>
        <v>2</v>
      </c>
      <c r="O2048" s="15" t="s">
        <v>5753</v>
      </c>
      <c r="P2048" s="16" t="n">
        <f aca="false">MAX(P2047+M2048,Q2037)</f>
        <v>46423</v>
      </c>
      <c r="Q2048" s="16" t="n">
        <f aca="false">MAX(P2048+K2048,Q2047+N2048)</f>
        <v>46429</v>
      </c>
      <c r="R2048" s="16" t="n">
        <f aca="false">IF(K2048&gt;0,Q2048,0)</f>
        <v>46429</v>
      </c>
      <c r="S2048" s="12"/>
    </row>
    <row r="2049" customFormat="false" ht="15" hidden="false" customHeight="false" outlineLevel="0" collapsed="false">
      <c r="A2049" s="15" t="s">
        <v>5754</v>
      </c>
      <c r="B2049" s="15" t="s">
        <v>5744</v>
      </c>
      <c r="C2049" s="15" t="s">
        <v>406</v>
      </c>
      <c r="D2049" s="15" t="s">
        <v>2030</v>
      </c>
      <c r="E2049" s="15" t="s">
        <v>2031</v>
      </c>
      <c r="F2049" s="15" t="s">
        <v>3028</v>
      </c>
      <c r="G2049" s="15" t="s">
        <v>3029</v>
      </c>
      <c r="H2049" s="33" t="n">
        <f aca="false">Packages!$O$191</f>
        <v>2.71845777906527</v>
      </c>
      <c r="I2049" s="15" t="s">
        <v>118</v>
      </c>
      <c r="J2049" s="34" t="n">
        <f aca="false">TEST_D+ROUNDUP(Packages!$O$191/R_TEST,0)</f>
        <v>3</v>
      </c>
      <c r="K2049" s="34" t="n">
        <f aca="false">IF(J2049=0,0,ROUNDUP(J2049*7/WD,0))</f>
        <v>4</v>
      </c>
      <c r="L2049" s="15" t="s">
        <v>5752</v>
      </c>
      <c r="M2049" s="34" t="n">
        <f aca="false">ROUNDUP(K2048*LADDER,0)</f>
        <v>2</v>
      </c>
      <c r="N2049" s="34" t="n">
        <f aca="false">IF(K2049=0,0,FFLAG)</f>
        <v>2</v>
      </c>
      <c r="O2049" s="15"/>
      <c r="P2049" s="16" t="n">
        <f aca="false">MAX(P2048+M2049)</f>
        <v>46425</v>
      </c>
      <c r="Q2049" s="16" t="n">
        <f aca="false">MAX(P2049+K2049,Q2048+N2049)</f>
        <v>46431</v>
      </c>
      <c r="R2049" s="12"/>
      <c r="S2049" s="12"/>
    </row>
    <row r="2050" customFormat="false" ht="15" hidden="false" customHeight="false" outlineLevel="0" collapsed="false">
      <c r="A2050" s="15" t="s">
        <v>5755</v>
      </c>
      <c r="B2050" s="15" t="s">
        <v>5744</v>
      </c>
      <c r="C2050" s="15" t="s">
        <v>406</v>
      </c>
      <c r="D2050" s="15" t="s">
        <v>2030</v>
      </c>
      <c r="E2050" s="15" t="s">
        <v>2031</v>
      </c>
      <c r="F2050" s="15" t="s">
        <v>3031</v>
      </c>
      <c r="G2050" s="15" t="s">
        <v>3032</v>
      </c>
      <c r="H2050" s="33" t="n">
        <f aca="false">Packages!$AB$191</f>
        <v>26.621682087471</v>
      </c>
      <c r="I2050" s="15" t="s">
        <v>3019</v>
      </c>
      <c r="J2050" s="34" t="n">
        <f aca="false">MAX(1,ROUNDUP(Packages!$AB$191/(R_BF*Fronts!$M$12),0))</f>
        <v>1</v>
      </c>
      <c r="K2050" s="34" t="n">
        <f aca="false">IF(J2050=0,0,ROUNDUP(J2050*7/WD,0))</f>
        <v>2</v>
      </c>
      <c r="L2050" s="15" t="s">
        <v>5754</v>
      </c>
      <c r="M2050" s="34" t="n">
        <f aca="false">ROUNDUP(K2049*LADDER,0)</f>
        <v>2</v>
      </c>
      <c r="N2050" s="34" t="n">
        <f aca="false">IF(K2050=0,0,FFLAG)</f>
        <v>2</v>
      </c>
      <c r="O2050" s="15" t="s">
        <v>5756</v>
      </c>
      <c r="P2050" s="16" t="n">
        <f aca="false">MAX(P2049+M2050,Q2070,Q2059)</f>
        <v>46435</v>
      </c>
      <c r="Q2050" s="16" t="n">
        <f aca="false">MAX(P2050+K2050,Q2049+N2050)</f>
        <v>46437</v>
      </c>
      <c r="R2050" s="16" t="n">
        <f aca="false">IF(K2050&gt;0,Q2050,0)</f>
        <v>46437</v>
      </c>
      <c r="S2050" s="12"/>
    </row>
    <row r="2051" customFormat="false" ht="15" hidden="false" customHeight="false" outlineLevel="0" collapsed="false">
      <c r="A2051" s="15" t="s">
        <v>5757</v>
      </c>
      <c r="B2051" s="15" t="s">
        <v>5744</v>
      </c>
      <c r="C2051" s="15" t="s">
        <v>406</v>
      </c>
      <c r="D2051" s="15" t="s">
        <v>2030</v>
      </c>
      <c r="E2051" s="15" t="s">
        <v>2031</v>
      </c>
      <c r="F2051" s="15" t="s">
        <v>3034</v>
      </c>
      <c r="G2051" s="15" t="s">
        <v>3035</v>
      </c>
      <c r="H2051" s="33" t="n">
        <f aca="false">Packages!$AD$191</f>
        <v>5.43691555813055</v>
      </c>
      <c r="I2051" s="15" t="s">
        <v>3012</v>
      </c>
      <c r="J2051" s="34" t="n">
        <f aca="false">IF(Packages!$AD$191&gt;0,ROUNDUP(Packages!$AD$191/R_EXT,0),0)+IF(Packages!$AG$191&gt;0,1,0)</f>
        <v>2</v>
      </c>
      <c r="K2051" s="34" t="n">
        <f aca="false">IF(J2051=0,0,ROUNDUP(J2051*7/WD,0))</f>
        <v>3</v>
      </c>
      <c r="L2051" s="15" t="s">
        <v>5755</v>
      </c>
      <c r="M2051" s="34" t="n">
        <f aca="false">ROUNDUP(K2050*LADDER,0)</f>
        <v>1</v>
      </c>
      <c r="N2051" s="34" t="n">
        <f aca="false">IF(K2051=0,0,FFLAG)</f>
        <v>2</v>
      </c>
      <c r="O2051" s="15"/>
      <c r="P2051" s="16" t="n">
        <f aca="false">MAX(P2050+M2051)</f>
        <v>46436</v>
      </c>
      <c r="Q2051" s="16" t="n">
        <f aca="false">MAX(P2051+K2051,Q2050+N2051)</f>
        <v>46439</v>
      </c>
      <c r="R2051" s="12"/>
      <c r="S2051" s="12"/>
    </row>
    <row r="2052" customFormat="false" ht="15" hidden="false" customHeight="false" outlineLevel="0" collapsed="false">
      <c r="A2052" s="15" t="s">
        <v>5758</v>
      </c>
      <c r="B2052" s="15" t="s">
        <v>5759</v>
      </c>
      <c r="C2052" s="15" t="s">
        <v>406</v>
      </c>
      <c r="D2052" s="15" t="s">
        <v>1996</v>
      </c>
      <c r="E2052" s="15" t="s">
        <v>2001</v>
      </c>
      <c r="F2052" s="15" t="s">
        <v>2998</v>
      </c>
      <c r="G2052" s="15" t="s">
        <v>2999</v>
      </c>
      <c r="H2052" s="12"/>
      <c r="I2052" s="12"/>
      <c r="J2052" s="34" t="n">
        <f aca="false">0</f>
        <v>0</v>
      </c>
      <c r="K2052" s="34" t="n">
        <f aca="false">IF(J2052=0,0,ROUNDUP(J2052*7/WD,0))</f>
        <v>0</v>
      </c>
      <c r="L2052" s="12"/>
      <c r="M2052" s="12"/>
      <c r="N2052" s="12"/>
      <c r="O2052" s="15" t="s">
        <v>3000</v>
      </c>
      <c r="P2052" s="16" t="n">
        <f aca="false">MAX(START,D_DLU,Packages!$I$192,Packages!$K$192)</f>
        <v>46357</v>
      </c>
      <c r="Q2052" s="16" t="n">
        <f aca="false">P2052+K2052</f>
        <v>46357</v>
      </c>
      <c r="R2052" s="12"/>
      <c r="S2052" s="12"/>
    </row>
    <row r="2053" customFormat="false" ht="15" hidden="false" customHeight="false" outlineLevel="0" collapsed="false">
      <c r="A2053" s="15" t="s">
        <v>5760</v>
      </c>
      <c r="B2053" s="15" t="s">
        <v>5759</v>
      </c>
      <c r="C2053" s="15" t="s">
        <v>406</v>
      </c>
      <c r="D2053" s="15" t="s">
        <v>1996</v>
      </c>
      <c r="E2053" s="15" t="s">
        <v>2001</v>
      </c>
      <c r="F2053" s="15" t="s">
        <v>3002</v>
      </c>
      <c r="G2053" s="15" t="s">
        <v>205</v>
      </c>
      <c r="H2053" s="33" t="n">
        <f aca="false">Packages!$O$192</f>
        <v>30.5156039629667</v>
      </c>
      <c r="I2053" s="15" t="s">
        <v>118</v>
      </c>
      <c r="J2053" s="34" t="n">
        <f aca="false">MAX(1,ROUNDUP(Packages!$O$192/R_PLAT,0))</f>
        <v>1</v>
      </c>
      <c r="K2053" s="34" t="n">
        <f aca="false">IF(J2053=0,0,ROUNDUP(J2053*7/WD,0))</f>
        <v>2</v>
      </c>
      <c r="L2053" s="15" t="s">
        <v>5758</v>
      </c>
      <c r="M2053" s="12"/>
      <c r="N2053" s="12"/>
      <c r="O2053" s="15" t="s">
        <v>5761</v>
      </c>
      <c r="P2053" s="16" t="n">
        <f aca="false">MAX(Q2052,P2032)</f>
        <v>46383</v>
      </c>
      <c r="Q2053" s="16" t="n">
        <f aca="false">P2053+K2053</f>
        <v>46385</v>
      </c>
      <c r="R2053" s="12"/>
      <c r="S2053" s="12"/>
    </row>
    <row r="2054" customFormat="false" ht="15" hidden="false" customHeight="false" outlineLevel="0" collapsed="false">
      <c r="A2054" s="15" t="s">
        <v>5762</v>
      </c>
      <c r="B2054" s="15" t="s">
        <v>5759</v>
      </c>
      <c r="C2054" s="15" t="s">
        <v>406</v>
      </c>
      <c r="D2054" s="15" t="s">
        <v>1996</v>
      </c>
      <c r="E2054" s="15" t="s">
        <v>2001</v>
      </c>
      <c r="F2054" s="15" t="s">
        <v>3005</v>
      </c>
      <c r="G2054" s="15" t="s">
        <v>3006</v>
      </c>
      <c r="H2054" s="33" t="n">
        <f aca="false">Packages!$AC$192</f>
        <v>24</v>
      </c>
      <c r="I2054" s="15" t="s">
        <v>3007</v>
      </c>
      <c r="J2054" s="34" t="n">
        <f aca="false">IF(Packages!$AC$192=0,0,MAX(1,ROUNDUP(Packages!$AC$192/(R_PILE*Fronts!$H$12),0)))</f>
        <v>3</v>
      </c>
      <c r="K2054" s="34" t="n">
        <f aca="false">IF(J2054=0,0,ROUNDUP(J2054*7/WD,0))</f>
        <v>4</v>
      </c>
      <c r="L2054" s="15" t="s">
        <v>5760</v>
      </c>
      <c r="M2054" s="34" t="n">
        <f aca="false">ROUNDUP(K2053*LADDER,0)</f>
        <v>1</v>
      </c>
      <c r="N2054" s="34" t="n">
        <f aca="false">IF(K2054=0,0,FFLAG)</f>
        <v>2</v>
      </c>
      <c r="O2054" s="15" t="s">
        <v>3008</v>
      </c>
      <c r="P2054" s="16" t="n">
        <f aca="false">MAX(P2053+M2054,D_PILEDES,R2032)</f>
        <v>46393</v>
      </c>
      <c r="Q2054" s="16" t="n">
        <f aca="false">MAX(P2054+K2054,Q2053+N2054)</f>
        <v>46397</v>
      </c>
      <c r="R2054" s="16" t="n">
        <f aca="false">IF(K2054&gt;0,Q2054,R2032)</f>
        <v>46397</v>
      </c>
      <c r="S2054" s="15" t="s">
        <v>5731</v>
      </c>
    </row>
    <row r="2055" customFormat="false" ht="15" hidden="false" customHeight="false" outlineLevel="0" collapsed="false">
      <c r="A2055" s="15" t="s">
        <v>5763</v>
      </c>
      <c r="B2055" s="15" t="s">
        <v>5759</v>
      </c>
      <c r="C2055" s="15" t="s">
        <v>406</v>
      </c>
      <c r="D2055" s="15" t="s">
        <v>1996</v>
      </c>
      <c r="E2055" s="15" t="s">
        <v>2001</v>
      </c>
      <c r="F2055" s="15" t="s">
        <v>3010</v>
      </c>
      <c r="G2055" s="15" t="s">
        <v>3011</v>
      </c>
      <c r="H2055" s="33" t="n">
        <f aca="false">Packages!$AD$192</f>
        <v>61.0312079259333</v>
      </c>
      <c r="I2055" s="15" t="s">
        <v>3012</v>
      </c>
      <c r="J2055" s="34" t="n">
        <f aca="false">IF(Packages!$AD$192=0,0,MAX(1,ROUNDUP(Packages!$AD$192/(R_SHEET*Fronts!$I$12),0)))</f>
        <v>2</v>
      </c>
      <c r="K2055" s="34" t="n">
        <f aca="false">IF(J2055=0,0,ROUNDUP(J2055*7/WD,0))</f>
        <v>3</v>
      </c>
      <c r="L2055" s="15" t="s">
        <v>5762</v>
      </c>
      <c r="M2055" s="34" t="n">
        <f aca="false">ROUNDUP(K2054*LADDER,0)</f>
        <v>2</v>
      </c>
      <c r="N2055" s="34" t="n">
        <f aca="false">IF(K2055=0,0,FFLAG)</f>
        <v>2</v>
      </c>
      <c r="O2055" s="15"/>
      <c r="P2055" s="16" t="n">
        <f aca="false">MAX(P2054+M2055,R2033)</f>
        <v>46395</v>
      </c>
      <c r="Q2055" s="16" t="n">
        <f aca="false">MAX(P2055+K2055,Q2054+N2055)</f>
        <v>46399</v>
      </c>
      <c r="R2055" s="16" t="n">
        <f aca="false">IF(K2055&gt;0,Q2055,R2033)</f>
        <v>46399</v>
      </c>
      <c r="S2055" s="15" t="s">
        <v>5732</v>
      </c>
    </row>
    <row r="2056" customFormat="false" ht="15" hidden="false" customHeight="false" outlineLevel="0" collapsed="false">
      <c r="A2056" s="15" t="s">
        <v>5764</v>
      </c>
      <c r="B2056" s="15" t="s">
        <v>5759</v>
      </c>
      <c r="C2056" s="15" t="s">
        <v>406</v>
      </c>
      <c r="D2056" s="15" t="s">
        <v>1996</v>
      </c>
      <c r="E2056" s="15" t="s">
        <v>2001</v>
      </c>
      <c r="F2056" s="15" t="s">
        <v>3014</v>
      </c>
      <c r="G2056" s="15" t="s">
        <v>3015</v>
      </c>
      <c r="H2056" s="33" t="n">
        <f aca="false">Packages!$O$192</f>
        <v>30.5156039629667</v>
      </c>
      <c r="I2056" s="15" t="s">
        <v>118</v>
      </c>
      <c r="J2056" s="34" t="n">
        <f aca="false">IF(Packages!$AG$192=0,0,ROUNDUP(Packages!$O$192/R_DW,0)+DW_DRAW)</f>
        <v>8</v>
      </c>
      <c r="K2056" s="34" t="n">
        <f aca="false">IF(J2056=0,0,ROUNDUP(J2056*7/WD,0))</f>
        <v>10</v>
      </c>
      <c r="L2056" s="15" t="s">
        <v>5763</v>
      </c>
      <c r="M2056" s="34" t="n">
        <f aca="false">ROUNDUP(K2055*LADDER,0)</f>
        <v>1</v>
      </c>
      <c r="N2056" s="34" t="n">
        <f aca="false">IF(K2056=0,0,FFLAG)</f>
        <v>2</v>
      </c>
      <c r="O2056" s="15" t="s">
        <v>5765</v>
      </c>
      <c r="P2056" s="16" t="n">
        <f aca="false">MAX(P2055+M2056,Q2035-K2056)</f>
        <v>46397</v>
      </c>
      <c r="Q2056" s="16" t="n">
        <f aca="false">MAX(P2056+K2056,Q2055+N2056)</f>
        <v>46407</v>
      </c>
      <c r="R2056" s="12"/>
      <c r="S2056" s="12"/>
    </row>
    <row r="2057" customFormat="false" ht="15" hidden="false" customHeight="false" outlineLevel="0" collapsed="false">
      <c r="A2057" s="15" t="s">
        <v>5766</v>
      </c>
      <c r="B2057" s="15" t="s">
        <v>5759</v>
      </c>
      <c r="C2057" s="15" t="s">
        <v>406</v>
      </c>
      <c r="D2057" s="15" t="s">
        <v>1996</v>
      </c>
      <c r="E2057" s="15" t="s">
        <v>2001</v>
      </c>
      <c r="F2057" s="15" t="s">
        <v>3017</v>
      </c>
      <c r="G2057" s="15" t="s">
        <v>3018</v>
      </c>
      <c r="H2057" s="33" t="n">
        <f aca="false">Packages!$X$192+Packages!$Y$192</f>
        <v>407.69530701231</v>
      </c>
      <c r="I2057" s="15" t="s">
        <v>3019</v>
      </c>
      <c r="J2057" s="34" t="n">
        <f aca="false">MAX(1,ROUNDUP((Packages!$X$192/R_EXS+Packages!$Y$192/R_EXO)/Fronts!$J$12,0))</f>
        <v>1</v>
      </c>
      <c r="K2057" s="34" t="n">
        <f aca="false">IF(J2057=0,0,ROUNDUP(J2057*7/WD,0))</f>
        <v>2</v>
      </c>
      <c r="L2057" s="15" t="s">
        <v>5764</v>
      </c>
      <c r="M2057" s="34" t="n">
        <f aca="false">IF(K2056=0,0,ROUNDUP((K2056-ROUNDUP(DW_DRAW*7/WD,0))*LADDER,0)+ROUNDUP(DW_DRAW*7/WD,0))</f>
        <v>10</v>
      </c>
      <c r="N2057" s="34" t="n">
        <f aca="false">IF(K2057=0,0,FFLAG)</f>
        <v>2</v>
      </c>
      <c r="O2057" s="15" t="s">
        <v>5767</v>
      </c>
      <c r="P2057" s="16" t="n">
        <f aca="false">MAX(P2056+M2057,R2035,P2046,P2035)</f>
        <v>46407</v>
      </c>
      <c r="Q2057" s="16" t="n">
        <f aca="false">MAX(P2057+K2057,Q2056+N2057)</f>
        <v>46409</v>
      </c>
      <c r="R2057" s="16" t="n">
        <f aca="false">IF(K2057&gt;0,Q2057,R2035)</f>
        <v>46409</v>
      </c>
      <c r="S2057" s="15" t="s">
        <v>5735</v>
      </c>
    </row>
    <row r="2058" customFormat="false" ht="15" hidden="false" customHeight="false" outlineLevel="0" collapsed="false">
      <c r="A2058" s="15" t="s">
        <v>5768</v>
      </c>
      <c r="B2058" s="15" t="s">
        <v>5759</v>
      </c>
      <c r="C2058" s="15" t="s">
        <v>406</v>
      </c>
      <c r="D2058" s="15" t="s">
        <v>1996</v>
      </c>
      <c r="E2058" s="15" t="s">
        <v>2001</v>
      </c>
      <c r="F2058" s="15" t="s">
        <v>3022</v>
      </c>
      <c r="G2058" s="15" t="s">
        <v>3023</v>
      </c>
      <c r="H2058" s="33" t="n">
        <f aca="false">Packages!$O$192</f>
        <v>30.5156039629667</v>
      </c>
      <c r="I2058" s="15" t="s">
        <v>118</v>
      </c>
      <c r="J2058" s="34" t="n">
        <f aca="false">MAX(1,ROUNDUP(Packages!$O$192/(R_SLAB*Fronts!$K$12),0))+SLAB_CURE</f>
        <v>5</v>
      </c>
      <c r="K2058" s="34" t="n">
        <f aca="false">IF(J2058=0,0,ROUNDUP(J2058*7/WD,0))</f>
        <v>6</v>
      </c>
      <c r="L2058" s="15" t="s">
        <v>5766</v>
      </c>
      <c r="M2058" s="34" t="n">
        <f aca="false">ROUNDUP(K2057*LADDER,0)</f>
        <v>1</v>
      </c>
      <c r="N2058" s="34" t="n">
        <f aca="false">IF(K2058=0,0,FFLAG)</f>
        <v>2</v>
      </c>
      <c r="O2058" s="15"/>
      <c r="P2058" s="16" t="n">
        <f aca="false">MAX(P2057+M2058,R2036)</f>
        <v>46421</v>
      </c>
      <c r="Q2058" s="16" t="n">
        <f aca="false">MAX(P2058+K2058,Q2057+N2058)</f>
        <v>46427</v>
      </c>
      <c r="R2058" s="16" t="n">
        <f aca="false">IF(K2058&gt;0,Q2058,R2036)</f>
        <v>46427</v>
      </c>
      <c r="S2058" s="15" t="s">
        <v>5737</v>
      </c>
    </row>
    <row r="2059" customFormat="false" ht="15" hidden="false" customHeight="false" outlineLevel="0" collapsed="false">
      <c r="A2059" s="15" t="s">
        <v>5769</v>
      </c>
      <c r="B2059" s="15" t="s">
        <v>5759</v>
      </c>
      <c r="C2059" s="15" t="s">
        <v>406</v>
      </c>
      <c r="D2059" s="15" t="s">
        <v>1996</v>
      </c>
      <c r="E2059" s="15" t="s">
        <v>2001</v>
      </c>
      <c r="F2059" s="15" t="s">
        <v>3025</v>
      </c>
      <c r="G2059" s="15" t="s">
        <v>3026</v>
      </c>
      <c r="H2059" s="33" t="n">
        <f aca="false">Packages!$O$192</f>
        <v>30.5156039629667</v>
      </c>
      <c r="I2059" s="15" t="s">
        <v>118</v>
      </c>
      <c r="J2059" s="34" t="n">
        <f aca="false">MAX(1,ROUNDUP(Packages!$O$192/(IF(Packages!$N$192&gt;=PIPE_T1,R_PIPE_L,IF(Packages!$N$192&gt;=PIPE_T2,R_PIPE_M,R_PIPE_S))*Fronts!$L$12)+Packages!$M$192*FIT_D+IF(Packages!$G$192&lt;&gt;"Run",TIE_D,0),0))</f>
        <v>4</v>
      </c>
      <c r="K2059" s="34" t="n">
        <f aca="false">IF(J2059=0,0,ROUNDUP(J2059*7/WD,0))</f>
        <v>5</v>
      </c>
      <c r="L2059" s="15" t="s">
        <v>5768</v>
      </c>
      <c r="M2059" s="34" t="n">
        <f aca="false">ROUNDUP(K2058*LADDER,0)</f>
        <v>2</v>
      </c>
      <c r="N2059" s="34" t="n">
        <f aca="false">IF(K2059=0,0,FFLAG)</f>
        <v>2</v>
      </c>
      <c r="O2059" s="15"/>
      <c r="P2059" s="16" t="n">
        <f aca="false">MAX(P2058+M2059,R2037)</f>
        <v>46423</v>
      </c>
      <c r="Q2059" s="16" t="n">
        <f aca="false">MAX(P2059+K2059,Q2058+N2059)</f>
        <v>46429</v>
      </c>
      <c r="R2059" s="16" t="n">
        <f aca="false">IF(K2059&gt;0,Q2059,R2037)</f>
        <v>46429</v>
      </c>
      <c r="S2059" s="15" t="s">
        <v>5738</v>
      </c>
    </row>
    <row r="2060" customFormat="false" ht="15" hidden="false" customHeight="false" outlineLevel="0" collapsed="false">
      <c r="A2060" s="15" t="s">
        <v>5770</v>
      </c>
      <c r="B2060" s="15" t="s">
        <v>5759</v>
      </c>
      <c r="C2060" s="15" t="s">
        <v>406</v>
      </c>
      <c r="D2060" s="15" t="s">
        <v>1996</v>
      </c>
      <c r="E2060" s="15" t="s">
        <v>2001</v>
      </c>
      <c r="F2060" s="15" t="s">
        <v>3028</v>
      </c>
      <c r="G2060" s="15" t="s">
        <v>3029</v>
      </c>
      <c r="H2060" s="33" t="n">
        <f aca="false">Packages!$O$192</f>
        <v>30.5156039629667</v>
      </c>
      <c r="I2060" s="15" t="s">
        <v>118</v>
      </c>
      <c r="J2060" s="34" t="n">
        <f aca="false">TEST_D+ROUNDUP(Packages!$O$192/R_TEST,0)</f>
        <v>3</v>
      </c>
      <c r="K2060" s="34" t="n">
        <f aca="false">IF(J2060=0,0,ROUNDUP(J2060*7/WD,0))</f>
        <v>4</v>
      </c>
      <c r="L2060" s="15" t="s">
        <v>5769</v>
      </c>
      <c r="M2060" s="34" t="n">
        <f aca="false">ROUNDUP(K2059*LADDER,0)</f>
        <v>2</v>
      </c>
      <c r="N2060" s="34" t="n">
        <f aca="false">IF(K2060=0,0,FFLAG)</f>
        <v>2</v>
      </c>
      <c r="O2060" s="15"/>
      <c r="P2060" s="16" t="n">
        <f aca="false">MAX(P2059+M2060)</f>
        <v>46425</v>
      </c>
      <c r="Q2060" s="16" t="n">
        <f aca="false">MAX(P2060+K2060,Q2059+N2060)</f>
        <v>46431</v>
      </c>
      <c r="R2060" s="12"/>
      <c r="S2060" s="12"/>
    </row>
    <row r="2061" customFormat="false" ht="15" hidden="false" customHeight="false" outlineLevel="0" collapsed="false">
      <c r="A2061" s="15" t="s">
        <v>5771</v>
      </c>
      <c r="B2061" s="15" t="s">
        <v>5759</v>
      </c>
      <c r="C2061" s="15" t="s">
        <v>406</v>
      </c>
      <c r="D2061" s="15" t="s">
        <v>1996</v>
      </c>
      <c r="E2061" s="15" t="s">
        <v>2001</v>
      </c>
      <c r="F2061" s="15" t="s">
        <v>3031</v>
      </c>
      <c r="G2061" s="15" t="s">
        <v>3032</v>
      </c>
      <c r="H2061" s="33" t="n">
        <f aca="false">Packages!$AB$192</f>
        <v>281.055500962091</v>
      </c>
      <c r="I2061" s="15" t="s">
        <v>3019</v>
      </c>
      <c r="J2061" s="34" t="n">
        <f aca="false">MAX(1,ROUNDUP(Packages!$AB$192/(R_BF*Fronts!$M$12),0))</f>
        <v>1</v>
      </c>
      <c r="K2061" s="34" t="n">
        <f aca="false">IF(J2061=0,0,ROUNDUP(J2061*7/WD,0))</f>
        <v>2</v>
      </c>
      <c r="L2061" s="15" t="s">
        <v>5770</v>
      </c>
      <c r="M2061" s="34" t="n">
        <f aca="false">ROUNDUP(K2060*LADDER,0)</f>
        <v>2</v>
      </c>
      <c r="N2061" s="34" t="n">
        <f aca="false">IF(K2061=0,0,FFLAG)</f>
        <v>2</v>
      </c>
      <c r="O2061" s="15" t="s">
        <v>5772</v>
      </c>
      <c r="P2061" s="16" t="n">
        <f aca="false">MAX(P2060+M2061,R2039,Q2048,Q2037)</f>
        <v>46523</v>
      </c>
      <c r="Q2061" s="16" t="n">
        <f aca="false">MAX(P2061+K2061,Q2060+N2061)</f>
        <v>46525</v>
      </c>
      <c r="R2061" s="16" t="n">
        <f aca="false">IF(K2061&gt;0,Q2061,R2039)</f>
        <v>46525</v>
      </c>
      <c r="S2061" s="15" t="s">
        <v>5740</v>
      </c>
    </row>
    <row r="2062" customFormat="false" ht="15" hidden="false" customHeight="false" outlineLevel="0" collapsed="false">
      <c r="A2062" s="15" t="s">
        <v>5773</v>
      </c>
      <c r="B2062" s="15" t="s">
        <v>5759</v>
      </c>
      <c r="C2062" s="15" t="s">
        <v>406</v>
      </c>
      <c r="D2062" s="15" t="s">
        <v>1996</v>
      </c>
      <c r="E2062" s="15" t="s">
        <v>2001</v>
      </c>
      <c r="F2062" s="15" t="s">
        <v>3034</v>
      </c>
      <c r="G2062" s="15" t="s">
        <v>3035</v>
      </c>
      <c r="H2062" s="33" t="n">
        <f aca="false">Packages!$AD$192</f>
        <v>61.0312079259333</v>
      </c>
      <c r="I2062" s="15" t="s">
        <v>3012</v>
      </c>
      <c r="J2062" s="34" t="n">
        <f aca="false">IF(Packages!$AD$192&gt;0,ROUNDUP(Packages!$AD$192/R_EXT,0),0)+IF(Packages!$AG$192&gt;0,1,0)</f>
        <v>3</v>
      </c>
      <c r="K2062" s="34" t="n">
        <f aca="false">IF(J2062=0,0,ROUNDUP(J2062*7/WD,0))</f>
        <v>4</v>
      </c>
      <c r="L2062" s="15" t="s">
        <v>5771</v>
      </c>
      <c r="M2062" s="34" t="n">
        <f aca="false">ROUNDUP(K2061*LADDER,0)</f>
        <v>1</v>
      </c>
      <c r="N2062" s="34" t="n">
        <f aca="false">IF(K2062=0,0,FFLAG)</f>
        <v>2</v>
      </c>
      <c r="O2062" s="15"/>
      <c r="P2062" s="16" t="n">
        <f aca="false">MAX(P2061+M2062)</f>
        <v>46524</v>
      </c>
      <c r="Q2062" s="16" t="n">
        <f aca="false">MAX(P2062+K2062,Q2061+N2062)</f>
        <v>46528</v>
      </c>
      <c r="R2062" s="12"/>
      <c r="S2062" s="12"/>
    </row>
    <row r="2063" customFormat="false" ht="15" hidden="false" customHeight="false" outlineLevel="0" collapsed="false">
      <c r="A2063" s="15" t="s">
        <v>5774</v>
      </c>
      <c r="B2063" s="15" t="s">
        <v>5775</v>
      </c>
      <c r="C2063" s="15" t="s">
        <v>406</v>
      </c>
      <c r="D2063" s="15" t="s">
        <v>1996</v>
      </c>
      <c r="E2063" s="15" t="s">
        <v>1997</v>
      </c>
      <c r="F2063" s="15" t="s">
        <v>2998</v>
      </c>
      <c r="G2063" s="15" t="s">
        <v>2999</v>
      </c>
      <c r="H2063" s="12"/>
      <c r="I2063" s="12"/>
      <c r="J2063" s="34" t="n">
        <f aca="false">0</f>
        <v>0</v>
      </c>
      <c r="K2063" s="34" t="n">
        <f aca="false">IF(J2063=0,0,ROUNDUP(J2063*7/WD,0))</f>
        <v>0</v>
      </c>
      <c r="L2063" s="12"/>
      <c r="M2063" s="12"/>
      <c r="N2063" s="12"/>
      <c r="O2063" s="15" t="s">
        <v>3038</v>
      </c>
      <c r="P2063" s="16" t="n">
        <f aca="false">MAX(START,D_DLU,Packages!$I$193,Packages!$K$193)</f>
        <v>46357</v>
      </c>
      <c r="Q2063" s="16" t="n">
        <f aca="false">P2063+K2063</f>
        <v>46357</v>
      </c>
      <c r="R2063" s="12"/>
      <c r="S2063" s="12"/>
    </row>
    <row r="2064" customFormat="false" ht="15" hidden="false" customHeight="false" outlineLevel="0" collapsed="false">
      <c r="A2064" s="15" t="s">
        <v>5776</v>
      </c>
      <c r="B2064" s="15" t="s">
        <v>5775</v>
      </c>
      <c r="C2064" s="15" t="s">
        <v>406</v>
      </c>
      <c r="D2064" s="15" t="s">
        <v>1996</v>
      </c>
      <c r="E2064" s="15" t="s">
        <v>1997</v>
      </c>
      <c r="F2064" s="15" t="s">
        <v>3002</v>
      </c>
      <c r="G2064" s="15" t="s">
        <v>205</v>
      </c>
      <c r="H2064" s="33" t="n">
        <f aca="false">Packages!$O$193</f>
        <v>2.50609331492831</v>
      </c>
      <c r="I2064" s="15" t="s">
        <v>118</v>
      </c>
      <c r="J2064" s="34" t="n">
        <f aca="false">MAX(1,ROUNDUP(Packages!$O$193/R_PLAT,0))</f>
        <v>1</v>
      </c>
      <c r="K2064" s="34" t="n">
        <f aca="false">IF(J2064=0,0,ROUNDUP(J2064*7/WD,0))</f>
        <v>2</v>
      </c>
      <c r="L2064" s="15" t="s">
        <v>5774</v>
      </c>
      <c r="M2064" s="12"/>
      <c r="N2064" s="12"/>
      <c r="O2064" s="15" t="s">
        <v>5777</v>
      </c>
      <c r="P2064" s="16" t="n">
        <f aca="false">MAX(Q2063,P2054)</f>
        <v>46393</v>
      </c>
      <c r="Q2064" s="16" t="n">
        <f aca="false">P2064+K2064</f>
        <v>46395</v>
      </c>
      <c r="R2064" s="12"/>
      <c r="S2064" s="12"/>
    </row>
    <row r="2065" customFormat="false" ht="15" hidden="false" customHeight="false" outlineLevel="0" collapsed="false">
      <c r="A2065" s="15" t="s">
        <v>5778</v>
      </c>
      <c r="B2065" s="15" t="s">
        <v>5775</v>
      </c>
      <c r="C2065" s="15" t="s">
        <v>406</v>
      </c>
      <c r="D2065" s="15" t="s">
        <v>1996</v>
      </c>
      <c r="E2065" s="15" t="s">
        <v>1997</v>
      </c>
      <c r="F2065" s="15" t="s">
        <v>3005</v>
      </c>
      <c r="G2065" s="15" t="s">
        <v>3006</v>
      </c>
      <c r="H2065" s="33" t="n">
        <f aca="false">Packages!$AC$193</f>
        <v>4</v>
      </c>
      <c r="I2065" s="15" t="s">
        <v>3007</v>
      </c>
      <c r="J2065" s="34" t="n">
        <f aca="false">IF(Packages!$AC$193=0,0,MAX(1,ROUNDUP(Packages!$AC$193/(R_PILE*Fronts!$H$12),0)))</f>
        <v>1</v>
      </c>
      <c r="K2065" s="34" t="n">
        <f aca="false">IF(J2065=0,0,ROUNDUP(J2065*7/WD,0))</f>
        <v>2</v>
      </c>
      <c r="L2065" s="15" t="s">
        <v>5776</v>
      </c>
      <c r="M2065" s="34" t="n">
        <f aca="false">ROUNDUP(K2064*LADDER,0)</f>
        <v>1</v>
      </c>
      <c r="N2065" s="34" t="n">
        <f aca="false">IF(K2065=0,0,FFLAG)</f>
        <v>2</v>
      </c>
      <c r="O2065" s="15" t="s">
        <v>3008</v>
      </c>
      <c r="P2065" s="16" t="n">
        <f aca="false">MAX(P2064+M2065,D_PILEDES)</f>
        <v>46394</v>
      </c>
      <c r="Q2065" s="16" t="n">
        <f aca="false">MAX(P2065+K2065,Q2064+N2065)</f>
        <v>46397</v>
      </c>
      <c r="R2065" s="16" t="n">
        <f aca="false">IF(K2065&gt;0,Q2065,0)</f>
        <v>46397</v>
      </c>
      <c r="S2065" s="12"/>
    </row>
    <row r="2066" customFormat="false" ht="15" hidden="false" customHeight="false" outlineLevel="0" collapsed="false">
      <c r="A2066" s="15" t="s">
        <v>5779</v>
      </c>
      <c r="B2066" s="15" t="s">
        <v>5775</v>
      </c>
      <c r="C2066" s="15" t="s">
        <v>406</v>
      </c>
      <c r="D2066" s="15" t="s">
        <v>1996</v>
      </c>
      <c r="E2066" s="15" t="s">
        <v>1997</v>
      </c>
      <c r="F2066" s="15" t="s">
        <v>3010</v>
      </c>
      <c r="G2066" s="15" t="s">
        <v>3011</v>
      </c>
      <c r="H2066" s="33" t="n">
        <f aca="false">Packages!$AD$193</f>
        <v>5.01218662985661</v>
      </c>
      <c r="I2066" s="15" t="s">
        <v>3012</v>
      </c>
      <c r="J2066" s="34" t="n">
        <f aca="false">IF(Packages!$AD$193=0,0,MAX(1,ROUNDUP(Packages!$AD$193/(R_SHEET*Fronts!$I$12),0)))</f>
        <v>1</v>
      </c>
      <c r="K2066" s="34" t="n">
        <f aca="false">IF(J2066=0,0,ROUNDUP(J2066*7/WD,0))</f>
        <v>2</v>
      </c>
      <c r="L2066" s="15" t="s">
        <v>5778</v>
      </c>
      <c r="M2066" s="34" t="n">
        <f aca="false">ROUNDUP(K2065*LADDER,0)</f>
        <v>1</v>
      </c>
      <c r="N2066" s="34" t="n">
        <f aca="false">IF(K2066=0,0,FFLAG)</f>
        <v>2</v>
      </c>
      <c r="O2066" s="15"/>
      <c r="P2066" s="16" t="n">
        <f aca="false">MAX(P2065+M2066)</f>
        <v>46395</v>
      </c>
      <c r="Q2066" s="16" t="n">
        <f aca="false">MAX(P2066+K2066,Q2065+N2066)</f>
        <v>46399</v>
      </c>
      <c r="R2066" s="16" t="n">
        <f aca="false">IF(K2066&gt;0,Q2066,0)</f>
        <v>46399</v>
      </c>
      <c r="S2066" s="12"/>
    </row>
    <row r="2067" customFormat="false" ht="15" hidden="false" customHeight="false" outlineLevel="0" collapsed="false">
      <c r="A2067" s="15" t="s">
        <v>5780</v>
      </c>
      <c r="B2067" s="15" t="s">
        <v>5775</v>
      </c>
      <c r="C2067" s="15" t="s">
        <v>406</v>
      </c>
      <c r="D2067" s="15" t="s">
        <v>1996</v>
      </c>
      <c r="E2067" s="15" t="s">
        <v>1997</v>
      </c>
      <c r="F2067" s="15" t="s">
        <v>3014</v>
      </c>
      <c r="G2067" s="15" t="s">
        <v>3015</v>
      </c>
      <c r="H2067" s="33" t="n">
        <f aca="false">Packages!$O$193</f>
        <v>2.50609331492831</v>
      </c>
      <c r="I2067" s="15" t="s">
        <v>118</v>
      </c>
      <c r="J2067" s="34" t="n">
        <f aca="false">IF(Packages!$AG$193=0,0,ROUNDUP(Packages!$O$193/R_DW,0)+DW_DRAW)</f>
        <v>8</v>
      </c>
      <c r="K2067" s="34" t="n">
        <f aca="false">IF(J2067=0,0,ROUNDUP(J2067*7/WD,0))</f>
        <v>10</v>
      </c>
      <c r="L2067" s="15" t="s">
        <v>5779</v>
      </c>
      <c r="M2067" s="34" t="n">
        <f aca="false">ROUNDUP(K2066*LADDER,0)</f>
        <v>1</v>
      </c>
      <c r="N2067" s="34" t="n">
        <f aca="false">IF(K2067=0,0,FFLAG)</f>
        <v>2</v>
      </c>
      <c r="O2067" s="15"/>
      <c r="P2067" s="16" t="n">
        <f aca="false">MAX(P2066+M2067)</f>
        <v>46396</v>
      </c>
      <c r="Q2067" s="16" t="n">
        <f aca="false">MAX(P2067+K2067,Q2066+N2067)</f>
        <v>46406</v>
      </c>
      <c r="R2067" s="12"/>
      <c r="S2067" s="12"/>
    </row>
    <row r="2068" customFormat="false" ht="15" hidden="false" customHeight="false" outlineLevel="0" collapsed="false">
      <c r="A2068" s="15" t="s">
        <v>5781</v>
      </c>
      <c r="B2068" s="15" t="s">
        <v>5775</v>
      </c>
      <c r="C2068" s="15" t="s">
        <v>406</v>
      </c>
      <c r="D2068" s="15" t="s">
        <v>1996</v>
      </c>
      <c r="E2068" s="15" t="s">
        <v>1997</v>
      </c>
      <c r="F2068" s="15" t="s">
        <v>3017</v>
      </c>
      <c r="G2068" s="15" t="s">
        <v>3018</v>
      </c>
      <c r="H2068" s="33" t="n">
        <f aca="false">Packages!$X$193+Packages!$Y$193</f>
        <v>32.247096229026</v>
      </c>
      <c r="I2068" s="15" t="s">
        <v>3019</v>
      </c>
      <c r="J2068" s="34" t="n">
        <f aca="false">MAX(1,ROUNDUP((Packages!$X$193/R_EXS+Packages!$Y$193/R_EXO)/Fronts!$J$12,0))</f>
        <v>1</v>
      </c>
      <c r="K2068" s="34" t="n">
        <f aca="false">IF(J2068=0,0,ROUNDUP(J2068*7/WD,0))</f>
        <v>2</v>
      </c>
      <c r="L2068" s="15" t="s">
        <v>5780</v>
      </c>
      <c r="M2068" s="34" t="n">
        <f aca="false">IF(K2067=0,0,ROUNDUP((K2067-ROUNDUP(DW_DRAW*7/WD,0))*LADDER,0)+ROUNDUP(DW_DRAW*7/WD,0))</f>
        <v>10</v>
      </c>
      <c r="N2068" s="34" t="n">
        <f aca="false">IF(K2068=0,0,FFLAG)</f>
        <v>2</v>
      </c>
      <c r="O2068" s="15" t="s">
        <v>5767</v>
      </c>
      <c r="P2068" s="16" t="n">
        <f aca="false">MAX(P2067+M2068,P2046,P2035)</f>
        <v>46406</v>
      </c>
      <c r="Q2068" s="16" t="n">
        <f aca="false">MAX(P2068+K2068,Q2067+N2068)</f>
        <v>46408</v>
      </c>
      <c r="R2068" s="16" t="n">
        <f aca="false">IF(K2068&gt;0,Q2068,0)</f>
        <v>46408</v>
      </c>
      <c r="S2068" s="12"/>
    </row>
    <row r="2069" customFormat="false" ht="15" hidden="false" customHeight="false" outlineLevel="0" collapsed="false">
      <c r="A2069" s="15" t="s">
        <v>5782</v>
      </c>
      <c r="B2069" s="15" t="s">
        <v>5775</v>
      </c>
      <c r="C2069" s="15" t="s">
        <v>406</v>
      </c>
      <c r="D2069" s="15" t="s">
        <v>1996</v>
      </c>
      <c r="E2069" s="15" t="s">
        <v>1997</v>
      </c>
      <c r="F2069" s="15" t="s">
        <v>3022</v>
      </c>
      <c r="G2069" s="15" t="s">
        <v>3023</v>
      </c>
      <c r="H2069" s="33" t="n">
        <f aca="false">Packages!$O$193</f>
        <v>2.50609331492831</v>
      </c>
      <c r="I2069" s="15" t="s">
        <v>118</v>
      </c>
      <c r="J2069" s="34" t="n">
        <f aca="false">MAX(1,ROUNDUP(Packages!$O$193/(R_SLAB*Fronts!$K$12),0))+SLAB_CURE</f>
        <v>4</v>
      </c>
      <c r="K2069" s="34" t="n">
        <f aca="false">IF(J2069=0,0,ROUNDUP(J2069*7/WD,0))</f>
        <v>5</v>
      </c>
      <c r="L2069" s="15" t="s">
        <v>5781</v>
      </c>
      <c r="M2069" s="34" t="n">
        <f aca="false">ROUNDUP(K2068*LADDER,0)</f>
        <v>1</v>
      </c>
      <c r="N2069" s="34" t="n">
        <f aca="false">IF(K2069=0,0,FFLAG)</f>
        <v>2</v>
      </c>
      <c r="O2069" s="15"/>
      <c r="P2069" s="16" t="n">
        <f aca="false">MAX(P2068+M2069)</f>
        <v>46407</v>
      </c>
      <c r="Q2069" s="16" t="n">
        <f aca="false">MAX(P2069+K2069,Q2068+N2069)</f>
        <v>46412</v>
      </c>
      <c r="R2069" s="16" t="n">
        <f aca="false">IF(K2069&gt;0,Q2069,0)</f>
        <v>46412</v>
      </c>
      <c r="S2069" s="12"/>
    </row>
    <row r="2070" customFormat="false" ht="15" hidden="false" customHeight="false" outlineLevel="0" collapsed="false">
      <c r="A2070" s="15" t="s">
        <v>5783</v>
      </c>
      <c r="B2070" s="15" t="s">
        <v>5775</v>
      </c>
      <c r="C2070" s="15" t="s">
        <v>406</v>
      </c>
      <c r="D2070" s="15" t="s">
        <v>1996</v>
      </c>
      <c r="E2070" s="15" t="s">
        <v>1997</v>
      </c>
      <c r="F2070" s="15" t="s">
        <v>3025</v>
      </c>
      <c r="G2070" s="15" t="s">
        <v>3026</v>
      </c>
      <c r="H2070" s="33" t="n">
        <f aca="false">Packages!$O$193</f>
        <v>2.50609331492831</v>
      </c>
      <c r="I2070" s="15" t="s">
        <v>118</v>
      </c>
      <c r="J2070" s="34" t="n">
        <f aca="false">MAX(1,ROUNDUP(Packages!$O$193/(IF(Packages!$N$193&gt;=PIPE_T1,R_PIPE_L,IF(Packages!$N$193&gt;=PIPE_T2,R_PIPE_M,R_PIPE_S))*Fronts!$L$12)+Packages!$M$193*FIT_D+IF(Packages!$G$193&lt;&gt;"Run",TIE_D,0),0))</f>
        <v>5</v>
      </c>
      <c r="K2070" s="34" t="n">
        <f aca="false">IF(J2070=0,0,ROUNDUP(J2070*7/WD,0))</f>
        <v>6</v>
      </c>
      <c r="L2070" s="15" t="s">
        <v>5782</v>
      </c>
      <c r="M2070" s="34" t="n">
        <f aca="false">ROUNDUP(K2069*LADDER,0)</f>
        <v>2</v>
      </c>
      <c r="N2070" s="34" t="n">
        <f aca="false">IF(K2070=0,0,FFLAG)</f>
        <v>2</v>
      </c>
      <c r="O2070" s="15" t="s">
        <v>5784</v>
      </c>
      <c r="P2070" s="16" t="n">
        <f aca="false">MAX(P2069+M2070,Q2059)</f>
        <v>46429</v>
      </c>
      <c r="Q2070" s="16" t="n">
        <f aca="false">MAX(P2070+K2070,Q2069+N2070)</f>
        <v>46435</v>
      </c>
      <c r="R2070" s="16" t="n">
        <f aca="false">IF(K2070&gt;0,Q2070,0)</f>
        <v>46435</v>
      </c>
      <c r="S2070" s="12"/>
    </row>
    <row r="2071" customFormat="false" ht="15" hidden="false" customHeight="false" outlineLevel="0" collapsed="false">
      <c r="A2071" s="15" t="s">
        <v>5785</v>
      </c>
      <c r="B2071" s="15" t="s">
        <v>5775</v>
      </c>
      <c r="C2071" s="15" t="s">
        <v>406</v>
      </c>
      <c r="D2071" s="15" t="s">
        <v>1996</v>
      </c>
      <c r="E2071" s="15" t="s">
        <v>1997</v>
      </c>
      <c r="F2071" s="15" t="s">
        <v>3028</v>
      </c>
      <c r="G2071" s="15" t="s">
        <v>3029</v>
      </c>
      <c r="H2071" s="33" t="n">
        <f aca="false">Packages!$O$193</f>
        <v>2.50609331492831</v>
      </c>
      <c r="I2071" s="15" t="s">
        <v>118</v>
      </c>
      <c r="J2071" s="34" t="n">
        <f aca="false">TEST_D+ROUNDUP(Packages!$O$193/R_TEST,0)</f>
        <v>3</v>
      </c>
      <c r="K2071" s="34" t="n">
        <f aca="false">IF(J2071=0,0,ROUNDUP(J2071*7/WD,0))</f>
        <v>4</v>
      </c>
      <c r="L2071" s="15" t="s">
        <v>5783</v>
      </c>
      <c r="M2071" s="34" t="n">
        <f aca="false">ROUNDUP(K2070*LADDER,0)</f>
        <v>2</v>
      </c>
      <c r="N2071" s="34" t="n">
        <f aca="false">IF(K2071=0,0,FFLAG)</f>
        <v>2</v>
      </c>
      <c r="O2071" s="15"/>
      <c r="P2071" s="16" t="n">
        <f aca="false">MAX(P2070+M2071)</f>
        <v>46431</v>
      </c>
      <c r="Q2071" s="16" t="n">
        <f aca="false">MAX(P2071+K2071,Q2070+N2071)</f>
        <v>46437</v>
      </c>
      <c r="R2071" s="12"/>
      <c r="S2071" s="12"/>
    </row>
    <row r="2072" customFormat="false" ht="15" hidden="false" customHeight="false" outlineLevel="0" collapsed="false">
      <c r="A2072" s="15" t="s">
        <v>5786</v>
      </c>
      <c r="B2072" s="15" t="s">
        <v>5775</v>
      </c>
      <c r="C2072" s="15" t="s">
        <v>406</v>
      </c>
      <c r="D2072" s="15" t="s">
        <v>1996</v>
      </c>
      <c r="E2072" s="15" t="s">
        <v>1997</v>
      </c>
      <c r="F2072" s="15" t="s">
        <v>3031</v>
      </c>
      <c r="G2072" s="15" t="s">
        <v>3032</v>
      </c>
      <c r="H2072" s="33" t="n">
        <f aca="false">Packages!$AB$193</f>
        <v>21.8316141929649</v>
      </c>
      <c r="I2072" s="15" t="s">
        <v>3019</v>
      </c>
      <c r="J2072" s="34" t="n">
        <f aca="false">MAX(1,ROUNDUP(Packages!$AB$193/(R_BF*Fronts!$M$12),0))</f>
        <v>1</v>
      </c>
      <c r="K2072" s="34" t="n">
        <f aca="false">IF(J2072=0,0,ROUNDUP(J2072*7/WD,0))</f>
        <v>2</v>
      </c>
      <c r="L2072" s="15" t="s">
        <v>5785</v>
      </c>
      <c r="M2072" s="34" t="n">
        <f aca="false">ROUNDUP(K2071*LADDER,0)</f>
        <v>2</v>
      </c>
      <c r="N2072" s="34" t="n">
        <f aca="false">IF(K2072=0,0,FFLAG)</f>
        <v>2</v>
      </c>
      <c r="O2072" s="15" t="s">
        <v>5772</v>
      </c>
      <c r="P2072" s="16" t="n">
        <f aca="false">MAX(P2071+M2072,Q2048,Q2037)</f>
        <v>46433</v>
      </c>
      <c r="Q2072" s="16" t="n">
        <f aca="false">MAX(P2072+K2072,Q2071+N2072)</f>
        <v>46439</v>
      </c>
      <c r="R2072" s="16" t="n">
        <f aca="false">IF(K2072&gt;0,Q2072,0)</f>
        <v>46439</v>
      </c>
      <c r="S2072" s="12"/>
    </row>
    <row r="2073" customFormat="false" ht="15" hidden="false" customHeight="false" outlineLevel="0" collapsed="false">
      <c r="A2073" s="15" t="s">
        <v>5787</v>
      </c>
      <c r="B2073" s="15" t="s">
        <v>5775</v>
      </c>
      <c r="C2073" s="15" t="s">
        <v>406</v>
      </c>
      <c r="D2073" s="15" t="s">
        <v>1996</v>
      </c>
      <c r="E2073" s="15" t="s">
        <v>1997</v>
      </c>
      <c r="F2073" s="15" t="s">
        <v>3034</v>
      </c>
      <c r="G2073" s="15" t="s">
        <v>3035</v>
      </c>
      <c r="H2073" s="33" t="n">
        <f aca="false">Packages!$AD$193</f>
        <v>5.01218662985661</v>
      </c>
      <c r="I2073" s="15" t="s">
        <v>3012</v>
      </c>
      <c r="J2073" s="34" t="n">
        <f aca="false">IF(Packages!$AD$193&gt;0,ROUNDUP(Packages!$AD$193/R_EXT,0),0)+IF(Packages!$AG$193&gt;0,1,0)</f>
        <v>2</v>
      </c>
      <c r="K2073" s="34" t="n">
        <f aca="false">IF(J2073=0,0,ROUNDUP(J2073*7/WD,0))</f>
        <v>3</v>
      </c>
      <c r="L2073" s="15" t="s">
        <v>5786</v>
      </c>
      <c r="M2073" s="34" t="n">
        <f aca="false">ROUNDUP(K2072*LADDER,0)</f>
        <v>1</v>
      </c>
      <c r="N2073" s="34" t="n">
        <f aca="false">IF(K2073=0,0,FFLAG)</f>
        <v>2</v>
      </c>
      <c r="O2073" s="15"/>
      <c r="P2073" s="16" t="n">
        <f aca="false">MAX(P2072+M2073)</f>
        <v>46434</v>
      </c>
      <c r="Q2073" s="16" t="n">
        <f aca="false">MAX(P2073+K2073,Q2072+N2073)</f>
        <v>46441</v>
      </c>
      <c r="R2073" s="12"/>
      <c r="S2073" s="12"/>
    </row>
    <row r="2074" customFormat="false" ht="15" hidden="false" customHeight="false" outlineLevel="0" collapsed="false">
      <c r="A2074" s="15" t="s">
        <v>5788</v>
      </c>
      <c r="B2074" s="15" t="s">
        <v>5789</v>
      </c>
      <c r="C2074" s="15" t="s">
        <v>406</v>
      </c>
      <c r="D2074" s="15" t="s">
        <v>993</v>
      </c>
      <c r="E2074" s="15" t="s">
        <v>1064</v>
      </c>
      <c r="F2074" s="15" t="s">
        <v>2998</v>
      </c>
      <c r="G2074" s="15" t="s">
        <v>2999</v>
      </c>
      <c r="H2074" s="12"/>
      <c r="I2074" s="12"/>
      <c r="J2074" s="34" t="n">
        <f aca="false">0</f>
        <v>0</v>
      </c>
      <c r="K2074" s="34" t="n">
        <f aca="false">IF(J2074=0,0,ROUNDUP(J2074*7/WD,0))</f>
        <v>0</v>
      </c>
      <c r="L2074" s="12"/>
      <c r="M2074" s="12"/>
      <c r="N2074" s="12"/>
      <c r="O2074" s="15" t="s">
        <v>3000</v>
      </c>
      <c r="P2074" s="16" t="n">
        <f aca="false">MAX(START,D_DLU,Packages!$I$194,Packages!$K$194)</f>
        <v>46357</v>
      </c>
      <c r="Q2074" s="16" t="n">
        <f aca="false">P2074+K2074</f>
        <v>46357</v>
      </c>
      <c r="R2074" s="12"/>
      <c r="S2074" s="12"/>
    </row>
    <row r="2075" customFormat="false" ht="15" hidden="false" customHeight="false" outlineLevel="0" collapsed="false">
      <c r="A2075" s="15" t="s">
        <v>5790</v>
      </c>
      <c r="B2075" s="15" t="s">
        <v>5789</v>
      </c>
      <c r="C2075" s="15" t="s">
        <v>406</v>
      </c>
      <c r="D2075" s="15" t="s">
        <v>993</v>
      </c>
      <c r="E2075" s="15" t="s">
        <v>1064</v>
      </c>
      <c r="F2075" s="15" t="s">
        <v>3002</v>
      </c>
      <c r="G2075" s="15" t="s">
        <v>205</v>
      </c>
      <c r="H2075" s="33" t="n">
        <f aca="false">Packages!$O$194</f>
        <v>10.9818039713504</v>
      </c>
      <c r="I2075" s="15" t="s">
        <v>118</v>
      </c>
      <c r="J2075" s="34" t="n">
        <f aca="false">MAX(1,ROUNDUP(Packages!$O$194/R_PLAT,0))</f>
        <v>1</v>
      </c>
      <c r="K2075" s="34" t="n">
        <f aca="false">IF(J2075=0,0,ROUNDUP(J2075*7/WD,0))</f>
        <v>2</v>
      </c>
      <c r="L2075" s="15" t="s">
        <v>5788</v>
      </c>
      <c r="M2075" s="12"/>
      <c r="N2075" s="12"/>
      <c r="O2075" s="15" t="s">
        <v>5791</v>
      </c>
      <c r="P2075" s="16" t="n">
        <f aca="false">MAX(Q2074,P2054)</f>
        <v>46393</v>
      </c>
      <c r="Q2075" s="16" t="n">
        <f aca="false">P2075+K2075</f>
        <v>46395</v>
      </c>
      <c r="R2075" s="12"/>
      <c r="S2075" s="12"/>
    </row>
    <row r="2076" customFormat="false" ht="15" hidden="false" customHeight="false" outlineLevel="0" collapsed="false">
      <c r="A2076" s="15" t="s">
        <v>5792</v>
      </c>
      <c r="B2076" s="15" t="s">
        <v>5789</v>
      </c>
      <c r="C2076" s="15" t="s">
        <v>406</v>
      </c>
      <c r="D2076" s="15" t="s">
        <v>993</v>
      </c>
      <c r="E2076" s="15" t="s">
        <v>1064</v>
      </c>
      <c r="F2076" s="15" t="s">
        <v>3005</v>
      </c>
      <c r="G2076" s="15" t="s">
        <v>3006</v>
      </c>
      <c r="H2076" s="33" t="n">
        <f aca="false">Packages!$AC$194</f>
        <v>10</v>
      </c>
      <c r="I2076" s="15" t="s">
        <v>3007</v>
      </c>
      <c r="J2076" s="34" t="n">
        <f aca="false">IF(Packages!$AC$194=0,0,MAX(1,ROUNDUP(Packages!$AC$194/(R_PILE*Fronts!$H$12),0)))</f>
        <v>1</v>
      </c>
      <c r="K2076" s="34" t="n">
        <f aca="false">IF(J2076=0,0,ROUNDUP(J2076*7/WD,0))</f>
        <v>2</v>
      </c>
      <c r="L2076" s="15" t="s">
        <v>5790</v>
      </c>
      <c r="M2076" s="34" t="n">
        <f aca="false">ROUNDUP(K2075*LADDER,0)</f>
        <v>1</v>
      </c>
      <c r="N2076" s="34" t="n">
        <f aca="false">IF(K2076=0,0,FFLAG)</f>
        <v>2</v>
      </c>
      <c r="O2076" s="15" t="s">
        <v>3008</v>
      </c>
      <c r="P2076" s="16" t="n">
        <f aca="false">MAX(P2075+M2076,D_PILEDES,R2054)</f>
        <v>46397</v>
      </c>
      <c r="Q2076" s="16" t="n">
        <f aca="false">MAX(P2076+K2076,Q2075+N2076)</f>
        <v>46399</v>
      </c>
      <c r="R2076" s="16" t="n">
        <f aca="false">IF(K2076&gt;0,Q2076,R2054)</f>
        <v>46399</v>
      </c>
      <c r="S2076" s="15" t="s">
        <v>5762</v>
      </c>
    </row>
    <row r="2077" customFormat="false" ht="15" hidden="false" customHeight="false" outlineLevel="0" collapsed="false">
      <c r="A2077" s="15" t="s">
        <v>5793</v>
      </c>
      <c r="B2077" s="15" t="s">
        <v>5789</v>
      </c>
      <c r="C2077" s="15" t="s">
        <v>406</v>
      </c>
      <c r="D2077" s="15" t="s">
        <v>993</v>
      </c>
      <c r="E2077" s="15" t="s">
        <v>1064</v>
      </c>
      <c r="F2077" s="15" t="s">
        <v>3010</v>
      </c>
      <c r="G2077" s="15" t="s">
        <v>3011</v>
      </c>
      <c r="H2077" s="33" t="n">
        <f aca="false">Packages!$AD$194</f>
        <v>21.9636079427008</v>
      </c>
      <c r="I2077" s="15" t="s">
        <v>3012</v>
      </c>
      <c r="J2077" s="34" t="n">
        <f aca="false">IF(Packages!$AD$194=0,0,MAX(1,ROUNDUP(Packages!$AD$194/(R_SHEET*Fronts!$I$12),0)))</f>
        <v>1</v>
      </c>
      <c r="K2077" s="34" t="n">
        <f aca="false">IF(J2077=0,0,ROUNDUP(J2077*7/WD,0))</f>
        <v>2</v>
      </c>
      <c r="L2077" s="15" t="s">
        <v>5792</v>
      </c>
      <c r="M2077" s="34" t="n">
        <f aca="false">ROUNDUP(K2076*LADDER,0)</f>
        <v>1</v>
      </c>
      <c r="N2077" s="34" t="n">
        <f aca="false">IF(K2077=0,0,FFLAG)</f>
        <v>2</v>
      </c>
      <c r="O2077" s="15"/>
      <c r="P2077" s="16" t="n">
        <f aca="false">MAX(P2076+M2077,R2055)</f>
        <v>46399</v>
      </c>
      <c r="Q2077" s="16" t="n">
        <f aca="false">MAX(P2077+K2077,Q2076+N2077)</f>
        <v>46401</v>
      </c>
      <c r="R2077" s="16" t="n">
        <f aca="false">IF(K2077&gt;0,Q2077,R2055)</f>
        <v>46401</v>
      </c>
      <c r="S2077" s="15" t="s">
        <v>5763</v>
      </c>
    </row>
    <row r="2078" customFormat="false" ht="15" hidden="false" customHeight="false" outlineLevel="0" collapsed="false">
      <c r="A2078" s="15" t="s">
        <v>5794</v>
      </c>
      <c r="B2078" s="15" t="s">
        <v>5789</v>
      </c>
      <c r="C2078" s="15" t="s">
        <v>406</v>
      </c>
      <c r="D2078" s="15" t="s">
        <v>993</v>
      </c>
      <c r="E2078" s="15" t="s">
        <v>1064</v>
      </c>
      <c r="F2078" s="15" t="s">
        <v>3014</v>
      </c>
      <c r="G2078" s="15" t="s">
        <v>3015</v>
      </c>
      <c r="H2078" s="33" t="n">
        <f aca="false">Packages!$O$194</f>
        <v>10.9818039713504</v>
      </c>
      <c r="I2078" s="15" t="s">
        <v>118</v>
      </c>
      <c r="J2078" s="34" t="n">
        <f aca="false">IF(Packages!$AG$194=0,0,ROUNDUP(Packages!$O$194/R_DW,0)+DW_DRAW)</f>
        <v>8</v>
      </c>
      <c r="K2078" s="34" t="n">
        <f aca="false">IF(J2078=0,0,ROUNDUP(J2078*7/WD,0))</f>
        <v>10</v>
      </c>
      <c r="L2078" s="15" t="s">
        <v>5793</v>
      </c>
      <c r="M2078" s="34" t="n">
        <f aca="false">ROUNDUP(K2077*LADDER,0)</f>
        <v>1</v>
      </c>
      <c r="N2078" s="34" t="n">
        <f aca="false">IF(K2078=0,0,FFLAG)</f>
        <v>2</v>
      </c>
      <c r="O2078" s="15" t="s">
        <v>5795</v>
      </c>
      <c r="P2078" s="16" t="n">
        <f aca="false">MAX(P2077+M2078,Q2057-K2078)</f>
        <v>46400</v>
      </c>
      <c r="Q2078" s="16" t="n">
        <f aca="false">MAX(P2078+K2078,Q2077+N2078)</f>
        <v>46410</v>
      </c>
      <c r="R2078" s="12"/>
      <c r="S2078" s="12"/>
    </row>
    <row r="2079" customFormat="false" ht="15" hidden="false" customHeight="false" outlineLevel="0" collapsed="false">
      <c r="A2079" s="15" t="s">
        <v>5796</v>
      </c>
      <c r="B2079" s="15" t="s">
        <v>5789</v>
      </c>
      <c r="C2079" s="15" t="s">
        <v>406</v>
      </c>
      <c r="D2079" s="15" t="s">
        <v>993</v>
      </c>
      <c r="E2079" s="15" t="s">
        <v>1064</v>
      </c>
      <c r="F2079" s="15" t="s">
        <v>3017</v>
      </c>
      <c r="G2079" s="15" t="s">
        <v>3018</v>
      </c>
      <c r="H2079" s="33" t="n">
        <f aca="false">Packages!$X$194+Packages!$Y$194</f>
        <v>140.567192666189</v>
      </c>
      <c r="I2079" s="15" t="s">
        <v>3019</v>
      </c>
      <c r="J2079" s="34" t="n">
        <f aca="false">MAX(1,ROUNDUP((Packages!$X$194/R_EXS+Packages!$Y$194/R_EXO)/Fronts!$J$12,0))</f>
        <v>1</v>
      </c>
      <c r="K2079" s="34" t="n">
        <f aca="false">IF(J2079=0,0,ROUNDUP(J2079*7/WD,0))</f>
        <v>2</v>
      </c>
      <c r="L2079" s="15" t="s">
        <v>5794</v>
      </c>
      <c r="M2079" s="34" t="n">
        <f aca="false">IF(K2078=0,0,ROUNDUP((K2078-ROUNDUP(DW_DRAW*7/WD,0))*LADDER,0)+ROUNDUP(DW_DRAW*7/WD,0))</f>
        <v>10</v>
      </c>
      <c r="N2079" s="34" t="n">
        <f aca="false">IF(K2079=0,0,FFLAG)</f>
        <v>2</v>
      </c>
      <c r="O2079" s="15"/>
      <c r="P2079" s="16" t="n">
        <f aca="false">MAX(P2078+M2079,R2057)</f>
        <v>46410</v>
      </c>
      <c r="Q2079" s="16" t="n">
        <f aca="false">MAX(P2079+K2079,Q2078+N2079)</f>
        <v>46412</v>
      </c>
      <c r="R2079" s="16" t="n">
        <f aca="false">IF(K2079&gt;0,Q2079,R2057)</f>
        <v>46412</v>
      </c>
      <c r="S2079" s="15" t="s">
        <v>5766</v>
      </c>
    </row>
    <row r="2080" customFormat="false" ht="15" hidden="false" customHeight="false" outlineLevel="0" collapsed="false">
      <c r="A2080" s="15" t="s">
        <v>5797</v>
      </c>
      <c r="B2080" s="15" t="s">
        <v>5789</v>
      </c>
      <c r="C2080" s="15" t="s">
        <v>406</v>
      </c>
      <c r="D2080" s="15" t="s">
        <v>993</v>
      </c>
      <c r="E2080" s="15" t="s">
        <v>1064</v>
      </c>
      <c r="F2080" s="15" t="s">
        <v>3022</v>
      </c>
      <c r="G2080" s="15" t="s">
        <v>3023</v>
      </c>
      <c r="H2080" s="33" t="n">
        <f aca="false">Packages!$O$194</f>
        <v>10.9818039713504</v>
      </c>
      <c r="I2080" s="15" t="s">
        <v>118</v>
      </c>
      <c r="J2080" s="34" t="n">
        <f aca="false">MAX(1,ROUNDUP(Packages!$O$194/(R_SLAB*Fronts!$K$12),0))+SLAB_CURE</f>
        <v>4</v>
      </c>
      <c r="K2080" s="34" t="n">
        <f aca="false">IF(J2080=0,0,ROUNDUP(J2080*7/WD,0))</f>
        <v>5</v>
      </c>
      <c r="L2080" s="15" t="s">
        <v>5796</v>
      </c>
      <c r="M2080" s="34" t="n">
        <f aca="false">ROUNDUP(K2079*LADDER,0)</f>
        <v>1</v>
      </c>
      <c r="N2080" s="34" t="n">
        <f aca="false">IF(K2080=0,0,FFLAG)</f>
        <v>2</v>
      </c>
      <c r="O2080" s="15"/>
      <c r="P2080" s="16" t="n">
        <f aca="false">MAX(P2079+M2080,R2058)</f>
        <v>46427</v>
      </c>
      <c r="Q2080" s="16" t="n">
        <f aca="false">MAX(P2080+K2080,Q2079+N2080)</f>
        <v>46432</v>
      </c>
      <c r="R2080" s="16" t="n">
        <f aca="false">IF(K2080&gt;0,Q2080,R2058)</f>
        <v>46432</v>
      </c>
      <c r="S2080" s="15" t="s">
        <v>5768</v>
      </c>
    </row>
    <row r="2081" customFormat="false" ht="15" hidden="false" customHeight="false" outlineLevel="0" collapsed="false">
      <c r="A2081" s="15" t="s">
        <v>5798</v>
      </c>
      <c r="B2081" s="15" t="s">
        <v>5789</v>
      </c>
      <c r="C2081" s="15" t="s">
        <v>406</v>
      </c>
      <c r="D2081" s="15" t="s">
        <v>993</v>
      </c>
      <c r="E2081" s="15" t="s">
        <v>1064</v>
      </c>
      <c r="F2081" s="15" t="s">
        <v>3025</v>
      </c>
      <c r="G2081" s="15" t="s">
        <v>3026</v>
      </c>
      <c r="H2081" s="33" t="n">
        <f aca="false">Packages!$O$194</f>
        <v>10.9818039713504</v>
      </c>
      <c r="I2081" s="15" t="s">
        <v>118</v>
      </c>
      <c r="J2081" s="34" t="n">
        <f aca="false">MAX(1,ROUNDUP(Packages!$O$194/(IF(Packages!$N$194&gt;=PIPE_T1,R_PIPE_L,IF(Packages!$N$194&gt;=PIPE_T2,R_PIPE_M,R_PIPE_S))*Fronts!$L$12)+Packages!$M$194*FIT_D+IF(Packages!$G$194&lt;&gt;"Run",TIE_D,0),0))</f>
        <v>1</v>
      </c>
      <c r="K2081" s="34" t="n">
        <f aca="false">IF(J2081=0,0,ROUNDUP(J2081*7/WD,0))</f>
        <v>2</v>
      </c>
      <c r="L2081" s="15" t="s">
        <v>5797</v>
      </c>
      <c r="M2081" s="34" t="n">
        <f aca="false">ROUNDUP(K2080*LADDER,0)</f>
        <v>2</v>
      </c>
      <c r="N2081" s="34" t="n">
        <f aca="false">IF(K2081=0,0,FFLAG)</f>
        <v>2</v>
      </c>
      <c r="O2081" s="15"/>
      <c r="P2081" s="16" t="n">
        <f aca="false">MAX(P2080+M2081,R2059)</f>
        <v>46429</v>
      </c>
      <c r="Q2081" s="16" t="n">
        <f aca="false">MAX(P2081+K2081,Q2080+N2081)</f>
        <v>46434</v>
      </c>
      <c r="R2081" s="16" t="n">
        <f aca="false">IF(K2081&gt;0,Q2081,R2059)</f>
        <v>46434</v>
      </c>
      <c r="S2081" s="15" t="s">
        <v>5769</v>
      </c>
    </row>
    <row r="2082" customFormat="false" ht="15" hidden="false" customHeight="false" outlineLevel="0" collapsed="false">
      <c r="A2082" s="15" t="s">
        <v>5799</v>
      </c>
      <c r="B2082" s="15" t="s">
        <v>5789</v>
      </c>
      <c r="C2082" s="15" t="s">
        <v>406</v>
      </c>
      <c r="D2082" s="15" t="s">
        <v>993</v>
      </c>
      <c r="E2082" s="15" t="s">
        <v>1064</v>
      </c>
      <c r="F2082" s="15" t="s">
        <v>3028</v>
      </c>
      <c r="G2082" s="15" t="s">
        <v>3029</v>
      </c>
      <c r="H2082" s="33" t="n">
        <f aca="false">Packages!$O$194</f>
        <v>10.9818039713504</v>
      </c>
      <c r="I2082" s="15" t="s">
        <v>118</v>
      </c>
      <c r="J2082" s="34" t="n">
        <f aca="false">TEST_D+ROUNDUP(Packages!$O$194/R_TEST,0)</f>
        <v>3</v>
      </c>
      <c r="K2082" s="34" t="n">
        <f aca="false">IF(J2082=0,0,ROUNDUP(J2082*7/WD,0))</f>
        <v>4</v>
      </c>
      <c r="L2082" s="15" t="s">
        <v>5798</v>
      </c>
      <c r="M2082" s="34" t="n">
        <f aca="false">ROUNDUP(K2081*LADDER,0)</f>
        <v>1</v>
      </c>
      <c r="N2082" s="34" t="n">
        <f aca="false">IF(K2082=0,0,FFLAG)</f>
        <v>2</v>
      </c>
      <c r="O2082" s="15"/>
      <c r="P2082" s="16" t="n">
        <f aca="false">MAX(P2081+M2082)</f>
        <v>46430</v>
      </c>
      <c r="Q2082" s="16" t="n">
        <f aca="false">MAX(P2082+K2082,Q2081+N2082)</f>
        <v>46436</v>
      </c>
      <c r="R2082" s="12"/>
      <c r="S2082" s="12"/>
    </row>
    <row r="2083" customFormat="false" ht="15" hidden="false" customHeight="false" outlineLevel="0" collapsed="false">
      <c r="A2083" s="15" t="s">
        <v>5800</v>
      </c>
      <c r="B2083" s="15" t="s">
        <v>5789</v>
      </c>
      <c r="C2083" s="15" t="s">
        <v>406</v>
      </c>
      <c r="D2083" s="15" t="s">
        <v>993</v>
      </c>
      <c r="E2083" s="15" t="s">
        <v>1064</v>
      </c>
      <c r="F2083" s="15" t="s">
        <v>3031</v>
      </c>
      <c r="G2083" s="15" t="s">
        <v>3032</v>
      </c>
      <c r="H2083" s="33" t="n">
        <f aca="false">Packages!$AB$194</f>
        <v>116.067037243947</v>
      </c>
      <c r="I2083" s="15" t="s">
        <v>3019</v>
      </c>
      <c r="J2083" s="34" t="n">
        <f aca="false">MAX(1,ROUNDUP(Packages!$AB$194/(R_BF*Fronts!$M$12),0))</f>
        <v>1</v>
      </c>
      <c r="K2083" s="34" t="n">
        <f aca="false">IF(J2083=0,0,ROUNDUP(J2083*7/WD,0))</f>
        <v>2</v>
      </c>
      <c r="L2083" s="15" t="s">
        <v>5799</v>
      </c>
      <c r="M2083" s="34" t="n">
        <f aca="false">ROUNDUP(K2082*LADDER,0)</f>
        <v>2</v>
      </c>
      <c r="N2083" s="34" t="n">
        <f aca="false">IF(K2083=0,0,FFLAG)</f>
        <v>2</v>
      </c>
      <c r="O2083" s="15" t="s">
        <v>5801</v>
      </c>
      <c r="P2083" s="16" t="n">
        <f aca="false">MAX(P2082+M2083,R2061,Q2136)</f>
        <v>46525</v>
      </c>
      <c r="Q2083" s="16" t="n">
        <f aca="false">MAX(P2083+K2083,Q2082+N2083)</f>
        <v>46527</v>
      </c>
      <c r="R2083" s="16" t="n">
        <f aca="false">IF(K2083&gt;0,Q2083,R2061)</f>
        <v>46527</v>
      </c>
      <c r="S2083" s="15" t="s">
        <v>5771</v>
      </c>
    </row>
    <row r="2084" customFormat="false" ht="15" hidden="false" customHeight="false" outlineLevel="0" collapsed="false">
      <c r="A2084" s="15" t="s">
        <v>5802</v>
      </c>
      <c r="B2084" s="15" t="s">
        <v>5789</v>
      </c>
      <c r="C2084" s="15" t="s">
        <v>406</v>
      </c>
      <c r="D2084" s="15" t="s">
        <v>993</v>
      </c>
      <c r="E2084" s="15" t="s">
        <v>1064</v>
      </c>
      <c r="F2084" s="15" t="s">
        <v>3034</v>
      </c>
      <c r="G2084" s="15" t="s">
        <v>3035</v>
      </c>
      <c r="H2084" s="33" t="n">
        <f aca="false">Packages!$AD$194</f>
        <v>21.9636079427008</v>
      </c>
      <c r="I2084" s="15" t="s">
        <v>3012</v>
      </c>
      <c r="J2084" s="34" t="n">
        <f aca="false">IF(Packages!$AD$194&gt;0,ROUNDUP(Packages!$AD$194/R_EXT,0),0)+IF(Packages!$AG$194&gt;0,1,0)</f>
        <v>2</v>
      </c>
      <c r="K2084" s="34" t="n">
        <f aca="false">IF(J2084=0,0,ROUNDUP(J2084*7/WD,0))</f>
        <v>3</v>
      </c>
      <c r="L2084" s="15" t="s">
        <v>5800</v>
      </c>
      <c r="M2084" s="34" t="n">
        <f aca="false">ROUNDUP(K2083*LADDER,0)</f>
        <v>1</v>
      </c>
      <c r="N2084" s="34" t="n">
        <f aca="false">IF(K2084=0,0,FFLAG)</f>
        <v>2</v>
      </c>
      <c r="O2084" s="15"/>
      <c r="P2084" s="16" t="n">
        <f aca="false">MAX(P2083+M2084)</f>
        <v>46526</v>
      </c>
      <c r="Q2084" s="16" t="n">
        <f aca="false">MAX(P2084+K2084,Q2083+N2084)</f>
        <v>46529</v>
      </c>
      <c r="R2084" s="12"/>
      <c r="S2084" s="12"/>
    </row>
    <row r="2085" customFormat="false" ht="15" hidden="false" customHeight="false" outlineLevel="0" collapsed="false">
      <c r="A2085" s="15" t="s">
        <v>5803</v>
      </c>
      <c r="B2085" s="15" t="s">
        <v>5804</v>
      </c>
      <c r="C2085" s="15" t="s">
        <v>406</v>
      </c>
      <c r="D2085" s="15" t="s">
        <v>993</v>
      </c>
      <c r="E2085" s="15" t="s">
        <v>1021</v>
      </c>
      <c r="F2085" s="15" t="s">
        <v>2998</v>
      </c>
      <c r="G2085" s="15" t="s">
        <v>2999</v>
      </c>
      <c r="H2085" s="12"/>
      <c r="I2085" s="12"/>
      <c r="J2085" s="34" t="n">
        <f aca="false">0</f>
        <v>0</v>
      </c>
      <c r="K2085" s="34" t="n">
        <f aca="false">IF(J2085=0,0,ROUNDUP(J2085*7/WD,0))</f>
        <v>0</v>
      </c>
      <c r="L2085" s="12"/>
      <c r="M2085" s="12"/>
      <c r="N2085" s="12"/>
      <c r="O2085" s="15" t="s">
        <v>3000</v>
      </c>
      <c r="P2085" s="16" t="n">
        <f aca="false">MAX(START,D_DLU,Packages!$I$195,Packages!$K$195)</f>
        <v>46357</v>
      </c>
      <c r="Q2085" s="16" t="n">
        <f aca="false">P2085+K2085</f>
        <v>46357</v>
      </c>
      <c r="R2085" s="12"/>
      <c r="S2085" s="12"/>
    </row>
    <row r="2086" customFormat="false" ht="15" hidden="false" customHeight="false" outlineLevel="0" collapsed="false">
      <c r="A2086" s="15" t="s">
        <v>5805</v>
      </c>
      <c r="B2086" s="15" t="s">
        <v>5804</v>
      </c>
      <c r="C2086" s="15" t="s">
        <v>406</v>
      </c>
      <c r="D2086" s="15" t="s">
        <v>993</v>
      </c>
      <c r="E2086" s="15" t="s">
        <v>1021</v>
      </c>
      <c r="F2086" s="15" t="s">
        <v>3002</v>
      </c>
      <c r="G2086" s="15" t="s">
        <v>205</v>
      </c>
      <c r="H2086" s="33" t="n">
        <f aca="false">Packages!$O$195</f>
        <v>122.119825809492</v>
      </c>
      <c r="I2086" s="15" t="s">
        <v>118</v>
      </c>
      <c r="J2086" s="34" t="n">
        <f aca="false">MAX(1,ROUNDUP(Packages!$O$195/R_PLAT,0))</f>
        <v>2</v>
      </c>
      <c r="K2086" s="34" t="n">
        <f aca="false">IF(J2086=0,0,ROUNDUP(J2086*7/WD,0))</f>
        <v>3</v>
      </c>
      <c r="L2086" s="15" t="s">
        <v>5803</v>
      </c>
      <c r="M2086" s="12"/>
      <c r="N2086" s="12"/>
      <c r="O2086" s="15" t="s">
        <v>5806</v>
      </c>
      <c r="P2086" s="16" t="n">
        <f aca="false">MAX(Q2085,P2076)</f>
        <v>46397</v>
      </c>
      <c r="Q2086" s="16" t="n">
        <f aca="false">P2086+K2086</f>
        <v>46400</v>
      </c>
      <c r="R2086" s="12"/>
      <c r="S2086" s="12"/>
    </row>
    <row r="2087" customFormat="false" ht="15" hidden="false" customHeight="false" outlineLevel="0" collapsed="false">
      <c r="A2087" s="15" t="s">
        <v>5807</v>
      </c>
      <c r="B2087" s="15" t="s">
        <v>5804</v>
      </c>
      <c r="C2087" s="15" t="s">
        <v>406</v>
      </c>
      <c r="D2087" s="15" t="s">
        <v>993</v>
      </c>
      <c r="E2087" s="15" t="s">
        <v>1021</v>
      </c>
      <c r="F2087" s="15" t="s">
        <v>3005</v>
      </c>
      <c r="G2087" s="15" t="s">
        <v>3006</v>
      </c>
      <c r="H2087" s="33" t="n">
        <f aca="false">Packages!$AC$195</f>
        <v>84</v>
      </c>
      <c r="I2087" s="15" t="s">
        <v>3007</v>
      </c>
      <c r="J2087" s="34" t="n">
        <f aca="false">IF(Packages!$AC$195=0,0,MAX(1,ROUNDUP(Packages!$AC$195/(R_PILE*Fronts!$H$12),0)))</f>
        <v>9</v>
      </c>
      <c r="K2087" s="34" t="n">
        <f aca="false">IF(J2087=0,0,ROUNDUP(J2087*7/WD,0))</f>
        <v>11</v>
      </c>
      <c r="L2087" s="15" t="s">
        <v>5805</v>
      </c>
      <c r="M2087" s="34" t="n">
        <f aca="false">ROUNDUP(K2086*LADDER,0)</f>
        <v>1</v>
      </c>
      <c r="N2087" s="34" t="n">
        <f aca="false">IF(K2087=0,0,FFLAG)</f>
        <v>2</v>
      </c>
      <c r="O2087" s="15" t="s">
        <v>3008</v>
      </c>
      <c r="P2087" s="16" t="n">
        <f aca="false">MAX(P2086+M2087,D_PILEDES,R2076)</f>
        <v>46399</v>
      </c>
      <c r="Q2087" s="16" t="n">
        <f aca="false">MAX(P2087+K2087,Q2086+N2087)</f>
        <v>46410</v>
      </c>
      <c r="R2087" s="16" t="n">
        <f aca="false">IF(K2087&gt;0,Q2087,R2076)</f>
        <v>46410</v>
      </c>
      <c r="S2087" s="15" t="s">
        <v>5792</v>
      </c>
    </row>
    <row r="2088" customFormat="false" ht="15" hidden="false" customHeight="false" outlineLevel="0" collapsed="false">
      <c r="A2088" s="15" t="s">
        <v>5808</v>
      </c>
      <c r="B2088" s="15" t="s">
        <v>5804</v>
      </c>
      <c r="C2088" s="15" t="s">
        <v>406</v>
      </c>
      <c r="D2088" s="15" t="s">
        <v>993</v>
      </c>
      <c r="E2088" s="15" t="s">
        <v>1021</v>
      </c>
      <c r="F2088" s="15" t="s">
        <v>3010</v>
      </c>
      <c r="G2088" s="15" t="s">
        <v>3011</v>
      </c>
      <c r="H2088" s="33" t="n">
        <f aca="false">Packages!$AD$195</f>
        <v>244.239651618984</v>
      </c>
      <c r="I2088" s="15" t="s">
        <v>3012</v>
      </c>
      <c r="J2088" s="34" t="n">
        <f aca="false">IF(Packages!$AD$195=0,0,MAX(1,ROUNDUP(Packages!$AD$195/(R_SHEET*Fronts!$I$12),0)))</f>
        <v>5</v>
      </c>
      <c r="K2088" s="34" t="n">
        <f aca="false">IF(J2088=0,0,ROUNDUP(J2088*7/WD,0))</f>
        <v>6</v>
      </c>
      <c r="L2088" s="15" t="s">
        <v>5807</v>
      </c>
      <c r="M2088" s="34" t="n">
        <f aca="false">ROUNDUP(K2087*LADDER,0)</f>
        <v>4</v>
      </c>
      <c r="N2088" s="34" t="n">
        <f aca="false">IF(K2088=0,0,FFLAG)</f>
        <v>2</v>
      </c>
      <c r="O2088" s="15"/>
      <c r="P2088" s="16" t="n">
        <f aca="false">MAX(P2087+M2088,R2077)</f>
        <v>46403</v>
      </c>
      <c r="Q2088" s="16" t="n">
        <f aca="false">MAX(P2088+K2088,Q2087+N2088)</f>
        <v>46412</v>
      </c>
      <c r="R2088" s="16" t="n">
        <f aca="false">IF(K2088&gt;0,Q2088,R2077)</f>
        <v>46412</v>
      </c>
      <c r="S2088" s="15" t="s">
        <v>5793</v>
      </c>
    </row>
    <row r="2089" customFormat="false" ht="15" hidden="false" customHeight="false" outlineLevel="0" collapsed="false">
      <c r="A2089" s="15" t="s">
        <v>5809</v>
      </c>
      <c r="B2089" s="15" t="s">
        <v>5804</v>
      </c>
      <c r="C2089" s="15" t="s">
        <v>406</v>
      </c>
      <c r="D2089" s="15" t="s">
        <v>993</v>
      </c>
      <c r="E2089" s="15" t="s">
        <v>1021</v>
      </c>
      <c r="F2089" s="15" t="s">
        <v>3014</v>
      </c>
      <c r="G2089" s="15" t="s">
        <v>3015</v>
      </c>
      <c r="H2089" s="33" t="n">
        <f aca="false">Packages!$O$195</f>
        <v>122.119825809492</v>
      </c>
      <c r="I2089" s="15" t="s">
        <v>118</v>
      </c>
      <c r="J2089" s="34" t="n">
        <f aca="false">IF(Packages!$AG$195=0,0,ROUNDUP(Packages!$O$195/R_DW,0)+DW_DRAW)</f>
        <v>11</v>
      </c>
      <c r="K2089" s="34" t="n">
        <f aca="false">IF(J2089=0,0,ROUNDUP(J2089*7/WD,0))</f>
        <v>13</v>
      </c>
      <c r="L2089" s="15" t="s">
        <v>5808</v>
      </c>
      <c r="M2089" s="34" t="n">
        <f aca="false">ROUNDUP(K2088*LADDER,0)</f>
        <v>2</v>
      </c>
      <c r="N2089" s="34" t="n">
        <f aca="false">IF(K2089=0,0,FFLAG)</f>
        <v>2</v>
      </c>
      <c r="O2089" s="15" t="s">
        <v>5810</v>
      </c>
      <c r="P2089" s="16" t="n">
        <f aca="false">MAX(P2088+M2089,Q2079-K2089)</f>
        <v>46405</v>
      </c>
      <c r="Q2089" s="16" t="n">
        <f aca="false">MAX(P2089+K2089,Q2088+N2089)</f>
        <v>46418</v>
      </c>
      <c r="R2089" s="12"/>
      <c r="S2089" s="12"/>
    </row>
    <row r="2090" customFormat="false" ht="15" hidden="false" customHeight="false" outlineLevel="0" collapsed="false">
      <c r="A2090" s="15" t="s">
        <v>5811</v>
      </c>
      <c r="B2090" s="15" t="s">
        <v>5804</v>
      </c>
      <c r="C2090" s="15" t="s">
        <v>406</v>
      </c>
      <c r="D2090" s="15" t="s">
        <v>993</v>
      </c>
      <c r="E2090" s="15" t="s">
        <v>1021</v>
      </c>
      <c r="F2090" s="15" t="s">
        <v>3017</v>
      </c>
      <c r="G2090" s="15" t="s">
        <v>3018</v>
      </c>
      <c r="H2090" s="33" t="n">
        <f aca="false">Packages!$X$195+Packages!$Y$195</f>
        <v>1568.87560374384</v>
      </c>
      <c r="I2090" s="15" t="s">
        <v>3019</v>
      </c>
      <c r="J2090" s="34" t="n">
        <f aca="false">MAX(1,ROUNDUP((Packages!$X$195/R_EXS+Packages!$Y$195/R_EXO)/Fronts!$J$12,0))</f>
        <v>4</v>
      </c>
      <c r="K2090" s="34" t="n">
        <f aca="false">IF(J2090=0,0,ROUNDUP(J2090*7/WD,0))</f>
        <v>5</v>
      </c>
      <c r="L2090" s="15" t="s">
        <v>5809</v>
      </c>
      <c r="M2090" s="34" t="n">
        <f aca="false">IF(K2089=0,0,ROUNDUP((K2089-ROUNDUP(DW_DRAW*7/WD,0))*LADDER,0)+ROUNDUP(DW_DRAW*7/WD,0))</f>
        <v>11</v>
      </c>
      <c r="N2090" s="34" t="n">
        <f aca="false">IF(K2090=0,0,FFLAG)</f>
        <v>2</v>
      </c>
      <c r="O2090" s="15"/>
      <c r="P2090" s="16" t="n">
        <f aca="false">MAX(P2089+M2090,R2079)</f>
        <v>46416</v>
      </c>
      <c r="Q2090" s="16" t="n">
        <f aca="false">MAX(P2090+K2090,Q2089+N2090)</f>
        <v>46421</v>
      </c>
      <c r="R2090" s="16" t="n">
        <f aca="false">IF(K2090&gt;0,Q2090,R2079)</f>
        <v>46421</v>
      </c>
      <c r="S2090" s="15" t="s">
        <v>5796</v>
      </c>
    </row>
    <row r="2091" customFormat="false" ht="15" hidden="false" customHeight="false" outlineLevel="0" collapsed="false">
      <c r="A2091" s="15" t="s">
        <v>5812</v>
      </c>
      <c r="B2091" s="15" t="s">
        <v>5804</v>
      </c>
      <c r="C2091" s="15" t="s">
        <v>406</v>
      </c>
      <c r="D2091" s="15" t="s">
        <v>993</v>
      </c>
      <c r="E2091" s="15" t="s">
        <v>1021</v>
      </c>
      <c r="F2091" s="15" t="s">
        <v>3022</v>
      </c>
      <c r="G2091" s="15" t="s">
        <v>3023</v>
      </c>
      <c r="H2091" s="33" t="n">
        <f aca="false">Packages!$O$195</f>
        <v>122.119825809492</v>
      </c>
      <c r="I2091" s="15" t="s">
        <v>118</v>
      </c>
      <c r="J2091" s="34" t="n">
        <f aca="false">MAX(1,ROUNDUP(Packages!$O$195/(R_SLAB*Fronts!$K$12),0))+SLAB_CURE</f>
        <v>9</v>
      </c>
      <c r="K2091" s="34" t="n">
        <f aca="false">IF(J2091=0,0,ROUNDUP(J2091*7/WD,0))</f>
        <v>11</v>
      </c>
      <c r="L2091" s="15" t="s">
        <v>5811</v>
      </c>
      <c r="M2091" s="34" t="n">
        <f aca="false">ROUNDUP(K2090*LADDER,0)</f>
        <v>2</v>
      </c>
      <c r="N2091" s="34" t="n">
        <f aca="false">IF(K2091=0,0,FFLAG)</f>
        <v>2</v>
      </c>
      <c r="O2091" s="15"/>
      <c r="P2091" s="16" t="n">
        <f aca="false">MAX(P2090+M2091,R2080)</f>
        <v>46432</v>
      </c>
      <c r="Q2091" s="16" t="n">
        <f aca="false">MAX(P2091+K2091,Q2090+N2091)</f>
        <v>46443</v>
      </c>
      <c r="R2091" s="16" t="n">
        <f aca="false">IF(K2091&gt;0,Q2091,R2080)</f>
        <v>46443</v>
      </c>
      <c r="S2091" s="15" t="s">
        <v>5797</v>
      </c>
    </row>
    <row r="2092" customFormat="false" ht="15" hidden="false" customHeight="false" outlineLevel="0" collapsed="false">
      <c r="A2092" s="15" t="s">
        <v>5813</v>
      </c>
      <c r="B2092" s="15" t="s">
        <v>5804</v>
      </c>
      <c r="C2092" s="15" t="s">
        <v>406</v>
      </c>
      <c r="D2092" s="15" t="s">
        <v>993</v>
      </c>
      <c r="E2092" s="15" t="s">
        <v>1021</v>
      </c>
      <c r="F2092" s="15" t="s">
        <v>3025</v>
      </c>
      <c r="G2092" s="15" t="s">
        <v>3026</v>
      </c>
      <c r="H2092" s="33" t="n">
        <f aca="false">Packages!$O$195</f>
        <v>122.119825809492</v>
      </c>
      <c r="I2092" s="15" t="s">
        <v>118</v>
      </c>
      <c r="J2092" s="34" t="n">
        <f aca="false">MAX(1,ROUNDUP(Packages!$O$195/(IF(Packages!$N$195&gt;=PIPE_T1,R_PIPE_L,IF(Packages!$N$195&gt;=PIPE_T2,R_PIPE_M,R_PIPE_S))*Fronts!$L$12)+Packages!$M$195*FIT_D+IF(Packages!$G$195&lt;&gt;"Run",TIE_D,0),0))</f>
        <v>6</v>
      </c>
      <c r="K2092" s="34" t="n">
        <f aca="false">IF(J2092=0,0,ROUNDUP(J2092*7/WD,0))</f>
        <v>7</v>
      </c>
      <c r="L2092" s="15" t="s">
        <v>5812</v>
      </c>
      <c r="M2092" s="34" t="n">
        <f aca="false">ROUNDUP(K2091*LADDER,0)</f>
        <v>4</v>
      </c>
      <c r="N2092" s="34" t="n">
        <f aca="false">IF(K2092=0,0,FFLAG)</f>
        <v>2</v>
      </c>
      <c r="O2092" s="15"/>
      <c r="P2092" s="16" t="n">
        <f aca="false">MAX(P2091+M2092,R2081)</f>
        <v>46436</v>
      </c>
      <c r="Q2092" s="16" t="n">
        <f aca="false">MAX(P2092+K2092,Q2091+N2092)</f>
        <v>46445</v>
      </c>
      <c r="R2092" s="16" t="n">
        <f aca="false">IF(K2092&gt;0,Q2092,R2081)</f>
        <v>46445</v>
      </c>
      <c r="S2092" s="15" t="s">
        <v>5798</v>
      </c>
    </row>
    <row r="2093" customFormat="false" ht="15" hidden="false" customHeight="false" outlineLevel="0" collapsed="false">
      <c r="A2093" s="15" t="s">
        <v>5814</v>
      </c>
      <c r="B2093" s="15" t="s">
        <v>5804</v>
      </c>
      <c r="C2093" s="15" t="s">
        <v>406</v>
      </c>
      <c r="D2093" s="15" t="s">
        <v>993</v>
      </c>
      <c r="E2093" s="15" t="s">
        <v>1021</v>
      </c>
      <c r="F2093" s="15" t="s">
        <v>3028</v>
      </c>
      <c r="G2093" s="15" t="s">
        <v>3029</v>
      </c>
      <c r="H2093" s="33" t="n">
        <f aca="false">Packages!$O$195</f>
        <v>122.119825809492</v>
      </c>
      <c r="I2093" s="15" t="s">
        <v>118</v>
      </c>
      <c r="J2093" s="34" t="n">
        <f aca="false">TEST_D+ROUNDUP(Packages!$O$195/R_TEST,0)</f>
        <v>3</v>
      </c>
      <c r="K2093" s="34" t="n">
        <f aca="false">IF(J2093=0,0,ROUNDUP(J2093*7/WD,0))</f>
        <v>4</v>
      </c>
      <c r="L2093" s="15" t="s">
        <v>5813</v>
      </c>
      <c r="M2093" s="34" t="n">
        <f aca="false">ROUNDUP(K2092*LADDER,0)</f>
        <v>3</v>
      </c>
      <c r="N2093" s="34" t="n">
        <f aca="false">IF(K2093=0,0,FFLAG)</f>
        <v>2</v>
      </c>
      <c r="O2093" s="15"/>
      <c r="P2093" s="16" t="n">
        <f aca="false">MAX(P2092+M2093)</f>
        <v>46439</v>
      </c>
      <c r="Q2093" s="16" t="n">
        <f aca="false">MAX(P2093+K2093,Q2092+N2093)</f>
        <v>46447</v>
      </c>
      <c r="R2093" s="12"/>
      <c r="S2093" s="12"/>
    </row>
    <row r="2094" customFormat="false" ht="15" hidden="false" customHeight="false" outlineLevel="0" collapsed="false">
      <c r="A2094" s="15" t="s">
        <v>5815</v>
      </c>
      <c r="B2094" s="15" t="s">
        <v>5804</v>
      </c>
      <c r="C2094" s="15" t="s">
        <v>406</v>
      </c>
      <c r="D2094" s="15" t="s">
        <v>993</v>
      </c>
      <c r="E2094" s="15" t="s">
        <v>1021</v>
      </c>
      <c r="F2094" s="15" t="s">
        <v>3031</v>
      </c>
      <c r="G2094" s="15" t="s">
        <v>3032</v>
      </c>
      <c r="H2094" s="33" t="n">
        <f aca="false">Packages!$AB$195</f>
        <v>1291.70773893012</v>
      </c>
      <c r="I2094" s="15" t="s">
        <v>3019</v>
      </c>
      <c r="J2094" s="34" t="n">
        <f aca="false">MAX(1,ROUNDUP(Packages!$AB$195/(R_BF*Fronts!$M$12),0))</f>
        <v>2</v>
      </c>
      <c r="K2094" s="34" t="n">
        <f aca="false">IF(J2094=0,0,ROUNDUP(J2094*7/WD,0))</f>
        <v>3</v>
      </c>
      <c r="L2094" s="15" t="s">
        <v>5814</v>
      </c>
      <c r="M2094" s="34" t="n">
        <f aca="false">ROUNDUP(K2093*LADDER,0)</f>
        <v>2</v>
      </c>
      <c r="N2094" s="34" t="n">
        <f aca="false">IF(K2094=0,0,FFLAG)</f>
        <v>2</v>
      </c>
      <c r="O2094" s="15" t="s">
        <v>5816</v>
      </c>
      <c r="P2094" s="16" t="n">
        <f aca="false">MAX(P2093+M2094,R2083,Q2158,Q2136,Q2147)</f>
        <v>46527</v>
      </c>
      <c r="Q2094" s="16" t="n">
        <f aca="false">MAX(P2094+K2094,Q2093+N2094)</f>
        <v>46530</v>
      </c>
      <c r="R2094" s="16" t="n">
        <f aca="false">IF(K2094&gt;0,Q2094,R2083)</f>
        <v>46530</v>
      </c>
      <c r="S2094" s="15" t="s">
        <v>5800</v>
      </c>
    </row>
    <row r="2095" customFormat="false" ht="15" hidden="false" customHeight="false" outlineLevel="0" collapsed="false">
      <c r="A2095" s="15" t="s">
        <v>5817</v>
      </c>
      <c r="B2095" s="15" t="s">
        <v>5804</v>
      </c>
      <c r="C2095" s="15" t="s">
        <v>406</v>
      </c>
      <c r="D2095" s="15" t="s">
        <v>993</v>
      </c>
      <c r="E2095" s="15" t="s">
        <v>1021</v>
      </c>
      <c r="F2095" s="15" t="s">
        <v>3034</v>
      </c>
      <c r="G2095" s="15" t="s">
        <v>3035</v>
      </c>
      <c r="H2095" s="33" t="n">
        <f aca="false">Packages!$AD$195</f>
        <v>244.239651618984</v>
      </c>
      <c r="I2095" s="15" t="s">
        <v>3012</v>
      </c>
      <c r="J2095" s="34" t="n">
        <f aca="false">IF(Packages!$AD$195&gt;0,ROUNDUP(Packages!$AD$195/R_EXT,0),0)+IF(Packages!$AG$195&gt;0,1,0)</f>
        <v>6</v>
      </c>
      <c r="K2095" s="34" t="n">
        <f aca="false">IF(J2095=0,0,ROUNDUP(J2095*7/WD,0))</f>
        <v>7</v>
      </c>
      <c r="L2095" s="15" t="s">
        <v>5815</v>
      </c>
      <c r="M2095" s="34" t="n">
        <f aca="false">ROUNDUP(K2094*LADDER,0)</f>
        <v>1</v>
      </c>
      <c r="N2095" s="34" t="n">
        <f aca="false">IF(K2095=0,0,FFLAG)</f>
        <v>2</v>
      </c>
      <c r="O2095" s="15"/>
      <c r="P2095" s="16" t="n">
        <f aca="false">MAX(P2094+M2095)</f>
        <v>46528</v>
      </c>
      <c r="Q2095" s="16" t="n">
        <f aca="false">MAX(P2095+K2095,Q2094+N2095)</f>
        <v>46535</v>
      </c>
      <c r="R2095" s="12"/>
      <c r="S2095" s="12"/>
    </row>
    <row r="2096" customFormat="false" ht="15" hidden="false" customHeight="false" outlineLevel="0" collapsed="false">
      <c r="A2096" s="15" t="s">
        <v>5818</v>
      </c>
      <c r="B2096" s="15" t="s">
        <v>5819</v>
      </c>
      <c r="C2096" s="15" t="s">
        <v>406</v>
      </c>
      <c r="D2096" s="15" t="s">
        <v>1872</v>
      </c>
      <c r="E2096" s="15" t="s">
        <v>1922</v>
      </c>
      <c r="F2096" s="15" t="s">
        <v>2998</v>
      </c>
      <c r="G2096" s="15" t="s">
        <v>2999</v>
      </c>
      <c r="H2096" s="12"/>
      <c r="I2096" s="12"/>
      <c r="J2096" s="34" t="n">
        <f aca="false">0</f>
        <v>0</v>
      </c>
      <c r="K2096" s="34" t="n">
        <f aca="false">IF(J2096=0,0,ROUNDUP(J2096*7/WD,0))</f>
        <v>0</v>
      </c>
      <c r="L2096" s="12"/>
      <c r="M2096" s="12"/>
      <c r="N2096" s="12"/>
      <c r="O2096" s="15" t="s">
        <v>3000</v>
      </c>
      <c r="P2096" s="16" t="n">
        <f aca="false">MAX(START,D_DLU,Packages!$I$196,Packages!$K$196)</f>
        <v>46357</v>
      </c>
      <c r="Q2096" s="16" t="n">
        <f aca="false">P2096+K2096</f>
        <v>46357</v>
      </c>
      <c r="R2096" s="12"/>
      <c r="S2096" s="12"/>
    </row>
    <row r="2097" customFormat="false" ht="15" hidden="false" customHeight="false" outlineLevel="0" collapsed="false">
      <c r="A2097" s="15" t="s">
        <v>5820</v>
      </c>
      <c r="B2097" s="15" t="s">
        <v>5819</v>
      </c>
      <c r="C2097" s="15" t="s">
        <v>406</v>
      </c>
      <c r="D2097" s="15" t="s">
        <v>1872</v>
      </c>
      <c r="E2097" s="15" t="s">
        <v>1922</v>
      </c>
      <c r="F2097" s="15" t="s">
        <v>3002</v>
      </c>
      <c r="G2097" s="15" t="s">
        <v>205</v>
      </c>
      <c r="H2097" s="33" t="n">
        <f aca="false">Packages!$O$196</f>
        <v>75.9999999997258</v>
      </c>
      <c r="I2097" s="15" t="s">
        <v>118</v>
      </c>
      <c r="J2097" s="34" t="n">
        <f aca="false">MAX(1,ROUNDUP(Packages!$O$196/R_PLAT,0))</f>
        <v>1</v>
      </c>
      <c r="K2097" s="34" t="n">
        <f aca="false">IF(J2097=0,0,ROUNDUP(J2097*7/WD,0))</f>
        <v>2</v>
      </c>
      <c r="L2097" s="15" t="s">
        <v>5818</v>
      </c>
      <c r="M2097" s="12"/>
      <c r="N2097" s="12"/>
      <c r="O2097" s="15" t="s">
        <v>5821</v>
      </c>
      <c r="P2097" s="16" t="n">
        <f aca="false">MAX(Q2096,P2087)</f>
        <v>46399</v>
      </c>
      <c r="Q2097" s="16" t="n">
        <f aca="false">P2097+K2097</f>
        <v>46401</v>
      </c>
      <c r="R2097" s="12"/>
      <c r="S2097" s="12"/>
    </row>
    <row r="2098" customFormat="false" ht="15" hidden="false" customHeight="false" outlineLevel="0" collapsed="false">
      <c r="A2098" s="15" t="s">
        <v>5822</v>
      </c>
      <c r="B2098" s="15" t="s">
        <v>5819</v>
      </c>
      <c r="C2098" s="15" t="s">
        <v>406</v>
      </c>
      <c r="D2098" s="15" t="s">
        <v>1872</v>
      </c>
      <c r="E2098" s="15" t="s">
        <v>1922</v>
      </c>
      <c r="F2098" s="15" t="s">
        <v>3005</v>
      </c>
      <c r="G2098" s="15" t="s">
        <v>3006</v>
      </c>
      <c r="H2098" s="33" t="n">
        <f aca="false">Packages!$AC$196</f>
        <v>54</v>
      </c>
      <c r="I2098" s="15" t="s">
        <v>3007</v>
      </c>
      <c r="J2098" s="34" t="n">
        <f aca="false">IF(Packages!$AC$196=0,0,MAX(1,ROUNDUP(Packages!$AC$196/(R_PILE*Fronts!$H$12),0)))</f>
        <v>6</v>
      </c>
      <c r="K2098" s="34" t="n">
        <f aca="false">IF(J2098=0,0,ROUNDUP(J2098*7/WD,0))</f>
        <v>7</v>
      </c>
      <c r="L2098" s="15" t="s">
        <v>5820</v>
      </c>
      <c r="M2098" s="34" t="n">
        <f aca="false">ROUNDUP(K2097*LADDER,0)</f>
        <v>1</v>
      </c>
      <c r="N2098" s="34" t="n">
        <f aca="false">IF(K2098=0,0,FFLAG)</f>
        <v>2</v>
      </c>
      <c r="O2098" s="15" t="s">
        <v>3008</v>
      </c>
      <c r="P2098" s="16" t="n">
        <f aca="false">MAX(P2097+M2098,D_PILEDES,R2087)</f>
        <v>46410</v>
      </c>
      <c r="Q2098" s="16" t="n">
        <f aca="false">MAX(P2098+K2098,Q2097+N2098)</f>
        <v>46417</v>
      </c>
      <c r="R2098" s="16" t="n">
        <f aca="false">IF(K2098&gt;0,Q2098,R2087)</f>
        <v>46417</v>
      </c>
      <c r="S2098" s="15" t="s">
        <v>5807</v>
      </c>
    </row>
    <row r="2099" customFormat="false" ht="15" hidden="false" customHeight="false" outlineLevel="0" collapsed="false">
      <c r="A2099" s="15" t="s">
        <v>5823</v>
      </c>
      <c r="B2099" s="15" t="s">
        <v>5819</v>
      </c>
      <c r="C2099" s="15" t="s">
        <v>406</v>
      </c>
      <c r="D2099" s="15" t="s">
        <v>1872</v>
      </c>
      <c r="E2099" s="15" t="s">
        <v>1922</v>
      </c>
      <c r="F2099" s="15" t="s">
        <v>3010</v>
      </c>
      <c r="G2099" s="15" t="s">
        <v>3011</v>
      </c>
      <c r="H2099" s="33" t="n">
        <f aca="false">Packages!$AD$196</f>
        <v>151.999999999452</v>
      </c>
      <c r="I2099" s="15" t="s">
        <v>3012</v>
      </c>
      <c r="J2099" s="34" t="n">
        <f aca="false">IF(Packages!$AD$196=0,0,MAX(1,ROUNDUP(Packages!$AD$196/(R_SHEET*Fronts!$I$12),0)))</f>
        <v>4</v>
      </c>
      <c r="K2099" s="34" t="n">
        <f aca="false">IF(J2099=0,0,ROUNDUP(J2099*7/WD,0))</f>
        <v>5</v>
      </c>
      <c r="L2099" s="15" t="s">
        <v>5822</v>
      </c>
      <c r="M2099" s="34" t="n">
        <f aca="false">ROUNDUP(K2098*LADDER,0)</f>
        <v>3</v>
      </c>
      <c r="N2099" s="34" t="n">
        <f aca="false">IF(K2099=0,0,FFLAG)</f>
        <v>2</v>
      </c>
      <c r="O2099" s="15"/>
      <c r="P2099" s="16" t="n">
        <f aca="false">MAX(P2098+M2099,R2088)</f>
        <v>46413</v>
      </c>
      <c r="Q2099" s="16" t="n">
        <f aca="false">MAX(P2099+K2099,Q2098+N2099)</f>
        <v>46419</v>
      </c>
      <c r="R2099" s="16" t="n">
        <f aca="false">IF(K2099&gt;0,Q2099,R2088)</f>
        <v>46419</v>
      </c>
      <c r="S2099" s="15" t="s">
        <v>5808</v>
      </c>
    </row>
    <row r="2100" customFormat="false" ht="15" hidden="false" customHeight="false" outlineLevel="0" collapsed="false">
      <c r="A2100" s="15" t="s">
        <v>5824</v>
      </c>
      <c r="B2100" s="15" t="s">
        <v>5819</v>
      </c>
      <c r="C2100" s="15" t="s">
        <v>406</v>
      </c>
      <c r="D2100" s="15" t="s">
        <v>1872</v>
      </c>
      <c r="E2100" s="15" t="s">
        <v>1922</v>
      </c>
      <c r="F2100" s="15" t="s">
        <v>3014</v>
      </c>
      <c r="G2100" s="15" t="s">
        <v>3015</v>
      </c>
      <c r="H2100" s="33" t="n">
        <f aca="false">Packages!$O$196</f>
        <v>75.9999999997258</v>
      </c>
      <c r="I2100" s="15" t="s">
        <v>118</v>
      </c>
      <c r="J2100" s="34" t="n">
        <f aca="false">IF(Packages!$AG$196=0,0,ROUNDUP(Packages!$O$196/R_DW,0)+DW_DRAW)</f>
        <v>9</v>
      </c>
      <c r="K2100" s="34" t="n">
        <f aca="false">IF(J2100=0,0,ROUNDUP(J2100*7/WD,0))</f>
        <v>11</v>
      </c>
      <c r="L2100" s="15" t="s">
        <v>5823</v>
      </c>
      <c r="M2100" s="34" t="n">
        <f aca="false">ROUNDUP(K2099*LADDER,0)</f>
        <v>2</v>
      </c>
      <c r="N2100" s="34" t="n">
        <f aca="false">IF(K2100=0,0,FFLAG)</f>
        <v>2</v>
      </c>
      <c r="O2100" s="15" t="s">
        <v>5825</v>
      </c>
      <c r="P2100" s="16" t="n">
        <f aca="false">MAX(P2099+M2100,Q2090-K2100)</f>
        <v>46415</v>
      </c>
      <c r="Q2100" s="16" t="n">
        <f aca="false">MAX(P2100+K2100,Q2099+N2100)</f>
        <v>46426</v>
      </c>
      <c r="R2100" s="12"/>
      <c r="S2100" s="12"/>
    </row>
    <row r="2101" customFormat="false" ht="15" hidden="false" customHeight="false" outlineLevel="0" collapsed="false">
      <c r="A2101" s="15" t="s">
        <v>5826</v>
      </c>
      <c r="B2101" s="15" t="s">
        <v>5819</v>
      </c>
      <c r="C2101" s="15" t="s">
        <v>406</v>
      </c>
      <c r="D2101" s="15" t="s">
        <v>1872</v>
      </c>
      <c r="E2101" s="15" t="s">
        <v>1922</v>
      </c>
      <c r="F2101" s="15" t="s">
        <v>3017</v>
      </c>
      <c r="G2101" s="15" t="s">
        <v>3018</v>
      </c>
      <c r="H2101" s="33" t="n">
        <f aca="false">Packages!$X$196+Packages!$Y$196</f>
        <v>1163.98194507751</v>
      </c>
      <c r="I2101" s="15" t="s">
        <v>3019</v>
      </c>
      <c r="J2101" s="34" t="n">
        <f aca="false">MAX(1,ROUNDUP((Packages!$X$196/R_EXS+Packages!$Y$196/R_EXO)/Fronts!$J$12,0))</f>
        <v>3</v>
      </c>
      <c r="K2101" s="34" t="n">
        <f aca="false">IF(J2101=0,0,ROUNDUP(J2101*7/WD,0))</f>
        <v>4</v>
      </c>
      <c r="L2101" s="15" t="s">
        <v>5824</v>
      </c>
      <c r="M2101" s="34" t="n">
        <f aca="false">IF(K2100=0,0,ROUNDUP((K2100-ROUNDUP(DW_DRAW*7/WD,0))*LADDER,0)+ROUNDUP(DW_DRAW*7/WD,0))</f>
        <v>10</v>
      </c>
      <c r="N2101" s="34" t="n">
        <f aca="false">IF(K2101=0,0,FFLAG)</f>
        <v>2</v>
      </c>
      <c r="O2101" s="15"/>
      <c r="P2101" s="16" t="n">
        <f aca="false">MAX(P2100+M2101,R2090)</f>
        <v>46425</v>
      </c>
      <c r="Q2101" s="16" t="n">
        <f aca="false">MAX(P2101+K2101,Q2100+N2101)</f>
        <v>46429</v>
      </c>
      <c r="R2101" s="16" t="n">
        <f aca="false">IF(K2101&gt;0,Q2101,R2090)</f>
        <v>46429</v>
      </c>
      <c r="S2101" s="15" t="s">
        <v>5811</v>
      </c>
    </row>
    <row r="2102" customFormat="false" ht="15" hidden="false" customHeight="false" outlineLevel="0" collapsed="false">
      <c r="A2102" s="15" t="s">
        <v>5827</v>
      </c>
      <c r="B2102" s="15" t="s">
        <v>5819</v>
      </c>
      <c r="C2102" s="15" t="s">
        <v>406</v>
      </c>
      <c r="D2102" s="15" t="s">
        <v>1872</v>
      </c>
      <c r="E2102" s="15" t="s">
        <v>1922</v>
      </c>
      <c r="F2102" s="15" t="s">
        <v>3022</v>
      </c>
      <c r="G2102" s="15" t="s">
        <v>3023</v>
      </c>
      <c r="H2102" s="33" t="n">
        <f aca="false">Packages!$O$196</f>
        <v>75.9999999997258</v>
      </c>
      <c r="I2102" s="15" t="s">
        <v>118</v>
      </c>
      <c r="J2102" s="34" t="n">
        <f aca="false">MAX(1,ROUNDUP(Packages!$O$196/(R_SLAB*Fronts!$K$12),0))+SLAB_CURE</f>
        <v>7</v>
      </c>
      <c r="K2102" s="34" t="n">
        <f aca="false">IF(J2102=0,0,ROUNDUP(J2102*7/WD,0))</f>
        <v>9</v>
      </c>
      <c r="L2102" s="15" t="s">
        <v>5826</v>
      </c>
      <c r="M2102" s="34" t="n">
        <f aca="false">ROUNDUP(K2101*LADDER,0)</f>
        <v>2</v>
      </c>
      <c r="N2102" s="34" t="n">
        <f aca="false">IF(K2102=0,0,FFLAG)</f>
        <v>2</v>
      </c>
      <c r="O2102" s="15"/>
      <c r="P2102" s="16" t="n">
        <f aca="false">MAX(P2101+M2102,R2091)</f>
        <v>46443</v>
      </c>
      <c r="Q2102" s="16" t="n">
        <f aca="false">MAX(P2102+K2102,Q2101+N2102)</f>
        <v>46452</v>
      </c>
      <c r="R2102" s="16" t="n">
        <f aca="false">IF(K2102&gt;0,Q2102,R2091)</f>
        <v>46452</v>
      </c>
      <c r="S2102" s="15" t="s">
        <v>5812</v>
      </c>
    </row>
    <row r="2103" customFormat="false" ht="15" hidden="false" customHeight="false" outlineLevel="0" collapsed="false">
      <c r="A2103" s="15" t="s">
        <v>5828</v>
      </c>
      <c r="B2103" s="15" t="s">
        <v>5819</v>
      </c>
      <c r="C2103" s="15" t="s">
        <v>406</v>
      </c>
      <c r="D2103" s="15" t="s">
        <v>1872</v>
      </c>
      <c r="E2103" s="15" t="s">
        <v>1922</v>
      </c>
      <c r="F2103" s="15" t="s">
        <v>3025</v>
      </c>
      <c r="G2103" s="15" t="s">
        <v>3026</v>
      </c>
      <c r="H2103" s="33" t="n">
        <f aca="false">Packages!$O$196</f>
        <v>75.9999999997258</v>
      </c>
      <c r="I2103" s="15" t="s">
        <v>118</v>
      </c>
      <c r="J2103" s="34" t="n">
        <f aca="false">MAX(1,ROUNDUP(Packages!$O$196/(IF(Packages!$N$196&gt;=PIPE_T1,R_PIPE_L,IF(Packages!$N$196&gt;=PIPE_T2,R_PIPE_M,R_PIPE_S))*Fronts!$L$12)+Packages!$M$196*FIT_D+IF(Packages!$G$196&lt;&gt;"Run",TIE_D,0),0))</f>
        <v>2</v>
      </c>
      <c r="K2103" s="34" t="n">
        <f aca="false">IF(J2103=0,0,ROUNDUP(J2103*7/WD,0))</f>
        <v>3</v>
      </c>
      <c r="L2103" s="15" t="s">
        <v>5827</v>
      </c>
      <c r="M2103" s="34" t="n">
        <f aca="false">ROUNDUP(K2102*LADDER,0)</f>
        <v>3</v>
      </c>
      <c r="N2103" s="34" t="n">
        <f aca="false">IF(K2103=0,0,FFLAG)</f>
        <v>2</v>
      </c>
      <c r="O2103" s="15"/>
      <c r="P2103" s="16" t="n">
        <f aca="false">MAX(P2102+M2103,R2092)</f>
        <v>46446</v>
      </c>
      <c r="Q2103" s="16" t="n">
        <f aca="false">MAX(P2103+K2103,Q2102+N2103)</f>
        <v>46454</v>
      </c>
      <c r="R2103" s="16" t="n">
        <f aca="false">IF(K2103&gt;0,Q2103,R2092)</f>
        <v>46454</v>
      </c>
      <c r="S2103" s="15" t="s">
        <v>5813</v>
      </c>
    </row>
    <row r="2104" customFormat="false" ht="15" hidden="false" customHeight="false" outlineLevel="0" collapsed="false">
      <c r="A2104" s="15" t="s">
        <v>5829</v>
      </c>
      <c r="B2104" s="15" t="s">
        <v>5819</v>
      </c>
      <c r="C2104" s="15" t="s">
        <v>406</v>
      </c>
      <c r="D2104" s="15" t="s">
        <v>1872</v>
      </c>
      <c r="E2104" s="15" t="s">
        <v>1922</v>
      </c>
      <c r="F2104" s="15" t="s">
        <v>3028</v>
      </c>
      <c r="G2104" s="15" t="s">
        <v>3029</v>
      </c>
      <c r="H2104" s="33" t="n">
        <f aca="false">Packages!$O$196</f>
        <v>75.9999999997258</v>
      </c>
      <c r="I2104" s="15" t="s">
        <v>118</v>
      </c>
      <c r="J2104" s="34" t="n">
        <f aca="false">TEST_D+ROUNDUP(Packages!$O$196/R_TEST,0)</f>
        <v>3</v>
      </c>
      <c r="K2104" s="34" t="n">
        <f aca="false">IF(J2104=0,0,ROUNDUP(J2104*7/WD,0))</f>
        <v>4</v>
      </c>
      <c r="L2104" s="15" t="s">
        <v>5828</v>
      </c>
      <c r="M2104" s="34" t="n">
        <f aca="false">ROUNDUP(K2103*LADDER,0)</f>
        <v>1</v>
      </c>
      <c r="N2104" s="34" t="n">
        <f aca="false">IF(K2104=0,0,FFLAG)</f>
        <v>2</v>
      </c>
      <c r="O2104" s="15"/>
      <c r="P2104" s="16" t="n">
        <f aca="false">MAX(P2103+M2104)</f>
        <v>46447</v>
      </c>
      <c r="Q2104" s="16" t="n">
        <f aca="false">MAX(P2104+K2104,Q2103+N2104)</f>
        <v>46456</v>
      </c>
      <c r="R2104" s="12"/>
      <c r="S2104" s="12"/>
    </row>
    <row r="2105" customFormat="false" ht="15" hidden="false" customHeight="false" outlineLevel="0" collapsed="false">
      <c r="A2105" s="15" t="s">
        <v>5830</v>
      </c>
      <c r="B2105" s="15" t="s">
        <v>5819</v>
      </c>
      <c r="C2105" s="15" t="s">
        <v>406</v>
      </c>
      <c r="D2105" s="15" t="s">
        <v>1872</v>
      </c>
      <c r="E2105" s="15" t="s">
        <v>1922</v>
      </c>
      <c r="F2105" s="15" t="s">
        <v>3031</v>
      </c>
      <c r="G2105" s="15" t="s">
        <v>3032</v>
      </c>
      <c r="H2105" s="33" t="n">
        <f aca="false">Packages!$AB$196</f>
        <v>738.60486789326</v>
      </c>
      <c r="I2105" s="15" t="s">
        <v>3019</v>
      </c>
      <c r="J2105" s="34" t="n">
        <f aca="false">MAX(1,ROUNDUP(Packages!$AB$196/(R_BF*Fronts!$M$12),0))</f>
        <v>2</v>
      </c>
      <c r="K2105" s="34" t="n">
        <f aca="false">IF(J2105=0,0,ROUNDUP(J2105*7/WD,0))</f>
        <v>3</v>
      </c>
      <c r="L2105" s="15" t="s">
        <v>5829</v>
      </c>
      <c r="M2105" s="34" t="n">
        <f aca="false">ROUNDUP(K2104*LADDER,0)</f>
        <v>2</v>
      </c>
      <c r="N2105" s="34" t="n">
        <f aca="false">IF(K2105=0,0,FFLAG)</f>
        <v>2</v>
      </c>
      <c r="O2105" s="15" t="s">
        <v>5831</v>
      </c>
      <c r="P2105" s="16" t="n">
        <f aca="false">MAX(P2104+M2105,R2094,Q2125,Q2158,Q2147)</f>
        <v>46530</v>
      </c>
      <c r="Q2105" s="16" t="n">
        <f aca="false">MAX(P2105+K2105,Q2104+N2105)</f>
        <v>46533</v>
      </c>
      <c r="R2105" s="16" t="n">
        <f aca="false">IF(K2105&gt;0,Q2105,R2094)</f>
        <v>46533</v>
      </c>
      <c r="S2105" s="15" t="s">
        <v>5815</v>
      </c>
    </row>
    <row r="2106" customFormat="false" ht="15" hidden="false" customHeight="false" outlineLevel="0" collapsed="false">
      <c r="A2106" s="15" t="s">
        <v>5832</v>
      </c>
      <c r="B2106" s="15" t="s">
        <v>5819</v>
      </c>
      <c r="C2106" s="15" t="s">
        <v>406</v>
      </c>
      <c r="D2106" s="15" t="s">
        <v>1872</v>
      </c>
      <c r="E2106" s="15" t="s">
        <v>1922</v>
      </c>
      <c r="F2106" s="15" t="s">
        <v>3034</v>
      </c>
      <c r="G2106" s="15" t="s">
        <v>3035</v>
      </c>
      <c r="H2106" s="33" t="n">
        <f aca="false">Packages!$AD$196</f>
        <v>151.999999999452</v>
      </c>
      <c r="I2106" s="15" t="s">
        <v>3012</v>
      </c>
      <c r="J2106" s="34" t="n">
        <f aca="false">IF(Packages!$AD$196&gt;0,ROUNDUP(Packages!$AD$196/R_EXT,0),0)+IF(Packages!$AG$196&gt;0,1,0)</f>
        <v>5</v>
      </c>
      <c r="K2106" s="34" t="n">
        <f aca="false">IF(J2106=0,0,ROUNDUP(J2106*7/WD,0))</f>
        <v>6</v>
      </c>
      <c r="L2106" s="15" t="s">
        <v>5830</v>
      </c>
      <c r="M2106" s="34" t="n">
        <f aca="false">ROUNDUP(K2105*LADDER,0)</f>
        <v>1</v>
      </c>
      <c r="N2106" s="34" t="n">
        <f aca="false">IF(K2106=0,0,FFLAG)</f>
        <v>2</v>
      </c>
      <c r="O2106" s="15"/>
      <c r="P2106" s="16" t="n">
        <f aca="false">MAX(P2105+M2106)</f>
        <v>46531</v>
      </c>
      <c r="Q2106" s="16" t="n">
        <f aca="false">MAX(P2106+K2106,Q2105+N2106)</f>
        <v>46537</v>
      </c>
      <c r="R2106" s="12"/>
      <c r="S2106" s="12"/>
    </row>
    <row r="2107" customFormat="false" ht="15" hidden="false" customHeight="false" outlineLevel="0" collapsed="false">
      <c r="A2107" s="15" t="s">
        <v>5833</v>
      </c>
      <c r="B2107" s="15" t="s">
        <v>5834</v>
      </c>
      <c r="C2107" s="15" t="s">
        <v>406</v>
      </c>
      <c r="D2107" s="15" t="s">
        <v>1872</v>
      </c>
      <c r="E2107" s="15" t="s">
        <v>1932</v>
      </c>
      <c r="F2107" s="15" t="s">
        <v>2998</v>
      </c>
      <c r="G2107" s="15" t="s">
        <v>2999</v>
      </c>
      <c r="H2107" s="12"/>
      <c r="I2107" s="12"/>
      <c r="J2107" s="34" t="n">
        <f aca="false">0</f>
        <v>0</v>
      </c>
      <c r="K2107" s="34" t="n">
        <f aca="false">IF(J2107=0,0,ROUNDUP(J2107*7/WD,0))</f>
        <v>0</v>
      </c>
      <c r="L2107" s="12"/>
      <c r="M2107" s="12"/>
      <c r="N2107" s="12"/>
      <c r="O2107" s="15" t="s">
        <v>3000</v>
      </c>
      <c r="P2107" s="16" t="n">
        <f aca="false">MAX(START,D_DLU,Packages!$I$197,Packages!$K$197)</f>
        <v>46357</v>
      </c>
      <c r="Q2107" s="16" t="n">
        <f aca="false">P2107+K2107</f>
        <v>46357</v>
      </c>
      <c r="R2107" s="12"/>
      <c r="S2107" s="12"/>
    </row>
    <row r="2108" customFormat="false" ht="15" hidden="false" customHeight="false" outlineLevel="0" collapsed="false">
      <c r="A2108" s="15" t="s">
        <v>5835</v>
      </c>
      <c r="B2108" s="15" t="s">
        <v>5834</v>
      </c>
      <c r="C2108" s="15" t="s">
        <v>406</v>
      </c>
      <c r="D2108" s="15" t="s">
        <v>1872</v>
      </c>
      <c r="E2108" s="15" t="s">
        <v>1932</v>
      </c>
      <c r="F2108" s="15" t="s">
        <v>3002</v>
      </c>
      <c r="G2108" s="15" t="s">
        <v>205</v>
      </c>
      <c r="H2108" s="33" t="n">
        <f aca="false">Packages!$O$197</f>
        <v>24.9734641518594</v>
      </c>
      <c r="I2108" s="15" t="s">
        <v>118</v>
      </c>
      <c r="J2108" s="34" t="n">
        <f aca="false">MAX(1,ROUNDUP(Packages!$O$197/R_PLAT,0))</f>
        <v>1</v>
      </c>
      <c r="K2108" s="34" t="n">
        <f aca="false">IF(J2108=0,0,ROUNDUP(J2108*7/WD,0))</f>
        <v>2</v>
      </c>
      <c r="L2108" s="15" t="s">
        <v>5833</v>
      </c>
      <c r="M2108" s="12"/>
      <c r="N2108" s="12"/>
      <c r="O2108" s="15" t="s">
        <v>5836</v>
      </c>
      <c r="P2108" s="16" t="n">
        <f aca="false">MAX(Q2107,P2098)</f>
        <v>46410</v>
      </c>
      <c r="Q2108" s="16" t="n">
        <f aca="false">P2108+K2108</f>
        <v>46412</v>
      </c>
      <c r="R2108" s="12"/>
      <c r="S2108" s="12"/>
    </row>
    <row r="2109" customFormat="false" ht="15" hidden="false" customHeight="false" outlineLevel="0" collapsed="false">
      <c r="A2109" s="15" t="s">
        <v>5837</v>
      </c>
      <c r="B2109" s="15" t="s">
        <v>5834</v>
      </c>
      <c r="C2109" s="15" t="s">
        <v>406</v>
      </c>
      <c r="D2109" s="15" t="s">
        <v>1872</v>
      </c>
      <c r="E2109" s="15" t="s">
        <v>1932</v>
      </c>
      <c r="F2109" s="15" t="s">
        <v>3005</v>
      </c>
      <c r="G2109" s="15" t="s">
        <v>3006</v>
      </c>
      <c r="H2109" s="33" t="n">
        <f aca="false">Packages!$AC$197</f>
        <v>20</v>
      </c>
      <c r="I2109" s="15" t="s">
        <v>3007</v>
      </c>
      <c r="J2109" s="34" t="n">
        <f aca="false">IF(Packages!$AC$197=0,0,MAX(1,ROUNDUP(Packages!$AC$197/(R_PILE*Fronts!$H$12),0)))</f>
        <v>2</v>
      </c>
      <c r="K2109" s="34" t="n">
        <f aca="false">IF(J2109=0,0,ROUNDUP(J2109*7/WD,0))</f>
        <v>3</v>
      </c>
      <c r="L2109" s="15" t="s">
        <v>5835</v>
      </c>
      <c r="M2109" s="34" t="n">
        <f aca="false">ROUNDUP(K2108*LADDER,0)</f>
        <v>1</v>
      </c>
      <c r="N2109" s="34" t="n">
        <f aca="false">IF(K2109=0,0,FFLAG)</f>
        <v>2</v>
      </c>
      <c r="O2109" s="15" t="s">
        <v>3008</v>
      </c>
      <c r="P2109" s="16" t="n">
        <f aca="false">MAX(P2108+M2109,D_PILEDES,R2098)</f>
        <v>46417</v>
      </c>
      <c r="Q2109" s="16" t="n">
        <f aca="false">MAX(P2109+K2109,Q2108+N2109)</f>
        <v>46420</v>
      </c>
      <c r="R2109" s="16" t="n">
        <f aca="false">IF(K2109&gt;0,Q2109,R2098)</f>
        <v>46420</v>
      </c>
      <c r="S2109" s="15" t="s">
        <v>5822</v>
      </c>
    </row>
    <row r="2110" customFormat="false" ht="15" hidden="false" customHeight="false" outlineLevel="0" collapsed="false">
      <c r="A2110" s="15" t="s">
        <v>5838</v>
      </c>
      <c r="B2110" s="15" t="s">
        <v>5834</v>
      </c>
      <c r="C2110" s="15" t="s">
        <v>406</v>
      </c>
      <c r="D2110" s="15" t="s">
        <v>1872</v>
      </c>
      <c r="E2110" s="15" t="s">
        <v>1932</v>
      </c>
      <c r="F2110" s="15" t="s">
        <v>3010</v>
      </c>
      <c r="G2110" s="15" t="s">
        <v>3011</v>
      </c>
      <c r="H2110" s="33" t="n">
        <f aca="false">Packages!$AD$197</f>
        <v>49.9469283037188</v>
      </c>
      <c r="I2110" s="15" t="s">
        <v>3012</v>
      </c>
      <c r="J2110" s="34" t="n">
        <f aca="false">IF(Packages!$AD$197=0,0,MAX(1,ROUNDUP(Packages!$AD$197/(R_SHEET*Fronts!$I$12),0)))</f>
        <v>1</v>
      </c>
      <c r="K2110" s="34" t="n">
        <f aca="false">IF(J2110=0,0,ROUNDUP(J2110*7/WD,0))</f>
        <v>2</v>
      </c>
      <c r="L2110" s="15" t="s">
        <v>5837</v>
      </c>
      <c r="M2110" s="34" t="n">
        <f aca="false">ROUNDUP(K2109*LADDER,0)</f>
        <v>1</v>
      </c>
      <c r="N2110" s="34" t="n">
        <f aca="false">IF(K2110=0,0,FFLAG)</f>
        <v>2</v>
      </c>
      <c r="O2110" s="15"/>
      <c r="P2110" s="16" t="n">
        <f aca="false">MAX(P2109+M2110,R2099)</f>
        <v>46419</v>
      </c>
      <c r="Q2110" s="16" t="n">
        <f aca="false">MAX(P2110+K2110,Q2109+N2110)</f>
        <v>46422</v>
      </c>
      <c r="R2110" s="16" t="n">
        <f aca="false">IF(K2110&gt;0,Q2110,R2099)</f>
        <v>46422</v>
      </c>
      <c r="S2110" s="15" t="s">
        <v>5823</v>
      </c>
    </row>
    <row r="2111" customFormat="false" ht="15" hidden="false" customHeight="false" outlineLevel="0" collapsed="false">
      <c r="A2111" s="15" t="s">
        <v>5839</v>
      </c>
      <c r="B2111" s="15" t="s">
        <v>5834</v>
      </c>
      <c r="C2111" s="15" t="s">
        <v>406</v>
      </c>
      <c r="D2111" s="15" t="s">
        <v>1872</v>
      </c>
      <c r="E2111" s="15" t="s">
        <v>1932</v>
      </c>
      <c r="F2111" s="15" t="s">
        <v>3014</v>
      </c>
      <c r="G2111" s="15" t="s">
        <v>3015</v>
      </c>
      <c r="H2111" s="33" t="n">
        <f aca="false">Packages!$O$197</f>
        <v>24.9734641518594</v>
      </c>
      <c r="I2111" s="15" t="s">
        <v>118</v>
      </c>
      <c r="J2111" s="34" t="n">
        <f aca="false">IF(Packages!$AG$197=0,0,ROUNDUP(Packages!$O$197/R_DW,0)+DW_DRAW)</f>
        <v>8</v>
      </c>
      <c r="K2111" s="34" t="n">
        <f aca="false">IF(J2111=0,0,ROUNDUP(J2111*7/WD,0))</f>
        <v>10</v>
      </c>
      <c r="L2111" s="15" t="s">
        <v>5838</v>
      </c>
      <c r="M2111" s="34" t="n">
        <f aca="false">ROUNDUP(K2110*LADDER,0)</f>
        <v>1</v>
      </c>
      <c r="N2111" s="34" t="n">
        <f aca="false">IF(K2111=0,0,FFLAG)</f>
        <v>2</v>
      </c>
      <c r="O2111" s="15" t="s">
        <v>5840</v>
      </c>
      <c r="P2111" s="16" t="n">
        <f aca="false">MAX(P2110+M2111,Q2101-K2111)</f>
        <v>46420</v>
      </c>
      <c r="Q2111" s="16" t="n">
        <f aca="false">MAX(P2111+K2111,Q2110+N2111)</f>
        <v>46430</v>
      </c>
      <c r="R2111" s="12"/>
      <c r="S2111" s="12"/>
    </row>
    <row r="2112" customFormat="false" ht="15" hidden="false" customHeight="false" outlineLevel="0" collapsed="false">
      <c r="A2112" s="15" t="s">
        <v>5841</v>
      </c>
      <c r="B2112" s="15" t="s">
        <v>5834</v>
      </c>
      <c r="C2112" s="15" t="s">
        <v>406</v>
      </c>
      <c r="D2112" s="15" t="s">
        <v>1872</v>
      </c>
      <c r="E2112" s="15" t="s">
        <v>1932</v>
      </c>
      <c r="F2112" s="15" t="s">
        <v>3017</v>
      </c>
      <c r="G2112" s="15" t="s">
        <v>3018</v>
      </c>
      <c r="H2112" s="33" t="n">
        <f aca="false">Packages!$X$197+Packages!$Y$197</f>
        <v>382.4823865646</v>
      </c>
      <c r="I2112" s="15" t="s">
        <v>3019</v>
      </c>
      <c r="J2112" s="34" t="n">
        <f aca="false">MAX(1,ROUNDUP((Packages!$X$197/R_EXS+Packages!$Y$197/R_EXO)/Fronts!$J$12,0))</f>
        <v>1</v>
      </c>
      <c r="K2112" s="34" t="n">
        <f aca="false">IF(J2112=0,0,ROUNDUP(J2112*7/WD,0))</f>
        <v>2</v>
      </c>
      <c r="L2112" s="15" t="s">
        <v>5839</v>
      </c>
      <c r="M2112" s="34" t="n">
        <f aca="false">IF(K2111=0,0,ROUNDUP((K2111-ROUNDUP(DW_DRAW*7/WD,0))*LADDER,0)+ROUNDUP(DW_DRAW*7/WD,0))</f>
        <v>10</v>
      </c>
      <c r="N2112" s="34" t="n">
        <f aca="false">IF(K2112=0,0,FFLAG)</f>
        <v>2</v>
      </c>
      <c r="O2112" s="15"/>
      <c r="P2112" s="16" t="n">
        <f aca="false">MAX(P2111+M2112,R2101)</f>
        <v>46430</v>
      </c>
      <c r="Q2112" s="16" t="n">
        <f aca="false">MAX(P2112+K2112,Q2111+N2112)</f>
        <v>46432</v>
      </c>
      <c r="R2112" s="16" t="n">
        <f aca="false">IF(K2112&gt;0,Q2112,R2101)</f>
        <v>46432</v>
      </c>
      <c r="S2112" s="15" t="s">
        <v>5826</v>
      </c>
    </row>
    <row r="2113" customFormat="false" ht="15" hidden="false" customHeight="false" outlineLevel="0" collapsed="false">
      <c r="A2113" s="15" t="s">
        <v>5842</v>
      </c>
      <c r="B2113" s="15" t="s">
        <v>5834</v>
      </c>
      <c r="C2113" s="15" t="s">
        <v>406</v>
      </c>
      <c r="D2113" s="15" t="s">
        <v>1872</v>
      </c>
      <c r="E2113" s="15" t="s">
        <v>1932</v>
      </c>
      <c r="F2113" s="15" t="s">
        <v>3022</v>
      </c>
      <c r="G2113" s="15" t="s">
        <v>3023</v>
      </c>
      <c r="H2113" s="33" t="n">
        <f aca="false">Packages!$O$197</f>
        <v>24.9734641518594</v>
      </c>
      <c r="I2113" s="15" t="s">
        <v>118</v>
      </c>
      <c r="J2113" s="34" t="n">
        <f aca="false">MAX(1,ROUNDUP(Packages!$O$197/(R_SLAB*Fronts!$K$12),0))+SLAB_CURE</f>
        <v>5</v>
      </c>
      <c r="K2113" s="34" t="n">
        <f aca="false">IF(J2113=0,0,ROUNDUP(J2113*7/WD,0))</f>
        <v>6</v>
      </c>
      <c r="L2113" s="15" t="s">
        <v>5841</v>
      </c>
      <c r="M2113" s="34" t="n">
        <f aca="false">ROUNDUP(K2112*LADDER,0)</f>
        <v>1</v>
      </c>
      <c r="N2113" s="34" t="n">
        <f aca="false">IF(K2113=0,0,FFLAG)</f>
        <v>2</v>
      </c>
      <c r="O2113" s="15"/>
      <c r="P2113" s="16" t="n">
        <f aca="false">MAX(P2112+M2113,R2102)</f>
        <v>46452</v>
      </c>
      <c r="Q2113" s="16" t="n">
        <f aca="false">MAX(P2113+K2113,Q2112+N2113)</f>
        <v>46458</v>
      </c>
      <c r="R2113" s="16" t="n">
        <f aca="false">IF(K2113&gt;0,Q2113,R2102)</f>
        <v>46458</v>
      </c>
      <c r="S2113" s="15" t="s">
        <v>5827</v>
      </c>
    </row>
    <row r="2114" customFormat="false" ht="15" hidden="false" customHeight="false" outlineLevel="0" collapsed="false">
      <c r="A2114" s="15" t="s">
        <v>5843</v>
      </c>
      <c r="B2114" s="15" t="s">
        <v>5834</v>
      </c>
      <c r="C2114" s="15" t="s">
        <v>406</v>
      </c>
      <c r="D2114" s="15" t="s">
        <v>1872</v>
      </c>
      <c r="E2114" s="15" t="s">
        <v>1932</v>
      </c>
      <c r="F2114" s="15" t="s">
        <v>3025</v>
      </c>
      <c r="G2114" s="15" t="s">
        <v>3026</v>
      </c>
      <c r="H2114" s="33" t="n">
        <f aca="false">Packages!$O$197</f>
        <v>24.9734641518594</v>
      </c>
      <c r="I2114" s="15" t="s">
        <v>118</v>
      </c>
      <c r="J2114" s="34" t="n">
        <f aca="false">MAX(1,ROUNDUP(Packages!$O$197/(IF(Packages!$N$197&gt;=PIPE_T1,R_PIPE_L,IF(Packages!$N$197&gt;=PIPE_T2,R_PIPE_M,R_PIPE_S))*Fronts!$L$12)+Packages!$M$197*FIT_D+IF(Packages!$G$197&lt;&gt;"Run",TIE_D,0),0))</f>
        <v>1</v>
      </c>
      <c r="K2114" s="34" t="n">
        <f aca="false">IF(J2114=0,0,ROUNDUP(J2114*7/WD,0))</f>
        <v>2</v>
      </c>
      <c r="L2114" s="15" t="s">
        <v>5842</v>
      </c>
      <c r="M2114" s="34" t="n">
        <f aca="false">ROUNDUP(K2113*LADDER,0)</f>
        <v>2</v>
      </c>
      <c r="N2114" s="34" t="n">
        <f aca="false">IF(K2114=0,0,FFLAG)</f>
        <v>2</v>
      </c>
      <c r="O2114" s="15"/>
      <c r="P2114" s="16" t="n">
        <f aca="false">MAX(P2113+M2114,R2103)</f>
        <v>46454</v>
      </c>
      <c r="Q2114" s="16" t="n">
        <f aca="false">MAX(P2114+K2114,Q2113+N2114)</f>
        <v>46460</v>
      </c>
      <c r="R2114" s="16" t="n">
        <f aca="false">IF(K2114&gt;0,Q2114,R2103)</f>
        <v>46460</v>
      </c>
      <c r="S2114" s="15" t="s">
        <v>5828</v>
      </c>
    </row>
    <row r="2115" customFormat="false" ht="15" hidden="false" customHeight="false" outlineLevel="0" collapsed="false">
      <c r="A2115" s="15" t="s">
        <v>5844</v>
      </c>
      <c r="B2115" s="15" t="s">
        <v>5834</v>
      </c>
      <c r="C2115" s="15" t="s">
        <v>406</v>
      </c>
      <c r="D2115" s="15" t="s">
        <v>1872</v>
      </c>
      <c r="E2115" s="15" t="s">
        <v>1932</v>
      </c>
      <c r="F2115" s="15" t="s">
        <v>3028</v>
      </c>
      <c r="G2115" s="15" t="s">
        <v>3029</v>
      </c>
      <c r="H2115" s="33" t="n">
        <f aca="false">Packages!$O$197</f>
        <v>24.9734641518594</v>
      </c>
      <c r="I2115" s="15" t="s">
        <v>118</v>
      </c>
      <c r="J2115" s="34" t="n">
        <f aca="false">TEST_D+ROUNDUP(Packages!$O$197/R_TEST,0)</f>
        <v>3</v>
      </c>
      <c r="K2115" s="34" t="n">
        <f aca="false">IF(J2115=0,0,ROUNDUP(J2115*7/WD,0))</f>
        <v>4</v>
      </c>
      <c r="L2115" s="15" t="s">
        <v>5843</v>
      </c>
      <c r="M2115" s="34" t="n">
        <f aca="false">ROUNDUP(K2114*LADDER,0)</f>
        <v>1</v>
      </c>
      <c r="N2115" s="34" t="n">
        <f aca="false">IF(K2115=0,0,FFLAG)</f>
        <v>2</v>
      </c>
      <c r="O2115" s="15"/>
      <c r="P2115" s="16" t="n">
        <f aca="false">MAX(P2114+M2115)</f>
        <v>46455</v>
      </c>
      <c r="Q2115" s="16" t="n">
        <f aca="false">MAX(P2115+K2115,Q2114+N2115)</f>
        <v>46462</v>
      </c>
      <c r="R2115" s="12"/>
      <c r="S2115" s="12"/>
    </row>
    <row r="2116" customFormat="false" ht="15" hidden="false" customHeight="false" outlineLevel="0" collapsed="false">
      <c r="A2116" s="15" t="s">
        <v>5845</v>
      </c>
      <c r="B2116" s="15" t="s">
        <v>5834</v>
      </c>
      <c r="C2116" s="15" t="s">
        <v>406</v>
      </c>
      <c r="D2116" s="15" t="s">
        <v>1872</v>
      </c>
      <c r="E2116" s="15" t="s">
        <v>1932</v>
      </c>
      <c r="F2116" s="15" t="s">
        <v>3031</v>
      </c>
      <c r="G2116" s="15" t="s">
        <v>3032</v>
      </c>
      <c r="H2116" s="33" t="n">
        <f aca="false">Packages!$AB$197</f>
        <v>242.70423935247</v>
      </c>
      <c r="I2116" s="15" t="s">
        <v>3019</v>
      </c>
      <c r="J2116" s="34" t="n">
        <f aca="false">MAX(1,ROUNDUP(Packages!$AB$197/(R_BF*Fronts!$M$12),0))</f>
        <v>1</v>
      </c>
      <c r="K2116" s="34" t="n">
        <f aca="false">IF(J2116=0,0,ROUNDUP(J2116*7/WD,0))</f>
        <v>2</v>
      </c>
      <c r="L2116" s="15" t="s">
        <v>5844</v>
      </c>
      <c r="M2116" s="34" t="n">
        <f aca="false">ROUNDUP(K2115*LADDER,0)</f>
        <v>2</v>
      </c>
      <c r="N2116" s="34" t="n">
        <f aca="false">IF(K2116=0,0,FFLAG)</f>
        <v>2</v>
      </c>
      <c r="O2116" s="15" t="s">
        <v>5846</v>
      </c>
      <c r="P2116" s="16" t="n">
        <f aca="false">MAX(P2115+M2116,R2105,Q2125,Q2147)</f>
        <v>46533</v>
      </c>
      <c r="Q2116" s="16" t="n">
        <f aca="false">MAX(P2116+K2116,Q2115+N2116)</f>
        <v>46535</v>
      </c>
      <c r="R2116" s="16" t="n">
        <f aca="false">IF(K2116&gt;0,Q2116,R2105)</f>
        <v>46535</v>
      </c>
      <c r="S2116" s="15" t="s">
        <v>5830</v>
      </c>
    </row>
    <row r="2117" customFormat="false" ht="15" hidden="false" customHeight="false" outlineLevel="0" collapsed="false">
      <c r="A2117" s="15" t="s">
        <v>5847</v>
      </c>
      <c r="B2117" s="15" t="s">
        <v>5834</v>
      </c>
      <c r="C2117" s="15" t="s">
        <v>406</v>
      </c>
      <c r="D2117" s="15" t="s">
        <v>1872</v>
      </c>
      <c r="E2117" s="15" t="s">
        <v>1932</v>
      </c>
      <c r="F2117" s="15" t="s">
        <v>3034</v>
      </c>
      <c r="G2117" s="15" t="s">
        <v>3035</v>
      </c>
      <c r="H2117" s="33" t="n">
        <f aca="false">Packages!$AD$197</f>
        <v>49.9469283037188</v>
      </c>
      <c r="I2117" s="15" t="s">
        <v>3012</v>
      </c>
      <c r="J2117" s="34" t="n">
        <f aca="false">IF(Packages!$AD$197&gt;0,ROUNDUP(Packages!$AD$197/R_EXT,0),0)+IF(Packages!$AG$197&gt;0,1,0)</f>
        <v>2</v>
      </c>
      <c r="K2117" s="34" t="n">
        <f aca="false">IF(J2117=0,0,ROUNDUP(J2117*7/WD,0))</f>
        <v>3</v>
      </c>
      <c r="L2117" s="15" t="s">
        <v>5845</v>
      </c>
      <c r="M2117" s="34" t="n">
        <f aca="false">ROUNDUP(K2116*LADDER,0)</f>
        <v>1</v>
      </c>
      <c r="N2117" s="34" t="n">
        <f aca="false">IF(K2117=0,0,FFLAG)</f>
        <v>2</v>
      </c>
      <c r="O2117" s="15"/>
      <c r="P2117" s="16" t="n">
        <f aca="false">MAX(P2116+M2117)</f>
        <v>46534</v>
      </c>
      <c r="Q2117" s="16" t="n">
        <f aca="false">MAX(P2117+K2117,Q2116+N2117)</f>
        <v>46537</v>
      </c>
      <c r="R2117" s="12"/>
      <c r="S2117" s="12"/>
    </row>
    <row r="2118" customFormat="false" ht="15" hidden="false" customHeight="false" outlineLevel="0" collapsed="false">
      <c r="A2118" s="15" t="s">
        <v>5848</v>
      </c>
      <c r="B2118" s="15" t="s">
        <v>5849</v>
      </c>
      <c r="C2118" s="15" t="s">
        <v>406</v>
      </c>
      <c r="D2118" s="15" t="s">
        <v>1341</v>
      </c>
      <c r="E2118" s="15" t="s">
        <v>1376</v>
      </c>
      <c r="F2118" s="15" t="s">
        <v>2998</v>
      </c>
      <c r="G2118" s="15" t="s">
        <v>2999</v>
      </c>
      <c r="H2118" s="12"/>
      <c r="I2118" s="12"/>
      <c r="J2118" s="34" t="n">
        <f aca="false">0</f>
        <v>0</v>
      </c>
      <c r="K2118" s="34" t="n">
        <f aca="false">IF(J2118=0,0,ROUNDUP(J2118*7/WD,0))</f>
        <v>0</v>
      </c>
      <c r="L2118" s="12"/>
      <c r="M2118" s="12"/>
      <c r="N2118" s="12"/>
      <c r="O2118" s="15" t="s">
        <v>3000</v>
      </c>
      <c r="P2118" s="16" t="n">
        <f aca="false">MAX(START,D_DLU,Packages!$I$198,Packages!$K$198)</f>
        <v>46357</v>
      </c>
      <c r="Q2118" s="16" t="n">
        <f aca="false">P2118+K2118</f>
        <v>46357</v>
      </c>
      <c r="R2118" s="12"/>
      <c r="S2118" s="12"/>
    </row>
    <row r="2119" customFormat="false" ht="15" hidden="false" customHeight="false" outlineLevel="0" collapsed="false">
      <c r="A2119" s="15" t="s">
        <v>5850</v>
      </c>
      <c r="B2119" s="15" t="s">
        <v>5849</v>
      </c>
      <c r="C2119" s="15" t="s">
        <v>406</v>
      </c>
      <c r="D2119" s="15" t="s">
        <v>1341</v>
      </c>
      <c r="E2119" s="15" t="s">
        <v>1376</v>
      </c>
      <c r="F2119" s="15" t="s">
        <v>3002</v>
      </c>
      <c r="G2119" s="15" t="s">
        <v>205</v>
      </c>
      <c r="H2119" s="33" t="n">
        <f aca="false">Packages!$O$198</f>
        <v>75.0999999989842</v>
      </c>
      <c r="I2119" s="15" t="s">
        <v>118</v>
      </c>
      <c r="J2119" s="34" t="n">
        <f aca="false">MAX(1,ROUNDUP(Packages!$O$198/R_PLAT,0))</f>
        <v>1</v>
      </c>
      <c r="K2119" s="34" t="n">
        <f aca="false">IF(J2119=0,0,ROUNDUP(J2119*7/WD,0))</f>
        <v>2</v>
      </c>
      <c r="L2119" s="15" t="s">
        <v>5848</v>
      </c>
      <c r="M2119" s="12"/>
      <c r="N2119" s="12"/>
      <c r="O2119" s="15" t="s">
        <v>5851</v>
      </c>
      <c r="P2119" s="16" t="n">
        <f aca="false">MAX(Q2118,P2109)</f>
        <v>46417</v>
      </c>
      <c r="Q2119" s="16" t="n">
        <f aca="false">P2119+K2119</f>
        <v>46419</v>
      </c>
      <c r="R2119" s="12"/>
      <c r="S2119" s="12"/>
    </row>
    <row r="2120" customFormat="false" ht="15" hidden="false" customHeight="false" outlineLevel="0" collapsed="false">
      <c r="A2120" s="15" t="s">
        <v>5852</v>
      </c>
      <c r="B2120" s="15" t="s">
        <v>5849</v>
      </c>
      <c r="C2120" s="15" t="s">
        <v>406</v>
      </c>
      <c r="D2120" s="15" t="s">
        <v>1341</v>
      </c>
      <c r="E2120" s="15" t="s">
        <v>1376</v>
      </c>
      <c r="F2120" s="15" t="s">
        <v>3005</v>
      </c>
      <c r="G2120" s="15" t="s">
        <v>3006</v>
      </c>
      <c r="H2120" s="33" t="n">
        <f aca="false">Packages!$AC$198</f>
        <v>54</v>
      </c>
      <c r="I2120" s="15" t="s">
        <v>3007</v>
      </c>
      <c r="J2120" s="34" t="n">
        <f aca="false">IF(Packages!$AC$198=0,0,MAX(1,ROUNDUP(Packages!$AC$198/(R_PILE*Fronts!$H$12),0)))</f>
        <v>6</v>
      </c>
      <c r="K2120" s="34" t="n">
        <f aca="false">IF(J2120=0,0,ROUNDUP(J2120*7/WD,0))</f>
        <v>7</v>
      </c>
      <c r="L2120" s="15" t="s">
        <v>5850</v>
      </c>
      <c r="M2120" s="34" t="n">
        <f aca="false">ROUNDUP(K2119*LADDER,0)</f>
        <v>1</v>
      </c>
      <c r="N2120" s="34" t="n">
        <f aca="false">IF(K2120=0,0,FFLAG)</f>
        <v>2</v>
      </c>
      <c r="O2120" s="15" t="s">
        <v>3008</v>
      </c>
      <c r="P2120" s="16" t="n">
        <f aca="false">MAX(P2119+M2120,D_PILEDES,R2109)</f>
        <v>46420</v>
      </c>
      <c r="Q2120" s="16" t="n">
        <f aca="false">MAX(P2120+K2120,Q2119+N2120)</f>
        <v>46427</v>
      </c>
      <c r="R2120" s="16" t="n">
        <f aca="false">IF(K2120&gt;0,Q2120,R2109)</f>
        <v>46427</v>
      </c>
      <c r="S2120" s="15" t="s">
        <v>5837</v>
      </c>
    </row>
    <row r="2121" customFormat="false" ht="15" hidden="false" customHeight="false" outlineLevel="0" collapsed="false">
      <c r="A2121" s="15" t="s">
        <v>5853</v>
      </c>
      <c r="B2121" s="15" t="s">
        <v>5849</v>
      </c>
      <c r="C2121" s="15" t="s">
        <v>406</v>
      </c>
      <c r="D2121" s="15" t="s">
        <v>1341</v>
      </c>
      <c r="E2121" s="15" t="s">
        <v>1376</v>
      </c>
      <c r="F2121" s="15" t="s">
        <v>3010</v>
      </c>
      <c r="G2121" s="15" t="s">
        <v>3011</v>
      </c>
      <c r="H2121" s="33" t="n">
        <f aca="false">Packages!$AD$198</f>
        <v>150.199999997968</v>
      </c>
      <c r="I2121" s="15" t="s">
        <v>3012</v>
      </c>
      <c r="J2121" s="34" t="n">
        <f aca="false">IF(Packages!$AD$198=0,0,MAX(1,ROUNDUP(Packages!$AD$198/(R_SHEET*Fronts!$I$12),0)))</f>
        <v>4</v>
      </c>
      <c r="K2121" s="34" t="n">
        <f aca="false">IF(J2121=0,0,ROUNDUP(J2121*7/WD,0))</f>
        <v>5</v>
      </c>
      <c r="L2121" s="15" t="s">
        <v>5852</v>
      </c>
      <c r="M2121" s="34" t="n">
        <f aca="false">ROUNDUP(K2120*LADDER,0)</f>
        <v>3</v>
      </c>
      <c r="N2121" s="34" t="n">
        <f aca="false">IF(K2121=0,0,FFLAG)</f>
        <v>2</v>
      </c>
      <c r="O2121" s="15"/>
      <c r="P2121" s="16" t="n">
        <f aca="false">MAX(P2120+M2121,R2110)</f>
        <v>46423</v>
      </c>
      <c r="Q2121" s="16" t="n">
        <f aca="false">MAX(P2121+K2121,Q2120+N2121)</f>
        <v>46429</v>
      </c>
      <c r="R2121" s="16" t="n">
        <f aca="false">IF(K2121&gt;0,Q2121,R2110)</f>
        <v>46429</v>
      </c>
      <c r="S2121" s="15" t="s">
        <v>5838</v>
      </c>
    </row>
    <row r="2122" customFormat="false" ht="15" hidden="false" customHeight="false" outlineLevel="0" collapsed="false">
      <c r="A2122" s="15" t="s">
        <v>5854</v>
      </c>
      <c r="B2122" s="15" t="s">
        <v>5849</v>
      </c>
      <c r="C2122" s="15" t="s">
        <v>406</v>
      </c>
      <c r="D2122" s="15" t="s">
        <v>1341</v>
      </c>
      <c r="E2122" s="15" t="s">
        <v>1376</v>
      </c>
      <c r="F2122" s="15" t="s">
        <v>3014</v>
      </c>
      <c r="G2122" s="15" t="s">
        <v>3015</v>
      </c>
      <c r="H2122" s="33" t="n">
        <f aca="false">Packages!$O$198</f>
        <v>75.0999999989842</v>
      </c>
      <c r="I2122" s="15" t="s">
        <v>118</v>
      </c>
      <c r="J2122" s="34" t="n">
        <f aca="false">IF(Packages!$AG$198=0,0,ROUNDUP(Packages!$O$198/R_DW,0)+DW_DRAW)</f>
        <v>9</v>
      </c>
      <c r="K2122" s="34" t="n">
        <f aca="false">IF(J2122=0,0,ROUNDUP(J2122*7/WD,0))</f>
        <v>11</v>
      </c>
      <c r="L2122" s="15" t="s">
        <v>5853</v>
      </c>
      <c r="M2122" s="34" t="n">
        <f aca="false">ROUNDUP(K2121*LADDER,0)</f>
        <v>2</v>
      </c>
      <c r="N2122" s="34" t="n">
        <f aca="false">IF(K2122=0,0,FFLAG)</f>
        <v>2</v>
      </c>
      <c r="O2122" s="15" t="s">
        <v>5855</v>
      </c>
      <c r="P2122" s="16" t="n">
        <f aca="false">MAX(P2121+M2122,Q2112-K2122)</f>
        <v>46425</v>
      </c>
      <c r="Q2122" s="16" t="n">
        <f aca="false">MAX(P2122+K2122,Q2121+N2122)</f>
        <v>46436</v>
      </c>
      <c r="R2122" s="12"/>
      <c r="S2122" s="12"/>
    </row>
    <row r="2123" customFormat="false" ht="15" hidden="false" customHeight="false" outlineLevel="0" collapsed="false">
      <c r="A2123" s="15" t="s">
        <v>5856</v>
      </c>
      <c r="B2123" s="15" t="s">
        <v>5849</v>
      </c>
      <c r="C2123" s="15" t="s">
        <v>406</v>
      </c>
      <c r="D2123" s="15" t="s">
        <v>1341</v>
      </c>
      <c r="E2123" s="15" t="s">
        <v>1376</v>
      </c>
      <c r="F2123" s="15" t="s">
        <v>3017</v>
      </c>
      <c r="G2123" s="15" t="s">
        <v>3018</v>
      </c>
      <c r="H2123" s="33" t="n">
        <f aca="false">Packages!$X$198+Packages!$Y$198</f>
        <v>919.49285384873</v>
      </c>
      <c r="I2123" s="15" t="s">
        <v>3019</v>
      </c>
      <c r="J2123" s="34" t="n">
        <f aca="false">MAX(1,ROUNDUP((Packages!$X$198/R_EXS+Packages!$Y$198/R_EXO)/Fronts!$J$12,0))</f>
        <v>2</v>
      </c>
      <c r="K2123" s="34" t="n">
        <f aca="false">IF(J2123=0,0,ROUNDUP(J2123*7/WD,0))</f>
        <v>3</v>
      </c>
      <c r="L2123" s="15" t="s">
        <v>5854</v>
      </c>
      <c r="M2123" s="34" t="n">
        <f aca="false">IF(K2122=0,0,ROUNDUP((K2122-ROUNDUP(DW_DRAW*7/WD,0))*LADDER,0)+ROUNDUP(DW_DRAW*7/WD,0))</f>
        <v>10</v>
      </c>
      <c r="N2123" s="34" t="n">
        <f aca="false">IF(K2123=0,0,FFLAG)</f>
        <v>2</v>
      </c>
      <c r="O2123" s="15" t="s">
        <v>5857</v>
      </c>
      <c r="P2123" s="16" t="n">
        <f aca="false">MAX(P2122+M2123,R2112,P2101,P2112)</f>
        <v>46435</v>
      </c>
      <c r="Q2123" s="16" t="n">
        <f aca="false">MAX(P2123+K2123,Q2122+N2123)</f>
        <v>46438</v>
      </c>
      <c r="R2123" s="16" t="n">
        <f aca="false">IF(K2123&gt;0,Q2123,R2112)</f>
        <v>46438</v>
      </c>
      <c r="S2123" s="15" t="s">
        <v>5841</v>
      </c>
    </row>
    <row r="2124" customFormat="false" ht="15" hidden="false" customHeight="false" outlineLevel="0" collapsed="false">
      <c r="A2124" s="15" t="s">
        <v>5858</v>
      </c>
      <c r="B2124" s="15" t="s">
        <v>5849</v>
      </c>
      <c r="C2124" s="15" t="s">
        <v>406</v>
      </c>
      <c r="D2124" s="15" t="s">
        <v>1341</v>
      </c>
      <c r="E2124" s="15" t="s">
        <v>1376</v>
      </c>
      <c r="F2124" s="15" t="s">
        <v>3022</v>
      </c>
      <c r="G2124" s="15" t="s">
        <v>3023</v>
      </c>
      <c r="H2124" s="33" t="n">
        <f aca="false">Packages!$O$198</f>
        <v>75.0999999989842</v>
      </c>
      <c r="I2124" s="15" t="s">
        <v>118</v>
      </c>
      <c r="J2124" s="34" t="n">
        <f aca="false">MAX(1,ROUNDUP(Packages!$O$198/(R_SLAB*Fronts!$K$12),0))+SLAB_CURE</f>
        <v>7</v>
      </c>
      <c r="K2124" s="34" t="n">
        <f aca="false">IF(J2124=0,0,ROUNDUP(J2124*7/WD,0))</f>
        <v>9</v>
      </c>
      <c r="L2124" s="15" t="s">
        <v>5856</v>
      </c>
      <c r="M2124" s="34" t="n">
        <f aca="false">ROUNDUP(K2123*LADDER,0)</f>
        <v>1</v>
      </c>
      <c r="N2124" s="34" t="n">
        <f aca="false">IF(K2124=0,0,FFLAG)</f>
        <v>2</v>
      </c>
      <c r="O2124" s="15"/>
      <c r="P2124" s="16" t="n">
        <f aca="false">MAX(P2123+M2124,R2113)</f>
        <v>46458</v>
      </c>
      <c r="Q2124" s="16" t="n">
        <f aca="false">MAX(P2124+K2124,Q2123+N2124)</f>
        <v>46467</v>
      </c>
      <c r="R2124" s="16" t="n">
        <f aca="false">IF(K2124&gt;0,Q2124,R2113)</f>
        <v>46467</v>
      </c>
      <c r="S2124" s="15" t="s">
        <v>5842</v>
      </c>
    </row>
    <row r="2125" customFormat="false" ht="15" hidden="false" customHeight="false" outlineLevel="0" collapsed="false">
      <c r="A2125" s="15" t="s">
        <v>5859</v>
      </c>
      <c r="B2125" s="15" t="s">
        <v>5849</v>
      </c>
      <c r="C2125" s="15" t="s">
        <v>406</v>
      </c>
      <c r="D2125" s="15" t="s">
        <v>1341</v>
      </c>
      <c r="E2125" s="15" t="s">
        <v>1376</v>
      </c>
      <c r="F2125" s="15" t="s">
        <v>3025</v>
      </c>
      <c r="G2125" s="15" t="s">
        <v>3026</v>
      </c>
      <c r="H2125" s="33" t="n">
        <f aca="false">Packages!$O$198</f>
        <v>75.0999999989842</v>
      </c>
      <c r="I2125" s="15" t="s">
        <v>118</v>
      </c>
      <c r="J2125" s="34" t="n">
        <f aca="false">MAX(1,ROUNDUP(Packages!$O$198/(IF(Packages!$N$198&gt;=PIPE_T1,R_PIPE_L,IF(Packages!$N$198&gt;=PIPE_T2,R_PIPE_M,R_PIPE_S))*Fronts!$L$12)+Packages!$M$198*FIT_D+IF(Packages!$G$198&lt;&gt;"Run",TIE_D,0),0))</f>
        <v>4</v>
      </c>
      <c r="K2125" s="34" t="n">
        <f aca="false">IF(J2125=0,0,ROUNDUP(J2125*7/WD,0))</f>
        <v>5</v>
      </c>
      <c r="L2125" s="15" t="s">
        <v>5858</v>
      </c>
      <c r="M2125" s="34" t="n">
        <f aca="false">ROUNDUP(K2124*LADDER,0)</f>
        <v>3</v>
      </c>
      <c r="N2125" s="34" t="n">
        <f aca="false">IF(K2125=0,0,FFLAG)</f>
        <v>2</v>
      </c>
      <c r="O2125" s="15"/>
      <c r="P2125" s="16" t="n">
        <f aca="false">MAX(P2124+M2125,R2114)</f>
        <v>46461</v>
      </c>
      <c r="Q2125" s="16" t="n">
        <f aca="false">MAX(P2125+K2125,Q2124+N2125)</f>
        <v>46469</v>
      </c>
      <c r="R2125" s="16" t="n">
        <f aca="false">IF(K2125&gt;0,Q2125,R2114)</f>
        <v>46469</v>
      </c>
      <c r="S2125" s="15" t="s">
        <v>5843</v>
      </c>
    </row>
    <row r="2126" customFormat="false" ht="15" hidden="false" customHeight="false" outlineLevel="0" collapsed="false">
      <c r="A2126" s="15" t="s">
        <v>5860</v>
      </c>
      <c r="B2126" s="15" t="s">
        <v>5849</v>
      </c>
      <c r="C2126" s="15" t="s">
        <v>406</v>
      </c>
      <c r="D2126" s="15" t="s">
        <v>1341</v>
      </c>
      <c r="E2126" s="15" t="s">
        <v>1376</v>
      </c>
      <c r="F2126" s="15" t="s">
        <v>3028</v>
      </c>
      <c r="G2126" s="15" t="s">
        <v>3029</v>
      </c>
      <c r="H2126" s="33" t="n">
        <f aca="false">Packages!$O$198</f>
        <v>75.0999999989842</v>
      </c>
      <c r="I2126" s="15" t="s">
        <v>118</v>
      </c>
      <c r="J2126" s="34" t="n">
        <f aca="false">TEST_D+ROUNDUP(Packages!$O$198/R_TEST,0)</f>
        <v>3</v>
      </c>
      <c r="K2126" s="34" t="n">
        <f aca="false">IF(J2126=0,0,ROUNDUP(J2126*7/WD,0))</f>
        <v>4</v>
      </c>
      <c r="L2126" s="15" t="s">
        <v>5859</v>
      </c>
      <c r="M2126" s="34" t="n">
        <f aca="false">ROUNDUP(K2125*LADDER,0)</f>
        <v>2</v>
      </c>
      <c r="N2126" s="34" t="n">
        <f aca="false">IF(K2126=0,0,FFLAG)</f>
        <v>2</v>
      </c>
      <c r="O2126" s="15"/>
      <c r="P2126" s="16" t="n">
        <f aca="false">MAX(P2125+M2126)</f>
        <v>46463</v>
      </c>
      <c r="Q2126" s="16" t="n">
        <f aca="false">MAX(P2126+K2126,Q2125+N2126)</f>
        <v>46471</v>
      </c>
      <c r="R2126" s="12"/>
      <c r="S2126" s="12"/>
    </row>
    <row r="2127" customFormat="false" ht="15" hidden="false" customHeight="false" outlineLevel="0" collapsed="false">
      <c r="A2127" s="15" t="s">
        <v>5861</v>
      </c>
      <c r="B2127" s="15" t="s">
        <v>5849</v>
      </c>
      <c r="C2127" s="15" t="s">
        <v>406</v>
      </c>
      <c r="D2127" s="15" t="s">
        <v>1341</v>
      </c>
      <c r="E2127" s="15" t="s">
        <v>1376</v>
      </c>
      <c r="F2127" s="15" t="s">
        <v>3031</v>
      </c>
      <c r="G2127" s="15" t="s">
        <v>3032</v>
      </c>
      <c r="H2127" s="33" t="n">
        <f aca="false">Packages!$AB$198</f>
        <v>713.627800759815</v>
      </c>
      <c r="I2127" s="15" t="s">
        <v>3019</v>
      </c>
      <c r="J2127" s="34" t="n">
        <f aca="false">MAX(1,ROUNDUP(Packages!$AB$198/(R_BF*Fronts!$M$12),0))</f>
        <v>2</v>
      </c>
      <c r="K2127" s="34" t="n">
        <f aca="false">IF(J2127=0,0,ROUNDUP(J2127*7/WD,0))</f>
        <v>3</v>
      </c>
      <c r="L2127" s="15" t="s">
        <v>5860</v>
      </c>
      <c r="M2127" s="34" t="n">
        <f aca="false">ROUNDUP(K2126*LADDER,0)</f>
        <v>2</v>
      </c>
      <c r="N2127" s="34" t="n">
        <f aca="false">IF(K2127=0,0,FFLAG)</f>
        <v>2</v>
      </c>
      <c r="O2127" s="15" t="s">
        <v>5862</v>
      </c>
      <c r="P2127" s="16" t="n">
        <f aca="false">MAX(P2126+M2127,R2116,Q2136,Q2103,Q2114)</f>
        <v>46535</v>
      </c>
      <c r="Q2127" s="16" t="n">
        <f aca="false">MAX(P2127+K2127,Q2126+N2127)</f>
        <v>46538</v>
      </c>
      <c r="R2127" s="16" t="n">
        <f aca="false">IF(K2127&gt;0,Q2127,R2116)</f>
        <v>46538</v>
      </c>
      <c r="S2127" s="15" t="s">
        <v>5845</v>
      </c>
    </row>
    <row r="2128" customFormat="false" ht="15" hidden="false" customHeight="false" outlineLevel="0" collapsed="false">
      <c r="A2128" s="15" t="s">
        <v>5863</v>
      </c>
      <c r="B2128" s="15" t="s">
        <v>5849</v>
      </c>
      <c r="C2128" s="15" t="s">
        <v>406</v>
      </c>
      <c r="D2128" s="15" t="s">
        <v>1341</v>
      </c>
      <c r="E2128" s="15" t="s">
        <v>1376</v>
      </c>
      <c r="F2128" s="15" t="s">
        <v>3034</v>
      </c>
      <c r="G2128" s="15" t="s">
        <v>3035</v>
      </c>
      <c r="H2128" s="33" t="n">
        <f aca="false">Packages!$AD$198</f>
        <v>150.199999997968</v>
      </c>
      <c r="I2128" s="15" t="s">
        <v>3012</v>
      </c>
      <c r="J2128" s="34" t="n">
        <f aca="false">IF(Packages!$AD$198&gt;0,ROUNDUP(Packages!$AD$198/R_EXT,0),0)+IF(Packages!$AG$198&gt;0,1,0)</f>
        <v>5</v>
      </c>
      <c r="K2128" s="34" t="n">
        <f aca="false">IF(J2128=0,0,ROUNDUP(J2128*7/WD,0))</f>
        <v>6</v>
      </c>
      <c r="L2128" s="15" t="s">
        <v>5861</v>
      </c>
      <c r="M2128" s="34" t="n">
        <f aca="false">ROUNDUP(K2127*LADDER,0)</f>
        <v>1</v>
      </c>
      <c r="N2128" s="34" t="n">
        <f aca="false">IF(K2128=0,0,FFLAG)</f>
        <v>2</v>
      </c>
      <c r="O2128" s="15"/>
      <c r="P2128" s="16" t="n">
        <f aca="false">MAX(P2127+M2128)</f>
        <v>46536</v>
      </c>
      <c r="Q2128" s="16" t="n">
        <f aca="false">MAX(P2128+K2128,Q2127+N2128)</f>
        <v>46542</v>
      </c>
      <c r="R2128" s="12"/>
      <c r="S2128" s="12"/>
    </row>
    <row r="2129" customFormat="false" ht="15" hidden="false" customHeight="false" outlineLevel="0" collapsed="false">
      <c r="A2129" s="15" t="s">
        <v>5864</v>
      </c>
      <c r="B2129" s="15" t="s">
        <v>5865</v>
      </c>
      <c r="C2129" s="15" t="s">
        <v>406</v>
      </c>
      <c r="D2129" s="15" t="s">
        <v>1872</v>
      </c>
      <c r="E2129" s="15" t="s">
        <v>1891</v>
      </c>
      <c r="F2129" s="15" t="s">
        <v>2998</v>
      </c>
      <c r="G2129" s="15" t="s">
        <v>2999</v>
      </c>
      <c r="H2129" s="12"/>
      <c r="I2129" s="12"/>
      <c r="J2129" s="34" t="n">
        <f aca="false">0</f>
        <v>0</v>
      </c>
      <c r="K2129" s="34" t="n">
        <f aca="false">IF(J2129=0,0,ROUNDUP(J2129*7/WD,0))</f>
        <v>0</v>
      </c>
      <c r="L2129" s="12"/>
      <c r="M2129" s="12"/>
      <c r="N2129" s="12"/>
      <c r="O2129" s="15" t="s">
        <v>3000</v>
      </c>
      <c r="P2129" s="16" t="n">
        <f aca="false">MAX(START,D_DLU,Packages!$I$199,Packages!$K$199)</f>
        <v>46357</v>
      </c>
      <c r="Q2129" s="16" t="n">
        <f aca="false">P2129+K2129</f>
        <v>46357</v>
      </c>
      <c r="R2129" s="12"/>
      <c r="S2129" s="12"/>
    </row>
    <row r="2130" customFormat="false" ht="15" hidden="false" customHeight="false" outlineLevel="0" collapsed="false">
      <c r="A2130" s="15" t="s">
        <v>5866</v>
      </c>
      <c r="B2130" s="15" t="s">
        <v>5865</v>
      </c>
      <c r="C2130" s="15" t="s">
        <v>406</v>
      </c>
      <c r="D2130" s="15" t="s">
        <v>1872</v>
      </c>
      <c r="E2130" s="15" t="s">
        <v>1891</v>
      </c>
      <c r="F2130" s="15" t="s">
        <v>3002</v>
      </c>
      <c r="G2130" s="15" t="s">
        <v>205</v>
      </c>
      <c r="H2130" s="33" t="n">
        <f aca="false">Packages!$O$199</f>
        <v>207.100000000379</v>
      </c>
      <c r="I2130" s="15" t="s">
        <v>118</v>
      </c>
      <c r="J2130" s="34" t="n">
        <f aca="false">MAX(1,ROUNDUP(Packages!$O$199/R_PLAT,0))</f>
        <v>3</v>
      </c>
      <c r="K2130" s="34" t="n">
        <f aca="false">IF(J2130=0,0,ROUNDUP(J2130*7/WD,0))</f>
        <v>4</v>
      </c>
      <c r="L2130" s="15" t="s">
        <v>5864</v>
      </c>
      <c r="M2130" s="12"/>
      <c r="N2130" s="12"/>
      <c r="O2130" s="15" t="s">
        <v>5867</v>
      </c>
      <c r="P2130" s="16" t="n">
        <f aca="false">MAX(Q2129,P2120)</f>
        <v>46420</v>
      </c>
      <c r="Q2130" s="16" t="n">
        <f aca="false">P2130+K2130</f>
        <v>46424</v>
      </c>
      <c r="R2130" s="12"/>
      <c r="S2130" s="12"/>
    </row>
    <row r="2131" customFormat="false" ht="15" hidden="false" customHeight="false" outlineLevel="0" collapsed="false">
      <c r="A2131" s="15" t="s">
        <v>5868</v>
      </c>
      <c r="B2131" s="15" t="s">
        <v>5865</v>
      </c>
      <c r="C2131" s="15" t="s">
        <v>406</v>
      </c>
      <c r="D2131" s="15" t="s">
        <v>1872</v>
      </c>
      <c r="E2131" s="15" t="s">
        <v>1891</v>
      </c>
      <c r="F2131" s="15" t="s">
        <v>3005</v>
      </c>
      <c r="G2131" s="15" t="s">
        <v>3006</v>
      </c>
      <c r="H2131" s="33" t="n">
        <f aca="false">Packages!$AC$199</f>
        <v>142</v>
      </c>
      <c r="I2131" s="15" t="s">
        <v>3007</v>
      </c>
      <c r="J2131" s="34" t="n">
        <f aca="false">IF(Packages!$AC$199=0,0,MAX(1,ROUNDUP(Packages!$AC$199/(R_PILE*Fronts!$H$12),0)))</f>
        <v>15</v>
      </c>
      <c r="K2131" s="34" t="n">
        <f aca="false">IF(J2131=0,0,ROUNDUP(J2131*7/WD,0))</f>
        <v>18</v>
      </c>
      <c r="L2131" s="15" t="s">
        <v>5866</v>
      </c>
      <c r="M2131" s="34" t="n">
        <f aca="false">ROUNDUP(K2130*LADDER,0)</f>
        <v>2</v>
      </c>
      <c r="N2131" s="34" t="n">
        <f aca="false">IF(K2131=0,0,FFLAG)</f>
        <v>2</v>
      </c>
      <c r="O2131" s="15" t="s">
        <v>3008</v>
      </c>
      <c r="P2131" s="16" t="n">
        <f aca="false">MAX(P2130+M2131,D_PILEDES,R2120)</f>
        <v>46427</v>
      </c>
      <c r="Q2131" s="16" t="n">
        <f aca="false">MAX(P2131+K2131,Q2130+N2131)</f>
        <v>46445</v>
      </c>
      <c r="R2131" s="16" t="n">
        <f aca="false">IF(K2131&gt;0,Q2131,R2120)</f>
        <v>46445</v>
      </c>
      <c r="S2131" s="15" t="s">
        <v>5852</v>
      </c>
    </row>
    <row r="2132" customFormat="false" ht="15" hidden="false" customHeight="false" outlineLevel="0" collapsed="false">
      <c r="A2132" s="15" t="s">
        <v>5869</v>
      </c>
      <c r="B2132" s="15" t="s">
        <v>5865</v>
      </c>
      <c r="C2132" s="15" t="s">
        <v>406</v>
      </c>
      <c r="D2132" s="15" t="s">
        <v>1872</v>
      </c>
      <c r="E2132" s="15" t="s">
        <v>1891</v>
      </c>
      <c r="F2132" s="15" t="s">
        <v>3010</v>
      </c>
      <c r="G2132" s="15" t="s">
        <v>3011</v>
      </c>
      <c r="H2132" s="33" t="n">
        <f aca="false">Packages!$AD$199</f>
        <v>414.200000000757</v>
      </c>
      <c r="I2132" s="15" t="s">
        <v>3012</v>
      </c>
      <c r="J2132" s="34" t="n">
        <f aca="false">IF(Packages!$AD$199=0,0,MAX(1,ROUNDUP(Packages!$AD$199/(R_SHEET*Fronts!$I$12),0)))</f>
        <v>9</v>
      </c>
      <c r="K2132" s="34" t="n">
        <f aca="false">IF(J2132=0,0,ROUNDUP(J2132*7/WD,0))</f>
        <v>11</v>
      </c>
      <c r="L2132" s="15" t="s">
        <v>5868</v>
      </c>
      <c r="M2132" s="34" t="n">
        <f aca="false">ROUNDUP(K2131*LADDER,0)</f>
        <v>6</v>
      </c>
      <c r="N2132" s="34" t="n">
        <f aca="false">IF(K2132=0,0,FFLAG)</f>
        <v>2</v>
      </c>
      <c r="O2132" s="15"/>
      <c r="P2132" s="16" t="n">
        <f aca="false">MAX(P2131+M2132,R2121)</f>
        <v>46433</v>
      </c>
      <c r="Q2132" s="16" t="n">
        <f aca="false">MAX(P2132+K2132,Q2131+N2132)</f>
        <v>46447</v>
      </c>
      <c r="R2132" s="16" t="n">
        <f aca="false">IF(K2132&gt;0,Q2132,R2121)</f>
        <v>46447</v>
      </c>
      <c r="S2132" s="15" t="s">
        <v>5853</v>
      </c>
    </row>
    <row r="2133" customFormat="false" ht="15" hidden="false" customHeight="false" outlineLevel="0" collapsed="false">
      <c r="A2133" s="15" t="s">
        <v>5870</v>
      </c>
      <c r="B2133" s="15" t="s">
        <v>5865</v>
      </c>
      <c r="C2133" s="15" t="s">
        <v>406</v>
      </c>
      <c r="D2133" s="15" t="s">
        <v>1872</v>
      </c>
      <c r="E2133" s="15" t="s">
        <v>1891</v>
      </c>
      <c r="F2133" s="15" t="s">
        <v>3014</v>
      </c>
      <c r="G2133" s="15" t="s">
        <v>3015</v>
      </c>
      <c r="H2133" s="33" t="n">
        <f aca="false">Packages!$O$199</f>
        <v>207.100000000379</v>
      </c>
      <c r="I2133" s="15" t="s">
        <v>118</v>
      </c>
      <c r="J2133" s="34" t="n">
        <f aca="false">IF(Packages!$AG$199=0,0,ROUNDUP(Packages!$O$199/R_DW,0)+DW_DRAW)</f>
        <v>13</v>
      </c>
      <c r="K2133" s="34" t="n">
        <f aca="false">IF(J2133=0,0,ROUNDUP(J2133*7/WD,0))</f>
        <v>16</v>
      </c>
      <c r="L2133" s="15" t="s">
        <v>5869</v>
      </c>
      <c r="M2133" s="34" t="n">
        <f aca="false">ROUNDUP(K2132*LADDER,0)</f>
        <v>4</v>
      </c>
      <c r="N2133" s="34" t="n">
        <f aca="false">IF(K2133=0,0,FFLAG)</f>
        <v>2</v>
      </c>
      <c r="O2133" s="15" t="s">
        <v>5871</v>
      </c>
      <c r="P2133" s="16" t="n">
        <f aca="false">MAX(P2132+M2133,Q2123-K2133)</f>
        <v>46437</v>
      </c>
      <c r="Q2133" s="16" t="n">
        <f aca="false">MAX(P2133+K2133,Q2132+N2133)</f>
        <v>46453</v>
      </c>
      <c r="R2133" s="12"/>
      <c r="S2133" s="12"/>
    </row>
    <row r="2134" customFormat="false" ht="15" hidden="false" customHeight="false" outlineLevel="0" collapsed="false">
      <c r="A2134" s="15" t="s">
        <v>5872</v>
      </c>
      <c r="B2134" s="15" t="s">
        <v>5865</v>
      </c>
      <c r="C2134" s="15" t="s">
        <v>406</v>
      </c>
      <c r="D2134" s="15" t="s">
        <v>1872</v>
      </c>
      <c r="E2134" s="15" t="s">
        <v>1891</v>
      </c>
      <c r="F2134" s="15" t="s">
        <v>3017</v>
      </c>
      <c r="G2134" s="15" t="s">
        <v>3018</v>
      </c>
      <c r="H2134" s="33" t="n">
        <f aca="false">Packages!$X$199+Packages!$Y$199</f>
        <v>3176.54149090061</v>
      </c>
      <c r="I2134" s="15" t="s">
        <v>3019</v>
      </c>
      <c r="J2134" s="34" t="n">
        <f aca="false">MAX(1,ROUNDUP((Packages!$X$199/R_EXS+Packages!$Y$199/R_EXO)/Fronts!$J$12,0))</f>
        <v>7</v>
      </c>
      <c r="K2134" s="34" t="n">
        <f aca="false">IF(J2134=0,0,ROUNDUP(J2134*7/WD,0))</f>
        <v>9</v>
      </c>
      <c r="L2134" s="15" t="s">
        <v>5870</v>
      </c>
      <c r="M2134" s="34" t="n">
        <f aca="false">IF(K2133=0,0,ROUNDUP((K2133-ROUNDUP(DW_DRAW*7/WD,0))*LADDER,0)+ROUNDUP(DW_DRAW*7/WD,0))</f>
        <v>12</v>
      </c>
      <c r="N2134" s="34" t="n">
        <f aca="false">IF(K2134=0,0,FFLAG)</f>
        <v>2</v>
      </c>
      <c r="O2134" s="15" t="s">
        <v>5873</v>
      </c>
      <c r="P2134" s="16" t="n">
        <f aca="false">MAX(P2133+M2134,R2123,P2123,P1969,P2090,P2002,P2079)</f>
        <v>46449</v>
      </c>
      <c r="Q2134" s="16" t="n">
        <f aca="false">MAX(P2134+K2134,Q2133+N2134)</f>
        <v>46458</v>
      </c>
      <c r="R2134" s="16" t="n">
        <f aca="false">IF(K2134&gt;0,Q2134,R2123)</f>
        <v>46458</v>
      </c>
      <c r="S2134" s="15" t="s">
        <v>5856</v>
      </c>
    </row>
    <row r="2135" customFormat="false" ht="15" hidden="false" customHeight="false" outlineLevel="0" collapsed="false">
      <c r="A2135" s="15" t="s">
        <v>5874</v>
      </c>
      <c r="B2135" s="15" t="s">
        <v>5865</v>
      </c>
      <c r="C2135" s="15" t="s">
        <v>406</v>
      </c>
      <c r="D2135" s="15" t="s">
        <v>1872</v>
      </c>
      <c r="E2135" s="15" t="s">
        <v>1891</v>
      </c>
      <c r="F2135" s="15" t="s">
        <v>3022</v>
      </c>
      <c r="G2135" s="15" t="s">
        <v>3023</v>
      </c>
      <c r="H2135" s="33" t="n">
        <f aca="false">Packages!$O$199</f>
        <v>207.100000000379</v>
      </c>
      <c r="I2135" s="15" t="s">
        <v>118</v>
      </c>
      <c r="J2135" s="34" t="n">
        <f aca="false">MAX(1,ROUNDUP(Packages!$O$199/(R_SLAB*Fronts!$K$12),0))+SLAB_CURE</f>
        <v>12</v>
      </c>
      <c r="K2135" s="34" t="n">
        <f aca="false">IF(J2135=0,0,ROUNDUP(J2135*7/WD,0))</f>
        <v>14</v>
      </c>
      <c r="L2135" s="15" t="s">
        <v>5872</v>
      </c>
      <c r="M2135" s="34" t="n">
        <f aca="false">ROUNDUP(K2134*LADDER,0)</f>
        <v>3</v>
      </c>
      <c r="N2135" s="34" t="n">
        <f aca="false">IF(K2135=0,0,FFLAG)</f>
        <v>2</v>
      </c>
      <c r="O2135" s="15"/>
      <c r="P2135" s="16" t="n">
        <f aca="false">MAX(P2134+M2135,R2124)</f>
        <v>46467</v>
      </c>
      <c r="Q2135" s="16" t="n">
        <f aca="false">MAX(P2135+K2135,Q2134+N2135)</f>
        <v>46481</v>
      </c>
      <c r="R2135" s="16" t="n">
        <f aca="false">IF(K2135&gt;0,Q2135,R2124)</f>
        <v>46481</v>
      </c>
      <c r="S2135" s="15" t="s">
        <v>5858</v>
      </c>
    </row>
    <row r="2136" customFormat="false" ht="15" hidden="false" customHeight="false" outlineLevel="0" collapsed="false">
      <c r="A2136" s="15" t="s">
        <v>5875</v>
      </c>
      <c r="B2136" s="15" t="s">
        <v>5865</v>
      </c>
      <c r="C2136" s="15" t="s">
        <v>406</v>
      </c>
      <c r="D2136" s="15" t="s">
        <v>1872</v>
      </c>
      <c r="E2136" s="15" t="s">
        <v>1891</v>
      </c>
      <c r="F2136" s="15" t="s">
        <v>3025</v>
      </c>
      <c r="G2136" s="15" t="s">
        <v>3026</v>
      </c>
      <c r="H2136" s="33" t="n">
        <f aca="false">Packages!$O$199</f>
        <v>207.100000000379</v>
      </c>
      <c r="I2136" s="15" t="s">
        <v>118</v>
      </c>
      <c r="J2136" s="34" t="n">
        <f aca="false">MAX(1,ROUNDUP(Packages!$O$199/(IF(Packages!$N$199&gt;=PIPE_T1,R_PIPE_L,IF(Packages!$N$199&gt;=PIPE_T2,R_PIPE_M,R_PIPE_S))*Fronts!$L$12)+Packages!$M$199*FIT_D+IF(Packages!$G$199&lt;&gt;"Run",TIE_D,0),0))</f>
        <v>9</v>
      </c>
      <c r="K2136" s="34" t="n">
        <f aca="false">IF(J2136=0,0,ROUNDUP(J2136*7/WD,0))</f>
        <v>11</v>
      </c>
      <c r="L2136" s="15" t="s">
        <v>5874</v>
      </c>
      <c r="M2136" s="34" t="n">
        <f aca="false">ROUNDUP(K2135*LADDER,0)</f>
        <v>5</v>
      </c>
      <c r="N2136" s="34" t="n">
        <f aca="false">IF(K2136=0,0,FFLAG)</f>
        <v>2</v>
      </c>
      <c r="O2136" s="15"/>
      <c r="P2136" s="16" t="n">
        <f aca="false">MAX(P2135+M2136,R2125)</f>
        <v>46472</v>
      </c>
      <c r="Q2136" s="16" t="n">
        <f aca="false">MAX(P2136+K2136,Q2135+N2136)</f>
        <v>46483</v>
      </c>
      <c r="R2136" s="16" t="n">
        <f aca="false">IF(K2136&gt;0,Q2136,R2125)</f>
        <v>46483</v>
      </c>
      <c r="S2136" s="15" t="s">
        <v>5859</v>
      </c>
    </row>
    <row r="2137" customFormat="false" ht="15" hidden="false" customHeight="false" outlineLevel="0" collapsed="false">
      <c r="A2137" s="15" t="s">
        <v>5876</v>
      </c>
      <c r="B2137" s="15" t="s">
        <v>5865</v>
      </c>
      <c r="C2137" s="15" t="s">
        <v>406</v>
      </c>
      <c r="D2137" s="15" t="s">
        <v>1872</v>
      </c>
      <c r="E2137" s="15" t="s">
        <v>1891</v>
      </c>
      <c r="F2137" s="15" t="s">
        <v>3028</v>
      </c>
      <c r="G2137" s="15" t="s">
        <v>3029</v>
      </c>
      <c r="H2137" s="33" t="n">
        <f aca="false">Packages!$O$199</f>
        <v>207.100000000379</v>
      </c>
      <c r="I2137" s="15" t="s">
        <v>118</v>
      </c>
      <c r="J2137" s="34" t="n">
        <f aca="false">TEST_D+ROUNDUP(Packages!$O$199/R_TEST,0)</f>
        <v>4</v>
      </c>
      <c r="K2137" s="34" t="n">
        <f aca="false">IF(J2137=0,0,ROUNDUP(J2137*7/WD,0))</f>
        <v>5</v>
      </c>
      <c r="L2137" s="15" t="s">
        <v>5875</v>
      </c>
      <c r="M2137" s="34" t="n">
        <f aca="false">ROUNDUP(K2136*LADDER,0)</f>
        <v>4</v>
      </c>
      <c r="N2137" s="34" t="n">
        <f aca="false">IF(K2137=0,0,FFLAG)</f>
        <v>2</v>
      </c>
      <c r="O2137" s="15"/>
      <c r="P2137" s="16" t="n">
        <f aca="false">MAX(P2136+M2137)</f>
        <v>46476</v>
      </c>
      <c r="Q2137" s="16" t="n">
        <f aca="false">MAX(P2137+K2137,Q2136+N2137)</f>
        <v>46485</v>
      </c>
      <c r="R2137" s="12"/>
      <c r="S2137" s="12"/>
    </row>
    <row r="2138" customFormat="false" ht="15" hidden="false" customHeight="false" outlineLevel="0" collapsed="false">
      <c r="A2138" s="15" t="s">
        <v>5877</v>
      </c>
      <c r="B2138" s="15" t="s">
        <v>5865</v>
      </c>
      <c r="C2138" s="15" t="s">
        <v>406</v>
      </c>
      <c r="D2138" s="15" t="s">
        <v>1872</v>
      </c>
      <c r="E2138" s="15" t="s">
        <v>1891</v>
      </c>
      <c r="F2138" s="15" t="s">
        <v>3031</v>
      </c>
      <c r="G2138" s="15" t="s">
        <v>3032</v>
      </c>
      <c r="H2138" s="33" t="n">
        <f aca="false">Packages!$AB$199</f>
        <v>2014.07739295208</v>
      </c>
      <c r="I2138" s="15" t="s">
        <v>3019</v>
      </c>
      <c r="J2138" s="34" t="n">
        <f aca="false">MAX(1,ROUNDUP(Packages!$AB$199/(R_BF*Fronts!$M$12),0))</f>
        <v>3</v>
      </c>
      <c r="K2138" s="34" t="n">
        <f aca="false">IF(J2138=0,0,ROUNDUP(J2138*7/WD,0))</f>
        <v>4</v>
      </c>
      <c r="L2138" s="15" t="s">
        <v>5876</v>
      </c>
      <c r="M2138" s="34" t="n">
        <f aca="false">ROUNDUP(K2137*LADDER,0)</f>
        <v>2</v>
      </c>
      <c r="N2138" s="34" t="n">
        <f aca="false">IF(K2138=0,0,FFLAG)</f>
        <v>2</v>
      </c>
      <c r="O2138" s="15" t="s">
        <v>5878</v>
      </c>
      <c r="P2138" s="16" t="n">
        <f aca="false">MAX(P2137+M2138,R2127,Q2125,Q2158,Q1971,Q2169,Q2092,Q2004,Q2081,Q2147)</f>
        <v>46546</v>
      </c>
      <c r="Q2138" s="16" t="n">
        <f aca="false">MAX(P2138+K2138,Q2137+N2138)</f>
        <v>46550</v>
      </c>
      <c r="R2138" s="16" t="n">
        <f aca="false">IF(K2138&gt;0,Q2138,R2127)</f>
        <v>46550</v>
      </c>
      <c r="S2138" s="15" t="s">
        <v>5861</v>
      </c>
    </row>
    <row r="2139" customFormat="false" ht="15" hidden="false" customHeight="false" outlineLevel="0" collapsed="false">
      <c r="A2139" s="15" t="s">
        <v>5879</v>
      </c>
      <c r="B2139" s="15" t="s">
        <v>5865</v>
      </c>
      <c r="C2139" s="15" t="s">
        <v>406</v>
      </c>
      <c r="D2139" s="15" t="s">
        <v>1872</v>
      </c>
      <c r="E2139" s="15" t="s">
        <v>1891</v>
      </c>
      <c r="F2139" s="15" t="s">
        <v>3034</v>
      </c>
      <c r="G2139" s="15" t="s">
        <v>3035</v>
      </c>
      <c r="H2139" s="33" t="n">
        <f aca="false">Packages!$AD$199</f>
        <v>414.200000000757</v>
      </c>
      <c r="I2139" s="15" t="s">
        <v>3012</v>
      </c>
      <c r="J2139" s="34" t="n">
        <f aca="false">IF(Packages!$AD$199&gt;0,ROUNDUP(Packages!$AD$199/R_EXT,0),0)+IF(Packages!$AG$199&gt;0,1,0)</f>
        <v>10</v>
      </c>
      <c r="K2139" s="34" t="n">
        <f aca="false">IF(J2139=0,0,ROUNDUP(J2139*7/WD,0))</f>
        <v>12</v>
      </c>
      <c r="L2139" s="15" t="s">
        <v>5877</v>
      </c>
      <c r="M2139" s="34" t="n">
        <f aca="false">ROUNDUP(K2138*LADDER,0)</f>
        <v>2</v>
      </c>
      <c r="N2139" s="34" t="n">
        <f aca="false">IF(K2139=0,0,FFLAG)</f>
        <v>2</v>
      </c>
      <c r="O2139" s="15"/>
      <c r="P2139" s="16" t="n">
        <f aca="false">MAX(P2138+M2139)</f>
        <v>46548</v>
      </c>
      <c r="Q2139" s="16" t="n">
        <f aca="false">MAX(P2139+K2139,Q2138+N2139)</f>
        <v>46560</v>
      </c>
      <c r="R2139" s="12"/>
      <c r="S2139" s="12"/>
    </row>
    <row r="2140" customFormat="false" ht="15" hidden="false" customHeight="false" outlineLevel="0" collapsed="false">
      <c r="A2140" s="15" t="s">
        <v>5880</v>
      </c>
      <c r="B2140" s="15" t="s">
        <v>5881</v>
      </c>
      <c r="C2140" s="15" t="s">
        <v>406</v>
      </c>
      <c r="D2140" s="15" t="s">
        <v>1936</v>
      </c>
      <c r="E2140" s="15" t="s">
        <v>1946</v>
      </c>
      <c r="F2140" s="15" t="s">
        <v>2998</v>
      </c>
      <c r="G2140" s="15" t="s">
        <v>2999</v>
      </c>
      <c r="H2140" s="12"/>
      <c r="I2140" s="12"/>
      <c r="J2140" s="34" t="n">
        <f aca="false">0</f>
        <v>0</v>
      </c>
      <c r="K2140" s="34" t="n">
        <f aca="false">IF(J2140=0,0,ROUNDUP(J2140*7/WD,0))</f>
        <v>0</v>
      </c>
      <c r="L2140" s="12"/>
      <c r="M2140" s="12"/>
      <c r="N2140" s="12"/>
      <c r="O2140" s="15" t="s">
        <v>3000</v>
      </c>
      <c r="P2140" s="16" t="n">
        <f aca="false">MAX(START,D_DLU,Packages!$I$200,Packages!$K$200)</f>
        <v>46357</v>
      </c>
      <c r="Q2140" s="16" t="n">
        <f aca="false">P2140+K2140</f>
        <v>46357</v>
      </c>
      <c r="R2140" s="12"/>
      <c r="S2140" s="12"/>
    </row>
    <row r="2141" customFormat="false" ht="15" hidden="false" customHeight="false" outlineLevel="0" collapsed="false">
      <c r="A2141" s="15" t="s">
        <v>5882</v>
      </c>
      <c r="B2141" s="15" t="s">
        <v>5881</v>
      </c>
      <c r="C2141" s="15" t="s">
        <v>406</v>
      </c>
      <c r="D2141" s="15" t="s">
        <v>1936</v>
      </c>
      <c r="E2141" s="15" t="s">
        <v>1946</v>
      </c>
      <c r="F2141" s="15" t="s">
        <v>3002</v>
      </c>
      <c r="G2141" s="15" t="s">
        <v>205</v>
      </c>
      <c r="H2141" s="33" t="n">
        <f aca="false">Packages!$O$200</f>
        <v>364.541800036038</v>
      </c>
      <c r="I2141" s="15" t="s">
        <v>118</v>
      </c>
      <c r="J2141" s="34" t="n">
        <f aca="false">MAX(1,ROUNDUP(Packages!$O$200/R_PLAT,0))</f>
        <v>5</v>
      </c>
      <c r="K2141" s="34" t="n">
        <f aca="false">IF(J2141=0,0,ROUNDUP(J2141*7/WD,0))</f>
        <v>6</v>
      </c>
      <c r="L2141" s="15" t="s">
        <v>5880</v>
      </c>
      <c r="M2141" s="12"/>
      <c r="N2141" s="12"/>
      <c r="O2141" s="15" t="s">
        <v>5883</v>
      </c>
      <c r="P2141" s="16" t="n">
        <f aca="false">MAX(Q2140,P2131)</f>
        <v>46427</v>
      </c>
      <c r="Q2141" s="16" t="n">
        <f aca="false">P2141+K2141</f>
        <v>46433</v>
      </c>
      <c r="R2141" s="12"/>
      <c r="S2141" s="12"/>
    </row>
    <row r="2142" customFormat="false" ht="15" hidden="false" customHeight="false" outlineLevel="0" collapsed="false">
      <c r="A2142" s="15" t="s">
        <v>5884</v>
      </c>
      <c r="B2142" s="15" t="s">
        <v>5881</v>
      </c>
      <c r="C2142" s="15" t="s">
        <v>406</v>
      </c>
      <c r="D2142" s="15" t="s">
        <v>1936</v>
      </c>
      <c r="E2142" s="15" t="s">
        <v>1946</v>
      </c>
      <c r="F2142" s="15" t="s">
        <v>3005</v>
      </c>
      <c r="G2142" s="15" t="s">
        <v>3006</v>
      </c>
      <c r="H2142" s="33" t="n">
        <f aca="false">Packages!$AC$200</f>
        <v>246</v>
      </c>
      <c r="I2142" s="15" t="s">
        <v>3007</v>
      </c>
      <c r="J2142" s="34" t="n">
        <f aca="false">IF(Packages!$AC$200=0,0,MAX(1,ROUNDUP(Packages!$AC$200/(R_PILE*Fronts!$H$12),0)))</f>
        <v>25</v>
      </c>
      <c r="K2142" s="34" t="n">
        <f aca="false">IF(J2142=0,0,ROUNDUP(J2142*7/WD,0))</f>
        <v>30</v>
      </c>
      <c r="L2142" s="15" t="s">
        <v>5882</v>
      </c>
      <c r="M2142" s="34" t="n">
        <f aca="false">ROUNDUP(K2141*LADDER,0)</f>
        <v>2</v>
      </c>
      <c r="N2142" s="34" t="n">
        <f aca="false">IF(K2142=0,0,FFLAG)</f>
        <v>2</v>
      </c>
      <c r="O2142" s="15" t="s">
        <v>3008</v>
      </c>
      <c r="P2142" s="16" t="n">
        <f aca="false">MAX(P2141+M2142,D_PILEDES,R2131)</f>
        <v>46445</v>
      </c>
      <c r="Q2142" s="16" t="n">
        <f aca="false">MAX(P2142+K2142,Q2141+N2142)</f>
        <v>46475</v>
      </c>
      <c r="R2142" s="16" t="n">
        <f aca="false">IF(K2142&gt;0,Q2142,R2131)</f>
        <v>46475</v>
      </c>
      <c r="S2142" s="15" t="s">
        <v>5868</v>
      </c>
    </row>
    <row r="2143" customFormat="false" ht="15" hidden="false" customHeight="false" outlineLevel="0" collapsed="false">
      <c r="A2143" s="15" t="s">
        <v>5885</v>
      </c>
      <c r="B2143" s="15" t="s">
        <v>5881</v>
      </c>
      <c r="C2143" s="15" t="s">
        <v>406</v>
      </c>
      <c r="D2143" s="15" t="s">
        <v>1936</v>
      </c>
      <c r="E2143" s="15" t="s">
        <v>1946</v>
      </c>
      <c r="F2143" s="15" t="s">
        <v>3010</v>
      </c>
      <c r="G2143" s="15" t="s">
        <v>3011</v>
      </c>
      <c r="H2143" s="33" t="n">
        <f aca="false">Packages!$AD$200</f>
        <v>729.083600072076</v>
      </c>
      <c r="I2143" s="15" t="s">
        <v>3012</v>
      </c>
      <c r="J2143" s="34" t="n">
        <f aca="false">IF(Packages!$AD$200=0,0,MAX(1,ROUNDUP(Packages!$AD$200/(R_SHEET*Fronts!$I$12),0)))</f>
        <v>15</v>
      </c>
      <c r="K2143" s="34" t="n">
        <f aca="false">IF(J2143=0,0,ROUNDUP(J2143*7/WD,0))</f>
        <v>18</v>
      </c>
      <c r="L2143" s="15" t="s">
        <v>5884</v>
      </c>
      <c r="M2143" s="34" t="n">
        <f aca="false">ROUNDUP(K2142*LADDER,0)</f>
        <v>9</v>
      </c>
      <c r="N2143" s="34" t="n">
        <f aca="false">IF(K2143=0,0,FFLAG)</f>
        <v>2</v>
      </c>
      <c r="O2143" s="15"/>
      <c r="P2143" s="16" t="n">
        <f aca="false">MAX(P2142+M2143,R2132)</f>
        <v>46454</v>
      </c>
      <c r="Q2143" s="16" t="n">
        <f aca="false">MAX(P2143+K2143,Q2142+N2143)</f>
        <v>46477</v>
      </c>
      <c r="R2143" s="16" t="n">
        <f aca="false">IF(K2143&gt;0,Q2143,R2132)</f>
        <v>46477</v>
      </c>
      <c r="S2143" s="15" t="s">
        <v>5869</v>
      </c>
    </row>
    <row r="2144" customFormat="false" ht="15" hidden="false" customHeight="false" outlineLevel="0" collapsed="false">
      <c r="A2144" s="15" t="s">
        <v>5886</v>
      </c>
      <c r="B2144" s="15" t="s">
        <v>5881</v>
      </c>
      <c r="C2144" s="15" t="s">
        <v>406</v>
      </c>
      <c r="D2144" s="15" t="s">
        <v>1936</v>
      </c>
      <c r="E2144" s="15" t="s">
        <v>1946</v>
      </c>
      <c r="F2144" s="15" t="s">
        <v>3014</v>
      </c>
      <c r="G2144" s="15" t="s">
        <v>3015</v>
      </c>
      <c r="H2144" s="33" t="n">
        <f aca="false">Packages!$O$200</f>
        <v>364.541800036038</v>
      </c>
      <c r="I2144" s="15" t="s">
        <v>118</v>
      </c>
      <c r="J2144" s="34" t="n">
        <f aca="false">IF(Packages!$AG$200=0,0,ROUNDUP(Packages!$O$200/R_DW,0)+DW_DRAW)</f>
        <v>17</v>
      </c>
      <c r="K2144" s="34" t="n">
        <f aca="false">IF(J2144=0,0,ROUNDUP(J2144*7/WD,0))</f>
        <v>20</v>
      </c>
      <c r="L2144" s="15" t="s">
        <v>5885</v>
      </c>
      <c r="M2144" s="34" t="n">
        <f aca="false">ROUNDUP(K2143*LADDER,0)</f>
        <v>6</v>
      </c>
      <c r="N2144" s="34" t="n">
        <f aca="false">IF(K2144=0,0,FFLAG)</f>
        <v>2</v>
      </c>
      <c r="O2144" s="15" t="s">
        <v>5887</v>
      </c>
      <c r="P2144" s="16" t="n">
        <f aca="false">MAX(P2143+M2144,Q2134-K2144)</f>
        <v>46460</v>
      </c>
      <c r="Q2144" s="16" t="n">
        <f aca="false">MAX(P2144+K2144,Q2143+N2144)</f>
        <v>46480</v>
      </c>
      <c r="R2144" s="12"/>
      <c r="S2144" s="12"/>
    </row>
    <row r="2145" customFormat="false" ht="15" hidden="false" customHeight="false" outlineLevel="0" collapsed="false">
      <c r="A2145" s="15" t="s">
        <v>5888</v>
      </c>
      <c r="B2145" s="15" t="s">
        <v>5881</v>
      </c>
      <c r="C2145" s="15" t="s">
        <v>406</v>
      </c>
      <c r="D2145" s="15" t="s">
        <v>1936</v>
      </c>
      <c r="E2145" s="15" t="s">
        <v>1946</v>
      </c>
      <c r="F2145" s="15" t="s">
        <v>3017</v>
      </c>
      <c r="G2145" s="15" t="s">
        <v>3018</v>
      </c>
      <c r="H2145" s="33" t="n">
        <f aca="false">Packages!$X$200+Packages!$Y$200</f>
        <v>5579.24480138075</v>
      </c>
      <c r="I2145" s="15" t="s">
        <v>3019</v>
      </c>
      <c r="J2145" s="34" t="n">
        <f aca="false">MAX(1,ROUNDUP((Packages!$X$200/R_EXS+Packages!$Y$200/R_EXO)/Fronts!$J$12,0))</f>
        <v>12</v>
      </c>
      <c r="K2145" s="34" t="n">
        <f aca="false">IF(J2145=0,0,ROUNDUP(J2145*7/WD,0))</f>
        <v>14</v>
      </c>
      <c r="L2145" s="15" t="s">
        <v>5886</v>
      </c>
      <c r="M2145" s="34" t="n">
        <f aca="false">IF(K2144=0,0,ROUNDUP((K2144-ROUNDUP(DW_DRAW*7/WD,0))*LADDER,0)+ROUNDUP(DW_DRAW*7/WD,0))</f>
        <v>13</v>
      </c>
      <c r="N2145" s="34" t="n">
        <f aca="false">IF(K2145=0,0,FFLAG)</f>
        <v>2</v>
      </c>
      <c r="O2145" s="15" t="s">
        <v>5889</v>
      </c>
      <c r="P2145" s="16" t="n">
        <f aca="false">MAX(P2144+M2145,R2134,P2090,P2013,P2134,P2101,P2112,P2035)</f>
        <v>46473</v>
      </c>
      <c r="Q2145" s="16" t="n">
        <f aca="false">MAX(P2145+K2145,Q2144+N2145)</f>
        <v>46487</v>
      </c>
      <c r="R2145" s="16" t="n">
        <f aca="false">IF(K2145&gt;0,Q2145,R2134)</f>
        <v>46487</v>
      </c>
      <c r="S2145" s="15" t="s">
        <v>5872</v>
      </c>
    </row>
    <row r="2146" customFormat="false" ht="15" hidden="false" customHeight="false" outlineLevel="0" collapsed="false">
      <c r="A2146" s="15" t="s">
        <v>5890</v>
      </c>
      <c r="B2146" s="15" t="s">
        <v>5881</v>
      </c>
      <c r="C2146" s="15" t="s">
        <v>406</v>
      </c>
      <c r="D2146" s="15" t="s">
        <v>1936</v>
      </c>
      <c r="E2146" s="15" t="s">
        <v>1946</v>
      </c>
      <c r="F2146" s="15" t="s">
        <v>3022</v>
      </c>
      <c r="G2146" s="15" t="s">
        <v>3023</v>
      </c>
      <c r="H2146" s="33" t="n">
        <f aca="false">Packages!$O$200</f>
        <v>364.541800036038</v>
      </c>
      <c r="I2146" s="15" t="s">
        <v>118</v>
      </c>
      <c r="J2146" s="34" t="n">
        <f aca="false">MAX(1,ROUNDUP(Packages!$O$200/(R_SLAB*Fronts!$K$12),0))+SLAB_CURE</f>
        <v>19</v>
      </c>
      <c r="K2146" s="34" t="n">
        <f aca="false">IF(J2146=0,0,ROUNDUP(J2146*7/WD,0))</f>
        <v>23</v>
      </c>
      <c r="L2146" s="15" t="s">
        <v>5888</v>
      </c>
      <c r="M2146" s="34" t="n">
        <f aca="false">ROUNDUP(K2145*LADDER,0)</f>
        <v>5</v>
      </c>
      <c r="N2146" s="34" t="n">
        <f aca="false">IF(K2146=0,0,FFLAG)</f>
        <v>2</v>
      </c>
      <c r="O2146" s="15"/>
      <c r="P2146" s="16" t="n">
        <f aca="false">MAX(P2145+M2146,R2135)</f>
        <v>46481</v>
      </c>
      <c r="Q2146" s="16" t="n">
        <f aca="false">MAX(P2146+K2146,Q2145+N2146)</f>
        <v>46504</v>
      </c>
      <c r="R2146" s="16" t="n">
        <f aca="false">IF(K2146&gt;0,Q2146,R2135)</f>
        <v>46504</v>
      </c>
      <c r="S2146" s="15" t="s">
        <v>5874</v>
      </c>
    </row>
    <row r="2147" customFormat="false" ht="15" hidden="false" customHeight="false" outlineLevel="0" collapsed="false">
      <c r="A2147" s="15" t="s">
        <v>5891</v>
      </c>
      <c r="B2147" s="15" t="s">
        <v>5881</v>
      </c>
      <c r="C2147" s="15" t="s">
        <v>406</v>
      </c>
      <c r="D2147" s="15" t="s">
        <v>1936</v>
      </c>
      <c r="E2147" s="15" t="s">
        <v>1946</v>
      </c>
      <c r="F2147" s="15" t="s">
        <v>3025</v>
      </c>
      <c r="G2147" s="15" t="s">
        <v>3026</v>
      </c>
      <c r="H2147" s="33" t="n">
        <f aca="false">Packages!$O$200</f>
        <v>364.541800036038</v>
      </c>
      <c r="I2147" s="15" t="s">
        <v>118</v>
      </c>
      <c r="J2147" s="34" t="n">
        <f aca="false">MAX(1,ROUNDUP(Packages!$O$200/(IF(Packages!$N$200&gt;=PIPE_T1,R_PIPE_L,IF(Packages!$N$200&gt;=PIPE_T2,R_PIPE_M,R_PIPE_S))*Fronts!$L$12)+Packages!$M$200*FIT_D+IF(Packages!$G$200&lt;&gt;"Run",TIE_D,0),0))</f>
        <v>14</v>
      </c>
      <c r="K2147" s="34" t="n">
        <f aca="false">IF(J2147=0,0,ROUNDUP(J2147*7/WD,0))</f>
        <v>17</v>
      </c>
      <c r="L2147" s="15" t="s">
        <v>5890</v>
      </c>
      <c r="M2147" s="34" t="n">
        <f aca="false">ROUNDUP(K2146*LADDER,0)</f>
        <v>7</v>
      </c>
      <c r="N2147" s="34" t="n">
        <f aca="false">IF(K2147=0,0,FFLAG)</f>
        <v>2</v>
      </c>
      <c r="O2147" s="15"/>
      <c r="P2147" s="16" t="n">
        <f aca="false">MAX(P2146+M2147,R2136)</f>
        <v>46488</v>
      </c>
      <c r="Q2147" s="16" t="n">
        <f aca="false">MAX(P2147+K2147,Q2146+N2147)</f>
        <v>46506</v>
      </c>
      <c r="R2147" s="16" t="n">
        <f aca="false">IF(K2147&gt;0,Q2147,R2136)</f>
        <v>46506</v>
      </c>
      <c r="S2147" s="15" t="s">
        <v>5875</v>
      </c>
    </row>
    <row r="2148" customFormat="false" ht="15" hidden="false" customHeight="false" outlineLevel="0" collapsed="false">
      <c r="A2148" s="15" t="s">
        <v>5892</v>
      </c>
      <c r="B2148" s="15" t="s">
        <v>5881</v>
      </c>
      <c r="C2148" s="15" t="s">
        <v>406</v>
      </c>
      <c r="D2148" s="15" t="s">
        <v>1936</v>
      </c>
      <c r="E2148" s="15" t="s">
        <v>1946</v>
      </c>
      <c r="F2148" s="15" t="s">
        <v>3028</v>
      </c>
      <c r="G2148" s="15" t="s">
        <v>3029</v>
      </c>
      <c r="H2148" s="33" t="n">
        <f aca="false">Packages!$O$200</f>
        <v>364.541800036038</v>
      </c>
      <c r="I2148" s="15" t="s">
        <v>118</v>
      </c>
      <c r="J2148" s="34" t="n">
        <f aca="false">TEST_D+ROUNDUP(Packages!$O$200/R_TEST,0)</f>
        <v>5</v>
      </c>
      <c r="K2148" s="34" t="n">
        <f aca="false">IF(J2148=0,0,ROUNDUP(J2148*7/WD,0))</f>
        <v>6</v>
      </c>
      <c r="L2148" s="15" t="s">
        <v>5891</v>
      </c>
      <c r="M2148" s="34" t="n">
        <f aca="false">ROUNDUP(K2147*LADDER,0)</f>
        <v>6</v>
      </c>
      <c r="N2148" s="34" t="n">
        <f aca="false">IF(K2148=0,0,FFLAG)</f>
        <v>2</v>
      </c>
      <c r="O2148" s="15"/>
      <c r="P2148" s="16" t="n">
        <f aca="false">MAX(P2147+M2148)</f>
        <v>46494</v>
      </c>
      <c r="Q2148" s="16" t="n">
        <f aca="false">MAX(P2148+K2148,Q2147+N2148)</f>
        <v>46508</v>
      </c>
      <c r="R2148" s="12"/>
      <c r="S2148" s="12"/>
    </row>
    <row r="2149" customFormat="false" ht="15" hidden="false" customHeight="false" outlineLevel="0" collapsed="false">
      <c r="A2149" s="15" t="s">
        <v>5893</v>
      </c>
      <c r="B2149" s="15" t="s">
        <v>5881</v>
      </c>
      <c r="C2149" s="15" t="s">
        <v>406</v>
      </c>
      <c r="D2149" s="15" t="s">
        <v>1936</v>
      </c>
      <c r="E2149" s="15" t="s">
        <v>1946</v>
      </c>
      <c r="F2149" s="15" t="s">
        <v>3031</v>
      </c>
      <c r="G2149" s="15" t="s">
        <v>3032</v>
      </c>
      <c r="H2149" s="33" t="n">
        <f aca="false">Packages!$AB$200</f>
        <v>3518.12069684289</v>
      </c>
      <c r="I2149" s="15" t="s">
        <v>3019</v>
      </c>
      <c r="J2149" s="34" t="n">
        <f aca="false">MAX(1,ROUNDUP(Packages!$AB$200/(R_BF*Fronts!$M$12),0))</f>
        <v>6</v>
      </c>
      <c r="K2149" s="34" t="n">
        <f aca="false">IF(J2149=0,0,ROUNDUP(J2149*7/WD,0))</f>
        <v>7</v>
      </c>
      <c r="L2149" s="15" t="s">
        <v>5892</v>
      </c>
      <c r="M2149" s="34" t="n">
        <f aca="false">ROUNDUP(K2148*LADDER,0)</f>
        <v>2</v>
      </c>
      <c r="N2149" s="34" t="n">
        <f aca="false">IF(K2149=0,0,FFLAG)</f>
        <v>2</v>
      </c>
      <c r="O2149" s="15" t="s">
        <v>5894</v>
      </c>
      <c r="P2149" s="16" t="n">
        <f aca="false">MAX(P2148+M2149,R2138,Q2092,Q2180,Q2015,Q2136,Q2103,Q2114,Q2037)</f>
        <v>46550</v>
      </c>
      <c r="Q2149" s="16" t="n">
        <f aca="false">MAX(P2149+K2149,Q2148+N2149)</f>
        <v>46557</v>
      </c>
      <c r="R2149" s="16" t="n">
        <f aca="false">IF(K2149&gt;0,Q2149,R2138)</f>
        <v>46557</v>
      </c>
      <c r="S2149" s="15" t="s">
        <v>5877</v>
      </c>
    </row>
    <row r="2150" customFormat="false" ht="15" hidden="false" customHeight="false" outlineLevel="0" collapsed="false">
      <c r="A2150" s="15" t="s">
        <v>5895</v>
      </c>
      <c r="B2150" s="15" t="s">
        <v>5881</v>
      </c>
      <c r="C2150" s="15" t="s">
        <v>406</v>
      </c>
      <c r="D2150" s="15" t="s">
        <v>1936</v>
      </c>
      <c r="E2150" s="15" t="s">
        <v>1946</v>
      </c>
      <c r="F2150" s="15" t="s">
        <v>3034</v>
      </c>
      <c r="G2150" s="15" t="s">
        <v>3035</v>
      </c>
      <c r="H2150" s="33" t="n">
        <f aca="false">Packages!$AD$200</f>
        <v>729.083600072076</v>
      </c>
      <c r="I2150" s="15" t="s">
        <v>3012</v>
      </c>
      <c r="J2150" s="34" t="n">
        <f aca="false">IF(Packages!$AD$200&gt;0,ROUNDUP(Packages!$AD$200/R_EXT,0),0)+IF(Packages!$AG$200&gt;0,1,0)</f>
        <v>16</v>
      </c>
      <c r="K2150" s="34" t="n">
        <f aca="false">IF(J2150=0,0,ROUNDUP(J2150*7/WD,0))</f>
        <v>19</v>
      </c>
      <c r="L2150" s="15" t="s">
        <v>5893</v>
      </c>
      <c r="M2150" s="34" t="n">
        <f aca="false">ROUNDUP(K2149*LADDER,0)</f>
        <v>3</v>
      </c>
      <c r="N2150" s="34" t="n">
        <f aca="false">IF(K2150=0,0,FFLAG)</f>
        <v>2</v>
      </c>
      <c r="O2150" s="15"/>
      <c r="P2150" s="16" t="n">
        <f aca="false">MAX(P2149+M2150)</f>
        <v>46553</v>
      </c>
      <c r="Q2150" s="16" t="n">
        <f aca="false">MAX(P2150+K2150,Q2149+N2150)</f>
        <v>46572</v>
      </c>
      <c r="R2150" s="12"/>
      <c r="S2150" s="12"/>
    </row>
    <row r="2151" customFormat="false" ht="15" hidden="false" customHeight="false" outlineLevel="0" collapsed="false">
      <c r="A2151" s="15" t="s">
        <v>5896</v>
      </c>
      <c r="B2151" s="15" t="s">
        <v>5897</v>
      </c>
      <c r="C2151" s="15" t="s">
        <v>406</v>
      </c>
      <c r="D2151" s="15" t="s">
        <v>1341</v>
      </c>
      <c r="E2151" s="15" t="s">
        <v>1393</v>
      </c>
      <c r="F2151" s="15" t="s">
        <v>2998</v>
      </c>
      <c r="G2151" s="15" t="s">
        <v>2999</v>
      </c>
      <c r="H2151" s="12"/>
      <c r="I2151" s="12"/>
      <c r="J2151" s="34" t="n">
        <f aca="false">0</f>
        <v>0</v>
      </c>
      <c r="K2151" s="34" t="n">
        <f aca="false">IF(J2151=0,0,ROUNDUP(J2151*7/WD,0))</f>
        <v>0</v>
      </c>
      <c r="L2151" s="12"/>
      <c r="M2151" s="12"/>
      <c r="N2151" s="12"/>
      <c r="O2151" s="15" t="s">
        <v>3000</v>
      </c>
      <c r="P2151" s="16" t="n">
        <f aca="false">MAX(START,D_DLU,Packages!$I$201,Packages!$K$201)</f>
        <v>46357</v>
      </c>
      <c r="Q2151" s="16" t="n">
        <f aca="false">P2151+K2151</f>
        <v>46357</v>
      </c>
      <c r="R2151" s="12"/>
      <c r="S2151" s="12"/>
    </row>
    <row r="2152" customFormat="false" ht="15" hidden="false" customHeight="false" outlineLevel="0" collapsed="false">
      <c r="A2152" s="15" t="s">
        <v>5898</v>
      </c>
      <c r="B2152" s="15" t="s">
        <v>5897</v>
      </c>
      <c r="C2152" s="15" t="s">
        <v>406</v>
      </c>
      <c r="D2152" s="15" t="s">
        <v>1341</v>
      </c>
      <c r="E2152" s="15" t="s">
        <v>1393</v>
      </c>
      <c r="F2152" s="15" t="s">
        <v>3002</v>
      </c>
      <c r="G2152" s="15" t="s">
        <v>205</v>
      </c>
      <c r="H2152" s="33" t="n">
        <f aca="false">Packages!$O$201</f>
        <v>17.6867361519889</v>
      </c>
      <c r="I2152" s="15" t="s">
        <v>118</v>
      </c>
      <c r="J2152" s="34" t="n">
        <f aca="false">MAX(1,ROUNDUP(Packages!$O$201/R_PLAT,0))</f>
        <v>1</v>
      </c>
      <c r="K2152" s="34" t="n">
        <f aca="false">IF(J2152=0,0,ROUNDUP(J2152*7/WD,0))</f>
        <v>2</v>
      </c>
      <c r="L2152" s="15" t="s">
        <v>5896</v>
      </c>
      <c r="M2152" s="12"/>
      <c r="N2152" s="12"/>
      <c r="O2152" s="15" t="s">
        <v>5899</v>
      </c>
      <c r="P2152" s="16" t="n">
        <f aca="false">MAX(Q2151,P2142)</f>
        <v>46445</v>
      </c>
      <c r="Q2152" s="16" t="n">
        <f aca="false">P2152+K2152</f>
        <v>46447</v>
      </c>
      <c r="R2152" s="12"/>
      <c r="S2152" s="12"/>
    </row>
    <row r="2153" customFormat="false" ht="15" hidden="false" customHeight="false" outlineLevel="0" collapsed="false">
      <c r="A2153" s="15" t="s">
        <v>5900</v>
      </c>
      <c r="B2153" s="15" t="s">
        <v>5897</v>
      </c>
      <c r="C2153" s="15" t="s">
        <v>406</v>
      </c>
      <c r="D2153" s="15" t="s">
        <v>1341</v>
      </c>
      <c r="E2153" s="15" t="s">
        <v>1393</v>
      </c>
      <c r="F2153" s="15" t="s">
        <v>3005</v>
      </c>
      <c r="G2153" s="15" t="s">
        <v>3006</v>
      </c>
      <c r="H2153" s="33" t="n">
        <f aca="false">Packages!$AC$201</f>
        <v>14</v>
      </c>
      <c r="I2153" s="15" t="s">
        <v>3007</v>
      </c>
      <c r="J2153" s="34" t="n">
        <f aca="false">IF(Packages!$AC$201=0,0,MAX(1,ROUNDUP(Packages!$AC$201/(R_PILE*Fronts!$H$12),0)))</f>
        <v>2</v>
      </c>
      <c r="K2153" s="34" t="n">
        <f aca="false">IF(J2153=0,0,ROUNDUP(J2153*7/WD,0))</f>
        <v>3</v>
      </c>
      <c r="L2153" s="15" t="s">
        <v>5898</v>
      </c>
      <c r="M2153" s="34" t="n">
        <f aca="false">ROUNDUP(K2152*LADDER,0)</f>
        <v>1</v>
      </c>
      <c r="N2153" s="34" t="n">
        <f aca="false">IF(K2153=0,0,FFLAG)</f>
        <v>2</v>
      </c>
      <c r="O2153" s="15" t="s">
        <v>3008</v>
      </c>
      <c r="P2153" s="16" t="n">
        <f aca="false">MAX(P2152+M2153,D_PILEDES,R2142)</f>
        <v>46475</v>
      </c>
      <c r="Q2153" s="16" t="n">
        <f aca="false">MAX(P2153+K2153,Q2152+N2153)</f>
        <v>46478</v>
      </c>
      <c r="R2153" s="16" t="n">
        <f aca="false">IF(K2153&gt;0,Q2153,R2142)</f>
        <v>46478</v>
      </c>
      <c r="S2153" s="15" t="s">
        <v>5884</v>
      </c>
    </row>
    <row r="2154" customFormat="false" ht="15" hidden="false" customHeight="false" outlineLevel="0" collapsed="false">
      <c r="A2154" s="15" t="s">
        <v>5901</v>
      </c>
      <c r="B2154" s="15" t="s">
        <v>5897</v>
      </c>
      <c r="C2154" s="15" t="s">
        <v>406</v>
      </c>
      <c r="D2154" s="15" t="s">
        <v>1341</v>
      </c>
      <c r="E2154" s="15" t="s">
        <v>1393</v>
      </c>
      <c r="F2154" s="15" t="s">
        <v>3010</v>
      </c>
      <c r="G2154" s="15" t="s">
        <v>3011</v>
      </c>
      <c r="H2154" s="33" t="n">
        <f aca="false">Packages!$AD$201</f>
        <v>35.3734723039778</v>
      </c>
      <c r="I2154" s="15" t="s">
        <v>3012</v>
      </c>
      <c r="J2154" s="34" t="n">
        <f aca="false">IF(Packages!$AD$201=0,0,MAX(1,ROUNDUP(Packages!$AD$201/(R_SHEET*Fronts!$I$12),0)))</f>
        <v>1</v>
      </c>
      <c r="K2154" s="34" t="n">
        <f aca="false">IF(J2154=0,0,ROUNDUP(J2154*7/WD,0))</f>
        <v>2</v>
      </c>
      <c r="L2154" s="15" t="s">
        <v>5900</v>
      </c>
      <c r="M2154" s="34" t="n">
        <f aca="false">ROUNDUP(K2153*LADDER,0)</f>
        <v>1</v>
      </c>
      <c r="N2154" s="34" t="n">
        <f aca="false">IF(K2154=0,0,FFLAG)</f>
        <v>2</v>
      </c>
      <c r="O2154" s="15"/>
      <c r="P2154" s="16" t="n">
        <f aca="false">MAX(P2153+M2154,R2143)</f>
        <v>46477</v>
      </c>
      <c r="Q2154" s="16" t="n">
        <f aca="false">MAX(P2154+K2154,Q2153+N2154)</f>
        <v>46480</v>
      </c>
      <c r="R2154" s="16" t="n">
        <f aca="false">IF(K2154&gt;0,Q2154,R2143)</f>
        <v>46480</v>
      </c>
      <c r="S2154" s="15" t="s">
        <v>5885</v>
      </c>
    </row>
    <row r="2155" customFormat="false" ht="15" hidden="false" customHeight="false" outlineLevel="0" collapsed="false">
      <c r="A2155" s="15" t="s">
        <v>5902</v>
      </c>
      <c r="B2155" s="15" t="s">
        <v>5897</v>
      </c>
      <c r="C2155" s="15" t="s">
        <v>406</v>
      </c>
      <c r="D2155" s="15" t="s">
        <v>1341</v>
      </c>
      <c r="E2155" s="15" t="s">
        <v>1393</v>
      </c>
      <c r="F2155" s="15" t="s">
        <v>3014</v>
      </c>
      <c r="G2155" s="15" t="s">
        <v>3015</v>
      </c>
      <c r="H2155" s="33" t="n">
        <f aca="false">Packages!$O$201</f>
        <v>17.6867361519889</v>
      </c>
      <c r="I2155" s="15" t="s">
        <v>118</v>
      </c>
      <c r="J2155" s="34" t="n">
        <f aca="false">IF(Packages!$AG$201=0,0,ROUNDUP(Packages!$O$201/R_DW,0)+DW_DRAW)</f>
        <v>8</v>
      </c>
      <c r="K2155" s="34" t="n">
        <f aca="false">IF(J2155=0,0,ROUNDUP(J2155*7/WD,0))</f>
        <v>10</v>
      </c>
      <c r="L2155" s="15" t="s">
        <v>5901</v>
      </c>
      <c r="M2155" s="34" t="n">
        <f aca="false">ROUNDUP(K2154*LADDER,0)</f>
        <v>1</v>
      </c>
      <c r="N2155" s="34" t="n">
        <f aca="false">IF(K2155=0,0,FFLAG)</f>
        <v>2</v>
      </c>
      <c r="O2155" s="15" t="s">
        <v>5903</v>
      </c>
      <c r="P2155" s="16" t="n">
        <f aca="false">MAX(P2154+M2155,Q2145-K2155)</f>
        <v>46478</v>
      </c>
      <c r="Q2155" s="16" t="n">
        <f aca="false">MAX(P2155+K2155,Q2154+N2155)</f>
        <v>46488</v>
      </c>
      <c r="R2155" s="12"/>
      <c r="S2155" s="12"/>
    </row>
    <row r="2156" customFormat="false" ht="15" hidden="false" customHeight="false" outlineLevel="0" collapsed="false">
      <c r="A2156" s="15" t="s">
        <v>5904</v>
      </c>
      <c r="B2156" s="15" t="s">
        <v>5897</v>
      </c>
      <c r="C2156" s="15" t="s">
        <v>406</v>
      </c>
      <c r="D2156" s="15" t="s">
        <v>1341</v>
      </c>
      <c r="E2156" s="15" t="s">
        <v>1393</v>
      </c>
      <c r="F2156" s="15" t="s">
        <v>3017</v>
      </c>
      <c r="G2156" s="15" t="s">
        <v>3018</v>
      </c>
      <c r="H2156" s="33" t="n">
        <f aca="false">Packages!$X$201+Packages!$Y$201</f>
        <v>216.752388393221</v>
      </c>
      <c r="I2156" s="15" t="s">
        <v>3019</v>
      </c>
      <c r="J2156" s="34" t="n">
        <f aca="false">MAX(1,ROUNDUP((Packages!$X$201/R_EXS+Packages!$Y$201/R_EXO)/Fronts!$J$12,0))</f>
        <v>1</v>
      </c>
      <c r="K2156" s="34" t="n">
        <f aca="false">IF(J2156=0,0,ROUNDUP(J2156*7/WD,0))</f>
        <v>2</v>
      </c>
      <c r="L2156" s="15" t="s">
        <v>5902</v>
      </c>
      <c r="M2156" s="34" t="n">
        <f aca="false">IF(K2155=0,0,ROUNDUP((K2155-ROUNDUP(DW_DRAW*7/WD,0))*LADDER,0)+ROUNDUP(DW_DRAW*7/WD,0))</f>
        <v>10</v>
      </c>
      <c r="N2156" s="34" t="n">
        <f aca="false">IF(K2156=0,0,FFLAG)</f>
        <v>2</v>
      </c>
      <c r="O2156" s="15" t="s">
        <v>5905</v>
      </c>
      <c r="P2156" s="16" t="n">
        <f aca="false">MAX(P2155+M2156,R2145,P2090,P2134,P2101)</f>
        <v>46488</v>
      </c>
      <c r="Q2156" s="16" t="n">
        <f aca="false">MAX(P2156+K2156,Q2155+N2156)</f>
        <v>46490</v>
      </c>
      <c r="R2156" s="16" t="n">
        <f aca="false">IF(K2156&gt;0,Q2156,R2145)</f>
        <v>46490</v>
      </c>
      <c r="S2156" s="15" t="s">
        <v>5888</v>
      </c>
    </row>
    <row r="2157" customFormat="false" ht="15" hidden="false" customHeight="false" outlineLevel="0" collapsed="false">
      <c r="A2157" s="15" t="s">
        <v>5906</v>
      </c>
      <c r="B2157" s="15" t="s">
        <v>5897</v>
      </c>
      <c r="C2157" s="15" t="s">
        <v>406</v>
      </c>
      <c r="D2157" s="15" t="s">
        <v>1341</v>
      </c>
      <c r="E2157" s="15" t="s">
        <v>1393</v>
      </c>
      <c r="F2157" s="15" t="s">
        <v>3022</v>
      </c>
      <c r="G2157" s="15" t="s">
        <v>3023</v>
      </c>
      <c r="H2157" s="33" t="n">
        <f aca="false">Packages!$O$201</f>
        <v>17.6867361519889</v>
      </c>
      <c r="I2157" s="15" t="s">
        <v>118</v>
      </c>
      <c r="J2157" s="34" t="n">
        <f aca="false">MAX(1,ROUNDUP(Packages!$O$201/(R_SLAB*Fronts!$K$12),0))+SLAB_CURE</f>
        <v>4</v>
      </c>
      <c r="K2157" s="34" t="n">
        <f aca="false">IF(J2157=0,0,ROUNDUP(J2157*7/WD,0))</f>
        <v>5</v>
      </c>
      <c r="L2157" s="15" t="s">
        <v>5904</v>
      </c>
      <c r="M2157" s="34" t="n">
        <f aca="false">ROUNDUP(K2156*LADDER,0)</f>
        <v>1</v>
      </c>
      <c r="N2157" s="34" t="n">
        <f aca="false">IF(K2157=0,0,FFLAG)</f>
        <v>2</v>
      </c>
      <c r="O2157" s="15"/>
      <c r="P2157" s="16" t="n">
        <f aca="false">MAX(P2156+M2157,R2146)</f>
        <v>46504</v>
      </c>
      <c r="Q2157" s="16" t="n">
        <f aca="false">MAX(P2157+K2157,Q2156+N2157)</f>
        <v>46509</v>
      </c>
      <c r="R2157" s="16" t="n">
        <f aca="false">IF(K2157&gt;0,Q2157,R2146)</f>
        <v>46509</v>
      </c>
      <c r="S2157" s="15" t="s">
        <v>5890</v>
      </c>
    </row>
    <row r="2158" customFormat="false" ht="15" hidden="false" customHeight="false" outlineLevel="0" collapsed="false">
      <c r="A2158" s="15" t="s">
        <v>5907</v>
      </c>
      <c r="B2158" s="15" t="s">
        <v>5897</v>
      </c>
      <c r="C2158" s="15" t="s">
        <v>406</v>
      </c>
      <c r="D2158" s="15" t="s">
        <v>1341</v>
      </c>
      <c r="E2158" s="15" t="s">
        <v>1393</v>
      </c>
      <c r="F2158" s="15" t="s">
        <v>3025</v>
      </c>
      <c r="G2158" s="15" t="s">
        <v>3026</v>
      </c>
      <c r="H2158" s="33" t="n">
        <f aca="false">Packages!$O$201</f>
        <v>17.6867361519889</v>
      </c>
      <c r="I2158" s="15" t="s">
        <v>118</v>
      </c>
      <c r="J2158" s="34" t="n">
        <f aca="false">MAX(1,ROUNDUP(Packages!$O$201/(IF(Packages!$N$201&gt;=PIPE_T1,R_PIPE_L,IF(Packages!$N$201&gt;=PIPE_T2,R_PIPE_M,R_PIPE_S))*Fronts!$L$12)+Packages!$M$201*FIT_D+IF(Packages!$G$201&lt;&gt;"Run",TIE_D,0),0))</f>
        <v>2</v>
      </c>
      <c r="K2158" s="34" t="n">
        <f aca="false">IF(J2158=0,0,ROUNDUP(J2158*7/WD,0))</f>
        <v>3</v>
      </c>
      <c r="L2158" s="15" t="s">
        <v>5906</v>
      </c>
      <c r="M2158" s="34" t="n">
        <f aca="false">ROUNDUP(K2157*LADDER,0)</f>
        <v>2</v>
      </c>
      <c r="N2158" s="34" t="n">
        <f aca="false">IF(K2158=0,0,FFLAG)</f>
        <v>2</v>
      </c>
      <c r="O2158" s="15"/>
      <c r="P2158" s="16" t="n">
        <f aca="false">MAX(P2157+M2158,R2147)</f>
        <v>46506</v>
      </c>
      <c r="Q2158" s="16" t="n">
        <f aca="false">MAX(P2158+K2158,Q2157+N2158)</f>
        <v>46511</v>
      </c>
      <c r="R2158" s="16" t="n">
        <f aca="false">IF(K2158&gt;0,Q2158,R2147)</f>
        <v>46511</v>
      </c>
      <c r="S2158" s="15" t="s">
        <v>5891</v>
      </c>
    </row>
    <row r="2159" customFormat="false" ht="15" hidden="false" customHeight="false" outlineLevel="0" collapsed="false">
      <c r="A2159" s="15" t="s">
        <v>5908</v>
      </c>
      <c r="B2159" s="15" t="s">
        <v>5897</v>
      </c>
      <c r="C2159" s="15" t="s">
        <v>406</v>
      </c>
      <c r="D2159" s="15" t="s">
        <v>1341</v>
      </c>
      <c r="E2159" s="15" t="s">
        <v>1393</v>
      </c>
      <c r="F2159" s="15" t="s">
        <v>3028</v>
      </c>
      <c r="G2159" s="15" t="s">
        <v>3029</v>
      </c>
      <c r="H2159" s="33" t="n">
        <f aca="false">Packages!$O$201</f>
        <v>17.6867361519889</v>
      </c>
      <c r="I2159" s="15" t="s">
        <v>118</v>
      </c>
      <c r="J2159" s="34" t="n">
        <f aca="false">TEST_D+ROUNDUP(Packages!$O$201/R_TEST,0)</f>
        <v>3</v>
      </c>
      <c r="K2159" s="34" t="n">
        <f aca="false">IF(J2159=0,0,ROUNDUP(J2159*7/WD,0))</f>
        <v>4</v>
      </c>
      <c r="L2159" s="15" t="s">
        <v>5907</v>
      </c>
      <c r="M2159" s="34" t="n">
        <f aca="false">ROUNDUP(K2158*LADDER,0)</f>
        <v>1</v>
      </c>
      <c r="N2159" s="34" t="n">
        <f aca="false">IF(K2159=0,0,FFLAG)</f>
        <v>2</v>
      </c>
      <c r="O2159" s="15"/>
      <c r="P2159" s="16" t="n">
        <f aca="false">MAX(P2158+M2159)</f>
        <v>46507</v>
      </c>
      <c r="Q2159" s="16" t="n">
        <f aca="false">MAX(P2159+K2159,Q2158+N2159)</f>
        <v>46513</v>
      </c>
      <c r="R2159" s="12"/>
      <c r="S2159" s="12"/>
    </row>
    <row r="2160" customFormat="false" ht="15" hidden="false" customHeight="false" outlineLevel="0" collapsed="false">
      <c r="A2160" s="15" t="s">
        <v>5909</v>
      </c>
      <c r="B2160" s="15" t="s">
        <v>5897</v>
      </c>
      <c r="C2160" s="15" t="s">
        <v>406</v>
      </c>
      <c r="D2160" s="15" t="s">
        <v>1341</v>
      </c>
      <c r="E2160" s="15" t="s">
        <v>1393</v>
      </c>
      <c r="F2160" s="15" t="s">
        <v>3031</v>
      </c>
      <c r="G2160" s="15" t="s">
        <v>3032</v>
      </c>
      <c r="H2160" s="33" t="n">
        <f aca="false">Packages!$AB$201</f>
        <v>168.165182396654</v>
      </c>
      <c r="I2160" s="15" t="s">
        <v>3019</v>
      </c>
      <c r="J2160" s="34" t="n">
        <f aca="false">MAX(1,ROUNDUP(Packages!$AB$201/(R_BF*Fronts!$M$12),0))</f>
        <v>1</v>
      </c>
      <c r="K2160" s="34" t="n">
        <f aca="false">IF(J2160=0,0,ROUNDUP(J2160*7/WD,0))</f>
        <v>2</v>
      </c>
      <c r="L2160" s="15" t="s">
        <v>5908</v>
      </c>
      <c r="M2160" s="34" t="n">
        <f aca="false">ROUNDUP(K2159*LADDER,0)</f>
        <v>2</v>
      </c>
      <c r="N2160" s="34" t="n">
        <f aca="false">IF(K2160=0,0,FFLAG)</f>
        <v>2</v>
      </c>
      <c r="O2160" s="15" t="s">
        <v>5910</v>
      </c>
      <c r="P2160" s="16" t="n">
        <f aca="false">MAX(P2159+M2160,R2149,Q2169,Q2092,Q2136,Q2103)</f>
        <v>46557</v>
      </c>
      <c r="Q2160" s="16" t="n">
        <f aca="false">MAX(P2160+K2160,Q2159+N2160)</f>
        <v>46559</v>
      </c>
      <c r="R2160" s="16" t="n">
        <f aca="false">IF(K2160&gt;0,Q2160,R2149)</f>
        <v>46559</v>
      </c>
      <c r="S2160" s="15" t="s">
        <v>5893</v>
      </c>
    </row>
    <row r="2161" customFormat="false" ht="15" hidden="false" customHeight="false" outlineLevel="0" collapsed="false">
      <c r="A2161" s="15" t="s">
        <v>5911</v>
      </c>
      <c r="B2161" s="15" t="s">
        <v>5897</v>
      </c>
      <c r="C2161" s="15" t="s">
        <v>406</v>
      </c>
      <c r="D2161" s="15" t="s">
        <v>1341</v>
      </c>
      <c r="E2161" s="15" t="s">
        <v>1393</v>
      </c>
      <c r="F2161" s="15" t="s">
        <v>3034</v>
      </c>
      <c r="G2161" s="15" t="s">
        <v>3035</v>
      </c>
      <c r="H2161" s="33" t="n">
        <f aca="false">Packages!$AD$201</f>
        <v>35.3734723039778</v>
      </c>
      <c r="I2161" s="15" t="s">
        <v>3012</v>
      </c>
      <c r="J2161" s="34" t="n">
        <f aca="false">IF(Packages!$AD$201&gt;0,ROUNDUP(Packages!$AD$201/R_EXT,0),0)+IF(Packages!$AG$201&gt;0,1,0)</f>
        <v>2</v>
      </c>
      <c r="K2161" s="34" t="n">
        <f aca="false">IF(J2161=0,0,ROUNDUP(J2161*7/WD,0))</f>
        <v>3</v>
      </c>
      <c r="L2161" s="15" t="s">
        <v>5909</v>
      </c>
      <c r="M2161" s="34" t="n">
        <f aca="false">ROUNDUP(K2160*LADDER,0)</f>
        <v>1</v>
      </c>
      <c r="N2161" s="34" t="n">
        <f aca="false">IF(K2161=0,0,FFLAG)</f>
        <v>2</v>
      </c>
      <c r="O2161" s="15"/>
      <c r="P2161" s="16" t="n">
        <f aca="false">MAX(P2160+M2161)</f>
        <v>46558</v>
      </c>
      <c r="Q2161" s="16" t="n">
        <f aca="false">MAX(P2161+K2161,Q2160+N2161)</f>
        <v>46561</v>
      </c>
      <c r="R2161" s="12"/>
      <c r="S2161" s="12"/>
    </row>
    <row r="2162" customFormat="false" ht="15" hidden="false" customHeight="false" outlineLevel="0" collapsed="false">
      <c r="A2162" s="15" t="s">
        <v>5912</v>
      </c>
      <c r="B2162" s="15" t="s">
        <v>5913</v>
      </c>
      <c r="C2162" s="15" t="s">
        <v>406</v>
      </c>
      <c r="D2162" s="15" t="s">
        <v>993</v>
      </c>
      <c r="E2162" s="15" t="s">
        <v>1013</v>
      </c>
      <c r="F2162" s="15" t="s">
        <v>2998</v>
      </c>
      <c r="G2162" s="15" t="s">
        <v>2999</v>
      </c>
      <c r="H2162" s="12"/>
      <c r="I2162" s="12"/>
      <c r="J2162" s="34" t="n">
        <f aca="false">0</f>
        <v>0</v>
      </c>
      <c r="K2162" s="34" t="n">
        <f aca="false">IF(J2162=0,0,ROUNDUP(J2162*7/WD,0))</f>
        <v>0</v>
      </c>
      <c r="L2162" s="12"/>
      <c r="M2162" s="12"/>
      <c r="N2162" s="12"/>
      <c r="O2162" s="15" t="s">
        <v>3000</v>
      </c>
      <c r="P2162" s="16" t="n">
        <f aca="false">MAX(START,D_DLU,Packages!$I$202,Packages!$K$202)</f>
        <v>46357</v>
      </c>
      <c r="Q2162" s="16" t="n">
        <f aca="false">P2162+K2162</f>
        <v>46357</v>
      </c>
      <c r="R2162" s="12"/>
      <c r="S2162" s="12"/>
    </row>
    <row r="2163" customFormat="false" ht="15" hidden="false" customHeight="false" outlineLevel="0" collapsed="false">
      <c r="A2163" s="15" t="s">
        <v>5914</v>
      </c>
      <c r="B2163" s="15" t="s">
        <v>5913</v>
      </c>
      <c r="C2163" s="15" t="s">
        <v>406</v>
      </c>
      <c r="D2163" s="15" t="s">
        <v>993</v>
      </c>
      <c r="E2163" s="15" t="s">
        <v>1013</v>
      </c>
      <c r="F2163" s="15" t="s">
        <v>3002</v>
      </c>
      <c r="G2163" s="15" t="s">
        <v>205</v>
      </c>
      <c r="H2163" s="33" t="n">
        <f aca="false">Packages!$O$202</f>
        <v>9.6495740520511</v>
      </c>
      <c r="I2163" s="15" t="s">
        <v>118</v>
      </c>
      <c r="J2163" s="34" t="n">
        <f aca="false">MAX(1,ROUNDUP(Packages!$O$202/R_PLAT,0))</f>
        <v>1</v>
      </c>
      <c r="K2163" s="34" t="n">
        <f aca="false">IF(J2163=0,0,ROUNDUP(J2163*7/WD,0))</f>
        <v>2</v>
      </c>
      <c r="L2163" s="15" t="s">
        <v>5912</v>
      </c>
      <c r="M2163" s="12"/>
      <c r="N2163" s="12"/>
      <c r="O2163" s="15" t="s">
        <v>5915</v>
      </c>
      <c r="P2163" s="16" t="n">
        <f aca="false">MAX(Q2162,P2153)</f>
        <v>46475</v>
      </c>
      <c r="Q2163" s="16" t="n">
        <f aca="false">P2163+K2163</f>
        <v>46477</v>
      </c>
      <c r="R2163" s="12"/>
      <c r="S2163" s="12"/>
    </row>
    <row r="2164" customFormat="false" ht="15" hidden="false" customHeight="false" outlineLevel="0" collapsed="false">
      <c r="A2164" s="15" t="s">
        <v>5916</v>
      </c>
      <c r="B2164" s="15" t="s">
        <v>5913</v>
      </c>
      <c r="C2164" s="15" t="s">
        <v>406</v>
      </c>
      <c r="D2164" s="15" t="s">
        <v>993</v>
      </c>
      <c r="E2164" s="15" t="s">
        <v>1013</v>
      </c>
      <c r="F2164" s="15" t="s">
        <v>3005</v>
      </c>
      <c r="G2164" s="15" t="s">
        <v>3006</v>
      </c>
      <c r="H2164" s="33" t="n">
        <f aca="false">Packages!$AC$202</f>
        <v>10</v>
      </c>
      <c r="I2164" s="15" t="s">
        <v>3007</v>
      </c>
      <c r="J2164" s="34" t="n">
        <f aca="false">IF(Packages!$AC$202=0,0,MAX(1,ROUNDUP(Packages!$AC$202/(R_PILE*Fronts!$H$12),0)))</f>
        <v>1</v>
      </c>
      <c r="K2164" s="34" t="n">
        <f aca="false">IF(J2164=0,0,ROUNDUP(J2164*7/WD,0))</f>
        <v>2</v>
      </c>
      <c r="L2164" s="15" t="s">
        <v>5914</v>
      </c>
      <c r="M2164" s="34" t="n">
        <f aca="false">ROUNDUP(K2163*LADDER,0)</f>
        <v>1</v>
      </c>
      <c r="N2164" s="34" t="n">
        <f aca="false">IF(K2164=0,0,FFLAG)</f>
        <v>2</v>
      </c>
      <c r="O2164" s="15" t="s">
        <v>3008</v>
      </c>
      <c r="P2164" s="16" t="n">
        <f aca="false">MAX(P2163+M2164,D_PILEDES,R2153)</f>
        <v>46478</v>
      </c>
      <c r="Q2164" s="16" t="n">
        <f aca="false">MAX(P2164+K2164,Q2163+N2164)</f>
        <v>46480</v>
      </c>
      <c r="R2164" s="16" t="n">
        <f aca="false">IF(K2164&gt;0,Q2164,R2153)</f>
        <v>46480</v>
      </c>
      <c r="S2164" s="15" t="s">
        <v>5900</v>
      </c>
    </row>
    <row r="2165" customFormat="false" ht="15" hidden="false" customHeight="false" outlineLevel="0" collapsed="false">
      <c r="A2165" s="15" t="s">
        <v>5917</v>
      </c>
      <c r="B2165" s="15" t="s">
        <v>5913</v>
      </c>
      <c r="C2165" s="15" t="s">
        <v>406</v>
      </c>
      <c r="D2165" s="15" t="s">
        <v>993</v>
      </c>
      <c r="E2165" s="15" t="s">
        <v>1013</v>
      </c>
      <c r="F2165" s="15" t="s">
        <v>3010</v>
      </c>
      <c r="G2165" s="15" t="s">
        <v>3011</v>
      </c>
      <c r="H2165" s="33" t="n">
        <f aca="false">Packages!$AD$202</f>
        <v>14.1999999998135</v>
      </c>
      <c r="I2165" s="15" t="s">
        <v>3012</v>
      </c>
      <c r="J2165" s="34" t="n">
        <f aca="false">IF(Packages!$AD$202=0,0,MAX(1,ROUNDUP(Packages!$AD$202/(R_SHEET*Fronts!$I$12),0)))</f>
        <v>1</v>
      </c>
      <c r="K2165" s="34" t="n">
        <f aca="false">IF(J2165=0,0,ROUNDUP(J2165*7/WD,0))</f>
        <v>2</v>
      </c>
      <c r="L2165" s="15" t="s">
        <v>5916</v>
      </c>
      <c r="M2165" s="34" t="n">
        <f aca="false">ROUNDUP(K2164*LADDER,0)</f>
        <v>1</v>
      </c>
      <c r="N2165" s="34" t="n">
        <f aca="false">IF(K2165=0,0,FFLAG)</f>
        <v>2</v>
      </c>
      <c r="O2165" s="15"/>
      <c r="P2165" s="16" t="n">
        <f aca="false">MAX(P2164+M2165,R2154)</f>
        <v>46480</v>
      </c>
      <c r="Q2165" s="16" t="n">
        <f aca="false">MAX(P2165+K2165,Q2164+N2165)</f>
        <v>46482</v>
      </c>
      <c r="R2165" s="16" t="n">
        <f aca="false">IF(K2165&gt;0,Q2165,R2154)</f>
        <v>46482</v>
      </c>
      <c r="S2165" s="15" t="s">
        <v>5901</v>
      </c>
    </row>
    <row r="2166" customFormat="false" ht="15" hidden="false" customHeight="false" outlineLevel="0" collapsed="false">
      <c r="A2166" s="15" t="s">
        <v>5918</v>
      </c>
      <c r="B2166" s="15" t="s">
        <v>5913</v>
      </c>
      <c r="C2166" s="15" t="s">
        <v>406</v>
      </c>
      <c r="D2166" s="15" t="s">
        <v>993</v>
      </c>
      <c r="E2166" s="15" t="s">
        <v>1013</v>
      </c>
      <c r="F2166" s="15" t="s">
        <v>3014</v>
      </c>
      <c r="G2166" s="15" t="s">
        <v>3015</v>
      </c>
      <c r="H2166" s="33" t="n">
        <f aca="false">Packages!$O$202</f>
        <v>9.6495740520511</v>
      </c>
      <c r="I2166" s="15" t="s">
        <v>118</v>
      </c>
      <c r="J2166" s="34" t="n">
        <f aca="false">IF(Packages!$AG$202=0,0,ROUNDUP(Packages!$O$202/R_DW,0)+DW_DRAW)</f>
        <v>8</v>
      </c>
      <c r="K2166" s="34" t="n">
        <f aca="false">IF(J2166=0,0,ROUNDUP(J2166*7/WD,0))</f>
        <v>10</v>
      </c>
      <c r="L2166" s="15" t="s">
        <v>5917</v>
      </c>
      <c r="M2166" s="34" t="n">
        <f aca="false">ROUNDUP(K2165*LADDER,0)</f>
        <v>1</v>
      </c>
      <c r="N2166" s="34" t="n">
        <f aca="false">IF(K2166=0,0,FFLAG)</f>
        <v>2</v>
      </c>
      <c r="O2166" s="15" t="s">
        <v>5919</v>
      </c>
      <c r="P2166" s="16" t="n">
        <f aca="false">MAX(P2165+M2166,Q2156-K2166)</f>
        <v>46481</v>
      </c>
      <c r="Q2166" s="16" t="n">
        <f aca="false">MAX(P2166+K2166,Q2165+N2166)</f>
        <v>46491</v>
      </c>
      <c r="R2166" s="12"/>
      <c r="S2166" s="12"/>
    </row>
    <row r="2167" customFormat="false" ht="15" hidden="false" customHeight="false" outlineLevel="0" collapsed="false">
      <c r="A2167" s="15" t="s">
        <v>5920</v>
      </c>
      <c r="B2167" s="15" t="s">
        <v>5913</v>
      </c>
      <c r="C2167" s="15" t="s">
        <v>406</v>
      </c>
      <c r="D2167" s="15" t="s">
        <v>993</v>
      </c>
      <c r="E2167" s="15" t="s">
        <v>1013</v>
      </c>
      <c r="F2167" s="15" t="s">
        <v>3017</v>
      </c>
      <c r="G2167" s="15" t="s">
        <v>3018</v>
      </c>
      <c r="H2167" s="33" t="n">
        <f aca="false">Packages!$X$202+Packages!$Y$202</f>
        <v>125.907025094416</v>
      </c>
      <c r="I2167" s="15" t="s">
        <v>3019</v>
      </c>
      <c r="J2167" s="34" t="n">
        <f aca="false">MAX(1,ROUNDUP((Packages!$X$202/R_EXS+Packages!$Y$202/R_EXO)/Fronts!$J$12,0))</f>
        <v>1</v>
      </c>
      <c r="K2167" s="34" t="n">
        <f aca="false">IF(J2167=0,0,ROUNDUP(J2167*7/WD,0))</f>
        <v>2</v>
      </c>
      <c r="L2167" s="15" t="s">
        <v>5918</v>
      </c>
      <c r="M2167" s="34" t="n">
        <f aca="false">IF(K2166=0,0,ROUNDUP((K2166-ROUNDUP(DW_DRAW*7/WD,0))*LADDER,0)+ROUNDUP(DW_DRAW*7/WD,0))</f>
        <v>10</v>
      </c>
      <c r="N2167" s="34" t="n">
        <f aca="false">IF(K2167=0,0,FFLAG)</f>
        <v>2</v>
      </c>
      <c r="O2167" s="15" t="s">
        <v>5921</v>
      </c>
      <c r="P2167" s="16" t="n">
        <f aca="false">MAX(P2166+M2167,R2156,Q2127,Q2105,P2156,P2134)</f>
        <v>46538</v>
      </c>
      <c r="Q2167" s="16" t="n">
        <f aca="false">MAX(P2167+K2167,Q2166+N2167)</f>
        <v>46540</v>
      </c>
      <c r="R2167" s="16" t="n">
        <f aca="false">IF(K2167&gt;0,Q2167,R2156)</f>
        <v>46540</v>
      </c>
      <c r="S2167" s="15" t="s">
        <v>5904</v>
      </c>
    </row>
    <row r="2168" customFormat="false" ht="15" hidden="false" customHeight="false" outlineLevel="0" collapsed="false">
      <c r="A2168" s="15" t="s">
        <v>5922</v>
      </c>
      <c r="B2168" s="15" t="s">
        <v>5913</v>
      </c>
      <c r="C2168" s="15" t="s">
        <v>406</v>
      </c>
      <c r="D2168" s="15" t="s">
        <v>993</v>
      </c>
      <c r="E2168" s="15" t="s">
        <v>1013</v>
      </c>
      <c r="F2168" s="15" t="s">
        <v>3022</v>
      </c>
      <c r="G2168" s="15" t="s">
        <v>3023</v>
      </c>
      <c r="H2168" s="33" t="n">
        <f aca="false">Packages!$O$202</f>
        <v>9.6495740520511</v>
      </c>
      <c r="I2168" s="15" t="s">
        <v>118</v>
      </c>
      <c r="J2168" s="34" t="n">
        <f aca="false">MAX(1,ROUNDUP(Packages!$O$202/(R_SLAB*Fronts!$K$12),0))+SLAB_CURE</f>
        <v>4</v>
      </c>
      <c r="K2168" s="34" t="n">
        <f aca="false">IF(J2168=0,0,ROUNDUP(J2168*7/WD,0))</f>
        <v>5</v>
      </c>
      <c r="L2168" s="15" t="s">
        <v>5920</v>
      </c>
      <c r="M2168" s="34" t="n">
        <f aca="false">ROUNDUP(K2167*LADDER,0)</f>
        <v>1</v>
      </c>
      <c r="N2168" s="34" t="n">
        <f aca="false">IF(K2168=0,0,FFLAG)</f>
        <v>2</v>
      </c>
      <c r="O2168" s="15"/>
      <c r="P2168" s="16" t="n">
        <f aca="false">MAX(P2167+M2168,R2157)</f>
        <v>46539</v>
      </c>
      <c r="Q2168" s="16" t="n">
        <f aca="false">MAX(P2168+K2168,Q2167+N2168)</f>
        <v>46544</v>
      </c>
      <c r="R2168" s="16" t="n">
        <f aca="false">IF(K2168&gt;0,Q2168,R2157)</f>
        <v>46544</v>
      </c>
      <c r="S2168" s="15" t="s">
        <v>5906</v>
      </c>
    </row>
    <row r="2169" customFormat="false" ht="15" hidden="false" customHeight="false" outlineLevel="0" collapsed="false">
      <c r="A2169" s="15" t="s">
        <v>5923</v>
      </c>
      <c r="B2169" s="15" t="s">
        <v>5913</v>
      </c>
      <c r="C2169" s="15" t="s">
        <v>406</v>
      </c>
      <c r="D2169" s="15" t="s">
        <v>993</v>
      </c>
      <c r="E2169" s="15" t="s">
        <v>1013</v>
      </c>
      <c r="F2169" s="15" t="s">
        <v>3025</v>
      </c>
      <c r="G2169" s="15" t="s">
        <v>3026</v>
      </c>
      <c r="H2169" s="33" t="n">
        <f aca="false">Packages!$O$202</f>
        <v>9.6495740520511</v>
      </c>
      <c r="I2169" s="15" t="s">
        <v>118</v>
      </c>
      <c r="J2169" s="34" t="n">
        <f aca="false">MAX(1,ROUNDUP(Packages!$O$202/(IF(Packages!$N$202&gt;=PIPE_T1,R_PIPE_L,IF(Packages!$N$202&gt;=PIPE_T2,R_PIPE_M,R_PIPE_S))*Fronts!$L$12)+Packages!$M$202*FIT_D+IF(Packages!$G$202&lt;&gt;"Run",TIE_D,0),0))</f>
        <v>2</v>
      </c>
      <c r="K2169" s="34" t="n">
        <f aca="false">IF(J2169=0,0,ROUNDUP(J2169*7/WD,0))</f>
        <v>3</v>
      </c>
      <c r="L2169" s="15" t="s">
        <v>5922</v>
      </c>
      <c r="M2169" s="34" t="n">
        <f aca="false">ROUNDUP(K2168*LADDER,0)</f>
        <v>2</v>
      </c>
      <c r="N2169" s="34" t="n">
        <f aca="false">IF(K2169=0,0,FFLAG)</f>
        <v>2</v>
      </c>
      <c r="O2169" s="15"/>
      <c r="P2169" s="16" t="n">
        <f aca="false">MAX(P2168+M2169,R2158)</f>
        <v>46541</v>
      </c>
      <c r="Q2169" s="16" t="n">
        <f aca="false">MAX(P2169+K2169,Q2168+N2169)</f>
        <v>46546</v>
      </c>
      <c r="R2169" s="16" t="n">
        <f aca="false">IF(K2169&gt;0,Q2169,R2158)</f>
        <v>46546</v>
      </c>
      <c r="S2169" s="15" t="s">
        <v>5907</v>
      </c>
    </row>
    <row r="2170" customFormat="false" ht="15" hidden="false" customHeight="false" outlineLevel="0" collapsed="false">
      <c r="A2170" s="15" t="s">
        <v>5924</v>
      </c>
      <c r="B2170" s="15" t="s">
        <v>5913</v>
      </c>
      <c r="C2170" s="15" t="s">
        <v>406</v>
      </c>
      <c r="D2170" s="15" t="s">
        <v>993</v>
      </c>
      <c r="E2170" s="15" t="s">
        <v>1013</v>
      </c>
      <c r="F2170" s="15" t="s">
        <v>3028</v>
      </c>
      <c r="G2170" s="15" t="s">
        <v>3029</v>
      </c>
      <c r="H2170" s="33" t="n">
        <f aca="false">Packages!$O$202</f>
        <v>9.6495740520511</v>
      </c>
      <c r="I2170" s="15" t="s">
        <v>118</v>
      </c>
      <c r="J2170" s="34" t="n">
        <f aca="false">TEST_D+ROUNDUP(Packages!$O$202/R_TEST,0)</f>
        <v>3</v>
      </c>
      <c r="K2170" s="34" t="n">
        <f aca="false">IF(J2170=0,0,ROUNDUP(J2170*7/WD,0))</f>
        <v>4</v>
      </c>
      <c r="L2170" s="15" t="s">
        <v>5923</v>
      </c>
      <c r="M2170" s="34" t="n">
        <f aca="false">ROUNDUP(K2169*LADDER,0)</f>
        <v>1</v>
      </c>
      <c r="N2170" s="34" t="n">
        <f aca="false">IF(K2170=0,0,FFLAG)</f>
        <v>2</v>
      </c>
      <c r="O2170" s="15"/>
      <c r="P2170" s="16" t="n">
        <f aca="false">MAX(P2169+M2170)</f>
        <v>46542</v>
      </c>
      <c r="Q2170" s="16" t="n">
        <f aca="false">MAX(P2170+K2170,Q2169+N2170)</f>
        <v>46548</v>
      </c>
      <c r="R2170" s="12"/>
      <c r="S2170" s="12"/>
    </row>
    <row r="2171" customFormat="false" ht="15" hidden="false" customHeight="false" outlineLevel="0" collapsed="false">
      <c r="A2171" s="15" t="s">
        <v>5925</v>
      </c>
      <c r="B2171" s="15" t="s">
        <v>5913</v>
      </c>
      <c r="C2171" s="15" t="s">
        <v>406</v>
      </c>
      <c r="D2171" s="15" t="s">
        <v>993</v>
      </c>
      <c r="E2171" s="15" t="s">
        <v>1013</v>
      </c>
      <c r="F2171" s="15" t="s">
        <v>3031</v>
      </c>
      <c r="G2171" s="15" t="s">
        <v>3032</v>
      </c>
      <c r="H2171" s="33" t="n">
        <f aca="false">Packages!$AB$202</f>
        <v>104.425165118888</v>
      </c>
      <c r="I2171" s="15" t="s">
        <v>3019</v>
      </c>
      <c r="J2171" s="34" t="n">
        <f aca="false">MAX(1,ROUNDUP(Packages!$AB$202/(R_BF*Fronts!$M$12),0))</f>
        <v>1</v>
      </c>
      <c r="K2171" s="34" t="n">
        <f aca="false">IF(J2171=0,0,ROUNDUP(J2171*7/WD,0))</f>
        <v>2</v>
      </c>
      <c r="L2171" s="15" t="s">
        <v>5924</v>
      </c>
      <c r="M2171" s="34" t="n">
        <f aca="false">ROUNDUP(K2170*LADDER,0)</f>
        <v>2</v>
      </c>
      <c r="N2171" s="34" t="n">
        <f aca="false">IF(K2171=0,0,FFLAG)</f>
        <v>2</v>
      </c>
      <c r="O2171" s="15" t="s">
        <v>5926</v>
      </c>
      <c r="P2171" s="16" t="n">
        <f aca="false">MAX(P2170+M2171,R2160,Q2158,Q2136)</f>
        <v>46559</v>
      </c>
      <c r="Q2171" s="16" t="n">
        <f aca="false">MAX(P2171+K2171,Q2170+N2171)</f>
        <v>46561</v>
      </c>
      <c r="R2171" s="16" t="n">
        <f aca="false">IF(K2171&gt;0,Q2171,R2160)</f>
        <v>46561</v>
      </c>
      <c r="S2171" s="15" t="s">
        <v>5909</v>
      </c>
    </row>
    <row r="2172" customFormat="false" ht="15" hidden="false" customHeight="false" outlineLevel="0" collapsed="false">
      <c r="A2172" s="15" t="s">
        <v>5927</v>
      </c>
      <c r="B2172" s="15" t="s">
        <v>5913</v>
      </c>
      <c r="C2172" s="15" t="s">
        <v>406</v>
      </c>
      <c r="D2172" s="15" t="s">
        <v>993</v>
      </c>
      <c r="E2172" s="15" t="s">
        <v>1013</v>
      </c>
      <c r="F2172" s="15" t="s">
        <v>3034</v>
      </c>
      <c r="G2172" s="15" t="s">
        <v>3035</v>
      </c>
      <c r="H2172" s="33" t="n">
        <f aca="false">Packages!$AD$202</f>
        <v>14.1999999998135</v>
      </c>
      <c r="I2172" s="15" t="s">
        <v>3012</v>
      </c>
      <c r="J2172" s="34" t="n">
        <f aca="false">IF(Packages!$AD$202&gt;0,ROUNDUP(Packages!$AD$202/R_EXT,0),0)+IF(Packages!$AG$202&gt;0,1,0)</f>
        <v>2</v>
      </c>
      <c r="K2172" s="34" t="n">
        <f aca="false">IF(J2172=0,0,ROUNDUP(J2172*7/WD,0))</f>
        <v>3</v>
      </c>
      <c r="L2172" s="15" t="s">
        <v>5925</v>
      </c>
      <c r="M2172" s="34" t="n">
        <f aca="false">ROUNDUP(K2171*LADDER,0)</f>
        <v>1</v>
      </c>
      <c r="N2172" s="34" t="n">
        <f aca="false">IF(K2172=0,0,FFLAG)</f>
        <v>2</v>
      </c>
      <c r="O2172" s="15"/>
      <c r="P2172" s="16" t="n">
        <f aca="false">MAX(P2171+M2172)</f>
        <v>46560</v>
      </c>
      <c r="Q2172" s="16" t="n">
        <f aca="false">MAX(P2172+K2172,Q2171+N2172)</f>
        <v>46563</v>
      </c>
      <c r="R2172" s="12"/>
      <c r="S2172" s="12"/>
    </row>
    <row r="2173" customFormat="false" ht="15" hidden="false" customHeight="false" outlineLevel="0" collapsed="false">
      <c r="A2173" s="15" t="s">
        <v>5928</v>
      </c>
      <c r="B2173" s="15" t="s">
        <v>5929</v>
      </c>
      <c r="C2173" s="15" t="s">
        <v>406</v>
      </c>
      <c r="D2173" s="15" t="s">
        <v>1872</v>
      </c>
      <c r="E2173" s="15" t="s">
        <v>1873</v>
      </c>
      <c r="F2173" s="15" t="s">
        <v>2998</v>
      </c>
      <c r="G2173" s="15" t="s">
        <v>2999</v>
      </c>
      <c r="H2173" s="12"/>
      <c r="I2173" s="12"/>
      <c r="J2173" s="34" t="n">
        <f aca="false">0</f>
        <v>0</v>
      </c>
      <c r="K2173" s="34" t="n">
        <f aca="false">IF(J2173=0,0,ROUNDUP(J2173*7/WD,0))</f>
        <v>0</v>
      </c>
      <c r="L2173" s="12"/>
      <c r="M2173" s="12"/>
      <c r="N2173" s="12"/>
      <c r="O2173" s="15" t="s">
        <v>3038</v>
      </c>
      <c r="P2173" s="16" t="n">
        <f aca="false">MAX(START,D_DLU,Packages!$I$203,Packages!$K$203)</f>
        <v>46357</v>
      </c>
      <c r="Q2173" s="16" t="n">
        <f aca="false">P2173+K2173</f>
        <v>46357</v>
      </c>
      <c r="R2173" s="12"/>
      <c r="S2173" s="12"/>
    </row>
    <row r="2174" customFormat="false" ht="15" hidden="false" customHeight="false" outlineLevel="0" collapsed="false">
      <c r="A2174" s="15" t="s">
        <v>5930</v>
      </c>
      <c r="B2174" s="15" t="s">
        <v>5929</v>
      </c>
      <c r="C2174" s="15" t="s">
        <v>406</v>
      </c>
      <c r="D2174" s="15" t="s">
        <v>1872</v>
      </c>
      <c r="E2174" s="15" t="s">
        <v>1873</v>
      </c>
      <c r="F2174" s="15" t="s">
        <v>3002</v>
      </c>
      <c r="G2174" s="15" t="s">
        <v>205</v>
      </c>
      <c r="H2174" s="33" t="n">
        <f aca="false">Packages!$O$203</f>
        <v>14.7325559707283</v>
      </c>
      <c r="I2174" s="15" t="s">
        <v>118</v>
      </c>
      <c r="J2174" s="34" t="n">
        <f aca="false">MAX(1,ROUNDUP(Packages!$O$203/R_PLAT,0))</f>
        <v>1</v>
      </c>
      <c r="K2174" s="34" t="n">
        <f aca="false">IF(J2174=0,0,ROUNDUP(J2174*7/WD,0))</f>
        <v>2</v>
      </c>
      <c r="L2174" s="15" t="s">
        <v>5928</v>
      </c>
      <c r="M2174" s="12"/>
      <c r="N2174" s="12"/>
      <c r="O2174" s="15" t="s">
        <v>5931</v>
      </c>
      <c r="P2174" s="16" t="n">
        <f aca="false">MAX(Q2173,P2010)</f>
        <v>46371</v>
      </c>
      <c r="Q2174" s="16" t="n">
        <f aca="false">P2174+K2174</f>
        <v>46373</v>
      </c>
      <c r="R2174" s="12"/>
      <c r="S2174" s="12"/>
    </row>
    <row r="2175" customFormat="false" ht="15" hidden="false" customHeight="false" outlineLevel="0" collapsed="false">
      <c r="A2175" s="15" t="s">
        <v>5932</v>
      </c>
      <c r="B2175" s="15" t="s">
        <v>5929</v>
      </c>
      <c r="C2175" s="15" t="s">
        <v>406</v>
      </c>
      <c r="D2175" s="15" t="s">
        <v>1872</v>
      </c>
      <c r="E2175" s="15" t="s">
        <v>1873</v>
      </c>
      <c r="F2175" s="15" t="s">
        <v>3005</v>
      </c>
      <c r="G2175" s="15" t="s">
        <v>3006</v>
      </c>
      <c r="H2175" s="33" t="n">
        <f aca="false">Packages!$AC$203</f>
        <v>12</v>
      </c>
      <c r="I2175" s="15" t="s">
        <v>3007</v>
      </c>
      <c r="J2175" s="34" t="n">
        <f aca="false">IF(Packages!$AC$203=0,0,MAX(1,ROUNDUP(Packages!$AC$203/(R_PILE*Fronts!$H$12),0)))</f>
        <v>2</v>
      </c>
      <c r="K2175" s="34" t="n">
        <f aca="false">IF(J2175=0,0,ROUNDUP(J2175*7/WD,0))</f>
        <v>3</v>
      </c>
      <c r="L2175" s="15" t="s">
        <v>5930</v>
      </c>
      <c r="M2175" s="34" t="n">
        <f aca="false">ROUNDUP(K2174*LADDER,0)</f>
        <v>1</v>
      </c>
      <c r="N2175" s="34" t="n">
        <f aca="false">IF(K2175=0,0,FFLAG)</f>
        <v>2</v>
      </c>
      <c r="O2175" s="15" t="s">
        <v>3008</v>
      </c>
      <c r="P2175" s="16" t="n">
        <f aca="false">MAX(P2174+M2175,D_PILEDES)</f>
        <v>46372</v>
      </c>
      <c r="Q2175" s="16" t="n">
        <f aca="false">MAX(P2175+K2175,Q2174+N2175)</f>
        <v>46375</v>
      </c>
      <c r="R2175" s="16" t="n">
        <f aca="false">IF(K2175&gt;0,Q2175,0)</f>
        <v>46375</v>
      </c>
      <c r="S2175" s="12"/>
    </row>
    <row r="2176" customFormat="false" ht="15" hidden="false" customHeight="false" outlineLevel="0" collapsed="false">
      <c r="A2176" s="15" t="s">
        <v>5933</v>
      </c>
      <c r="B2176" s="15" t="s">
        <v>5929</v>
      </c>
      <c r="C2176" s="15" t="s">
        <v>406</v>
      </c>
      <c r="D2176" s="15" t="s">
        <v>1872</v>
      </c>
      <c r="E2176" s="15" t="s">
        <v>1873</v>
      </c>
      <c r="F2176" s="15" t="s">
        <v>3010</v>
      </c>
      <c r="G2176" s="15" t="s">
        <v>3011</v>
      </c>
      <c r="H2176" s="33" t="n">
        <f aca="false">Packages!$AD$203</f>
        <v>0</v>
      </c>
      <c r="I2176" s="15" t="s">
        <v>3012</v>
      </c>
      <c r="J2176" s="34" t="n">
        <f aca="false">IF(Packages!$AD$203=0,0,MAX(1,ROUNDUP(Packages!$AD$203/(R_SHEET*Fronts!$I$12),0)))</f>
        <v>0</v>
      </c>
      <c r="K2176" s="34" t="n">
        <f aca="false">IF(J2176=0,0,ROUNDUP(J2176*7/WD,0))</f>
        <v>0</v>
      </c>
      <c r="L2176" s="15" t="s">
        <v>5932</v>
      </c>
      <c r="M2176" s="34" t="n">
        <f aca="false">ROUNDUP(K2175*LADDER,0)</f>
        <v>1</v>
      </c>
      <c r="N2176" s="34" t="n">
        <f aca="false">IF(K2176=0,0,FFLAG)</f>
        <v>0</v>
      </c>
      <c r="O2176" s="15"/>
      <c r="P2176" s="16" t="n">
        <f aca="false">MAX(P2175+M2176)</f>
        <v>46373</v>
      </c>
      <c r="Q2176" s="16" t="n">
        <f aca="false">MAX(P2176+K2176,Q2175+N2176)</f>
        <v>46375</v>
      </c>
      <c r="R2176" s="16" t="n">
        <f aca="false">IF(K2176&gt;0,Q2176,0)</f>
        <v>0</v>
      </c>
      <c r="S2176" s="12"/>
    </row>
    <row r="2177" customFormat="false" ht="15" hidden="false" customHeight="false" outlineLevel="0" collapsed="false">
      <c r="A2177" s="15" t="s">
        <v>5934</v>
      </c>
      <c r="B2177" s="15" t="s">
        <v>5929</v>
      </c>
      <c r="C2177" s="15" t="s">
        <v>406</v>
      </c>
      <c r="D2177" s="15" t="s">
        <v>1872</v>
      </c>
      <c r="E2177" s="15" t="s">
        <v>1873</v>
      </c>
      <c r="F2177" s="15" t="s">
        <v>3014</v>
      </c>
      <c r="G2177" s="15" t="s">
        <v>3015</v>
      </c>
      <c r="H2177" s="33" t="n">
        <f aca="false">Packages!$O$203</f>
        <v>14.7325559707283</v>
      </c>
      <c r="I2177" s="15" t="s">
        <v>118</v>
      </c>
      <c r="J2177" s="34" t="n">
        <f aca="false">IF(Packages!$AG$203=0,0,ROUNDUP(Packages!$O$203/R_DW,0)+DW_DRAW)</f>
        <v>8</v>
      </c>
      <c r="K2177" s="34" t="n">
        <f aca="false">IF(J2177=0,0,ROUNDUP(J2177*7/WD,0))</f>
        <v>10</v>
      </c>
      <c r="L2177" s="15" t="s">
        <v>5933</v>
      </c>
      <c r="M2177" s="34" t="n">
        <f aca="false">ROUNDUP(K2176*LADDER,0)</f>
        <v>0</v>
      </c>
      <c r="N2177" s="34" t="n">
        <f aca="false">IF(K2177=0,0,FFLAG)</f>
        <v>2</v>
      </c>
      <c r="O2177" s="15"/>
      <c r="P2177" s="16" t="n">
        <f aca="false">MAX(P2176+M2177)</f>
        <v>46373</v>
      </c>
      <c r="Q2177" s="16" t="n">
        <f aca="false">MAX(P2177+K2177,Q2176+N2177)</f>
        <v>46383</v>
      </c>
      <c r="R2177" s="12"/>
      <c r="S2177" s="12"/>
    </row>
    <row r="2178" customFormat="false" ht="15" hidden="false" customHeight="false" outlineLevel="0" collapsed="false">
      <c r="A2178" s="15" t="s">
        <v>5935</v>
      </c>
      <c r="B2178" s="15" t="s">
        <v>5929</v>
      </c>
      <c r="C2178" s="15" t="s">
        <v>406</v>
      </c>
      <c r="D2178" s="15" t="s">
        <v>1872</v>
      </c>
      <c r="E2178" s="15" t="s">
        <v>1873</v>
      </c>
      <c r="F2178" s="15" t="s">
        <v>3017</v>
      </c>
      <c r="G2178" s="15" t="s">
        <v>3018</v>
      </c>
      <c r="H2178" s="33" t="n">
        <f aca="false">Packages!$X$203+Packages!$Y$203</f>
        <v>502.93178117173</v>
      </c>
      <c r="I2178" s="15" t="s">
        <v>3019</v>
      </c>
      <c r="J2178" s="34" t="n">
        <f aca="false">MAX(1,ROUNDUP((Packages!$X$203/R_EXS+Packages!$Y$203/R_EXO)/Fronts!$J$12,0))</f>
        <v>1</v>
      </c>
      <c r="K2178" s="34" t="n">
        <f aca="false">IF(J2178=0,0,ROUNDUP(J2178*7/WD,0))</f>
        <v>2</v>
      </c>
      <c r="L2178" s="15" t="s">
        <v>5934</v>
      </c>
      <c r="M2178" s="34" t="n">
        <f aca="false">IF(K2177=0,0,ROUNDUP((K2177-ROUNDUP(DW_DRAW*7/WD,0))*LADDER,0)+ROUNDUP(DW_DRAW*7/WD,0))</f>
        <v>10</v>
      </c>
      <c r="N2178" s="34" t="n">
        <f aca="false">IF(K2178=0,0,FFLAG)</f>
        <v>2</v>
      </c>
      <c r="O2178" s="15" t="s">
        <v>5936</v>
      </c>
      <c r="P2178" s="16" t="n">
        <f aca="false">MAX(P2177+M2178,Q1973,Q1951,P2145)</f>
        <v>46473</v>
      </c>
      <c r="Q2178" s="16" t="n">
        <f aca="false">MAX(P2178+K2178,Q2177+N2178)</f>
        <v>46475</v>
      </c>
      <c r="R2178" s="16" t="n">
        <f aca="false">IF(K2178&gt;0,Q2178,0)</f>
        <v>46475</v>
      </c>
      <c r="S2178" s="12"/>
    </row>
    <row r="2179" customFormat="false" ht="15" hidden="false" customHeight="false" outlineLevel="0" collapsed="false">
      <c r="A2179" s="15" t="s">
        <v>5937</v>
      </c>
      <c r="B2179" s="15" t="s">
        <v>5929</v>
      </c>
      <c r="C2179" s="15" t="s">
        <v>406</v>
      </c>
      <c r="D2179" s="15" t="s">
        <v>1872</v>
      </c>
      <c r="E2179" s="15" t="s">
        <v>1873</v>
      </c>
      <c r="F2179" s="15" t="s">
        <v>3022</v>
      </c>
      <c r="G2179" s="15" t="s">
        <v>3023</v>
      </c>
      <c r="H2179" s="33" t="n">
        <f aca="false">Packages!$O$203</f>
        <v>14.7325559707283</v>
      </c>
      <c r="I2179" s="15" t="s">
        <v>118</v>
      </c>
      <c r="J2179" s="34" t="n">
        <f aca="false">MAX(1,ROUNDUP(Packages!$O$203/(R_SLAB*Fronts!$K$12),0))+SLAB_CURE</f>
        <v>4</v>
      </c>
      <c r="K2179" s="34" t="n">
        <f aca="false">IF(J2179=0,0,ROUNDUP(J2179*7/WD,0))</f>
        <v>5</v>
      </c>
      <c r="L2179" s="15" t="s">
        <v>5935</v>
      </c>
      <c r="M2179" s="34" t="n">
        <f aca="false">ROUNDUP(K2178*LADDER,0)</f>
        <v>1</v>
      </c>
      <c r="N2179" s="34" t="n">
        <f aca="false">IF(K2179=0,0,FFLAG)</f>
        <v>2</v>
      </c>
      <c r="O2179" s="15"/>
      <c r="P2179" s="16" t="n">
        <f aca="false">MAX(P2178+M2179)</f>
        <v>46474</v>
      </c>
      <c r="Q2179" s="16" t="n">
        <f aca="false">MAX(P2179+K2179,Q2178+N2179)</f>
        <v>46479</v>
      </c>
      <c r="R2179" s="16" t="n">
        <f aca="false">IF(K2179&gt;0,Q2179,0)</f>
        <v>46479</v>
      </c>
      <c r="S2179" s="12"/>
    </row>
    <row r="2180" customFormat="false" ht="15" hidden="false" customHeight="false" outlineLevel="0" collapsed="false">
      <c r="A2180" s="15" t="s">
        <v>5938</v>
      </c>
      <c r="B2180" s="15" t="s">
        <v>5929</v>
      </c>
      <c r="C2180" s="15" t="s">
        <v>406</v>
      </c>
      <c r="D2180" s="15" t="s">
        <v>1872</v>
      </c>
      <c r="E2180" s="15" t="s">
        <v>1873</v>
      </c>
      <c r="F2180" s="15" t="s">
        <v>3025</v>
      </c>
      <c r="G2180" s="15" t="s">
        <v>3026</v>
      </c>
      <c r="H2180" s="33" t="n">
        <f aca="false">Packages!$O$203</f>
        <v>14.7325559707283</v>
      </c>
      <c r="I2180" s="15" t="s">
        <v>118</v>
      </c>
      <c r="J2180" s="34" t="n">
        <f aca="false">MAX(1,ROUNDUP(Packages!$O$203/(IF(Packages!$N$203&gt;=PIPE_T1,R_PIPE_L,IF(Packages!$N$203&gt;=PIPE_T2,R_PIPE_M,R_PIPE_S))*Fronts!$L$12)+Packages!$M$203*FIT_D+IF(Packages!$G$203&lt;&gt;"Run",TIE_D,0),0))</f>
        <v>7</v>
      </c>
      <c r="K2180" s="34" t="n">
        <f aca="false">IF(J2180=0,0,ROUNDUP(J2180*7/WD,0))</f>
        <v>9</v>
      </c>
      <c r="L2180" s="15" t="s">
        <v>5937</v>
      </c>
      <c r="M2180" s="34" t="n">
        <f aca="false">ROUNDUP(K2179*LADDER,0)</f>
        <v>2</v>
      </c>
      <c r="N2180" s="34" t="n">
        <f aca="false">IF(K2180=0,0,FFLAG)</f>
        <v>2</v>
      </c>
      <c r="O2180" s="15" t="s">
        <v>5939</v>
      </c>
      <c r="P2180" s="16" t="n">
        <f aca="false">MAX(P2179+M2180,Q2015)</f>
        <v>46476</v>
      </c>
      <c r="Q2180" s="16" t="n">
        <f aca="false">MAX(P2180+K2180,Q2179+N2180)</f>
        <v>46485</v>
      </c>
      <c r="R2180" s="16" t="n">
        <f aca="false">IF(K2180&gt;0,Q2180,0)</f>
        <v>46485</v>
      </c>
      <c r="S2180" s="12"/>
    </row>
    <row r="2181" customFormat="false" ht="15" hidden="false" customHeight="false" outlineLevel="0" collapsed="false">
      <c r="A2181" s="15" t="s">
        <v>5940</v>
      </c>
      <c r="B2181" s="15" t="s">
        <v>5929</v>
      </c>
      <c r="C2181" s="15" t="s">
        <v>406</v>
      </c>
      <c r="D2181" s="15" t="s">
        <v>1872</v>
      </c>
      <c r="E2181" s="15" t="s">
        <v>1873</v>
      </c>
      <c r="F2181" s="15" t="s">
        <v>3028</v>
      </c>
      <c r="G2181" s="15" t="s">
        <v>3029</v>
      </c>
      <c r="H2181" s="33" t="n">
        <f aca="false">Packages!$O$203</f>
        <v>14.7325559707283</v>
      </c>
      <c r="I2181" s="15" t="s">
        <v>118</v>
      </c>
      <c r="J2181" s="34" t="n">
        <f aca="false">TEST_D+ROUNDUP(Packages!$O$203/R_TEST,0)</f>
        <v>3</v>
      </c>
      <c r="K2181" s="34" t="n">
        <f aca="false">IF(J2181=0,0,ROUNDUP(J2181*7/WD,0))</f>
        <v>4</v>
      </c>
      <c r="L2181" s="15" t="s">
        <v>5938</v>
      </c>
      <c r="M2181" s="34" t="n">
        <f aca="false">ROUNDUP(K2180*LADDER,0)</f>
        <v>3</v>
      </c>
      <c r="N2181" s="34" t="n">
        <f aca="false">IF(K2181=0,0,FFLAG)</f>
        <v>2</v>
      </c>
      <c r="O2181" s="15"/>
      <c r="P2181" s="16" t="n">
        <f aca="false">MAX(P2180+M2181)</f>
        <v>46479</v>
      </c>
      <c r="Q2181" s="16" t="n">
        <f aca="false">MAX(P2181+K2181,Q2180+N2181)</f>
        <v>46487</v>
      </c>
      <c r="R2181" s="12"/>
      <c r="S2181" s="12"/>
    </row>
    <row r="2182" customFormat="false" ht="15" hidden="false" customHeight="false" outlineLevel="0" collapsed="false">
      <c r="A2182" s="15" t="s">
        <v>5941</v>
      </c>
      <c r="B2182" s="15" t="s">
        <v>5929</v>
      </c>
      <c r="C2182" s="15" t="s">
        <v>406</v>
      </c>
      <c r="D2182" s="15" t="s">
        <v>1872</v>
      </c>
      <c r="E2182" s="15" t="s">
        <v>1873</v>
      </c>
      <c r="F2182" s="15" t="s">
        <v>3031</v>
      </c>
      <c r="G2182" s="15" t="s">
        <v>3032</v>
      </c>
      <c r="H2182" s="33" t="n">
        <f aca="false">Packages!$AB$203</f>
        <v>419.797614932716</v>
      </c>
      <c r="I2182" s="15" t="s">
        <v>3019</v>
      </c>
      <c r="J2182" s="34" t="n">
        <f aca="false">MAX(1,ROUNDUP(Packages!$AB$203/(R_BF*Fronts!$M$12),0))</f>
        <v>1</v>
      </c>
      <c r="K2182" s="34" t="n">
        <f aca="false">IF(J2182=0,0,ROUNDUP(J2182*7/WD,0))</f>
        <v>2</v>
      </c>
      <c r="L2182" s="15" t="s">
        <v>5940</v>
      </c>
      <c r="M2182" s="34" t="n">
        <f aca="false">ROUNDUP(K2181*LADDER,0)</f>
        <v>2</v>
      </c>
      <c r="N2182" s="34" t="n">
        <f aca="false">IF(K2182=0,0,FFLAG)</f>
        <v>2</v>
      </c>
      <c r="O2182" s="15" t="s">
        <v>5942</v>
      </c>
      <c r="P2182" s="16" t="n">
        <f aca="false">MAX(P2181+M2182,Q2191,Q2147)</f>
        <v>46515</v>
      </c>
      <c r="Q2182" s="16" t="n">
        <f aca="false">MAX(P2182+K2182,Q2181+N2182)</f>
        <v>46517</v>
      </c>
      <c r="R2182" s="16" t="n">
        <f aca="false">IF(K2182&gt;0,Q2182,0)</f>
        <v>46517</v>
      </c>
      <c r="S2182" s="12"/>
    </row>
    <row r="2183" customFormat="false" ht="15" hidden="false" customHeight="false" outlineLevel="0" collapsed="false">
      <c r="A2183" s="15" t="s">
        <v>5943</v>
      </c>
      <c r="B2183" s="15" t="s">
        <v>5929</v>
      </c>
      <c r="C2183" s="15" t="s">
        <v>406</v>
      </c>
      <c r="D2183" s="15" t="s">
        <v>1872</v>
      </c>
      <c r="E2183" s="15" t="s">
        <v>1873</v>
      </c>
      <c r="F2183" s="15" t="s">
        <v>3034</v>
      </c>
      <c r="G2183" s="15" t="s">
        <v>3035</v>
      </c>
      <c r="H2183" s="33" t="n">
        <f aca="false">Packages!$AD$203</f>
        <v>0</v>
      </c>
      <c r="I2183" s="15" t="s">
        <v>3012</v>
      </c>
      <c r="J2183" s="34" t="n">
        <f aca="false">IF(Packages!$AD$203&gt;0,ROUNDUP(Packages!$AD$203/R_EXT,0),0)+IF(Packages!$AG$203&gt;0,1,0)</f>
        <v>1</v>
      </c>
      <c r="K2183" s="34" t="n">
        <f aca="false">IF(J2183=0,0,ROUNDUP(J2183*7/WD,0))</f>
        <v>2</v>
      </c>
      <c r="L2183" s="15" t="s">
        <v>5941</v>
      </c>
      <c r="M2183" s="34" t="n">
        <f aca="false">ROUNDUP(K2182*LADDER,0)</f>
        <v>1</v>
      </c>
      <c r="N2183" s="34" t="n">
        <f aca="false">IF(K2183=0,0,FFLAG)</f>
        <v>2</v>
      </c>
      <c r="O2183" s="15"/>
      <c r="P2183" s="16" t="n">
        <f aca="false">MAX(P2182+M2183)</f>
        <v>46516</v>
      </c>
      <c r="Q2183" s="16" t="n">
        <f aca="false">MAX(P2183+K2183,Q2182+N2183)</f>
        <v>46519</v>
      </c>
      <c r="R2183" s="12"/>
      <c r="S2183" s="12"/>
    </row>
    <row r="2184" customFormat="false" ht="15" hidden="false" customHeight="false" outlineLevel="0" collapsed="false">
      <c r="A2184" s="15" t="s">
        <v>5944</v>
      </c>
      <c r="B2184" s="15" t="s">
        <v>5945</v>
      </c>
      <c r="C2184" s="15" t="s">
        <v>406</v>
      </c>
      <c r="D2184" s="15" t="s">
        <v>1936</v>
      </c>
      <c r="E2184" s="15" t="s">
        <v>1937</v>
      </c>
      <c r="F2184" s="15" t="s">
        <v>2998</v>
      </c>
      <c r="G2184" s="15" t="s">
        <v>2999</v>
      </c>
      <c r="H2184" s="12"/>
      <c r="I2184" s="12"/>
      <c r="J2184" s="34" t="n">
        <f aca="false">0</f>
        <v>0</v>
      </c>
      <c r="K2184" s="34" t="n">
        <f aca="false">IF(J2184=0,0,ROUNDUP(J2184*7/WD,0))</f>
        <v>0</v>
      </c>
      <c r="L2184" s="12"/>
      <c r="M2184" s="12"/>
      <c r="N2184" s="12"/>
      <c r="O2184" s="15" t="s">
        <v>3038</v>
      </c>
      <c r="P2184" s="16" t="n">
        <f aca="false">MAX(START,D_DLU,Packages!$I$204,Packages!$K$204)</f>
        <v>46357</v>
      </c>
      <c r="Q2184" s="16" t="n">
        <f aca="false">P2184+K2184</f>
        <v>46357</v>
      </c>
      <c r="R2184" s="12"/>
      <c r="S2184" s="12"/>
    </row>
    <row r="2185" customFormat="false" ht="15" hidden="false" customHeight="false" outlineLevel="0" collapsed="false">
      <c r="A2185" s="15" t="s">
        <v>5946</v>
      </c>
      <c r="B2185" s="15" t="s">
        <v>5945</v>
      </c>
      <c r="C2185" s="15" t="s">
        <v>406</v>
      </c>
      <c r="D2185" s="15" t="s">
        <v>1936</v>
      </c>
      <c r="E2185" s="15" t="s">
        <v>1937</v>
      </c>
      <c r="F2185" s="15" t="s">
        <v>3002</v>
      </c>
      <c r="G2185" s="15" t="s">
        <v>205</v>
      </c>
      <c r="H2185" s="33" t="n">
        <f aca="false">Packages!$O$204</f>
        <v>10.5191397620194</v>
      </c>
      <c r="I2185" s="15" t="s">
        <v>118</v>
      </c>
      <c r="J2185" s="34" t="n">
        <f aca="false">MAX(1,ROUNDUP(Packages!$O$204/R_PLAT,0))</f>
        <v>1</v>
      </c>
      <c r="K2185" s="34" t="n">
        <f aca="false">IF(J2185=0,0,ROUNDUP(J2185*7/WD,0))</f>
        <v>2</v>
      </c>
      <c r="L2185" s="15" t="s">
        <v>5944</v>
      </c>
      <c r="M2185" s="12"/>
      <c r="N2185" s="12"/>
      <c r="O2185" s="15" t="s">
        <v>5947</v>
      </c>
      <c r="P2185" s="16" t="n">
        <f aca="false">MAX(Q2184,P2142)</f>
        <v>46445</v>
      </c>
      <c r="Q2185" s="16" t="n">
        <f aca="false">P2185+K2185</f>
        <v>46447</v>
      </c>
      <c r="R2185" s="12"/>
      <c r="S2185" s="12"/>
    </row>
    <row r="2186" customFormat="false" ht="15" hidden="false" customHeight="false" outlineLevel="0" collapsed="false">
      <c r="A2186" s="15" t="s">
        <v>5948</v>
      </c>
      <c r="B2186" s="15" t="s">
        <v>5945</v>
      </c>
      <c r="C2186" s="15" t="s">
        <v>406</v>
      </c>
      <c r="D2186" s="15" t="s">
        <v>1936</v>
      </c>
      <c r="E2186" s="15" t="s">
        <v>1937</v>
      </c>
      <c r="F2186" s="15" t="s">
        <v>3005</v>
      </c>
      <c r="G2186" s="15" t="s">
        <v>3006</v>
      </c>
      <c r="H2186" s="33" t="n">
        <f aca="false">Packages!$AC$204</f>
        <v>10</v>
      </c>
      <c r="I2186" s="15" t="s">
        <v>3007</v>
      </c>
      <c r="J2186" s="34" t="n">
        <f aca="false">IF(Packages!$AC$204=0,0,MAX(1,ROUNDUP(Packages!$AC$204/(R_PILE*Fronts!$H$12),0)))</f>
        <v>1</v>
      </c>
      <c r="K2186" s="34" t="n">
        <f aca="false">IF(J2186=0,0,ROUNDUP(J2186*7/WD,0))</f>
        <v>2</v>
      </c>
      <c r="L2186" s="15" t="s">
        <v>5946</v>
      </c>
      <c r="M2186" s="34" t="n">
        <f aca="false">ROUNDUP(K2185*LADDER,0)</f>
        <v>1</v>
      </c>
      <c r="N2186" s="34" t="n">
        <f aca="false">IF(K2186=0,0,FFLAG)</f>
        <v>2</v>
      </c>
      <c r="O2186" s="15" t="s">
        <v>3008</v>
      </c>
      <c r="P2186" s="16" t="n">
        <f aca="false">MAX(P2185+M2186,D_PILEDES)</f>
        <v>46446</v>
      </c>
      <c r="Q2186" s="16" t="n">
        <f aca="false">MAX(P2186+K2186,Q2185+N2186)</f>
        <v>46449</v>
      </c>
      <c r="R2186" s="16" t="n">
        <f aca="false">IF(K2186&gt;0,Q2186,0)</f>
        <v>46449</v>
      </c>
      <c r="S2186" s="12"/>
    </row>
    <row r="2187" customFormat="false" ht="15" hidden="false" customHeight="false" outlineLevel="0" collapsed="false">
      <c r="A2187" s="15" t="s">
        <v>5949</v>
      </c>
      <c r="B2187" s="15" t="s">
        <v>5945</v>
      </c>
      <c r="C2187" s="15" t="s">
        <v>406</v>
      </c>
      <c r="D2187" s="15" t="s">
        <v>1936</v>
      </c>
      <c r="E2187" s="15" t="s">
        <v>1937</v>
      </c>
      <c r="F2187" s="15" t="s">
        <v>3010</v>
      </c>
      <c r="G2187" s="15" t="s">
        <v>3011</v>
      </c>
      <c r="H2187" s="33" t="n">
        <f aca="false">Packages!$AD$204</f>
        <v>0</v>
      </c>
      <c r="I2187" s="15" t="s">
        <v>3012</v>
      </c>
      <c r="J2187" s="34" t="n">
        <f aca="false">IF(Packages!$AD$204=0,0,MAX(1,ROUNDUP(Packages!$AD$204/(R_SHEET*Fronts!$I$12),0)))</f>
        <v>0</v>
      </c>
      <c r="K2187" s="34" t="n">
        <f aca="false">IF(J2187=0,0,ROUNDUP(J2187*7/WD,0))</f>
        <v>0</v>
      </c>
      <c r="L2187" s="15" t="s">
        <v>5948</v>
      </c>
      <c r="M2187" s="34" t="n">
        <f aca="false">ROUNDUP(K2186*LADDER,0)</f>
        <v>1</v>
      </c>
      <c r="N2187" s="34" t="n">
        <f aca="false">IF(K2187=0,0,FFLAG)</f>
        <v>0</v>
      </c>
      <c r="O2187" s="15"/>
      <c r="P2187" s="16" t="n">
        <f aca="false">MAX(P2186+M2187)</f>
        <v>46447</v>
      </c>
      <c r="Q2187" s="16" t="n">
        <f aca="false">MAX(P2187+K2187,Q2186+N2187)</f>
        <v>46449</v>
      </c>
      <c r="R2187" s="16" t="n">
        <f aca="false">IF(K2187&gt;0,Q2187,0)</f>
        <v>0</v>
      </c>
      <c r="S2187" s="12"/>
    </row>
    <row r="2188" customFormat="false" ht="15" hidden="false" customHeight="false" outlineLevel="0" collapsed="false">
      <c r="A2188" s="15" t="s">
        <v>5950</v>
      </c>
      <c r="B2188" s="15" t="s">
        <v>5945</v>
      </c>
      <c r="C2188" s="15" t="s">
        <v>406</v>
      </c>
      <c r="D2188" s="15" t="s">
        <v>1936</v>
      </c>
      <c r="E2188" s="15" t="s">
        <v>1937</v>
      </c>
      <c r="F2188" s="15" t="s">
        <v>3014</v>
      </c>
      <c r="G2188" s="15" t="s">
        <v>3015</v>
      </c>
      <c r="H2188" s="33" t="n">
        <f aca="false">Packages!$O$204</f>
        <v>10.5191397620194</v>
      </c>
      <c r="I2188" s="15" t="s">
        <v>118</v>
      </c>
      <c r="J2188" s="34" t="n">
        <f aca="false">IF(Packages!$AG$204=0,0,ROUNDUP(Packages!$O$204/R_DW,0)+DW_DRAW)</f>
        <v>8</v>
      </c>
      <c r="K2188" s="34" t="n">
        <f aca="false">IF(J2188=0,0,ROUNDUP(J2188*7/WD,0))</f>
        <v>10</v>
      </c>
      <c r="L2188" s="15" t="s">
        <v>5949</v>
      </c>
      <c r="M2188" s="34" t="n">
        <f aca="false">ROUNDUP(K2187*LADDER,0)</f>
        <v>0</v>
      </c>
      <c r="N2188" s="34" t="n">
        <f aca="false">IF(K2188=0,0,FFLAG)</f>
        <v>2</v>
      </c>
      <c r="O2188" s="15"/>
      <c r="P2188" s="16" t="n">
        <f aca="false">MAX(P2187+M2188)</f>
        <v>46447</v>
      </c>
      <c r="Q2188" s="16" t="n">
        <f aca="false">MAX(P2188+K2188,Q2187+N2188)</f>
        <v>46457</v>
      </c>
      <c r="R2188" s="12"/>
      <c r="S2188" s="12"/>
    </row>
    <row r="2189" customFormat="false" ht="15" hidden="false" customHeight="false" outlineLevel="0" collapsed="false">
      <c r="A2189" s="15" t="s">
        <v>5951</v>
      </c>
      <c r="B2189" s="15" t="s">
        <v>5945</v>
      </c>
      <c r="C2189" s="15" t="s">
        <v>406</v>
      </c>
      <c r="D2189" s="15" t="s">
        <v>1936</v>
      </c>
      <c r="E2189" s="15" t="s">
        <v>1937</v>
      </c>
      <c r="F2189" s="15" t="s">
        <v>3017</v>
      </c>
      <c r="G2189" s="15" t="s">
        <v>3018</v>
      </c>
      <c r="H2189" s="33" t="n">
        <f aca="false">Packages!$X$204+Packages!$Y$204</f>
        <v>358.29520481655</v>
      </c>
      <c r="I2189" s="15" t="s">
        <v>3019</v>
      </c>
      <c r="J2189" s="34" t="n">
        <f aca="false">MAX(1,ROUNDUP((Packages!$X$204/R_EXS+Packages!$Y$204/R_EXO)/Fronts!$J$12,0))</f>
        <v>1</v>
      </c>
      <c r="K2189" s="34" t="n">
        <f aca="false">IF(J2189=0,0,ROUNDUP(J2189*7/WD,0))</f>
        <v>2</v>
      </c>
      <c r="L2189" s="15" t="s">
        <v>5950</v>
      </c>
      <c r="M2189" s="34" t="n">
        <f aca="false">IF(K2188=0,0,ROUNDUP((K2188-ROUNDUP(DW_DRAW*7/WD,0))*LADDER,0)+ROUNDUP(DW_DRAW*7/WD,0))</f>
        <v>10</v>
      </c>
      <c r="N2189" s="34" t="n">
        <f aca="false">IF(K2189=0,0,FFLAG)</f>
        <v>2</v>
      </c>
      <c r="O2189" s="15" t="s">
        <v>5952</v>
      </c>
      <c r="P2189" s="16" t="n">
        <f aca="false">MAX(P2188+M2189,P2178,P2013)</f>
        <v>46473</v>
      </c>
      <c r="Q2189" s="16" t="n">
        <f aca="false">MAX(P2189+K2189,Q2188+N2189)</f>
        <v>46475</v>
      </c>
      <c r="R2189" s="16" t="n">
        <f aca="false">IF(K2189&gt;0,Q2189,0)</f>
        <v>46475</v>
      </c>
      <c r="S2189" s="12"/>
    </row>
    <row r="2190" customFormat="false" ht="15" hidden="false" customHeight="false" outlineLevel="0" collapsed="false">
      <c r="A2190" s="15" t="s">
        <v>5953</v>
      </c>
      <c r="B2190" s="15" t="s">
        <v>5945</v>
      </c>
      <c r="C2190" s="15" t="s">
        <v>406</v>
      </c>
      <c r="D2190" s="15" t="s">
        <v>1936</v>
      </c>
      <c r="E2190" s="15" t="s">
        <v>1937</v>
      </c>
      <c r="F2190" s="15" t="s">
        <v>3022</v>
      </c>
      <c r="G2190" s="15" t="s">
        <v>3023</v>
      </c>
      <c r="H2190" s="33" t="n">
        <f aca="false">Packages!$O$204</f>
        <v>10.5191397620194</v>
      </c>
      <c r="I2190" s="15" t="s">
        <v>118</v>
      </c>
      <c r="J2190" s="34" t="n">
        <f aca="false">MAX(1,ROUNDUP(Packages!$O$204/(R_SLAB*Fronts!$K$12),0))+SLAB_CURE</f>
        <v>4</v>
      </c>
      <c r="K2190" s="34" t="n">
        <f aca="false">IF(J2190=0,0,ROUNDUP(J2190*7/WD,0))</f>
        <v>5</v>
      </c>
      <c r="L2190" s="15" t="s">
        <v>5951</v>
      </c>
      <c r="M2190" s="34" t="n">
        <f aca="false">ROUNDUP(K2189*LADDER,0)</f>
        <v>1</v>
      </c>
      <c r="N2190" s="34" t="n">
        <f aca="false">IF(K2190=0,0,FFLAG)</f>
        <v>2</v>
      </c>
      <c r="O2190" s="15"/>
      <c r="P2190" s="16" t="n">
        <f aca="false">MAX(P2189+M2190)</f>
        <v>46474</v>
      </c>
      <c r="Q2190" s="16" t="n">
        <f aca="false">MAX(P2190+K2190,Q2189+N2190)</f>
        <v>46479</v>
      </c>
      <c r="R2190" s="16" t="n">
        <f aca="false">IF(K2190&gt;0,Q2190,0)</f>
        <v>46479</v>
      </c>
      <c r="S2190" s="12"/>
    </row>
    <row r="2191" customFormat="false" ht="15" hidden="false" customHeight="false" outlineLevel="0" collapsed="false">
      <c r="A2191" s="15" t="s">
        <v>5954</v>
      </c>
      <c r="B2191" s="15" t="s">
        <v>5945</v>
      </c>
      <c r="C2191" s="15" t="s">
        <v>406</v>
      </c>
      <c r="D2191" s="15" t="s">
        <v>1936</v>
      </c>
      <c r="E2191" s="15" t="s">
        <v>1937</v>
      </c>
      <c r="F2191" s="15" t="s">
        <v>3025</v>
      </c>
      <c r="G2191" s="15" t="s">
        <v>3026</v>
      </c>
      <c r="H2191" s="33" t="n">
        <f aca="false">Packages!$O$204</f>
        <v>10.5191397620194</v>
      </c>
      <c r="I2191" s="15" t="s">
        <v>118</v>
      </c>
      <c r="J2191" s="34" t="n">
        <f aca="false">MAX(1,ROUNDUP(Packages!$O$204/(IF(Packages!$N$204&gt;=PIPE_T1,R_PIPE_L,IF(Packages!$N$204&gt;=PIPE_T2,R_PIPE_M,R_PIPE_S))*Fronts!$L$12)+Packages!$M$204*FIT_D+IF(Packages!$G$204&lt;&gt;"Run",TIE_D,0),0))</f>
        <v>7</v>
      </c>
      <c r="K2191" s="34" t="n">
        <f aca="false">IF(J2191=0,0,ROUNDUP(J2191*7/WD,0))</f>
        <v>9</v>
      </c>
      <c r="L2191" s="15" t="s">
        <v>5953</v>
      </c>
      <c r="M2191" s="34" t="n">
        <f aca="false">ROUNDUP(K2190*LADDER,0)</f>
        <v>2</v>
      </c>
      <c r="N2191" s="34" t="n">
        <f aca="false">IF(K2191=0,0,FFLAG)</f>
        <v>2</v>
      </c>
      <c r="O2191" s="15" t="s">
        <v>5955</v>
      </c>
      <c r="P2191" s="16" t="n">
        <f aca="false">MAX(P2190+M2191,Q2147)</f>
        <v>46506</v>
      </c>
      <c r="Q2191" s="16" t="n">
        <f aca="false">MAX(P2191+K2191,Q2190+N2191)</f>
        <v>46515</v>
      </c>
      <c r="R2191" s="16" t="n">
        <f aca="false">IF(K2191&gt;0,Q2191,0)</f>
        <v>46515</v>
      </c>
      <c r="S2191" s="12"/>
    </row>
    <row r="2192" customFormat="false" ht="15" hidden="false" customHeight="false" outlineLevel="0" collapsed="false">
      <c r="A2192" s="15" t="s">
        <v>5956</v>
      </c>
      <c r="B2192" s="15" t="s">
        <v>5945</v>
      </c>
      <c r="C2192" s="15" t="s">
        <v>406</v>
      </c>
      <c r="D2192" s="15" t="s">
        <v>1936</v>
      </c>
      <c r="E2192" s="15" t="s">
        <v>1937</v>
      </c>
      <c r="F2192" s="15" t="s">
        <v>3028</v>
      </c>
      <c r="G2192" s="15" t="s">
        <v>3029</v>
      </c>
      <c r="H2192" s="33" t="n">
        <f aca="false">Packages!$O$204</f>
        <v>10.5191397620194</v>
      </c>
      <c r="I2192" s="15" t="s">
        <v>118</v>
      </c>
      <c r="J2192" s="34" t="n">
        <f aca="false">TEST_D+ROUNDUP(Packages!$O$204/R_TEST,0)</f>
        <v>3</v>
      </c>
      <c r="K2192" s="34" t="n">
        <f aca="false">IF(J2192=0,0,ROUNDUP(J2192*7/WD,0))</f>
        <v>4</v>
      </c>
      <c r="L2192" s="15" t="s">
        <v>5954</v>
      </c>
      <c r="M2192" s="34" t="n">
        <f aca="false">ROUNDUP(K2191*LADDER,0)</f>
        <v>3</v>
      </c>
      <c r="N2192" s="34" t="n">
        <f aca="false">IF(K2192=0,0,FFLAG)</f>
        <v>2</v>
      </c>
      <c r="O2192" s="15"/>
      <c r="P2192" s="16" t="n">
        <f aca="false">MAX(P2191+M2192)</f>
        <v>46509</v>
      </c>
      <c r="Q2192" s="16" t="n">
        <f aca="false">MAX(P2192+K2192,Q2191+N2192)</f>
        <v>46517</v>
      </c>
      <c r="R2192" s="12"/>
      <c r="S2192" s="12"/>
    </row>
    <row r="2193" customFormat="false" ht="15" hidden="false" customHeight="false" outlineLevel="0" collapsed="false">
      <c r="A2193" s="15" t="s">
        <v>5957</v>
      </c>
      <c r="B2193" s="15" t="s">
        <v>5945</v>
      </c>
      <c r="C2193" s="15" t="s">
        <v>406</v>
      </c>
      <c r="D2193" s="15" t="s">
        <v>1936</v>
      </c>
      <c r="E2193" s="15" t="s">
        <v>1937</v>
      </c>
      <c r="F2193" s="15" t="s">
        <v>3031</v>
      </c>
      <c r="G2193" s="15" t="s">
        <v>3032</v>
      </c>
      <c r="H2193" s="33" t="n">
        <f aca="false">Packages!$AB$204</f>
        <v>299.211771381617</v>
      </c>
      <c r="I2193" s="15" t="s">
        <v>3019</v>
      </c>
      <c r="J2193" s="34" t="n">
        <f aca="false">MAX(1,ROUNDUP(Packages!$AB$204/(R_BF*Fronts!$M$12),0))</f>
        <v>1</v>
      </c>
      <c r="K2193" s="34" t="n">
        <f aca="false">IF(J2193=0,0,ROUNDUP(J2193*7/WD,0))</f>
        <v>2</v>
      </c>
      <c r="L2193" s="15" t="s">
        <v>5956</v>
      </c>
      <c r="M2193" s="34" t="n">
        <f aca="false">ROUNDUP(K2192*LADDER,0)</f>
        <v>2</v>
      </c>
      <c r="N2193" s="34" t="n">
        <f aca="false">IF(K2193=0,0,FFLAG)</f>
        <v>2</v>
      </c>
      <c r="O2193" s="15" t="s">
        <v>5958</v>
      </c>
      <c r="P2193" s="16" t="n">
        <f aca="false">MAX(P2192+M2193,Q2180,Q2015)</f>
        <v>46511</v>
      </c>
      <c r="Q2193" s="16" t="n">
        <f aca="false">MAX(P2193+K2193,Q2192+N2193)</f>
        <v>46519</v>
      </c>
      <c r="R2193" s="16" t="n">
        <f aca="false">IF(K2193&gt;0,Q2193,0)</f>
        <v>46519</v>
      </c>
      <c r="S2193" s="12"/>
    </row>
    <row r="2194" customFormat="false" ht="15" hidden="false" customHeight="false" outlineLevel="0" collapsed="false">
      <c r="A2194" s="15" t="s">
        <v>5959</v>
      </c>
      <c r="B2194" s="15" t="s">
        <v>5945</v>
      </c>
      <c r="C2194" s="15" t="s">
        <v>406</v>
      </c>
      <c r="D2194" s="15" t="s">
        <v>1936</v>
      </c>
      <c r="E2194" s="15" t="s">
        <v>1937</v>
      </c>
      <c r="F2194" s="15" t="s">
        <v>3034</v>
      </c>
      <c r="G2194" s="15" t="s">
        <v>3035</v>
      </c>
      <c r="H2194" s="33" t="n">
        <f aca="false">Packages!$AD$204</f>
        <v>0</v>
      </c>
      <c r="I2194" s="15" t="s">
        <v>3012</v>
      </c>
      <c r="J2194" s="34" t="n">
        <f aca="false">IF(Packages!$AD$204&gt;0,ROUNDUP(Packages!$AD$204/R_EXT,0),0)+IF(Packages!$AG$204&gt;0,1,0)</f>
        <v>1</v>
      </c>
      <c r="K2194" s="34" t="n">
        <f aca="false">IF(J2194=0,0,ROUNDUP(J2194*7/WD,0))</f>
        <v>2</v>
      </c>
      <c r="L2194" s="15" t="s">
        <v>5957</v>
      </c>
      <c r="M2194" s="34" t="n">
        <f aca="false">ROUNDUP(K2193*LADDER,0)</f>
        <v>1</v>
      </c>
      <c r="N2194" s="34" t="n">
        <f aca="false">IF(K2194=0,0,FFLAG)</f>
        <v>2</v>
      </c>
      <c r="O2194" s="15"/>
      <c r="P2194" s="16" t="n">
        <f aca="false">MAX(P2193+M2194)</f>
        <v>46512</v>
      </c>
      <c r="Q2194" s="16" t="n">
        <f aca="false">MAX(P2194+K2194,Q2193+N2194)</f>
        <v>46521</v>
      </c>
      <c r="R2194" s="12"/>
      <c r="S2194" s="12"/>
    </row>
    <row r="2195" customFormat="false" ht="15" hidden="false" customHeight="false" outlineLevel="0" collapsed="false">
      <c r="A2195" s="15" t="s">
        <v>5960</v>
      </c>
      <c r="B2195" s="15" t="s">
        <v>5961</v>
      </c>
      <c r="C2195" s="15" t="s">
        <v>406</v>
      </c>
      <c r="D2195" s="15" t="s">
        <v>2297</v>
      </c>
      <c r="E2195" s="15" t="s">
        <v>2298</v>
      </c>
      <c r="F2195" s="15" t="s">
        <v>2998</v>
      </c>
      <c r="G2195" s="15" t="s">
        <v>2999</v>
      </c>
      <c r="H2195" s="12"/>
      <c r="I2195" s="12"/>
      <c r="J2195" s="34" t="n">
        <f aca="false">0</f>
        <v>0</v>
      </c>
      <c r="K2195" s="34" t="n">
        <f aca="false">IF(J2195=0,0,ROUNDUP(J2195*7/WD,0))</f>
        <v>0</v>
      </c>
      <c r="L2195" s="12"/>
      <c r="M2195" s="12"/>
      <c r="N2195" s="12"/>
      <c r="O2195" s="15" t="s">
        <v>3038</v>
      </c>
      <c r="P2195" s="16" t="n">
        <f aca="false">MAX(START,D_DLU,Packages!$I$205,Packages!$K$205)</f>
        <v>46357</v>
      </c>
      <c r="Q2195" s="16" t="n">
        <f aca="false">P2195+K2195</f>
        <v>46357</v>
      </c>
      <c r="R2195" s="12"/>
      <c r="S2195" s="12"/>
    </row>
    <row r="2196" customFormat="false" ht="15" hidden="false" customHeight="false" outlineLevel="0" collapsed="false">
      <c r="A2196" s="15" t="s">
        <v>5962</v>
      </c>
      <c r="B2196" s="15" t="s">
        <v>5961</v>
      </c>
      <c r="C2196" s="15" t="s">
        <v>406</v>
      </c>
      <c r="D2196" s="15" t="s">
        <v>2297</v>
      </c>
      <c r="E2196" s="15" t="s">
        <v>2298</v>
      </c>
      <c r="F2196" s="15" t="s">
        <v>3002</v>
      </c>
      <c r="G2196" s="15" t="s">
        <v>205</v>
      </c>
      <c r="H2196" s="33" t="n">
        <f aca="false">Packages!$O$205</f>
        <v>1.10000099761177</v>
      </c>
      <c r="I2196" s="15" t="s">
        <v>118</v>
      </c>
      <c r="J2196" s="34" t="n">
        <f aca="false">MAX(1,ROUNDUP(Packages!$O$205/R_PLAT,0))</f>
        <v>1</v>
      </c>
      <c r="K2196" s="34" t="n">
        <f aca="false">IF(J2196=0,0,ROUNDUP(J2196*7/WD,0))</f>
        <v>2</v>
      </c>
      <c r="L2196" s="15" t="s">
        <v>5960</v>
      </c>
      <c r="M2196" s="12"/>
      <c r="N2196" s="12"/>
      <c r="O2196" s="15" t="s">
        <v>3003</v>
      </c>
      <c r="P2196" s="16" t="n">
        <f aca="false">MAX(Q2195)</f>
        <v>46357</v>
      </c>
      <c r="Q2196" s="16" t="n">
        <f aca="false">P2196+K2196</f>
        <v>46359</v>
      </c>
      <c r="R2196" s="12"/>
      <c r="S2196" s="12"/>
    </row>
    <row r="2197" customFormat="false" ht="15" hidden="false" customHeight="false" outlineLevel="0" collapsed="false">
      <c r="A2197" s="15" t="s">
        <v>5963</v>
      </c>
      <c r="B2197" s="15" t="s">
        <v>5961</v>
      </c>
      <c r="C2197" s="15" t="s">
        <v>406</v>
      </c>
      <c r="D2197" s="15" t="s">
        <v>2297</v>
      </c>
      <c r="E2197" s="15" t="s">
        <v>2298</v>
      </c>
      <c r="F2197" s="15" t="s">
        <v>3005</v>
      </c>
      <c r="G2197" s="15" t="s">
        <v>3006</v>
      </c>
      <c r="H2197" s="33" t="n">
        <f aca="false">Packages!$AC$205</f>
        <v>2</v>
      </c>
      <c r="I2197" s="15" t="s">
        <v>3007</v>
      </c>
      <c r="J2197" s="34" t="n">
        <f aca="false">IF(Packages!$AC$205=0,0,MAX(1,ROUNDUP(Packages!$AC$205/(R_PILE*Fronts!$H$12),0)))</f>
        <v>1</v>
      </c>
      <c r="K2197" s="34" t="n">
        <f aca="false">IF(J2197=0,0,ROUNDUP(J2197*7/WD,0))</f>
        <v>2</v>
      </c>
      <c r="L2197" s="15" t="s">
        <v>5962</v>
      </c>
      <c r="M2197" s="34" t="n">
        <f aca="false">ROUNDUP(K2196*LADDER,0)</f>
        <v>1</v>
      </c>
      <c r="N2197" s="34" t="n">
        <f aca="false">IF(K2197=0,0,FFLAG)</f>
        <v>2</v>
      </c>
      <c r="O2197" s="15" t="s">
        <v>3008</v>
      </c>
      <c r="P2197" s="16" t="n">
        <f aca="false">MAX(P2196+M2197,D_PILEDES)</f>
        <v>46358</v>
      </c>
      <c r="Q2197" s="16" t="n">
        <f aca="false">MAX(P2197+K2197,Q2196+N2197)</f>
        <v>46361</v>
      </c>
      <c r="R2197" s="16" t="n">
        <f aca="false">IF(K2197&gt;0,Q2197,0)</f>
        <v>46361</v>
      </c>
      <c r="S2197" s="12"/>
    </row>
    <row r="2198" customFormat="false" ht="15" hidden="false" customHeight="false" outlineLevel="0" collapsed="false">
      <c r="A2198" s="15" t="s">
        <v>5964</v>
      </c>
      <c r="B2198" s="15" t="s">
        <v>5961</v>
      </c>
      <c r="C2198" s="15" t="s">
        <v>406</v>
      </c>
      <c r="D2198" s="15" t="s">
        <v>2297</v>
      </c>
      <c r="E2198" s="15" t="s">
        <v>2298</v>
      </c>
      <c r="F2198" s="15" t="s">
        <v>3010</v>
      </c>
      <c r="G2198" s="15" t="s">
        <v>3011</v>
      </c>
      <c r="H2198" s="33" t="n">
        <f aca="false">Packages!$AD$205</f>
        <v>0</v>
      </c>
      <c r="I2198" s="15" t="s">
        <v>3012</v>
      </c>
      <c r="J2198" s="34" t="n">
        <f aca="false">IF(Packages!$AD$205=0,0,MAX(1,ROUNDUP(Packages!$AD$205/(R_SHEET*Fronts!$I$12),0)))</f>
        <v>0</v>
      </c>
      <c r="K2198" s="34" t="n">
        <f aca="false">IF(J2198=0,0,ROUNDUP(J2198*7/WD,0))</f>
        <v>0</v>
      </c>
      <c r="L2198" s="15" t="s">
        <v>5963</v>
      </c>
      <c r="M2198" s="34" t="n">
        <f aca="false">ROUNDUP(K2197*LADDER,0)</f>
        <v>1</v>
      </c>
      <c r="N2198" s="34" t="n">
        <f aca="false">IF(K2198=0,0,FFLAG)</f>
        <v>0</v>
      </c>
      <c r="O2198" s="15"/>
      <c r="P2198" s="16" t="n">
        <f aca="false">MAX(P2197+M2198)</f>
        <v>46359</v>
      </c>
      <c r="Q2198" s="16" t="n">
        <f aca="false">MAX(P2198+K2198,Q2197+N2198)</f>
        <v>46361</v>
      </c>
      <c r="R2198" s="16" t="n">
        <f aca="false">IF(K2198&gt;0,Q2198,0)</f>
        <v>0</v>
      </c>
      <c r="S2198" s="12"/>
    </row>
    <row r="2199" customFormat="false" ht="15" hidden="false" customHeight="false" outlineLevel="0" collapsed="false">
      <c r="A2199" s="15" t="s">
        <v>5965</v>
      </c>
      <c r="B2199" s="15" t="s">
        <v>5961</v>
      </c>
      <c r="C2199" s="15" t="s">
        <v>406</v>
      </c>
      <c r="D2199" s="15" t="s">
        <v>2297</v>
      </c>
      <c r="E2199" s="15" t="s">
        <v>2298</v>
      </c>
      <c r="F2199" s="15" t="s">
        <v>3014</v>
      </c>
      <c r="G2199" s="15" t="s">
        <v>3015</v>
      </c>
      <c r="H2199" s="33" t="n">
        <f aca="false">Packages!$O$205</f>
        <v>1.10000099761177</v>
      </c>
      <c r="I2199" s="15" t="s">
        <v>118</v>
      </c>
      <c r="J2199" s="34" t="n">
        <f aca="false">IF(Packages!$AG$205=0,0,ROUNDUP(Packages!$O$205/R_DW,0)+DW_DRAW)</f>
        <v>0</v>
      </c>
      <c r="K2199" s="34" t="n">
        <f aca="false">IF(J2199=0,0,ROUNDUP(J2199*7/WD,0))</f>
        <v>0</v>
      </c>
      <c r="L2199" s="15" t="s">
        <v>5964</v>
      </c>
      <c r="M2199" s="34" t="n">
        <f aca="false">ROUNDUP(K2198*LADDER,0)</f>
        <v>0</v>
      </c>
      <c r="N2199" s="34" t="n">
        <f aca="false">IF(K2199=0,0,FFLAG)</f>
        <v>0</v>
      </c>
      <c r="O2199" s="15"/>
      <c r="P2199" s="16" t="n">
        <f aca="false">MAX(P2198+M2199)</f>
        <v>46359</v>
      </c>
      <c r="Q2199" s="16" t="n">
        <f aca="false">MAX(P2199+K2199,Q2198+N2199)</f>
        <v>46361</v>
      </c>
      <c r="R2199" s="12"/>
      <c r="S2199" s="12"/>
    </row>
    <row r="2200" customFormat="false" ht="15" hidden="false" customHeight="false" outlineLevel="0" collapsed="false">
      <c r="A2200" s="15" t="s">
        <v>5966</v>
      </c>
      <c r="B2200" s="15" t="s">
        <v>5961</v>
      </c>
      <c r="C2200" s="15" t="s">
        <v>406</v>
      </c>
      <c r="D2200" s="15" t="s">
        <v>2297</v>
      </c>
      <c r="E2200" s="15" t="s">
        <v>2298</v>
      </c>
      <c r="F2200" s="15" t="s">
        <v>3017</v>
      </c>
      <c r="G2200" s="15" t="s">
        <v>3018</v>
      </c>
      <c r="H2200" s="33" t="n">
        <f aca="false">Packages!$X$205+Packages!$Y$205</f>
        <v>0</v>
      </c>
      <c r="I2200" s="15" t="s">
        <v>3019</v>
      </c>
      <c r="J2200" s="34" t="n">
        <f aca="false">MAX(1,ROUNDUP((Packages!$X$205/R_EXS+Packages!$Y$205/R_EXO)/Fronts!$J$12,0))</f>
        <v>1</v>
      </c>
      <c r="K2200" s="34" t="n">
        <f aca="false">IF(J2200=0,0,ROUNDUP(J2200*7/WD,0))</f>
        <v>2</v>
      </c>
      <c r="L2200" s="15" t="s">
        <v>5965</v>
      </c>
      <c r="M2200" s="34" t="n">
        <f aca="false">IF(K2199=0,0,ROUNDUP((K2199-ROUNDUP(DW_DRAW*7/WD,0))*LADDER,0)+ROUNDUP(DW_DRAW*7/WD,0))</f>
        <v>0</v>
      </c>
      <c r="N2200" s="34" t="n">
        <f aca="false">IF(K2200=0,0,FFLAG)</f>
        <v>2</v>
      </c>
      <c r="O2200" s="15" t="s">
        <v>5967</v>
      </c>
      <c r="P2200" s="16" t="n">
        <f aca="false">MAX(P2199+M2200,Q367,Q356,Q1940,Q1951)</f>
        <v>46451</v>
      </c>
      <c r="Q2200" s="16" t="n">
        <f aca="false">MAX(P2200+K2200,Q2199+N2200)</f>
        <v>46453</v>
      </c>
      <c r="R2200" s="16" t="n">
        <f aca="false">IF(K2200&gt;0,Q2200,0)</f>
        <v>46453</v>
      </c>
      <c r="S2200" s="12"/>
    </row>
    <row r="2201" customFormat="false" ht="15" hidden="false" customHeight="false" outlineLevel="0" collapsed="false">
      <c r="A2201" s="15" t="s">
        <v>5968</v>
      </c>
      <c r="B2201" s="15" t="s">
        <v>5961</v>
      </c>
      <c r="C2201" s="15" t="s">
        <v>406</v>
      </c>
      <c r="D2201" s="15" t="s">
        <v>2297</v>
      </c>
      <c r="E2201" s="15" t="s">
        <v>2298</v>
      </c>
      <c r="F2201" s="15" t="s">
        <v>3022</v>
      </c>
      <c r="G2201" s="15" t="s">
        <v>3023</v>
      </c>
      <c r="H2201" s="33" t="n">
        <f aca="false">Packages!$O$205</f>
        <v>1.10000099761177</v>
      </c>
      <c r="I2201" s="15" t="s">
        <v>118</v>
      </c>
      <c r="J2201" s="34" t="n">
        <f aca="false">MAX(1,ROUNDUP(Packages!$O$205/(R_SLAB*Fronts!$K$12),0))+SLAB_CURE</f>
        <v>4</v>
      </c>
      <c r="K2201" s="34" t="n">
        <f aca="false">IF(J2201=0,0,ROUNDUP(J2201*7/WD,0))</f>
        <v>5</v>
      </c>
      <c r="L2201" s="15" t="s">
        <v>5966</v>
      </c>
      <c r="M2201" s="34" t="n">
        <f aca="false">ROUNDUP(K2200*LADDER,0)</f>
        <v>1</v>
      </c>
      <c r="N2201" s="34" t="n">
        <f aca="false">IF(K2201=0,0,FFLAG)</f>
        <v>2</v>
      </c>
      <c r="O2201" s="15"/>
      <c r="P2201" s="16" t="n">
        <f aca="false">MAX(P2200+M2201)</f>
        <v>46452</v>
      </c>
      <c r="Q2201" s="16" t="n">
        <f aca="false">MAX(P2201+K2201,Q2200+N2201)</f>
        <v>46457</v>
      </c>
      <c r="R2201" s="16" t="n">
        <f aca="false">IF(K2201&gt;0,Q2201,0)</f>
        <v>46457</v>
      </c>
      <c r="S2201" s="12"/>
    </row>
    <row r="2202" customFormat="false" ht="15" hidden="false" customHeight="false" outlineLevel="0" collapsed="false">
      <c r="A2202" s="15" t="s">
        <v>5969</v>
      </c>
      <c r="B2202" s="15" t="s">
        <v>5961</v>
      </c>
      <c r="C2202" s="15" t="s">
        <v>406</v>
      </c>
      <c r="D2202" s="15" t="s">
        <v>2297</v>
      </c>
      <c r="E2202" s="15" t="s">
        <v>2298</v>
      </c>
      <c r="F2202" s="15" t="s">
        <v>3025</v>
      </c>
      <c r="G2202" s="15" t="s">
        <v>3026</v>
      </c>
      <c r="H2202" s="33" t="n">
        <f aca="false">Packages!$O$205</f>
        <v>1.10000099761177</v>
      </c>
      <c r="I2202" s="15" t="s">
        <v>118</v>
      </c>
      <c r="J2202" s="34" t="n">
        <f aca="false">MAX(1,ROUNDUP(Packages!$O$205/(IF(Packages!$N$205&gt;=PIPE_T1,R_PIPE_L,IF(Packages!$N$205&gt;=PIPE_T2,R_PIPE_M,R_PIPE_S))*Fronts!$L$12)+Packages!$M$205*FIT_D+IF(Packages!$G$205&lt;&gt;"Run",TIE_D,0),0))</f>
        <v>4</v>
      </c>
      <c r="K2202" s="34" t="n">
        <f aca="false">IF(J2202=0,0,ROUNDUP(J2202*7/WD,0))</f>
        <v>5</v>
      </c>
      <c r="L2202" s="15" t="s">
        <v>5968</v>
      </c>
      <c r="M2202" s="34" t="n">
        <f aca="false">ROUNDUP(K2201*LADDER,0)</f>
        <v>2</v>
      </c>
      <c r="N2202" s="34" t="n">
        <f aca="false">IF(K2202=0,0,FFLAG)</f>
        <v>2</v>
      </c>
      <c r="O2202" s="15"/>
      <c r="P2202" s="16" t="n">
        <f aca="false">MAX(P2201+M2202)</f>
        <v>46454</v>
      </c>
      <c r="Q2202" s="16" t="n">
        <f aca="false">MAX(P2202+K2202,Q2201+N2202)</f>
        <v>46459</v>
      </c>
      <c r="R2202" s="16" t="n">
        <f aca="false">IF(K2202&gt;0,Q2202,0)</f>
        <v>46459</v>
      </c>
      <c r="S2202" s="12"/>
    </row>
    <row r="2203" customFormat="false" ht="15" hidden="false" customHeight="false" outlineLevel="0" collapsed="false">
      <c r="A2203" s="15" t="s">
        <v>5970</v>
      </c>
      <c r="B2203" s="15" t="s">
        <v>5961</v>
      </c>
      <c r="C2203" s="15" t="s">
        <v>406</v>
      </c>
      <c r="D2203" s="15" t="s">
        <v>2297</v>
      </c>
      <c r="E2203" s="15" t="s">
        <v>2298</v>
      </c>
      <c r="F2203" s="15" t="s">
        <v>3028</v>
      </c>
      <c r="G2203" s="15" t="s">
        <v>3029</v>
      </c>
      <c r="H2203" s="33" t="n">
        <f aca="false">Packages!$O$205</f>
        <v>1.10000099761177</v>
      </c>
      <c r="I2203" s="15" t="s">
        <v>118</v>
      </c>
      <c r="J2203" s="34" t="n">
        <f aca="false">TEST_D+ROUNDUP(Packages!$O$205/R_TEST,0)</f>
        <v>3</v>
      </c>
      <c r="K2203" s="34" t="n">
        <f aca="false">IF(J2203=0,0,ROUNDUP(J2203*7/WD,0))</f>
        <v>4</v>
      </c>
      <c r="L2203" s="15" t="s">
        <v>5969</v>
      </c>
      <c r="M2203" s="34" t="n">
        <f aca="false">ROUNDUP(K2202*LADDER,0)</f>
        <v>2</v>
      </c>
      <c r="N2203" s="34" t="n">
        <f aca="false">IF(K2203=0,0,FFLAG)</f>
        <v>2</v>
      </c>
      <c r="O2203" s="15"/>
      <c r="P2203" s="16" t="n">
        <f aca="false">MAX(P2202+M2203)</f>
        <v>46456</v>
      </c>
      <c r="Q2203" s="16" t="n">
        <f aca="false">MAX(P2203+K2203,Q2202+N2203)</f>
        <v>46461</v>
      </c>
      <c r="R2203" s="12"/>
      <c r="S2203" s="12"/>
    </row>
    <row r="2204" customFormat="false" ht="15" hidden="false" customHeight="false" outlineLevel="0" collapsed="false">
      <c r="A2204" s="15" t="s">
        <v>5971</v>
      </c>
      <c r="B2204" s="15" t="s">
        <v>5961</v>
      </c>
      <c r="C2204" s="15" t="s">
        <v>406</v>
      </c>
      <c r="D2204" s="15" t="s">
        <v>2297</v>
      </c>
      <c r="E2204" s="15" t="s">
        <v>2298</v>
      </c>
      <c r="F2204" s="15" t="s">
        <v>3031</v>
      </c>
      <c r="G2204" s="15" t="s">
        <v>3032</v>
      </c>
      <c r="H2204" s="33" t="n">
        <f aca="false">Packages!$AB$205</f>
        <v>0</v>
      </c>
      <c r="I2204" s="15" t="s">
        <v>3019</v>
      </c>
      <c r="J2204" s="34" t="n">
        <f aca="false">MAX(1,ROUNDUP(Packages!$AB$205/(R_BF*Fronts!$M$12),0))</f>
        <v>1</v>
      </c>
      <c r="K2204" s="34" t="n">
        <f aca="false">IF(J2204=0,0,ROUNDUP(J2204*7/WD,0))</f>
        <v>2</v>
      </c>
      <c r="L2204" s="15" t="s">
        <v>5970</v>
      </c>
      <c r="M2204" s="34" t="n">
        <f aca="false">ROUNDUP(K2203*LADDER,0)</f>
        <v>2</v>
      </c>
      <c r="N2204" s="34" t="n">
        <f aca="false">IF(K2204=0,0,FFLAG)</f>
        <v>2</v>
      </c>
      <c r="O2204" s="15" t="s">
        <v>5972</v>
      </c>
      <c r="P2204" s="16" t="n">
        <f aca="false">MAX(P2203+M2204,Q2213)</f>
        <v>46463</v>
      </c>
      <c r="Q2204" s="16" t="n">
        <f aca="false">MAX(P2204+K2204,Q2203+N2204)</f>
        <v>46465</v>
      </c>
      <c r="R2204" s="16" t="n">
        <f aca="false">IF(K2204&gt;0,Q2204,0)</f>
        <v>46465</v>
      </c>
      <c r="S2204" s="12"/>
    </row>
    <row r="2205" customFormat="false" ht="15" hidden="false" customHeight="false" outlineLevel="0" collapsed="false">
      <c r="A2205" s="15" t="s">
        <v>5973</v>
      </c>
      <c r="B2205" s="15" t="s">
        <v>5961</v>
      </c>
      <c r="C2205" s="15" t="s">
        <v>406</v>
      </c>
      <c r="D2205" s="15" t="s">
        <v>2297</v>
      </c>
      <c r="E2205" s="15" t="s">
        <v>2298</v>
      </c>
      <c r="F2205" s="15" t="s">
        <v>3034</v>
      </c>
      <c r="G2205" s="15" t="s">
        <v>3035</v>
      </c>
      <c r="H2205" s="33" t="n">
        <f aca="false">Packages!$AD$205</f>
        <v>0</v>
      </c>
      <c r="I2205" s="15" t="s">
        <v>3012</v>
      </c>
      <c r="J2205" s="34" t="n">
        <f aca="false">IF(Packages!$AD$205&gt;0,ROUNDUP(Packages!$AD$205/R_EXT,0),0)+IF(Packages!$AG$205&gt;0,1,0)</f>
        <v>0</v>
      </c>
      <c r="K2205" s="34" t="n">
        <f aca="false">IF(J2205=0,0,ROUNDUP(J2205*7/WD,0))</f>
        <v>0</v>
      </c>
      <c r="L2205" s="15" t="s">
        <v>5971</v>
      </c>
      <c r="M2205" s="34" t="n">
        <f aca="false">ROUNDUP(K2204*LADDER,0)</f>
        <v>1</v>
      </c>
      <c r="N2205" s="34" t="n">
        <f aca="false">IF(K2205=0,0,FFLAG)</f>
        <v>0</v>
      </c>
      <c r="O2205" s="15"/>
      <c r="P2205" s="16" t="n">
        <f aca="false">MAX(P2204+M2205)</f>
        <v>46464</v>
      </c>
      <c r="Q2205" s="16" t="n">
        <f aca="false">MAX(P2205+K2205,Q2204+N2205)</f>
        <v>46465</v>
      </c>
      <c r="R2205" s="12"/>
      <c r="S2205" s="12"/>
    </row>
    <row r="2206" customFormat="false" ht="15" hidden="false" customHeight="false" outlineLevel="0" collapsed="false">
      <c r="A2206" s="15" t="s">
        <v>5974</v>
      </c>
      <c r="B2206" s="15" t="s">
        <v>5975</v>
      </c>
      <c r="C2206" s="15" t="s">
        <v>406</v>
      </c>
      <c r="D2206" s="15" t="s">
        <v>2312</v>
      </c>
      <c r="E2206" s="15" t="s">
        <v>2313</v>
      </c>
      <c r="F2206" s="15" t="s">
        <v>2998</v>
      </c>
      <c r="G2206" s="15" t="s">
        <v>2999</v>
      </c>
      <c r="H2206" s="12"/>
      <c r="I2206" s="12"/>
      <c r="J2206" s="34" t="n">
        <f aca="false">0</f>
        <v>0</v>
      </c>
      <c r="K2206" s="34" t="n">
        <f aca="false">IF(J2206=0,0,ROUNDUP(J2206*7/WD,0))</f>
        <v>0</v>
      </c>
      <c r="L2206" s="12"/>
      <c r="M2206" s="12"/>
      <c r="N2206" s="12"/>
      <c r="O2206" s="15" t="s">
        <v>3038</v>
      </c>
      <c r="P2206" s="16" t="n">
        <f aca="false">MAX(START,D_DLU,Packages!$I$206,Packages!$K$206)</f>
        <v>46357</v>
      </c>
      <c r="Q2206" s="16" t="n">
        <f aca="false">P2206+K2206</f>
        <v>46357</v>
      </c>
      <c r="R2206" s="12"/>
      <c r="S2206" s="12"/>
    </row>
    <row r="2207" customFormat="false" ht="15" hidden="false" customHeight="false" outlineLevel="0" collapsed="false">
      <c r="A2207" s="15" t="s">
        <v>5976</v>
      </c>
      <c r="B2207" s="15" t="s">
        <v>5975</v>
      </c>
      <c r="C2207" s="15" t="s">
        <v>406</v>
      </c>
      <c r="D2207" s="15" t="s">
        <v>2312</v>
      </c>
      <c r="E2207" s="15" t="s">
        <v>2313</v>
      </c>
      <c r="F2207" s="15" t="s">
        <v>3002</v>
      </c>
      <c r="G2207" s="15" t="s">
        <v>205</v>
      </c>
      <c r="H2207" s="33" t="n">
        <f aca="false">Packages!$O$206</f>
        <v>17.8373748189085</v>
      </c>
      <c r="I2207" s="15" t="s">
        <v>118</v>
      </c>
      <c r="J2207" s="34" t="n">
        <f aca="false">MAX(1,ROUNDUP(Packages!$O$206/R_PLAT,0))</f>
        <v>1</v>
      </c>
      <c r="K2207" s="34" t="n">
        <f aca="false">IF(J2207=0,0,ROUNDUP(J2207*7/WD,0))</f>
        <v>2</v>
      </c>
      <c r="L2207" s="15" t="s">
        <v>5974</v>
      </c>
      <c r="M2207" s="12"/>
      <c r="N2207" s="12"/>
      <c r="O2207" s="15" t="s">
        <v>3003</v>
      </c>
      <c r="P2207" s="16" t="n">
        <f aca="false">MAX(Q2206)</f>
        <v>46357</v>
      </c>
      <c r="Q2207" s="16" t="n">
        <f aca="false">P2207+K2207</f>
        <v>46359</v>
      </c>
      <c r="R2207" s="12"/>
      <c r="S2207" s="12"/>
    </row>
    <row r="2208" customFormat="false" ht="15" hidden="false" customHeight="false" outlineLevel="0" collapsed="false">
      <c r="A2208" s="15" t="s">
        <v>5977</v>
      </c>
      <c r="B2208" s="15" t="s">
        <v>5975</v>
      </c>
      <c r="C2208" s="15" t="s">
        <v>406</v>
      </c>
      <c r="D2208" s="15" t="s">
        <v>2312</v>
      </c>
      <c r="E2208" s="15" t="s">
        <v>2313</v>
      </c>
      <c r="F2208" s="15" t="s">
        <v>3005</v>
      </c>
      <c r="G2208" s="15" t="s">
        <v>3006</v>
      </c>
      <c r="H2208" s="33" t="n">
        <f aca="false">Packages!$AC$206</f>
        <v>7</v>
      </c>
      <c r="I2208" s="15" t="s">
        <v>3007</v>
      </c>
      <c r="J2208" s="34" t="n">
        <f aca="false">IF(Packages!$AC$206=0,0,MAX(1,ROUNDUP(Packages!$AC$206/(R_PILE*Fronts!$H$12),0)))</f>
        <v>1</v>
      </c>
      <c r="K2208" s="34" t="n">
        <f aca="false">IF(J2208=0,0,ROUNDUP(J2208*7/WD,0))</f>
        <v>2</v>
      </c>
      <c r="L2208" s="15" t="s">
        <v>5976</v>
      </c>
      <c r="M2208" s="34" t="n">
        <f aca="false">ROUNDUP(K2207*LADDER,0)</f>
        <v>1</v>
      </c>
      <c r="N2208" s="34" t="n">
        <f aca="false">IF(K2208=0,0,FFLAG)</f>
        <v>2</v>
      </c>
      <c r="O2208" s="15" t="s">
        <v>3008</v>
      </c>
      <c r="P2208" s="16" t="n">
        <f aca="false">MAX(P2207+M2208,D_PILEDES)</f>
        <v>46358</v>
      </c>
      <c r="Q2208" s="16" t="n">
        <f aca="false">MAX(P2208+K2208,Q2207+N2208)</f>
        <v>46361</v>
      </c>
      <c r="R2208" s="16" t="n">
        <f aca="false">IF(K2208&gt;0,Q2208,0)</f>
        <v>46361</v>
      </c>
      <c r="S2208" s="12"/>
    </row>
    <row r="2209" customFormat="false" ht="15" hidden="false" customHeight="false" outlineLevel="0" collapsed="false">
      <c r="A2209" s="15" t="s">
        <v>5978</v>
      </c>
      <c r="B2209" s="15" t="s">
        <v>5975</v>
      </c>
      <c r="C2209" s="15" t="s">
        <v>406</v>
      </c>
      <c r="D2209" s="15" t="s">
        <v>2312</v>
      </c>
      <c r="E2209" s="15" t="s">
        <v>2313</v>
      </c>
      <c r="F2209" s="15" t="s">
        <v>3010</v>
      </c>
      <c r="G2209" s="15" t="s">
        <v>3011</v>
      </c>
      <c r="H2209" s="33" t="n">
        <f aca="false">Packages!$AD$206</f>
        <v>0</v>
      </c>
      <c r="I2209" s="15" t="s">
        <v>3012</v>
      </c>
      <c r="J2209" s="34" t="n">
        <f aca="false">IF(Packages!$AD$206=0,0,MAX(1,ROUNDUP(Packages!$AD$206/(R_SHEET*Fronts!$I$12),0)))</f>
        <v>0</v>
      </c>
      <c r="K2209" s="34" t="n">
        <f aca="false">IF(J2209=0,0,ROUNDUP(J2209*7/WD,0))</f>
        <v>0</v>
      </c>
      <c r="L2209" s="15" t="s">
        <v>5977</v>
      </c>
      <c r="M2209" s="34" t="n">
        <f aca="false">ROUNDUP(K2208*LADDER,0)</f>
        <v>1</v>
      </c>
      <c r="N2209" s="34" t="n">
        <f aca="false">IF(K2209=0,0,FFLAG)</f>
        <v>0</v>
      </c>
      <c r="O2209" s="15"/>
      <c r="P2209" s="16" t="n">
        <f aca="false">MAX(P2208+M2209)</f>
        <v>46359</v>
      </c>
      <c r="Q2209" s="16" t="n">
        <f aca="false">MAX(P2209+K2209,Q2208+N2209)</f>
        <v>46361</v>
      </c>
      <c r="R2209" s="16" t="n">
        <f aca="false">IF(K2209&gt;0,Q2209,0)</f>
        <v>0</v>
      </c>
      <c r="S2209" s="12"/>
    </row>
    <row r="2210" customFormat="false" ht="15" hidden="false" customHeight="false" outlineLevel="0" collapsed="false">
      <c r="A2210" s="15" t="s">
        <v>5979</v>
      </c>
      <c r="B2210" s="15" t="s">
        <v>5975</v>
      </c>
      <c r="C2210" s="15" t="s">
        <v>406</v>
      </c>
      <c r="D2210" s="15" t="s">
        <v>2312</v>
      </c>
      <c r="E2210" s="15" t="s">
        <v>2313</v>
      </c>
      <c r="F2210" s="15" t="s">
        <v>3014</v>
      </c>
      <c r="G2210" s="15" t="s">
        <v>3015</v>
      </c>
      <c r="H2210" s="33" t="n">
        <f aca="false">Packages!$O$206</f>
        <v>17.8373748189085</v>
      </c>
      <c r="I2210" s="15" t="s">
        <v>118</v>
      </c>
      <c r="J2210" s="34" t="n">
        <f aca="false">IF(Packages!$AG$206=0,0,ROUNDUP(Packages!$O$206/R_DW,0)+DW_DRAW)</f>
        <v>0</v>
      </c>
      <c r="K2210" s="34" t="n">
        <f aca="false">IF(J2210=0,0,ROUNDUP(J2210*7/WD,0))</f>
        <v>0</v>
      </c>
      <c r="L2210" s="15" t="s">
        <v>5978</v>
      </c>
      <c r="M2210" s="34" t="n">
        <f aca="false">ROUNDUP(K2209*LADDER,0)</f>
        <v>0</v>
      </c>
      <c r="N2210" s="34" t="n">
        <f aca="false">IF(K2210=0,0,FFLAG)</f>
        <v>0</v>
      </c>
      <c r="O2210" s="15"/>
      <c r="P2210" s="16" t="n">
        <f aca="false">MAX(P2209+M2210)</f>
        <v>46359</v>
      </c>
      <c r="Q2210" s="16" t="n">
        <f aca="false">MAX(P2210+K2210,Q2209+N2210)</f>
        <v>46361</v>
      </c>
      <c r="R2210" s="12"/>
      <c r="S2210" s="12"/>
    </row>
    <row r="2211" customFormat="false" ht="15" hidden="false" customHeight="false" outlineLevel="0" collapsed="false">
      <c r="A2211" s="15" t="s">
        <v>5980</v>
      </c>
      <c r="B2211" s="15" t="s">
        <v>5975</v>
      </c>
      <c r="C2211" s="15" t="s">
        <v>406</v>
      </c>
      <c r="D2211" s="15" t="s">
        <v>2312</v>
      </c>
      <c r="E2211" s="15" t="s">
        <v>2313</v>
      </c>
      <c r="F2211" s="15" t="s">
        <v>3017</v>
      </c>
      <c r="G2211" s="15" t="s">
        <v>3018</v>
      </c>
      <c r="H2211" s="33" t="n">
        <f aca="false">Packages!$X$206+Packages!$Y$206</f>
        <v>0</v>
      </c>
      <c r="I2211" s="15" t="s">
        <v>3019</v>
      </c>
      <c r="J2211" s="34" t="n">
        <f aca="false">MAX(1,ROUNDUP((Packages!$X$206/R_EXS+Packages!$Y$206/R_EXO)/Fronts!$J$12,0))</f>
        <v>1</v>
      </c>
      <c r="K2211" s="34" t="n">
        <f aca="false">IF(J2211=0,0,ROUNDUP(J2211*7/WD,0))</f>
        <v>2</v>
      </c>
      <c r="L2211" s="15" t="s">
        <v>5979</v>
      </c>
      <c r="M2211" s="34" t="n">
        <f aca="false">IF(K2210=0,0,ROUNDUP((K2210-ROUNDUP(DW_DRAW*7/WD,0))*LADDER,0)+ROUNDUP(DW_DRAW*7/WD,0))</f>
        <v>0</v>
      </c>
      <c r="N2211" s="34" t="n">
        <f aca="false">IF(K2211=0,0,FFLAG)</f>
        <v>2</v>
      </c>
      <c r="O2211" s="15" t="s">
        <v>5981</v>
      </c>
      <c r="P2211" s="16" t="n">
        <f aca="false">MAX(P2210+M2211,Q367,Q356,Q1940,Q1951,Q1962,P2200)</f>
        <v>46451</v>
      </c>
      <c r="Q2211" s="16" t="n">
        <f aca="false">MAX(P2211+K2211,Q2210+N2211)</f>
        <v>46453</v>
      </c>
      <c r="R2211" s="16" t="n">
        <f aca="false">IF(K2211&gt;0,Q2211,0)</f>
        <v>46453</v>
      </c>
      <c r="S2211" s="12"/>
    </row>
    <row r="2212" customFormat="false" ht="15" hidden="false" customHeight="false" outlineLevel="0" collapsed="false">
      <c r="A2212" s="15" t="s">
        <v>5982</v>
      </c>
      <c r="B2212" s="15" t="s">
        <v>5975</v>
      </c>
      <c r="C2212" s="15" t="s">
        <v>406</v>
      </c>
      <c r="D2212" s="15" t="s">
        <v>2312</v>
      </c>
      <c r="E2212" s="15" t="s">
        <v>2313</v>
      </c>
      <c r="F2212" s="15" t="s">
        <v>3022</v>
      </c>
      <c r="G2212" s="15" t="s">
        <v>3023</v>
      </c>
      <c r="H2212" s="33" t="n">
        <f aca="false">Packages!$O$206</f>
        <v>17.8373748189085</v>
      </c>
      <c r="I2212" s="15" t="s">
        <v>118</v>
      </c>
      <c r="J2212" s="34" t="n">
        <f aca="false">MAX(1,ROUNDUP(Packages!$O$206/(R_SLAB*Fronts!$K$12),0))+SLAB_CURE</f>
        <v>4</v>
      </c>
      <c r="K2212" s="34" t="n">
        <f aca="false">IF(J2212=0,0,ROUNDUP(J2212*7/WD,0))</f>
        <v>5</v>
      </c>
      <c r="L2212" s="15" t="s">
        <v>5980</v>
      </c>
      <c r="M2212" s="34" t="n">
        <f aca="false">ROUNDUP(K2211*LADDER,0)</f>
        <v>1</v>
      </c>
      <c r="N2212" s="34" t="n">
        <f aca="false">IF(K2212=0,0,FFLAG)</f>
        <v>2</v>
      </c>
      <c r="O2212" s="15"/>
      <c r="P2212" s="16" t="n">
        <f aca="false">MAX(P2211+M2212)</f>
        <v>46452</v>
      </c>
      <c r="Q2212" s="16" t="n">
        <f aca="false">MAX(P2212+K2212,Q2211+N2212)</f>
        <v>46457</v>
      </c>
      <c r="R2212" s="16" t="n">
        <f aca="false">IF(K2212&gt;0,Q2212,0)</f>
        <v>46457</v>
      </c>
      <c r="S2212" s="12"/>
    </row>
    <row r="2213" customFormat="false" ht="15" hidden="false" customHeight="false" outlineLevel="0" collapsed="false">
      <c r="A2213" s="15" t="s">
        <v>5983</v>
      </c>
      <c r="B2213" s="15" t="s">
        <v>5975</v>
      </c>
      <c r="C2213" s="15" t="s">
        <v>406</v>
      </c>
      <c r="D2213" s="15" t="s">
        <v>2312</v>
      </c>
      <c r="E2213" s="15" t="s">
        <v>2313</v>
      </c>
      <c r="F2213" s="15" t="s">
        <v>3025</v>
      </c>
      <c r="G2213" s="15" t="s">
        <v>3026</v>
      </c>
      <c r="H2213" s="33" t="n">
        <f aca="false">Packages!$O$206</f>
        <v>17.8373748189085</v>
      </c>
      <c r="I2213" s="15" t="s">
        <v>118</v>
      </c>
      <c r="J2213" s="34" t="n">
        <f aca="false">MAX(1,ROUNDUP(Packages!$O$206/(IF(Packages!$N$206&gt;=PIPE_T1,R_PIPE_L,IF(Packages!$N$206&gt;=PIPE_T2,R_PIPE_M,R_PIPE_S))*Fronts!$L$12)+Packages!$M$206*FIT_D+IF(Packages!$G$206&lt;&gt;"Run",TIE_D,0),0))</f>
        <v>7</v>
      </c>
      <c r="K2213" s="34" t="n">
        <f aca="false">IF(J2213=0,0,ROUNDUP(J2213*7/WD,0))</f>
        <v>9</v>
      </c>
      <c r="L2213" s="15" t="s">
        <v>5982</v>
      </c>
      <c r="M2213" s="34" t="n">
        <f aca="false">ROUNDUP(K2212*LADDER,0)</f>
        <v>2</v>
      </c>
      <c r="N2213" s="34" t="n">
        <f aca="false">IF(K2213=0,0,FFLAG)</f>
        <v>2</v>
      </c>
      <c r="O2213" s="15"/>
      <c r="P2213" s="16" t="n">
        <f aca="false">MAX(P2212+M2213)</f>
        <v>46454</v>
      </c>
      <c r="Q2213" s="16" t="n">
        <f aca="false">MAX(P2213+K2213,Q2212+N2213)</f>
        <v>46463</v>
      </c>
      <c r="R2213" s="16" t="n">
        <f aca="false">IF(K2213&gt;0,Q2213,0)</f>
        <v>46463</v>
      </c>
      <c r="S2213" s="12"/>
    </row>
    <row r="2214" customFormat="false" ht="15" hidden="false" customHeight="false" outlineLevel="0" collapsed="false">
      <c r="A2214" s="15" t="s">
        <v>5984</v>
      </c>
      <c r="B2214" s="15" t="s">
        <v>5975</v>
      </c>
      <c r="C2214" s="15" t="s">
        <v>406</v>
      </c>
      <c r="D2214" s="15" t="s">
        <v>2312</v>
      </c>
      <c r="E2214" s="15" t="s">
        <v>2313</v>
      </c>
      <c r="F2214" s="15" t="s">
        <v>3028</v>
      </c>
      <c r="G2214" s="15" t="s">
        <v>3029</v>
      </c>
      <c r="H2214" s="33" t="n">
        <f aca="false">Packages!$O$206</f>
        <v>17.8373748189085</v>
      </c>
      <c r="I2214" s="15" t="s">
        <v>118</v>
      </c>
      <c r="J2214" s="34" t="n">
        <f aca="false">TEST_D+ROUNDUP(Packages!$O$206/R_TEST,0)</f>
        <v>3</v>
      </c>
      <c r="K2214" s="34" t="n">
        <f aca="false">IF(J2214=0,0,ROUNDUP(J2214*7/WD,0))</f>
        <v>4</v>
      </c>
      <c r="L2214" s="15" t="s">
        <v>5983</v>
      </c>
      <c r="M2214" s="34" t="n">
        <f aca="false">ROUNDUP(K2213*LADDER,0)</f>
        <v>3</v>
      </c>
      <c r="N2214" s="34" t="n">
        <f aca="false">IF(K2214=0,0,FFLAG)</f>
        <v>2</v>
      </c>
      <c r="O2214" s="15"/>
      <c r="P2214" s="16" t="n">
        <f aca="false">MAX(P2213+M2214)</f>
        <v>46457</v>
      </c>
      <c r="Q2214" s="16" t="n">
        <f aca="false">MAX(P2214+K2214,Q2213+N2214)</f>
        <v>46465</v>
      </c>
      <c r="R2214" s="12"/>
      <c r="S2214" s="12"/>
    </row>
    <row r="2215" customFormat="false" ht="15" hidden="false" customHeight="false" outlineLevel="0" collapsed="false">
      <c r="A2215" s="15" t="s">
        <v>5985</v>
      </c>
      <c r="B2215" s="15" t="s">
        <v>5975</v>
      </c>
      <c r="C2215" s="15" t="s">
        <v>406</v>
      </c>
      <c r="D2215" s="15" t="s">
        <v>2312</v>
      </c>
      <c r="E2215" s="15" t="s">
        <v>2313</v>
      </c>
      <c r="F2215" s="15" t="s">
        <v>3031</v>
      </c>
      <c r="G2215" s="15" t="s">
        <v>3032</v>
      </c>
      <c r="H2215" s="33" t="n">
        <f aca="false">Packages!$AB$206</f>
        <v>0</v>
      </c>
      <c r="I2215" s="15" t="s">
        <v>3019</v>
      </c>
      <c r="J2215" s="34" t="n">
        <f aca="false">MAX(1,ROUNDUP(Packages!$AB$206/(R_BF*Fronts!$M$12),0))</f>
        <v>1</v>
      </c>
      <c r="K2215" s="34" t="n">
        <f aca="false">IF(J2215=0,0,ROUNDUP(J2215*7/WD,0))</f>
        <v>2</v>
      </c>
      <c r="L2215" s="15" t="s">
        <v>5984</v>
      </c>
      <c r="M2215" s="34" t="n">
        <f aca="false">ROUNDUP(K2214*LADDER,0)</f>
        <v>2</v>
      </c>
      <c r="N2215" s="34" t="n">
        <f aca="false">IF(K2215=0,0,FFLAG)</f>
        <v>2</v>
      </c>
      <c r="O2215" s="15" t="s">
        <v>5986</v>
      </c>
      <c r="P2215" s="16" t="n">
        <f aca="false">MAX(P2214+M2215,Q2202)</f>
        <v>46459</v>
      </c>
      <c r="Q2215" s="16" t="n">
        <f aca="false">MAX(P2215+K2215,Q2214+N2215)</f>
        <v>46467</v>
      </c>
      <c r="R2215" s="16" t="n">
        <f aca="false">IF(K2215&gt;0,Q2215,0)</f>
        <v>46467</v>
      </c>
      <c r="S2215" s="12"/>
    </row>
    <row r="2216" customFormat="false" ht="15" hidden="false" customHeight="false" outlineLevel="0" collapsed="false">
      <c r="A2216" s="15" t="s">
        <v>5987</v>
      </c>
      <c r="B2216" s="15" t="s">
        <v>5975</v>
      </c>
      <c r="C2216" s="15" t="s">
        <v>406</v>
      </c>
      <c r="D2216" s="15" t="s">
        <v>2312</v>
      </c>
      <c r="E2216" s="15" t="s">
        <v>2313</v>
      </c>
      <c r="F2216" s="15" t="s">
        <v>3034</v>
      </c>
      <c r="G2216" s="15" t="s">
        <v>3035</v>
      </c>
      <c r="H2216" s="33" t="n">
        <f aca="false">Packages!$AD$206</f>
        <v>0</v>
      </c>
      <c r="I2216" s="15" t="s">
        <v>3012</v>
      </c>
      <c r="J2216" s="34" t="n">
        <f aca="false">IF(Packages!$AD$206&gt;0,ROUNDUP(Packages!$AD$206/R_EXT,0),0)+IF(Packages!$AG$206&gt;0,1,0)</f>
        <v>0</v>
      </c>
      <c r="K2216" s="34" t="n">
        <f aca="false">IF(J2216=0,0,ROUNDUP(J2216*7/WD,0))</f>
        <v>0</v>
      </c>
      <c r="L2216" s="15" t="s">
        <v>5985</v>
      </c>
      <c r="M2216" s="34" t="n">
        <f aca="false">ROUNDUP(K2215*LADDER,0)</f>
        <v>1</v>
      </c>
      <c r="N2216" s="34" t="n">
        <f aca="false">IF(K2216=0,0,FFLAG)</f>
        <v>0</v>
      </c>
      <c r="O2216" s="15"/>
      <c r="P2216" s="16" t="n">
        <f aca="false">MAX(P2215+M2216)</f>
        <v>46460</v>
      </c>
      <c r="Q2216" s="16" t="n">
        <f aca="false">MAX(P2216+K2216,Q2215+N2216)</f>
        <v>46467</v>
      </c>
      <c r="R2216" s="12"/>
      <c r="S2216" s="12"/>
    </row>
  </sheetData>
  <autoFilter ref="A5:S22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547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3" min="3" style="0" width="6"/>
    <col collapsed="false" customWidth="true" hidden="false" outlineLevel="0" max="4" min="4" style="0" width="10"/>
    <col collapsed="false" customWidth="true" hidden="false" outlineLevel="0" max="5" min="5" style="0" width="40"/>
  </cols>
  <sheetData>
    <row r="1" customFormat="false" ht="17.35" hidden="false" customHeight="false" outlineLevel="0" collapsed="false">
      <c r="A1" s="1" t="s">
        <v>5988</v>
      </c>
    </row>
    <row r="2" customFormat="false" ht="15" hidden="false" customHeight="false" outlineLevel="0" collapsed="false">
      <c r="A2" s="2" t="s">
        <v>5989</v>
      </c>
    </row>
    <row r="4" customFormat="false" ht="42" hidden="false" customHeight="true" outlineLevel="0" collapsed="false">
      <c r="A4" s="5" t="s">
        <v>5990</v>
      </c>
      <c r="B4" s="5" t="s">
        <v>5991</v>
      </c>
      <c r="C4" s="5" t="s">
        <v>5992</v>
      </c>
      <c r="D4" s="5" t="s">
        <v>5993</v>
      </c>
      <c r="E4" s="5" t="s">
        <v>5994</v>
      </c>
    </row>
    <row r="5" customFormat="false" ht="15" hidden="false" customHeight="false" outlineLevel="0" collapsed="false">
      <c r="A5" s="15" t="s">
        <v>2996</v>
      </c>
      <c r="B5" s="15" t="s">
        <v>3001</v>
      </c>
      <c r="C5" s="15" t="s">
        <v>5995</v>
      </c>
      <c r="D5" s="34" t="n">
        <v>0</v>
      </c>
      <c r="E5" s="15" t="s">
        <v>5996</v>
      </c>
    </row>
    <row r="6" customFormat="false" ht="15" hidden="false" customHeight="false" outlineLevel="0" collapsed="false">
      <c r="A6" s="15" t="s">
        <v>3001</v>
      </c>
      <c r="B6" s="15" t="s">
        <v>3004</v>
      </c>
      <c r="C6" s="15" t="s">
        <v>5997</v>
      </c>
      <c r="D6" s="34" t="n">
        <f aca="false">Activities!M8</f>
        <v>2</v>
      </c>
      <c r="E6" s="15" t="s">
        <v>5998</v>
      </c>
    </row>
    <row r="7" customFormat="false" ht="15" hidden="false" customHeight="false" outlineLevel="0" collapsed="false">
      <c r="A7" s="15" t="s">
        <v>3001</v>
      </c>
      <c r="B7" s="15" t="s">
        <v>3004</v>
      </c>
      <c r="C7" s="15" t="s">
        <v>5999</v>
      </c>
      <c r="D7" s="34" t="n">
        <f aca="false">Activities!N8</f>
        <v>2</v>
      </c>
      <c r="E7" s="15" t="s">
        <v>5998</v>
      </c>
    </row>
    <row r="8" customFormat="false" ht="15" hidden="false" customHeight="false" outlineLevel="0" collapsed="false">
      <c r="A8" s="15" t="s">
        <v>3004</v>
      </c>
      <c r="B8" s="15" t="s">
        <v>3009</v>
      </c>
      <c r="C8" s="15" t="s">
        <v>5997</v>
      </c>
      <c r="D8" s="34" t="n">
        <f aca="false">Activities!M9</f>
        <v>14</v>
      </c>
      <c r="E8" s="15" t="s">
        <v>5998</v>
      </c>
    </row>
    <row r="9" customFormat="false" ht="15" hidden="false" customHeight="false" outlineLevel="0" collapsed="false">
      <c r="A9" s="15" t="s">
        <v>3004</v>
      </c>
      <c r="B9" s="15" t="s">
        <v>3009</v>
      </c>
      <c r="C9" s="15" t="s">
        <v>5999</v>
      </c>
      <c r="D9" s="34" t="n">
        <f aca="false">Activities!N9</f>
        <v>2</v>
      </c>
      <c r="E9" s="15" t="s">
        <v>5998</v>
      </c>
    </row>
    <row r="10" customFormat="false" ht="15" hidden="false" customHeight="false" outlineLevel="0" collapsed="false">
      <c r="A10" s="15" t="s">
        <v>3009</v>
      </c>
      <c r="B10" s="15" t="s">
        <v>3013</v>
      </c>
      <c r="C10" s="15" t="s">
        <v>5997</v>
      </c>
      <c r="D10" s="34" t="n">
        <f aca="false">Activities!M10</f>
        <v>9</v>
      </c>
      <c r="E10" s="15" t="s">
        <v>5998</v>
      </c>
    </row>
    <row r="11" customFormat="false" ht="15" hidden="false" customHeight="false" outlineLevel="0" collapsed="false">
      <c r="A11" s="15" t="s">
        <v>3009</v>
      </c>
      <c r="B11" s="15" t="s">
        <v>3013</v>
      </c>
      <c r="C11" s="15" t="s">
        <v>5999</v>
      </c>
      <c r="D11" s="34" t="n">
        <f aca="false">Activities!N10</f>
        <v>2</v>
      </c>
      <c r="E11" s="15" t="s">
        <v>5998</v>
      </c>
    </row>
    <row r="12" customFormat="false" ht="15" hidden="false" customHeight="false" outlineLevel="0" collapsed="false">
      <c r="A12" s="15" t="s">
        <v>3013</v>
      </c>
      <c r="B12" s="15" t="s">
        <v>3016</v>
      </c>
      <c r="C12" s="15" t="s">
        <v>5997</v>
      </c>
      <c r="D12" s="34" t="n">
        <f aca="false">Activities!M11</f>
        <v>12</v>
      </c>
      <c r="E12" s="15" t="s">
        <v>5998</v>
      </c>
    </row>
    <row r="13" customFormat="false" ht="15" hidden="false" customHeight="false" outlineLevel="0" collapsed="false">
      <c r="A13" s="15" t="s">
        <v>3013</v>
      </c>
      <c r="B13" s="15" t="s">
        <v>3016</v>
      </c>
      <c r="C13" s="15" t="s">
        <v>5999</v>
      </c>
      <c r="D13" s="34" t="n">
        <f aca="false">Activities!N11</f>
        <v>2</v>
      </c>
      <c r="E13" s="15" t="s">
        <v>5998</v>
      </c>
    </row>
    <row r="14" customFormat="false" ht="15" hidden="false" customHeight="false" outlineLevel="0" collapsed="false">
      <c r="A14" s="15" t="s">
        <v>3016</v>
      </c>
      <c r="B14" s="15" t="s">
        <v>3021</v>
      </c>
      <c r="C14" s="15" t="s">
        <v>5997</v>
      </c>
      <c r="D14" s="34" t="n">
        <f aca="false">Activities!M12</f>
        <v>11</v>
      </c>
      <c r="E14" s="15" t="s">
        <v>5998</v>
      </c>
    </row>
    <row r="15" customFormat="false" ht="15" hidden="false" customHeight="false" outlineLevel="0" collapsed="false">
      <c r="A15" s="15" t="s">
        <v>3016</v>
      </c>
      <c r="B15" s="15" t="s">
        <v>3021</v>
      </c>
      <c r="C15" s="15" t="s">
        <v>5999</v>
      </c>
      <c r="D15" s="34" t="n">
        <f aca="false">Activities!N12</f>
        <v>2</v>
      </c>
      <c r="E15" s="15" t="s">
        <v>5998</v>
      </c>
    </row>
    <row r="16" customFormat="false" ht="15" hidden="false" customHeight="false" outlineLevel="0" collapsed="false">
      <c r="A16" s="15" t="s">
        <v>3021</v>
      </c>
      <c r="B16" s="15" t="s">
        <v>3024</v>
      </c>
      <c r="C16" s="15" t="s">
        <v>5997</v>
      </c>
      <c r="D16" s="34" t="n">
        <f aca="false">Activities!M13</f>
        <v>10</v>
      </c>
      <c r="E16" s="15" t="s">
        <v>5998</v>
      </c>
    </row>
    <row r="17" customFormat="false" ht="15" hidden="false" customHeight="false" outlineLevel="0" collapsed="false">
      <c r="A17" s="15" t="s">
        <v>3021</v>
      </c>
      <c r="B17" s="15" t="s">
        <v>3024</v>
      </c>
      <c r="C17" s="15" t="s">
        <v>5999</v>
      </c>
      <c r="D17" s="34" t="n">
        <f aca="false">Activities!N13</f>
        <v>2</v>
      </c>
      <c r="E17" s="15" t="s">
        <v>5998</v>
      </c>
    </row>
    <row r="18" customFormat="false" ht="15" hidden="false" customHeight="false" outlineLevel="0" collapsed="false">
      <c r="A18" s="15" t="s">
        <v>3024</v>
      </c>
      <c r="B18" s="15" t="s">
        <v>3027</v>
      </c>
      <c r="C18" s="15" t="s">
        <v>5997</v>
      </c>
      <c r="D18" s="34" t="n">
        <f aca="false">Activities!M14</f>
        <v>8</v>
      </c>
      <c r="E18" s="15" t="s">
        <v>5998</v>
      </c>
    </row>
    <row r="19" customFormat="false" ht="15" hidden="false" customHeight="false" outlineLevel="0" collapsed="false">
      <c r="A19" s="15" t="s">
        <v>3024</v>
      </c>
      <c r="B19" s="15" t="s">
        <v>3027</v>
      </c>
      <c r="C19" s="15" t="s">
        <v>5999</v>
      </c>
      <c r="D19" s="34" t="n">
        <f aca="false">Activities!N14</f>
        <v>2</v>
      </c>
      <c r="E19" s="15" t="s">
        <v>5998</v>
      </c>
    </row>
    <row r="20" customFormat="false" ht="15" hidden="false" customHeight="false" outlineLevel="0" collapsed="false">
      <c r="A20" s="15" t="s">
        <v>3027</v>
      </c>
      <c r="B20" s="15" t="s">
        <v>3030</v>
      </c>
      <c r="C20" s="15" t="s">
        <v>5997</v>
      </c>
      <c r="D20" s="34" t="n">
        <f aca="false">Activities!M15</f>
        <v>2</v>
      </c>
      <c r="E20" s="15" t="s">
        <v>5998</v>
      </c>
    </row>
    <row r="21" customFormat="false" ht="15" hidden="false" customHeight="false" outlineLevel="0" collapsed="false">
      <c r="A21" s="15" t="s">
        <v>3027</v>
      </c>
      <c r="B21" s="15" t="s">
        <v>3030</v>
      </c>
      <c r="C21" s="15" t="s">
        <v>5999</v>
      </c>
      <c r="D21" s="34" t="n">
        <f aca="false">Activities!N15</f>
        <v>2</v>
      </c>
      <c r="E21" s="15" t="s">
        <v>5998</v>
      </c>
    </row>
    <row r="22" customFormat="false" ht="15" hidden="false" customHeight="false" outlineLevel="0" collapsed="false">
      <c r="A22" s="15" t="s">
        <v>3030</v>
      </c>
      <c r="B22" s="15" t="s">
        <v>3033</v>
      </c>
      <c r="C22" s="15" t="s">
        <v>5997</v>
      </c>
      <c r="D22" s="34" t="n">
        <f aca="false">Activities!M16</f>
        <v>6</v>
      </c>
      <c r="E22" s="15" t="s">
        <v>5998</v>
      </c>
    </row>
    <row r="23" customFormat="false" ht="15" hidden="false" customHeight="false" outlineLevel="0" collapsed="false">
      <c r="A23" s="15" t="s">
        <v>3030</v>
      </c>
      <c r="B23" s="15" t="s">
        <v>3033</v>
      </c>
      <c r="C23" s="15" t="s">
        <v>5999</v>
      </c>
      <c r="D23" s="34" t="n">
        <f aca="false">Activities!N16</f>
        <v>2</v>
      </c>
      <c r="E23" s="15" t="s">
        <v>5998</v>
      </c>
    </row>
    <row r="24" customFormat="false" ht="15" hidden="false" customHeight="false" outlineLevel="0" collapsed="false">
      <c r="A24" s="15" t="s">
        <v>3036</v>
      </c>
      <c r="B24" s="15" t="s">
        <v>3039</v>
      </c>
      <c r="C24" s="15" t="s">
        <v>5995</v>
      </c>
      <c r="D24" s="34" t="n">
        <v>0</v>
      </c>
      <c r="E24" s="15" t="s">
        <v>5996</v>
      </c>
    </row>
    <row r="25" customFormat="false" ht="15" hidden="false" customHeight="false" outlineLevel="0" collapsed="false">
      <c r="A25" s="15" t="s">
        <v>3004</v>
      </c>
      <c r="B25" s="15" t="s">
        <v>3039</v>
      </c>
      <c r="C25" s="15" t="s">
        <v>5997</v>
      </c>
      <c r="D25" s="34" t="n">
        <v>0</v>
      </c>
      <c r="E25" s="15" t="s">
        <v>6000</v>
      </c>
    </row>
    <row r="26" customFormat="false" ht="15" hidden="false" customHeight="false" outlineLevel="0" collapsed="false">
      <c r="A26" s="15" t="s">
        <v>3039</v>
      </c>
      <c r="B26" s="15" t="s">
        <v>3041</v>
      </c>
      <c r="C26" s="15" t="s">
        <v>5997</v>
      </c>
      <c r="D26" s="34" t="n">
        <f aca="false">Activities!M19</f>
        <v>1</v>
      </c>
      <c r="E26" s="15" t="s">
        <v>5998</v>
      </c>
    </row>
    <row r="27" customFormat="false" ht="15" hidden="false" customHeight="false" outlineLevel="0" collapsed="false">
      <c r="A27" s="15" t="s">
        <v>3039</v>
      </c>
      <c r="B27" s="15" t="s">
        <v>3041</v>
      </c>
      <c r="C27" s="15" t="s">
        <v>5999</v>
      </c>
      <c r="D27" s="34" t="n">
        <f aca="false">Activities!N19</f>
        <v>2</v>
      </c>
      <c r="E27" s="15" t="s">
        <v>5998</v>
      </c>
    </row>
    <row r="28" customFormat="false" ht="15" hidden="false" customHeight="false" outlineLevel="0" collapsed="false">
      <c r="A28" s="15" t="s">
        <v>3041</v>
      </c>
      <c r="B28" s="15" t="s">
        <v>3042</v>
      </c>
      <c r="C28" s="15" t="s">
        <v>5997</v>
      </c>
      <c r="D28" s="34" t="n">
        <f aca="false">Activities!M20</f>
        <v>2</v>
      </c>
      <c r="E28" s="15" t="s">
        <v>5998</v>
      </c>
    </row>
    <row r="29" customFormat="false" ht="15" hidden="false" customHeight="false" outlineLevel="0" collapsed="false">
      <c r="A29" s="15" t="s">
        <v>3041</v>
      </c>
      <c r="B29" s="15" t="s">
        <v>3042</v>
      </c>
      <c r="C29" s="15" t="s">
        <v>5999</v>
      </c>
      <c r="D29" s="34" t="n">
        <f aca="false">Activities!N20</f>
        <v>2</v>
      </c>
      <c r="E29" s="15" t="s">
        <v>5998</v>
      </c>
    </row>
    <row r="30" customFormat="false" ht="15" hidden="false" customHeight="false" outlineLevel="0" collapsed="false">
      <c r="A30" s="15" t="s">
        <v>3042</v>
      </c>
      <c r="B30" s="15" t="s">
        <v>3043</v>
      </c>
      <c r="C30" s="15" t="s">
        <v>5997</v>
      </c>
      <c r="D30" s="34" t="n">
        <f aca="false">Activities!M21</f>
        <v>2</v>
      </c>
      <c r="E30" s="15" t="s">
        <v>5998</v>
      </c>
    </row>
    <row r="31" customFormat="false" ht="15" hidden="false" customHeight="false" outlineLevel="0" collapsed="false">
      <c r="A31" s="15" t="s">
        <v>3042</v>
      </c>
      <c r="B31" s="15" t="s">
        <v>3043</v>
      </c>
      <c r="C31" s="15" t="s">
        <v>5999</v>
      </c>
      <c r="D31" s="34" t="n">
        <f aca="false">Activities!N21</f>
        <v>2</v>
      </c>
      <c r="E31" s="15" t="s">
        <v>5998</v>
      </c>
    </row>
    <row r="32" customFormat="false" ht="15" hidden="false" customHeight="false" outlineLevel="0" collapsed="false">
      <c r="A32" s="15" t="s">
        <v>3043</v>
      </c>
      <c r="B32" s="15" t="s">
        <v>3044</v>
      </c>
      <c r="C32" s="15" t="s">
        <v>5997</v>
      </c>
      <c r="D32" s="34" t="n">
        <f aca="false">Activities!M22</f>
        <v>10</v>
      </c>
      <c r="E32" s="15" t="s">
        <v>5998</v>
      </c>
    </row>
    <row r="33" customFormat="false" ht="15" hidden="false" customHeight="false" outlineLevel="0" collapsed="false">
      <c r="A33" s="15" t="s">
        <v>3043</v>
      </c>
      <c r="B33" s="15" t="s">
        <v>3044</v>
      </c>
      <c r="C33" s="15" t="s">
        <v>5999</v>
      </c>
      <c r="D33" s="34" t="n">
        <f aca="false">Activities!N22</f>
        <v>2</v>
      </c>
      <c r="E33" s="15" t="s">
        <v>5998</v>
      </c>
    </row>
    <row r="34" customFormat="false" ht="15" hidden="false" customHeight="false" outlineLevel="0" collapsed="false">
      <c r="A34" s="15" t="s">
        <v>3044</v>
      </c>
      <c r="B34" s="15" t="s">
        <v>3045</v>
      </c>
      <c r="C34" s="15" t="s">
        <v>5997</v>
      </c>
      <c r="D34" s="34" t="n">
        <f aca="false">Activities!M23</f>
        <v>1</v>
      </c>
      <c r="E34" s="15" t="s">
        <v>5998</v>
      </c>
    </row>
    <row r="35" customFormat="false" ht="15" hidden="false" customHeight="false" outlineLevel="0" collapsed="false">
      <c r="A35" s="15" t="s">
        <v>3044</v>
      </c>
      <c r="B35" s="15" t="s">
        <v>3045</v>
      </c>
      <c r="C35" s="15" t="s">
        <v>5999</v>
      </c>
      <c r="D35" s="34" t="n">
        <f aca="false">Activities!N23</f>
        <v>2</v>
      </c>
      <c r="E35" s="15" t="s">
        <v>5998</v>
      </c>
    </row>
    <row r="36" customFormat="false" ht="15" hidden="false" customHeight="false" outlineLevel="0" collapsed="false">
      <c r="A36" s="15" t="s">
        <v>3045</v>
      </c>
      <c r="B36" s="15" t="s">
        <v>3046</v>
      </c>
      <c r="C36" s="15" t="s">
        <v>5997</v>
      </c>
      <c r="D36" s="34" t="n">
        <f aca="false">Activities!M24</f>
        <v>3</v>
      </c>
      <c r="E36" s="15" t="s">
        <v>5998</v>
      </c>
    </row>
    <row r="37" customFormat="false" ht="15" hidden="false" customHeight="false" outlineLevel="0" collapsed="false">
      <c r="A37" s="15" t="s">
        <v>3045</v>
      </c>
      <c r="B37" s="15" t="s">
        <v>3046</v>
      </c>
      <c r="C37" s="15" t="s">
        <v>5999</v>
      </c>
      <c r="D37" s="34" t="n">
        <f aca="false">Activities!N24</f>
        <v>2</v>
      </c>
      <c r="E37" s="15" t="s">
        <v>5998</v>
      </c>
    </row>
    <row r="38" customFormat="false" ht="15" hidden="false" customHeight="false" outlineLevel="0" collapsed="false">
      <c r="A38" s="15" t="s">
        <v>3024</v>
      </c>
      <c r="B38" s="15" t="s">
        <v>3046</v>
      </c>
      <c r="C38" s="15" t="s">
        <v>5995</v>
      </c>
      <c r="D38" s="34" t="n">
        <v>0</v>
      </c>
      <c r="E38" s="15" t="s">
        <v>6001</v>
      </c>
    </row>
    <row r="39" customFormat="false" ht="15" hidden="false" customHeight="false" outlineLevel="0" collapsed="false">
      <c r="A39" s="15" t="s">
        <v>3046</v>
      </c>
      <c r="B39" s="15" t="s">
        <v>3048</v>
      </c>
      <c r="C39" s="15" t="s">
        <v>5997</v>
      </c>
      <c r="D39" s="34" t="n">
        <f aca="false">Activities!M25</f>
        <v>2</v>
      </c>
      <c r="E39" s="15" t="s">
        <v>5998</v>
      </c>
    </row>
    <row r="40" customFormat="false" ht="15" hidden="false" customHeight="false" outlineLevel="0" collapsed="false">
      <c r="A40" s="15" t="s">
        <v>3046</v>
      </c>
      <c r="B40" s="15" t="s">
        <v>3048</v>
      </c>
      <c r="C40" s="15" t="s">
        <v>5999</v>
      </c>
      <c r="D40" s="34" t="n">
        <f aca="false">Activities!N25</f>
        <v>2</v>
      </c>
      <c r="E40" s="15" t="s">
        <v>5998</v>
      </c>
    </row>
    <row r="41" customFormat="false" ht="15" hidden="false" customHeight="false" outlineLevel="0" collapsed="false">
      <c r="A41" s="15" t="s">
        <v>3048</v>
      </c>
      <c r="B41" s="15" t="s">
        <v>3049</v>
      </c>
      <c r="C41" s="15" t="s">
        <v>5997</v>
      </c>
      <c r="D41" s="34" t="n">
        <f aca="false">Activities!M26</f>
        <v>2</v>
      </c>
      <c r="E41" s="15" t="s">
        <v>5998</v>
      </c>
    </row>
    <row r="42" customFormat="false" ht="15" hidden="false" customHeight="false" outlineLevel="0" collapsed="false">
      <c r="A42" s="15" t="s">
        <v>3048</v>
      </c>
      <c r="B42" s="15" t="s">
        <v>3049</v>
      </c>
      <c r="C42" s="15" t="s">
        <v>5999</v>
      </c>
      <c r="D42" s="34" t="n">
        <f aca="false">Activities!N26</f>
        <v>2</v>
      </c>
      <c r="E42" s="15" t="s">
        <v>5998</v>
      </c>
    </row>
    <row r="43" customFormat="false" ht="15" hidden="false" customHeight="false" outlineLevel="0" collapsed="false">
      <c r="A43" s="15" t="s">
        <v>3049</v>
      </c>
      <c r="B43" s="15" t="s">
        <v>3050</v>
      </c>
      <c r="C43" s="15" t="s">
        <v>5997</v>
      </c>
      <c r="D43" s="34" t="n">
        <f aca="false">Activities!M27</f>
        <v>1</v>
      </c>
      <c r="E43" s="15" t="s">
        <v>5998</v>
      </c>
    </row>
    <row r="44" customFormat="false" ht="15" hidden="false" customHeight="false" outlineLevel="0" collapsed="false">
      <c r="A44" s="15" t="s">
        <v>3049</v>
      </c>
      <c r="B44" s="15" t="s">
        <v>3050</v>
      </c>
      <c r="C44" s="15" t="s">
        <v>5999</v>
      </c>
      <c r="D44" s="34" t="n">
        <f aca="false">Activities!N27</f>
        <v>2</v>
      </c>
      <c r="E44" s="15" t="s">
        <v>5998</v>
      </c>
    </row>
    <row r="45" customFormat="false" ht="15" hidden="false" customHeight="false" outlineLevel="0" collapsed="false">
      <c r="A45" s="15" t="s">
        <v>3051</v>
      </c>
      <c r="B45" s="15" t="s">
        <v>3053</v>
      </c>
      <c r="C45" s="15" t="s">
        <v>5995</v>
      </c>
      <c r="D45" s="34" t="n">
        <v>0</v>
      </c>
      <c r="E45" s="15" t="s">
        <v>5996</v>
      </c>
    </row>
    <row r="46" customFormat="false" ht="15" hidden="false" customHeight="false" outlineLevel="0" collapsed="false">
      <c r="A46" s="15" t="s">
        <v>3004</v>
      </c>
      <c r="B46" s="15" t="s">
        <v>3053</v>
      </c>
      <c r="C46" s="15" t="s">
        <v>5997</v>
      </c>
      <c r="D46" s="34" t="n">
        <v>0</v>
      </c>
      <c r="E46" s="15" t="s">
        <v>6000</v>
      </c>
    </row>
    <row r="47" customFormat="false" ht="15" hidden="false" customHeight="false" outlineLevel="0" collapsed="false">
      <c r="A47" s="15" t="s">
        <v>3053</v>
      </c>
      <c r="B47" s="15" t="s">
        <v>3054</v>
      </c>
      <c r="C47" s="15" t="s">
        <v>5997</v>
      </c>
      <c r="D47" s="34" t="n">
        <f aca="false">Activities!M30</f>
        <v>1</v>
      </c>
      <c r="E47" s="15" t="s">
        <v>5998</v>
      </c>
    </row>
    <row r="48" customFormat="false" ht="15" hidden="false" customHeight="false" outlineLevel="0" collapsed="false">
      <c r="A48" s="15" t="s">
        <v>3053</v>
      </c>
      <c r="B48" s="15" t="s">
        <v>3054</v>
      </c>
      <c r="C48" s="15" t="s">
        <v>5999</v>
      </c>
      <c r="D48" s="34" t="n">
        <f aca="false">Activities!N30</f>
        <v>2</v>
      </c>
      <c r="E48" s="15" t="s">
        <v>5998</v>
      </c>
    </row>
    <row r="49" customFormat="false" ht="15" hidden="false" customHeight="false" outlineLevel="0" collapsed="false">
      <c r="A49" s="15" t="s">
        <v>3054</v>
      </c>
      <c r="B49" s="15" t="s">
        <v>3055</v>
      </c>
      <c r="C49" s="15" t="s">
        <v>5997</v>
      </c>
      <c r="D49" s="34" t="n">
        <f aca="false">Activities!M31</f>
        <v>2</v>
      </c>
      <c r="E49" s="15" t="s">
        <v>5998</v>
      </c>
    </row>
    <row r="50" customFormat="false" ht="15" hidden="false" customHeight="false" outlineLevel="0" collapsed="false">
      <c r="A50" s="15" t="s">
        <v>3054</v>
      </c>
      <c r="B50" s="15" t="s">
        <v>3055</v>
      </c>
      <c r="C50" s="15" t="s">
        <v>5999</v>
      </c>
      <c r="D50" s="34" t="n">
        <f aca="false">Activities!N31</f>
        <v>2</v>
      </c>
      <c r="E50" s="15" t="s">
        <v>5998</v>
      </c>
    </row>
    <row r="51" customFormat="false" ht="15" hidden="false" customHeight="false" outlineLevel="0" collapsed="false">
      <c r="A51" s="15" t="s">
        <v>3055</v>
      </c>
      <c r="B51" s="15" t="s">
        <v>3056</v>
      </c>
      <c r="C51" s="15" t="s">
        <v>5997</v>
      </c>
      <c r="D51" s="34" t="n">
        <f aca="false">Activities!M32</f>
        <v>1</v>
      </c>
      <c r="E51" s="15" t="s">
        <v>5998</v>
      </c>
    </row>
    <row r="52" customFormat="false" ht="15" hidden="false" customHeight="false" outlineLevel="0" collapsed="false">
      <c r="A52" s="15" t="s">
        <v>3055</v>
      </c>
      <c r="B52" s="15" t="s">
        <v>3056</v>
      </c>
      <c r="C52" s="15" t="s">
        <v>5999</v>
      </c>
      <c r="D52" s="34" t="n">
        <f aca="false">Activities!N32</f>
        <v>2</v>
      </c>
      <c r="E52" s="15" t="s">
        <v>5998</v>
      </c>
    </row>
    <row r="53" customFormat="false" ht="15" hidden="false" customHeight="false" outlineLevel="0" collapsed="false">
      <c r="A53" s="15" t="s">
        <v>3056</v>
      </c>
      <c r="B53" s="15" t="s">
        <v>3057</v>
      </c>
      <c r="C53" s="15" t="s">
        <v>5997</v>
      </c>
      <c r="D53" s="34" t="n">
        <f aca="false">Activities!M33</f>
        <v>10</v>
      </c>
      <c r="E53" s="15" t="s">
        <v>5998</v>
      </c>
    </row>
    <row r="54" customFormat="false" ht="15" hidden="false" customHeight="false" outlineLevel="0" collapsed="false">
      <c r="A54" s="15" t="s">
        <v>3056</v>
      </c>
      <c r="B54" s="15" t="s">
        <v>3057</v>
      </c>
      <c r="C54" s="15" t="s">
        <v>5999</v>
      </c>
      <c r="D54" s="34" t="n">
        <f aca="false">Activities!N33</f>
        <v>2</v>
      </c>
      <c r="E54" s="15" t="s">
        <v>5998</v>
      </c>
    </row>
    <row r="55" customFormat="false" ht="15" hidden="false" customHeight="false" outlineLevel="0" collapsed="false">
      <c r="A55" s="15" t="s">
        <v>3057</v>
      </c>
      <c r="B55" s="15" t="s">
        <v>3058</v>
      </c>
      <c r="C55" s="15" t="s">
        <v>5997</v>
      </c>
      <c r="D55" s="34" t="n">
        <f aca="false">Activities!M34</f>
        <v>1</v>
      </c>
      <c r="E55" s="15" t="s">
        <v>5998</v>
      </c>
    </row>
    <row r="56" customFormat="false" ht="15" hidden="false" customHeight="false" outlineLevel="0" collapsed="false">
      <c r="A56" s="15" t="s">
        <v>3057</v>
      </c>
      <c r="B56" s="15" t="s">
        <v>3058</v>
      </c>
      <c r="C56" s="15" t="s">
        <v>5999</v>
      </c>
      <c r="D56" s="34" t="n">
        <f aca="false">Activities!N34</f>
        <v>2</v>
      </c>
      <c r="E56" s="15" t="s">
        <v>5998</v>
      </c>
    </row>
    <row r="57" customFormat="false" ht="15" hidden="false" customHeight="false" outlineLevel="0" collapsed="false">
      <c r="A57" s="15" t="s">
        <v>3058</v>
      </c>
      <c r="B57" s="15" t="s">
        <v>3059</v>
      </c>
      <c r="C57" s="15" t="s">
        <v>5997</v>
      </c>
      <c r="D57" s="34" t="n">
        <f aca="false">Activities!M35</f>
        <v>2</v>
      </c>
      <c r="E57" s="15" t="s">
        <v>5998</v>
      </c>
    </row>
    <row r="58" customFormat="false" ht="15" hidden="false" customHeight="false" outlineLevel="0" collapsed="false">
      <c r="A58" s="15" t="s">
        <v>3058</v>
      </c>
      <c r="B58" s="15" t="s">
        <v>3059</v>
      </c>
      <c r="C58" s="15" t="s">
        <v>5999</v>
      </c>
      <c r="D58" s="34" t="n">
        <f aca="false">Activities!N35</f>
        <v>2</v>
      </c>
      <c r="E58" s="15" t="s">
        <v>5998</v>
      </c>
    </row>
    <row r="59" customFormat="false" ht="15" hidden="false" customHeight="false" outlineLevel="0" collapsed="false">
      <c r="A59" s="15" t="s">
        <v>3024</v>
      </c>
      <c r="B59" s="15" t="s">
        <v>3059</v>
      </c>
      <c r="C59" s="15" t="s">
        <v>5995</v>
      </c>
      <c r="D59" s="34" t="n">
        <v>0</v>
      </c>
      <c r="E59" s="15" t="s">
        <v>6001</v>
      </c>
    </row>
    <row r="60" customFormat="false" ht="15" hidden="false" customHeight="false" outlineLevel="0" collapsed="false">
      <c r="A60" s="15" t="s">
        <v>3059</v>
      </c>
      <c r="B60" s="15" t="s">
        <v>3060</v>
      </c>
      <c r="C60" s="15" t="s">
        <v>5997</v>
      </c>
      <c r="D60" s="34" t="n">
        <f aca="false">Activities!M36</f>
        <v>2</v>
      </c>
      <c r="E60" s="15" t="s">
        <v>5998</v>
      </c>
    </row>
    <row r="61" customFormat="false" ht="15" hidden="false" customHeight="false" outlineLevel="0" collapsed="false">
      <c r="A61" s="15" t="s">
        <v>3059</v>
      </c>
      <c r="B61" s="15" t="s">
        <v>3060</v>
      </c>
      <c r="C61" s="15" t="s">
        <v>5999</v>
      </c>
      <c r="D61" s="34" t="n">
        <f aca="false">Activities!N36</f>
        <v>2</v>
      </c>
      <c r="E61" s="15" t="s">
        <v>5998</v>
      </c>
    </row>
    <row r="62" customFormat="false" ht="15" hidden="false" customHeight="false" outlineLevel="0" collapsed="false">
      <c r="A62" s="15" t="s">
        <v>3060</v>
      </c>
      <c r="B62" s="15" t="s">
        <v>3061</v>
      </c>
      <c r="C62" s="15" t="s">
        <v>5997</v>
      </c>
      <c r="D62" s="34" t="n">
        <f aca="false">Activities!M37</f>
        <v>2</v>
      </c>
      <c r="E62" s="15" t="s">
        <v>5998</v>
      </c>
    </row>
    <row r="63" customFormat="false" ht="15" hidden="false" customHeight="false" outlineLevel="0" collapsed="false">
      <c r="A63" s="15" t="s">
        <v>3060</v>
      </c>
      <c r="B63" s="15" t="s">
        <v>3061</v>
      </c>
      <c r="C63" s="15" t="s">
        <v>5999</v>
      </c>
      <c r="D63" s="34" t="n">
        <f aca="false">Activities!N37</f>
        <v>2</v>
      </c>
      <c r="E63" s="15" t="s">
        <v>5998</v>
      </c>
    </row>
    <row r="64" customFormat="false" ht="15" hidden="false" customHeight="false" outlineLevel="0" collapsed="false">
      <c r="A64" s="15" t="s">
        <v>3061</v>
      </c>
      <c r="B64" s="15" t="s">
        <v>3062</v>
      </c>
      <c r="C64" s="15" t="s">
        <v>5997</v>
      </c>
      <c r="D64" s="34" t="n">
        <f aca="false">Activities!M38</f>
        <v>1</v>
      </c>
      <c r="E64" s="15" t="s">
        <v>5998</v>
      </c>
    </row>
    <row r="65" customFormat="false" ht="15" hidden="false" customHeight="false" outlineLevel="0" collapsed="false">
      <c r="A65" s="15" t="s">
        <v>3061</v>
      </c>
      <c r="B65" s="15" t="s">
        <v>3062</v>
      </c>
      <c r="C65" s="15" t="s">
        <v>5999</v>
      </c>
      <c r="D65" s="34" t="n">
        <f aca="false">Activities!N38</f>
        <v>2</v>
      </c>
      <c r="E65" s="15" t="s">
        <v>5998</v>
      </c>
    </row>
    <row r="66" customFormat="false" ht="15" hidden="false" customHeight="false" outlineLevel="0" collapsed="false">
      <c r="A66" s="15" t="s">
        <v>3063</v>
      </c>
      <c r="B66" s="15" t="s">
        <v>3066</v>
      </c>
      <c r="C66" s="15" t="s">
        <v>5995</v>
      </c>
      <c r="D66" s="34" t="n">
        <v>0</v>
      </c>
      <c r="E66" s="15" t="s">
        <v>5996</v>
      </c>
    </row>
    <row r="67" customFormat="false" ht="15" hidden="false" customHeight="false" outlineLevel="0" collapsed="false">
      <c r="A67" s="15" t="s">
        <v>3004</v>
      </c>
      <c r="B67" s="15" t="s">
        <v>3066</v>
      </c>
      <c r="C67" s="15" t="s">
        <v>5997</v>
      </c>
      <c r="D67" s="34" t="n">
        <v>0</v>
      </c>
      <c r="E67" s="15" t="s">
        <v>6002</v>
      </c>
    </row>
    <row r="68" customFormat="false" ht="15" hidden="false" customHeight="false" outlineLevel="0" collapsed="false">
      <c r="A68" s="15" t="s">
        <v>3066</v>
      </c>
      <c r="B68" s="15" t="s">
        <v>3068</v>
      </c>
      <c r="C68" s="15" t="s">
        <v>5997</v>
      </c>
      <c r="D68" s="34" t="n">
        <f aca="false">Activities!M41</f>
        <v>1</v>
      </c>
      <c r="E68" s="15" t="s">
        <v>5998</v>
      </c>
    </row>
    <row r="69" customFormat="false" ht="15" hidden="false" customHeight="false" outlineLevel="0" collapsed="false">
      <c r="A69" s="15" t="s">
        <v>3066</v>
      </c>
      <c r="B69" s="15" t="s">
        <v>3068</v>
      </c>
      <c r="C69" s="15" t="s">
        <v>5999</v>
      </c>
      <c r="D69" s="34" t="n">
        <f aca="false">Activities!N41</f>
        <v>2</v>
      </c>
      <c r="E69" s="15" t="s">
        <v>5998</v>
      </c>
    </row>
    <row r="70" customFormat="false" ht="15" hidden="false" customHeight="false" outlineLevel="0" collapsed="false">
      <c r="A70" s="15" t="s">
        <v>3004</v>
      </c>
      <c r="B70" s="15" t="s">
        <v>3068</v>
      </c>
      <c r="C70" s="15" t="s">
        <v>5995</v>
      </c>
      <c r="D70" s="34" t="n">
        <v>0</v>
      </c>
      <c r="E70" s="15" t="s">
        <v>6003</v>
      </c>
    </row>
    <row r="71" customFormat="false" ht="15" hidden="false" customHeight="false" outlineLevel="0" collapsed="false">
      <c r="A71" s="15" t="s">
        <v>3068</v>
      </c>
      <c r="B71" s="15" t="s">
        <v>3069</v>
      </c>
      <c r="C71" s="15" t="s">
        <v>5997</v>
      </c>
      <c r="D71" s="34" t="n">
        <f aca="false">Activities!M42</f>
        <v>4</v>
      </c>
      <c r="E71" s="15" t="s">
        <v>5998</v>
      </c>
    </row>
    <row r="72" customFormat="false" ht="15" hidden="false" customHeight="false" outlineLevel="0" collapsed="false">
      <c r="A72" s="15" t="s">
        <v>3068</v>
      </c>
      <c r="B72" s="15" t="s">
        <v>3069</v>
      </c>
      <c r="C72" s="15" t="s">
        <v>5999</v>
      </c>
      <c r="D72" s="34" t="n">
        <f aca="false">Activities!N42</f>
        <v>2</v>
      </c>
      <c r="E72" s="15" t="s">
        <v>5998</v>
      </c>
    </row>
    <row r="73" customFormat="false" ht="15" hidden="false" customHeight="false" outlineLevel="0" collapsed="false">
      <c r="A73" s="15" t="s">
        <v>3009</v>
      </c>
      <c r="B73" s="15" t="s">
        <v>3069</v>
      </c>
      <c r="C73" s="15" t="s">
        <v>5995</v>
      </c>
      <c r="D73" s="34" t="n">
        <v>0</v>
      </c>
      <c r="E73" s="15" t="s">
        <v>6003</v>
      </c>
    </row>
    <row r="74" customFormat="false" ht="15" hidden="false" customHeight="false" outlineLevel="0" collapsed="false">
      <c r="A74" s="15" t="s">
        <v>3069</v>
      </c>
      <c r="B74" s="15" t="s">
        <v>3070</v>
      </c>
      <c r="C74" s="15" t="s">
        <v>5997</v>
      </c>
      <c r="D74" s="34" t="n">
        <f aca="false">Activities!M43</f>
        <v>3</v>
      </c>
      <c r="E74" s="15" t="s">
        <v>5998</v>
      </c>
    </row>
    <row r="75" customFormat="false" ht="15" hidden="false" customHeight="false" outlineLevel="0" collapsed="false">
      <c r="A75" s="15" t="s">
        <v>3069</v>
      </c>
      <c r="B75" s="15" t="s">
        <v>3070</v>
      </c>
      <c r="C75" s="15" t="s">
        <v>5999</v>
      </c>
      <c r="D75" s="34" t="n">
        <f aca="false">Activities!N43</f>
        <v>2</v>
      </c>
      <c r="E75" s="15" t="s">
        <v>5998</v>
      </c>
    </row>
    <row r="76" customFormat="false" ht="15" hidden="false" customHeight="false" outlineLevel="0" collapsed="false">
      <c r="A76" s="15" t="s">
        <v>3016</v>
      </c>
      <c r="B76" s="15" t="s">
        <v>3070</v>
      </c>
      <c r="C76" s="15" t="s">
        <v>5995</v>
      </c>
      <c r="D76" s="34" t="n">
        <f aca="false">-Activities!K43</f>
        <v>-11</v>
      </c>
      <c r="E76" s="15" t="s">
        <v>6004</v>
      </c>
    </row>
    <row r="77" customFormat="false" ht="15" hidden="false" customHeight="false" outlineLevel="0" collapsed="false">
      <c r="A77" s="15" t="s">
        <v>3070</v>
      </c>
      <c r="B77" s="15" t="s">
        <v>3072</v>
      </c>
      <c r="C77" s="15" t="s">
        <v>5997</v>
      </c>
      <c r="D77" s="34" t="n">
        <f aca="false">Activities!M44</f>
        <v>10</v>
      </c>
      <c r="E77" s="15" t="s">
        <v>5998</v>
      </c>
    </row>
    <row r="78" customFormat="false" ht="15" hidden="false" customHeight="false" outlineLevel="0" collapsed="false">
      <c r="A78" s="15" t="s">
        <v>3070</v>
      </c>
      <c r="B78" s="15" t="s">
        <v>3072</v>
      </c>
      <c r="C78" s="15" t="s">
        <v>5999</v>
      </c>
      <c r="D78" s="34" t="n">
        <f aca="false">Activities!N44</f>
        <v>2</v>
      </c>
      <c r="E78" s="15" t="s">
        <v>5998</v>
      </c>
    </row>
    <row r="79" customFormat="false" ht="15" hidden="false" customHeight="false" outlineLevel="0" collapsed="false">
      <c r="A79" s="15" t="s">
        <v>3016</v>
      </c>
      <c r="B79" s="15" t="s">
        <v>3072</v>
      </c>
      <c r="C79" s="15" t="s">
        <v>5995</v>
      </c>
      <c r="D79" s="34" t="n">
        <v>0</v>
      </c>
      <c r="E79" s="15" t="s">
        <v>6003</v>
      </c>
    </row>
    <row r="80" customFormat="false" ht="15" hidden="false" customHeight="false" outlineLevel="0" collapsed="false">
      <c r="A80" s="15" t="s">
        <v>3072</v>
      </c>
      <c r="B80" s="15" t="s">
        <v>3073</v>
      </c>
      <c r="C80" s="15" t="s">
        <v>5997</v>
      </c>
      <c r="D80" s="34" t="n">
        <f aca="false">Activities!M45</f>
        <v>3</v>
      </c>
      <c r="E80" s="15" t="s">
        <v>5998</v>
      </c>
    </row>
    <row r="81" customFormat="false" ht="15" hidden="false" customHeight="false" outlineLevel="0" collapsed="false">
      <c r="A81" s="15" t="s">
        <v>3072</v>
      </c>
      <c r="B81" s="15" t="s">
        <v>3073</v>
      </c>
      <c r="C81" s="15" t="s">
        <v>5999</v>
      </c>
      <c r="D81" s="34" t="n">
        <f aca="false">Activities!N45</f>
        <v>2</v>
      </c>
      <c r="E81" s="15" t="s">
        <v>5998</v>
      </c>
    </row>
    <row r="82" customFormat="false" ht="15" hidden="false" customHeight="false" outlineLevel="0" collapsed="false">
      <c r="A82" s="15" t="s">
        <v>3021</v>
      </c>
      <c r="B82" s="15" t="s">
        <v>3073</v>
      </c>
      <c r="C82" s="15" t="s">
        <v>5995</v>
      </c>
      <c r="D82" s="34" t="n">
        <v>0</v>
      </c>
      <c r="E82" s="15" t="s">
        <v>6003</v>
      </c>
    </row>
    <row r="83" customFormat="false" ht="15" hidden="false" customHeight="false" outlineLevel="0" collapsed="false">
      <c r="A83" s="15" t="s">
        <v>3073</v>
      </c>
      <c r="B83" s="15" t="s">
        <v>3074</v>
      </c>
      <c r="C83" s="15" t="s">
        <v>5997</v>
      </c>
      <c r="D83" s="34" t="n">
        <f aca="false">Activities!M46</f>
        <v>4</v>
      </c>
      <c r="E83" s="15" t="s">
        <v>5998</v>
      </c>
    </row>
    <row r="84" customFormat="false" ht="15" hidden="false" customHeight="false" outlineLevel="0" collapsed="false">
      <c r="A84" s="15" t="s">
        <v>3073</v>
      </c>
      <c r="B84" s="15" t="s">
        <v>3074</v>
      </c>
      <c r="C84" s="15" t="s">
        <v>5999</v>
      </c>
      <c r="D84" s="34" t="n">
        <f aca="false">Activities!N46</f>
        <v>2</v>
      </c>
      <c r="E84" s="15" t="s">
        <v>5998</v>
      </c>
    </row>
    <row r="85" customFormat="false" ht="15" hidden="false" customHeight="false" outlineLevel="0" collapsed="false">
      <c r="A85" s="15" t="s">
        <v>3024</v>
      </c>
      <c r="B85" s="15" t="s">
        <v>3074</v>
      </c>
      <c r="C85" s="15" t="s">
        <v>5995</v>
      </c>
      <c r="D85" s="34" t="n">
        <v>0</v>
      </c>
      <c r="E85" s="15" t="s">
        <v>6003</v>
      </c>
    </row>
    <row r="86" customFormat="false" ht="15" hidden="false" customHeight="false" outlineLevel="0" collapsed="false">
      <c r="A86" s="15" t="s">
        <v>3074</v>
      </c>
      <c r="B86" s="15" t="s">
        <v>3075</v>
      </c>
      <c r="C86" s="15" t="s">
        <v>5997</v>
      </c>
      <c r="D86" s="34" t="n">
        <f aca="false">Activities!M47</f>
        <v>2</v>
      </c>
      <c r="E86" s="15" t="s">
        <v>5998</v>
      </c>
    </row>
    <row r="87" customFormat="false" ht="15" hidden="false" customHeight="false" outlineLevel="0" collapsed="false">
      <c r="A87" s="15" t="s">
        <v>3074</v>
      </c>
      <c r="B87" s="15" t="s">
        <v>3075</v>
      </c>
      <c r="C87" s="15" t="s">
        <v>5999</v>
      </c>
      <c r="D87" s="34" t="n">
        <f aca="false">Activities!N47</f>
        <v>2</v>
      </c>
      <c r="E87" s="15" t="s">
        <v>5998</v>
      </c>
    </row>
    <row r="88" customFormat="false" ht="15" hidden="false" customHeight="false" outlineLevel="0" collapsed="false">
      <c r="A88" s="15" t="s">
        <v>3075</v>
      </c>
      <c r="B88" s="15" t="s">
        <v>3076</v>
      </c>
      <c r="C88" s="15" t="s">
        <v>5997</v>
      </c>
      <c r="D88" s="34" t="n">
        <f aca="false">Activities!M48</f>
        <v>2</v>
      </c>
      <c r="E88" s="15" t="s">
        <v>5998</v>
      </c>
    </row>
    <row r="89" customFormat="false" ht="15" hidden="false" customHeight="false" outlineLevel="0" collapsed="false">
      <c r="A89" s="15" t="s">
        <v>3075</v>
      </c>
      <c r="B89" s="15" t="s">
        <v>3076</v>
      </c>
      <c r="C89" s="15" t="s">
        <v>5999</v>
      </c>
      <c r="D89" s="34" t="n">
        <f aca="false">Activities!N48</f>
        <v>2</v>
      </c>
      <c r="E89" s="15" t="s">
        <v>5998</v>
      </c>
    </row>
    <row r="90" customFormat="false" ht="15" hidden="false" customHeight="false" outlineLevel="0" collapsed="false">
      <c r="A90" s="15" t="s">
        <v>3030</v>
      </c>
      <c r="B90" s="15" t="s">
        <v>3076</v>
      </c>
      <c r="C90" s="15" t="s">
        <v>5995</v>
      </c>
      <c r="D90" s="34" t="n">
        <v>0</v>
      </c>
      <c r="E90" s="15" t="s">
        <v>6003</v>
      </c>
    </row>
    <row r="91" customFormat="false" ht="15" hidden="false" customHeight="false" outlineLevel="0" collapsed="false">
      <c r="A91" s="15" t="s">
        <v>3138</v>
      </c>
      <c r="B91" s="15" t="s">
        <v>3076</v>
      </c>
      <c r="C91" s="15" t="s">
        <v>5995</v>
      </c>
      <c r="D91" s="34" t="n">
        <v>0</v>
      </c>
      <c r="E91" s="15" t="s">
        <v>6005</v>
      </c>
    </row>
    <row r="92" customFormat="false" ht="15" hidden="false" customHeight="false" outlineLevel="0" collapsed="false">
      <c r="A92" s="15" t="s">
        <v>3154</v>
      </c>
      <c r="B92" s="15" t="s">
        <v>3076</v>
      </c>
      <c r="C92" s="15" t="s">
        <v>5995</v>
      </c>
      <c r="D92" s="34" t="n">
        <v>0</v>
      </c>
      <c r="E92" s="15" t="s">
        <v>6005</v>
      </c>
    </row>
    <row r="93" customFormat="false" ht="15" hidden="false" customHeight="false" outlineLevel="0" collapsed="false">
      <c r="A93" s="15" t="s">
        <v>3076</v>
      </c>
      <c r="B93" s="15" t="s">
        <v>3078</v>
      </c>
      <c r="C93" s="15" t="s">
        <v>5997</v>
      </c>
      <c r="D93" s="34" t="n">
        <f aca="false">Activities!M49</f>
        <v>2</v>
      </c>
      <c r="E93" s="15" t="s">
        <v>5998</v>
      </c>
    </row>
    <row r="94" customFormat="false" ht="15" hidden="false" customHeight="false" outlineLevel="0" collapsed="false">
      <c r="A94" s="15" t="s">
        <v>3076</v>
      </c>
      <c r="B94" s="15" t="s">
        <v>3078</v>
      </c>
      <c r="C94" s="15" t="s">
        <v>5999</v>
      </c>
      <c r="D94" s="34" t="n">
        <f aca="false">Activities!N49</f>
        <v>2</v>
      </c>
      <c r="E94" s="15" t="s">
        <v>5998</v>
      </c>
    </row>
    <row r="95" customFormat="false" ht="15" hidden="false" customHeight="false" outlineLevel="0" collapsed="false">
      <c r="A95" s="15" t="s">
        <v>3079</v>
      </c>
      <c r="B95" s="15" t="s">
        <v>3081</v>
      </c>
      <c r="C95" s="15" t="s">
        <v>5995</v>
      </c>
      <c r="D95" s="34" t="n">
        <v>0</v>
      </c>
      <c r="E95" s="15" t="s">
        <v>5996</v>
      </c>
    </row>
    <row r="96" customFormat="false" ht="15" hidden="false" customHeight="false" outlineLevel="0" collapsed="false">
      <c r="A96" s="15" t="s">
        <v>3068</v>
      </c>
      <c r="B96" s="15" t="s">
        <v>3081</v>
      </c>
      <c r="C96" s="15" t="s">
        <v>5997</v>
      </c>
      <c r="D96" s="34" t="n">
        <v>0</v>
      </c>
      <c r="E96" s="15" t="s">
        <v>6002</v>
      </c>
    </row>
    <row r="97" customFormat="false" ht="15" hidden="false" customHeight="false" outlineLevel="0" collapsed="false">
      <c r="A97" s="15" t="s">
        <v>3081</v>
      </c>
      <c r="B97" s="15" t="s">
        <v>3083</v>
      </c>
      <c r="C97" s="15" t="s">
        <v>5997</v>
      </c>
      <c r="D97" s="34" t="n">
        <f aca="false">Activities!M52</f>
        <v>1</v>
      </c>
      <c r="E97" s="15" t="s">
        <v>5998</v>
      </c>
    </row>
    <row r="98" customFormat="false" ht="15" hidden="false" customHeight="false" outlineLevel="0" collapsed="false">
      <c r="A98" s="15" t="s">
        <v>3081</v>
      </c>
      <c r="B98" s="15" t="s">
        <v>3083</v>
      </c>
      <c r="C98" s="15" t="s">
        <v>5999</v>
      </c>
      <c r="D98" s="34" t="n">
        <f aca="false">Activities!N52</f>
        <v>2</v>
      </c>
      <c r="E98" s="15" t="s">
        <v>5998</v>
      </c>
    </row>
    <row r="99" customFormat="false" ht="15" hidden="false" customHeight="false" outlineLevel="0" collapsed="false">
      <c r="A99" s="15" t="s">
        <v>3068</v>
      </c>
      <c r="B99" s="15" t="s">
        <v>3083</v>
      </c>
      <c r="C99" s="15" t="s">
        <v>5995</v>
      </c>
      <c r="D99" s="34" t="n">
        <v>0</v>
      </c>
      <c r="E99" s="15" t="s">
        <v>6003</v>
      </c>
    </row>
    <row r="100" customFormat="false" ht="15" hidden="false" customHeight="false" outlineLevel="0" collapsed="false">
      <c r="A100" s="15" t="s">
        <v>3083</v>
      </c>
      <c r="B100" s="15" t="s">
        <v>3084</v>
      </c>
      <c r="C100" s="15" t="s">
        <v>5997</v>
      </c>
      <c r="D100" s="34" t="n">
        <f aca="false">Activities!M53</f>
        <v>5</v>
      </c>
      <c r="E100" s="15" t="s">
        <v>5998</v>
      </c>
    </row>
    <row r="101" customFormat="false" ht="15" hidden="false" customHeight="false" outlineLevel="0" collapsed="false">
      <c r="A101" s="15" t="s">
        <v>3083</v>
      </c>
      <c r="B101" s="15" t="s">
        <v>3084</v>
      </c>
      <c r="C101" s="15" t="s">
        <v>5999</v>
      </c>
      <c r="D101" s="34" t="n">
        <f aca="false">Activities!N53</f>
        <v>2</v>
      </c>
      <c r="E101" s="15" t="s">
        <v>5998</v>
      </c>
    </row>
    <row r="102" customFormat="false" ht="15" hidden="false" customHeight="false" outlineLevel="0" collapsed="false">
      <c r="A102" s="15" t="s">
        <v>3069</v>
      </c>
      <c r="B102" s="15" t="s">
        <v>3084</v>
      </c>
      <c r="C102" s="15" t="s">
        <v>5995</v>
      </c>
      <c r="D102" s="34" t="n">
        <v>0</v>
      </c>
      <c r="E102" s="15" t="s">
        <v>6003</v>
      </c>
    </row>
    <row r="103" customFormat="false" ht="15" hidden="false" customHeight="false" outlineLevel="0" collapsed="false">
      <c r="A103" s="15" t="s">
        <v>3084</v>
      </c>
      <c r="B103" s="15" t="s">
        <v>3085</v>
      </c>
      <c r="C103" s="15" t="s">
        <v>5997</v>
      </c>
      <c r="D103" s="34" t="n">
        <f aca="false">Activities!M54</f>
        <v>3</v>
      </c>
      <c r="E103" s="15" t="s">
        <v>5998</v>
      </c>
    </row>
    <row r="104" customFormat="false" ht="15" hidden="false" customHeight="false" outlineLevel="0" collapsed="false">
      <c r="A104" s="15" t="s">
        <v>3084</v>
      </c>
      <c r="B104" s="15" t="s">
        <v>3085</v>
      </c>
      <c r="C104" s="15" t="s">
        <v>5999</v>
      </c>
      <c r="D104" s="34" t="n">
        <f aca="false">Activities!N54</f>
        <v>2</v>
      </c>
      <c r="E104" s="15" t="s">
        <v>5998</v>
      </c>
    </row>
    <row r="105" customFormat="false" ht="15" hidden="false" customHeight="false" outlineLevel="0" collapsed="false">
      <c r="A105" s="15" t="s">
        <v>3072</v>
      </c>
      <c r="B105" s="15" t="s">
        <v>3085</v>
      </c>
      <c r="C105" s="15" t="s">
        <v>5995</v>
      </c>
      <c r="D105" s="34" t="n">
        <f aca="false">-Activities!K54</f>
        <v>-11</v>
      </c>
      <c r="E105" s="15" t="s">
        <v>6004</v>
      </c>
    </row>
    <row r="106" customFormat="false" ht="15" hidden="false" customHeight="false" outlineLevel="0" collapsed="false">
      <c r="A106" s="15" t="s">
        <v>3085</v>
      </c>
      <c r="B106" s="15" t="s">
        <v>3087</v>
      </c>
      <c r="C106" s="15" t="s">
        <v>5997</v>
      </c>
      <c r="D106" s="34" t="n">
        <f aca="false">Activities!M55</f>
        <v>10</v>
      </c>
      <c r="E106" s="15" t="s">
        <v>5998</v>
      </c>
    </row>
    <row r="107" customFormat="false" ht="15" hidden="false" customHeight="false" outlineLevel="0" collapsed="false">
      <c r="A107" s="15" t="s">
        <v>3085</v>
      </c>
      <c r="B107" s="15" t="s">
        <v>3087</v>
      </c>
      <c r="C107" s="15" t="s">
        <v>5999</v>
      </c>
      <c r="D107" s="34" t="n">
        <f aca="false">Activities!N55</f>
        <v>2</v>
      </c>
      <c r="E107" s="15" t="s">
        <v>5998</v>
      </c>
    </row>
    <row r="108" customFormat="false" ht="15" hidden="false" customHeight="false" outlineLevel="0" collapsed="false">
      <c r="A108" s="15" t="s">
        <v>3072</v>
      </c>
      <c r="B108" s="15" t="s">
        <v>3087</v>
      </c>
      <c r="C108" s="15" t="s">
        <v>5995</v>
      </c>
      <c r="D108" s="34" t="n">
        <v>0</v>
      </c>
      <c r="E108" s="15" t="s">
        <v>6003</v>
      </c>
    </row>
    <row r="109" customFormat="false" ht="15" hidden="false" customHeight="false" outlineLevel="0" collapsed="false">
      <c r="A109" s="15" t="s">
        <v>3087</v>
      </c>
      <c r="B109" s="15" t="s">
        <v>3088</v>
      </c>
      <c r="C109" s="15" t="s">
        <v>5997</v>
      </c>
      <c r="D109" s="34" t="n">
        <f aca="false">Activities!M56</f>
        <v>3</v>
      </c>
      <c r="E109" s="15" t="s">
        <v>5998</v>
      </c>
    </row>
    <row r="110" customFormat="false" ht="15" hidden="false" customHeight="false" outlineLevel="0" collapsed="false">
      <c r="A110" s="15" t="s">
        <v>3087</v>
      </c>
      <c r="B110" s="15" t="s">
        <v>3088</v>
      </c>
      <c r="C110" s="15" t="s">
        <v>5999</v>
      </c>
      <c r="D110" s="34" t="n">
        <f aca="false">Activities!N56</f>
        <v>2</v>
      </c>
      <c r="E110" s="15" t="s">
        <v>5998</v>
      </c>
    </row>
    <row r="111" customFormat="false" ht="15" hidden="false" customHeight="false" outlineLevel="0" collapsed="false">
      <c r="A111" s="15" t="s">
        <v>3073</v>
      </c>
      <c r="B111" s="15" t="s">
        <v>3088</v>
      </c>
      <c r="C111" s="15" t="s">
        <v>5995</v>
      </c>
      <c r="D111" s="34" t="n">
        <v>0</v>
      </c>
      <c r="E111" s="15" t="s">
        <v>6003</v>
      </c>
    </row>
    <row r="112" customFormat="false" ht="15" hidden="false" customHeight="false" outlineLevel="0" collapsed="false">
      <c r="A112" s="15" t="s">
        <v>3088</v>
      </c>
      <c r="B112" s="15" t="s">
        <v>3089</v>
      </c>
      <c r="C112" s="15" t="s">
        <v>5997</v>
      </c>
      <c r="D112" s="34" t="n">
        <f aca="false">Activities!M57</f>
        <v>4</v>
      </c>
      <c r="E112" s="15" t="s">
        <v>5998</v>
      </c>
    </row>
    <row r="113" customFormat="false" ht="15" hidden="false" customHeight="false" outlineLevel="0" collapsed="false">
      <c r="A113" s="15" t="s">
        <v>3088</v>
      </c>
      <c r="B113" s="15" t="s">
        <v>3089</v>
      </c>
      <c r="C113" s="15" t="s">
        <v>5999</v>
      </c>
      <c r="D113" s="34" t="n">
        <f aca="false">Activities!N57</f>
        <v>2</v>
      </c>
      <c r="E113" s="15" t="s">
        <v>5998</v>
      </c>
    </row>
    <row r="114" customFormat="false" ht="15" hidden="false" customHeight="false" outlineLevel="0" collapsed="false">
      <c r="A114" s="15" t="s">
        <v>3074</v>
      </c>
      <c r="B114" s="15" t="s">
        <v>3089</v>
      </c>
      <c r="C114" s="15" t="s">
        <v>5995</v>
      </c>
      <c r="D114" s="34" t="n">
        <v>0</v>
      </c>
      <c r="E114" s="15" t="s">
        <v>6003</v>
      </c>
    </row>
    <row r="115" customFormat="false" ht="15" hidden="false" customHeight="false" outlineLevel="0" collapsed="false">
      <c r="A115" s="15" t="s">
        <v>3089</v>
      </c>
      <c r="B115" s="15" t="s">
        <v>3090</v>
      </c>
      <c r="C115" s="15" t="s">
        <v>5997</v>
      </c>
      <c r="D115" s="34" t="n">
        <f aca="false">Activities!M58</f>
        <v>2</v>
      </c>
      <c r="E115" s="15" t="s">
        <v>5998</v>
      </c>
    </row>
    <row r="116" customFormat="false" ht="15" hidden="false" customHeight="false" outlineLevel="0" collapsed="false">
      <c r="A116" s="15" t="s">
        <v>3089</v>
      </c>
      <c r="B116" s="15" t="s">
        <v>3090</v>
      </c>
      <c r="C116" s="15" t="s">
        <v>5999</v>
      </c>
      <c r="D116" s="34" t="n">
        <f aca="false">Activities!N58</f>
        <v>2</v>
      </c>
      <c r="E116" s="15" t="s">
        <v>5998</v>
      </c>
    </row>
    <row r="117" customFormat="false" ht="15" hidden="false" customHeight="false" outlineLevel="0" collapsed="false">
      <c r="A117" s="15" t="s">
        <v>3090</v>
      </c>
      <c r="B117" s="15" t="s">
        <v>3091</v>
      </c>
      <c r="C117" s="15" t="s">
        <v>5997</v>
      </c>
      <c r="D117" s="34" t="n">
        <f aca="false">Activities!M59</f>
        <v>2</v>
      </c>
      <c r="E117" s="15" t="s">
        <v>5998</v>
      </c>
    </row>
    <row r="118" customFormat="false" ht="15" hidden="false" customHeight="false" outlineLevel="0" collapsed="false">
      <c r="A118" s="15" t="s">
        <v>3090</v>
      </c>
      <c r="B118" s="15" t="s">
        <v>3091</v>
      </c>
      <c r="C118" s="15" t="s">
        <v>5999</v>
      </c>
      <c r="D118" s="34" t="n">
        <f aca="false">Activities!N59</f>
        <v>2</v>
      </c>
      <c r="E118" s="15" t="s">
        <v>5998</v>
      </c>
    </row>
    <row r="119" customFormat="false" ht="15" hidden="false" customHeight="false" outlineLevel="0" collapsed="false">
      <c r="A119" s="15" t="s">
        <v>3076</v>
      </c>
      <c r="B119" s="15" t="s">
        <v>3091</v>
      </c>
      <c r="C119" s="15" t="s">
        <v>5995</v>
      </c>
      <c r="D119" s="34" t="n">
        <v>0</v>
      </c>
      <c r="E119" s="15" t="s">
        <v>6003</v>
      </c>
    </row>
    <row r="120" customFormat="false" ht="15" hidden="false" customHeight="false" outlineLevel="0" collapsed="false">
      <c r="A120" s="15" t="s">
        <v>3138</v>
      </c>
      <c r="B120" s="15" t="s">
        <v>3091</v>
      </c>
      <c r="C120" s="15" t="s">
        <v>5995</v>
      </c>
      <c r="D120" s="34" t="n">
        <v>0</v>
      </c>
      <c r="E120" s="15" t="s">
        <v>6005</v>
      </c>
    </row>
    <row r="121" customFormat="false" ht="15" hidden="false" customHeight="false" outlineLevel="0" collapsed="false">
      <c r="A121" s="15" t="s">
        <v>3091</v>
      </c>
      <c r="B121" s="15" t="s">
        <v>3093</v>
      </c>
      <c r="C121" s="15" t="s">
        <v>5997</v>
      </c>
      <c r="D121" s="34" t="n">
        <f aca="false">Activities!M60</f>
        <v>2</v>
      </c>
      <c r="E121" s="15" t="s">
        <v>5998</v>
      </c>
    </row>
    <row r="122" customFormat="false" ht="15" hidden="false" customHeight="false" outlineLevel="0" collapsed="false">
      <c r="A122" s="15" t="s">
        <v>3091</v>
      </c>
      <c r="B122" s="15" t="s">
        <v>3093</v>
      </c>
      <c r="C122" s="15" t="s">
        <v>5999</v>
      </c>
      <c r="D122" s="34" t="n">
        <f aca="false">Activities!N60</f>
        <v>2</v>
      </c>
      <c r="E122" s="15" t="s">
        <v>5998</v>
      </c>
    </row>
    <row r="123" customFormat="false" ht="15" hidden="false" customHeight="false" outlineLevel="0" collapsed="false">
      <c r="A123" s="15" t="s">
        <v>3094</v>
      </c>
      <c r="B123" s="15" t="s">
        <v>3097</v>
      </c>
      <c r="C123" s="15" t="s">
        <v>5995</v>
      </c>
      <c r="D123" s="34" t="n">
        <v>0</v>
      </c>
      <c r="E123" s="15" t="s">
        <v>5996</v>
      </c>
    </row>
    <row r="124" customFormat="false" ht="15" hidden="false" customHeight="false" outlineLevel="0" collapsed="false">
      <c r="A124" s="15" t="s">
        <v>3115</v>
      </c>
      <c r="B124" s="15" t="s">
        <v>3097</v>
      </c>
      <c r="C124" s="15" t="s">
        <v>5997</v>
      </c>
      <c r="D124" s="34" t="n">
        <v>0</v>
      </c>
      <c r="E124" s="15" t="s">
        <v>6000</v>
      </c>
    </row>
    <row r="125" customFormat="false" ht="15" hidden="false" customHeight="false" outlineLevel="0" collapsed="false">
      <c r="A125" s="15" t="s">
        <v>3097</v>
      </c>
      <c r="B125" s="15" t="s">
        <v>3099</v>
      </c>
      <c r="C125" s="15" t="s">
        <v>5997</v>
      </c>
      <c r="D125" s="34" t="n">
        <f aca="false">Activities!M63</f>
        <v>1</v>
      </c>
      <c r="E125" s="15" t="s">
        <v>5998</v>
      </c>
    </row>
    <row r="126" customFormat="false" ht="15" hidden="false" customHeight="false" outlineLevel="0" collapsed="false">
      <c r="A126" s="15" t="s">
        <v>3097</v>
      </c>
      <c r="B126" s="15" t="s">
        <v>3099</v>
      </c>
      <c r="C126" s="15" t="s">
        <v>5999</v>
      </c>
      <c r="D126" s="34" t="n">
        <f aca="false">Activities!N63</f>
        <v>2</v>
      </c>
      <c r="E126" s="15" t="s">
        <v>5998</v>
      </c>
    </row>
    <row r="127" customFormat="false" ht="15" hidden="false" customHeight="false" outlineLevel="0" collapsed="false">
      <c r="A127" s="15" t="s">
        <v>3099</v>
      </c>
      <c r="B127" s="15" t="s">
        <v>3100</v>
      </c>
      <c r="C127" s="15" t="s">
        <v>5997</v>
      </c>
      <c r="D127" s="34" t="n">
        <f aca="false">Activities!M64</f>
        <v>1</v>
      </c>
      <c r="E127" s="15" t="s">
        <v>5998</v>
      </c>
    </row>
    <row r="128" customFormat="false" ht="15" hidden="false" customHeight="false" outlineLevel="0" collapsed="false">
      <c r="A128" s="15" t="s">
        <v>3099</v>
      </c>
      <c r="B128" s="15" t="s">
        <v>3100</v>
      </c>
      <c r="C128" s="15" t="s">
        <v>5999</v>
      </c>
      <c r="D128" s="34" t="n">
        <f aca="false">Activities!N64</f>
        <v>2</v>
      </c>
      <c r="E128" s="15" t="s">
        <v>5998</v>
      </c>
    </row>
    <row r="129" customFormat="false" ht="15" hidden="false" customHeight="false" outlineLevel="0" collapsed="false">
      <c r="A129" s="15" t="s">
        <v>3100</v>
      </c>
      <c r="B129" s="15" t="s">
        <v>3101</v>
      </c>
      <c r="C129" s="15" t="s">
        <v>5997</v>
      </c>
      <c r="D129" s="34" t="n">
        <f aca="false">Activities!M65</f>
        <v>1</v>
      </c>
      <c r="E129" s="15" t="s">
        <v>5998</v>
      </c>
    </row>
    <row r="130" customFormat="false" ht="15" hidden="false" customHeight="false" outlineLevel="0" collapsed="false">
      <c r="A130" s="15" t="s">
        <v>3100</v>
      </c>
      <c r="B130" s="15" t="s">
        <v>3101</v>
      </c>
      <c r="C130" s="15" t="s">
        <v>5999</v>
      </c>
      <c r="D130" s="34" t="n">
        <f aca="false">Activities!N65</f>
        <v>2</v>
      </c>
      <c r="E130" s="15" t="s">
        <v>5998</v>
      </c>
    </row>
    <row r="131" customFormat="false" ht="15" hidden="false" customHeight="false" outlineLevel="0" collapsed="false">
      <c r="A131" s="15" t="s">
        <v>3101</v>
      </c>
      <c r="B131" s="15" t="s">
        <v>3102</v>
      </c>
      <c r="C131" s="15" t="s">
        <v>5997</v>
      </c>
      <c r="D131" s="34" t="n">
        <f aca="false">Activities!M66</f>
        <v>10</v>
      </c>
      <c r="E131" s="15" t="s">
        <v>5998</v>
      </c>
    </row>
    <row r="132" customFormat="false" ht="15" hidden="false" customHeight="false" outlineLevel="0" collapsed="false">
      <c r="A132" s="15" t="s">
        <v>3101</v>
      </c>
      <c r="B132" s="15" t="s">
        <v>3102</v>
      </c>
      <c r="C132" s="15" t="s">
        <v>5999</v>
      </c>
      <c r="D132" s="34" t="n">
        <f aca="false">Activities!N66</f>
        <v>2</v>
      </c>
      <c r="E132" s="15" t="s">
        <v>5998</v>
      </c>
    </row>
    <row r="133" customFormat="false" ht="15" hidden="false" customHeight="false" outlineLevel="0" collapsed="false">
      <c r="A133" s="15" t="s">
        <v>3167</v>
      </c>
      <c r="B133" s="15" t="s">
        <v>3102</v>
      </c>
      <c r="C133" s="15" t="s">
        <v>5997</v>
      </c>
      <c r="D133" s="34" t="n">
        <v>0</v>
      </c>
      <c r="E133" s="15" t="s">
        <v>6006</v>
      </c>
    </row>
    <row r="134" customFormat="false" ht="15" hidden="false" customHeight="false" outlineLevel="0" collapsed="false">
      <c r="A134" s="15" t="s">
        <v>3182</v>
      </c>
      <c r="B134" s="15" t="s">
        <v>3102</v>
      </c>
      <c r="C134" s="15" t="s">
        <v>5997</v>
      </c>
      <c r="D134" s="34" t="n">
        <v>0</v>
      </c>
      <c r="E134" s="15" t="s">
        <v>6006</v>
      </c>
    </row>
    <row r="135" customFormat="false" ht="15" hidden="false" customHeight="false" outlineLevel="0" collapsed="false">
      <c r="A135" s="15" t="s">
        <v>3102</v>
      </c>
      <c r="B135" s="15" t="s">
        <v>3104</v>
      </c>
      <c r="C135" s="15" t="s">
        <v>5997</v>
      </c>
      <c r="D135" s="34" t="n">
        <f aca="false">Activities!M67</f>
        <v>1</v>
      </c>
      <c r="E135" s="15" t="s">
        <v>5998</v>
      </c>
    </row>
    <row r="136" customFormat="false" ht="15" hidden="false" customHeight="false" outlineLevel="0" collapsed="false">
      <c r="A136" s="15" t="s">
        <v>3102</v>
      </c>
      <c r="B136" s="15" t="s">
        <v>3104</v>
      </c>
      <c r="C136" s="15" t="s">
        <v>5999</v>
      </c>
      <c r="D136" s="34" t="n">
        <f aca="false">Activities!N67</f>
        <v>2</v>
      </c>
      <c r="E136" s="15" t="s">
        <v>5998</v>
      </c>
    </row>
    <row r="137" customFormat="false" ht="15" hidden="false" customHeight="false" outlineLevel="0" collapsed="false">
      <c r="A137" s="15" t="s">
        <v>3104</v>
      </c>
      <c r="B137" s="15" t="s">
        <v>3105</v>
      </c>
      <c r="C137" s="15" t="s">
        <v>5997</v>
      </c>
      <c r="D137" s="34" t="n">
        <f aca="false">Activities!M68</f>
        <v>2</v>
      </c>
      <c r="E137" s="15" t="s">
        <v>5998</v>
      </c>
    </row>
    <row r="138" customFormat="false" ht="15" hidden="false" customHeight="false" outlineLevel="0" collapsed="false">
      <c r="A138" s="15" t="s">
        <v>3104</v>
      </c>
      <c r="B138" s="15" t="s">
        <v>3105</v>
      </c>
      <c r="C138" s="15" t="s">
        <v>5999</v>
      </c>
      <c r="D138" s="34" t="n">
        <f aca="false">Activities!N68</f>
        <v>2</v>
      </c>
      <c r="E138" s="15" t="s">
        <v>5998</v>
      </c>
    </row>
    <row r="139" customFormat="false" ht="15" hidden="false" customHeight="false" outlineLevel="0" collapsed="false">
      <c r="A139" s="15" t="s">
        <v>3122</v>
      </c>
      <c r="B139" s="15" t="s">
        <v>3105</v>
      </c>
      <c r="C139" s="15" t="s">
        <v>5995</v>
      </c>
      <c r="D139" s="34" t="n">
        <v>0</v>
      </c>
      <c r="E139" s="15" t="s">
        <v>6001</v>
      </c>
    </row>
    <row r="140" customFormat="false" ht="15" hidden="false" customHeight="false" outlineLevel="0" collapsed="false">
      <c r="A140" s="15" t="s">
        <v>3105</v>
      </c>
      <c r="B140" s="15" t="s">
        <v>3107</v>
      </c>
      <c r="C140" s="15" t="s">
        <v>5997</v>
      </c>
      <c r="D140" s="34" t="n">
        <f aca="false">Activities!M69</f>
        <v>2</v>
      </c>
      <c r="E140" s="15" t="s">
        <v>5998</v>
      </c>
    </row>
    <row r="141" customFormat="false" ht="15" hidden="false" customHeight="false" outlineLevel="0" collapsed="false">
      <c r="A141" s="15" t="s">
        <v>3105</v>
      </c>
      <c r="B141" s="15" t="s">
        <v>3107</v>
      </c>
      <c r="C141" s="15" t="s">
        <v>5999</v>
      </c>
      <c r="D141" s="34" t="n">
        <f aca="false">Activities!N69</f>
        <v>2</v>
      </c>
      <c r="E141" s="15" t="s">
        <v>5998</v>
      </c>
    </row>
    <row r="142" customFormat="false" ht="15" hidden="false" customHeight="false" outlineLevel="0" collapsed="false">
      <c r="A142" s="15" t="s">
        <v>3107</v>
      </c>
      <c r="B142" s="15" t="s">
        <v>3108</v>
      </c>
      <c r="C142" s="15" t="s">
        <v>5997</v>
      </c>
      <c r="D142" s="34" t="n">
        <f aca="false">Activities!M70</f>
        <v>2</v>
      </c>
      <c r="E142" s="15" t="s">
        <v>5998</v>
      </c>
    </row>
    <row r="143" customFormat="false" ht="15" hidden="false" customHeight="false" outlineLevel="0" collapsed="false">
      <c r="A143" s="15" t="s">
        <v>3107</v>
      </c>
      <c r="B143" s="15" t="s">
        <v>3108</v>
      </c>
      <c r="C143" s="15" t="s">
        <v>5999</v>
      </c>
      <c r="D143" s="34" t="n">
        <f aca="false">Activities!N70</f>
        <v>2</v>
      </c>
      <c r="E143" s="15" t="s">
        <v>5998</v>
      </c>
    </row>
    <row r="144" customFormat="false" ht="15" hidden="false" customHeight="false" outlineLevel="0" collapsed="false">
      <c r="A144" s="15" t="s">
        <v>3170</v>
      </c>
      <c r="B144" s="15" t="s">
        <v>3108</v>
      </c>
      <c r="C144" s="15" t="s">
        <v>5995</v>
      </c>
      <c r="D144" s="34" t="n">
        <v>0</v>
      </c>
      <c r="E144" s="15" t="s">
        <v>6005</v>
      </c>
    </row>
    <row r="145" customFormat="false" ht="15" hidden="false" customHeight="false" outlineLevel="0" collapsed="false">
      <c r="A145" s="15" t="s">
        <v>3184</v>
      </c>
      <c r="B145" s="15" t="s">
        <v>3108</v>
      </c>
      <c r="C145" s="15" t="s">
        <v>5995</v>
      </c>
      <c r="D145" s="34" t="n">
        <v>0</v>
      </c>
      <c r="E145" s="15" t="s">
        <v>6005</v>
      </c>
    </row>
    <row r="146" customFormat="false" ht="15" hidden="false" customHeight="false" outlineLevel="0" collapsed="false">
      <c r="A146" s="15" t="s">
        <v>3108</v>
      </c>
      <c r="B146" s="15" t="s">
        <v>3110</v>
      </c>
      <c r="C146" s="15" t="s">
        <v>5997</v>
      </c>
      <c r="D146" s="34" t="n">
        <f aca="false">Activities!M71</f>
        <v>1</v>
      </c>
      <c r="E146" s="15" t="s">
        <v>5998</v>
      </c>
    </row>
    <row r="147" customFormat="false" ht="15" hidden="false" customHeight="false" outlineLevel="0" collapsed="false">
      <c r="A147" s="15" t="s">
        <v>3108</v>
      </c>
      <c r="B147" s="15" t="s">
        <v>3110</v>
      </c>
      <c r="C147" s="15" t="s">
        <v>5999</v>
      </c>
      <c r="D147" s="34" t="n">
        <f aca="false">Activities!N71</f>
        <v>2</v>
      </c>
      <c r="E147" s="15" t="s">
        <v>5998</v>
      </c>
    </row>
    <row r="148" customFormat="false" ht="15" hidden="false" customHeight="false" outlineLevel="0" collapsed="false">
      <c r="A148" s="15" t="s">
        <v>3111</v>
      </c>
      <c r="B148" s="15" t="s">
        <v>3113</v>
      </c>
      <c r="C148" s="15" t="s">
        <v>5995</v>
      </c>
      <c r="D148" s="34" t="n">
        <v>0</v>
      </c>
      <c r="E148" s="15" t="s">
        <v>5996</v>
      </c>
    </row>
    <row r="149" customFormat="false" ht="15" hidden="false" customHeight="false" outlineLevel="0" collapsed="false">
      <c r="A149" s="15" t="s">
        <v>3083</v>
      </c>
      <c r="B149" s="15" t="s">
        <v>3113</v>
      </c>
      <c r="C149" s="15" t="s">
        <v>5997</v>
      </c>
      <c r="D149" s="34" t="n">
        <v>0</v>
      </c>
      <c r="E149" s="15" t="s">
        <v>6002</v>
      </c>
    </row>
    <row r="150" customFormat="false" ht="15" hidden="false" customHeight="false" outlineLevel="0" collapsed="false">
      <c r="A150" s="15" t="s">
        <v>3113</v>
      </c>
      <c r="B150" s="15" t="s">
        <v>3115</v>
      </c>
      <c r="C150" s="15" t="s">
        <v>5997</v>
      </c>
      <c r="D150" s="34" t="n">
        <f aca="false">Activities!M74</f>
        <v>1</v>
      </c>
      <c r="E150" s="15" t="s">
        <v>5998</v>
      </c>
    </row>
    <row r="151" customFormat="false" ht="15" hidden="false" customHeight="false" outlineLevel="0" collapsed="false">
      <c r="A151" s="15" t="s">
        <v>3113</v>
      </c>
      <c r="B151" s="15" t="s">
        <v>3115</v>
      </c>
      <c r="C151" s="15" t="s">
        <v>5999</v>
      </c>
      <c r="D151" s="34" t="n">
        <f aca="false">Activities!N74</f>
        <v>2</v>
      </c>
      <c r="E151" s="15" t="s">
        <v>5998</v>
      </c>
    </row>
    <row r="152" customFormat="false" ht="15" hidden="false" customHeight="false" outlineLevel="0" collapsed="false">
      <c r="A152" s="15" t="s">
        <v>3083</v>
      </c>
      <c r="B152" s="15" t="s">
        <v>3115</v>
      </c>
      <c r="C152" s="15" t="s">
        <v>5995</v>
      </c>
      <c r="D152" s="34" t="n">
        <v>0</v>
      </c>
      <c r="E152" s="15" t="s">
        <v>6003</v>
      </c>
    </row>
    <row r="153" customFormat="false" ht="15" hidden="false" customHeight="false" outlineLevel="0" collapsed="false">
      <c r="A153" s="15" t="s">
        <v>3115</v>
      </c>
      <c r="B153" s="15" t="s">
        <v>3116</v>
      </c>
      <c r="C153" s="15" t="s">
        <v>5997</v>
      </c>
      <c r="D153" s="34" t="n">
        <f aca="false">Activities!M75</f>
        <v>6</v>
      </c>
      <c r="E153" s="15" t="s">
        <v>5998</v>
      </c>
    </row>
    <row r="154" customFormat="false" ht="15" hidden="false" customHeight="false" outlineLevel="0" collapsed="false">
      <c r="A154" s="15" t="s">
        <v>3115</v>
      </c>
      <c r="B154" s="15" t="s">
        <v>3116</v>
      </c>
      <c r="C154" s="15" t="s">
        <v>5999</v>
      </c>
      <c r="D154" s="34" t="n">
        <f aca="false">Activities!N75</f>
        <v>2</v>
      </c>
      <c r="E154" s="15" t="s">
        <v>5998</v>
      </c>
    </row>
    <row r="155" customFormat="false" ht="15" hidden="false" customHeight="false" outlineLevel="0" collapsed="false">
      <c r="A155" s="15" t="s">
        <v>3084</v>
      </c>
      <c r="B155" s="15" t="s">
        <v>3116</v>
      </c>
      <c r="C155" s="15" t="s">
        <v>5995</v>
      </c>
      <c r="D155" s="34" t="n">
        <v>0</v>
      </c>
      <c r="E155" s="15" t="s">
        <v>6003</v>
      </c>
    </row>
    <row r="156" customFormat="false" ht="15" hidden="false" customHeight="false" outlineLevel="0" collapsed="false">
      <c r="A156" s="15" t="s">
        <v>3116</v>
      </c>
      <c r="B156" s="15" t="s">
        <v>3117</v>
      </c>
      <c r="C156" s="15" t="s">
        <v>5997</v>
      </c>
      <c r="D156" s="34" t="n">
        <f aca="false">Activities!M76</f>
        <v>4</v>
      </c>
      <c r="E156" s="15" t="s">
        <v>5998</v>
      </c>
    </row>
    <row r="157" customFormat="false" ht="15" hidden="false" customHeight="false" outlineLevel="0" collapsed="false">
      <c r="A157" s="15" t="s">
        <v>3116</v>
      </c>
      <c r="B157" s="15" t="s">
        <v>3117</v>
      </c>
      <c r="C157" s="15" t="s">
        <v>5999</v>
      </c>
      <c r="D157" s="34" t="n">
        <f aca="false">Activities!N76</f>
        <v>2</v>
      </c>
      <c r="E157" s="15" t="s">
        <v>5998</v>
      </c>
    </row>
    <row r="158" customFormat="false" ht="15" hidden="false" customHeight="false" outlineLevel="0" collapsed="false">
      <c r="A158" s="15" t="s">
        <v>3087</v>
      </c>
      <c r="B158" s="15" t="s">
        <v>3117</v>
      </c>
      <c r="C158" s="15" t="s">
        <v>5995</v>
      </c>
      <c r="D158" s="34" t="n">
        <f aca="false">-Activities!K76</f>
        <v>-12</v>
      </c>
      <c r="E158" s="15" t="s">
        <v>6004</v>
      </c>
    </row>
    <row r="159" customFormat="false" ht="15" hidden="false" customHeight="false" outlineLevel="0" collapsed="false">
      <c r="A159" s="15" t="s">
        <v>3117</v>
      </c>
      <c r="B159" s="15" t="s">
        <v>3119</v>
      </c>
      <c r="C159" s="15" t="s">
        <v>5997</v>
      </c>
      <c r="D159" s="34" t="n">
        <f aca="false">Activities!M77</f>
        <v>10</v>
      </c>
      <c r="E159" s="15" t="s">
        <v>5998</v>
      </c>
    </row>
    <row r="160" customFormat="false" ht="15" hidden="false" customHeight="false" outlineLevel="0" collapsed="false">
      <c r="A160" s="15" t="s">
        <v>3117</v>
      </c>
      <c r="B160" s="15" t="s">
        <v>3119</v>
      </c>
      <c r="C160" s="15" t="s">
        <v>5999</v>
      </c>
      <c r="D160" s="34" t="n">
        <f aca="false">Activities!N77</f>
        <v>2</v>
      </c>
      <c r="E160" s="15" t="s">
        <v>5998</v>
      </c>
    </row>
    <row r="161" customFormat="false" ht="15" hidden="false" customHeight="false" outlineLevel="0" collapsed="false">
      <c r="A161" s="15" t="s">
        <v>3087</v>
      </c>
      <c r="B161" s="15" t="s">
        <v>3119</v>
      </c>
      <c r="C161" s="15" t="s">
        <v>5995</v>
      </c>
      <c r="D161" s="34" t="n">
        <v>0</v>
      </c>
      <c r="E161" s="15" t="s">
        <v>6003</v>
      </c>
    </row>
    <row r="162" customFormat="false" ht="15" hidden="false" customHeight="false" outlineLevel="0" collapsed="false">
      <c r="A162" s="15" t="s">
        <v>3182</v>
      </c>
      <c r="B162" s="15" t="s">
        <v>3119</v>
      </c>
      <c r="C162" s="15" t="s">
        <v>5997</v>
      </c>
      <c r="D162" s="34" t="n">
        <v>0</v>
      </c>
      <c r="E162" s="15" t="s">
        <v>6006</v>
      </c>
    </row>
    <row r="163" customFormat="false" ht="15" hidden="false" customHeight="false" outlineLevel="0" collapsed="false">
      <c r="A163" s="15" t="s">
        <v>3119</v>
      </c>
      <c r="B163" s="15" t="s">
        <v>3121</v>
      </c>
      <c r="C163" s="15" t="s">
        <v>5997</v>
      </c>
      <c r="D163" s="34" t="n">
        <f aca="false">Activities!M78</f>
        <v>4</v>
      </c>
      <c r="E163" s="15" t="s">
        <v>5998</v>
      </c>
    </row>
    <row r="164" customFormat="false" ht="15" hidden="false" customHeight="false" outlineLevel="0" collapsed="false">
      <c r="A164" s="15" t="s">
        <v>3119</v>
      </c>
      <c r="B164" s="15" t="s">
        <v>3121</v>
      </c>
      <c r="C164" s="15" t="s">
        <v>5999</v>
      </c>
      <c r="D164" s="34" t="n">
        <f aca="false">Activities!N78</f>
        <v>2</v>
      </c>
      <c r="E164" s="15" t="s">
        <v>5998</v>
      </c>
    </row>
    <row r="165" customFormat="false" ht="15" hidden="false" customHeight="false" outlineLevel="0" collapsed="false">
      <c r="A165" s="15" t="s">
        <v>3088</v>
      </c>
      <c r="B165" s="15" t="s">
        <v>3121</v>
      </c>
      <c r="C165" s="15" t="s">
        <v>5995</v>
      </c>
      <c r="D165" s="34" t="n">
        <v>0</v>
      </c>
      <c r="E165" s="15" t="s">
        <v>6003</v>
      </c>
    </row>
    <row r="166" customFormat="false" ht="15" hidden="false" customHeight="false" outlineLevel="0" collapsed="false">
      <c r="A166" s="15" t="s">
        <v>3121</v>
      </c>
      <c r="B166" s="15" t="s">
        <v>3122</v>
      </c>
      <c r="C166" s="15" t="s">
        <v>5997</v>
      </c>
      <c r="D166" s="34" t="n">
        <f aca="false">Activities!M79</f>
        <v>5</v>
      </c>
      <c r="E166" s="15" t="s">
        <v>5998</v>
      </c>
    </row>
    <row r="167" customFormat="false" ht="15" hidden="false" customHeight="false" outlineLevel="0" collapsed="false">
      <c r="A167" s="15" t="s">
        <v>3121</v>
      </c>
      <c r="B167" s="15" t="s">
        <v>3122</v>
      </c>
      <c r="C167" s="15" t="s">
        <v>5999</v>
      </c>
      <c r="D167" s="34" t="n">
        <f aca="false">Activities!N79</f>
        <v>2</v>
      </c>
      <c r="E167" s="15" t="s">
        <v>5998</v>
      </c>
    </row>
    <row r="168" customFormat="false" ht="15" hidden="false" customHeight="false" outlineLevel="0" collapsed="false">
      <c r="A168" s="15" t="s">
        <v>3089</v>
      </c>
      <c r="B168" s="15" t="s">
        <v>3122</v>
      </c>
      <c r="C168" s="15" t="s">
        <v>5995</v>
      </c>
      <c r="D168" s="34" t="n">
        <v>0</v>
      </c>
      <c r="E168" s="15" t="s">
        <v>6003</v>
      </c>
    </row>
    <row r="169" customFormat="false" ht="15" hidden="false" customHeight="false" outlineLevel="0" collapsed="false">
      <c r="A169" s="15" t="s">
        <v>3122</v>
      </c>
      <c r="B169" s="15" t="s">
        <v>3123</v>
      </c>
      <c r="C169" s="15" t="s">
        <v>5997</v>
      </c>
      <c r="D169" s="34" t="n">
        <f aca="false">Activities!M80</f>
        <v>3</v>
      </c>
      <c r="E169" s="15" t="s">
        <v>5998</v>
      </c>
    </row>
    <row r="170" customFormat="false" ht="15" hidden="false" customHeight="false" outlineLevel="0" collapsed="false">
      <c r="A170" s="15" t="s">
        <v>3122</v>
      </c>
      <c r="B170" s="15" t="s">
        <v>3123</v>
      </c>
      <c r="C170" s="15" t="s">
        <v>5999</v>
      </c>
      <c r="D170" s="34" t="n">
        <f aca="false">Activities!N80</f>
        <v>2</v>
      </c>
      <c r="E170" s="15" t="s">
        <v>5998</v>
      </c>
    </row>
    <row r="171" customFormat="false" ht="15" hidden="false" customHeight="false" outlineLevel="0" collapsed="false">
      <c r="A171" s="15" t="s">
        <v>3123</v>
      </c>
      <c r="B171" s="15" t="s">
        <v>3124</v>
      </c>
      <c r="C171" s="15" t="s">
        <v>5997</v>
      </c>
      <c r="D171" s="34" t="n">
        <f aca="false">Activities!M81</f>
        <v>2</v>
      </c>
      <c r="E171" s="15" t="s">
        <v>5998</v>
      </c>
    </row>
    <row r="172" customFormat="false" ht="15" hidden="false" customHeight="false" outlineLevel="0" collapsed="false">
      <c r="A172" s="15" t="s">
        <v>3123</v>
      </c>
      <c r="B172" s="15" t="s">
        <v>3124</v>
      </c>
      <c r="C172" s="15" t="s">
        <v>5999</v>
      </c>
      <c r="D172" s="34" t="n">
        <f aca="false">Activities!N81</f>
        <v>2</v>
      </c>
      <c r="E172" s="15" t="s">
        <v>5998</v>
      </c>
    </row>
    <row r="173" customFormat="false" ht="15" hidden="false" customHeight="false" outlineLevel="0" collapsed="false">
      <c r="A173" s="15" t="s">
        <v>3091</v>
      </c>
      <c r="B173" s="15" t="s">
        <v>3124</v>
      </c>
      <c r="C173" s="15" t="s">
        <v>5995</v>
      </c>
      <c r="D173" s="34" t="n">
        <v>0</v>
      </c>
      <c r="E173" s="15" t="s">
        <v>6003</v>
      </c>
    </row>
    <row r="174" customFormat="false" ht="15" hidden="false" customHeight="false" outlineLevel="0" collapsed="false">
      <c r="A174" s="15" t="s">
        <v>3138</v>
      </c>
      <c r="B174" s="15" t="s">
        <v>3124</v>
      </c>
      <c r="C174" s="15" t="s">
        <v>5995</v>
      </c>
      <c r="D174" s="34" t="n">
        <v>0</v>
      </c>
      <c r="E174" s="15" t="s">
        <v>6005</v>
      </c>
    </row>
    <row r="175" customFormat="false" ht="15" hidden="false" customHeight="false" outlineLevel="0" collapsed="false">
      <c r="A175" s="15" t="s">
        <v>3154</v>
      </c>
      <c r="B175" s="15" t="s">
        <v>3124</v>
      </c>
      <c r="C175" s="15" t="s">
        <v>5995</v>
      </c>
      <c r="D175" s="34" t="n">
        <v>0</v>
      </c>
      <c r="E175" s="15" t="s">
        <v>6005</v>
      </c>
    </row>
    <row r="176" customFormat="false" ht="15" hidden="false" customHeight="false" outlineLevel="0" collapsed="false">
      <c r="A176" s="15" t="s">
        <v>3228</v>
      </c>
      <c r="B176" s="15" t="s">
        <v>3124</v>
      </c>
      <c r="C176" s="15" t="s">
        <v>5995</v>
      </c>
      <c r="D176" s="34" t="n">
        <v>0</v>
      </c>
      <c r="E176" s="15" t="s">
        <v>6005</v>
      </c>
    </row>
    <row r="177" customFormat="false" ht="15" hidden="false" customHeight="false" outlineLevel="0" collapsed="false">
      <c r="A177" s="15" t="s">
        <v>3170</v>
      </c>
      <c r="B177" s="15" t="s">
        <v>3124</v>
      </c>
      <c r="C177" s="15" t="s">
        <v>5995</v>
      </c>
      <c r="D177" s="34" t="n">
        <v>0</v>
      </c>
      <c r="E177" s="15" t="s">
        <v>6005</v>
      </c>
    </row>
    <row r="178" customFormat="false" ht="15" hidden="false" customHeight="false" outlineLevel="0" collapsed="false">
      <c r="A178" s="15" t="s">
        <v>3184</v>
      </c>
      <c r="B178" s="15" t="s">
        <v>3124</v>
      </c>
      <c r="C178" s="15" t="s">
        <v>5995</v>
      </c>
      <c r="D178" s="34" t="n">
        <v>0</v>
      </c>
      <c r="E178" s="15" t="s">
        <v>6005</v>
      </c>
    </row>
    <row r="179" customFormat="false" ht="15" hidden="false" customHeight="false" outlineLevel="0" collapsed="false">
      <c r="A179" s="15" t="s">
        <v>3124</v>
      </c>
      <c r="B179" s="15" t="s">
        <v>3126</v>
      </c>
      <c r="C179" s="15" t="s">
        <v>5997</v>
      </c>
      <c r="D179" s="34" t="n">
        <f aca="false">Activities!M82</f>
        <v>3</v>
      </c>
      <c r="E179" s="15" t="s">
        <v>5998</v>
      </c>
    </row>
    <row r="180" customFormat="false" ht="15" hidden="false" customHeight="false" outlineLevel="0" collapsed="false">
      <c r="A180" s="15" t="s">
        <v>3124</v>
      </c>
      <c r="B180" s="15" t="s">
        <v>3126</v>
      </c>
      <c r="C180" s="15" t="s">
        <v>5999</v>
      </c>
      <c r="D180" s="34" t="n">
        <f aca="false">Activities!N82</f>
        <v>2</v>
      </c>
      <c r="E180" s="15" t="s">
        <v>5998</v>
      </c>
    </row>
    <row r="181" customFormat="false" ht="15" hidden="false" customHeight="false" outlineLevel="0" collapsed="false">
      <c r="A181" s="15" t="s">
        <v>3127</v>
      </c>
      <c r="B181" s="15" t="s">
        <v>3129</v>
      </c>
      <c r="C181" s="15" t="s">
        <v>5995</v>
      </c>
      <c r="D181" s="34" t="n">
        <v>0</v>
      </c>
      <c r="E181" s="15" t="s">
        <v>5996</v>
      </c>
    </row>
    <row r="182" customFormat="false" ht="15" hidden="false" customHeight="false" outlineLevel="0" collapsed="false">
      <c r="A182" s="15" t="s">
        <v>3115</v>
      </c>
      <c r="B182" s="15" t="s">
        <v>3129</v>
      </c>
      <c r="C182" s="15" t="s">
        <v>5997</v>
      </c>
      <c r="D182" s="34" t="n">
        <v>0</v>
      </c>
      <c r="E182" s="15" t="s">
        <v>6002</v>
      </c>
    </row>
    <row r="183" customFormat="false" ht="15" hidden="false" customHeight="false" outlineLevel="0" collapsed="false">
      <c r="A183" s="15" t="s">
        <v>3129</v>
      </c>
      <c r="B183" s="15" t="s">
        <v>3131</v>
      </c>
      <c r="C183" s="15" t="s">
        <v>5997</v>
      </c>
      <c r="D183" s="34" t="n">
        <f aca="false">Activities!M85</f>
        <v>1</v>
      </c>
      <c r="E183" s="15" t="s">
        <v>5998</v>
      </c>
    </row>
    <row r="184" customFormat="false" ht="15" hidden="false" customHeight="false" outlineLevel="0" collapsed="false">
      <c r="A184" s="15" t="s">
        <v>3129</v>
      </c>
      <c r="B184" s="15" t="s">
        <v>3131</v>
      </c>
      <c r="C184" s="15" t="s">
        <v>5999</v>
      </c>
      <c r="D184" s="34" t="n">
        <f aca="false">Activities!N85</f>
        <v>2</v>
      </c>
      <c r="E184" s="15" t="s">
        <v>5998</v>
      </c>
    </row>
    <row r="185" customFormat="false" ht="15" hidden="false" customHeight="false" outlineLevel="0" collapsed="false">
      <c r="A185" s="15" t="s">
        <v>3115</v>
      </c>
      <c r="B185" s="15" t="s">
        <v>3131</v>
      </c>
      <c r="C185" s="15" t="s">
        <v>5995</v>
      </c>
      <c r="D185" s="34" t="n">
        <v>0</v>
      </c>
      <c r="E185" s="15" t="s">
        <v>6003</v>
      </c>
    </row>
    <row r="186" customFormat="false" ht="15" hidden="false" customHeight="false" outlineLevel="0" collapsed="false">
      <c r="A186" s="15" t="s">
        <v>3131</v>
      </c>
      <c r="B186" s="15" t="s">
        <v>3132</v>
      </c>
      <c r="C186" s="15" t="s">
        <v>5997</v>
      </c>
      <c r="D186" s="34" t="n">
        <f aca="false">Activities!M86</f>
        <v>4</v>
      </c>
      <c r="E186" s="15" t="s">
        <v>5998</v>
      </c>
    </row>
    <row r="187" customFormat="false" ht="15" hidden="false" customHeight="false" outlineLevel="0" collapsed="false">
      <c r="A187" s="15" t="s">
        <v>3131</v>
      </c>
      <c r="B187" s="15" t="s">
        <v>3132</v>
      </c>
      <c r="C187" s="15" t="s">
        <v>5999</v>
      </c>
      <c r="D187" s="34" t="n">
        <f aca="false">Activities!N86</f>
        <v>2</v>
      </c>
      <c r="E187" s="15" t="s">
        <v>5998</v>
      </c>
    </row>
    <row r="188" customFormat="false" ht="15" hidden="false" customHeight="false" outlineLevel="0" collapsed="false">
      <c r="A188" s="15" t="s">
        <v>3116</v>
      </c>
      <c r="B188" s="15" t="s">
        <v>3132</v>
      </c>
      <c r="C188" s="15" t="s">
        <v>5995</v>
      </c>
      <c r="D188" s="34" t="n">
        <v>0</v>
      </c>
      <c r="E188" s="15" t="s">
        <v>6003</v>
      </c>
    </row>
    <row r="189" customFormat="false" ht="15" hidden="false" customHeight="false" outlineLevel="0" collapsed="false">
      <c r="A189" s="15" t="s">
        <v>3132</v>
      </c>
      <c r="B189" s="15" t="s">
        <v>3133</v>
      </c>
      <c r="C189" s="15" t="s">
        <v>5997</v>
      </c>
      <c r="D189" s="34" t="n">
        <f aca="false">Activities!M87</f>
        <v>3</v>
      </c>
      <c r="E189" s="15" t="s">
        <v>5998</v>
      </c>
    </row>
    <row r="190" customFormat="false" ht="15" hidden="false" customHeight="false" outlineLevel="0" collapsed="false">
      <c r="A190" s="15" t="s">
        <v>3132</v>
      </c>
      <c r="B190" s="15" t="s">
        <v>3133</v>
      </c>
      <c r="C190" s="15" t="s">
        <v>5999</v>
      </c>
      <c r="D190" s="34" t="n">
        <f aca="false">Activities!N87</f>
        <v>2</v>
      </c>
      <c r="E190" s="15" t="s">
        <v>5998</v>
      </c>
    </row>
    <row r="191" customFormat="false" ht="15" hidden="false" customHeight="false" outlineLevel="0" collapsed="false">
      <c r="A191" s="15" t="s">
        <v>3119</v>
      </c>
      <c r="B191" s="15" t="s">
        <v>3133</v>
      </c>
      <c r="C191" s="15" t="s">
        <v>5995</v>
      </c>
      <c r="D191" s="34" t="n">
        <f aca="false">-Activities!K87</f>
        <v>-11</v>
      </c>
      <c r="E191" s="15" t="s">
        <v>6004</v>
      </c>
    </row>
    <row r="192" customFormat="false" ht="15" hidden="false" customHeight="false" outlineLevel="0" collapsed="false">
      <c r="A192" s="15" t="s">
        <v>3133</v>
      </c>
      <c r="B192" s="15" t="s">
        <v>3135</v>
      </c>
      <c r="C192" s="15" t="s">
        <v>5997</v>
      </c>
      <c r="D192" s="34" t="n">
        <f aca="false">Activities!M88</f>
        <v>10</v>
      </c>
      <c r="E192" s="15" t="s">
        <v>5998</v>
      </c>
    </row>
    <row r="193" customFormat="false" ht="15" hidden="false" customHeight="false" outlineLevel="0" collapsed="false">
      <c r="A193" s="15" t="s">
        <v>3133</v>
      </c>
      <c r="B193" s="15" t="s">
        <v>3135</v>
      </c>
      <c r="C193" s="15" t="s">
        <v>5999</v>
      </c>
      <c r="D193" s="34" t="n">
        <f aca="false">Activities!N88</f>
        <v>2</v>
      </c>
      <c r="E193" s="15" t="s">
        <v>5998</v>
      </c>
    </row>
    <row r="194" customFormat="false" ht="15" hidden="false" customHeight="false" outlineLevel="0" collapsed="false">
      <c r="A194" s="15" t="s">
        <v>3119</v>
      </c>
      <c r="B194" s="15" t="s">
        <v>3135</v>
      </c>
      <c r="C194" s="15" t="s">
        <v>5995</v>
      </c>
      <c r="D194" s="34" t="n">
        <v>0</v>
      </c>
      <c r="E194" s="15" t="s">
        <v>6003</v>
      </c>
    </row>
    <row r="195" customFormat="false" ht="15" hidden="false" customHeight="false" outlineLevel="0" collapsed="false">
      <c r="A195" s="15" t="s">
        <v>3087</v>
      </c>
      <c r="B195" s="15" t="s">
        <v>3135</v>
      </c>
      <c r="C195" s="15" t="s">
        <v>5997</v>
      </c>
      <c r="D195" s="34" t="n">
        <v>0</v>
      </c>
      <c r="E195" s="15" t="s">
        <v>6006</v>
      </c>
    </row>
    <row r="196" customFormat="false" ht="15" hidden="false" customHeight="false" outlineLevel="0" collapsed="false">
      <c r="A196" s="15" t="s">
        <v>3072</v>
      </c>
      <c r="B196" s="15" t="s">
        <v>3135</v>
      </c>
      <c r="C196" s="15" t="s">
        <v>5997</v>
      </c>
      <c r="D196" s="34" t="n">
        <v>0</v>
      </c>
      <c r="E196" s="15" t="s">
        <v>6006</v>
      </c>
    </row>
    <row r="197" customFormat="false" ht="15" hidden="false" customHeight="false" outlineLevel="0" collapsed="false">
      <c r="A197" s="15" t="s">
        <v>3119</v>
      </c>
      <c r="B197" s="15" t="s">
        <v>3135</v>
      </c>
      <c r="C197" s="15" t="s">
        <v>5997</v>
      </c>
      <c r="D197" s="34" t="n">
        <v>0</v>
      </c>
      <c r="E197" s="15" t="s">
        <v>6006</v>
      </c>
    </row>
    <row r="198" customFormat="false" ht="15" hidden="false" customHeight="false" outlineLevel="0" collapsed="false">
      <c r="A198" s="15" t="s">
        <v>3135</v>
      </c>
      <c r="B198" s="15" t="s">
        <v>3137</v>
      </c>
      <c r="C198" s="15" t="s">
        <v>5997</v>
      </c>
      <c r="D198" s="34" t="n">
        <f aca="false">Activities!M89</f>
        <v>3</v>
      </c>
      <c r="E198" s="15" t="s">
        <v>5998</v>
      </c>
    </row>
    <row r="199" customFormat="false" ht="15" hidden="false" customHeight="false" outlineLevel="0" collapsed="false">
      <c r="A199" s="15" t="s">
        <v>3135</v>
      </c>
      <c r="B199" s="15" t="s">
        <v>3137</v>
      </c>
      <c r="C199" s="15" t="s">
        <v>5999</v>
      </c>
      <c r="D199" s="34" t="n">
        <f aca="false">Activities!N89</f>
        <v>2</v>
      </c>
      <c r="E199" s="15" t="s">
        <v>5998</v>
      </c>
    </row>
    <row r="200" customFormat="false" ht="15" hidden="false" customHeight="false" outlineLevel="0" collapsed="false">
      <c r="A200" s="15" t="s">
        <v>3121</v>
      </c>
      <c r="B200" s="15" t="s">
        <v>3137</v>
      </c>
      <c r="C200" s="15" t="s">
        <v>5995</v>
      </c>
      <c r="D200" s="34" t="n">
        <v>0</v>
      </c>
      <c r="E200" s="15" t="s">
        <v>6003</v>
      </c>
    </row>
    <row r="201" customFormat="false" ht="15" hidden="false" customHeight="false" outlineLevel="0" collapsed="false">
      <c r="A201" s="15" t="s">
        <v>3137</v>
      </c>
      <c r="B201" s="15" t="s">
        <v>3138</v>
      </c>
      <c r="C201" s="15" t="s">
        <v>5997</v>
      </c>
      <c r="D201" s="34" t="n">
        <f aca="false">Activities!M90</f>
        <v>4</v>
      </c>
      <c r="E201" s="15" t="s">
        <v>5998</v>
      </c>
    </row>
    <row r="202" customFormat="false" ht="15" hidden="false" customHeight="false" outlineLevel="0" collapsed="false">
      <c r="A202" s="15" t="s">
        <v>3137</v>
      </c>
      <c r="B202" s="15" t="s">
        <v>3138</v>
      </c>
      <c r="C202" s="15" t="s">
        <v>5999</v>
      </c>
      <c r="D202" s="34" t="n">
        <f aca="false">Activities!N90</f>
        <v>2</v>
      </c>
      <c r="E202" s="15" t="s">
        <v>5998</v>
      </c>
    </row>
    <row r="203" customFormat="false" ht="15" hidden="false" customHeight="false" outlineLevel="0" collapsed="false">
      <c r="A203" s="15" t="s">
        <v>3122</v>
      </c>
      <c r="B203" s="15" t="s">
        <v>3138</v>
      </c>
      <c r="C203" s="15" t="s">
        <v>5995</v>
      </c>
      <c r="D203" s="34" t="n">
        <v>0</v>
      </c>
      <c r="E203" s="15" t="s">
        <v>6003</v>
      </c>
    </row>
    <row r="204" customFormat="false" ht="15" hidden="false" customHeight="false" outlineLevel="0" collapsed="false">
      <c r="A204" s="15" t="s">
        <v>3138</v>
      </c>
      <c r="B204" s="15" t="s">
        <v>3139</v>
      </c>
      <c r="C204" s="15" t="s">
        <v>5997</v>
      </c>
      <c r="D204" s="34" t="n">
        <f aca="false">Activities!M91</f>
        <v>2</v>
      </c>
      <c r="E204" s="15" t="s">
        <v>5998</v>
      </c>
    </row>
    <row r="205" customFormat="false" ht="15" hidden="false" customHeight="false" outlineLevel="0" collapsed="false">
      <c r="A205" s="15" t="s">
        <v>3138</v>
      </c>
      <c r="B205" s="15" t="s">
        <v>3139</v>
      </c>
      <c r="C205" s="15" t="s">
        <v>5999</v>
      </c>
      <c r="D205" s="34" t="n">
        <f aca="false">Activities!N91</f>
        <v>2</v>
      </c>
      <c r="E205" s="15" t="s">
        <v>5998</v>
      </c>
    </row>
    <row r="206" customFormat="false" ht="15" hidden="false" customHeight="false" outlineLevel="0" collapsed="false">
      <c r="A206" s="15" t="s">
        <v>3139</v>
      </c>
      <c r="B206" s="15" t="s">
        <v>3140</v>
      </c>
      <c r="C206" s="15" t="s">
        <v>5997</v>
      </c>
      <c r="D206" s="34" t="n">
        <f aca="false">Activities!M92</f>
        <v>2</v>
      </c>
      <c r="E206" s="15" t="s">
        <v>5998</v>
      </c>
    </row>
    <row r="207" customFormat="false" ht="15" hidden="false" customHeight="false" outlineLevel="0" collapsed="false">
      <c r="A207" s="15" t="s">
        <v>3139</v>
      </c>
      <c r="B207" s="15" t="s">
        <v>3140</v>
      </c>
      <c r="C207" s="15" t="s">
        <v>5999</v>
      </c>
      <c r="D207" s="34" t="n">
        <f aca="false">Activities!N92</f>
        <v>2</v>
      </c>
      <c r="E207" s="15" t="s">
        <v>5998</v>
      </c>
    </row>
    <row r="208" customFormat="false" ht="15" hidden="false" customHeight="false" outlineLevel="0" collapsed="false">
      <c r="A208" s="15" t="s">
        <v>3124</v>
      </c>
      <c r="B208" s="15" t="s">
        <v>3140</v>
      </c>
      <c r="C208" s="15" t="s">
        <v>5995</v>
      </c>
      <c r="D208" s="34" t="n">
        <v>0</v>
      </c>
      <c r="E208" s="15" t="s">
        <v>6003</v>
      </c>
    </row>
    <row r="209" customFormat="false" ht="15" hidden="false" customHeight="false" outlineLevel="0" collapsed="false">
      <c r="A209" s="15" t="s">
        <v>3089</v>
      </c>
      <c r="B209" s="15" t="s">
        <v>3140</v>
      </c>
      <c r="C209" s="15" t="s">
        <v>5995</v>
      </c>
      <c r="D209" s="34" t="n">
        <v>0</v>
      </c>
      <c r="E209" s="15" t="s">
        <v>6005</v>
      </c>
    </row>
    <row r="210" customFormat="false" ht="15" hidden="false" customHeight="false" outlineLevel="0" collapsed="false">
      <c r="A210" s="15" t="s">
        <v>3074</v>
      </c>
      <c r="B210" s="15" t="s">
        <v>3140</v>
      </c>
      <c r="C210" s="15" t="s">
        <v>5995</v>
      </c>
      <c r="D210" s="34" t="n">
        <v>0</v>
      </c>
      <c r="E210" s="15" t="s">
        <v>6005</v>
      </c>
    </row>
    <row r="211" customFormat="false" ht="15" hidden="false" customHeight="false" outlineLevel="0" collapsed="false">
      <c r="A211" s="15" t="s">
        <v>3122</v>
      </c>
      <c r="B211" s="15" t="s">
        <v>3140</v>
      </c>
      <c r="C211" s="15" t="s">
        <v>5995</v>
      </c>
      <c r="D211" s="34" t="n">
        <v>0</v>
      </c>
      <c r="E211" s="15" t="s">
        <v>6005</v>
      </c>
    </row>
    <row r="212" customFormat="false" ht="15" hidden="false" customHeight="false" outlineLevel="0" collapsed="false">
      <c r="A212" s="15" t="s">
        <v>3140</v>
      </c>
      <c r="B212" s="15" t="s">
        <v>3142</v>
      </c>
      <c r="C212" s="15" t="s">
        <v>5997</v>
      </c>
      <c r="D212" s="34" t="n">
        <f aca="false">Activities!M93</f>
        <v>2</v>
      </c>
      <c r="E212" s="15" t="s">
        <v>5998</v>
      </c>
    </row>
    <row r="213" customFormat="false" ht="15" hidden="false" customHeight="false" outlineLevel="0" collapsed="false">
      <c r="A213" s="15" t="s">
        <v>3140</v>
      </c>
      <c r="B213" s="15" t="s">
        <v>3142</v>
      </c>
      <c r="C213" s="15" t="s">
        <v>5999</v>
      </c>
      <c r="D213" s="34" t="n">
        <f aca="false">Activities!N93</f>
        <v>2</v>
      </c>
      <c r="E213" s="15" t="s">
        <v>5998</v>
      </c>
    </row>
    <row r="214" customFormat="false" ht="15" hidden="false" customHeight="false" outlineLevel="0" collapsed="false">
      <c r="A214" s="15" t="s">
        <v>3143</v>
      </c>
      <c r="B214" s="15" t="s">
        <v>3145</v>
      </c>
      <c r="C214" s="15" t="s">
        <v>5995</v>
      </c>
      <c r="D214" s="34" t="n">
        <v>0</v>
      </c>
      <c r="E214" s="15" t="s">
        <v>5996</v>
      </c>
    </row>
    <row r="215" customFormat="false" ht="15" hidden="false" customHeight="false" outlineLevel="0" collapsed="false">
      <c r="A215" s="15" t="s">
        <v>3131</v>
      </c>
      <c r="B215" s="15" t="s">
        <v>3145</v>
      </c>
      <c r="C215" s="15" t="s">
        <v>5997</v>
      </c>
      <c r="D215" s="34" t="n">
        <v>0</v>
      </c>
      <c r="E215" s="15" t="s">
        <v>6002</v>
      </c>
    </row>
    <row r="216" customFormat="false" ht="15" hidden="false" customHeight="false" outlineLevel="0" collapsed="false">
      <c r="A216" s="15" t="s">
        <v>3145</v>
      </c>
      <c r="B216" s="15" t="s">
        <v>3147</v>
      </c>
      <c r="C216" s="15" t="s">
        <v>5997</v>
      </c>
      <c r="D216" s="34" t="n">
        <f aca="false">Activities!M96</f>
        <v>1</v>
      </c>
      <c r="E216" s="15" t="s">
        <v>5998</v>
      </c>
    </row>
    <row r="217" customFormat="false" ht="15" hidden="false" customHeight="false" outlineLevel="0" collapsed="false">
      <c r="A217" s="15" t="s">
        <v>3145</v>
      </c>
      <c r="B217" s="15" t="s">
        <v>3147</v>
      </c>
      <c r="C217" s="15" t="s">
        <v>5999</v>
      </c>
      <c r="D217" s="34" t="n">
        <f aca="false">Activities!N96</f>
        <v>2</v>
      </c>
      <c r="E217" s="15" t="s">
        <v>5998</v>
      </c>
    </row>
    <row r="218" customFormat="false" ht="15" hidden="false" customHeight="false" outlineLevel="0" collapsed="false">
      <c r="A218" s="15" t="s">
        <v>3131</v>
      </c>
      <c r="B218" s="15" t="s">
        <v>3147</v>
      </c>
      <c r="C218" s="15" t="s">
        <v>5995</v>
      </c>
      <c r="D218" s="34" t="n">
        <v>0</v>
      </c>
      <c r="E218" s="15" t="s">
        <v>6003</v>
      </c>
    </row>
    <row r="219" customFormat="false" ht="15" hidden="false" customHeight="false" outlineLevel="0" collapsed="false">
      <c r="A219" s="15" t="s">
        <v>3147</v>
      </c>
      <c r="B219" s="15" t="s">
        <v>3148</v>
      </c>
      <c r="C219" s="15" t="s">
        <v>5997</v>
      </c>
      <c r="D219" s="34" t="n">
        <f aca="false">Activities!M97</f>
        <v>2</v>
      </c>
      <c r="E219" s="15" t="s">
        <v>5998</v>
      </c>
    </row>
    <row r="220" customFormat="false" ht="15" hidden="false" customHeight="false" outlineLevel="0" collapsed="false">
      <c r="A220" s="15" t="s">
        <v>3147</v>
      </c>
      <c r="B220" s="15" t="s">
        <v>3148</v>
      </c>
      <c r="C220" s="15" t="s">
        <v>5999</v>
      </c>
      <c r="D220" s="34" t="n">
        <f aca="false">Activities!N97</f>
        <v>2</v>
      </c>
      <c r="E220" s="15" t="s">
        <v>5998</v>
      </c>
    </row>
    <row r="221" customFormat="false" ht="15" hidden="false" customHeight="false" outlineLevel="0" collapsed="false">
      <c r="A221" s="15" t="s">
        <v>3132</v>
      </c>
      <c r="B221" s="15" t="s">
        <v>3148</v>
      </c>
      <c r="C221" s="15" t="s">
        <v>5995</v>
      </c>
      <c r="D221" s="34" t="n">
        <v>0</v>
      </c>
      <c r="E221" s="15" t="s">
        <v>6003</v>
      </c>
    </row>
    <row r="222" customFormat="false" ht="15" hidden="false" customHeight="false" outlineLevel="0" collapsed="false">
      <c r="A222" s="15" t="s">
        <v>3148</v>
      </c>
      <c r="B222" s="15" t="s">
        <v>3149</v>
      </c>
      <c r="C222" s="15" t="s">
        <v>5997</v>
      </c>
      <c r="D222" s="34" t="n">
        <f aca="false">Activities!M98</f>
        <v>1</v>
      </c>
      <c r="E222" s="15" t="s">
        <v>5998</v>
      </c>
    </row>
    <row r="223" customFormat="false" ht="15" hidden="false" customHeight="false" outlineLevel="0" collapsed="false">
      <c r="A223" s="15" t="s">
        <v>3148</v>
      </c>
      <c r="B223" s="15" t="s">
        <v>3149</v>
      </c>
      <c r="C223" s="15" t="s">
        <v>5999</v>
      </c>
      <c r="D223" s="34" t="n">
        <f aca="false">Activities!N98</f>
        <v>2</v>
      </c>
      <c r="E223" s="15" t="s">
        <v>5998</v>
      </c>
    </row>
    <row r="224" customFormat="false" ht="15" hidden="false" customHeight="false" outlineLevel="0" collapsed="false">
      <c r="A224" s="15" t="s">
        <v>3135</v>
      </c>
      <c r="B224" s="15" t="s">
        <v>3149</v>
      </c>
      <c r="C224" s="15" t="s">
        <v>5995</v>
      </c>
      <c r="D224" s="34" t="n">
        <f aca="false">-Activities!K98</f>
        <v>-10</v>
      </c>
      <c r="E224" s="15" t="s">
        <v>6004</v>
      </c>
    </row>
    <row r="225" customFormat="false" ht="15" hidden="false" customHeight="false" outlineLevel="0" collapsed="false">
      <c r="A225" s="15" t="s">
        <v>3149</v>
      </c>
      <c r="B225" s="15" t="s">
        <v>3151</v>
      </c>
      <c r="C225" s="15" t="s">
        <v>5997</v>
      </c>
      <c r="D225" s="34" t="n">
        <f aca="false">Activities!M99</f>
        <v>10</v>
      </c>
      <c r="E225" s="15" t="s">
        <v>5998</v>
      </c>
    </row>
    <row r="226" customFormat="false" ht="15" hidden="false" customHeight="false" outlineLevel="0" collapsed="false">
      <c r="A226" s="15" t="s">
        <v>3149</v>
      </c>
      <c r="B226" s="15" t="s">
        <v>3151</v>
      </c>
      <c r="C226" s="15" t="s">
        <v>5999</v>
      </c>
      <c r="D226" s="34" t="n">
        <f aca="false">Activities!N99</f>
        <v>2</v>
      </c>
      <c r="E226" s="15" t="s">
        <v>5998</v>
      </c>
    </row>
    <row r="227" customFormat="false" ht="15" hidden="false" customHeight="false" outlineLevel="0" collapsed="false">
      <c r="A227" s="15" t="s">
        <v>3135</v>
      </c>
      <c r="B227" s="15" t="s">
        <v>3151</v>
      </c>
      <c r="C227" s="15" t="s">
        <v>5995</v>
      </c>
      <c r="D227" s="34" t="n">
        <v>0</v>
      </c>
      <c r="E227" s="15" t="s">
        <v>6003</v>
      </c>
    </row>
    <row r="228" customFormat="false" ht="15" hidden="false" customHeight="false" outlineLevel="0" collapsed="false">
      <c r="A228" s="15" t="s">
        <v>3072</v>
      </c>
      <c r="B228" s="15" t="s">
        <v>3151</v>
      </c>
      <c r="C228" s="15" t="s">
        <v>5997</v>
      </c>
      <c r="D228" s="34" t="n">
        <v>0</v>
      </c>
      <c r="E228" s="15" t="s">
        <v>6006</v>
      </c>
    </row>
    <row r="229" customFormat="false" ht="15" hidden="false" customHeight="false" outlineLevel="0" collapsed="false">
      <c r="A229" s="15" t="s">
        <v>3119</v>
      </c>
      <c r="B229" s="15" t="s">
        <v>3151</v>
      </c>
      <c r="C229" s="15" t="s">
        <v>5997</v>
      </c>
      <c r="D229" s="34" t="n">
        <v>0</v>
      </c>
      <c r="E229" s="15" t="s">
        <v>6006</v>
      </c>
    </row>
    <row r="230" customFormat="false" ht="15" hidden="false" customHeight="false" outlineLevel="0" collapsed="false">
      <c r="A230" s="15" t="s">
        <v>3151</v>
      </c>
      <c r="B230" s="15" t="s">
        <v>3153</v>
      </c>
      <c r="C230" s="15" t="s">
        <v>5997</v>
      </c>
      <c r="D230" s="34" t="n">
        <f aca="false">Activities!M100</f>
        <v>1</v>
      </c>
      <c r="E230" s="15" t="s">
        <v>5998</v>
      </c>
    </row>
    <row r="231" customFormat="false" ht="15" hidden="false" customHeight="false" outlineLevel="0" collapsed="false">
      <c r="A231" s="15" t="s">
        <v>3151</v>
      </c>
      <c r="B231" s="15" t="s">
        <v>3153</v>
      </c>
      <c r="C231" s="15" t="s">
        <v>5999</v>
      </c>
      <c r="D231" s="34" t="n">
        <f aca="false">Activities!N100</f>
        <v>2</v>
      </c>
      <c r="E231" s="15" t="s">
        <v>5998</v>
      </c>
    </row>
    <row r="232" customFormat="false" ht="15" hidden="false" customHeight="false" outlineLevel="0" collapsed="false">
      <c r="A232" s="15" t="s">
        <v>3137</v>
      </c>
      <c r="B232" s="15" t="s">
        <v>3153</v>
      </c>
      <c r="C232" s="15" t="s">
        <v>5995</v>
      </c>
      <c r="D232" s="34" t="n">
        <v>0</v>
      </c>
      <c r="E232" s="15" t="s">
        <v>6003</v>
      </c>
    </row>
    <row r="233" customFormat="false" ht="15" hidden="false" customHeight="false" outlineLevel="0" collapsed="false">
      <c r="A233" s="15" t="s">
        <v>3153</v>
      </c>
      <c r="B233" s="15" t="s">
        <v>3154</v>
      </c>
      <c r="C233" s="15" t="s">
        <v>5997</v>
      </c>
      <c r="D233" s="34" t="n">
        <f aca="false">Activities!M101</f>
        <v>2</v>
      </c>
      <c r="E233" s="15" t="s">
        <v>5998</v>
      </c>
    </row>
    <row r="234" customFormat="false" ht="15" hidden="false" customHeight="false" outlineLevel="0" collapsed="false">
      <c r="A234" s="15" t="s">
        <v>3153</v>
      </c>
      <c r="B234" s="15" t="s">
        <v>3154</v>
      </c>
      <c r="C234" s="15" t="s">
        <v>5999</v>
      </c>
      <c r="D234" s="34" t="n">
        <f aca="false">Activities!N101</f>
        <v>2</v>
      </c>
      <c r="E234" s="15" t="s">
        <v>5998</v>
      </c>
    </row>
    <row r="235" customFormat="false" ht="15" hidden="false" customHeight="false" outlineLevel="0" collapsed="false">
      <c r="A235" s="15" t="s">
        <v>3138</v>
      </c>
      <c r="B235" s="15" t="s">
        <v>3154</v>
      </c>
      <c r="C235" s="15" t="s">
        <v>5995</v>
      </c>
      <c r="D235" s="34" t="n">
        <v>0</v>
      </c>
      <c r="E235" s="15" t="s">
        <v>6003</v>
      </c>
    </row>
    <row r="236" customFormat="false" ht="15" hidden="false" customHeight="false" outlineLevel="0" collapsed="false">
      <c r="A236" s="15" t="s">
        <v>3154</v>
      </c>
      <c r="B236" s="15" t="s">
        <v>3155</v>
      </c>
      <c r="C236" s="15" t="s">
        <v>5997</v>
      </c>
      <c r="D236" s="34" t="n">
        <f aca="false">Activities!M102</f>
        <v>1</v>
      </c>
      <c r="E236" s="15" t="s">
        <v>5998</v>
      </c>
    </row>
    <row r="237" customFormat="false" ht="15" hidden="false" customHeight="false" outlineLevel="0" collapsed="false">
      <c r="A237" s="15" t="s">
        <v>3154</v>
      </c>
      <c r="B237" s="15" t="s">
        <v>3155</v>
      </c>
      <c r="C237" s="15" t="s">
        <v>5999</v>
      </c>
      <c r="D237" s="34" t="n">
        <f aca="false">Activities!N102</f>
        <v>2</v>
      </c>
      <c r="E237" s="15" t="s">
        <v>5998</v>
      </c>
    </row>
    <row r="238" customFormat="false" ht="15" hidden="false" customHeight="false" outlineLevel="0" collapsed="false">
      <c r="A238" s="15" t="s">
        <v>3155</v>
      </c>
      <c r="B238" s="15" t="s">
        <v>3156</v>
      </c>
      <c r="C238" s="15" t="s">
        <v>5997</v>
      </c>
      <c r="D238" s="34" t="n">
        <f aca="false">Activities!M103</f>
        <v>2</v>
      </c>
      <c r="E238" s="15" t="s">
        <v>5998</v>
      </c>
    </row>
    <row r="239" customFormat="false" ht="15" hidden="false" customHeight="false" outlineLevel="0" collapsed="false">
      <c r="A239" s="15" t="s">
        <v>3155</v>
      </c>
      <c r="B239" s="15" t="s">
        <v>3156</v>
      </c>
      <c r="C239" s="15" t="s">
        <v>5999</v>
      </c>
      <c r="D239" s="34" t="n">
        <f aca="false">Activities!N103</f>
        <v>2</v>
      </c>
      <c r="E239" s="15" t="s">
        <v>5998</v>
      </c>
    </row>
    <row r="240" customFormat="false" ht="15" hidden="false" customHeight="false" outlineLevel="0" collapsed="false">
      <c r="A240" s="15" t="s">
        <v>3140</v>
      </c>
      <c r="B240" s="15" t="s">
        <v>3156</v>
      </c>
      <c r="C240" s="15" t="s">
        <v>5995</v>
      </c>
      <c r="D240" s="34" t="n">
        <v>0</v>
      </c>
      <c r="E240" s="15" t="s">
        <v>6003</v>
      </c>
    </row>
    <row r="241" customFormat="false" ht="15" hidden="false" customHeight="false" outlineLevel="0" collapsed="false">
      <c r="A241" s="15" t="s">
        <v>3074</v>
      </c>
      <c r="B241" s="15" t="s">
        <v>3156</v>
      </c>
      <c r="C241" s="15" t="s">
        <v>5995</v>
      </c>
      <c r="D241" s="34" t="n">
        <v>0</v>
      </c>
      <c r="E241" s="15" t="s">
        <v>6005</v>
      </c>
    </row>
    <row r="242" customFormat="false" ht="15" hidden="false" customHeight="false" outlineLevel="0" collapsed="false">
      <c r="A242" s="15" t="s">
        <v>3122</v>
      </c>
      <c r="B242" s="15" t="s">
        <v>3156</v>
      </c>
      <c r="C242" s="15" t="s">
        <v>5995</v>
      </c>
      <c r="D242" s="34" t="n">
        <v>0</v>
      </c>
      <c r="E242" s="15" t="s">
        <v>6005</v>
      </c>
    </row>
    <row r="243" customFormat="false" ht="15" hidden="false" customHeight="false" outlineLevel="0" collapsed="false">
      <c r="A243" s="15" t="s">
        <v>3156</v>
      </c>
      <c r="B243" s="15" t="s">
        <v>3158</v>
      </c>
      <c r="C243" s="15" t="s">
        <v>5997</v>
      </c>
      <c r="D243" s="34" t="n">
        <f aca="false">Activities!M104</f>
        <v>1</v>
      </c>
      <c r="E243" s="15" t="s">
        <v>5998</v>
      </c>
    </row>
    <row r="244" customFormat="false" ht="15" hidden="false" customHeight="false" outlineLevel="0" collapsed="false">
      <c r="A244" s="15" t="s">
        <v>3156</v>
      </c>
      <c r="B244" s="15" t="s">
        <v>3158</v>
      </c>
      <c r="C244" s="15" t="s">
        <v>5999</v>
      </c>
      <c r="D244" s="34" t="n">
        <f aca="false">Activities!N104</f>
        <v>2</v>
      </c>
      <c r="E244" s="15" t="s">
        <v>5998</v>
      </c>
    </row>
    <row r="245" customFormat="false" ht="15" hidden="false" customHeight="false" outlineLevel="0" collapsed="false">
      <c r="A245" s="15" t="s">
        <v>3159</v>
      </c>
      <c r="B245" s="15" t="s">
        <v>3161</v>
      </c>
      <c r="C245" s="15" t="s">
        <v>5995</v>
      </c>
      <c r="D245" s="34" t="n">
        <v>0</v>
      </c>
      <c r="E245" s="15" t="s">
        <v>5996</v>
      </c>
    </row>
    <row r="246" customFormat="false" ht="15" hidden="false" customHeight="false" outlineLevel="0" collapsed="false">
      <c r="A246" s="15" t="s">
        <v>3147</v>
      </c>
      <c r="B246" s="15" t="s">
        <v>3161</v>
      </c>
      <c r="C246" s="15" t="s">
        <v>5997</v>
      </c>
      <c r="D246" s="34" t="n">
        <v>0</v>
      </c>
      <c r="E246" s="15" t="s">
        <v>6002</v>
      </c>
    </row>
    <row r="247" customFormat="false" ht="15" hidden="false" customHeight="false" outlineLevel="0" collapsed="false">
      <c r="A247" s="15" t="s">
        <v>3161</v>
      </c>
      <c r="B247" s="15" t="s">
        <v>3163</v>
      </c>
      <c r="C247" s="15" t="s">
        <v>5997</v>
      </c>
      <c r="D247" s="34" t="n">
        <f aca="false">Activities!M107</f>
        <v>1</v>
      </c>
      <c r="E247" s="15" t="s">
        <v>5998</v>
      </c>
    </row>
    <row r="248" customFormat="false" ht="15" hidden="false" customHeight="false" outlineLevel="0" collapsed="false">
      <c r="A248" s="15" t="s">
        <v>3161</v>
      </c>
      <c r="B248" s="15" t="s">
        <v>3163</v>
      </c>
      <c r="C248" s="15" t="s">
        <v>5999</v>
      </c>
      <c r="D248" s="34" t="n">
        <f aca="false">Activities!N107</f>
        <v>2</v>
      </c>
      <c r="E248" s="15" t="s">
        <v>5998</v>
      </c>
    </row>
    <row r="249" customFormat="false" ht="15" hidden="false" customHeight="false" outlineLevel="0" collapsed="false">
      <c r="A249" s="15" t="s">
        <v>3147</v>
      </c>
      <c r="B249" s="15" t="s">
        <v>3163</v>
      </c>
      <c r="C249" s="15" t="s">
        <v>5995</v>
      </c>
      <c r="D249" s="34" t="n">
        <v>0</v>
      </c>
      <c r="E249" s="15" t="s">
        <v>6003</v>
      </c>
    </row>
    <row r="250" customFormat="false" ht="15" hidden="false" customHeight="false" outlineLevel="0" collapsed="false">
      <c r="A250" s="15" t="s">
        <v>3163</v>
      </c>
      <c r="B250" s="15" t="s">
        <v>3164</v>
      </c>
      <c r="C250" s="15" t="s">
        <v>5997</v>
      </c>
      <c r="D250" s="34" t="n">
        <f aca="false">Activities!M108</f>
        <v>1</v>
      </c>
      <c r="E250" s="15" t="s">
        <v>5998</v>
      </c>
    </row>
    <row r="251" customFormat="false" ht="15" hidden="false" customHeight="false" outlineLevel="0" collapsed="false">
      <c r="A251" s="15" t="s">
        <v>3163</v>
      </c>
      <c r="B251" s="15" t="s">
        <v>3164</v>
      </c>
      <c r="C251" s="15" t="s">
        <v>5999</v>
      </c>
      <c r="D251" s="34" t="n">
        <f aca="false">Activities!N108</f>
        <v>2</v>
      </c>
      <c r="E251" s="15" t="s">
        <v>5998</v>
      </c>
    </row>
    <row r="252" customFormat="false" ht="15" hidden="false" customHeight="false" outlineLevel="0" collapsed="false">
      <c r="A252" s="15" t="s">
        <v>3148</v>
      </c>
      <c r="B252" s="15" t="s">
        <v>3164</v>
      </c>
      <c r="C252" s="15" t="s">
        <v>5995</v>
      </c>
      <c r="D252" s="34" t="n">
        <v>0</v>
      </c>
      <c r="E252" s="15" t="s">
        <v>6003</v>
      </c>
    </row>
    <row r="253" customFormat="false" ht="15" hidden="false" customHeight="false" outlineLevel="0" collapsed="false">
      <c r="A253" s="15" t="s">
        <v>3164</v>
      </c>
      <c r="B253" s="15" t="s">
        <v>3165</v>
      </c>
      <c r="C253" s="15" t="s">
        <v>5997</v>
      </c>
      <c r="D253" s="34" t="n">
        <f aca="false">Activities!M109</f>
        <v>1</v>
      </c>
      <c r="E253" s="15" t="s">
        <v>5998</v>
      </c>
    </row>
    <row r="254" customFormat="false" ht="15" hidden="false" customHeight="false" outlineLevel="0" collapsed="false">
      <c r="A254" s="15" t="s">
        <v>3164</v>
      </c>
      <c r="B254" s="15" t="s">
        <v>3165</v>
      </c>
      <c r="C254" s="15" t="s">
        <v>5999</v>
      </c>
      <c r="D254" s="34" t="n">
        <f aca="false">Activities!N109</f>
        <v>2</v>
      </c>
      <c r="E254" s="15" t="s">
        <v>5998</v>
      </c>
    </row>
    <row r="255" customFormat="false" ht="15" hidden="false" customHeight="false" outlineLevel="0" collapsed="false">
      <c r="A255" s="15" t="s">
        <v>3151</v>
      </c>
      <c r="B255" s="15" t="s">
        <v>3165</v>
      </c>
      <c r="C255" s="15" t="s">
        <v>5995</v>
      </c>
      <c r="D255" s="34" t="n">
        <f aca="false">-Activities!K109</f>
        <v>-10</v>
      </c>
      <c r="E255" s="15" t="s">
        <v>6004</v>
      </c>
    </row>
    <row r="256" customFormat="false" ht="15" hidden="false" customHeight="false" outlineLevel="0" collapsed="false">
      <c r="A256" s="15" t="s">
        <v>3165</v>
      </c>
      <c r="B256" s="15" t="s">
        <v>3167</v>
      </c>
      <c r="C256" s="15" t="s">
        <v>5997</v>
      </c>
      <c r="D256" s="34" t="n">
        <f aca="false">Activities!M110</f>
        <v>10</v>
      </c>
      <c r="E256" s="15" t="s">
        <v>5998</v>
      </c>
    </row>
    <row r="257" customFormat="false" ht="15" hidden="false" customHeight="false" outlineLevel="0" collapsed="false">
      <c r="A257" s="15" t="s">
        <v>3165</v>
      </c>
      <c r="B257" s="15" t="s">
        <v>3167</v>
      </c>
      <c r="C257" s="15" t="s">
        <v>5999</v>
      </c>
      <c r="D257" s="34" t="n">
        <f aca="false">Activities!N110</f>
        <v>2</v>
      </c>
      <c r="E257" s="15" t="s">
        <v>5998</v>
      </c>
    </row>
    <row r="258" customFormat="false" ht="15" hidden="false" customHeight="false" outlineLevel="0" collapsed="false">
      <c r="A258" s="15" t="s">
        <v>3151</v>
      </c>
      <c r="B258" s="15" t="s">
        <v>3167</v>
      </c>
      <c r="C258" s="15" t="s">
        <v>5995</v>
      </c>
      <c r="D258" s="34" t="n">
        <v>0</v>
      </c>
      <c r="E258" s="15" t="s">
        <v>6003</v>
      </c>
    </row>
    <row r="259" customFormat="false" ht="15" hidden="false" customHeight="false" outlineLevel="0" collapsed="false">
      <c r="A259" s="15" t="s">
        <v>3119</v>
      </c>
      <c r="B259" s="15" t="s">
        <v>3167</v>
      </c>
      <c r="C259" s="15" t="s">
        <v>5997</v>
      </c>
      <c r="D259" s="34" t="n">
        <v>0</v>
      </c>
      <c r="E259" s="15" t="s">
        <v>6006</v>
      </c>
    </row>
    <row r="260" customFormat="false" ht="15" hidden="false" customHeight="false" outlineLevel="0" collapsed="false">
      <c r="A260" s="15" t="s">
        <v>3167</v>
      </c>
      <c r="B260" s="15" t="s">
        <v>3169</v>
      </c>
      <c r="C260" s="15" t="s">
        <v>5997</v>
      </c>
      <c r="D260" s="34" t="n">
        <f aca="false">Activities!M111</f>
        <v>1</v>
      </c>
      <c r="E260" s="15" t="s">
        <v>5998</v>
      </c>
    </row>
    <row r="261" customFormat="false" ht="15" hidden="false" customHeight="false" outlineLevel="0" collapsed="false">
      <c r="A261" s="15" t="s">
        <v>3167</v>
      </c>
      <c r="B261" s="15" t="s">
        <v>3169</v>
      </c>
      <c r="C261" s="15" t="s">
        <v>5999</v>
      </c>
      <c r="D261" s="34" t="n">
        <f aca="false">Activities!N111</f>
        <v>2</v>
      </c>
      <c r="E261" s="15" t="s">
        <v>5998</v>
      </c>
    </row>
    <row r="262" customFormat="false" ht="15" hidden="false" customHeight="false" outlineLevel="0" collapsed="false">
      <c r="A262" s="15" t="s">
        <v>3153</v>
      </c>
      <c r="B262" s="15" t="s">
        <v>3169</v>
      </c>
      <c r="C262" s="15" t="s">
        <v>5995</v>
      </c>
      <c r="D262" s="34" t="n">
        <v>0</v>
      </c>
      <c r="E262" s="15" t="s">
        <v>6003</v>
      </c>
    </row>
    <row r="263" customFormat="false" ht="15" hidden="false" customHeight="false" outlineLevel="0" collapsed="false">
      <c r="A263" s="15" t="s">
        <v>3169</v>
      </c>
      <c r="B263" s="15" t="s">
        <v>3170</v>
      </c>
      <c r="C263" s="15" t="s">
        <v>5997</v>
      </c>
      <c r="D263" s="34" t="n">
        <f aca="false">Activities!M112</f>
        <v>2</v>
      </c>
      <c r="E263" s="15" t="s">
        <v>5998</v>
      </c>
    </row>
    <row r="264" customFormat="false" ht="15" hidden="false" customHeight="false" outlineLevel="0" collapsed="false">
      <c r="A264" s="15" t="s">
        <v>3169</v>
      </c>
      <c r="B264" s="15" t="s">
        <v>3170</v>
      </c>
      <c r="C264" s="15" t="s">
        <v>5999</v>
      </c>
      <c r="D264" s="34" t="n">
        <f aca="false">Activities!N112</f>
        <v>2</v>
      </c>
      <c r="E264" s="15" t="s">
        <v>5998</v>
      </c>
    </row>
    <row r="265" customFormat="false" ht="15" hidden="false" customHeight="false" outlineLevel="0" collapsed="false">
      <c r="A265" s="15" t="s">
        <v>3154</v>
      </c>
      <c r="B265" s="15" t="s">
        <v>3170</v>
      </c>
      <c r="C265" s="15" t="s">
        <v>5995</v>
      </c>
      <c r="D265" s="34" t="n">
        <v>0</v>
      </c>
      <c r="E265" s="15" t="s">
        <v>6003</v>
      </c>
    </row>
    <row r="266" customFormat="false" ht="15" hidden="false" customHeight="false" outlineLevel="0" collapsed="false">
      <c r="A266" s="15" t="s">
        <v>3170</v>
      </c>
      <c r="B266" s="15" t="s">
        <v>3171</v>
      </c>
      <c r="C266" s="15" t="s">
        <v>5997</v>
      </c>
      <c r="D266" s="34" t="n">
        <f aca="false">Activities!M113</f>
        <v>1</v>
      </c>
      <c r="E266" s="15" t="s">
        <v>5998</v>
      </c>
    </row>
    <row r="267" customFormat="false" ht="15" hidden="false" customHeight="false" outlineLevel="0" collapsed="false">
      <c r="A267" s="15" t="s">
        <v>3170</v>
      </c>
      <c r="B267" s="15" t="s">
        <v>3171</v>
      </c>
      <c r="C267" s="15" t="s">
        <v>5999</v>
      </c>
      <c r="D267" s="34" t="n">
        <f aca="false">Activities!N113</f>
        <v>2</v>
      </c>
      <c r="E267" s="15" t="s">
        <v>5998</v>
      </c>
    </row>
    <row r="268" customFormat="false" ht="15" hidden="false" customHeight="false" outlineLevel="0" collapsed="false">
      <c r="A268" s="15" t="s">
        <v>3171</v>
      </c>
      <c r="B268" s="15" t="s">
        <v>3172</v>
      </c>
      <c r="C268" s="15" t="s">
        <v>5997</v>
      </c>
      <c r="D268" s="34" t="n">
        <f aca="false">Activities!M114</f>
        <v>2</v>
      </c>
      <c r="E268" s="15" t="s">
        <v>5998</v>
      </c>
    </row>
    <row r="269" customFormat="false" ht="15" hidden="false" customHeight="false" outlineLevel="0" collapsed="false">
      <c r="A269" s="15" t="s">
        <v>3171</v>
      </c>
      <c r="B269" s="15" t="s">
        <v>3172</v>
      </c>
      <c r="C269" s="15" t="s">
        <v>5999</v>
      </c>
      <c r="D269" s="34" t="n">
        <f aca="false">Activities!N114</f>
        <v>2</v>
      </c>
      <c r="E269" s="15" t="s">
        <v>5998</v>
      </c>
    </row>
    <row r="270" customFormat="false" ht="15" hidden="false" customHeight="false" outlineLevel="0" collapsed="false">
      <c r="A270" s="15" t="s">
        <v>3156</v>
      </c>
      <c r="B270" s="15" t="s">
        <v>3172</v>
      </c>
      <c r="C270" s="15" t="s">
        <v>5995</v>
      </c>
      <c r="D270" s="34" t="n">
        <v>0</v>
      </c>
      <c r="E270" s="15" t="s">
        <v>6003</v>
      </c>
    </row>
    <row r="271" customFormat="false" ht="15" hidden="false" customHeight="false" outlineLevel="0" collapsed="false">
      <c r="A271" s="15" t="s">
        <v>3122</v>
      </c>
      <c r="B271" s="15" t="s">
        <v>3172</v>
      </c>
      <c r="C271" s="15" t="s">
        <v>5995</v>
      </c>
      <c r="D271" s="34" t="n">
        <v>0</v>
      </c>
      <c r="E271" s="15" t="s">
        <v>6005</v>
      </c>
    </row>
    <row r="272" customFormat="false" ht="15" hidden="false" customHeight="false" outlineLevel="0" collapsed="false">
      <c r="A272" s="15" t="s">
        <v>3105</v>
      </c>
      <c r="B272" s="15" t="s">
        <v>3172</v>
      </c>
      <c r="C272" s="15" t="s">
        <v>5995</v>
      </c>
      <c r="D272" s="34" t="n">
        <v>0</v>
      </c>
      <c r="E272" s="15" t="s">
        <v>6005</v>
      </c>
    </row>
    <row r="273" customFormat="false" ht="15" hidden="false" customHeight="false" outlineLevel="0" collapsed="false">
      <c r="A273" s="15" t="s">
        <v>3199</v>
      </c>
      <c r="B273" s="15" t="s">
        <v>3172</v>
      </c>
      <c r="C273" s="15" t="s">
        <v>5995</v>
      </c>
      <c r="D273" s="34" t="n">
        <v>0</v>
      </c>
      <c r="E273" s="15" t="s">
        <v>6005</v>
      </c>
    </row>
    <row r="274" customFormat="false" ht="15" hidden="false" customHeight="false" outlineLevel="0" collapsed="false">
      <c r="A274" s="15" t="s">
        <v>3212</v>
      </c>
      <c r="B274" s="15" t="s">
        <v>3172</v>
      </c>
      <c r="C274" s="15" t="s">
        <v>5995</v>
      </c>
      <c r="D274" s="34" t="n">
        <v>0</v>
      </c>
      <c r="E274" s="15" t="s">
        <v>6005</v>
      </c>
    </row>
    <row r="275" customFormat="false" ht="15" hidden="false" customHeight="false" outlineLevel="0" collapsed="false">
      <c r="A275" s="15" t="s">
        <v>3172</v>
      </c>
      <c r="B275" s="15" t="s">
        <v>3174</v>
      </c>
      <c r="C275" s="15" t="s">
        <v>5997</v>
      </c>
      <c r="D275" s="34" t="n">
        <f aca="false">Activities!M115</f>
        <v>1</v>
      </c>
      <c r="E275" s="15" t="s">
        <v>5998</v>
      </c>
    </row>
    <row r="276" customFormat="false" ht="15" hidden="false" customHeight="false" outlineLevel="0" collapsed="false">
      <c r="A276" s="15" t="s">
        <v>3172</v>
      </c>
      <c r="B276" s="15" t="s">
        <v>3174</v>
      </c>
      <c r="C276" s="15" t="s">
        <v>5999</v>
      </c>
      <c r="D276" s="34" t="n">
        <f aca="false">Activities!N115</f>
        <v>2</v>
      </c>
      <c r="E276" s="15" t="s">
        <v>5998</v>
      </c>
    </row>
    <row r="277" customFormat="false" ht="15" hidden="false" customHeight="false" outlineLevel="0" collapsed="false">
      <c r="A277" s="15" t="s">
        <v>3175</v>
      </c>
      <c r="B277" s="15" t="s">
        <v>3177</v>
      </c>
      <c r="C277" s="15" t="s">
        <v>5995</v>
      </c>
      <c r="D277" s="34" t="n">
        <v>0</v>
      </c>
      <c r="E277" s="15" t="s">
        <v>5996</v>
      </c>
    </row>
    <row r="278" customFormat="false" ht="15" hidden="false" customHeight="false" outlineLevel="0" collapsed="false">
      <c r="A278" s="15" t="s">
        <v>3163</v>
      </c>
      <c r="B278" s="15" t="s">
        <v>3177</v>
      </c>
      <c r="C278" s="15" t="s">
        <v>5997</v>
      </c>
      <c r="D278" s="34" t="n">
        <v>0</v>
      </c>
      <c r="E278" s="15" t="s">
        <v>6000</v>
      </c>
    </row>
    <row r="279" customFormat="false" ht="15" hidden="false" customHeight="false" outlineLevel="0" collapsed="false">
      <c r="A279" s="15" t="s">
        <v>3177</v>
      </c>
      <c r="B279" s="15" t="s">
        <v>3179</v>
      </c>
      <c r="C279" s="15" t="s">
        <v>5997</v>
      </c>
      <c r="D279" s="34" t="n">
        <f aca="false">Activities!M118</f>
        <v>1</v>
      </c>
      <c r="E279" s="15" t="s">
        <v>5998</v>
      </c>
    </row>
    <row r="280" customFormat="false" ht="15" hidden="false" customHeight="false" outlineLevel="0" collapsed="false">
      <c r="A280" s="15" t="s">
        <v>3177</v>
      </c>
      <c r="B280" s="15" t="s">
        <v>3179</v>
      </c>
      <c r="C280" s="15" t="s">
        <v>5999</v>
      </c>
      <c r="D280" s="34" t="n">
        <f aca="false">Activities!N118</f>
        <v>2</v>
      </c>
      <c r="E280" s="15" t="s">
        <v>5998</v>
      </c>
    </row>
    <row r="281" customFormat="false" ht="15" hidden="false" customHeight="false" outlineLevel="0" collapsed="false">
      <c r="A281" s="15" t="s">
        <v>3179</v>
      </c>
      <c r="B281" s="15" t="s">
        <v>3180</v>
      </c>
      <c r="C281" s="15" t="s">
        <v>5997</v>
      </c>
      <c r="D281" s="34" t="n">
        <f aca="false">Activities!M119</f>
        <v>1</v>
      </c>
      <c r="E281" s="15" t="s">
        <v>5998</v>
      </c>
    </row>
    <row r="282" customFormat="false" ht="15" hidden="false" customHeight="false" outlineLevel="0" collapsed="false">
      <c r="A282" s="15" t="s">
        <v>3179</v>
      </c>
      <c r="B282" s="15" t="s">
        <v>3180</v>
      </c>
      <c r="C282" s="15" t="s">
        <v>5999</v>
      </c>
      <c r="D282" s="34" t="n">
        <f aca="false">Activities!N119</f>
        <v>2</v>
      </c>
      <c r="E282" s="15" t="s">
        <v>5998</v>
      </c>
    </row>
    <row r="283" customFormat="false" ht="15" hidden="false" customHeight="false" outlineLevel="0" collapsed="false">
      <c r="A283" s="15" t="s">
        <v>3180</v>
      </c>
      <c r="B283" s="15" t="s">
        <v>3181</v>
      </c>
      <c r="C283" s="15" t="s">
        <v>5997</v>
      </c>
      <c r="D283" s="34" t="n">
        <f aca="false">Activities!M120</f>
        <v>1</v>
      </c>
      <c r="E283" s="15" t="s">
        <v>5998</v>
      </c>
    </row>
    <row r="284" customFormat="false" ht="15" hidden="false" customHeight="false" outlineLevel="0" collapsed="false">
      <c r="A284" s="15" t="s">
        <v>3180</v>
      </c>
      <c r="B284" s="15" t="s">
        <v>3181</v>
      </c>
      <c r="C284" s="15" t="s">
        <v>5999</v>
      </c>
      <c r="D284" s="34" t="n">
        <f aca="false">Activities!N120</f>
        <v>2</v>
      </c>
      <c r="E284" s="15" t="s">
        <v>5998</v>
      </c>
    </row>
    <row r="285" customFormat="false" ht="15" hidden="false" customHeight="false" outlineLevel="0" collapsed="false">
      <c r="A285" s="15" t="s">
        <v>3181</v>
      </c>
      <c r="B285" s="15" t="s">
        <v>3182</v>
      </c>
      <c r="C285" s="15" t="s">
        <v>5997</v>
      </c>
      <c r="D285" s="34" t="n">
        <f aca="false">Activities!M121</f>
        <v>10</v>
      </c>
      <c r="E285" s="15" t="s">
        <v>5998</v>
      </c>
    </row>
    <row r="286" customFormat="false" ht="15" hidden="false" customHeight="false" outlineLevel="0" collapsed="false">
      <c r="A286" s="15" t="s">
        <v>3181</v>
      </c>
      <c r="B286" s="15" t="s">
        <v>3182</v>
      </c>
      <c r="C286" s="15" t="s">
        <v>5999</v>
      </c>
      <c r="D286" s="34" t="n">
        <f aca="false">Activities!N121</f>
        <v>2</v>
      </c>
      <c r="E286" s="15" t="s">
        <v>5998</v>
      </c>
    </row>
    <row r="287" customFormat="false" ht="15" hidden="false" customHeight="false" outlineLevel="0" collapsed="false">
      <c r="A287" s="15" t="s">
        <v>3182</v>
      </c>
      <c r="B287" s="15" t="s">
        <v>3183</v>
      </c>
      <c r="C287" s="15" t="s">
        <v>5997</v>
      </c>
      <c r="D287" s="34" t="n">
        <f aca="false">Activities!M122</f>
        <v>1</v>
      </c>
      <c r="E287" s="15" t="s">
        <v>5998</v>
      </c>
    </row>
    <row r="288" customFormat="false" ht="15" hidden="false" customHeight="false" outlineLevel="0" collapsed="false">
      <c r="A288" s="15" t="s">
        <v>3182</v>
      </c>
      <c r="B288" s="15" t="s">
        <v>3183</v>
      </c>
      <c r="C288" s="15" t="s">
        <v>5999</v>
      </c>
      <c r="D288" s="34" t="n">
        <f aca="false">Activities!N122</f>
        <v>2</v>
      </c>
      <c r="E288" s="15" t="s">
        <v>5998</v>
      </c>
    </row>
    <row r="289" customFormat="false" ht="15" hidden="false" customHeight="false" outlineLevel="0" collapsed="false">
      <c r="A289" s="15" t="s">
        <v>3183</v>
      </c>
      <c r="B289" s="15" t="s">
        <v>3184</v>
      </c>
      <c r="C289" s="15" t="s">
        <v>5997</v>
      </c>
      <c r="D289" s="34" t="n">
        <f aca="false">Activities!M123</f>
        <v>2</v>
      </c>
      <c r="E289" s="15" t="s">
        <v>5998</v>
      </c>
    </row>
    <row r="290" customFormat="false" ht="15" hidden="false" customHeight="false" outlineLevel="0" collapsed="false">
      <c r="A290" s="15" t="s">
        <v>3183</v>
      </c>
      <c r="B290" s="15" t="s">
        <v>3184</v>
      </c>
      <c r="C290" s="15" t="s">
        <v>5999</v>
      </c>
      <c r="D290" s="34" t="n">
        <f aca="false">Activities!N123</f>
        <v>2</v>
      </c>
      <c r="E290" s="15" t="s">
        <v>5998</v>
      </c>
    </row>
    <row r="291" customFormat="false" ht="15" hidden="false" customHeight="false" outlineLevel="0" collapsed="false">
      <c r="A291" s="15" t="s">
        <v>3170</v>
      </c>
      <c r="B291" s="15" t="s">
        <v>3184</v>
      </c>
      <c r="C291" s="15" t="s">
        <v>5995</v>
      </c>
      <c r="D291" s="34" t="n">
        <v>0</v>
      </c>
      <c r="E291" s="15" t="s">
        <v>6001</v>
      </c>
    </row>
    <row r="292" customFormat="false" ht="15" hidden="false" customHeight="false" outlineLevel="0" collapsed="false">
      <c r="A292" s="15" t="s">
        <v>3184</v>
      </c>
      <c r="B292" s="15" t="s">
        <v>3186</v>
      </c>
      <c r="C292" s="15" t="s">
        <v>5997</v>
      </c>
      <c r="D292" s="34" t="n">
        <f aca="false">Activities!M124</f>
        <v>2</v>
      </c>
      <c r="E292" s="15" t="s">
        <v>5998</v>
      </c>
    </row>
    <row r="293" customFormat="false" ht="15" hidden="false" customHeight="false" outlineLevel="0" collapsed="false">
      <c r="A293" s="15" t="s">
        <v>3184</v>
      </c>
      <c r="B293" s="15" t="s">
        <v>3186</v>
      </c>
      <c r="C293" s="15" t="s">
        <v>5999</v>
      </c>
      <c r="D293" s="34" t="n">
        <f aca="false">Activities!N124</f>
        <v>2</v>
      </c>
      <c r="E293" s="15" t="s">
        <v>5998</v>
      </c>
    </row>
    <row r="294" customFormat="false" ht="15" hidden="false" customHeight="false" outlineLevel="0" collapsed="false">
      <c r="A294" s="15" t="s">
        <v>3186</v>
      </c>
      <c r="B294" s="15" t="s">
        <v>3187</v>
      </c>
      <c r="C294" s="15" t="s">
        <v>5997</v>
      </c>
      <c r="D294" s="34" t="n">
        <f aca="false">Activities!M125</f>
        <v>2</v>
      </c>
      <c r="E294" s="15" t="s">
        <v>5998</v>
      </c>
    </row>
    <row r="295" customFormat="false" ht="15" hidden="false" customHeight="false" outlineLevel="0" collapsed="false">
      <c r="A295" s="15" t="s">
        <v>3186</v>
      </c>
      <c r="B295" s="15" t="s">
        <v>3187</v>
      </c>
      <c r="C295" s="15" t="s">
        <v>5999</v>
      </c>
      <c r="D295" s="34" t="n">
        <f aca="false">Activities!N125</f>
        <v>2</v>
      </c>
      <c r="E295" s="15" t="s">
        <v>5998</v>
      </c>
    </row>
    <row r="296" customFormat="false" ht="15" hidden="false" customHeight="false" outlineLevel="0" collapsed="false">
      <c r="A296" s="15" t="s">
        <v>3122</v>
      </c>
      <c r="B296" s="15" t="s">
        <v>3187</v>
      </c>
      <c r="C296" s="15" t="s">
        <v>5995</v>
      </c>
      <c r="D296" s="34" t="n">
        <v>0</v>
      </c>
      <c r="E296" s="15" t="s">
        <v>6005</v>
      </c>
    </row>
    <row r="297" customFormat="false" ht="15" hidden="false" customHeight="false" outlineLevel="0" collapsed="false">
      <c r="A297" s="15" t="s">
        <v>3105</v>
      </c>
      <c r="B297" s="15" t="s">
        <v>3187</v>
      </c>
      <c r="C297" s="15" t="s">
        <v>5995</v>
      </c>
      <c r="D297" s="34" t="n">
        <v>0</v>
      </c>
      <c r="E297" s="15" t="s">
        <v>6005</v>
      </c>
    </row>
    <row r="298" customFormat="false" ht="15" hidden="false" customHeight="false" outlineLevel="0" collapsed="false">
      <c r="A298" s="15" t="s">
        <v>3199</v>
      </c>
      <c r="B298" s="15" t="s">
        <v>3187</v>
      </c>
      <c r="C298" s="15" t="s">
        <v>5995</v>
      </c>
      <c r="D298" s="34" t="n">
        <v>0</v>
      </c>
      <c r="E298" s="15" t="s">
        <v>6005</v>
      </c>
    </row>
    <row r="299" customFormat="false" ht="15" hidden="false" customHeight="false" outlineLevel="0" collapsed="false">
      <c r="A299" s="15" t="s">
        <v>3212</v>
      </c>
      <c r="B299" s="15" t="s">
        <v>3187</v>
      </c>
      <c r="C299" s="15" t="s">
        <v>5995</v>
      </c>
      <c r="D299" s="34" t="n">
        <v>0</v>
      </c>
      <c r="E299" s="15" t="s">
        <v>6005</v>
      </c>
    </row>
    <row r="300" customFormat="false" ht="15" hidden="false" customHeight="false" outlineLevel="0" collapsed="false">
      <c r="A300" s="15" t="s">
        <v>3187</v>
      </c>
      <c r="B300" s="15" t="s">
        <v>3188</v>
      </c>
      <c r="C300" s="15" t="s">
        <v>5997</v>
      </c>
      <c r="D300" s="34" t="n">
        <f aca="false">Activities!M126</f>
        <v>1</v>
      </c>
      <c r="E300" s="15" t="s">
        <v>5998</v>
      </c>
    </row>
    <row r="301" customFormat="false" ht="15" hidden="false" customHeight="false" outlineLevel="0" collapsed="false">
      <c r="A301" s="15" t="s">
        <v>3187</v>
      </c>
      <c r="B301" s="15" t="s">
        <v>3188</v>
      </c>
      <c r="C301" s="15" t="s">
        <v>5999</v>
      </c>
      <c r="D301" s="34" t="n">
        <f aca="false">Activities!N126</f>
        <v>2</v>
      </c>
      <c r="E301" s="15" t="s">
        <v>5998</v>
      </c>
    </row>
    <row r="302" customFormat="false" ht="15" hidden="false" customHeight="false" outlineLevel="0" collapsed="false">
      <c r="A302" s="15" t="s">
        <v>3189</v>
      </c>
      <c r="B302" s="15" t="s">
        <v>3191</v>
      </c>
      <c r="C302" s="15" t="s">
        <v>5995</v>
      </c>
      <c r="D302" s="34" t="n">
        <v>0</v>
      </c>
      <c r="E302" s="15" t="s">
        <v>5996</v>
      </c>
    </row>
    <row r="303" customFormat="false" ht="15" hidden="false" customHeight="false" outlineLevel="0" collapsed="false">
      <c r="A303" s="15" t="s">
        <v>3163</v>
      </c>
      <c r="B303" s="15" t="s">
        <v>3191</v>
      </c>
      <c r="C303" s="15" t="s">
        <v>5997</v>
      </c>
      <c r="D303" s="34" t="n">
        <v>0</v>
      </c>
      <c r="E303" s="15" t="s">
        <v>6002</v>
      </c>
    </row>
    <row r="304" customFormat="false" ht="15" hidden="false" customHeight="false" outlineLevel="0" collapsed="false">
      <c r="A304" s="15" t="s">
        <v>3191</v>
      </c>
      <c r="B304" s="15" t="s">
        <v>3193</v>
      </c>
      <c r="C304" s="15" t="s">
        <v>5997</v>
      </c>
      <c r="D304" s="34" t="n">
        <f aca="false">Activities!M129</f>
        <v>1</v>
      </c>
      <c r="E304" s="15" t="s">
        <v>5998</v>
      </c>
    </row>
    <row r="305" customFormat="false" ht="15" hidden="false" customHeight="false" outlineLevel="0" collapsed="false">
      <c r="A305" s="15" t="s">
        <v>3191</v>
      </c>
      <c r="B305" s="15" t="s">
        <v>3193</v>
      </c>
      <c r="C305" s="15" t="s">
        <v>5999</v>
      </c>
      <c r="D305" s="34" t="n">
        <f aca="false">Activities!N129</f>
        <v>2</v>
      </c>
      <c r="E305" s="15" t="s">
        <v>5998</v>
      </c>
    </row>
    <row r="306" customFormat="false" ht="15" hidden="false" customHeight="false" outlineLevel="0" collapsed="false">
      <c r="A306" s="15" t="s">
        <v>3163</v>
      </c>
      <c r="B306" s="15" t="s">
        <v>3193</v>
      </c>
      <c r="C306" s="15" t="s">
        <v>5995</v>
      </c>
      <c r="D306" s="34" t="n">
        <v>0</v>
      </c>
      <c r="E306" s="15" t="s">
        <v>6003</v>
      </c>
    </row>
    <row r="307" customFormat="false" ht="15" hidden="false" customHeight="false" outlineLevel="0" collapsed="false">
      <c r="A307" s="15" t="s">
        <v>3193</v>
      </c>
      <c r="B307" s="15" t="s">
        <v>3194</v>
      </c>
      <c r="C307" s="15" t="s">
        <v>5997</v>
      </c>
      <c r="D307" s="34" t="n">
        <f aca="false">Activities!M130</f>
        <v>1</v>
      </c>
      <c r="E307" s="15" t="s">
        <v>5998</v>
      </c>
    </row>
    <row r="308" customFormat="false" ht="15" hidden="false" customHeight="false" outlineLevel="0" collapsed="false">
      <c r="A308" s="15" t="s">
        <v>3193</v>
      </c>
      <c r="B308" s="15" t="s">
        <v>3194</v>
      </c>
      <c r="C308" s="15" t="s">
        <v>5999</v>
      </c>
      <c r="D308" s="34" t="n">
        <f aca="false">Activities!N130</f>
        <v>2</v>
      </c>
      <c r="E308" s="15" t="s">
        <v>5998</v>
      </c>
    </row>
    <row r="309" customFormat="false" ht="15" hidden="false" customHeight="false" outlineLevel="0" collapsed="false">
      <c r="A309" s="15" t="s">
        <v>3164</v>
      </c>
      <c r="B309" s="15" t="s">
        <v>3194</v>
      </c>
      <c r="C309" s="15" t="s">
        <v>5995</v>
      </c>
      <c r="D309" s="34" t="n">
        <v>0</v>
      </c>
      <c r="E309" s="15" t="s">
        <v>6003</v>
      </c>
    </row>
    <row r="310" customFormat="false" ht="15" hidden="false" customHeight="false" outlineLevel="0" collapsed="false">
      <c r="A310" s="15" t="s">
        <v>3194</v>
      </c>
      <c r="B310" s="15" t="s">
        <v>3195</v>
      </c>
      <c r="C310" s="15" t="s">
        <v>5997</v>
      </c>
      <c r="D310" s="34" t="n">
        <f aca="false">Activities!M131</f>
        <v>1</v>
      </c>
      <c r="E310" s="15" t="s">
        <v>5998</v>
      </c>
    </row>
    <row r="311" customFormat="false" ht="15" hidden="false" customHeight="false" outlineLevel="0" collapsed="false">
      <c r="A311" s="15" t="s">
        <v>3194</v>
      </c>
      <c r="B311" s="15" t="s">
        <v>3195</v>
      </c>
      <c r="C311" s="15" t="s">
        <v>5999</v>
      </c>
      <c r="D311" s="34" t="n">
        <f aca="false">Activities!N131</f>
        <v>2</v>
      </c>
      <c r="E311" s="15" t="s">
        <v>5998</v>
      </c>
    </row>
    <row r="312" customFormat="false" ht="15" hidden="false" customHeight="false" outlineLevel="0" collapsed="false">
      <c r="A312" s="15" t="s">
        <v>3167</v>
      </c>
      <c r="B312" s="15" t="s">
        <v>3195</v>
      </c>
      <c r="C312" s="15" t="s">
        <v>5995</v>
      </c>
      <c r="D312" s="34" t="n">
        <f aca="false">-Activities!K131</f>
        <v>-10</v>
      </c>
      <c r="E312" s="15" t="s">
        <v>6004</v>
      </c>
    </row>
    <row r="313" customFormat="false" ht="15" hidden="false" customHeight="false" outlineLevel="0" collapsed="false">
      <c r="A313" s="15" t="s">
        <v>3195</v>
      </c>
      <c r="B313" s="15" t="s">
        <v>3197</v>
      </c>
      <c r="C313" s="15" t="s">
        <v>5997</v>
      </c>
      <c r="D313" s="34" t="n">
        <f aca="false">Activities!M132</f>
        <v>10</v>
      </c>
      <c r="E313" s="15" t="s">
        <v>5998</v>
      </c>
    </row>
    <row r="314" customFormat="false" ht="15" hidden="false" customHeight="false" outlineLevel="0" collapsed="false">
      <c r="A314" s="15" t="s">
        <v>3195</v>
      </c>
      <c r="B314" s="15" t="s">
        <v>3197</v>
      </c>
      <c r="C314" s="15" t="s">
        <v>5999</v>
      </c>
      <c r="D314" s="34" t="n">
        <f aca="false">Activities!N132</f>
        <v>2</v>
      </c>
      <c r="E314" s="15" t="s">
        <v>5998</v>
      </c>
    </row>
    <row r="315" customFormat="false" ht="15" hidden="false" customHeight="false" outlineLevel="0" collapsed="false">
      <c r="A315" s="15" t="s">
        <v>3167</v>
      </c>
      <c r="B315" s="15" t="s">
        <v>3197</v>
      </c>
      <c r="C315" s="15" t="s">
        <v>5995</v>
      </c>
      <c r="D315" s="34" t="n">
        <v>0</v>
      </c>
      <c r="E315" s="15" t="s">
        <v>6003</v>
      </c>
    </row>
    <row r="316" customFormat="false" ht="15" hidden="false" customHeight="false" outlineLevel="0" collapsed="false">
      <c r="A316" s="15" t="s">
        <v>3167</v>
      </c>
      <c r="B316" s="15" t="s">
        <v>3197</v>
      </c>
      <c r="C316" s="15" t="s">
        <v>5997</v>
      </c>
      <c r="D316" s="34" t="n">
        <v>0</v>
      </c>
      <c r="E316" s="15" t="s">
        <v>6006</v>
      </c>
    </row>
    <row r="317" customFormat="false" ht="15" hidden="false" customHeight="false" outlineLevel="0" collapsed="false">
      <c r="A317" s="15" t="s">
        <v>3182</v>
      </c>
      <c r="B317" s="15" t="s">
        <v>3197</v>
      </c>
      <c r="C317" s="15" t="s">
        <v>5997</v>
      </c>
      <c r="D317" s="34" t="n">
        <v>0</v>
      </c>
      <c r="E317" s="15" t="s">
        <v>6006</v>
      </c>
    </row>
    <row r="318" customFormat="false" ht="15" hidden="false" customHeight="false" outlineLevel="0" collapsed="false">
      <c r="A318" s="15" t="s">
        <v>3197</v>
      </c>
      <c r="B318" s="15" t="s">
        <v>3198</v>
      </c>
      <c r="C318" s="15" t="s">
        <v>5997</v>
      </c>
      <c r="D318" s="34" t="n">
        <f aca="false">Activities!M133</f>
        <v>1</v>
      </c>
      <c r="E318" s="15" t="s">
        <v>5998</v>
      </c>
    </row>
    <row r="319" customFormat="false" ht="15" hidden="false" customHeight="false" outlineLevel="0" collapsed="false">
      <c r="A319" s="15" t="s">
        <v>3197</v>
      </c>
      <c r="B319" s="15" t="s">
        <v>3198</v>
      </c>
      <c r="C319" s="15" t="s">
        <v>5999</v>
      </c>
      <c r="D319" s="34" t="n">
        <f aca="false">Activities!N133</f>
        <v>2</v>
      </c>
      <c r="E319" s="15" t="s">
        <v>5998</v>
      </c>
    </row>
    <row r="320" customFormat="false" ht="15" hidden="false" customHeight="false" outlineLevel="0" collapsed="false">
      <c r="A320" s="15" t="s">
        <v>3169</v>
      </c>
      <c r="B320" s="15" t="s">
        <v>3198</v>
      </c>
      <c r="C320" s="15" t="s">
        <v>5995</v>
      </c>
      <c r="D320" s="34" t="n">
        <v>0</v>
      </c>
      <c r="E320" s="15" t="s">
        <v>6003</v>
      </c>
    </row>
    <row r="321" customFormat="false" ht="15" hidden="false" customHeight="false" outlineLevel="0" collapsed="false">
      <c r="A321" s="15" t="s">
        <v>3198</v>
      </c>
      <c r="B321" s="15" t="s">
        <v>3199</v>
      </c>
      <c r="C321" s="15" t="s">
        <v>5997</v>
      </c>
      <c r="D321" s="34" t="n">
        <f aca="false">Activities!M134</f>
        <v>2</v>
      </c>
      <c r="E321" s="15" t="s">
        <v>5998</v>
      </c>
    </row>
    <row r="322" customFormat="false" ht="15" hidden="false" customHeight="false" outlineLevel="0" collapsed="false">
      <c r="A322" s="15" t="s">
        <v>3198</v>
      </c>
      <c r="B322" s="15" t="s">
        <v>3199</v>
      </c>
      <c r="C322" s="15" t="s">
        <v>5999</v>
      </c>
      <c r="D322" s="34" t="n">
        <f aca="false">Activities!N134</f>
        <v>2</v>
      </c>
      <c r="E322" s="15" t="s">
        <v>5998</v>
      </c>
    </row>
    <row r="323" customFormat="false" ht="15" hidden="false" customHeight="false" outlineLevel="0" collapsed="false">
      <c r="A323" s="15" t="s">
        <v>3170</v>
      </c>
      <c r="B323" s="15" t="s">
        <v>3199</v>
      </c>
      <c r="C323" s="15" t="s">
        <v>5995</v>
      </c>
      <c r="D323" s="34" t="n">
        <v>0</v>
      </c>
      <c r="E323" s="15" t="s">
        <v>6003</v>
      </c>
    </row>
    <row r="324" customFormat="false" ht="15" hidden="false" customHeight="false" outlineLevel="0" collapsed="false">
      <c r="A324" s="15" t="s">
        <v>3199</v>
      </c>
      <c r="B324" s="15" t="s">
        <v>3200</v>
      </c>
      <c r="C324" s="15" t="s">
        <v>5997</v>
      </c>
      <c r="D324" s="34" t="n">
        <f aca="false">Activities!M135</f>
        <v>2</v>
      </c>
      <c r="E324" s="15" t="s">
        <v>5998</v>
      </c>
    </row>
    <row r="325" customFormat="false" ht="15" hidden="false" customHeight="false" outlineLevel="0" collapsed="false">
      <c r="A325" s="15" t="s">
        <v>3199</v>
      </c>
      <c r="B325" s="15" t="s">
        <v>3200</v>
      </c>
      <c r="C325" s="15" t="s">
        <v>5999</v>
      </c>
      <c r="D325" s="34" t="n">
        <f aca="false">Activities!N135</f>
        <v>2</v>
      </c>
      <c r="E325" s="15" t="s">
        <v>5998</v>
      </c>
    </row>
    <row r="326" customFormat="false" ht="15" hidden="false" customHeight="false" outlineLevel="0" collapsed="false">
      <c r="A326" s="15" t="s">
        <v>3200</v>
      </c>
      <c r="B326" s="15" t="s">
        <v>3201</v>
      </c>
      <c r="C326" s="15" t="s">
        <v>5997</v>
      </c>
      <c r="D326" s="34" t="n">
        <f aca="false">Activities!M136</f>
        <v>2</v>
      </c>
      <c r="E326" s="15" t="s">
        <v>5998</v>
      </c>
    </row>
    <row r="327" customFormat="false" ht="15" hidden="false" customHeight="false" outlineLevel="0" collapsed="false">
      <c r="A327" s="15" t="s">
        <v>3200</v>
      </c>
      <c r="B327" s="15" t="s">
        <v>3201</v>
      </c>
      <c r="C327" s="15" t="s">
        <v>5999</v>
      </c>
      <c r="D327" s="34" t="n">
        <f aca="false">Activities!N136</f>
        <v>2</v>
      </c>
      <c r="E327" s="15" t="s">
        <v>5998</v>
      </c>
    </row>
    <row r="328" customFormat="false" ht="15" hidden="false" customHeight="false" outlineLevel="0" collapsed="false">
      <c r="A328" s="15" t="s">
        <v>3172</v>
      </c>
      <c r="B328" s="15" t="s">
        <v>3201</v>
      </c>
      <c r="C328" s="15" t="s">
        <v>5995</v>
      </c>
      <c r="D328" s="34" t="n">
        <v>0</v>
      </c>
      <c r="E328" s="15" t="s">
        <v>6003</v>
      </c>
    </row>
    <row r="329" customFormat="false" ht="15" hidden="false" customHeight="false" outlineLevel="0" collapsed="false">
      <c r="A329" s="15" t="s">
        <v>3170</v>
      </c>
      <c r="B329" s="15" t="s">
        <v>3201</v>
      </c>
      <c r="C329" s="15" t="s">
        <v>5995</v>
      </c>
      <c r="D329" s="34" t="n">
        <v>0</v>
      </c>
      <c r="E329" s="15" t="s">
        <v>6005</v>
      </c>
    </row>
    <row r="330" customFormat="false" ht="15" hidden="false" customHeight="false" outlineLevel="0" collapsed="false">
      <c r="A330" s="15" t="s">
        <v>3184</v>
      </c>
      <c r="B330" s="15" t="s">
        <v>3201</v>
      </c>
      <c r="C330" s="15" t="s">
        <v>5995</v>
      </c>
      <c r="D330" s="34" t="n">
        <v>0</v>
      </c>
      <c r="E330" s="15" t="s">
        <v>6005</v>
      </c>
    </row>
    <row r="331" customFormat="false" ht="15" hidden="false" customHeight="false" outlineLevel="0" collapsed="false">
      <c r="A331" s="15" t="s">
        <v>3201</v>
      </c>
      <c r="B331" s="15" t="s">
        <v>3202</v>
      </c>
      <c r="C331" s="15" t="s">
        <v>5997</v>
      </c>
      <c r="D331" s="34" t="n">
        <f aca="false">Activities!M137</f>
        <v>1</v>
      </c>
      <c r="E331" s="15" t="s">
        <v>5998</v>
      </c>
    </row>
    <row r="332" customFormat="false" ht="15" hidden="false" customHeight="false" outlineLevel="0" collapsed="false">
      <c r="A332" s="15" t="s">
        <v>3201</v>
      </c>
      <c r="B332" s="15" t="s">
        <v>3202</v>
      </c>
      <c r="C332" s="15" t="s">
        <v>5999</v>
      </c>
      <c r="D332" s="34" t="n">
        <f aca="false">Activities!N137</f>
        <v>2</v>
      </c>
      <c r="E332" s="15" t="s">
        <v>5998</v>
      </c>
    </row>
    <row r="333" customFormat="false" ht="15" hidden="false" customHeight="false" outlineLevel="0" collapsed="false">
      <c r="A333" s="15" t="s">
        <v>3203</v>
      </c>
      <c r="B333" s="15" t="s">
        <v>3205</v>
      </c>
      <c r="C333" s="15" t="s">
        <v>5995</v>
      </c>
      <c r="D333" s="34" t="n">
        <v>0</v>
      </c>
      <c r="E333" s="15" t="s">
        <v>5996</v>
      </c>
    </row>
    <row r="334" customFormat="false" ht="15" hidden="false" customHeight="false" outlineLevel="0" collapsed="false">
      <c r="A334" s="15" t="s">
        <v>3193</v>
      </c>
      <c r="B334" s="15" t="s">
        <v>3205</v>
      </c>
      <c r="C334" s="15" t="s">
        <v>5997</v>
      </c>
      <c r="D334" s="34" t="n">
        <v>0</v>
      </c>
      <c r="E334" s="15" t="s">
        <v>6000</v>
      </c>
    </row>
    <row r="335" customFormat="false" ht="15" hidden="false" customHeight="false" outlineLevel="0" collapsed="false">
      <c r="A335" s="15" t="s">
        <v>3205</v>
      </c>
      <c r="B335" s="15" t="s">
        <v>3207</v>
      </c>
      <c r="C335" s="15" t="s">
        <v>5997</v>
      </c>
      <c r="D335" s="34" t="n">
        <f aca="false">Activities!M140</f>
        <v>1</v>
      </c>
      <c r="E335" s="15" t="s">
        <v>5998</v>
      </c>
    </row>
    <row r="336" customFormat="false" ht="15" hidden="false" customHeight="false" outlineLevel="0" collapsed="false">
      <c r="A336" s="15" t="s">
        <v>3205</v>
      </c>
      <c r="B336" s="15" t="s">
        <v>3207</v>
      </c>
      <c r="C336" s="15" t="s">
        <v>5999</v>
      </c>
      <c r="D336" s="34" t="n">
        <f aca="false">Activities!N140</f>
        <v>2</v>
      </c>
      <c r="E336" s="15" t="s">
        <v>5998</v>
      </c>
    </row>
    <row r="337" customFormat="false" ht="15" hidden="false" customHeight="false" outlineLevel="0" collapsed="false">
      <c r="A337" s="15" t="s">
        <v>3207</v>
      </c>
      <c r="B337" s="15" t="s">
        <v>3208</v>
      </c>
      <c r="C337" s="15" t="s">
        <v>5997</v>
      </c>
      <c r="D337" s="34" t="n">
        <f aca="false">Activities!M141</f>
        <v>2</v>
      </c>
      <c r="E337" s="15" t="s">
        <v>5998</v>
      </c>
    </row>
    <row r="338" customFormat="false" ht="15" hidden="false" customHeight="false" outlineLevel="0" collapsed="false">
      <c r="A338" s="15" t="s">
        <v>3207</v>
      </c>
      <c r="B338" s="15" t="s">
        <v>3208</v>
      </c>
      <c r="C338" s="15" t="s">
        <v>5999</v>
      </c>
      <c r="D338" s="34" t="n">
        <f aca="false">Activities!N141</f>
        <v>2</v>
      </c>
      <c r="E338" s="15" t="s">
        <v>5998</v>
      </c>
    </row>
    <row r="339" customFormat="false" ht="15" hidden="false" customHeight="false" outlineLevel="0" collapsed="false">
      <c r="A339" s="15" t="s">
        <v>3208</v>
      </c>
      <c r="B339" s="15" t="s">
        <v>3209</v>
      </c>
      <c r="C339" s="15" t="s">
        <v>5997</v>
      </c>
      <c r="D339" s="34" t="n">
        <f aca="false">Activities!M142</f>
        <v>1</v>
      </c>
      <c r="E339" s="15" t="s">
        <v>5998</v>
      </c>
    </row>
    <row r="340" customFormat="false" ht="15" hidden="false" customHeight="false" outlineLevel="0" collapsed="false">
      <c r="A340" s="15" t="s">
        <v>3208</v>
      </c>
      <c r="B340" s="15" t="s">
        <v>3209</v>
      </c>
      <c r="C340" s="15" t="s">
        <v>5999</v>
      </c>
      <c r="D340" s="34" t="n">
        <f aca="false">Activities!N142</f>
        <v>2</v>
      </c>
      <c r="E340" s="15" t="s">
        <v>5998</v>
      </c>
    </row>
    <row r="341" customFormat="false" ht="15" hidden="false" customHeight="false" outlineLevel="0" collapsed="false">
      <c r="A341" s="15" t="s">
        <v>3209</v>
      </c>
      <c r="B341" s="15" t="s">
        <v>3210</v>
      </c>
      <c r="C341" s="15" t="s">
        <v>5997</v>
      </c>
      <c r="D341" s="34" t="n">
        <f aca="false">Activities!M143</f>
        <v>10</v>
      </c>
      <c r="E341" s="15" t="s">
        <v>5998</v>
      </c>
    </row>
    <row r="342" customFormat="false" ht="15" hidden="false" customHeight="false" outlineLevel="0" collapsed="false">
      <c r="A342" s="15" t="s">
        <v>3209</v>
      </c>
      <c r="B342" s="15" t="s">
        <v>3210</v>
      </c>
      <c r="C342" s="15" t="s">
        <v>5999</v>
      </c>
      <c r="D342" s="34" t="n">
        <f aca="false">Activities!N143</f>
        <v>2</v>
      </c>
      <c r="E342" s="15" t="s">
        <v>5998</v>
      </c>
    </row>
    <row r="343" customFormat="false" ht="15" hidden="false" customHeight="false" outlineLevel="0" collapsed="false">
      <c r="A343" s="15" t="s">
        <v>3167</v>
      </c>
      <c r="B343" s="15" t="s">
        <v>3210</v>
      </c>
      <c r="C343" s="15" t="s">
        <v>5997</v>
      </c>
      <c r="D343" s="34" t="n">
        <v>0</v>
      </c>
      <c r="E343" s="15" t="s">
        <v>6006</v>
      </c>
    </row>
    <row r="344" customFormat="false" ht="15" hidden="false" customHeight="false" outlineLevel="0" collapsed="false">
      <c r="A344" s="15" t="s">
        <v>3182</v>
      </c>
      <c r="B344" s="15" t="s">
        <v>3210</v>
      </c>
      <c r="C344" s="15" t="s">
        <v>5997</v>
      </c>
      <c r="D344" s="34" t="n">
        <v>0</v>
      </c>
      <c r="E344" s="15" t="s">
        <v>6006</v>
      </c>
    </row>
    <row r="345" customFormat="false" ht="15" hidden="false" customHeight="false" outlineLevel="0" collapsed="false">
      <c r="A345" s="15" t="s">
        <v>3210</v>
      </c>
      <c r="B345" s="15" t="s">
        <v>3211</v>
      </c>
      <c r="C345" s="15" t="s">
        <v>5997</v>
      </c>
      <c r="D345" s="34" t="n">
        <f aca="false">Activities!M144</f>
        <v>1</v>
      </c>
      <c r="E345" s="15" t="s">
        <v>5998</v>
      </c>
    </row>
    <row r="346" customFormat="false" ht="15" hidden="false" customHeight="false" outlineLevel="0" collapsed="false">
      <c r="A346" s="15" t="s">
        <v>3210</v>
      </c>
      <c r="B346" s="15" t="s">
        <v>3211</v>
      </c>
      <c r="C346" s="15" t="s">
        <v>5999</v>
      </c>
      <c r="D346" s="34" t="n">
        <f aca="false">Activities!N144</f>
        <v>2</v>
      </c>
      <c r="E346" s="15" t="s">
        <v>5998</v>
      </c>
    </row>
    <row r="347" customFormat="false" ht="15" hidden="false" customHeight="false" outlineLevel="0" collapsed="false">
      <c r="A347" s="15" t="s">
        <v>3211</v>
      </c>
      <c r="B347" s="15" t="s">
        <v>3212</v>
      </c>
      <c r="C347" s="15" t="s">
        <v>5997</v>
      </c>
      <c r="D347" s="34" t="n">
        <f aca="false">Activities!M145</f>
        <v>2</v>
      </c>
      <c r="E347" s="15" t="s">
        <v>5998</v>
      </c>
    </row>
    <row r="348" customFormat="false" ht="15" hidden="false" customHeight="false" outlineLevel="0" collapsed="false">
      <c r="A348" s="15" t="s">
        <v>3211</v>
      </c>
      <c r="B348" s="15" t="s">
        <v>3212</v>
      </c>
      <c r="C348" s="15" t="s">
        <v>5999</v>
      </c>
      <c r="D348" s="34" t="n">
        <f aca="false">Activities!N145</f>
        <v>2</v>
      </c>
      <c r="E348" s="15" t="s">
        <v>5998</v>
      </c>
    </row>
    <row r="349" customFormat="false" ht="15" hidden="false" customHeight="false" outlineLevel="0" collapsed="false">
      <c r="A349" s="15" t="s">
        <v>3199</v>
      </c>
      <c r="B349" s="15" t="s">
        <v>3212</v>
      </c>
      <c r="C349" s="15" t="s">
        <v>5995</v>
      </c>
      <c r="D349" s="34" t="n">
        <v>0</v>
      </c>
      <c r="E349" s="15" t="s">
        <v>6001</v>
      </c>
    </row>
    <row r="350" customFormat="false" ht="15" hidden="false" customHeight="false" outlineLevel="0" collapsed="false">
      <c r="A350" s="15" t="s">
        <v>3212</v>
      </c>
      <c r="B350" s="15" t="s">
        <v>3214</v>
      </c>
      <c r="C350" s="15" t="s">
        <v>5997</v>
      </c>
      <c r="D350" s="34" t="n">
        <f aca="false">Activities!M146</f>
        <v>2</v>
      </c>
      <c r="E350" s="15" t="s">
        <v>5998</v>
      </c>
    </row>
    <row r="351" customFormat="false" ht="15" hidden="false" customHeight="false" outlineLevel="0" collapsed="false">
      <c r="A351" s="15" t="s">
        <v>3212</v>
      </c>
      <c r="B351" s="15" t="s">
        <v>3214</v>
      </c>
      <c r="C351" s="15" t="s">
        <v>5999</v>
      </c>
      <c r="D351" s="34" t="n">
        <f aca="false">Activities!N146</f>
        <v>2</v>
      </c>
      <c r="E351" s="15" t="s">
        <v>5998</v>
      </c>
    </row>
    <row r="352" customFormat="false" ht="15" hidden="false" customHeight="false" outlineLevel="0" collapsed="false">
      <c r="A352" s="15" t="s">
        <v>3214</v>
      </c>
      <c r="B352" s="15" t="s">
        <v>3215</v>
      </c>
      <c r="C352" s="15" t="s">
        <v>5997</v>
      </c>
      <c r="D352" s="34" t="n">
        <f aca="false">Activities!M147</f>
        <v>2</v>
      </c>
      <c r="E352" s="15" t="s">
        <v>5998</v>
      </c>
    </row>
    <row r="353" customFormat="false" ht="15" hidden="false" customHeight="false" outlineLevel="0" collapsed="false">
      <c r="A353" s="15" t="s">
        <v>3214</v>
      </c>
      <c r="B353" s="15" t="s">
        <v>3215</v>
      </c>
      <c r="C353" s="15" t="s">
        <v>5999</v>
      </c>
      <c r="D353" s="34" t="n">
        <f aca="false">Activities!N147</f>
        <v>2</v>
      </c>
      <c r="E353" s="15" t="s">
        <v>5998</v>
      </c>
    </row>
    <row r="354" customFormat="false" ht="15" hidden="false" customHeight="false" outlineLevel="0" collapsed="false">
      <c r="A354" s="15" t="s">
        <v>3170</v>
      </c>
      <c r="B354" s="15" t="s">
        <v>3215</v>
      </c>
      <c r="C354" s="15" t="s">
        <v>5995</v>
      </c>
      <c r="D354" s="34" t="n">
        <v>0</v>
      </c>
      <c r="E354" s="15" t="s">
        <v>6005</v>
      </c>
    </row>
    <row r="355" customFormat="false" ht="15" hidden="false" customHeight="false" outlineLevel="0" collapsed="false">
      <c r="A355" s="15" t="s">
        <v>3184</v>
      </c>
      <c r="B355" s="15" t="s">
        <v>3215</v>
      </c>
      <c r="C355" s="15" t="s">
        <v>5995</v>
      </c>
      <c r="D355" s="34" t="n">
        <v>0</v>
      </c>
      <c r="E355" s="15" t="s">
        <v>6005</v>
      </c>
    </row>
    <row r="356" customFormat="false" ht="15" hidden="false" customHeight="false" outlineLevel="0" collapsed="false">
      <c r="A356" s="15" t="s">
        <v>3215</v>
      </c>
      <c r="B356" s="15" t="s">
        <v>3216</v>
      </c>
      <c r="C356" s="15" t="s">
        <v>5997</v>
      </c>
      <c r="D356" s="34" t="n">
        <f aca="false">Activities!M148</f>
        <v>1</v>
      </c>
      <c r="E356" s="15" t="s">
        <v>5998</v>
      </c>
    </row>
    <row r="357" customFormat="false" ht="15" hidden="false" customHeight="false" outlineLevel="0" collapsed="false">
      <c r="A357" s="15" t="s">
        <v>3215</v>
      </c>
      <c r="B357" s="15" t="s">
        <v>3216</v>
      </c>
      <c r="C357" s="15" t="s">
        <v>5999</v>
      </c>
      <c r="D357" s="34" t="n">
        <f aca="false">Activities!N148</f>
        <v>2</v>
      </c>
      <c r="E357" s="15" t="s">
        <v>5998</v>
      </c>
    </row>
    <row r="358" customFormat="false" ht="15" hidden="false" customHeight="false" outlineLevel="0" collapsed="false">
      <c r="A358" s="15" t="s">
        <v>3217</v>
      </c>
      <c r="B358" s="15" t="s">
        <v>3219</v>
      </c>
      <c r="C358" s="15" t="s">
        <v>5995</v>
      </c>
      <c r="D358" s="34" t="n">
        <v>0</v>
      </c>
      <c r="E358" s="15" t="s">
        <v>5996</v>
      </c>
    </row>
    <row r="359" customFormat="false" ht="15" hidden="false" customHeight="false" outlineLevel="0" collapsed="false">
      <c r="A359" s="15" t="s">
        <v>3193</v>
      </c>
      <c r="B359" s="15" t="s">
        <v>3219</v>
      </c>
      <c r="C359" s="15" t="s">
        <v>5997</v>
      </c>
      <c r="D359" s="34" t="n">
        <v>0</v>
      </c>
      <c r="E359" s="15" t="s">
        <v>6002</v>
      </c>
    </row>
    <row r="360" customFormat="false" ht="15" hidden="false" customHeight="false" outlineLevel="0" collapsed="false">
      <c r="A360" s="15" t="s">
        <v>3219</v>
      </c>
      <c r="B360" s="15" t="s">
        <v>3221</v>
      </c>
      <c r="C360" s="15" t="s">
        <v>5997</v>
      </c>
      <c r="D360" s="34" t="n">
        <f aca="false">Activities!M151</f>
        <v>1</v>
      </c>
      <c r="E360" s="15" t="s">
        <v>5998</v>
      </c>
    </row>
    <row r="361" customFormat="false" ht="15" hidden="false" customHeight="false" outlineLevel="0" collapsed="false">
      <c r="A361" s="15" t="s">
        <v>3219</v>
      </c>
      <c r="B361" s="15" t="s">
        <v>3221</v>
      </c>
      <c r="C361" s="15" t="s">
        <v>5999</v>
      </c>
      <c r="D361" s="34" t="n">
        <f aca="false">Activities!N151</f>
        <v>2</v>
      </c>
      <c r="E361" s="15" t="s">
        <v>5998</v>
      </c>
    </row>
    <row r="362" customFormat="false" ht="15" hidden="false" customHeight="false" outlineLevel="0" collapsed="false">
      <c r="A362" s="15" t="s">
        <v>3193</v>
      </c>
      <c r="B362" s="15" t="s">
        <v>3221</v>
      </c>
      <c r="C362" s="15" t="s">
        <v>5995</v>
      </c>
      <c r="D362" s="34" t="n">
        <v>0</v>
      </c>
      <c r="E362" s="15" t="s">
        <v>6003</v>
      </c>
    </row>
    <row r="363" customFormat="false" ht="15" hidden="false" customHeight="false" outlineLevel="0" collapsed="false">
      <c r="A363" s="15" t="s">
        <v>3221</v>
      </c>
      <c r="B363" s="15" t="s">
        <v>3222</v>
      </c>
      <c r="C363" s="15" t="s">
        <v>5997</v>
      </c>
      <c r="D363" s="34" t="n">
        <f aca="false">Activities!M152</f>
        <v>5</v>
      </c>
      <c r="E363" s="15" t="s">
        <v>5998</v>
      </c>
    </row>
    <row r="364" customFormat="false" ht="15" hidden="false" customHeight="false" outlineLevel="0" collapsed="false">
      <c r="A364" s="15" t="s">
        <v>3221</v>
      </c>
      <c r="B364" s="15" t="s">
        <v>3222</v>
      </c>
      <c r="C364" s="15" t="s">
        <v>5999</v>
      </c>
      <c r="D364" s="34" t="n">
        <f aca="false">Activities!N152</f>
        <v>2</v>
      </c>
      <c r="E364" s="15" t="s">
        <v>5998</v>
      </c>
    </row>
    <row r="365" customFormat="false" ht="15" hidden="false" customHeight="false" outlineLevel="0" collapsed="false">
      <c r="A365" s="15" t="s">
        <v>3194</v>
      </c>
      <c r="B365" s="15" t="s">
        <v>3222</v>
      </c>
      <c r="C365" s="15" t="s">
        <v>5995</v>
      </c>
      <c r="D365" s="34" t="n">
        <v>0</v>
      </c>
      <c r="E365" s="15" t="s">
        <v>6003</v>
      </c>
    </row>
    <row r="366" customFormat="false" ht="15" hidden="false" customHeight="false" outlineLevel="0" collapsed="false">
      <c r="A366" s="15" t="s">
        <v>3222</v>
      </c>
      <c r="B366" s="15" t="s">
        <v>3223</v>
      </c>
      <c r="C366" s="15" t="s">
        <v>5997</v>
      </c>
      <c r="D366" s="34" t="n">
        <f aca="false">Activities!M153</f>
        <v>3</v>
      </c>
      <c r="E366" s="15" t="s">
        <v>5998</v>
      </c>
    </row>
    <row r="367" customFormat="false" ht="15" hidden="false" customHeight="false" outlineLevel="0" collapsed="false">
      <c r="A367" s="15" t="s">
        <v>3222</v>
      </c>
      <c r="B367" s="15" t="s">
        <v>3223</v>
      </c>
      <c r="C367" s="15" t="s">
        <v>5999</v>
      </c>
      <c r="D367" s="34" t="n">
        <f aca="false">Activities!N153</f>
        <v>2</v>
      </c>
      <c r="E367" s="15" t="s">
        <v>5998</v>
      </c>
    </row>
    <row r="368" customFormat="false" ht="15" hidden="false" customHeight="false" outlineLevel="0" collapsed="false">
      <c r="A368" s="15" t="s">
        <v>3197</v>
      </c>
      <c r="B368" s="15" t="s">
        <v>3223</v>
      </c>
      <c r="C368" s="15" t="s">
        <v>5995</v>
      </c>
      <c r="D368" s="34" t="n">
        <f aca="false">-Activities!K153</f>
        <v>-12</v>
      </c>
      <c r="E368" s="15" t="s">
        <v>6004</v>
      </c>
    </row>
    <row r="369" customFormat="false" ht="15" hidden="false" customHeight="false" outlineLevel="0" collapsed="false">
      <c r="A369" s="15" t="s">
        <v>3223</v>
      </c>
      <c r="B369" s="15" t="s">
        <v>3225</v>
      </c>
      <c r="C369" s="15" t="s">
        <v>5997</v>
      </c>
      <c r="D369" s="34" t="n">
        <f aca="false">Activities!M154</f>
        <v>10</v>
      </c>
      <c r="E369" s="15" t="s">
        <v>5998</v>
      </c>
    </row>
    <row r="370" customFormat="false" ht="15" hidden="false" customHeight="false" outlineLevel="0" collapsed="false">
      <c r="A370" s="15" t="s">
        <v>3223</v>
      </c>
      <c r="B370" s="15" t="s">
        <v>3225</v>
      </c>
      <c r="C370" s="15" t="s">
        <v>5999</v>
      </c>
      <c r="D370" s="34" t="n">
        <f aca="false">Activities!N154</f>
        <v>2</v>
      </c>
      <c r="E370" s="15" t="s">
        <v>5998</v>
      </c>
    </row>
    <row r="371" customFormat="false" ht="15" hidden="false" customHeight="false" outlineLevel="0" collapsed="false">
      <c r="A371" s="15" t="s">
        <v>3197</v>
      </c>
      <c r="B371" s="15" t="s">
        <v>3225</v>
      </c>
      <c r="C371" s="15" t="s">
        <v>5995</v>
      </c>
      <c r="D371" s="34" t="n">
        <v>0</v>
      </c>
      <c r="E371" s="15" t="s">
        <v>6003</v>
      </c>
    </row>
    <row r="372" customFormat="false" ht="15" hidden="false" customHeight="false" outlineLevel="0" collapsed="false">
      <c r="A372" s="15" t="s">
        <v>3119</v>
      </c>
      <c r="B372" s="15" t="s">
        <v>3225</v>
      </c>
      <c r="C372" s="15" t="s">
        <v>5997</v>
      </c>
      <c r="D372" s="34" t="n">
        <v>0</v>
      </c>
      <c r="E372" s="15" t="s">
        <v>6006</v>
      </c>
    </row>
    <row r="373" customFormat="false" ht="15" hidden="false" customHeight="false" outlineLevel="0" collapsed="false">
      <c r="A373" s="15" t="s">
        <v>3225</v>
      </c>
      <c r="B373" s="15" t="s">
        <v>3227</v>
      </c>
      <c r="C373" s="15" t="s">
        <v>5997</v>
      </c>
      <c r="D373" s="34" t="n">
        <f aca="false">Activities!M155</f>
        <v>3</v>
      </c>
      <c r="E373" s="15" t="s">
        <v>5998</v>
      </c>
    </row>
    <row r="374" customFormat="false" ht="15" hidden="false" customHeight="false" outlineLevel="0" collapsed="false">
      <c r="A374" s="15" t="s">
        <v>3225</v>
      </c>
      <c r="B374" s="15" t="s">
        <v>3227</v>
      </c>
      <c r="C374" s="15" t="s">
        <v>5999</v>
      </c>
      <c r="D374" s="34" t="n">
        <f aca="false">Activities!N155</f>
        <v>2</v>
      </c>
      <c r="E374" s="15" t="s">
        <v>5998</v>
      </c>
    </row>
    <row r="375" customFormat="false" ht="15" hidden="false" customHeight="false" outlineLevel="0" collapsed="false">
      <c r="A375" s="15" t="s">
        <v>3198</v>
      </c>
      <c r="B375" s="15" t="s">
        <v>3227</v>
      </c>
      <c r="C375" s="15" t="s">
        <v>5995</v>
      </c>
      <c r="D375" s="34" t="n">
        <v>0</v>
      </c>
      <c r="E375" s="15" t="s">
        <v>6003</v>
      </c>
    </row>
    <row r="376" customFormat="false" ht="15" hidden="false" customHeight="false" outlineLevel="0" collapsed="false">
      <c r="A376" s="15" t="s">
        <v>3227</v>
      </c>
      <c r="B376" s="15" t="s">
        <v>3228</v>
      </c>
      <c r="C376" s="15" t="s">
        <v>5997</v>
      </c>
      <c r="D376" s="34" t="n">
        <f aca="false">Activities!M156</f>
        <v>4</v>
      </c>
      <c r="E376" s="15" t="s">
        <v>5998</v>
      </c>
    </row>
    <row r="377" customFormat="false" ht="15" hidden="false" customHeight="false" outlineLevel="0" collapsed="false">
      <c r="A377" s="15" t="s">
        <v>3227</v>
      </c>
      <c r="B377" s="15" t="s">
        <v>3228</v>
      </c>
      <c r="C377" s="15" t="s">
        <v>5999</v>
      </c>
      <c r="D377" s="34" t="n">
        <f aca="false">Activities!N156</f>
        <v>2</v>
      </c>
      <c r="E377" s="15" t="s">
        <v>5998</v>
      </c>
    </row>
    <row r="378" customFormat="false" ht="15" hidden="false" customHeight="false" outlineLevel="0" collapsed="false">
      <c r="A378" s="15" t="s">
        <v>3199</v>
      </c>
      <c r="B378" s="15" t="s">
        <v>3228</v>
      </c>
      <c r="C378" s="15" t="s">
        <v>5995</v>
      </c>
      <c r="D378" s="34" t="n">
        <v>0</v>
      </c>
      <c r="E378" s="15" t="s">
        <v>6003</v>
      </c>
    </row>
    <row r="379" customFormat="false" ht="15" hidden="false" customHeight="false" outlineLevel="0" collapsed="false">
      <c r="A379" s="15" t="s">
        <v>3228</v>
      </c>
      <c r="B379" s="15" t="s">
        <v>3229</v>
      </c>
      <c r="C379" s="15" t="s">
        <v>5997</v>
      </c>
      <c r="D379" s="34" t="n">
        <f aca="false">Activities!M157</f>
        <v>2</v>
      </c>
      <c r="E379" s="15" t="s">
        <v>5998</v>
      </c>
    </row>
    <row r="380" customFormat="false" ht="15" hidden="false" customHeight="false" outlineLevel="0" collapsed="false">
      <c r="A380" s="15" t="s">
        <v>3228</v>
      </c>
      <c r="B380" s="15" t="s">
        <v>3229</v>
      </c>
      <c r="C380" s="15" t="s">
        <v>5999</v>
      </c>
      <c r="D380" s="34" t="n">
        <f aca="false">Activities!N157</f>
        <v>2</v>
      </c>
      <c r="E380" s="15" t="s">
        <v>5998</v>
      </c>
    </row>
    <row r="381" customFormat="false" ht="15" hidden="false" customHeight="false" outlineLevel="0" collapsed="false">
      <c r="A381" s="15" t="s">
        <v>3229</v>
      </c>
      <c r="B381" s="15" t="s">
        <v>3230</v>
      </c>
      <c r="C381" s="15" t="s">
        <v>5997</v>
      </c>
      <c r="D381" s="34" t="n">
        <f aca="false">Activities!M158</f>
        <v>2</v>
      </c>
      <c r="E381" s="15" t="s">
        <v>5998</v>
      </c>
    </row>
    <row r="382" customFormat="false" ht="15" hidden="false" customHeight="false" outlineLevel="0" collapsed="false">
      <c r="A382" s="15" t="s">
        <v>3229</v>
      </c>
      <c r="B382" s="15" t="s">
        <v>3230</v>
      </c>
      <c r="C382" s="15" t="s">
        <v>5999</v>
      </c>
      <c r="D382" s="34" t="n">
        <f aca="false">Activities!N158</f>
        <v>2</v>
      </c>
      <c r="E382" s="15" t="s">
        <v>5998</v>
      </c>
    </row>
    <row r="383" customFormat="false" ht="15" hidden="false" customHeight="false" outlineLevel="0" collapsed="false">
      <c r="A383" s="15" t="s">
        <v>3201</v>
      </c>
      <c r="B383" s="15" t="s">
        <v>3230</v>
      </c>
      <c r="C383" s="15" t="s">
        <v>5995</v>
      </c>
      <c r="D383" s="34" t="n">
        <v>0</v>
      </c>
      <c r="E383" s="15" t="s">
        <v>6003</v>
      </c>
    </row>
    <row r="384" customFormat="false" ht="15" hidden="false" customHeight="false" outlineLevel="0" collapsed="false">
      <c r="A384" s="15" t="s">
        <v>3122</v>
      </c>
      <c r="B384" s="15" t="s">
        <v>3230</v>
      </c>
      <c r="C384" s="15" t="s">
        <v>5995</v>
      </c>
      <c r="D384" s="34" t="n">
        <v>0</v>
      </c>
      <c r="E384" s="15" t="s">
        <v>6005</v>
      </c>
    </row>
    <row r="385" customFormat="false" ht="15" hidden="false" customHeight="false" outlineLevel="0" collapsed="false">
      <c r="A385" s="15" t="s">
        <v>3230</v>
      </c>
      <c r="B385" s="15" t="s">
        <v>3232</v>
      </c>
      <c r="C385" s="15" t="s">
        <v>5997</v>
      </c>
      <c r="D385" s="34" t="n">
        <f aca="false">Activities!M159</f>
        <v>2</v>
      </c>
      <c r="E385" s="15" t="s">
        <v>5998</v>
      </c>
    </row>
    <row r="386" customFormat="false" ht="15" hidden="false" customHeight="false" outlineLevel="0" collapsed="false">
      <c r="A386" s="15" t="s">
        <v>3230</v>
      </c>
      <c r="B386" s="15" t="s">
        <v>3232</v>
      </c>
      <c r="C386" s="15" t="s">
        <v>5999</v>
      </c>
      <c r="D386" s="34" t="n">
        <f aca="false">Activities!N159</f>
        <v>2</v>
      </c>
      <c r="E386" s="15" t="s">
        <v>5998</v>
      </c>
    </row>
    <row r="387" customFormat="false" ht="15" hidden="false" customHeight="false" outlineLevel="0" collapsed="false">
      <c r="A387" s="15" t="s">
        <v>3233</v>
      </c>
      <c r="B387" s="15" t="s">
        <v>3235</v>
      </c>
      <c r="C387" s="15" t="s">
        <v>5995</v>
      </c>
      <c r="D387" s="34" t="n">
        <v>0</v>
      </c>
      <c r="E387" s="15" t="s">
        <v>5996</v>
      </c>
    </row>
    <row r="388" customFormat="false" ht="15" hidden="false" customHeight="false" outlineLevel="0" collapsed="false">
      <c r="A388" s="15" t="s">
        <v>3083</v>
      </c>
      <c r="B388" s="15" t="s">
        <v>3235</v>
      </c>
      <c r="C388" s="15" t="s">
        <v>5997</v>
      </c>
      <c r="D388" s="34" t="n">
        <v>0</v>
      </c>
      <c r="E388" s="15" t="s">
        <v>6000</v>
      </c>
    </row>
    <row r="389" customFormat="false" ht="15" hidden="false" customHeight="false" outlineLevel="0" collapsed="false">
      <c r="A389" s="15" t="s">
        <v>3235</v>
      </c>
      <c r="B389" s="15" t="s">
        <v>3237</v>
      </c>
      <c r="C389" s="15" t="s">
        <v>5997</v>
      </c>
      <c r="D389" s="34" t="n">
        <f aca="false">Activities!M162</f>
        <v>1</v>
      </c>
      <c r="E389" s="15" t="s">
        <v>5998</v>
      </c>
    </row>
    <row r="390" customFormat="false" ht="15" hidden="false" customHeight="false" outlineLevel="0" collapsed="false">
      <c r="A390" s="15" t="s">
        <v>3235</v>
      </c>
      <c r="B390" s="15" t="s">
        <v>3237</v>
      </c>
      <c r="C390" s="15" t="s">
        <v>5999</v>
      </c>
      <c r="D390" s="34" t="n">
        <f aca="false">Activities!N162</f>
        <v>2</v>
      </c>
      <c r="E390" s="15" t="s">
        <v>5998</v>
      </c>
    </row>
    <row r="391" customFormat="false" ht="15" hidden="false" customHeight="false" outlineLevel="0" collapsed="false">
      <c r="A391" s="15" t="s">
        <v>3237</v>
      </c>
      <c r="B391" s="15" t="s">
        <v>3238</v>
      </c>
      <c r="C391" s="15" t="s">
        <v>5997</v>
      </c>
      <c r="D391" s="34" t="n">
        <f aca="false">Activities!M163</f>
        <v>2</v>
      </c>
      <c r="E391" s="15" t="s">
        <v>5998</v>
      </c>
    </row>
    <row r="392" customFormat="false" ht="15" hidden="false" customHeight="false" outlineLevel="0" collapsed="false">
      <c r="A392" s="15" t="s">
        <v>3237</v>
      </c>
      <c r="B392" s="15" t="s">
        <v>3238</v>
      </c>
      <c r="C392" s="15" t="s">
        <v>5999</v>
      </c>
      <c r="D392" s="34" t="n">
        <f aca="false">Activities!N163</f>
        <v>2</v>
      </c>
      <c r="E392" s="15" t="s">
        <v>5998</v>
      </c>
    </row>
    <row r="393" customFormat="false" ht="15" hidden="false" customHeight="false" outlineLevel="0" collapsed="false">
      <c r="A393" s="15" t="s">
        <v>3238</v>
      </c>
      <c r="B393" s="15" t="s">
        <v>3239</v>
      </c>
      <c r="C393" s="15" t="s">
        <v>5997</v>
      </c>
      <c r="D393" s="34" t="n">
        <f aca="false">Activities!M164</f>
        <v>1</v>
      </c>
      <c r="E393" s="15" t="s">
        <v>5998</v>
      </c>
    </row>
    <row r="394" customFormat="false" ht="15" hidden="false" customHeight="false" outlineLevel="0" collapsed="false">
      <c r="A394" s="15" t="s">
        <v>3238</v>
      </c>
      <c r="B394" s="15" t="s">
        <v>3239</v>
      </c>
      <c r="C394" s="15" t="s">
        <v>5999</v>
      </c>
      <c r="D394" s="34" t="n">
        <f aca="false">Activities!N164</f>
        <v>2</v>
      </c>
      <c r="E394" s="15" t="s">
        <v>5998</v>
      </c>
    </row>
    <row r="395" customFormat="false" ht="15" hidden="false" customHeight="false" outlineLevel="0" collapsed="false">
      <c r="A395" s="15" t="s">
        <v>3239</v>
      </c>
      <c r="B395" s="15" t="s">
        <v>3240</v>
      </c>
      <c r="C395" s="15" t="s">
        <v>5997</v>
      </c>
      <c r="D395" s="34" t="n">
        <f aca="false">Activities!M165</f>
        <v>10</v>
      </c>
      <c r="E395" s="15" t="s">
        <v>5998</v>
      </c>
    </row>
    <row r="396" customFormat="false" ht="15" hidden="false" customHeight="false" outlineLevel="0" collapsed="false">
      <c r="A396" s="15" t="s">
        <v>3239</v>
      </c>
      <c r="B396" s="15" t="s">
        <v>3240</v>
      </c>
      <c r="C396" s="15" t="s">
        <v>5999</v>
      </c>
      <c r="D396" s="34" t="n">
        <f aca="false">Activities!N165</f>
        <v>2</v>
      </c>
      <c r="E396" s="15" t="s">
        <v>5998</v>
      </c>
    </row>
    <row r="397" customFormat="false" ht="15" hidden="false" customHeight="false" outlineLevel="0" collapsed="false">
      <c r="A397" s="15" t="s">
        <v>3240</v>
      </c>
      <c r="B397" s="15" t="s">
        <v>3241</v>
      </c>
      <c r="C397" s="15" t="s">
        <v>5997</v>
      </c>
      <c r="D397" s="34" t="n">
        <f aca="false">Activities!M166</f>
        <v>1</v>
      </c>
      <c r="E397" s="15" t="s">
        <v>5998</v>
      </c>
    </row>
    <row r="398" customFormat="false" ht="15" hidden="false" customHeight="false" outlineLevel="0" collapsed="false">
      <c r="A398" s="15" t="s">
        <v>3240</v>
      </c>
      <c r="B398" s="15" t="s">
        <v>3241</v>
      </c>
      <c r="C398" s="15" t="s">
        <v>5999</v>
      </c>
      <c r="D398" s="34" t="n">
        <f aca="false">Activities!N166</f>
        <v>2</v>
      </c>
      <c r="E398" s="15" t="s">
        <v>5998</v>
      </c>
    </row>
    <row r="399" customFormat="false" ht="15" hidden="false" customHeight="false" outlineLevel="0" collapsed="false">
      <c r="A399" s="15" t="s">
        <v>3241</v>
      </c>
      <c r="B399" s="15" t="s">
        <v>3242</v>
      </c>
      <c r="C399" s="15" t="s">
        <v>5997</v>
      </c>
      <c r="D399" s="34" t="n">
        <f aca="false">Activities!M167</f>
        <v>2</v>
      </c>
      <c r="E399" s="15" t="s">
        <v>5998</v>
      </c>
    </row>
    <row r="400" customFormat="false" ht="15" hidden="false" customHeight="false" outlineLevel="0" collapsed="false">
      <c r="A400" s="15" t="s">
        <v>3241</v>
      </c>
      <c r="B400" s="15" t="s">
        <v>3242</v>
      </c>
      <c r="C400" s="15" t="s">
        <v>5999</v>
      </c>
      <c r="D400" s="34" t="n">
        <f aca="false">Activities!N167</f>
        <v>2</v>
      </c>
      <c r="E400" s="15" t="s">
        <v>5998</v>
      </c>
    </row>
    <row r="401" customFormat="false" ht="15" hidden="false" customHeight="false" outlineLevel="0" collapsed="false">
      <c r="A401" s="15" t="s">
        <v>3089</v>
      </c>
      <c r="B401" s="15" t="s">
        <v>3242</v>
      </c>
      <c r="C401" s="15" t="s">
        <v>5995</v>
      </c>
      <c r="D401" s="34" t="n">
        <v>0</v>
      </c>
      <c r="E401" s="15" t="s">
        <v>6001</v>
      </c>
    </row>
    <row r="402" customFormat="false" ht="15" hidden="false" customHeight="false" outlineLevel="0" collapsed="false">
      <c r="A402" s="15" t="s">
        <v>3242</v>
      </c>
      <c r="B402" s="15" t="s">
        <v>3244</v>
      </c>
      <c r="C402" s="15" t="s">
        <v>5997</v>
      </c>
      <c r="D402" s="34" t="n">
        <f aca="false">Activities!M168</f>
        <v>3</v>
      </c>
      <c r="E402" s="15" t="s">
        <v>5998</v>
      </c>
    </row>
    <row r="403" customFormat="false" ht="15" hidden="false" customHeight="false" outlineLevel="0" collapsed="false">
      <c r="A403" s="15" t="s">
        <v>3242</v>
      </c>
      <c r="B403" s="15" t="s">
        <v>3244</v>
      </c>
      <c r="C403" s="15" t="s">
        <v>5999</v>
      </c>
      <c r="D403" s="34" t="n">
        <f aca="false">Activities!N168</f>
        <v>2</v>
      </c>
      <c r="E403" s="15" t="s">
        <v>5998</v>
      </c>
    </row>
    <row r="404" customFormat="false" ht="15" hidden="false" customHeight="false" outlineLevel="0" collapsed="false">
      <c r="A404" s="15" t="s">
        <v>3244</v>
      </c>
      <c r="B404" s="15" t="s">
        <v>3245</v>
      </c>
      <c r="C404" s="15" t="s">
        <v>5997</v>
      </c>
      <c r="D404" s="34" t="n">
        <f aca="false">Activities!M169</f>
        <v>2</v>
      </c>
      <c r="E404" s="15" t="s">
        <v>5998</v>
      </c>
    </row>
    <row r="405" customFormat="false" ht="15" hidden="false" customHeight="false" outlineLevel="0" collapsed="false">
      <c r="A405" s="15" t="s">
        <v>3244</v>
      </c>
      <c r="B405" s="15" t="s">
        <v>3245</v>
      </c>
      <c r="C405" s="15" t="s">
        <v>5999</v>
      </c>
      <c r="D405" s="34" t="n">
        <f aca="false">Activities!N169</f>
        <v>2</v>
      </c>
      <c r="E405" s="15" t="s">
        <v>5998</v>
      </c>
    </row>
    <row r="406" customFormat="false" ht="15" hidden="false" customHeight="false" outlineLevel="0" collapsed="false">
      <c r="A406" s="15" t="s">
        <v>3245</v>
      </c>
      <c r="B406" s="15" t="s">
        <v>3246</v>
      </c>
      <c r="C406" s="15" t="s">
        <v>5997</v>
      </c>
      <c r="D406" s="34" t="n">
        <f aca="false">Activities!M170</f>
        <v>1</v>
      </c>
      <c r="E406" s="15" t="s">
        <v>5998</v>
      </c>
    </row>
    <row r="407" customFormat="false" ht="15" hidden="false" customHeight="false" outlineLevel="0" collapsed="false">
      <c r="A407" s="15" t="s">
        <v>3245</v>
      </c>
      <c r="B407" s="15" t="s">
        <v>3246</v>
      </c>
      <c r="C407" s="15" t="s">
        <v>5999</v>
      </c>
      <c r="D407" s="34" t="n">
        <f aca="false">Activities!N170</f>
        <v>2</v>
      </c>
      <c r="E407" s="15" t="s">
        <v>5998</v>
      </c>
    </row>
    <row r="408" customFormat="false" ht="15" hidden="false" customHeight="false" outlineLevel="0" collapsed="false">
      <c r="A408" s="15" t="s">
        <v>3247</v>
      </c>
      <c r="B408" s="15" t="s">
        <v>3249</v>
      </c>
      <c r="C408" s="15" t="s">
        <v>5995</v>
      </c>
      <c r="D408" s="34" t="n">
        <v>0</v>
      </c>
      <c r="E408" s="15" t="s">
        <v>5996</v>
      </c>
    </row>
    <row r="409" customFormat="false" ht="15" hidden="false" customHeight="false" outlineLevel="0" collapsed="false">
      <c r="A409" s="15" t="s">
        <v>3249</v>
      </c>
      <c r="B409" s="15" t="s">
        <v>3250</v>
      </c>
      <c r="C409" s="15" t="s">
        <v>5997</v>
      </c>
      <c r="D409" s="34" t="n">
        <f aca="false">Activities!M173</f>
        <v>1</v>
      </c>
      <c r="E409" s="15" t="s">
        <v>5998</v>
      </c>
    </row>
    <row r="410" customFormat="false" ht="15" hidden="false" customHeight="false" outlineLevel="0" collapsed="false">
      <c r="A410" s="15" t="s">
        <v>3249</v>
      </c>
      <c r="B410" s="15" t="s">
        <v>3250</v>
      </c>
      <c r="C410" s="15" t="s">
        <v>5999</v>
      </c>
      <c r="D410" s="34" t="n">
        <f aca="false">Activities!N173</f>
        <v>2</v>
      </c>
      <c r="E410" s="15" t="s">
        <v>5998</v>
      </c>
    </row>
    <row r="411" customFormat="false" ht="15" hidden="false" customHeight="false" outlineLevel="0" collapsed="false">
      <c r="A411" s="15" t="s">
        <v>3250</v>
      </c>
      <c r="B411" s="15" t="s">
        <v>3251</v>
      </c>
      <c r="C411" s="15" t="s">
        <v>5997</v>
      </c>
      <c r="D411" s="34" t="n">
        <f aca="false">Activities!M174</f>
        <v>2</v>
      </c>
      <c r="E411" s="15" t="s">
        <v>5998</v>
      </c>
    </row>
    <row r="412" customFormat="false" ht="15" hidden="false" customHeight="false" outlineLevel="0" collapsed="false">
      <c r="A412" s="15" t="s">
        <v>3250</v>
      </c>
      <c r="B412" s="15" t="s">
        <v>3251</v>
      </c>
      <c r="C412" s="15" t="s">
        <v>5999</v>
      </c>
      <c r="D412" s="34" t="n">
        <f aca="false">Activities!N174</f>
        <v>2</v>
      </c>
      <c r="E412" s="15" t="s">
        <v>5998</v>
      </c>
    </row>
    <row r="413" customFormat="false" ht="15" hidden="false" customHeight="false" outlineLevel="0" collapsed="false">
      <c r="A413" s="15" t="s">
        <v>3251</v>
      </c>
      <c r="B413" s="15" t="s">
        <v>3252</v>
      </c>
      <c r="C413" s="15" t="s">
        <v>5997</v>
      </c>
      <c r="D413" s="34" t="n">
        <f aca="false">Activities!M175</f>
        <v>1</v>
      </c>
      <c r="E413" s="15" t="s">
        <v>5998</v>
      </c>
    </row>
    <row r="414" customFormat="false" ht="15" hidden="false" customHeight="false" outlineLevel="0" collapsed="false">
      <c r="A414" s="15" t="s">
        <v>3251</v>
      </c>
      <c r="B414" s="15" t="s">
        <v>3252</v>
      </c>
      <c r="C414" s="15" t="s">
        <v>5999</v>
      </c>
      <c r="D414" s="34" t="n">
        <f aca="false">Activities!N175</f>
        <v>2</v>
      </c>
      <c r="E414" s="15" t="s">
        <v>5998</v>
      </c>
    </row>
    <row r="415" customFormat="false" ht="15" hidden="false" customHeight="false" outlineLevel="0" collapsed="false">
      <c r="A415" s="15" t="s">
        <v>3252</v>
      </c>
      <c r="B415" s="15" t="s">
        <v>3253</v>
      </c>
      <c r="C415" s="15" t="s">
        <v>5997</v>
      </c>
      <c r="D415" s="34" t="n">
        <f aca="false">Activities!M176</f>
        <v>10</v>
      </c>
      <c r="E415" s="15" t="s">
        <v>5998</v>
      </c>
    </row>
    <row r="416" customFormat="false" ht="15" hidden="false" customHeight="false" outlineLevel="0" collapsed="false">
      <c r="A416" s="15" t="s">
        <v>3252</v>
      </c>
      <c r="B416" s="15" t="s">
        <v>3253</v>
      </c>
      <c r="C416" s="15" t="s">
        <v>5999</v>
      </c>
      <c r="D416" s="34" t="n">
        <f aca="false">Activities!N176</f>
        <v>2</v>
      </c>
      <c r="E416" s="15" t="s">
        <v>5998</v>
      </c>
    </row>
    <row r="417" customFormat="false" ht="15" hidden="false" customHeight="false" outlineLevel="0" collapsed="false">
      <c r="A417" s="15" t="s">
        <v>3253</v>
      </c>
      <c r="B417" s="15" t="s">
        <v>3254</v>
      </c>
      <c r="C417" s="15" t="s">
        <v>5997</v>
      </c>
      <c r="D417" s="34" t="n">
        <f aca="false">Activities!M177</f>
        <v>1</v>
      </c>
      <c r="E417" s="15" t="s">
        <v>5998</v>
      </c>
    </row>
    <row r="418" customFormat="false" ht="15" hidden="false" customHeight="false" outlineLevel="0" collapsed="false">
      <c r="A418" s="15" t="s">
        <v>3253</v>
      </c>
      <c r="B418" s="15" t="s">
        <v>3254</v>
      </c>
      <c r="C418" s="15" t="s">
        <v>5999</v>
      </c>
      <c r="D418" s="34" t="n">
        <f aca="false">Activities!N177</f>
        <v>2</v>
      </c>
      <c r="E418" s="15" t="s">
        <v>5998</v>
      </c>
    </row>
    <row r="419" customFormat="false" ht="15" hidden="false" customHeight="false" outlineLevel="0" collapsed="false">
      <c r="A419" s="15" t="s">
        <v>3254</v>
      </c>
      <c r="B419" s="15" t="s">
        <v>3255</v>
      </c>
      <c r="C419" s="15" t="s">
        <v>5997</v>
      </c>
      <c r="D419" s="34" t="n">
        <f aca="false">Activities!M178</f>
        <v>2</v>
      </c>
      <c r="E419" s="15" t="s">
        <v>5998</v>
      </c>
    </row>
    <row r="420" customFormat="false" ht="15" hidden="false" customHeight="false" outlineLevel="0" collapsed="false">
      <c r="A420" s="15" t="s">
        <v>3254</v>
      </c>
      <c r="B420" s="15" t="s">
        <v>3255</v>
      </c>
      <c r="C420" s="15" t="s">
        <v>5999</v>
      </c>
      <c r="D420" s="34" t="n">
        <f aca="false">Activities!N178</f>
        <v>2</v>
      </c>
      <c r="E420" s="15" t="s">
        <v>5998</v>
      </c>
    </row>
    <row r="421" customFormat="false" ht="15" hidden="false" customHeight="false" outlineLevel="0" collapsed="false">
      <c r="A421" s="15" t="s">
        <v>3255</v>
      </c>
      <c r="B421" s="15" t="s">
        <v>3256</v>
      </c>
      <c r="C421" s="15" t="s">
        <v>5997</v>
      </c>
      <c r="D421" s="34" t="n">
        <f aca="false">Activities!M179</f>
        <v>1</v>
      </c>
      <c r="E421" s="15" t="s">
        <v>5998</v>
      </c>
    </row>
    <row r="422" customFormat="false" ht="15" hidden="false" customHeight="false" outlineLevel="0" collapsed="false">
      <c r="A422" s="15" t="s">
        <v>3255</v>
      </c>
      <c r="B422" s="15" t="s">
        <v>3256</v>
      </c>
      <c r="C422" s="15" t="s">
        <v>5999</v>
      </c>
      <c r="D422" s="34" t="n">
        <f aca="false">Activities!N179</f>
        <v>2</v>
      </c>
      <c r="E422" s="15" t="s">
        <v>5998</v>
      </c>
    </row>
    <row r="423" customFormat="false" ht="15" hidden="false" customHeight="false" outlineLevel="0" collapsed="false">
      <c r="A423" s="15" t="s">
        <v>3256</v>
      </c>
      <c r="B423" s="15" t="s">
        <v>3257</v>
      </c>
      <c r="C423" s="15" t="s">
        <v>5997</v>
      </c>
      <c r="D423" s="34" t="n">
        <f aca="false">Activities!M180</f>
        <v>2</v>
      </c>
      <c r="E423" s="15" t="s">
        <v>5998</v>
      </c>
    </row>
    <row r="424" customFormat="false" ht="15" hidden="false" customHeight="false" outlineLevel="0" collapsed="false">
      <c r="A424" s="15" t="s">
        <v>3256</v>
      </c>
      <c r="B424" s="15" t="s">
        <v>3257</v>
      </c>
      <c r="C424" s="15" t="s">
        <v>5999</v>
      </c>
      <c r="D424" s="34" t="n">
        <f aca="false">Activities!N180</f>
        <v>2</v>
      </c>
      <c r="E424" s="15" t="s">
        <v>5998</v>
      </c>
    </row>
    <row r="425" customFormat="false" ht="15" hidden="false" customHeight="false" outlineLevel="0" collapsed="false">
      <c r="A425" s="15" t="s">
        <v>3257</v>
      </c>
      <c r="B425" s="15" t="s">
        <v>3258</v>
      </c>
      <c r="C425" s="15" t="s">
        <v>5997</v>
      </c>
      <c r="D425" s="34" t="n">
        <f aca="false">Activities!M181</f>
        <v>1</v>
      </c>
      <c r="E425" s="15" t="s">
        <v>5998</v>
      </c>
    </row>
    <row r="426" customFormat="false" ht="15" hidden="false" customHeight="false" outlineLevel="0" collapsed="false">
      <c r="A426" s="15" t="s">
        <v>3257</v>
      </c>
      <c r="B426" s="15" t="s">
        <v>3258</v>
      </c>
      <c r="C426" s="15" t="s">
        <v>5999</v>
      </c>
      <c r="D426" s="34" t="n">
        <f aca="false">Activities!N181</f>
        <v>2</v>
      </c>
      <c r="E426" s="15" t="s">
        <v>5998</v>
      </c>
    </row>
    <row r="427" customFormat="false" ht="15" hidden="false" customHeight="false" outlineLevel="0" collapsed="false">
      <c r="A427" s="15" t="s">
        <v>3259</v>
      </c>
      <c r="B427" s="15" t="s">
        <v>3261</v>
      </c>
      <c r="C427" s="15" t="s">
        <v>5995</v>
      </c>
      <c r="D427" s="34" t="n">
        <v>0</v>
      </c>
      <c r="E427" s="15" t="s">
        <v>5996</v>
      </c>
    </row>
    <row r="428" customFormat="false" ht="15" hidden="false" customHeight="false" outlineLevel="0" collapsed="false">
      <c r="A428" s="15" t="s">
        <v>3250</v>
      </c>
      <c r="B428" s="15" t="s">
        <v>3261</v>
      </c>
      <c r="C428" s="15" t="s">
        <v>5997</v>
      </c>
      <c r="D428" s="34" t="n">
        <v>0</v>
      </c>
      <c r="E428" s="15" t="s">
        <v>6002</v>
      </c>
    </row>
    <row r="429" customFormat="false" ht="15" hidden="false" customHeight="false" outlineLevel="0" collapsed="false">
      <c r="A429" s="15" t="s">
        <v>3261</v>
      </c>
      <c r="B429" s="15" t="s">
        <v>3263</v>
      </c>
      <c r="C429" s="15" t="s">
        <v>5997</v>
      </c>
      <c r="D429" s="34" t="n">
        <f aca="false">Activities!M184</f>
        <v>3</v>
      </c>
      <c r="E429" s="15" t="s">
        <v>5998</v>
      </c>
    </row>
    <row r="430" customFormat="false" ht="15" hidden="false" customHeight="false" outlineLevel="0" collapsed="false">
      <c r="A430" s="15" t="s">
        <v>3261</v>
      </c>
      <c r="B430" s="15" t="s">
        <v>3263</v>
      </c>
      <c r="C430" s="15" t="s">
        <v>5999</v>
      </c>
      <c r="D430" s="34" t="n">
        <f aca="false">Activities!N184</f>
        <v>2</v>
      </c>
      <c r="E430" s="15" t="s">
        <v>5998</v>
      </c>
    </row>
    <row r="431" customFormat="false" ht="15" hidden="false" customHeight="false" outlineLevel="0" collapsed="false">
      <c r="A431" s="15" t="s">
        <v>3250</v>
      </c>
      <c r="B431" s="15" t="s">
        <v>3263</v>
      </c>
      <c r="C431" s="15" t="s">
        <v>5995</v>
      </c>
      <c r="D431" s="34" t="n">
        <v>0</v>
      </c>
      <c r="E431" s="15" t="s">
        <v>6007</v>
      </c>
    </row>
    <row r="432" customFormat="false" ht="15" hidden="false" customHeight="false" outlineLevel="0" collapsed="false">
      <c r="A432" s="15" t="s">
        <v>3263</v>
      </c>
      <c r="B432" s="15" t="s">
        <v>3264</v>
      </c>
      <c r="C432" s="15" t="s">
        <v>5997</v>
      </c>
      <c r="D432" s="34" t="n">
        <f aca="false">Activities!M185</f>
        <v>12</v>
      </c>
      <c r="E432" s="15" t="s">
        <v>5998</v>
      </c>
    </row>
    <row r="433" customFormat="false" ht="15" hidden="false" customHeight="false" outlineLevel="0" collapsed="false">
      <c r="A433" s="15" t="s">
        <v>3263</v>
      </c>
      <c r="B433" s="15" t="s">
        <v>3264</v>
      </c>
      <c r="C433" s="15" t="s">
        <v>5999</v>
      </c>
      <c r="D433" s="34" t="n">
        <f aca="false">Activities!N185</f>
        <v>2</v>
      </c>
      <c r="E433" s="15" t="s">
        <v>5998</v>
      </c>
    </row>
    <row r="434" customFormat="false" ht="15" hidden="false" customHeight="false" outlineLevel="0" collapsed="false">
      <c r="A434" s="15" t="s">
        <v>3251</v>
      </c>
      <c r="B434" s="15" t="s">
        <v>3264</v>
      </c>
      <c r="C434" s="15" t="s">
        <v>5995</v>
      </c>
      <c r="D434" s="34" t="n">
        <v>0</v>
      </c>
      <c r="E434" s="15" t="s">
        <v>6007</v>
      </c>
    </row>
    <row r="435" customFormat="false" ht="15" hidden="false" customHeight="false" outlineLevel="0" collapsed="false">
      <c r="A435" s="15" t="s">
        <v>3264</v>
      </c>
      <c r="B435" s="15" t="s">
        <v>3265</v>
      </c>
      <c r="C435" s="15" t="s">
        <v>5997</v>
      </c>
      <c r="D435" s="34" t="n">
        <f aca="false">Activities!M186</f>
        <v>8</v>
      </c>
      <c r="E435" s="15" t="s">
        <v>5998</v>
      </c>
    </row>
    <row r="436" customFormat="false" ht="15" hidden="false" customHeight="false" outlineLevel="0" collapsed="false">
      <c r="A436" s="15" t="s">
        <v>3264</v>
      </c>
      <c r="B436" s="15" t="s">
        <v>3265</v>
      </c>
      <c r="C436" s="15" t="s">
        <v>5999</v>
      </c>
      <c r="D436" s="34" t="n">
        <f aca="false">Activities!N186</f>
        <v>2</v>
      </c>
      <c r="E436" s="15" t="s">
        <v>5998</v>
      </c>
    </row>
    <row r="437" customFormat="false" ht="15" hidden="false" customHeight="false" outlineLevel="0" collapsed="false">
      <c r="A437" s="15" t="s">
        <v>3253</v>
      </c>
      <c r="B437" s="15" t="s">
        <v>3265</v>
      </c>
      <c r="C437" s="15" t="s">
        <v>5995</v>
      </c>
      <c r="D437" s="34" t="n">
        <f aca="false">-Activities!K186</f>
        <v>-24</v>
      </c>
      <c r="E437" s="15" t="s">
        <v>6004</v>
      </c>
    </row>
    <row r="438" customFormat="false" ht="15" hidden="false" customHeight="false" outlineLevel="0" collapsed="false">
      <c r="A438" s="15" t="s">
        <v>3265</v>
      </c>
      <c r="B438" s="15" t="s">
        <v>3267</v>
      </c>
      <c r="C438" s="15" t="s">
        <v>5997</v>
      </c>
      <c r="D438" s="34" t="n">
        <f aca="false">Activities!M187</f>
        <v>14</v>
      </c>
      <c r="E438" s="15" t="s">
        <v>5998</v>
      </c>
    </row>
    <row r="439" customFormat="false" ht="15" hidden="false" customHeight="false" outlineLevel="0" collapsed="false">
      <c r="A439" s="15" t="s">
        <v>3265</v>
      </c>
      <c r="B439" s="15" t="s">
        <v>3267</v>
      </c>
      <c r="C439" s="15" t="s">
        <v>5999</v>
      </c>
      <c r="D439" s="34" t="n">
        <f aca="false">Activities!N187</f>
        <v>2</v>
      </c>
      <c r="E439" s="15" t="s">
        <v>5998</v>
      </c>
    </row>
    <row r="440" customFormat="false" ht="15" hidden="false" customHeight="false" outlineLevel="0" collapsed="false">
      <c r="A440" s="15" t="s">
        <v>3253</v>
      </c>
      <c r="B440" s="15" t="s">
        <v>3267</v>
      </c>
      <c r="C440" s="15" t="s">
        <v>5995</v>
      </c>
      <c r="D440" s="34" t="n">
        <v>0</v>
      </c>
      <c r="E440" s="15" t="s">
        <v>6007</v>
      </c>
    </row>
    <row r="441" customFormat="false" ht="15" hidden="false" customHeight="false" outlineLevel="0" collapsed="false">
      <c r="A441" s="15" t="s">
        <v>3267</v>
      </c>
      <c r="B441" s="15" t="s">
        <v>3268</v>
      </c>
      <c r="C441" s="15" t="s">
        <v>5997</v>
      </c>
      <c r="D441" s="34" t="n">
        <f aca="false">Activities!M188</f>
        <v>7</v>
      </c>
      <c r="E441" s="15" t="s">
        <v>5998</v>
      </c>
    </row>
    <row r="442" customFormat="false" ht="15" hidden="false" customHeight="false" outlineLevel="0" collapsed="false">
      <c r="A442" s="15" t="s">
        <v>3267</v>
      </c>
      <c r="B442" s="15" t="s">
        <v>3268</v>
      </c>
      <c r="C442" s="15" t="s">
        <v>5999</v>
      </c>
      <c r="D442" s="34" t="n">
        <f aca="false">Activities!N188</f>
        <v>2</v>
      </c>
      <c r="E442" s="15" t="s">
        <v>5998</v>
      </c>
    </row>
    <row r="443" customFormat="false" ht="15" hidden="false" customHeight="false" outlineLevel="0" collapsed="false">
      <c r="A443" s="15" t="s">
        <v>3254</v>
      </c>
      <c r="B443" s="15" t="s">
        <v>3268</v>
      </c>
      <c r="C443" s="15" t="s">
        <v>5995</v>
      </c>
      <c r="D443" s="34" t="n">
        <v>0</v>
      </c>
      <c r="E443" s="15" t="s">
        <v>6007</v>
      </c>
    </row>
    <row r="444" customFormat="false" ht="15" hidden="false" customHeight="false" outlineLevel="0" collapsed="false">
      <c r="A444" s="15" t="s">
        <v>3268</v>
      </c>
      <c r="B444" s="15" t="s">
        <v>3269</v>
      </c>
      <c r="C444" s="15" t="s">
        <v>5997</v>
      </c>
      <c r="D444" s="34" t="n">
        <f aca="false">Activities!M189</f>
        <v>9</v>
      </c>
      <c r="E444" s="15" t="s">
        <v>5998</v>
      </c>
    </row>
    <row r="445" customFormat="false" ht="15" hidden="false" customHeight="false" outlineLevel="0" collapsed="false">
      <c r="A445" s="15" t="s">
        <v>3268</v>
      </c>
      <c r="B445" s="15" t="s">
        <v>3269</v>
      </c>
      <c r="C445" s="15" t="s">
        <v>5999</v>
      </c>
      <c r="D445" s="34" t="n">
        <f aca="false">Activities!N189</f>
        <v>2</v>
      </c>
      <c r="E445" s="15" t="s">
        <v>5998</v>
      </c>
    </row>
    <row r="446" customFormat="false" ht="15" hidden="false" customHeight="false" outlineLevel="0" collapsed="false">
      <c r="A446" s="15" t="s">
        <v>3255</v>
      </c>
      <c r="B446" s="15" t="s">
        <v>3269</v>
      </c>
      <c r="C446" s="15" t="s">
        <v>5995</v>
      </c>
      <c r="D446" s="34" t="n">
        <v>0</v>
      </c>
      <c r="E446" s="15" t="s">
        <v>6007</v>
      </c>
    </row>
    <row r="447" customFormat="false" ht="15" hidden="false" customHeight="false" outlineLevel="0" collapsed="false">
      <c r="A447" s="15" t="s">
        <v>3269</v>
      </c>
      <c r="B447" s="15" t="s">
        <v>3270</v>
      </c>
      <c r="C447" s="15" t="s">
        <v>5997</v>
      </c>
      <c r="D447" s="34" t="n">
        <f aca="false">Activities!M190</f>
        <v>7</v>
      </c>
      <c r="E447" s="15" t="s">
        <v>5998</v>
      </c>
    </row>
    <row r="448" customFormat="false" ht="15" hidden="false" customHeight="false" outlineLevel="0" collapsed="false">
      <c r="A448" s="15" t="s">
        <v>3269</v>
      </c>
      <c r="B448" s="15" t="s">
        <v>3270</v>
      </c>
      <c r="C448" s="15" t="s">
        <v>5999</v>
      </c>
      <c r="D448" s="34" t="n">
        <f aca="false">Activities!N190</f>
        <v>2</v>
      </c>
      <c r="E448" s="15" t="s">
        <v>5998</v>
      </c>
    </row>
    <row r="449" customFormat="false" ht="15" hidden="false" customHeight="false" outlineLevel="0" collapsed="false">
      <c r="A449" s="15" t="s">
        <v>3270</v>
      </c>
      <c r="B449" s="15" t="s">
        <v>3271</v>
      </c>
      <c r="C449" s="15" t="s">
        <v>5997</v>
      </c>
      <c r="D449" s="34" t="n">
        <f aca="false">Activities!M191</f>
        <v>3</v>
      </c>
      <c r="E449" s="15" t="s">
        <v>5998</v>
      </c>
    </row>
    <row r="450" customFormat="false" ht="15" hidden="false" customHeight="false" outlineLevel="0" collapsed="false">
      <c r="A450" s="15" t="s">
        <v>3270</v>
      </c>
      <c r="B450" s="15" t="s">
        <v>3271</v>
      </c>
      <c r="C450" s="15" t="s">
        <v>5999</v>
      </c>
      <c r="D450" s="34" t="n">
        <f aca="false">Activities!N191</f>
        <v>2</v>
      </c>
      <c r="E450" s="15" t="s">
        <v>5998</v>
      </c>
    </row>
    <row r="451" customFormat="false" ht="15" hidden="false" customHeight="false" outlineLevel="0" collapsed="false">
      <c r="A451" s="15" t="s">
        <v>3257</v>
      </c>
      <c r="B451" s="15" t="s">
        <v>3271</v>
      </c>
      <c r="C451" s="15" t="s">
        <v>5995</v>
      </c>
      <c r="D451" s="34" t="n">
        <v>0</v>
      </c>
      <c r="E451" s="15" t="s">
        <v>6007</v>
      </c>
    </row>
    <row r="452" customFormat="false" ht="15" hidden="false" customHeight="false" outlineLevel="0" collapsed="false">
      <c r="A452" s="15" t="s">
        <v>3332</v>
      </c>
      <c r="B452" s="15" t="s">
        <v>3271</v>
      </c>
      <c r="C452" s="15" t="s">
        <v>5995</v>
      </c>
      <c r="D452" s="34" t="n">
        <v>0</v>
      </c>
      <c r="E452" s="15" t="s">
        <v>6005</v>
      </c>
    </row>
    <row r="453" customFormat="false" ht="15" hidden="false" customHeight="false" outlineLevel="0" collapsed="false">
      <c r="A453" s="15" t="s">
        <v>3301</v>
      </c>
      <c r="B453" s="15" t="s">
        <v>3271</v>
      </c>
      <c r="C453" s="15" t="s">
        <v>5995</v>
      </c>
      <c r="D453" s="34" t="n">
        <v>0</v>
      </c>
      <c r="E453" s="15" t="s">
        <v>6005</v>
      </c>
    </row>
    <row r="454" customFormat="false" ht="15" hidden="false" customHeight="false" outlineLevel="0" collapsed="false">
      <c r="A454" s="15" t="s">
        <v>3285</v>
      </c>
      <c r="B454" s="15" t="s">
        <v>3271</v>
      </c>
      <c r="C454" s="15" t="s">
        <v>5995</v>
      </c>
      <c r="D454" s="34" t="n">
        <v>0</v>
      </c>
      <c r="E454" s="15" t="s">
        <v>6005</v>
      </c>
    </row>
    <row r="455" customFormat="false" ht="15" hidden="false" customHeight="false" outlineLevel="0" collapsed="false">
      <c r="A455" s="15" t="s">
        <v>3271</v>
      </c>
      <c r="B455" s="15" t="s">
        <v>3273</v>
      </c>
      <c r="C455" s="15" t="s">
        <v>5997</v>
      </c>
      <c r="D455" s="34" t="n">
        <f aca="false">Activities!M192</f>
        <v>3</v>
      </c>
      <c r="E455" s="15" t="s">
        <v>5998</v>
      </c>
    </row>
    <row r="456" customFormat="false" ht="15" hidden="false" customHeight="false" outlineLevel="0" collapsed="false">
      <c r="A456" s="15" t="s">
        <v>3271</v>
      </c>
      <c r="B456" s="15" t="s">
        <v>3273</v>
      </c>
      <c r="C456" s="15" t="s">
        <v>5999</v>
      </c>
      <c r="D456" s="34" t="n">
        <f aca="false">Activities!N192</f>
        <v>2</v>
      </c>
      <c r="E456" s="15" t="s">
        <v>5998</v>
      </c>
    </row>
    <row r="457" customFormat="false" ht="15" hidden="false" customHeight="false" outlineLevel="0" collapsed="false">
      <c r="A457" s="15" t="s">
        <v>3274</v>
      </c>
      <c r="B457" s="15" t="s">
        <v>3276</v>
      </c>
      <c r="C457" s="15" t="s">
        <v>5995</v>
      </c>
      <c r="D457" s="34" t="n">
        <v>0</v>
      </c>
      <c r="E457" s="15" t="s">
        <v>5996</v>
      </c>
    </row>
    <row r="458" customFormat="false" ht="15" hidden="false" customHeight="false" outlineLevel="0" collapsed="false">
      <c r="A458" s="15" t="s">
        <v>3263</v>
      </c>
      <c r="B458" s="15" t="s">
        <v>3276</v>
      </c>
      <c r="C458" s="15" t="s">
        <v>5997</v>
      </c>
      <c r="D458" s="34" t="n">
        <v>0</v>
      </c>
      <c r="E458" s="15" t="s">
        <v>6002</v>
      </c>
    </row>
    <row r="459" customFormat="false" ht="15" hidden="false" customHeight="false" outlineLevel="0" collapsed="false">
      <c r="A459" s="15" t="s">
        <v>3276</v>
      </c>
      <c r="B459" s="15" t="s">
        <v>3278</v>
      </c>
      <c r="C459" s="15" t="s">
        <v>5997</v>
      </c>
      <c r="D459" s="34" t="n">
        <f aca="false">Activities!M195</f>
        <v>3</v>
      </c>
      <c r="E459" s="15" t="s">
        <v>5998</v>
      </c>
    </row>
    <row r="460" customFormat="false" ht="15" hidden="false" customHeight="false" outlineLevel="0" collapsed="false">
      <c r="A460" s="15" t="s">
        <v>3276</v>
      </c>
      <c r="B460" s="15" t="s">
        <v>3278</v>
      </c>
      <c r="C460" s="15" t="s">
        <v>5999</v>
      </c>
      <c r="D460" s="34" t="n">
        <f aca="false">Activities!N195</f>
        <v>2</v>
      </c>
      <c r="E460" s="15" t="s">
        <v>5998</v>
      </c>
    </row>
    <row r="461" customFormat="false" ht="15" hidden="false" customHeight="false" outlineLevel="0" collapsed="false">
      <c r="A461" s="15" t="s">
        <v>3263</v>
      </c>
      <c r="B461" s="15" t="s">
        <v>3278</v>
      </c>
      <c r="C461" s="15" t="s">
        <v>5995</v>
      </c>
      <c r="D461" s="34" t="n">
        <v>0</v>
      </c>
      <c r="E461" s="15" t="s">
        <v>6007</v>
      </c>
    </row>
    <row r="462" customFormat="false" ht="15" hidden="false" customHeight="false" outlineLevel="0" collapsed="false">
      <c r="A462" s="15" t="s">
        <v>3278</v>
      </c>
      <c r="B462" s="15" t="s">
        <v>3279</v>
      </c>
      <c r="C462" s="15" t="s">
        <v>5997</v>
      </c>
      <c r="D462" s="34" t="n">
        <f aca="false">Activities!M196</f>
        <v>12</v>
      </c>
      <c r="E462" s="15" t="s">
        <v>5998</v>
      </c>
    </row>
    <row r="463" customFormat="false" ht="15" hidden="false" customHeight="false" outlineLevel="0" collapsed="false">
      <c r="A463" s="15" t="s">
        <v>3278</v>
      </c>
      <c r="B463" s="15" t="s">
        <v>3279</v>
      </c>
      <c r="C463" s="15" t="s">
        <v>5999</v>
      </c>
      <c r="D463" s="34" t="n">
        <f aca="false">Activities!N196</f>
        <v>2</v>
      </c>
      <c r="E463" s="15" t="s">
        <v>5998</v>
      </c>
    </row>
    <row r="464" customFormat="false" ht="15" hidden="false" customHeight="false" outlineLevel="0" collapsed="false">
      <c r="A464" s="15" t="s">
        <v>3264</v>
      </c>
      <c r="B464" s="15" t="s">
        <v>3279</v>
      </c>
      <c r="C464" s="15" t="s">
        <v>5995</v>
      </c>
      <c r="D464" s="34" t="n">
        <v>0</v>
      </c>
      <c r="E464" s="15" t="s">
        <v>6007</v>
      </c>
    </row>
    <row r="465" customFormat="false" ht="15" hidden="false" customHeight="false" outlineLevel="0" collapsed="false">
      <c r="A465" s="15" t="s">
        <v>3279</v>
      </c>
      <c r="B465" s="15" t="s">
        <v>3280</v>
      </c>
      <c r="C465" s="15" t="s">
        <v>5997</v>
      </c>
      <c r="D465" s="34" t="n">
        <f aca="false">Activities!M197</f>
        <v>8</v>
      </c>
      <c r="E465" s="15" t="s">
        <v>5998</v>
      </c>
    </row>
    <row r="466" customFormat="false" ht="15" hidden="false" customHeight="false" outlineLevel="0" collapsed="false">
      <c r="A466" s="15" t="s">
        <v>3279</v>
      </c>
      <c r="B466" s="15" t="s">
        <v>3280</v>
      </c>
      <c r="C466" s="15" t="s">
        <v>5999</v>
      </c>
      <c r="D466" s="34" t="n">
        <f aca="false">Activities!N197</f>
        <v>2</v>
      </c>
      <c r="E466" s="15" t="s">
        <v>5998</v>
      </c>
    </row>
    <row r="467" customFormat="false" ht="15" hidden="false" customHeight="false" outlineLevel="0" collapsed="false">
      <c r="A467" s="15" t="s">
        <v>3267</v>
      </c>
      <c r="B467" s="15" t="s">
        <v>3280</v>
      </c>
      <c r="C467" s="15" t="s">
        <v>5995</v>
      </c>
      <c r="D467" s="34" t="n">
        <f aca="false">-Activities!K197</f>
        <v>-24</v>
      </c>
      <c r="E467" s="15" t="s">
        <v>6004</v>
      </c>
    </row>
    <row r="468" customFormat="false" ht="15" hidden="false" customHeight="false" outlineLevel="0" collapsed="false">
      <c r="A468" s="15" t="s">
        <v>3280</v>
      </c>
      <c r="B468" s="15" t="s">
        <v>3282</v>
      </c>
      <c r="C468" s="15" t="s">
        <v>5997</v>
      </c>
      <c r="D468" s="34" t="n">
        <f aca="false">Activities!M198</f>
        <v>14</v>
      </c>
      <c r="E468" s="15" t="s">
        <v>5998</v>
      </c>
    </row>
    <row r="469" customFormat="false" ht="15" hidden="false" customHeight="false" outlineLevel="0" collapsed="false">
      <c r="A469" s="15" t="s">
        <v>3280</v>
      </c>
      <c r="B469" s="15" t="s">
        <v>3282</v>
      </c>
      <c r="C469" s="15" t="s">
        <v>5999</v>
      </c>
      <c r="D469" s="34" t="n">
        <f aca="false">Activities!N198</f>
        <v>2</v>
      </c>
      <c r="E469" s="15" t="s">
        <v>5998</v>
      </c>
    </row>
    <row r="470" customFormat="false" ht="15" hidden="false" customHeight="false" outlineLevel="0" collapsed="false">
      <c r="A470" s="15" t="s">
        <v>3267</v>
      </c>
      <c r="B470" s="15" t="s">
        <v>3282</v>
      </c>
      <c r="C470" s="15" t="s">
        <v>5995</v>
      </c>
      <c r="D470" s="34" t="n">
        <v>0</v>
      </c>
      <c r="E470" s="15" t="s">
        <v>6007</v>
      </c>
    </row>
    <row r="471" customFormat="false" ht="15" hidden="false" customHeight="false" outlineLevel="0" collapsed="false">
      <c r="A471" s="15" t="s">
        <v>3267</v>
      </c>
      <c r="B471" s="15" t="s">
        <v>3282</v>
      </c>
      <c r="C471" s="15" t="s">
        <v>5997</v>
      </c>
      <c r="D471" s="34" t="n">
        <v>0</v>
      </c>
      <c r="E471" s="15" t="s">
        <v>6006</v>
      </c>
    </row>
    <row r="472" customFormat="false" ht="15" hidden="false" customHeight="false" outlineLevel="0" collapsed="false">
      <c r="A472" s="15" t="s">
        <v>3282</v>
      </c>
      <c r="B472" s="15" t="s">
        <v>3284</v>
      </c>
      <c r="C472" s="15" t="s">
        <v>5997</v>
      </c>
      <c r="D472" s="34" t="n">
        <f aca="false">Activities!M199</f>
        <v>6</v>
      </c>
      <c r="E472" s="15" t="s">
        <v>5998</v>
      </c>
    </row>
    <row r="473" customFormat="false" ht="15" hidden="false" customHeight="false" outlineLevel="0" collapsed="false">
      <c r="A473" s="15" t="s">
        <v>3282</v>
      </c>
      <c r="B473" s="15" t="s">
        <v>3284</v>
      </c>
      <c r="C473" s="15" t="s">
        <v>5999</v>
      </c>
      <c r="D473" s="34" t="n">
        <f aca="false">Activities!N199</f>
        <v>2</v>
      </c>
      <c r="E473" s="15" t="s">
        <v>5998</v>
      </c>
    </row>
    <row r="474" customFormat="false" ht="15" hidden="false" customHeight="false" outlineLevel="0" collapsed="false">
      <c r="A474" s="15" t="s">
        <v>3268</v>
      </c>
      <c r="B474" s="15" t="s">
        <v>3284</v>
      </c>
      <c r="C474" s="15" t="s">
        <v>5995</v>
      </c>
      <c r="D474" s="34" t="n">
        <v>0</v>
      </c>
      <c r="E474" s="15" t="s">
        <v>6007</v>
      </c>
    </row>
    <row r="475" customFormat="false" ht="15" hidden="false" customHeight="false" outlineLevel="0" collapsed="false">
      <c r="A475" s="15" t="s">
        <v>3284</v>
      </c>
      <c r="B475" s="15" t="s">
        <v>3285</v>
      </c>
      <c r="C475" s="15" t="s">
        <v>5997</v>
      </c>
      <c r="D475" s="34" t="n">
        <f aca="false">Activities!M200</f>
        <v>9</v>
      </c>
      <c r="E475" s="15" t="s">
        <v>5998</v>
      </c>
    </row>
    <row r="476" customFormat="false" ht="15" hidden="false" customHeight="false" outlineLevel="0" collapsed="false">
      <c r="A476" s="15" t="s">
        <v>3284</v>
      </c>
      <c r="B476" s="15" t="s">
        <v>3285</v>
      </c>
      <c r="C476" s="15" t="s">
        <v>5999</v>
      </c>
      <c r="D476" s="34" t="n">
        <f aca="false">Activities!N200</f>
        <v>2</v>
      </c>
      <c r="E476" s="15" t="s">
        <v>5998</v>
      </c>
    </row>
    <row r="477" customFormat="false" ht="15" hidden="false" customHeight="false" outlineLevel="0" collapsed="false">
      <c r="A477" s="15" t="s">
        <v>3269</v>
      </c>
      <c r="B477" s="15" t="s">
        <v>3285</v>
      </c>
      <c r="C477" s="15" t="s">
        <v>5995</v>
      </c>
      <c r="D477" s="34" t="n">
        <v>0</v>
      </c>
      <c r="E477" s="15" t="s">
        <v>6007</v>
      </c>
    </row>
    <row r="478" customFormat="false" ht="15" hidden="false" customHeight="false" outlineLevel="0" collapsed="false">
      <c r="A478" s="15" t="s">
        <v>3285</v>
      </c>
      <c r="B478" s="15" t="s">
        <v>3286</v>
      </c>
      <c r="C478" s="15" t="s">
        <v>5997</v>
      </c>
      <c r="D478" s="34" t="n">
        <f aca="false">Activities!M201</f>
        <v>6</v>
      </c>
      <c r="E478" s="15" t="s">
        <v>5998</v>
      </c>
    </row>
    <row r="479" customFormat="false" ht="15" hidden="false" customHeight="false" outlineLevel="0" collapsed="false">
      <c r="A479" s="15" t="s">
        <v>3285</v>
      </c>
      <c r="B479" s="15" t="s">
        <v>3286</v>
      </c>
      <c r="C479" s="15" t="s">
        <v>5999</v>
      </c>
      <c r="D479" s="34" t="n">
        <f aca="false">Activities!N201</f>
        <v>2</v>
      </c>
      <c r="E479" s="15" t="s">
        <v>5998</v>
      </c>
    </row>
    <row r="480" customFormat="false" ht="15" hidden="false" customHeight="false" outlineLevel="0" collapsed="false">
      <c r="A480" s="15" t="s">
        <v>3286</v>
      </c>
      <c r="B480" s="15" t="s">
        <v>3287</v>
      </c>
      <c r="C480" s="15" t="s">
        <v>5997</v>
      </c>
      <c r="D480" s="34" t="n">
        <f aca="false">Activities!M202</f>
        <v>3</v>
      </c>
      <c r="E480" s="15" t="s">
        <v>5998</v>
      </c>
    </row>
    <row r="481" customFormat="false" ht="15" hidden="false" customHeight="false" outlineLevel="0" collapsed="false">
      <c r="A481" s="15" t="s">
        <v>3286</v>
      </c>
      <c r="B481" s="15" t="s">
        <v>3287</v>
      </c>
      <c r="C481" s="15" t="s">
        <v>5999</v>
      </c>
      <c r="D481" s="34" t="n">
        <f aca="false">Activities!N202</f>
        <v>2</v>
      </c>
      <c r="E481" s="15" t="s">
        <v>5998</v>
      </c>
    </row>
    <row r="482" customFormat="false" ht="15" hidden="false" customHeight="false" outlineLevel="0" collapsed="false">
      <c r="A482" s="15" t="s">
        <v>3271</v>
      </c>
      <c r="B482" s="15" t="s">
        <v>3287</v>
      </c>
      <c r="C482" s="15" t="s">
        <v>5995</v>
      </c>
      <c r="D482" s="34" t="n">
        <v>0</v>
      </c>
      <c r="E482" s="15" t="s">
        <v>6007</v>
      </c>
    </row>
    <row r="483" customFormat="false" ht="15" hidden="false" customHeight="false" outlineLevel="0" collapsed="false">
      <c r="A483" s="15" t="s">
        <v>3332</v>
      </c>
      <c r="B483" s="15" t="s">
        <v>3287</v>
      </c>
      <c r="C483" s="15" t="s">
        <v>5995</v>
      </c>
      <c r="D483" s="34" t="n">
        <v>0</v>
      </c>
      <c r="E483" s="15" t="s">
        <v>6005</v>
      </c>
    </row>
    <row r="484" customFormat="false" ht="15" hidden="false" customHeight="false" outlineLevel="0" collapsed="false">
      <c r="A484" s="15" t="s">
        <v>3301</v>
      </c>
      <c r="B484" s="15" t="s">
        <v>3287</v>
      </c>
      <c r="C484" s="15" t="s">
        <v>5995</v>
      </c>
      <c r="D484" s="34" t="n">
        <v>0</v>
      </c>
      <c r="E484" s="15" t="s">
        <v>6005</v>
      </c>
    </row>
    <row r="485" customFormat="false" ht="15" hidden="false" customHeight="false" outlineLevel="0" collapsed="false">
      <c r="A485" s="15" t="s">
        <v>3269</v>
      </c>
      <c r="B485" s="15" t="s">
        <v>3287</v>
      </c>
      <c r="C485" s="15" t="s">
        <v>5995</v>
      </c>
      <c r="D485" s="34" t="n">
        <v>0</v>
      </c>
      <c r="E485" s="15" t="s">
        <v>6005</v>
      </c>
    </row>
    <row r="486" customFormat="false" ht="15" hidden="false" customHeight="false" outlineLevel="0" collapsed="false">
      <c r="A486" s="15" t="s">
        <v>3287</v>
      </c>
      <c r="B486" s="15" t="s">
        <v>3289</v>
      </c>
      <c r="C486" s="15" t="s">
        <v>5997</v>
      </c>
      <c r="D486" s="34" t="n">
        <f aca="false">Activities!M203</f>
        <v>3</v>
      </c>
      <c r="E486" s="15" t="s">
        <v>5998</v>
      </c>
    </row>
    <row r="487" customFormat="false" ht="15" hidden="false" customHeight="false" outlineLevel="0" collapsed="false">
      <c r="A487" s="15" t="s">
        <v>3287</v>
      </c>
      <c r="B487" s="15" t="s">
        <v>3289</v>
      </c>
      <c r="C487" s="15" t="s">
        <v>5999</v>
      </c>
      <c r="D487" s="34" t="n">
        <f aca="false">Activities!N203</f>
        <v>2</v>
      </c>
      <c r="E487" s="15" t="s">
        <v>5998</v>
      </c>
    </row>
    <row r="488" customFormat="false" ht="15" hidden="false" customHeight="false" outlineLevel="0" collapsed="false">
      <c r="A488" s="15" t="s">
        <v>3290</v>
      </c>
      <c r="B488" s="15" t="s">
        <v>3292</v>
      </c>
      <c r="C488" s="15" t="s">
        <v>5995</v>
      </c>
      <c r="D488" s="34" t="n">
        <v>0</v>
      </c>
      <c r="E488" s="15" t="s">
        <v>5996</v>
      </c>
    </row>
    <row r="489" customFormat="false" ht="15" hidden="false" customHeight="false" outlineLevel="0" collapsed="false">
      <c r="A489" s="15" t="s">
        <v>3278</v>
      </c>
      <c r="B489" s="15" t="s">
        <v>3292</v>
      </c>
      <c r="C489" s="15" t="s">
        <v>5997</v>
      </c>
      <c r="D489" s="34" t="n">
        <v>0</v>
      </c>
      <c r="E489" s="15" t="s">
        <v>6002</v>
      </c>
    </row>
    <row r="490" customFormat="false" ht="15" hidden="false" customHeight="false" outlineLevel="0" collapsed="false">
      <c r="A490" s="15" t="s">
        <v>3292</v>
      </c>
      <c r="B490" s="15" t="s">
        <v>3294</v>
      </c>
      <c r="C490" s="15" t="s">
        <v>5997</v>
      </c>
      <c r="D490" s="34" t="n">
        <f aca="false">Activities!M206</f>
        <v>1</v>
      </c>
      <c r="E490" s="15" t="s">
        <v>5998</v>
      </c>
    </row>
    <row r="491" customFormat="false" ht="15" hidden="false" customHeight="false" outlineLevel="0" collapsed="false">
      <c r="A491" s="15" t="s">
        <v>3292</v>
      </c>
      <c r="B491" s="15" t="s">
        <v>3294</v>
      </c>
      <c r="C491" s="15" t="s">
        <v>5999</v>
      </c>
      <c r="D491" s="34" t="n">
        <f aca="false">Activities!N206</f>
        <v>2</v>
      </c>
      <c r="E491" s="15" t="s">
        <v>5998</v>
      </c>
    </row>
    <row r="492" customFormat="false" ht="15" hidden="false" customHeight="false" outlineLevel="0" collapsed="false">
      <c r="A492" s="15" t="s">
        <v>3278</v>
      </c>
      <c r="B492" s="15" t="s">
        <v>3294</v>
      </c>
      <c r="C492" s="15" t="s">
        <v>5995</v>
      </c>
      <c r="D492" s="34" t="n">
        <v>0</v>
      </c>
      <c r="E492" s="15" t="s">
        <v>6007</v>
      </c>
    </row>
    <row r="493" customFormat="false" ht="15" hidden="false" customHeight="false" outlineLevel="0" collapsed="false">
      <c r="A493" s="15" t="s">
        <v>3294</v>
      </c>
      <c r="B493" s="15" t="s">
        <v>3295</v>
      </c>
      <c r="C493" s="15" t="s">
        <v>5997</v>
      </c>
      <c r="D493" s="34" t="n">
        <f aca="false">Activities!M207</f>
        <v>1</v>
      </c>
      <c r="E493" s="15" t="s">
        <v>5998</v>
      </c>
    </row>
    <row r="494" customFormat="false" ht="15" hidden="false" customHeight="false" outlineLevel="0" collapsed="false">
      <c r="A494" s="15" t="s">
        <v>3294</v>
      </c>
      <c r="B494" s="15" t="s">
        <v>3295</v>
      </c>
      <c r="C494" s="15" t="s">
        <v>5999</v>
      </c>
      <c r="D494" s="34" t="n">
        <f aca="false">Activities!N207</f>
        <v>2</v>
      </c>
      <c r="E494" s="15" t="s">
        <v>5998</v>
      </c>
    </row>
    <row r="495" customFormat="false" ht="15" hidden="false" customHeight="false" outlineLevel="0" collapsed="false">
      <c r="A495" s="15" t="s">
        <v>3279</v>
      </c>
      <c r="B495" s="15" t="s">
        <v>3295</v>
      </c>
      <c r="C495" s="15" t="s">
        <v>5995</v>
      </c>
      <c r="D495" s="34" t="n">
        <v>0</v>
      </c>
      <c r="E495" s="15" t="s">
        <v>6007</v>
      </c>
    </row>
    <row r="496" customFormat="false" ht="15" hidden="false" customHeight="false" outlineLevel="0" collapsed="false">
      <c r="A496" s="15" t="s">
        <v>3295</v>
      </c>
      <c r="B496" s="15" t="s">
        <v>3296</v>
      </c>
      <c r="C496" s="15" t="s">
        <v>5997</v>
      </c>
      <c r="D496" s="34" t="n">
        <f aca="false">Activities!M208</f>
        <v>1</v>
      </c>
      <c r="E496" s="15" t="s">
        <v>5998</v>
      </c>
    </row>
    <row r="497" customFormat="false" ht="15" hidden="false" customHeight="false" outlineLevel="0" collapsed="false">
      <c r="A497" s="15" t="s">
        <v>3295</v>
      </c>
      <c r="B497" s="15" t="s">
        <v>3296</v>
      </c>
      <c r="C497" s="15" t="s">
        <v>5999</v>
      </c>
      <c r="D497" s="34" t="n">
        <f aca="false">Activities!N208</f>
        <v>2</v>
      </c>
      <c r="E497" s="15" t="s">
        <v>5998</v>
      </c>
    </row>
    <row r="498" customFormat="false" ht="15" hidden="false" customHeight="false" outlineLevel="0" collapsed="false">
      <c r="A498" s="15" t="s">
        <v>3282</v>
      </c>
      <c r="B498" s="15" t="s">
        <v>3296</v>
      </c>
      <c r="C498" s="15" t="s">
        <v>5995</v>
      </c>
      <c r="D498" s="34" t="n">
        <f aca="false">-Activities!K208</f>
        <v>-10</v>
      </c>
      <c r="E498" s="15" t="s">
        <v>6004</v>
      </c>
    </row>
    <row r="499" customFormat="false" ht="15" hidden="false" customHeight="false" outlineLevel="0" collapsed="false">
      <c r="A499" s="15" t="s">
        <v>3296</v>
      </c>
      <c r="B499" s="15" t="s">
        <v>3298</v>
      </c>
      <c r="C499" s="15" t="s">
        <v>5997</v>
      </c>
      <c r="D499" s="34" t="n">
        <f aca="false">Activities!M209</f>
        <v>10</v>
      </c>
      <c r="E499" s="15" t="s">
        <v>5998</v>
      </c>
    </row>
    <row r="500" customFormat="false" ht="15" hidden="false" customHeight="false" outlineLevel="0" collapsed="false">
      <c r="A500" s="15" t="s">
        <v>3296</v>
      </c>
      <c r="B500" s="15" t="s">
        <v>3298</v>
      </c>
      <c r="C500" s="15" t="s">
        <v>5999</v>
      </c>
      <c r="D500" s="34" t="n">
        <f aca="false">Activities!N209</f>
        <v>2</v>
      </c>
      <c r="E500" s="15" t="s">
        <v>5998</v>
      </c>
    </row>
    <row r="501" customFormat="false" ht="15" hidden="false" customHeight="false" outlineLevel="0" collapsed="false">
      <c r="A501" s="15" t="s">
        <v>3282</v>
      </c>
      <c r="B501" s="15" t="s">
        <v>3298</v>
      </c>
      <c r="C501" s="15" t="s">
        <v>5995</v>
      </c>
      <c r="D501" s="34" t="n">
        <v>0</v>
      </c>
      <c r="E501" s="15" t="s">
        <v>6007</v>
      </c>
    </row>
    <row r="502" customFormat="false" ht="15" hidden="false" customHeight="false" outlineLevel="0" collapsed="false">
      <c r="A502" s="15" t="s">
        <v>3267</v>
      </c>
      <c r="B502" s="15" t="s">
        <v>3298</v>
      </c>
      <c r="C502" s="15" t="s">
        <v>5997</v>
      </c>
      <c r="D502" s="34" t="n">
        <v>0</v>
      </c>
      <c r="E502" s="15" t="s">
        <v>6006</v>
      </c>
    </row>
    <row r="503" customFormat="false" ht="15" hidden="false" customHeight="false" outlineLevel="0" collapsed="false">
      <c r="A503" s="15" t="s">
        <v>3282</v>
      </c>
      <c r="B503" s="15" t="s">
        <v>3298</v>
      </c>
      <c r="C503" s="15" t="s">
        <v>5997</v>
      </c>
      <c r="D503" s="34" t="n">
        <v>0</v>
      </c>
      <c r="E503" s="15" t="s">
        <v>6006</v>
      </c>
    </row>
    <row r="504" customFormat="false" ht="15" hidden="false" customHeight="false" outlineLevel="0" collapsed="false">
      <c r="A504" s="15" t="s">
        <v>3298</v>
      </c>
      <c r="B504" s="15" t="s">
        <v>3300</v>
      </c>
      <c r="C504" s="15" t="s">
        <v>5997</v>
      </c>
      <c r="D504" s="34" t="n">
        <f aca="false">Activities!M210</f>
        <v>1</v>
      </c>
      <c r="E504" s="15" t="s">
        <v>5998</v>
      </c>
    </row>
    <row r="505" customFormat="false" ht="15" hidden="false" customHeight="false" outlineLevel="0" collapsed="false">
      <c r="A505" s="15" t="s">
        <v>3298</v>
      </c>
      <c r="B505" s="15" t="s">
        <v>3300</v>
      </c>
      <c r="C505" s="15" t="s">
        <v>5999</v>
      </c>
      <c r="D505" s="34" t="n">
        <f aca="false">Activities!N210</f>
        <v>2</v>
      </c>
      <c r="E505" s="15" t="s">
        <v>5998</v>
      </c>
    </row>
    <row r="506" customFormat="false" ht="15" hidden="false" customHeight="false" outlineLevel="0" collapsed="false">
      <c r="A506" s="15" t="s">
        <v>3284</v>
      </c>
      <c r="B506" s="15" t="s">
        <v>3300</v>
      </c>
      <c r="C506" s="15" t="s">
        <v>5995</v>
      </c>
      <c r="D506" s="34" t="n">
        <v>0</v>
      </c>
      <c r="E506" s="15" t="s">
        <v>6007</v>
      </c>
    </row>
    <row r="507" customFormat="false" ht="15" hidden="false" customHeight="false" outlineLevel="0" collapsed="false">
      <c r="A507" s="15" t="s">
        <v>3300</v>
      </c>
      <c r="B507" s="15" t="s">
        <v>3301</v>
      </c>
      <c r="C507" s="15" t="s">
        <v>5997</v>
      </c>
      <c r="D507" s="34" t="n">
        <f aca="false">Activities!M211</f>
        <v>2</v>
      </c>
      <c r="E507" s="15" t="s">
        <v>5998</v>
      </c>
    </row>
    <row r="508" customFormat="false" ht="15" hidden="false" customHeight="false" outlineLevel="0" collapsed="false">
      <c r="A508" s="15" t="s">
        <v>3300</v>
      </c>
      <c r="B508" s="15" t="s">
        <v>3301</v>
      </c>
      <c r="C508" s="15" t="s">
        <v>5999</v>
      </c>
      <c r="D508" s="34" t="n">
        <f aca="false">Activities!N211</f>
        <v>2</v>
      </c>
      <c r="E508" s="15" t="s">
        <v>5998</v>
      </c>
    </row>
    <row r="509" customFormat="false" ht="15" hidden="false" customHeight="false" outlineLevel="0" collapsed="false">
      <c r="A509" s="15" t="s">
        <v>3285</v>
      </c>
      <c r="B509" s="15" t="s">
        <v>3301</v>
      </c>
      <c r="C509" s="15" t="s">
        <v>5995</v>
      </c>
      <c r="D509" s="34" t="n">
        <v>0</v>
      </c>
      <c r="E509" s="15" t="s">
        <v>6007</v>
      </c>
    </row>
    <row r="510" customFormat="false" ht="15" hidden="false" customHeight="false" outlineLevel="0" collapsed="false">
      <c r="A510" s="15" t="s">
        <v>3301</v>
      </c>
      <c r="B510" s="15" t="s">
        <v>3302</v>
      </c>
      <c r="C510" s="15" t="s">
        <v>5997</v>
      </c>
      <c r="D510" s="34" t="n">
        <f aca="false">Activities!M212</f>
        <v>1</v>
      </c>
      <c r="E510" s="15" t="s">
        <v>5998</v>
      </c>
    </row>
    <row r="511" customFormat="false" ht="15" hidden="false" customHeight="false" outlineLevel="0" collapsed="false">
      <c r="A511" s="15" t="s">
        <v>3301</v>
      </c>
      <c r="B511" s="15" t="s">
        <v>3302</v>
      </c>
      <c r="C511" s="15" t="s">
        <v>5999</v>
      </c>
      <c r="D511" s="34" t="n">
        <f aca="false">Activities!N212</f>
        <v>2</v>
      </c>
      <c r="E511" s="15" t="s">
        <v>5998</v>
      </c>
    </row>
    <row r="512" customFormat="false" ht="15" hidden="false" customHeight="false" outlineLevel="0" collapsed="false">
      <c r="A512" s="15" t="s">
        <v>3302</v>
      </c>
      <c r="B512" s="15" t="s">
        <v>3303</v>
      </c>
      <c r="C512" s="15" t="s">
        <v>5997</v>
      </c>
      <c r="D512" s="34" t="n">
        <f aca="false">Activities!M213</f>
        <v>2</v>
      </c>
      <c r="E512" s="15" t="s">
        <v>5998</v>
      </c>
    </row>
    <row r="513" customFormat="false" ht="15" hidden="false" customHeight="false" outlineLevel="0" collapsed="false">
      <c r="A513" s="15" t="s">
        <v>3302</v>
      </c>
      <c r="B513" s="15" t="s">
        <v>3303</v>
      </c>
      <c r="C513" s="15" t="s">
        <v>5999</v>
      </c>
      <c r="D513" s="34" t="n">
        <f aca="false">Activities!N213</f>
        <v>2</v>
      </c>
      <c r="E513" s="15" t="s">
        <v>5998</v>
      </c>
    </row>
    <row r="514" customFormat="false" ht="15" hidden="false" customHeight="false" outlineLevel="0" collapsed="false">
      <c r="A514" s="15" t="s">
        <v>3287</v>
      </c>
      <c r="B514" s="15" t="s">
        <v>3303</v>
      </c>
      <c r="C514" s="15" t="s">
        <v>5995</v>
      </c>
      <c r="D514" s="34" t="n">
        <v>0</v>
      </c>
      <c r="E514" s="15" t="s">
        <v>6007</v>
      </c>
    </row>
    <row r="515" customFormat="false" ht="15" hidden="false" customHeight="false" outlineLevel="0" collapsed="false">
      <c r="A515" s="15" t="s">
        <v>3363</v>
      </c>
      <c r="B515" s="15" t="s">
        <v>3303</v>
      </c>
      <c r="C515" s="15" t="s">
        <v>5995</v>
      </c>
      <c r="D515" s="34" t="n">
        <v>0</v>
      </c>
      <c r="E515" s="15" t="s">
        <v>6005</v>
      </c>
    </row>
    <row r="516" customFormat="false" ht="15" hidden="false" customHeight="false" outlineLevel="0" collapsed="false">
      <c r="A516" s="15" t="s">
        <v>3332</v>
      </c>
      <c r="B516" s="15" t="s">
        <v>3303</v>
      </c>
      <c r="C516" s="15" t="s">
        <v>5995</v>
      </c>
      <c r="D516" s="34" t="n">
        <v>0</v>
      </c>
      <c r="E516" s="15" t="s">
        <v>6005</v>
      </c>
    </row>
    <row r="517" customFormat="false" ht="15" hidden="false" customHeight="false" outlineLevel="0" collapsed="false">
      <c r="A517" s="15" t="s">
        <v>3269</v>
      </c>
      <c r="B517" s="15" t="s">
        <v>3303</v>
      </c>
      <c r="C517" s="15" t="s">
        <v>5995</v>
      </c>
      <c r="D517" s="34" t="n">
        <v>0</v>
      </c>
      <c r="E517" s="15" t="s">
        <v>6005</v>
      </c>
    </row>
    <row r="518" customFormat="false" ht="15" hidden="false" customHeight="false" outlineLevel="0" collapsed="false">
      <c r="A518" s="15" t="s">
        <v>3285</v>
      </c>
      <c r="B518" s="15" t="s">
        <v>3303</v>
      </c>
      <c r="C518" s="15" t="s">
        <v>5995</v>
      </c>
      <c r="D518" s="34" t="n">
        <v>0</v>
      </c>
      <c r="E518" s="15" t="s">
        <v>6005</v>
      </c>
    </row>
    <row r="519" customFormat="false" ht="15" hidden="false" customHeight="false" outlineLevel="0" collapsed="false">
      <c r="A519" s="15" t="s">
        <v>3303</v>
      </c>
      <c r="B519" s="15" t="s">
        <v>3305</v>
      </c>
      <c r="C519" s="15" t="s">
        <v>5997</v>
      </c>
      <c r="D519" s="34" t="n">
        <f aca="false">Activities!M214</f>
        <v>1</v>
      </c>
      <c r="E519" s="15" t="s">
        <v>5998</v>
      </c>
    </row>
    <row r="520" customFormat="false" ht="15" hidden="false" customHeight="false" outlineLevel="0" collapsed="false">
      <c r="A520" s="15" t="s">
        <v>3303</v>
      </c>
      <c r="B520" s="15" t="s">
        <v>3305</v>
      </c>
      <c r="C520" s="15" t="s">
        <v>5999</v>
      </c>
      <c r="D520" s="34" t="n">
        <f aca="false">Activities!N214</f>
        <v>2</v>
      </c>
      <c r="E520" s="15" t="s">
        <v>5998</v>
      </c>
    </row>
    <row r="521" customFormat="false" ht="15" hidden="false" customHeight="false" outlineLevel="0" collapsed="false">
      <c r="A521" s="15" t="s">
        <v>3306</v>
      </c>
      <c r="B521" s="15" t="s">
        <v>3308</v>
      </c>
      <c r="C521" s="15" t="s">
        <v>5995</v>
      </c>
      <c r="D521" s="34" t="n">
        <v>0</v>
      </c>
      <c r="E521" s="15" t="s">
        <v>5996</v>
      </c>
    </row>
    <row r="522" customFormat="false" ht="15" hidden="false" customHeight="false" outlineLevel="0" collapsed="false">
      <c r="A522" s="15" t="s">
        <v>3294</v>
      </c>
      <c r="B522" s="15" t="s">
        <v>3308</v>
      </c>
      <c r="C522" s="15" t="s">
        <v>5997</v>
      </c>
      <c r="D522" s="34" t="n">
        <v>0</v>
      </c>
      <c r="E522" s="15" t="s">
        <v>6002</v>
      </c>
    </row>
    <row r="523" customFormat="false" ht="15" hidden="false" customHeight="false" outlineLevel="0" collapsed="false">
      <c r="A523" s="15" t="s">
        <v>3308</v>
      </c>
      <c r="B523" s="15" t="s">
        <v>3310</v>
      </c>
      <c r="C523" s="15" t="s">
        <v>5997</v>
      </c>
      <c r="D523" s="34" t="n">
        <f aca="false">Activities!M217</f>
        <v>1</v>
      </c>
      <c r="E523" s="15" t="s">
        <v>5998</v>
      </c>
    </row>
    <row r="524" customFormat="false" ht="15" hidden="false" customHeight="false" outlineLevel="0" collapsed="false">
      <c r="A524" s="15" t="s">
        <v>3308</v>
      </c>
      <c r="B524" s="15" t="s">
        <v>3310</v>
      </c>
      <c r="C524" s="15" t="s">
        <v>5999</v>
      </c>
      <c r="D524" s="34" t="n">
        <f aca="false">Activities!N217</f>
        <v>2</v>
      </c>
      <c r="E524" s="15" t="s">
        <v>5998</v>
      </c>
    </row>
    <row r="525" customFormat="false" ht="15" hidden="false" customHeight="false" outlineLevel="0" collapsed="false">
      <c r="A525" s="15" t="s">
        <v>3294</v>
      </c>
      <c r="B525" s="15" t="s">
        <v>3310</v>
      </c>
      <c r="C525" s="15" t="s">
        <v>5995</v>
      </c>
      <c r="D525" s="34" t="n">
        <v>0</v>
      </c>
      <c r="E525" s="15" t="s">
        <v>6007</v>
      </c>
    </row>
    <row r="526" customFormat="false" ht="15" hidden="false" customHeight="false" outlineLevel="0" collapsed="false">
      <c r="A526" s="15" t="s">
        <v>3310</v>
      </c>
      <c r="B526" s="15" t="s">
        <v>3311</v>
      </c>
      <c r="C526" s="15" t="s">
        <v>5997</v>
      </c>
      <c r="D526" s="34" t="n">
        <f aca="false">Activities!M218</f>
        <v>4</v>
      </c>
      <c r="E526" s="15" t="s">
        <v>5998</v>
      </c>
    </row>
    <row r="527" customFormat="false" ht="15" hidden="false" customHeight="false" outlineLevel="0" collapsed="false">
      <c r="A527" s="15" t="s">
        <v>3310</v>
      </c>
      <c r="B527" s="15" t="s">
        <v>3311</v>
      </c>
      <c r="C527" s="15" t="s">
        <v>5999</v>
      </c>
      <c r="D527" s="34" t="n">
        <f aca="false">Activities!N218</f>
        <v>2</v>
      </c>
      <c r="E527" s="15" t="s">
        <v>5998</v>
      </c>
    </row>
    <row r="528" customFormat="false" ht="15" hidden="false" customHeight="false" outlineLevel="0" collapsed="false">
      <c r="A528" s="15" t="s">
        <v>3295</v>
      </c>
      <c r="B528" s="15" t="s">
        <v>3311</v>
      </c>
      <c r="C528" s="15" t="s">
        <v>5995</v>
      </c>
      <c r="D528" s="34" t="n">
        <v>0</v>
      </c>
      <c r="E528" s="15" t="s">
        <v>6007</v>
      </c>
    </row>
    <row r="529" customFormat="false" ht="15" hidden="false" customHeight="false" outlineLevel="0" collapsed="false">
      <c r="A529" s="15" t="s">
        <v>3311</v>
      </c>
      <c r="B529" s="15" t="s">
        <v>3312</v>
      </c>
      <c r="C529" s="15" t="s">
        <v>5997</v>
      </c>
      <c r="D529" s="34" t="n">
        <f aca="false">Activities!M219</f>
        <v>3</v>
      </c>
      <c r="E529" s="15" t="s">
        <v>5998</v>
      </c>
    </row>
    <row r="530" customFormat="false" ht="15" hidden="false" customHeight="false" outlineLevel="0" collapsed="false">
      <c r="A530" s="15" t="s">
        <v>3311</v>
      </c>
      <c r="B530" s="15" t="s">
        <v>3312</v>
      </c>
      <c r="C530" s="15" t="s">
        <v>5999</v>
      </c>
      <c r="D530" s="34" t="n">
        <f aca="false">Activities!N219</f>
        <v>2</v>
      </c>
      <c r="E530" s="15" t="s">
        <v>5998</v>
      </c>
    </row>
    <row r="531" customFormat="false" ht="15" hidden="false" customHeight="false" outlineLevel="0" collapsed="false">
      <c r="A531" s="15" t="s">
        <v>3298</v>
      </c>
      <c r="B531" s="15" t="s">
        <v>3312</v>
      </c>
      <c r="C531" s="15" t="s">
        <v>5995</v>
      </c>
      <c r="D531" s="34" t="n">
        <f aca="false">-Activities!K219</f>
        <v>-13</v>
      </c>
      <c r="E531" s="15" t="s">
        <v>6004</v>
      </c>
    </row>
    <row r="532" customFormat="false" ht="15" hidden="false" customHeight="false" outlineLevel="0" collapsed="false">
      <c r="A532" s="15" t="s">
        <v>3312</v>
      </c>
      <c r="B532" s="15" t="s">
        <v>3314</v>
      </c>
      <c r="C532" s="15" t="s">
        <v>5997</v>
      </c>
      <c r="D532" s="34" t="n">
        <f aca="false">Activities!M220</f>
        <v>11</v>
      </c>
      <c r="E532" s="15" t="s">
        <v>5998</v>
      </c>
    </row>
    <row r="533" customFormat="false" ht="15" hidden="false" customHeight="false" outlineLevel="0" collapsed="false">
      <c r="A533" s="15" t="s">
        <v>3312</v>
      </c>
      <c r="B533" s="15" t="s">
        <v>3314</v>
      </c>
      <c r="C533" s="15" t="s">
        <v>5999</v>
      </c>
      <c r="D533" s="34" t="n">
        <f aca="false">Activities!N220</f>
        <v>2</v>
      </c>
      <c r="E533" s="15" t="s">
        <v>5998</v>
      </c>
    </row>
    <row r="534" customFormat="false" ht="15" hidden="false" customHeight="false" outlineLevel="0" collapsed="false">
      <c r="A534" s="15" t="s">
        <v>3298</v>
      </c>
      <c r="B534" s="15" t="s">
        <v>3314</v>
      </c>
      <c r="C534" s="15" t="s">
        <v>5995</v>
      </c>
      <c r="D534" s="34" t="n">
        <v>0</v>
      </c>
      <c r="E534" s="15" t="s">
        <v>6007</v>
      </c>
    </row>
    <row r="535" customFormat="false" ht="15" hidden="false" customHeight="false" outlineLevel="0" collapsed="false">
      <c r="A535" s="15" t="s">
        <v>3314</v>
      </c>
      <c r="B535" s="15" t="s">
        <v>3315</v>
      </c>
      <c r="C535" s="15" t="s">
        <v>5997</v>
      </c>
      <c r="D535" s="34" t="n">
        <f aca="false">Activities!M221</f>
        <v>2</v>
      </c>
      <c r="E535" s="15" t="s">
        <v>5998</v>
      </c>
    </row>
    <row r="536" customFormat="false" ht="15" hidden="false" customHeight="false" outlineLevel="0" collapsed="false">
      <c r="A536" s="15" t="s">
        <v>3314</v>
      </c>
      <c r="B536" s="15" t="s">
        <v>3315</v>
      </c>
      <c r="C536" s="15" t="s">
        <v>5999</v>
      </c>
      <c r="D536" s="34" t="n">
        <f aca="false">Activities!N221</f>
        <v>2</v>
      </c>
      <c r="E536" s="15" t="s">
        <v>5998</v>
      </c>
    </row>
    <row r="537" customFormat="false" ht="15" hidden="false" customHeight="false" outlineLevel="0" collapsed="false">
      <c r="A537" s="15" t="s">
        <v>3300</v>
      </c>
      <c r="B537" s="15" t="s">
        <v>3315</v>
      </c>
      <c r="C537" s="15" t="s">
        <v>5995</v>
      </c>
      <c r="D537" s="34" t="n">
        <v>0</v>
      </c>
      <c r="E537" s="15" t="s">
        <v>6007</v>
      </c>
    </row>
    <row r="538" customFormat="false" ht="15" hidden="false" customHeight="false" outlineLevel="0" collapsed="false">
      <c r="A538" s="15" t="s">
        <v>3315</v>
      </c>
      <c r="B538" s="15" t="s">
        <v>3316</v>
      </c>
      <c r="C538" s="15" t="s">
        <v>5997</v>
      </c>
      <c r="D538" s="34" t="n">
        <f aca="false">Activities!M222</f>
        <v>4</v>
      </c>
      <c r="E538" s="15" t="s">
        <v>5998</v>
      </c>
    </row>
    <row r="539" customFormat="false" ht="15" hidden="false" customHeight="false" outlineLevel="0" collapsed="false">
      <c r="A539" s="15" t="s">
        <v>3315</v>
      </c>
      <c r="B539" s="15" t="s">
        <v>3316</v>
      </c>
      <c r="C539" s="15" t="s">
        <v>5999</v>
      </c>
      <c r="D539" s="34" t="n">
        <f aca="false">Activities!N222</f>
        <v>2</v>
      </c>
      <c r="E539" s="15" t="s">
        <v>5998</v>
      </c>
    </row>
    <row r="540" customFormat="false" ht="15" hidden="false" customHeight="false" outlineLevel="0" collapsed="false">
      <c r="A540" s="15" t="s">
        <v>3301</v>
      </c>
      <c r="B540" s="15" t="s">
        <v>3316</v>
      </c>
      <c r="C540" s="15" t="s">
        <v>5995</v>
      </c>
      <c r="D540" s="34" t="n">
        <v>0</v>
      </c>
      <c r="E540" s="15" t="s">
        <v>6007</v>
      </c>
    </row>
    <row r="541" customFormat="false" ht="15" hidden="false" customHeight="false" outlineLevel="0" collapsed="false">
      <c r="A541" s="15" t="s">
        <v>3316</v>
      </c>
      <c r="B541" s="15" t="s">
        <v>3317</v>
      </c>
      <c r="C541" s="15" t="s">
        <v>5997</v>
      </c>
      <c r="D541" s="34" t="n">
        <f aca="false">Activities!M223</f>
        <v>2</v>
      </c>
      <c r="E541" s="15" t="s">
        <v>5998</v>
      </c>
    </row>
    <row r="542" customFormat="false" ht="15" hidden="false" customHeight="false" outlineLevel="0" collapsed="false">
      <c r="A542" s="15" t="s">
        <v>3316</v>
      </c>
      <c r="B542" s="15" t="s">
        <v>3317</v>
      </c>
      <c r="C542" s="15" t="s">
        <v>5999</v>
      </c>
      <c r="D542" s="34" t="n">
        <f aca="false">Activities!N223</f>
        <v>2</v>
      </c>
      <c r="E542" s="15" t="s">
        <v>5998</v>
      </c>
    </row>
    <row r="543" customFormat="false" ht="15" hidden="false" customHeight="false" outlineLevel="0" collapsed="false">
      <c r="A543" s="15" t="s">
        <v>3317</v>
      </c>
      <c r="B543" s="15" t="s">
        <v>3318</v>
      </c>
      <c r="C543" s="15" t="s">
        <v>5997</v>
      </c>
      <c r="D543" s="34" t="n">
        <f aca="false">Activities!M224</f>
        <v>2</v>
      </c>
      <c r="E543" s="15" t="s">
        <v>5998</v>
      </c>
    </row>
    <row r="544" customFormat="false" ht="15" hidden="false" customHeight="false" outlineLevel="0" collapsed="false">
      <c r="A544" s="15" t="s">
        <v>3317</v>
      </c>
      <c r="B544" s="15" t="s">
        <v>3318</v>
      </c>
      <c r="C544" s="15" t="s">
        <v>5999</v>
      </c>
      <c r="D544" s="34" t="n">
        <f aca="false">Activities!N224</f>
        <v>2</v>
      </c>
      <c r="E544" s="15" t="s">
        <v>5998</v>
      </c>
    </row>
    <row r="545" customFormat="false" ht="15" hidden="false" customHeight="false" outlineLevel="0" collapsed="false">
      <c r="A545" s="15" t="s">
        <v>3303</v>
      </c>
      <c r="B545" s="15" t="s">
        <v>3318</v>
      </c>
      <c r="C545" s="15" t="s">
        <v>5995</v>
      </c>
      <c r="D545" s="34" t="n">
        <v>0</v>
      </c>
      <c r="E545" s="15" t="s">
        <v>6007</v>
      </c>
    </row>
    <row r="546" customFormat="false" ht="15" hidden="false" customHeight="false" outlineLevel="0" collapsed="false">
      <c r="A546" s="15" t="s">
        <v>3379</v>
      </c>
      <c r="B546" s="15" t="s">
        <v>3318</v>
      </c>
      <c r="C546" s="15" t="s">
        <v>5995</v>
      </c>
      <c r="D546" s="34" t="n">
        <v>0</v>
      </c>
      <c r="E546" s="15" t="s">
        <v>6005</v>
      </c>
    </row>
    <row r="547" customFormat="false" ht="15" hidden="false" customHeight="false" outlineLevel="0" collapsed="false">
      <c r="A547" s="15" t="s">
        <v>3363</v>
      </c>
      <c r="B547" s="15" t="s">
        <v>3318</v>
      </c>
      <c r="C547" s="15" t="s">
        <v>5995</v>
      </c>
      <c r="D547" s="34" t="n">
        <v>0</v>
      </c>
      <c r="E547" s="15" t="s">
        <v>6005</v>
      </c>
    </row>
    <row r="548" customFormat="false" ht="15" hidden="false" customHeight="false" outlineLevel="0" collapsed="false">
      <c r="A548" s="15" t="s">
        <v>3332</v>
      </c>
      <c r="B548" s="15" t="s">
        <v>3318</v>
      </c>
      <c r="C548" s="15" t="s">
        <v>5995</v>
      </c>
      <c r="D548" s="34" t="n">
        <v>0</v>
      </c>
      <c r="E548" s="15" t="s">
        <v>6005</v>
      </c>
    </row>
    <row r="549" customFormat="false" ht="15" hidden="false" customHeight="false" outlineLevel="0" collapsed="false">
      <c r="A549" s="15" t="s">
        <v>3318</v>
      </c>
      <c r="B549" s="15" t="s">
        <v>3320</v>
      </c>
      <c r="C549" s="15" t="s">
        <v>5997</v>
      </c>
      <c r="D549" s="34" t="n">
        <f aca="false">Activities!M225</f>
        <v>1</v>
      </c>
      <c r="E549" s="15" t="s">
        <v>5998</v>
      </c>
    </row>
    <row r="550" customFormat="false" ht="15" hidden="false" customHeight="false" outlineLevel="0" collapsed="false">
      <c r="A550" s="15" t="s">
        <v>3318</v>
      </c>
      <c r="B550" s="15" t="s">
        <v>3320</v>
      </c>
      <c r="C550" s="15" t="s">
        <v>5999</v>
      </c>
      <c r="D550" s="34" t="n">
        <f aca="false">Activities!N225</f>
        <v>2</v>
      </c>
      <c r="E550" s="15" t="s">
        <v>5998</v>
      </c>
    </row>
    <row r="551" customFormat="false" ht="15" hidden="false" customHeight="false" outlineLevel="0" collapsed="false">
      <c r="A551" s="15" t="s">
        <v>3321</v>
      </c>
      <c r="B551" s="15" t="s">
        <v>3323</v>
      </c>
      <c r="C551" s="15" t="s">
        <v>5995</v>
      </c>
      <c r="D551" s="34" t="n">
        <v>0</v>
      </c>
      <c r="E551" s="15" t="s">
        <v>5996</v>
      </c>
    </row>
    <row r="552" customFormat="false" ht="15" hidden="false" customHeight="false" outlineLevel="0" collapsed="false">
      <c r="A552" s="15" t="s">
        <v>3310</v>
      </c>
      <c r="B552" s="15" t="s">
        <v>3323</v>
      </c>
      <c r="C552" s="15" t="s">
        <v>5997</v>
      </c>
      <c r="D552" s="34" t="n">
        <v>0</v>
      </c>
      <c r="E552" s="15" t="s">
        <v>6002</v>
      </c>
    </row>
    <row r="553" customFormat="false" ht="15" hidden="false" customHeight="false" outlineLevel="0" collapsed="false">
      <c r="A553" s="15" t="s">
        <v>3323</v>
      </c>
      <c r="B553" s="15" t="s">
        <v>3325</v>
      </c>
      <c r="C553" s="15" t="s">
        <v>5997</v>
      </c>
      <c r="D553" s="34" t="n">
        <f aca="false">Activities!M228</f>
        <v>1</v>
      </c>
      <c r="E553" s="15" t="s">
        <v>5998</v>
      </c>
    </row>
    <row r="554" customFormat="false" ht="15" hidden="false" customHeight="false" outlineLevel="0" collapsed="false">
      <c r="A554" s="15" t="s">
        <v>3323</v>
      </c>
      <c r="B554" s="15" t="s">
        <v>3325</v>
      </c>
      <c r="C554" s="15" t="s">
        <v>5999</v>
      </c>
      <c r="D554" s="34" t="n">
        <f aca="false">Activities!N228</f>
        <v>2</v>
      </c>
      <c r="E554" s="15" t="s">
        <v>5998</v>
      </c>
    </row>
    <row r="555" customFormat="false" ht="15" hidden="false" customHeight="false" outlineLevel="0" collapsed="false">
      <c r="A555" s="15" t="s">
        <v>3310</v>
      </c>
      <c r="B555" s="15" t="s">
        <v>3325</v>
      </c>
      <c r="C555" s="15" t="s">
        <v>5995</v>
      </c>
      <c r="D555" s="34" t="n">
        <v>0</v>
      </c>
      <c r="E555" s="15" t="s">
        <v>6007</v>
      </c>
    </row>
    <row r="556" customFormat="false" ht="15" hidden="false" customHeight="false" outlineLevel="0" collapsed="false">
      <c r="A556" s="15" t="s">
        <v>3325</v>
      </c>
      <c r="B556" s="15" t="s">
        <v>3326</v>
      </c>
      <c r="C556" s="15" t="s">
        <v>5997</v>
      </c>
      <c r="D556" s="34" t="n">
        <f aca="false">Activities!M229</f>
        <v>1</v>
      </c>
      <c r="E556" s="15" t="s">
        <v>5998</v>
      </c>
    </row>
    <row r="557" customFormat="false" ht="15" hidden="false" customHeight="false" outlineLevel="0" collapsed="false">
      <c r="A557" s="15" t="s">
        <v>3325</v>
      </c>
      <c r="B557" s="15" t="s">
        <v>3326</v>
      </c>
      <c r="C557" s="15" t="s">
        <v>5999</v>
      </c>
      <c r="D557" s="34" t="n">
        <f aca="false">Activities!N229</f>
        <v>2</v>
      </c>
      <c r="E557" s="15" t="s">
        <v>5998</v>
      </c>
    </row>
    <row r="558" customFormat="false" ht="15" hidden="false" customHeight="false" outlineLevel="0" collapsed="false">
      <c r="A558" s="15" t="s">
        <v>3311</v>
      </c>
      <c r="B558" s="15" t="s">
        <v>3326</v>
      </c>
      <c r="C558" s="15" t="s">
        <v>5995</v>
      </c>
      <c r="D558" s="34" t="n">
        <v>0</v>
      </c>
      <c r="E558" s="15" t="s">
        <v>6007</v>
      </c>
    </row>
    <row r="559" customFormat="false" ht="15" hidden="false" customHeight="false" outlineLevel="0" collapsed="false">
      <c r="A559" s="15" t="s">
        <v>3326</v>
      </c>
      <c r="B559" s="15" t="s">
        <v>3327</v>
      </c>
      <c r="C559" s="15" t="s">
        <v>5997</v>
      </c>
      <c r="D559" s="34" t="n">
        <f aca="false">Activities!M230</f>
        <v>1</v>
      </c>
      <c r="E559" s="15" t="s">
        <v>5998</v>
      </c>
    </row>
    <row r="560" customFormat="false" ht="15" hidden="false" customHeight="false" outlineLevel="0" collapsed="false">
      <c r="A560" s="15" t="s">
        <v>3326</v>
      </c>
      <c r="B560" s="15" t="s">
        <v>3327</v>
      </c>
      <c r="C560" s="15" t="s">
        <v>5999</v>
      </c>
      <c r="D560" s="34" t="n">
        <f aca="false">Activities!N230</f>
        <v>2</v>
      </c>
      <c r="E560" s="15" t="s">
        <v>5998</v>
      </c>
    </row>
    <row r="561" customFormat="false" ht="15" hidden="false" customHeight="false" outlineLevel="0" collapsed="false">
      <c r="A561" s="15" t="s">
        <v>3314</v>
      </c>
      <c r="B561" s="15" t="s">
        <v>3327</v>
      </c>
      <c r="C561" s="15" t="s">
        <v>5995</v>
      </c>
      <c r="D561" s="34" t="n">
        <f aca="false">-Activities!K230</f>
        <v>-10</v>
      </c>
      <c r="E561" s="15" t="s">
        <v>6004</v>
      </c>
    </row>
    <row r="562" customFormat="false" ht="15" hidden="false" customHeight="false" outlineLevel="0" collapsed="false">
      <c r="A562" s="15" t="s">
        <v>3327</v>
      </c>
      <c r="B562" s="15" t="s">
        <v>3329</v>
      </c>
      <c r="C562" s="15" t="s">
        <v>5997</v>
      </c>
      <c r="D562" s="34" t="n">
        <f aca="false">Activities!M231</f>
        <v>10</v>
      </c>
      <c r="E562" s="15" t="s">
        <v>5998</v>
      </c>
    </row>
    <row r="563" customFormat="false" ht="15" hidden="false" customHeight="false" outlineLevel="0" collapsed="false">
      <c r="A563" s="15" t="s">
        <v>3327</v>
      </c>
      <c r="B563" s="15" t="s">
        <v>3329</v>
      </c>
      <c r="C563" s="15" t="s">
        <v>5999</v>
      </c>
      <c r="D563" s="34" t="n">
        <f aca="false">Activities!N231</f>
        <v>2</v>
      </c>
      <c r="E563" s="15" t="s">
        <v>5998</v>
      </c>
    </row>
    <row r="564" customFormat="false" ht="15" hidden="false" customHeight="false" outlineLevel="0" collapsed="false">
      <c r="A564" s="15" t="s">
        <v>3314</v>
      </c>
      <c r="B564" s="15" t="s">
        <v>3329</v>
      </c>
      <c r="C564" s="15" t="s">
        <v>5995</v>
      </c>
      <c r="D564" s="34" t="n">
        <v>0</v>
      </c>
      <c r="E564" s="15" t="s">
        <v>6007</v>
      </c>
    </row>
    <row r="565" customFormat="false" ht="15" hidden="false" customHeight="false" outlineLevel="0" collapsed="false">
      <c r="A565" s="15" t="s">
        <v>3314</v>
      </c>
      <c r="B565" s="15" t="s">
        <v>3329</v>
      </c>
      <c r="C565" s="15" t="s">
        <v>5997</v>
      </c>
      <c r="D565" s="34" t="n">
        <v>0</v>
      </c>
      <c r="E565" s="15" t="s">
        <v>6006</v>
      </c>
    </row>
    <row r="566" customFormat="false" ht="15" hidden="false" customHeight="false" outlineLevel="0" collapsed="false">
      <c r="A566" s="15" t="s">
        <v>3298</v>
      </c>
      <c r="B566" s="15" t="s">
        <v>3329</v>
      </c>
      <c r="C566" s="15" t="s">
        <v>5997</v>
      </c>
      <c r="D566" s="34" t="n">
        <v>0</v>
      </c>
      <c r="E566" s="15" t="s">
        <v>6006</v>
      </c>
    </row>
    <row r="567" customFormat="false" ht="15" hidden="false" customHeight="false" outlineLevel="0" collapsed="false">
      <c r="A567" s="15" t="s">
        <v>3267</v>
      </c>
      <c r="B567" s="15" t="s">
        <v>3329</v>
      </c>
      <c r="C567" s="15" t="s">
        <v>5997</v>
      </c>
      <c r="D567" s="34" t="n">
        <v>0</v>
      </c>
      <c r="E567" s="15" t="s">
        <v>6006</v>
      </c>
    </row>
    <row r="568" customFormat="false" ht="15" hidden="false" customHeight="false" outlineLevel="0" collapsed="false">
      <c r="A568" s="15" t="s">
        <v>3282</v>
      </c>
      <c r="B568" s="15" t="s">
        <v>3329</v>
      </c>
      <c r="C568" s="15" t="s">
        <v>5997</v>
      </c>
      <c r="D568" s="34" t="n">
        <v>0</v>
      </c>
      <c r="E568" s="15" t="s">
        <v>6006</v>
      </c>
    </row>
    <row r="569" customFormat="false" ht="15" hidden="false" customHeight="false" outlineLevel="0" collapsed="false">
      <c r="A569" s="15" t="s">
        <v>3329</v>
      </c>
      <c r="B569" s="15" t="s">
        <v>3331</v>
      </c>
      <c r="C569" s="15" t="s">
        <v>5997</v>
      </c>
      <c r="D569" s="34" t="n">
        <f aca="false">Activities!M232</f>
        <v>1</v>
      </c>
      <c r="E569" s="15" t="s">
        <v>5998</v>
      </c>
    </row>
    <row r="570" customFormat="false" ht="15" hidden="false" customHeight="false" outlineLevel="0" collapsed="false">
      <c r="A570" s="15" t="s">
        <v>3329</v>
      </c>
      <c r="B570" s="15" t="s">
        <v>3331</v>
      </c>
      <c r="C570" s="15" t="s">
        <v>5999</v>
      </c>
      <c r="D570" s="34" t="n">
        <f aca="false">Activities!N232</f>
        <v>2</v>
      </c>
      <c r="E570" s="15" t="s">
        <v>5998</v>
      </c>
    </row>
    <row r="571" customFormat="false" ht="15" hidden="false" customHeight="false" outlineLevel="0" collapsed="false">
      <c r="A571" s="15" t="s">
        <v>3315</v>
      </c>
      <c r="B571" s="15" t="s">
        <v>3331</v>
      </c>
      <c r="C571" s="15" t="s">
        <v>5995</v>
      </c>
      <c r="D571" s="34" t="n">
        <v>0</v>
      </c>
      <c r="E571" s="15" t="s">
        <v>6007</v>
      </c>
    </row>
    <row r="572" customFormat="false" ht="15" hidden="false" customHeight="false" outlineLevel="0" collapsed="false">
      <c r="A572" s="15" t="s">
        <v>3331</v>
      </c>
      <c r="B572" s="15" t="s">
        <v>3332</v>
      </c>
      <c r="C572" s="15" t="s">
        <v>5997</v>
      </c>
      <c r="D572" s="34" t="n">
        <f aca="false">Activities!M233</f>
        <v>2</v>
      </c>
      <c r="E572" s="15" t="s">
        <v>5998</v>
      </c>
    </row>
    <row r="573" customFormat="false" ht="15" hidden="false" customHeight="false" outlineLevel="0" collapsed="false">
      <c r="A573" s="15" t="s">
        <v>3331</v>
      </c>
      <c r="B573" s="15" t="s">
        <v>3332</v>
      </c>
      <c r="C573" s="15" t="s">
        <v>5999</v>
      </c>
      <c r="D573" s="34" t="n">
        <f aca="false">Activities!N233</f>
        <v>2</v>
      </c>
      <c r="E573" s="15" t="s">
        <v>5998</v>
      </c>
    </row>
    <row r="574" customFormat="false" ht="15" hidden="false" customHeight="false" outlineLevel="0" collapsed="false">
      <c r="A574" s="15" t="s">
        <v>3316</v>
      </c>
      <c r="B574" s="15" t="s">
        <v>3332</v>
      </c>
      <c r="C574" s="15" t="s">
        <v>5995</v>
      </c>
      <c r="D574" s="34" t="n">
        <v>0</v>
      </c>
      <c r="E574" s="15" t="s">
        <v>6007</v>
      </c>
    </row>
    <row r="575" customFormat="false" ht="15" hidden="false" customHeight="false" outlineLevel="0" collapsed="false">
      <c r="A575" s="15" t="s">
        <v>3332</v>
      </c>
      <c r="B575" s="15" t="s">
        <v>3333</v>
      </c>
      <c r="C575" s="15" t="s">
        <v>5997</v>
      </c>
      <c r="D575" s="34" t="n">
        <f aca="false">Activities!M234</f>
        <v>1</v>
      </c>
      <c r="E575" s="15" t="s">
        <v>5998</v>
      </c>
    </row>
    <row r="576" customFormat="false" ht="15" hidden="false" customHeight="false" outlineLevel="0" collapsed="false">
      <c r="A576" s="15" t="s">
        <v>3332</v>
      </c>
      <c r="B576" s="15" t="s">
        <v>3333</v>
      </c>
      <c r="C576" s="15" t="s">
        <v>5999</v>
      </c>
      <c r="D576" s="34" t="n">
        <f aca="false">Activities!N234</f>
        <v>2</v>
      </c>
      <c r="E576" s="15" t="s">
        <v>5998</v>
      </c>
    </row>
    <row r="577" customFormat="false" ht="15" hidden="false" customHeight="false" outlineLevel="0" collapsed="false">
      <c r="A577" s="15" t="s">
        <v>3333</v>
      </c>
      <c r="B577" s="15" t="s">
        <v>3334</v>
      </c>
      <c r="C577" s="15" t="s">
        <v>5997</v>
      </c>
      <c r="D577" s="34" t="n">
        <f aca="false">Activities!M235</f>
        <v>2</v>
      </c>
      <c r="E577" s="15" t="s">
        <v>5998</v>
      </c>
    </row>
    <row r="578" customFormat="false" ht="15" hidden="false" customHeight="false" outlineLevel="0" collapsed="false">
      <c r="A578" s="15" t="s">
        <v>3333</v>
      </c>
      <c r="B578" s="15" t="s">
        <v>3334</v>
      </c>
      <c r="C578" s="15" t="s">
        <v>5999</v>
      </c>
      <c r="D578" s="34" t="n">
        <f aca="false">Activities!N235</f>
        <v>2</v>
      </c>
      <c r="E578" s="15" t="s">
        <v>5998</v>
      </c>
    </row>
    <row r="579" customFormat="false" ht="15" hidden="false" customHeight="false" outlineLevel="0" collapsed="false">
      <c r="A579" s="15" t="s">
        <v>3318</v>
      </c>
      <c r="B579" s="15" t="s">
        <v>3334</v>
      </c>
      <c r="C579" s="15" t="s">
        <v>5995</v>
      </c>
      <c r="D579" s="34" t="n">
        <v>0</v>
      </c>
      <c r="E579" s="15" t="s">
        <v>6007</v>
      </c>
    </row>
    <row r="580" customFormat="false" ht="15" hidden="false" customHeight="false" outlineLevel="0" collapsed="false">
      <c r="A580" s="15" t="s">
        <v>3316</v>
      </c>
      <c r="B580" s="15" t="s">
        <v>3334</v>
      </c>
      <c r="C580" s="15" t="s">
        <v>5995</v>
      </c>
      <c r="D580" s="34" t="n">
        <v>0</v>
      </c>
      <c r="E580" s="15" t="s">
        <v>6005</v>
      </c>
    </row>
    <row r="581" customFormat="false" ht="15" hidden="false" customHeight="false" outlineLevel="0" collapsed="false">
      <c r="A581" s="15" t="s">
        <v>3301</v>
      </c>
      <c r="B581" s="15" t="s">
        <v>3334</v>
      </c>
      <c r="C581" s="15" t="s">
        <v>5995</v>
      </c>
      <c r="D581" s="34" t="n">
        <v>0</v>
      </c>
      <c r="E581" s="15" t="s">
        <v>6005</v>
      </c>
    </row>
    <row r="582" customFormat="false" ht="15" hidden="false" customHeight="false" outlineLevel="0" collapsed="false">
      <c r="A582" s="15" t="s">
        <v>3269</v>
      </c>
      <c r="B582" s="15" t="s">
        <v>3334</v>
      </c>
      <c r="C582" s="15" t="s">
        <v>5995</v>
      </c>
      <c r="D582" s="34" t="n">
        <v>0</v>
      </c>
      <c r="E582" s="15" t="s">
        <v>6005</v>
      </c>
    </row>
    <row r="583" customFormat="false" ht="15" hidden="false" customHeight="false" outlineLevel="0" collapsed="false">
      <c r="A583" s="15" t="s">
        <v>3285</v>
      </c>
      <c r="B583" s="15" t="s">
        <v>3334</v>
      </c>
      <c r="C583" s="15" t="s">
        <v>5995</v>
      </c>
      <c r="D583" s="34" t="n">
        <v>0</v>
      </c>
      <c r="E583" s="15" t="s">
        <v>6005</v>
      </c>
    </row>
    <row r="584" customFormat="false" ht="15" hidden="false" customHeight="false" outlineLevel="0" collapsed="false">
      <c r="A584" s="15" t="s">
        <v>3334</v>
      </c>
      <c r="B584" s="15" t="s">
        <v>3336</v>
      </c>
      <c r="C584" s="15" t="s">
        <v>5997</v>
      </c>
      <c r="D584" s="34" t="n">
        <f aca="false">Activities!M236</f>
        <v>1</v>
      </c>
      <c r="E584" s="15" t="s">
        <v>5998</v>
      </c>
    </row>
    <row r="585" customFormat="false" ht="15" hidden="false" customHeight="false" outlineLevel="0" collapsed="false">
      <c r="A585" s="15" t="s">
        <v>3334</v>
      </c>
      <c r="B585" s="15" t="s">
        <v>3336</v>
      </c>
      <c r="C585" s="15" t="s">
        <v>5999</v>
      </c>
      <c r="D585" s="34" t="n">
        <f aca="false">Activities!N236</f>
        <v>2</v>
      </c>
      <c r="E585" s="15" t="s">
        <v>5998</v>
      </c>
    </row>
    <row r="586" customFormat="false" ht="15" hidden="false" customHeight="false" outlineLevel="0" collapsed="false">
      <c r="A586" s="15" t="s">
        <v>3337</v>
      </c>
      <c r="B586" s="15" t="s">
        <v>3339</v>
      </c>
      <c r="C586" s="15" t="s">
        <v>5995</v>
      </c>
      <c r="D586" s="34" t="n">
        <v>0</v>
      </c>
      <c r="E586" s="15" t="s">
        <v>5996</v>
      </c>
    </row>
    <row r="587" customFormat="false" ht="15" hidden="false" customHeight="false" outlineLevel="0" collapsed="false">
      <c r="A587" s="15" t="s">
        <v>3325</v>
      </c>
      <c r="B587" s="15" t="s">
        <v>3339</v>
      </c>
      <c r="C587" s="15" t="s">
        <v>5997</v>
      </c>
      <c r="D587" s="34" t="n">
        <v>0</v>
      </c>
      <c r="E587" s="15" t="s">
        <v>6002</v>
      </c>
    </row>
    <row r="588" customFormat="false" ht="15" hidden="false" customHeight="false" outlineLevel="0" collapsed="false">
      <c r="A588" s="15" t="s">
        <v>3339</v>
      </c>
      <c r="B588" s="15" t="s">
        <v>3341</v>
      </c>
      <c r="C588" s="15" t="s">
        <v>5997</v>
      </c>
      <c r="D588" s="34" t="n">
        <f aca="false">Activities!M239</f>
        <v>1</v>
      </c>
      <c r="E588" s="15" t="s">
        <v>5998</v>
      </c>
    </row>
    <row r="589" customFormat="false" ht="15" hidden="false" customHeight="false" outlineLevel="0" collapsed="false">
      <c r="A589" s="15" t="s">
        <v>3339</v>
      </c>
      <c r="B589" s="15" t="s">
        <v>3341</v>
      </c>
      <c r="C589" s="15" t="s">
        <v>5999</v>
      </c>
      <c r="D589" s="34" t="n">
        <f aca="false">Activities!N239</f>
        <v>2</v>
      </c>
      <c r="E589" s="15" t="s">
        <v>5998</v>
      </c>
    </row>
    <row r="590" customFormat="false" ht="15" hidden="false" customHeight="false" outlineLevel="0" collapsed="false">
      <c r="A590" s="15" t="s">
        <v>3325</v>
      </c>
      <c r="B590" s="15" t="s">
        <v>3341</v>
      </c>
      <c r="C590" s="15" t="s">
        <v>5995</v>
      </c>
      <c r="D590" s="34" t="n">
        <v>0</v>
      </c>
      <c r="E590" s="15" t="s">
        <v>6007</v>
      </c>
    </row>
    <row r="591" customFormat="false" ht="15" hidden="false" customHeight="false" outlineLevel="0" collapsed="false">
      <c r="A591" s="15" t="s">
        <v>3341</v>
      </c>
      <c r="B591" s="15" t="s">
        <v>3342</v>
      </c>
      <c r="C591" s="15" t="s">
        <v>5997</v>
      </c>
      <c r="D591" s="34" t="n">
        <f aca="false">Activities!M240</f>
        <v>3</v>
      </c>
      <c r="E591" s="15" t="s">
        <v>5998</v>
      </c>
    </row>
    <row r="592" customFormat="false" ht="15" hidden="false" customHeight="false" outlineLevel="0" collapsed="false">
      <c r="A592" s="15" t="s">
        <v>3341</v>
      </c>
      <c r="B592" s="15" t="s">
        <v>3342</v>
      </c>
      <c r="C592" s="15" t="s">
        <v>5999</v>
      </c>
      <c r="D592" s="34" t="n">
        <f aca="false">Activities!N240</f>
        <v>2</v>
      </c>
      <c r="E592" s="15" t="s">
        <v>5998</v>
      </c>
    </row>
    <row r="593" customFormat="false" ht="15" hidden="false" customHeight="false" outlineLevel="0" collapsed="false">
      <c r="A593" s="15" t="s">
        <v>3326</v>
      </c>
      <c r="B593" s="15" t="s">
        <v>3342</v>
      </c>
      <c r="C593" s="15" t="s">
        <v>5995</v>
      </c>
      <c r="D593" s="34" t="n">
        <v>0</v>
      </c>
      <c r="E593" s="15" t="s">
        <v>6007</v>
      </c>
    </row>
    <row r="594" customFormat="false" ht="15" hidden="false" customHeight="false" outlineLevel="0" collapsed="false">
      <c r="A594" s="15" t="s">
        <v>3342</v>
      </c>
      <c r="B594" s="15" t="s">
        <v>3343</v>
      </c>
      <c r="C594" s="15" t="s">
        <v>5997</v>
      </c>
      <c r="D594" s="34" t="n">
        <f aca="false">Activities!M241</f>
        <v>2</v>
      </c>
      <c r="E594" s="15" t="s">
        <v>5998</v>
      </c>
    </row>
    <row r="595" customFormat="false" ht="15" hidden="false" customHeight="false" outlineLevel="0" collapsed="false">
      <c r="A595" s="15" t="s">
        <v>3342</v>
      </c>
      <c r="B595" s="15" t="s">
        <v>3343</v>
      </c>
      <c r="C595" s="15" t="s">
        <v>5999</v>
      </c>
      <c r="D595" s="34" t="n">
        <f aca="false">Activities!N241</f>
        <v>2</v>
      </c>
      <c r="E595" s="15" t="s">
        <v>5998</v>
      </c>
    </row>
    <row r="596" customFormat="false" ht="15" hidden="false" customHeight="false" outlineLevel="0" collapsed="false">
      <c r="A596" s="15" t="s">
        <v>3329</v>
      </c>
      <c r="B596" s="15" t="s">
        <v>3343</v>
      </c>
      <c r="C596" s="15" t="s">
        <v>5995</v>
      </c>
      <c r="D596" s="34" t="n">
        <f aca="false">-Activities!K241</f>
        <v>-12</v>
      </c>
      <c r="E596" s="15" t="s">
        <v>6004</v>
      </c>
    </row>
    <row r="597" customFormat="false" ht="15" hidden="false" customHeight="false" outlineLevel="0" collapsed="false">
      <c r="A597" s="15" t="s">
        <v>3343</v>
      </c>
      <c r="B597" s="15" t="s">
        <v>3345</v>
      </c>
      <c r="C597" s="15" t="s">
        <v>5997</v>
      </c>
      <c r="D597" s="34" t="n">
        <f aca="false">Activities!M242</f>
        <v>10</v>
      </c>
      <c r="E597" s="15" t="s">
        <v>5998</v>
      </c>
    </row>
    <row r="598" customFormat="false" ht="15" hidden="false" customHeight="false" outlineLevel="0" collapsed="false">
      <c r="A598" s="15" t="s">
        <v>3343</v>
      </c>
      <c r="B598" s="15" t="s">
        <v>3345</v>
      </c>
      <c r="C598" s="15" t="s">
        <v>5999</v>
      </c>
      <c r="D598" s="34" t="n">
        <f aca="false">Activities!N242</f>
        <v>2</v>
      </c>
      <c r="E598" s="15" t="s">
        <v>5998</v>
      </c>
    </row>
    <row r="599" customFormat="false" ht="15" hidden="false" customHeight="false" outlineLevel="0" collapsed="false">
      <c r="A599" s="15" t="s">
        <v>3329</v>
      </c>
      <c r="B599" s="15" t="s">
        <v>3345</v>
      </c>
      <c r="C599" s="15" t="s">
        <v>5995</v>
      </c>
      <c r="D599" s="34" t="n">
        <v>0</v>
      </c>
      <c r="E599" s="15" t="s">
        <v>6007</v>
      </c>
    </row>
    <row r="600" customFormat="false" ht="15" hidden="false" customHeight="false" outlineLevel="0" collapsed="false">
      <c r="A600" s="15" t="s">
        <v>3345</v>
      </c>
      <c r="B600" s="15" t="s">
        <v>3346</v>
      </c>
      <c r="C600" s="15" t="s">
        <v>5997</v>
      </c>
      <c r="D600" s="34" t="n">
        <f aca="false">Activities!M243</f>
        <v>2</v>
      </c>
      <c r="E600" s="15" t="s">
        <v>5998</v>
      </c>
    </row>
    <row r="601" customFormat="false" ht="15" hidden="false" customHeight="false" outlineLevel="0" collapsed="false">
      <c r="A601" s="15" t="s">
        <v>3345</v>
      </c>
      <c r="B601" s="15" t="s">
        <v>3346</v>
      </c>
      <c r="C601" s="15" t="s">
        <v>5999</v>
      </c>
      <c r="D601" s="34" t="n">
        <f aca="false">Activities!N243</f>
        <v>2</v>
      </c>
      <c r="E601" s="15" t="s">
        <v>5998</v>
      </c>
    </row>
    <row r="602" customFormat="false" ht="15" hidden="false" customHeight="false" outlineLevel="0" collapsed="false">
      <c r="A602" s="15" t="s">
        <v>3331</v>
      </c>
      <c r="B602" s="15" t="s">
        <v>3346</v>
      </c>
      <c r="C602" s="15" t="s">
        <v>5995</v>
      </c>
      <c r="D602" s="34" t="n">
        <v>0</v>
      </c>
      <c r="E602" s="15" t="s">
        <v>6007</v>
      </c>
    </row>
    <row r="603" customFormat="false" ht="15" hidden="false" customHeight="false" outlineLevel="0" collapsed="false">
      <c r="A603" s="15" t="s">
        <v>3346</v>
      </c>
      <c r="B603" s="15" t="s">
        <v>3347</v>
      </c>
      <c r="C603" s="15" t="s">
        <v>5997</v>
      </c>
      <c r="D603" s="34" t="n">
        <f aca="false">Activities!M244</f>
        <v>3</v>
      </c>
      <c r="E603" s="15" t="s">
        <v>5998</v>
      </c>
    </row>
    <row r="604" customFormat="false" ht="15" hidden="false" customHeight="false" outlineLevel="0" collapsed="false">
      <c r="A604" s="15" t="s">
        <v>3346</v>
      </c>
      <c r="B604" s="15" t="s">
        <v>3347</v>
      </c>
      <c r="C604" s="15" t="s">
        <v>5999</v>
      </c>
      <c r="D604" s="34" t="n">
        <f aca="false">Activities!N244</f>
        <v>2</v>
      </c>
      <c r="E604" s="15" t="s">
        <v>5998</v>
      </c>
    </row>
    <row r="605" customFormat="false" ht="15" hidden="false" customHeight="false" outlineLevel="0" collapsed="false">
      <c r="A605" s="15" t="s">
        <v>3332</v>
      </c>
      <c r="B605" s="15" t="s">
        <v>3347</v>
      </c>
      <c r="C605" s="15" t="s">
        <v>5995</v>
      </c>
      <c r="D605" s="34" t="n">
        <v>0</v>
      </c>
      <c r="E605" s="15" t="s">
        <v>6007</v>
      </c>
    </row>
    <row r="606" customFormat="false" ht="15" hidden="false" customHeight="false" outlineLevel="0" collapsed="false">
      <c r="A606" s="15" t="s">
        <v>3347</v>
      </c>
      <c r="B606" s="15" t="s">
        <v>3348</v>
      </c>
      <c r="C606" s="15" t="s">
        <v>5997</v>
      </c>
      <c r="D606" s="34" t="n">
        <f aca="false">Activities!M245</f>
        <v>3</v>
      </c>
      <c r="E606" s="15" t="s">
        <v>5998</v>
      </c>
    </row>
    <row r="607" customFormat="false" ht="15" hidden="false" customHeight="false" outlineLevel="0" collapsed="false">
      <c r="A607" s="15" t="s">
        <v>3347</v>
      </c>
      <c r="B607" s="15" t="s">
        <v>3348</v>
      </c>
      <c r="C607" s="15" t="s">
        <v>5999</v>
      </c>
      <c r="D607" s="34" t="n">
        <f aca="false">Activities!N245</f>
        <v>2</v>
      </c>
      <c r="E607" s="15" t="s">
        <v>5998</v>
      </c>
    </row>
    <row r="608" customFormat="false" ht="15" hidden="false" customHeight="false" outlineLevel="0" collapsed="false">
      <c r="A608" s="15" t="s">
        <v>3348</v>
      </c>
      <c r="B608" s="15" t="s">
        <v>3349</v>
      </c>
      <c r="C608" s="15" t="s">
        <v>5997</v>
      </c>
      <c r="D608" s="34" t="n">
        <f aca="false">Activities!M246</f>
        <v>2</v>
      </c>
      <c r="E608" s="15" t="s">
        <v>5998</v>
      </c>
    </row>
    <row r="609" customFormat="false" ht="15" hidden="false" customHeight="false" outlineLevel="0" collapsed="false">
      <c r="A609" s="15" t="s">
        <v>3348</v>
      </c>
      <c r="B609" s="15" t="s">
        <v>3349</v>
      </c>
      <c r="C609" s="15" t="s">
        <v>5999</v>
      </c>
      <c r="D609" s="34" t="n">
        <f aca="false">Activities!N246</f>
        <v>2</v>
      </c>
      <c r="E609" s="15" t="s">
        <v>5998</v>
      </c>
    </row>
    <row r="610" customFormat="false" ht="15" hidden="false" customHeight="false" outlineLevel="0" collapsed="false">
      <c r="A610" s="15" t="s">
        <v>3334</v>
      </c>
      <c r="B610" s="15" t="s">
        <v>3349</v>
      </c>
      <c r="C610" s="15" t="s">
        <v>5995</v>
      </c>
      <c r="D610" s="34" t="n">
        <v>0</v>
      </c>
      <c r="E610" s="15" t="s">
        <v>6007</v>
      </c>
    </row>
    <row r="611" customFormat="false" ht="15" hidden="false" customHeight="false" outlineLevel="0" collapsed="false">
      <c r="A611" s="15" t="s">
        <v>3395</v>
      </c>
      <c r="B611" s="15" t="s">
        <v>3349</v>
      </c>
      <c r="C611" s="15" t="s">
        <v>5995</v>
      </c>
      <c r="D611" s="34" t="n">
        <v>0</v>
      </c>
      <c r="E611" s="15" t="s">
        <v>6005</v>
      </c>
    </row>
    <row r="612" customFormat="false" ht="15" hidden="false" customHeight="false" outlineLevel="0" collapsed="false">
      <c r="A612" s="15" t="s">
        <v>3379</v>
      </c>
      <c r="B612" s="15" t="s">
        <v>3349</v>
      </c>
      <c r="C612" s="15" t="s">
        <v>5995</v>
      </c>
      <c r="D612" s="34" t="n">
        <v>0</v>
      </c>
      <c r="E612" s="15" t="s">
        <v>6005</v>
      </c>
    </row>
    <row r="613" customFormat="false" ht="15" hidden="false" customHeight="false" outlineLevel="0" collapsed="false">
      <c r="A613" s="15" t="s">
        <v>3363</v>
      </c>
      <c r="B613" s="15" t="s">
        <v>3349</v>
      </c>
      <c r="C613" s="15" t="s">
        <v>5995</v>
      </c>
      <c r="D613" s="34" t="n">
        <v>0</v>
      </c>
      <c r="E613" s="15" t="s">
        <v>6005</v>
      </c>
    </row>
    <row r="614" customFormat="false" ht="15" hidden="false" customHeight="false" outlineLevel="0" collapsed="false">
      <c r="A614" s="15" t="s">
        <v>3349</v>
      </c>
      <c r="B614" s="15" t="s">
        <v>3351</v>
      </c>
      <c r="C614" s="15" t="s">
        <v>5997</v>
      </c>
      <c r="D614" s="34" t="n">
        <f aca="false">Activities!M247</f>
        <v>1</v>
      </c>
      <c r="E614" s="15" t="s">
        <v>5998</v>
      </c>
    </row>
    <row r="615" customFormat="false" ht="15" hidden="false" customHeight="false" outlineLevel="0" collapsed="false">
      <c r="A615" s="15" t="s">
        <v>3349</v>
      </c>
      <c r="B615" s="15" t="s">
        <v>3351</v>
      </c>
      <c r="C615" s="15" t="s">
        <v>5999</v>
      </c>
      <c r="D615" s="34" t="n">
        <f aca="false">Activities!N247</f>
        <v>2</v>
      </c>
      <c r="E615" s="15" t="s">
        <v>5998</v>
      </c>
    </row>
    <row r="616" customFormat="false" ht="15" hidden="false" customHeight="false" outlineLevel="0" collapsed="false">
      <c r="A616" s="15" t="s">
        <v>3352</v>
      </c>
      <c r="B616" s="15" t="s">
        <v>3354</v>
      </c>
      <c r="C616" s="15" t="s">
        <v>5995</v>
      </c>
      <c r="D616" s="34" t="n">
        <v>0</v>
      </c>
      <c r="E616" s="15" t="s">
        <v>5996</v>
      </c>
    </row>
    <row r="617" customFormat="false" ht="15" hidden="false" customHeight="false" outlineLevel="0" collapsed="false">
      <c r="A617" s="15" t="s">
        <v>3341</v>
      </c>
      <c r="B617" s="15" t="s">
        <v>3354</v>
      </c>
      <c r="C617" s="15" t="s">
        <v>5997</v>
      </c>
      <c r="D617" s="34" t="n">
        <v>0</v>
      </c>
      <c r="E617" s="15" t="s">
        <v>6002</v>
      </c>
    </row>
    <row r="618" customFormat="false" ht="15" hidden="false" customHeight="false" outlineLevel="0" collapsed="false">
      <c r="A618" s="15" t="s">
        <v>3354</v>
      </c>
      <c r="B618" s="15" t="s">
        <v>3356</v>
      </c>
      <c r="C618" s="15" t="s">
        <v>5997</v>
      </c>
      <c r="D618" s="34" t="n">
        <f aca="false">Activities!M250</f>
        <v>1</v>
      </c>
      <c r="E618" s="15" t="s">
        <v>5998</v>
      </c>
    </row>
    <row r="619" customFormat="false" ht="15" hidden="false" customHeight="false" outlineLevel="0" collapsed="false">
      <c r="A619" s="15" t="s">
        <v>3354</v>
      </c>
      <c r="B619" s="15" t="s">
        <v>3356</v>
      </c>
      <c r="C619" s="15" t="s">
        <v>5999</v>
      </c>
      <c r="D619" s="34" t="n">
        <f aca="false">Activities!N250</f>
        <v>2</v>
      </c>
      <c r="E619" s="15" t="s">
        <v>5998</v>
      </c>
    </row>
    <row r="620" customFormat="false" ht="15" hidden="false" customHeight="false" outlineLevel="0" collapsed="false">
      <c r="A620" s="15" t="s">
        <v>3341</v>
      </c>
      <c r="B620" s="15" t="s">
        <v>3356</v>
      </c>
      <c r="C620" s="15" t="s">
        <v>5995</v>
      </c>
      <c r="D620" s="34" t="n">
        <v>0</v>
      </c>
      <c r="E620" s="15" t="s">
        <v>6007</v>
      </c>
    </row>
    <row r="621" customFormat="false" ht="15" hidden="false" customHeight="false" outlineLevel="0" collapsed="false">
      <c r="A621" s="15" t="s">
        <v>3356</v>
      </c>
      <c r="B621" s="15" t="s">
        <v>3357</v>
      </c>
      <c r="C621" s="15" t="s">
        <v>5997</v>
      </c>
      <c r="D621" s="34" t="n">
        <f aca="false">Activities!M251</f>
        <v>4</v>
      </c>
      <c r="E621" s="15" t="s">
        <v>5998</v>
      </c>
    </row>
    <row r="622" customFormat="false" ht="15" hidden="false" customHeight="false" outlineLevel="0" collapsed="false">
      <c r="A622" s="15" t="s">
        <v>3356</v>
      </c>
      <c r="B622" s="15" t="s">
        <v>3357</v>
      </c>
      <c r="C622" s="15" t="s">
        <v>5999</v>
      </c>
      <c r="D622" s="34" t="n">
        <f aca="false">Activities!N251</f>
        <v>2</v>
      </c>
      <c r="E622" s="15" t="s">
        <v>5998</v>
      </c>
    </row>
    <row r="623" customFormat="false" ht="15" hidden="false" customHeight="false" outlineLevel="0" collapsed="false">
      <c r="A623" s="15" t="s">
        <v>3342</v>
      </c>
      <c r="B623" s="15" t="s">
        <v>3357</v>
      </c>
      <c r="C623" s="15" t="s">
        <v>5995</v>
      </c>
      <c r="D623" s="34" t="n">
        <v>0</v>
      </c>
      <c r="E623" s="15" t="s">
        <v>6007</v>
      </c>
    </row>
    <row r="624" customFormat="false" ht="15" hidden="false" customHeight="false" outlineLevel="0" collapsed="false">
      <c r="A624" s="15" t="s">
        <v>3357</v>
      </c>
      <c r="B624" s="15" t="s">
        <v>3358</v>
      </c>
      <c r="C624" s="15" t="s">
        <v>5997</v>
      </c>
      <c r="D624" s="34" t="n">
        <f aca="false">Activities!M252</f>
        <v>2</v>
      </c>
      <c r="E624" s="15" t="s">
        <v>5998</v>
      </c>
    </row>
    <row r="625" customFormat="false" ht="15" hidden="false" customHeight="false" outlineLevel="0" collapsed="false">
      <c r="A625" s="15" t="s">
        <v>3357</v>
      </c>
      <c r="B625" s="15" t="s">
        <v>3358</v>
      </c>
      <c r="C625" s="15" t="s">
        <v>5999</v>
      </c>
      <c r="D625" s="34" t="n">
        <f aca="false">Activities!N252</f>
        <v>2</v>
      </c>
      <c r="E625" s="15" t="s">
        <v>5998</v>
      </c>
    </row>
    <row r="626" customFormat="false" ht="15" hidden="false" customHeight="false" outlineLevel="0" collapsed="false">
      <c r="A626" s="15" t="s">
        <v>3345</v>
      </c>
      <c r="B626" s="15" t="s">
        <v>3358</v>
      </c>
      <c r="C626" s="15" t="s">
        <v>5995</v>
      </c>
      <c r="D626" s="34" t="n">
        <f aca="false">-Activities!K252</f>
        <v>-13</v>
      </c>
      <c r="E626" s="15" t="s">
        <v>6004</v>
      </c>
    </row>
    <row r="627" customFormat="false" ht="15" hidden="false" customHeight="false" outlineLevel="0" collapsed="false">
      <c r="A627" s="15" t="s">
        <v>3358</v>
      </c>
      <c r="B627" s="15" t="s">
        <v>3360</v>
      </c>
      <c r="C627" s="15" t="s">
        <v>5997</v>
      </c>
      <c r="D627" s="34" t="n">
        <f aca="false">Activities!M253</f>
        <v>11</v>
      </c>
      <c r="E627" s="15" t="s">
        <v>5998</v>
      </c>
    </row>
    <row r="628" customFormat="false" ht="15" hidden="false" customHeight="false" outlineLevel="0" collapsed="false">
      <c r="A628" s="15" t="s">
        <v>3358</v>
      </c>
      <c r="B628" s="15" t="s">
        <v>3360</v>
      </c>
      <c r="C628" s="15" t="s">
        <v>5999</v>
      </c>
      <c r="D628" s="34" t="n">
        <f aca="false">Activities!N253</f>
        <v>2</v>
      </c>
      <c r="E628" s="15" t="s">
        <v>5998</v>
      </c>
    </row>
    <row r="629" customFormat="false" ht="15" hidden="false" customHeight="false" outlineLevel="0" collapsed="false">
      <c r="A629" s="15" t="s">
        <v>3345</v>
      </c>
      <c r="B629" s="15" t="s">
        <v>3360</v>
      </c>
      <c r="C629" s="15" t="s">
        <v>5995</v>
      </c>
      <c r="D629" s="34" t="n">
        <v>0</v>
      </c>
      <c r="E629" s="15" t="s">
        <v>6007</v>
      </c>
    </row>
    <row r="630" customFormat="false" ht="15" hidden="false" customHeight="false" outlineLevel="0" collapsed="false">
      <c r="A630" s="15" t="s">
        <v>3345</v>
      </c>
      <c r="B630" s="15" t="s">
        <v>3360</v>
      </c>
      <c r="C630" s="15" t="s">
        <v>5997</v>
      </c>
      <c r="D630" s="34" t="n">
        <v>0</v>
      </c>
      <c r="E630" s="15" t="s">
        <v>6006</v>
      </c>
    </row>
    <row r="631" customFormat="false" ht="15" hidden="false" customHeight="false" outlineLevel="0" collapsed="false">
      <c r="A631" s="15" t="s">
        <v>3314</v>
      </c>
      <c r="B631" s="15" t="s">
        <v>3360</v>
      </c>
      <c r="C631" s="15" t="s">
        <v>5997</v>
      </c>
      <c r="D631" s="34" t="n">
        <v>0</v>
      </c>
      <c r="E631" s="15" t="s">
        <v>6006</v>
      </c>
    </row>
    <row r="632" customFormat="false" ht="15" hidden="false" customHeight="false" outlineLevel="0" collapsed="false">
      <c r="A632" s="15" t="s">
        <v>3298</v>
      </c>
      <c r="B632" s="15" t="s">
        <v>3360</v>
      </c>
      <c r="C632" s="15" t="s">
        <v>5997</v>
      </c>
      <c r="D632" s="34" t="n">
        <v>0</v>
      </c>
      <c r="E632" s="15" t="s">
        <v>6006</v>
      </c>
    </row>
    <row r="633" customFormat="false" ht="15" hidden="false" customHeight="false" outlineLevel="0" collapsed="false">
      <c r="A633" s="15" t="s">
        <v>3360</v>
      </c>
      <c r="B633" s="15" t="s">
        <v>3362</v>
      </c>
      <c r="C633" s="15" t="s">
        <v>5997</v>
      </c>
      <c r="D633" s="34" t="n">
        <f aca="false">Activities!M254</f>
        <v>2</v>
      </c>
      <c r="E633" s="15" t="s">
        <v>5998</v>
      </c>
    </row>
    <row r="634" customFormat="false" ht="15" hidden="false" customHeight="false" outlineLevel="0" collapsed="false">
      <c r="A634" s="15" t="s">
        <v>3360</v>
      </c>
      <c r="B634" s="15" t="s">
        <v>3362</v>
      </c>
      <c r="C634" s="15" t="s">
        <v>5999</v>
      </c>
      <c r="D634" s="34" t="n">
        <f aca="false">Activities!N254</f>
        <v>2</v>
      </c>
      <c r="E634" s="15" t="s">
        <v>5998</v>
      </c>
    </row>
    <row r="635" customFormat="false" ht="15" hidden="false" customHeight="false" outlineLevel="0" collapsed="false">
      <c r="A635" s="15" t="s">
        <v>3346</v>
      </c>
      <c r="B635" s="15" t="s">
        <v>3362</v>
      </c>
      <c r="C635" s="15" t="s">
        <v>5995</v>
      </c>
      <c r="D635" s="34" t="n">
        <v>0</v>
      </c>
      <c r="E635" s="15" t="s">
        <v>6007</v>
      </c>
    </row>
    <row r="636" customFormat="false" ht="15" hidden="false" customHeight="false" outlineLevel="0" collapsed="false">
      <c r="A636" s="15" t="s">
        <v>3362</v>
      </c>
      <c r="B636" s="15" t="s">
        <v>3363</v>
      </c>
      <c r="C636" s="15" t="s">
        <v>5997</v>
      </c>
      <c r="D636" s="34" t="n">
        <f aca="false">Activities!M255</f>
        <v>4</v>
      </c>
      <c r="E636" s="15" t="s">
        <v>5998</v>
      </c>
    </row>
    <row r="637" customFormat="false" ht="15" hidden="false" customHeight="false" outlineLevel="0" collapsed="false">
      <c r="A637" s="15" t="s">
        <v>3362</v>
      </c>
      <c r="B637" s="15" t="s">
        <v>3363</v>
      </c>
      <c r="C637" s="15" t="s">
        <v>5999</v>
      </c>
      <c r="D637" s="34" t="n">
        <f aca="false">Activities!N255</f>
        <v>2</v>
      </c>
      <c r="E637" s="15" t="s">
        <v>5998</v>
      </c>
    </row>
    <row r="638" customFormat="false" ht="15" hidden="false" customHeight="false" outlineLevel="0" collapsed="false">
      <c r="A638" s="15" t="s">
        <v>3347</v>
      </c>
      <c r="B638" s="15" t="s">
        <v>3363</v>
      </c>
      <c r="C638" s="15" t="s">
        <v>5995</v>
      </c>
      <c r="D638" s="34" t="n">
        <v>0</v>
      </c>
      <c r="E638" s="15" t="s">
        <v>6007</v>
      </c>
    </row>
    <row r="639" customFormat="false" ht="15" hidden="false" customHeight="false" outlineLevel="0" collapsed="false">
      <c r="A639" s="15" t="s">
        <v>3363</v>
      </c>
      <c r="B639" s="15" t="s">
        <v>3364</v>
      </c>
      <c r="C639" s="15" t="s">
        <v>5997</v>
      </c>
      <c r="D639" s="34" t="n">
        <f aca="false">Activities!M256</f>
        <v>2</v>
      </c>
      <c r="E639" s="15" t="s">
        <v>5998</v>
      </c>
    </row>
    <row r="640" customFormat="false" ht="15" hidden="false" customHeight="false" outlineLevel="0" collapsed="false">
      <c r="A640" s="15" t="s">
        <v>3363</v>
      </c>
      <c r="B640" s="15" t="s">
        <v>3364</v>
      </c>
      <c r="C640" s="15" t="s">
        <v>5999</v>
      </c>
      <c r="D640" s="34" t="n">
        <f aca="false">Activities!N256</f>
        <v>2</v>
      </c>
      <c r="E640" s="15" t="s">
        <v>5998</v>
      </c>
    </row>
    <row r="641" customFormat="false" ht="15" hidden="false" customHeight="false" outlineLevel="0" collapsed="false">
      <c r="A641" s="15" t="s">
        <v>3364</v>
      </c>
      <c r="B641" s="15" t="s">
        <v>3365</v>
      </c>
      <c r="C641" s="15" t="s">
        <v>5997</v>
      </c>
      <c r="D641" s="34" t="n">
        <f aca="false">Activities!M257</f>
        <v>2</v>
      </c>
      <c r="E641" s="15" t="s">
        <v>5998</v>
      </c>
    </row>
    <row r="642" customFormat="false" ht="15" hidden="false" customHeight="false" outlineLevel="0" collapsed="false">
      <c r="A642" s="15" t="s">
        <v>3364</v>
      </c>
      <c r="B642" s="15" t="s">
        <v>3365</v>
      </c>
      <c r="C642" s="15" t="s">
        <v>5999</v>
      </c>
      <c r="D642" s="34" t="n">
        <f aca="false">Activities!N257</f>
        <v>2</v>
      </c>
      <c r="E642" s="15" t="s">
        <v>5998</v>
      </c>
    </row>
    <row r="643" customFormat="false" ht="15" hidden="false" customHeight="false" outlineLevel="0" collapsed="false">
      <c r="A643" s="15" t="s">
        <v>3349</v>
      </c>
      <c r="B643" s="15" t="s">
        <v>3365</v>
      </c>
      <c r="C643" s="15" t="s">
        <v>5995</v>
      </c>
      <c r="D643" s="34" t="n">
        <v>0</v>
      </c>
      <c r="E643" s="15" t="s">
        <v>6007</v>
      </c>
    </row>
    <row r="644" customFormat="false" ht="15" hidden="false" customHeight="false" outlineLevel="0" collapsed="false">
      <c r="A644" s="15" t="s">
        <v>3347</v>
      </c>
      <c r="B644" s="15" t="s">
        <v>3365</v>
      </c>
      <c r="C644" s="15" t="s">
        <v>5995</v>
      </c>
      <c r="D644" s="34" t="n">
        <v>0</v>
      </c>
      <c r="E644" s="15" t="s">
        <v>6005</v>
      </c>
    </row>
    <row r="645" customFormat="false" ht="15" hidden="false" customHeight="false" outlineLevel="0" collapsed="false">
      <c r="A645" s="15" t="s">
        <v>3316</v>
      </c>
      <c r="B645" s="15" t="s">
        <v>3365</v>
      </c>
      <c r="C645" s="15" t="s">
        <v>5995</v>
      </c>
      <c r="D645" s="34" t="n">
        <v>0</v>
      </c>
      <c r="E645" s="15" t="s">
        <v>6005</v>
      </c>
    </row>
    <row r="646" customFormat="false" ht="15" hidden="false" customHeight="false" outlineLevel="0" collapsed="false">
      <c r="A646" s="15" t="s">
        <v>3301</v>
      </c>
      <c r="B646" s="15" t="s">
        <v>3365</v>
      </c>
      <c r="C646" s="15" t="s">
        <v>5995</v>
      </c>
      <c r="D646" s="34" t="n">
        <v>0</v>
      </c>
      <c r="E646" s="15" t="s">
        <v>6005</v>
      </c>
    </row>
    <row r="647" customFormat="false" ht="15" hidden="false" customHeight="false" outlineLevel="0" collapsed="false">
      <c r="A647" s="15" t="s">
        <v>3365</v>
      </c>
      <c r="B647" s="15" t="s">
        <v>3367</v>
      </c>
      <c r="C647" s="15" t="s">
        <v>5997</v>
      </c>
      <c r="D647" s="34" t="n">
        <f aca="false">Activities!M258</f>
        <v>1</v>
      </c>
      <c r="E647" s="15" t="s">
        <v>5998</v>
      </c>
    </row>
    <row r="648" customFormat="false" ht="15" hidden="false" customHeight="false" outlineLevel="0" collapsed="false">
      <c r="A648" s="15" t="s">
        <v>3365</v>
      </c>
      <c r="B648" s="15" t="s">
        <v>3367</v>
      </c>
      <c r="C648" s="15" t="s">
        <v>5999</v>
      </c>
      <c r="D648" s="34" t="n">
        <f aca="false">Activities!N258</f>
        <v>2</v>
      </c>
      <c r="E648" s="15" t="s">
        <v>5998</v>
      </c>
    </row>
    <row r="649" customFormat="false" ht="15" hidden="false" customHeight="false" outlineLevel="0" collapsed="false">
      <c r="A649" s="15" t="s">
        <v>3368</v>
      </c>
      <c r="B649" s="15" t="s">
        <v>3370</v>
      </c>
      <c r="C649" s="15" t="s">
        <v>5995</v>
      </c>
      <c r="D649" s="34" t="n">
        <v>0</v>
      </c>
      <c r="E649" s="15" t="s">
        <v>5996</v>
      </c>
    </row>
    <row r="650" customFormat="false" ht="15" hidden="false" customHeight="false" outlineLevel="0" collapsed="false">
      <c r="A650" s="15" t="s">
        <v>3356</v>
      </c>
      <c r="B650" s="15" t="s">
        <v>3370</v>
      </c>
      <c r="C650" s="15" t="s">
        <v>5997</v>
      </c>
      <c r="D650" s="34" t="n">
        <v>0</v>
      </c>
      <c r="E650" s="15" t="s">
        <v>6002</v>
      </c>
    </row>
    <row r="651" customFormat="false" ht="15" hidden="false" customHeight="false" outlineLevel="0" collapsed="false">
      <c r="A651" s="15" t="s">
        <v>3370</v>
      </c>
      <c r="B651" s="15" t="s">
        <v>3372</v>
      </c>
      <c r="C651" s="15" t="s">
        <v>5997</v>
      </c>
      <c r="D651" s="34" t="n">
        <f aca="false">Activities!M261</f>
        <v>1</v>
      </c>
      <c r="E651" s="15" t="s">
        <v>5998</v>
      </c>
    </row>
    <row r="652" customFormat="false" ht="15" hidden="false" customHeight="false" outlineLevel="0" collapsed="false">
      <c r="A652" s="15" t="s">
        <v>3370</v>
      </c>
      <c r="B652" s="15" t="s">
        <v>3372</v>
      </c>
      <c r="C652" s="15" t="s">
        <v>5999</v>
      </c>
      <c r="D652" s="34" t="n">
        <f aca="false">Activities!N261</f>
        <v>2</v>
      </c>
      <c r="E652" s="15" t="s">
        <v>5998</v>
      </c>
    </row>
    <row r="653" customFormat="false" ht="15" hidden="false" customHeight="false" outlineLevel="0" collapsed="false">
      <c r="A653" s="15" t="s">
        <v>3356</v>
      </c>
      <c r="B653" s="15" t="s">
        <v>3372</v>
      </c>
      <c r="C653" s="15" t="s">
        <v>5995</v>
      </c>
      <c r="D653" s="34" t="n">
        <v>0</v>
      </c>
      <c r="E653" s="15" t="s">
        <v>6007</v>
      </c>
    </row>
    <row r="654" customFormat="false" ht="15" hidden="false" customHeight="false" outlineLevel="0" collapsed="false">
      <c r="A654" s="15" t="s">
        <v>3372</v>
      </c>
      <c r="B654" s="15" t="s">
        <v>3373</v>
      </c>
      <c r="C654" s="15" t="s">
        <v>5997</v>
      </c>
      <c r="D654" s="34" t="n">
        <f aca="false">Activities!M262</f>
        <v>3</v>
      </c>
      <c r="E654" s="15" t="s">
        <v>5998</v>
      </c>
    </row>
    <row r="655" customFormat="false" ht="15" hidden="false" customHeight="false" outlineLevel="0" collapsed="false">
      <c r="A655" s="15" t="s">
        <v>3372</v>
      </c>
      <c r="B655" s="15" t="s">
        <v>3373</v>
      </c>
      <c r="C655" s="15" t="s">
        <v>5999</v>
      </c>
      <c r="D655" s="34" t="n">
        <f aca="false">Activities!N262</f>
        <v>2</v>
      </c>
      <c r="E655" s="15" t="s">
        <v>5998</v>
      </c>
    </row>
    <row r="656" customFormat="false" ht="15" hidden="false" customHeight="false" outlineLevel="0" collapsed="false">
      <c r="A656" s="15" t="s">
        <v>3357</v>
      </c>
      <c r="B656" s="15" t="s">
        <v>3373</v>
      </c>
      <c r="C656" s="15" t="s">
        <v>5995</v>
      </c>
      <c r="D656" s="34" t="n">
        <v>0</v>
      </c>
      <c r="E656" s="15" t="s">
        <v>6007</v>
      </c>
    </row>
    <row r="657" customFormat="false" ht="15" hidden="false" customHeight="false" outlineLevel="0" collapsed="false">
      <c r="A657" s="15" t="s">
        <v>3373</v>
      </c>
      <c r="B657" s="15" t="s">
        <v>3374</v>
      </c>
      <c r="C657" s="15" t="s">
        <v>5997</v>
      </c>
      <c r="D657" s="34" t="n">
        <f aca="false">Activities!M263</f>
        <v>2</v>
      </c>
      <c r="E657" s="15" t="s">
        <v>5998</v>
      </c>
    </row>
    <row r="658" customFormat="false" ht="15" hidden="false" customHeight="false" outlineLevel="0" collapsed="false">
      <c r="A658" s="15" t="s">
        <v>3373</v>
      </c>
      <c r="B658" s="15" t="s">
        <v>3374</v>
      </c>
      <c r="C658" s="15" t="s">
        <v>5999</v>
      </c>
      <c r="D658" s="34" t="n">
        <f aca="false">Activities!N263</f>
        <v>2</v>
      </c>
      <c r="E658" s="15" t="s">
        <v>5998</v>
      </c>
    </row>
    <row r="659" customFormat="false" ht="15" hidden="false" customHeight="false" outlineLevel="0" collapsed="false">
      <c r="A659" s="15" t="s">
        <v>3360</v>
      </c>
      <c r="B659" s="15" t="s">
        <v>3374</v>
      </c>
      <c r="C659" s="15" t="s">
        <v>5995</v>
      </c>
      <c r="D659" s="34" t="n">
        <f aca="false">-Activities!K263</f>
        <v>-12</v>
      </c>
      <c r="E659" s="15" t="s">
        <v>6004</v>
      </c>
    </row>
    <row r="660" customFormat="false" ht="15" hidden="false" customHeight="false" outlineLevel="0" collapsed="false">
      <c r="A660" s="15" t="s">
        <v>3374</v>
      </c>
      <c r="B660" s="15" t="s">
        <v>3376</v>
      </c>
      <c r="C660" s="15" t="s">
        <v>5997</v>
      </c>
      <c r="D660" s="34" t="n">
        <f aca="false">Activities!M264</f>
        <v>10</v>
      </c>
      <c r="E660" s="15" t="s">
        <v>5998</v>
      </c>
    </row>
    <row r="661" customFormat="false" ht="15" hidden="false" customHeight="false" outlineLevel="0" collapsed="false">
      <c r="A661" s="15" t="s">
        <v>3374</v>
      </c>
      <c r="B661" s="15" t="s">
        <v>3376</v>
      </c>
      <c r="C661" s="15" t="s">
        <v>5999</v>
      </c>
      <c r="D661" s="34" t="n">
        <f aca="false">Activities!N264</f>
        <v>2</v>
      </c>
      <c r="E661" s="15" t="s">
        <v>5998</v>
      </c>
    </row>
    <row r="662" customFormat="false" ht="15" hidden="false" customHeight="false" outlineLevel="0" collapsed="false">
      <c r="A662" s="15" t="s">
        <v>3360</v>
      </c>
      <c r="B662" s="15" t="s">
        <v>3376</v>
      </c>
      <c r="C662" s="15" t="s">
        <v>5995</v>
      </c>
      <c r="D662" s="34" t="n">
        <v>0</v>
      </c>
      <c r="E662" s="15" t="s">
        <v>6007</v>
      </c>
    </row>
    <row r="663" customFormat="false" ht="15" hidden="false" customHeight="false" outlineLevel="0" collapsed="false">
      <c r="A663" s="15" t="s">
        <v>3345</v>
      </c>
      <c r="B663" s="15" t="s">
        <v>3376</v>
      </c>
      <c r="C663" s="15" t="s">
        <v>5997</v>
      </c>
      <c r="D663" s="34" t="n">
        <v>0</v>
      </c>
      <c r="E663" s="15" t="s">
        <v>6006</v>
      </c>
    </row>
    <row r="664" customFormat="false" ht="15" hidden="false" customHeight="false" outlineLevel="0" collapsed="false">
      <c r="A664" s="15" t="s">
        <v>3314</v>
      </c>
      <c r="B664" s="15" t="s">
        <v>3376</v>
      </c>
      <c r="C664" s="15" t="s">
        <v>5997</v>
      </c>
      <c r="D664" s="34" t="n">
        <v>0</v>
      </c>
      <c r="E664" s="15" t="s">
        <v>6006</v>
      </c>
    </row>
    <row r="665" customFormat="false" ht="15" hidden="false" customHeight="false" outlineLevel="0" collapsed="false">
      <c r="A665" s="15" t="s">
        <v>3376</v>
      </c>
      <c r="B665" s="15" t="s">
        <v>3378</v>
      </c>
      <c r="C665" s="15" t="s">
        <v>5997</v>
      </c>
      <c r="D665" s="34" t="n">
        <f aca="false">Activities!M265</f>
        <v>2</v>
      </c>
      <c r="E665" s="15" t="s">
        <v>5998</v>
      </c>
    </row>
    <row r="666" customFormat="false" ht="15" hidden="false" customHeight="false" outlineLevel="0" collapsed="false">
      <c r="A666" s="15" t="s">
        <v>3376</v>
      </c>
      <c r="B666" s="15" t="s">
        <v>3378</v>
      </c>
      <c r="C666" s="15" t="s">
        <v>5999</v>
      </c>
      <c r="D666" s="34" t="n">
        <f aca="false">Activities!N265</f>
        <v>2</v>
      </c>
      <c r="E666" s="15" t="s">
        <v>5998</v>
      </c>
    </row>
    <row r="667" customFormat="false" ht="15" hidden="false" customHeight="false" outlineLevel="0" collapsed="false">
      <c r="A667" s="15" t="s">
        <v>3362</v>
      </c>
      <c r="B667" s="15" t="s">
        <v>3378</v>
      </c>
      <c r="C667" s="15" t="s">
        <v>5995</v>
      </c>
      <c r="D667" s="34" t="n">
        <v>0</v>
      </c>
      <c r="E667" s="15" t="s">
        <v>6007</v>
      </c>
    </row>
    <row r="668" customFormat="false" ht="15" hidden="false" customHeight="false" outlineLevel="0" collapsed="false">
      <c r="A668" s="15" t="s">
        <v>3378</v>
      </c>
      <c r="B668" s="15" t="s">
        <v>3379</v>
      </c>
      <c r="C668" s="15" t="s">
        <v>5997</v>
      </c>
      <c r="D668" s="34" t="n">
        <f aca="false">Activities!M266</f>
        <v>3</v>
      </c>
      <c r="E668" s="15" t="s">
        <v>5998</v>
      </c>
    </row>
    <row r="669" customFormat="false" ht="15" hidden="false" customHeight="false" outlineLevel="0" collapsed="false">
      <c r="A669" s="15" t="s">
        <v>3378</v>
      </c>
      <c r="B669" s="15" t="s">
        <v>3379</v>
      </c>
      <c r="C669" s="15" t="s">
        <v>5999</v>
      </c>
      <c r="D669" s="34" t="n">
        <f aca="false">Activities!N266</f>
        <v>2</v>
      </c>
      <c r="E669" s="15" t="s">
        <v>5998</v>
      </c>
    </row>
    <row r="670" customFormat="false" ht="15" hidden="false" customHeight="false" outlineLevel="0" collapsed="false">
      <c r="A670" s="15" t="s">
        <v>3363</v>
      </c>
      <c r="B670" s="15" t="s">
        <v>3379</v>
      </c>
      <c r="C670" s="15" t="s">
        <v>5995</v>
      </c>
      <c r="D670" s="34" t="n">
        <v>0</v>
      </c>
      <c r="E670" s="15" t="s">
        <v>6007</v>
      </c>
    </row>
    <row r="671" customFormat="false" ht="15" hidden="false" customHeight="false" outlineLevel="0" collapsed="false">
      <c r="A671" s="15" t="s">
        <v>3379</v>
      </c>
      <c r="B671" s="15" t="s">
        <v>3380</v>
      </c>
      <c r="C671" s="15" t="s">
        <v>5997</v>
      </c>
      <c r="D671" s="34" t="n">
        <f aca="false">Activities!M267</f>
        <v>2</v>
      </c>
      <c r="E671" s="15" t="s">
        <v>5998</v>
      </c>
    </row>
    <row r="672" customFormat="false" ht="15" hidden="false" customHeight="false" outlineLevel="0" collapsed="false">
      <c r="A672" s="15" t="s">
        <v>3379</v>
      </c>
      <c r="B672" s="15" t="s">
        <v>3380</v>
      </c>
      <c r="C672" s="15" t="s">
        <v>5999</v>
      </c>
      <c r="D672" s="34" t="n">
        <f aca="false">Activities!N267</f>
        <v>2</v>
      </c>
      <c r="E672" s="15" t="s">
        <v>5998</v>
      </c>
    </row>
    <row r="673" customFormat="false" ht="15" hidden="false" customHeight="false" outlineLevel="0" collapsed="false">
      <c r="A673" s="15" t="s">
        <v>3380</v>
      </c>
      <c r="B673" s="15" t="s">
        <v>3381</v>
      </c>
      <c r="C673" s="15" t="s">
        <v>5997</v>
      </c>
      <c r="D673" s="34" t="n">
        <f aca="false">Activities!M268</f>
        <v>2</v>
      </c>
      <c r="E673" s="15" t="s">
        <v>5998</v>
      </c>
    </row>
    <row r="674" customFormat="false" ht="15" hidden="false" customHeight="false" outlineLevel="0" collapsed="false">
      <c r="A674" s="15" t="s">
        <v>3380</v>
      </c>
      <c r="B674" s="15" t="s">
        <v>3381</v>
      </c>
      <c r="C674" s="15" t="s">
        <v>5999</v>
      </c>
      <c r="D674" s="34" t="n">
        <f aca="false">Activities!N268</f>
        <v>2</v>
      </c>
      <c r="E674" s="15" t="s">
        <v>5998</v>
      </c>
    </row>
    <row r="675" customFormat="false" ht="15" hidden="false" customHeight="false" outlineLevel="0" collapsed="false">
      <c r="A675" s="15" t="s">
        <v>3365</v>
      </c>
      <c r="B675" s="15" t="s">
        <v>3381</v>
      </c>
      <c r="C675" s="15" t="s">
        <v>5995</v>
      </c>
      <c r="D675" s="34" t="n">
        <v>0</v>
      </c>
      <c r="E675" s="15" t="s">
        <v>6007</v>
      </c>
    </row>
    <row r="676" customFormat="false" ht="15" hidden="false" customHeight="false" outlineLevel="0" collapsed="false">
      <c r="A676" s="15" t="s">
        <v>3347</v>
      </c>
      <c r="B676" s="15" t="s">
        <v>3381</v>
      </c>
      <c r="C676" s="15" t="s">
        <v>5995</v>
      </c>
      <c r="D676" s="34" t="n">
        <v>0</v>
      </c>
      <c r="E676" s="15" t="s">
        <v>6005</v>
      </c>
    </row>
    <row r="677" customFormat="false" ht="15" hidden="false" customHeight="false" outlineLevel="0" collapsed="false">
      <c r="A677" s="15" t="s">
        <v>3316</v>
      </c>
      <c r="B677" s="15" t="s">
        <v>3381</v>
      </c>
      <c r="C677" s="15" t="s">
        <v>5995</v>
      </c>
      <c r="D677" s="34" t="n">
        <v>0</v>
      </c>
      <c r="E677" s="15" t="s">
        <v>6005</v>
      </c>
    </row>
    <row r="678" customFormat="false" ht="15" hidden="false" customHeight="false" outlineLevel="0" collapsed="false">
      <c r="A678" s="15" t="s">
        <v>3381</v>
      </c>
      <c r="B678" s="15" t="s">
        <v>3383</v>
      </c>
      <c r="C678" s="15" t="s">
        <v>5997</v>
      </c>
      <c r="D678" s="34" t="n">
        <f aca="false">Activities!M269</f>
        <v>2</v>
      </c>
      <c r="E678" s="15" t="s">
        <v>5998</v>
      </c>
    </row>
    <row r="679" customFormat="false" ht="15" hidden="false" customHeight="false" outlineLevel="0" collapsed="false">
      <c r="A679" s="15" t="s">
        <v>3381</v>
      </c>
      <c r="B679" s="15" t="s">
        <v>3383</v>
      </c>
      <c r="C679" s="15" t="s">
        <v>5999</v>
      </c>
      <c r="D679" s="34" t="n">
        <f aca="false">Activities!N269</f>
        <v>2</v>
      </c>
      <c r="E679" s="15" t="s">
        <v>5998</v>
      </c>
    </row>
    <row r="680" customFormat="false" ht="15" hidden="false" customHeight="false" outlineLevel="0" collapsed="false">
      <c r="A680" s="15" t="s">
        <v>3384</v>
      </c>
      <c r="B680" s="15" t="s">
        <v>3386</v>
      </c>
      <c r="C680" s="15" t="s">
        <v>5995</v>
      </c>
      <c r="D680" s="34" t="n">
        <v>0</v>
      </c>
      <c r="E680" s="15" t="s">
        <v>5996</v>
      </c>
    </row>
    <row r="681" customFormat="false" ht="15" hidden="false" customHeight="false" outlineLevel="0" collapsed="false">
      <c r="A681" s="15" t="s">
        <v>3372</v>
      </c>
      <c r="B681" s="15" t="s">
        <v>3386</v>
      </c>
      <c r="C681" s="15" t="s">
        <v>5997</v>
      </c>
      <c r="D681" s="34" t="n">
        <v>0</v>
      </c>
      <c r="E681" s="15" t="s">
        <v>6002</v>
      </c>
    </row>
    <row r="682" customFormat="false" ht="15" hidden="false" customHeight="false" outlineLevel="0" collapsed="false">
      <c r="A682" s="15" t="s">
        <v>3386</v>
      </c>
      <c r="B682" s="15" t="s">
        <v>3388</v>
      </c>
      <c r="C682" s="15" t="s">
        <v>5997</v>
      </c>
      <c r="D682" s="34" t="n">
        <f aca="false">Activities!M272</f>
        <v>1</v>
      </c>
      <c r="E682" s="15" t="s">
        <v>5998</v>
      </c>
    </row>
    <row r="683" customFormat="false" ht="15" hidden="false" customHeight="false" outlineLevel="0" collapsed="false">
      <c r="A683" s="15" t="s">
        <v>3386</v>
      </c>
      <c r="B683" s="15" t="s">
        <v>3388</v>
      </c>
      <c r="C683" s="15" t="s">
        <v>5999</v>
      </c>
      <c r="D683" s="34" t="n">
        <f aca="false">Activities!N272</f>
        <v>2</v>
      </c>
      <c r="E683" s="15" t="s">
        <v>5998</v>
      </c>
    </row>
    <row r="684" customFormat="false" ht="15" hidden="false" customHeight="false" outlineLevel="0" collapsed="false">
      <c r="A684" s="15" t="s">
        <v>3372</v>
      </c>
      <c r="B684" s="15" t="s">
        <v>3388</v>
      </c>
      <c r="C684" s="15" t="s">
        <v>5995</v>
      </c>
      <c r="D684" s="34" t="n">
        <v>0</v>
      </c>
      <c r="E684" s="15" t="s">
        <v>6007</v>
      </c>
    </row>
    <row r="685" customFormat="false" ht="15" hidden="false" customHeight="false" outlineLevel="0" collapsed="false">
      <c r="A685" s="15" t="s">
        <v>3388</v>
      </c>
      <c r="B685" s="15" t="s">
        <v>3389</v>
      </c>
      <c r="C685" s="15" t="s">
        <v>5997</v>
      </c>
      <c r="D685" s="34" t="n">
        <f aca="false">Activities!M273</f>
        <v>2</v>
      </c>
      <c r="E685" s="15" t="s">
        <v>5998</v>
      </c>
    </row>
    <row r="686" customFormat="false" ht="15" hidden="false" customHeight="false" outlineLevel="0" collapsed="false">
      <c r="A686" s="15" t="s">
        <v>3388</v>
      </c>
      <c r="B686" s="15" t="s">
        <v>3389</v>
      </c>
      <c r="C686" s="15" t="s">
        <v>5999</v>
      </c>
      <c r="D686" s="34" t="n">
        <f aca="false">Activities!N273</f>
        <v>0</v>
      </c>
      <c r="E686" s="15" t="s">
        <v>5998</v>
      </c>
    </row>
    <row r="687" customFormat="false" ht="15" hidden="false" customHeight="false" outlineLevel="0" collapsed="false">
      <c r="A687" s="15" t="s">
        <v>3373</v>
      </c>
      <c r="B687" s="15" t="s">
        <v>3389</v>
      </c>
      <c r="C687" s="15" t="s">
        <v>5995</v>
      </c>
      <c r="D687" s="34" t="n">
        <v>0</v>
      </c>
      <c r="E687" s="15" t="s">
        <v>6007</v>
      </c>
    </row>
    <row r="688" customFormat="false" ht="15" hidden="false" customHeight="false" outlineLevel="0" collapsed="false">
      <c r="A688" s="15" t="s">
        <v>3389</v>
      </c>
      <c r="B688" s="15" t="s">
        <v>3390</v>
      </c>
      <c r="C688" s="15" t="s">
        <v>5997</v>
      </c>
      <c r="D688" s="34" t="n">
        <f aca="false">Activities!M274</f>
        <v>0</v>
      </c>
      <c r="E688" s="15" t="s">
        <v>5998</v>
      </c>
    </row>
    <row r="689" customFormat="false" ht="15" hidden="false" customHeight="false" outlineLevel="0" collapsed="false">
      <c r="A689" s="15" t="s">
        <v>3389</v>
      </c>
      <c r="B689" s="15" t="s">
        <v>3390</v>
      </c>
      <c r="C689" s="15" t="s">
        <v>5999</v>
      </c>
      <c r="D689" s="34" t="n">
        <f aca="false">Activities!N274</f>
        <v>2</v>
      </c>
      <c r="E689" s="15" t="s">
        <v>5998</v>
      </c>
    </row>
    <row r="690" customFormat="false" ht="15" hidden="false" customHeight="false" outlineLevel="0" collapsed="false">
      <c r="A690" s="15" t="s">
        <v>3376</v>
      </c>
      <c r="B690" s="15" t="s">
        <v>3390</v>
      </c>
      <c r="C690" s="15" t="s">
        <v>5995</v>
      </c>
      <c r="D690" s="34" t="n">
        <f aca="false">-Activities!K274</f>
        <v>-11</v>
      </c>
      <c r="E690" s="15" t="s">
        <v>6004</v>
      </c>
    </row>
    <row r="691" customFormat="false" ht="15" hidden="false" customHeight="false" outlineLevel="0" collapsed="false">
      <c r="A691" s="15" t="s">
        <v>3390</v>
      </c>
      <c r="B691" s="15" t="s">
        <v>3392</v>
      </c>
      <c r="C691" s="15" t="s">
        <v>5997</v>
      </c>
      <c r="D691" s="34" t="n">
        <f aca="false">Activities!M275</f>
        <v>10</v>
      </c>
      <c r="E691" s="15" t="s">
        <v>5998</v>
      </c>
    </row>
    <row r="692" customFormat="false" ht="15" hidden="false" customHeight="false" outlineLevel="0" collapsed="false">
      <c r="A692" s="15" t="s">
        <v>3390</v>
      </c>
      <c r="B692" s="15" t="s">
        <v>3392</v>
      </c>
      <c r="C692" s="15" t="s">
        <v>5999</v>
      </c>
      <c r="D692" s="34" t="n">
        <f aca="false">Activities!N275</f>
        <v>2</v>
      </c>
      <c r="E692" s="15" t="s">
        <v>5998</v>
      </c>
    </row>
    <row r="693" customFormat="false" ht="15" hidden="false" customHeight="false" outlineLevel="0" collapsed="false">
      <c r="A693" s="15" t="s">
        <v>3376</v>
      </c>
      <c r="B693" s="15" t="s">
        <v>3392</v>
      </c>
      <c r="C693" s="15" t="s">
        <v>5995</v>
      </c>
      <c r="D693" s="34" t="n">
        <v>0</v>
      </c>
      <c r="E693" s="15" t="s">
        <v>6007</v>
      </c>
    </row>
    <row r="694" customFormat="false" ht="15" hidden="false" customHeight="false" outlineLevel="0" collapsed="false">
      <c r="A694" s="15" t="s">
        <v>3345</v>
      </c>
      <c r="B694" s="15" t="s">
        <v>3392</v>
      </c>
      <c r="C694" s="15" t="s">
        <v>5997</v>
      </c>
      <c r="D694" s="34" t="n">
        <v>0</v>
      </c>
      <c r="E694" s="15" t="s">
        <v>6006</v>
      </c>
    </row>
    <row r="695" customFormat="false" ht="15" hidden="false" customHeight="false" outlineLevel="0" collapsed="false">
      <c r="A695" s="15" t="s">
        <v>3392</v>
      </c>
      <c r="B695" s="15" t="s">
        <v>3394</v>
      </c>
      <c r="C695" s="15" t="s">
        <v>5997</v>
      </c>
      <c r="D695" s="34" t="n">
        <f aca="false">Activities!M276</f>
        <v>1</v>
      </c>
      <c r="E695" s="15" t="s">
        <v>5998</v>
      </c>
    </row>
    <row r="696" customFormat="false" ht="15" hidden="false" customHeight="false" outlineLevel="0" collapsed="false">
      <c r="A696" s="15" t="s">
        <v>3392</v>
      </c>
      <c r="B696" s="15" t="s">
        <v>3394</v>
      </c>
      <c r="C696" s="15" t="s">
        <v>5999</v>
      </c>
      <c r="D696" s="34" t="n">
        <f aca="false">Activities!N276</f>
        <v>2</v>
      </c>
      <c r="E696" s="15" t="s">
        <v>5998</v>
      </c>
    </row>
    <row r="697" customFormat="false" ht="15" hidden="false" customHeight="false" outlineLevel="0" collapsed="false">
      <c r="A697" s="15" t="s">
        <v>3378</v>
      </c>
      <c r="B697" s="15" t="s">
        <v>3394</v>
      </c>
      <c r="C697" s="15" t="s">
        <v>5995</v>
      </c>
      <c r="D697" s="34" t="n">
        <v>0</v>
      </c>
      <c r="E697" s="15" t="s">
        <v>6007</v>
      </c>
    </row>
    <row r="698" customFormat="false" ht="15" hidden="false" customHeight="false" outlineLevel="0" collapsed="false">
      <c r="A698" s="15" t="s">
        <v>3394</v>
      </c>
      <c r="B698" s="15" t="s">
        <v>3395</v>
      </c>
      <c r="C698" s="15" t="s">
        <v>5997</v>
      </c>
      <c r="D698" s="34" t="n">
        <f aca="false">Activities!M277</f>
        <v>3</v>
      </c>
      <c r="E698" s="15" t="s">
        <v>5998</v>
      </c>
    </row>
    <row r="699" customFormat="false" ht="15" hidden="false" customHeight="false" outlineLevel="0" collapsed="false">
      <c r="A699" s="15" t="s">
        <v>3394</v>
      </c>
      <c r="B699" s="15" t="s">
        <v>3395</v>
      </c>
      <c r="C699" s="15" t="s">
        <v>5999</v>
      </c>
      <c r="D699" s="34" t="n">
        <f aca="false">Activities!N277</f>
        <v>2</v>
      </c>
      <c r="E699" s="15" t="s">
        <v>5998</v>
      </c>
    </row>
    <row r="700" customFormat="false" ht="15" hidden="false" customHeight="false" outlineLevel="0" collapsed="false">
      <c r="A700" s="15" t="s">
        <v>3379</v>
      </c>
      <c r="B700" s="15" t="s">
        <v>3395</v>
      </c>
      <c r="C700" s="15" t="s">
        <v>5995</v>
      </c>
      <c r="D700" s="34" t="n">
        <v>0</v>
      </c>
      <c r="E700" s="15" t="s">
        <v>6007</v>
      </c>
    </row>
    <row r="701" customFormat="false" ht="15" hidden="false" customHeight="false" outlineLevel="0" collapsed="false">
      <c r="A701" s="15" t="s">
        <v>3395</v>
      </c>
      <c r="B701" s="15" t="s">
        <v>3396</v>
      </c>
      <c r="C701" s="15" t="s">
        <v>5997</v>
      </c>
      <c r="D701" s="34" t="n">
        <f aca="false">Activities!M278</f>
        <v>2</v>
      </c>
      <c r="E701" s="15" t="s">
        <v>5998</v>
      </c>
    </row>
    <row r="702" customFormat="false" ht="15" hidden="false" customHeight="false" outlineLevel="0" collapsed="false">
      <c r="A702" s="15" t="s">
        <v>3395</v>
      </c>
      <c r="B702" s="15" t="s">
        <v>3396</v>
      </c>
      <c r="C702" s="15" t="s">
        <v>5999</v>
      </c>
      <c r="D702" s="34" t="n">
        <f aca="false">Activities!N278</f>
        <v>2</v>
      </c>
      <c r="E702" s="15" t="s">
        <v>5998</v>
      </c>
    </row>
    <row r="703" customFormat="false" ht="15" hidden="false" customHeight="false" outlineLevel="0" collapsed="false">
      <c r="A703" s="15" t="s">
        <v>3396</v>
      </c>
      <c r="B703" s="15" t="s">
        <v>3397</v>
      </c>
      <c r="C703" s="15" t="s">
        <v>5997</v>
      </c>
      <c r="D703" s="34" t="n">
        <f aca="false">Activities!M279</f>
        <v>2</v>
      </c>
      <c r="E703" s="15" t="s">
        <v>5998</v>
      </c>
    </row>
    <row r="704" customFormat="false" ht="15" hidden="false" customHeight="false" outlineLevel="0" collapsed="false">
      <c r="A704" s="15" t="s">
        <v>3396</v>
      </c>
      <c r="B704" s="15" t="s">
        <v>3397</v>
      </c>
      <c r="C704" s="15" t="s">
        <v>5999</v>
      </c>
      <c r="D704" s="34" t="n">
        <f aca="false">Activities!N279</f>
        <v>2</v>
      </c>
      <c r="E704" s="15" t="s">
        <v>5998</v>
      </c>
    </row>
    <row r="705" customFormat="false" ht="15" hidden="false" customHeight="false" outlineLevel="0" collapsed="false">
      <c r="A705" s="15" t="s">
        <v>3381</v>
      </c>
      <c r="B705" s="15" t="s">
        <v>3397</v>
      </c>
      <c r="C705" s="15" t="s">
        <v>5995</v>
      </c>
      <c r="D705" s="34" t="n">
        <v>0</v>
      </c>
      <c r="E705" s="15" t="s">
        <v>6007</v>
      </c>
    </row>
    <row r="706" customFormat="false" ht="15" hidden="false" customHeight="false" outlineLevel="0" collapsed="false">
      <c r="A706" s="15" t="s">
        <v>3347</v>
      </c>
      <c r="B706" s="15" t="s">
        <v>3397</v>
      </c>
      <c r="C706" s="15" t="s">
        <v>5995</v>
      </c>
      <c r="D706" s="34" t="n">
        <v>0</v>
      </c>
      <c r="E706" s="15" t="s">
        <v>6005</v>
      </c>
    </row>
    <row r="707" customFormat="false" ht="15" hidden="false" customHeight="false" outlineLevel="0" collapsed="false">
      <c r="A707" s="15" t="s">
        <v>3442</v>
      </c>
      <c r="B707" s="15" t="s">
        <v>3397</v>
      </c>
      <c r="C707" s="15" t="s">
        <v>5995</v>
      </c>
      <c r="D707" s="34" t="n">
        <v>0</v>
      </c>
      <c r="E707" s="15" t="s">
        <v>6005</v>
      </c>
    </row>
    <row r="708" customFormat="false" ht="15" hidden="false" customHeight="false" outlineLevel="0" collapsed="false">
      <c r="A708" s="15" t="s">
        <v>3457</v>
      </c>
      <c r="B708" s="15" t="s">
        <v>3397</v>
      </c>
      <c r="C708" s="15" t="s">
        <v>5995</v>
      </c>
      <c r="D708" s="34" t="n">
        <v>0</v>
      </c>
      <c r="E708" s="15" t="s">
        <v>6005</v>
      </c>
    </row>
    <row r="709" customFormat="false" ht="15" hidden="false" customHeight="false" outlineLevel="0" collapsed="false">
      <c r="A709" s="15" t="s">
        <v>3397</v>
      </c>
      <c r="B709" s="15" t="s">
        <v>3399</v>
      </c>
      <c r="C709" s="15" t="s">
        <v>5997</v>
      </c>
      <c r="D709" s="34" t="n">
        <f aca="false">Activities!M280</f>
        <v>1</v>
      </c>
      <c r="E709" s="15" t="s">
        <v>5998</v>
      </c>
    </row>
    <row r="710" customFormat="false" ht="15" hidden="false" customHeight="false" outlineLevel="0" collapsed="false">
      <c r="A710" s="15" t="s">
        <v>3397</v>
      </c>
      <c r="B710" s="15" t="s">
        <v>3399</v>
      </c>
      <c r="C710" s="15" t="s">
        <v>5999</v>
      </c>
      <c r="D710" s="34" t="n">
        <f aca="false">Activities!N280</f>
        <v>2</v>
      </c>
      <c r="E710" s="15" t="s">
        <v>5998</v>
      </c>
    </row>
    <row r="711" customFormat="false" ht="15" hidden="false" customHeight="false" outlineLevel="0" collapsed="false">
      <c r="A711" s="15" t="s">
        <v>3400</v>
      </c>
      <c r="B711" s="15" t="s">
        <v>3402</v>
      </c>
      <c r="C711" s="15" t="s">
        <v>5995</v>
      </c>
      <c r="D711" s="34" t="n">
        <v>0</v>
      </c>
      <c r="E711" s="15" t="s">
        <v>5996</v>
      </c>
    </row>
    <row r="712" customFormat="false" ht="15" hidden="false" customHeight="false" outlineLevel="0" collapsed="false">
      <c r="A712" s="15" t="s">
        <v>3250</v>
      </c>
      <c r="B712" s="15" t="s">
        <v>3402</v>
      </c>
      <c r="C712" s="15" t="s">
        <v>5997</v>
      </c>
      <c r="D712" s="34" t="n">
        <v>0</v>
      </c>
      <c r="E712" s="15" t="s">
        <v>6000</v>
      </c>
    </row>
    <row r="713" customFormat="false" ht="15" hidden="false" customHeight="false" outlineLevel="0" collapsed="false">
      <c r="A713" s="15" t="s">
        <v>3402</v>
      </c>
      <c r="B713" s="15" t="s">
        <v>3404</v>
      </c>
      <c r="C713" s="15" t="s">
        <v>5997</v>
      </c>
      <c r="D713" s="34" t="n">
        <f aca="false">Activities!M283</f>
        <v>1</v>
      </c>
      <c r="E713" s="15" t="s">
        <v>5998</v>
      </c>
    </row>
    <row r="714" customFormat="false" ht="15" hidden="false" customHeight="false" outlineLevel="0" collapsed="false">
      <c r="A714" s="15" t="s">
        <v>3402</v>
      </c>
      <c r="B714" s="15" t="s">
        <v>3404</v>
      </c>
      <c r="C714" s="15" t="s">
        <v>5999</v>
      </c>
      <c r="D714" s="34" t="n">
        <f aca="false">Activities!N283</f>
        <v>2</v>
      </c>
      <c r="E714" s="15" t="s">
        <v>5998</v>
      </c>
    </row>
    <row r="715" customFormat="false" ht="15" hidden="false" customHeight="false" outlineLevel="0" collapsed="false">
      <c r="A715" s="15" t="s">
        <v>3404</v>
      </c>
      <c r="B715" s="15" t="s">
        <v>3405</v>
      </c>
      <c r="C715" s="15" t="s">
        <v>5997</v>
      </c>
      <c r="D715" s="34" t="n">
        <f aca="false">Activities!M284</f>
        <v>1</v>
      </c>
      <c r="E715" s="15" t="s">
        <v>5998</v>
      </c>
    </row>
    <row r="716" customFormat="false" ht="15" hidden="false" customHeight="false" outlineLevel="0" collapsed="false">
      <c r="A716" s="15" t="s">
        <v>3404</v>
      </c>
      <c r="B716" s="15" t="s">
        <v>3405</v>
      </c>
      <c r="C716" s="15" t="s">
        <v>5999</v>
      </c>
      <c r="D716" s="34" t="n">
        <f aca="false">Activities!N284</f>
        <v>2</v>
      </c>
      <c r="E716" s="15" t="s">
        <v>5998</v>
      </c>
    </row>
    <row r="717" customFormat="false" ht="15" hidden="false" customHeight="false" outlineLevel="0" collapsed="false">
      <c r="A717" s="15" t="s">
        <v>3405</v>
      </c>
      <c r="B717" s="15" t="s">
        <v>3406</v>
      </c>
      <c r="C717" s="15" t="s">
        <v>5997</v>
      </c>
      <c r="D717" s="34" t="n">
        <f aca="false">Activities!M285</f>
        <v>1</v>
      </c>
      <c r="E717" s="15" t="s">
        <v>5998</v>
      </c>
    </row>
    <row r="718" customFormat="false" ht="15" hidden="false" customHeight="false" outlineLevel="0" collapsed="false">
      <c r="A718" s="15" t="s">
        <v>3405</v>
      </c>
      <c r="B718" s="15" t="s">
        <v>3406</v>
      </c>
      <c r="C718" s="15" t="s">
        <v>5999</v>
      </c>
      <c r="D718" s="34" t="n">
        <f aca="false">Activities!N285</f>
        <v>2</v>
      </c>
      <c r="E718" s="15" t="s">
        <v>5998</v>
      </c>
    </row>
    <row r="719" customFormat="false" ht="15" hidden="false" customHeight="false" outlineLevel="0" collapsed="false">
      <c r="A719" s="15" t="s">
        <v>3406</v>
      </c>
      <c r="B719" s="15" t="s">
        <v>3407</v>
      </c>
      <c r="C719" s="15" t="s">
        <v>5997</v>
      </c>
      <c r="D719" s="34" t="n">
        <f aca="false">Activities!M286</f>
        <v>10</v>
      </c>
      <c r="E719" s="15" t="s">
        <v>5998</v>
      </c>
    </row>
    <row r="720" customFormat="false" ht="15" hidden="false" customHeight="false" outlineLevel="0" collapsed="false">
      <c r="A720" s="15" t="s">
        <v>3406</v>
      </c>
      <c r="B720" s="15" t="s">
        <v>3407</v>
      </c>
      <c r="C720" s="15" t="s">
        <v>5999</v>
      </c>
      <c r="D720" s="34" t="n">
        <f aca="false">Activities!N286</f>
        <v>2</v>
      </c>
      <c r="E720" s="15" t="s">
        <v>5998</v>
      </c>
    </row>
    <row r="721" customFormat="false" ht="15" hidden="false" customHeight="false" outlineLevel="0" collapsed="false">
      <c r="A721" s="15" t="s">
        <v>3407</v>
      </c>
      <c r="B721" s="15" t="s">
        <v>3408</v>
      </c>
      <c r="C721" s="15" t="s">
        <v>5997</v>
      </c>
      <c r="D721" s="34" t="n">
        <f aca="false">Activities!M287</f>
        <v>1</v>
      </c>
      <c r="E721" s="15" t="s">
        <v>5998</v>
      </c>
    </row>
    <row r="722" customFormat="false" ht="15" hidden="false" customHeight="false" outlineLevel="0" collapsed="false">
      <c r="A722" s="15" t="s">
        <v>3407</v>
      </c>
      <c r="B722" s="15" t="s">
        <v>3408</v>
      </c>
      <c r="C722" s="15" t="s">
        <v>5999</v>
      </c>
      <c r="D722" s="34" t="n">
        <f aca="false">Activities!N287</f>
        <v>2</v>
      </c>
      <c r="E722" s="15" t="s">
        <v>5998</v>
      </c>
    </row>
    <row r="723" customFormat="false" ht="15" hidden="false" customHeight="false" outlineLevel="0" collapsed="false">
      <c r="A723" s="15" t="s">
        <v>3408</v>
      </c>
      <c r="B723" s="15" t="s">
        <v>3409</v>
      </c>
      <c r="C723" s="15" t="s">
        <v>5997</v>
      </c>
      <c r="D723" s="34" t="n">
        <f aca="false">Activities!M288</f>
        <v>2</v>
      </c>
      <c r="E723" s="15" t="s">
        <v>5998</v>
      </c>
    </row>
    <row r="724" customFormat="false" ht="15" hidden="false" customHeight="false" outlineLevel="0" collapsed="false">
      <c r="A724" s="15" t="s">
        <v>3408</v>
      </c>
      <c r="B724" s="15" t="s">
        <v>3409</v>
      </c>
      <c r="C724" s="15" t="s">
        <v>5999</v>
      </c>
      <c r="D724" s="34" t="n">
        <f aca="false">Activities!N288</f>
        <v>2</v>
      </c>
      <c r="E724" s="15" t="s">
        <v>5998</v>
      </c>
    </row>
    <row r="725" customFormat="false" ht="15" hidden="false" customHeight="false" outlineLevel="0" collapsed="false">
      <c r="A725" s="15" t="s">
        <v>3255</v>
      </c>
      <c r="B725" s="15" t="s">
        <v>3409</v>
      </c>
      <c r="C725" s="15" t="s">
        <v>5995</v>
      </c>
      <c r="D725" s="34" t="n">
        <v>0</v>
      </c>
      <c r="E725" s="15" t="s">
        <v>6001</v>
      </c>
    </row>
    <row r="726" customFormat="false" ht="15" hidden="false" customHeight="false" outlineLevel="0" collapsed="false">
      <c r="A726" s="15" t="s">
        <v>3409</v>
      </c>
      <c r="B726" s="15" t="s">
        <v>3411</v>
      </c>
      <c r="C726" s="15" t="s">
        <v>5997</v>
      </c>
      <c r="D726" s="34" t="n">
        <f aca="false">Activities!M289</f>
        <v>3</v>
      </c>
      <c r="E726" s="15" t="s">
        <v>5998</v>
      </c>
    </row>
    <row r="727" customFormat="false" ht="15" hidden="false" customHeight="false" outlineLevel="0" collapsed="false">
      <c r="A727" s="15" t="s">
        <v>3409</v>
      </c>
      <c r="B727" s="15" t="s">
        <v>3411</v>
      </c>
      <c r="C727" s="15" t="s">
        <v>5999</v>
      </c>
      <c r="D727" s="34" t="n">
        <f aca="false">Activities!N289</f>
        <v>2</v>
      </c>
      <c r="E727" s="15" t="s">
        <v>5998</v>
      </c>
    </row>
    <row r="728" customFormat="false" ht="15" hidden="false" customHeight="false" outlineLevel="0" collapsed="false">
      <c r="A728" s="15" t="s">
        <v>3411</v>
      </c>
      <c r="B728" s="15" t="s">
        <v>3412</v>
      </c>
      <c r="C728" s="15" t="s">
        <v>5997</v>
      </c>
      <c r="D728" s="34" t="n">
        <f aca="false">Activities!M290</f>
        <v>2</v>
      </c>
      <c r="E728" s="15" t="s">
        <v>5998</v>
      </c>
    </row>
    <row r="729" customFormat="false" ht="15" hidden="false" customHeight="false" outlineLevel="0" collapsed="false">
      <c r="A729" s="15" t="s">
        <v>3411</v>
      </c>
      <c r="B729" s="15" t="s">
        <v>3412</v>
      </c>
      <c r="C729" s="15" t="s">
        <v>5999</v>
      </c>
      <c r="D729" s="34" t="n">
        <f aca="false">Activities!N290</f>
        <v>2</v>
      </c>
      <c r="E729" s="15" t="s">
        <v>5998</v>
      </c>
    </row>
    <row r="730" customFormat="false" ht="15" hidden="false" customHeight="false" outlineLevel="0" collapsed="false">
      <c r="A730" s="15" t="s">
        <v>3425</v>
      </c>
      <c r="B730" s="15" t="s">
        <v>3412</v>
      </c>
      <c r="C730" s="15" t="s">
        <v>5995</v>
      </c>
      <c r="D730" s="34" t="n">
        <v>0</v>
      </c>
      <c r="E730" s="15" t="s">
        <v>6005</v>
      </c>
    </row>
    <row r="731" customFormat="false" ht="15" hidden="false" customHeight="false" outlineLevel="0" collapsed="false">
      <c r="A731" s="15" t="s">
        <v>3412</v>
      </c>
      <c r="B731" s="15" t="s">
        <v>3414</v>
      </c>
      <c r="C731" s="15" t="s">
        <v>5997</v>
      </c>
      <c r="D731" s="34" t="n">
        <f aca="false">Activities!M291</f>
        <v>1</v>
      </c>
      <c r="E731" s="15" t="s">
        <v>5998</v>
      </c>
    </row>
    <row r="732" customFormat="false" ht="15" hidden="false" customHeight="false" outlineLevel="0" collapsed="false">
      <c r="A732" s="15" t="s">
        <v>3412</v>
      </c>
      <c r="B732" s="15" t="s">
        <v>3414</v>
      </c>
      <c r="C732" s="15" t="s">
        <v>5999</v>
      </c>
      <c r="D732" s="34" t="n">
        <f aca="false">Activities!N291</f>
        <v>2</v>
      </c>
      <c r="E732" s="15" t="s">
        <v>5998</v>
      </c>
    </row>
    <row r="733" customFormat="false" ht="15" hidden="false" customHeight="false" outlineLevel="0" collapsed="false">
      <c r="A733" s="15" t="s">
        <v>3415</v>
      </c>
      <c r="B733" s="15" t="s">
        <v>3417</v>
      </c>
      <c r="C733" s="15" t="s">
        <v>5995</v>
      </c>
      <c r="D733" s="34" t="n">
        <v>0</v>
      </c>
      <c r="E733" s="15" t="s">
        <v>5996</v>
      </c>
    </row>
    <row r="734" customFormat="false" ht="15" hidden="false" customHeight="false" outlineLevel="0" collapsed="false">
      <c r="A734" s="15" t="s">
        <v>3388</v>
      </c>
      <c r="B734" s="15" t="s">
        <v>3417</v>
      </c>
      <c r="C734" s="15" t="s">
        <v>5997</v>
      </c>
      <c r="D734" s="34" t="n">
        <v>0</v>
      </c>
      <c r="E734" s="15" t="s">
        <v>6000</v>
      </c>
    </row>
    <row r="735" customFormat="false" ht="15" hidden="false" customHeight="false" outlineLevel="0" collapsed="false">
      <c r="A735" s="15" t="s">
        <v>3417</v>
      </c>
      <c r="B735" s="15" t="s">
        <v>3419</v>
      </c>
      <c r="C735" s="15" t="s">
        <v>5997</v>
      </c>
      <c r="D735" s="34" t="n">
        <f aca="false">Activities!M294</f>
        <v>1</v>
      </c>
      <c r="E735" s="15" t="s">
        <v>5998</v>
      </c>
    </row>
    <row r="736" customFormat="false" ht="15" hidden="false" customHeight="false" outlineLevel="0" collapsed="false">
      <c r="A736" s="15" t="s">
        <v>3417</v>
      </c>
      <c r="B736" s="15" t="s">
        <v>3419</v>
      </c>
      <c r="C736" s="15" t="s">
        <v>5999</v>
      </c>
      <c r="D736" s="34" t="n">
        <f aca="false">Activities!N294</f>
        <v>2</v>
      </c>
      <c r="E736" s="15" t="s">
        <v>5998</v>
      </c>
    </row>
    <row r="737" customFormat="false" ht="15" hidden="false" customHeight="false" outlineLevel="0" collapsed="false">
      <c r="A737" s="15" t="s">
        <v>3419</v>
      </c>
      <c r="B737" s="15" t="s">
        <v>3420</v>
      </c>
      <c r="C737" s="15" t="s">
        <v>5997</v>
      </c>
      <c r="D737" s="34" t="n">
        <f aca="false">Activities!M295</f>
        <v>1</v>
      </c>
      <c r="E737" s="15" t="s">
        <v>5998</v>
      </c>
    </row>
    <row r="738" customFormat="false" ht="15" hidden="false" customHeight="false" outlineLevel="0" collapsed="false">
      <c r="A738" s="15" t="s">
        <v>3419</v>
      </c>
      <c r="B738" s="15" t="s">
        <v>3420</v>
      </c>
      <c r="C738" s="15" t="s">
        <v>5999</v>
      </c>
      <c r="D738" s="34" t="n">
        <f aca="false">Activities!N295</f>
        <v>0</v>
      </c>
      <c r="E738" s="15" t="s">
        <v>5998</v>
      </c>
    </row>
    <row r="739" customFormat="false" ht="15" hidden="false" customHeight="false" outlineLevel="0" collapsed="false">
      <c r="A739" s="15" t="s">
        <v>3420</v>
      </c>
      <c r="B739" s="15" t="s">
        <v>3421</v>
      </c>
      <c r="C739" s="15" t="s">
        <v>5997</v>
      </c>
      <c r="D739" s="34" t="n">
        <f aca="false">Activities!M296</f>
        <v>0</v>
      </c>
      <c r="E739" s="15" t="s">
        <v>5998</v>
      </c>
    </row>
    <row r="740" customFormat="false" ht="15" hidden="false" customHeight="false" outlineLevel="0" collapsed="false">
      <c r="A740" s="15" t="s">
        <v>3420</v>
      </c>
      <c r="B740" s="15" t="s">
        <v>3421</v>
      </c>
      <c r="C740" s="15" t="s">
        <v>5999</v>
      </c>
      <c r="D740" s="34" t="n">
        <f aca="false">Activities!N296</f>
        <v>2</v>
      </c>
      <c r="E740" s="15" t="s">
        <v>5998</v>
      </c>
    </row>
    <row r="741" customFormat="false" ht="15" hidden="false" customHeight="false" outlineLevel="0" collapsed="false">
      <c r="A741" s="15" t="s">
        <v>3421</v>
      </c>
      <c r="B741" s="15" t="s">
        <v>3422</v>
      </c>
      <c r="C741" s="15" t="s">
        <v>5997</v>
      </c>
      <c r="D741" s="34" t="n">
        <f aca="false">Activities!M297</f>
        <v>10</v>
      </c>
      <c r="E741" s="15" t="s">
        <v>5998</v>
      </c>
    </row>
    <row r="742" customFormat="false" ht="15" hidden="false" customHeight="false" outlineLevel="0" collapsed="false">
      <c r="A742" s="15" t="s">
        <v>3421</v>
      </c>
      <c r="B742" s="15" t="s">
        <v>3422</v>
      </c>
      <c r="C742" s="15" t="s">
        <v>5999</v>
      </c>
      <c r="D742" s="34" t="n">
        <f aca="false">Activities!N297</f>
        <v>2</v>
      </c>
      <c r="E742" s="15" t="s">
        <v>5998</v>
      </c>
    </row>
    <row r="743" customFormat="false" ht="15" hidden="false" customHeight="false" outlineLevel="0" collapsed="false">
      <c r="A743" s="15" t="s">
        <v>3407</v>
      </c>
      <c r="B743" s="15" t="s">
        <v>3422</v>
      </c>
      <c r="C743" s="15" t="s">
        <v>5997</v>
      </c>
      <c r="D743" s="34" t="n">
        <v>0</v>
      </c>
      <c r="E743" s="15" t="s">
        <v>6006</v>
      </c>
    </row>
    <row r="744" customFormat="false" ht="15" hidden="false" customHeight="false" outlineLevel="0" collapsed="false">
      <c r="A744" s="15" t="s">
        <v>3422</v>
      </c>
      <c r="B744" s="15" t="s">
        <v>3424</v>
      </c>
      <c r="C744" s="15" t="s">
        <v>5997</v>
      </c>
      <c r="D744" s="34" t="n">
        <f aca="false">Activities!M298</f>
        <v>1</v>
      </c>
      <c r="E744" s="15" t="s">
        <v>5998</v>
      </c>
    </row>
    <row r="745" customFormat="false" ht="15" hidden="false" customHeight="false" outlineLevel="0" collapsed="false">
      <c r="A745" s="15" t="s">
        <v>3422</v>
      </c>
      <c r="B745" s="15" t="s">
        <v>3424</v>
      </c>
      <c r="C745" s="15" t="s">
        <v>5999</v>
      </c>
      <c r="D745" s="34" t="n">
        <f aca="false">Activities!N298</f>
        <v>2</v>
      </c>
      <c r="E745" s="15" t="s">
        <v>5998</v>
      </c>
    </row>
    <row r="746" customFormat="false" ht="15" hidden="false" customHeight="false" outlineLevel="0" collapsed="false">
      <c r="A746" s="15" t="s">
        <v>3424</v>
      </c>
      <c r="B746" s="15" t="s">
        <v>3425</v>
      </c>
      <c r="C746" s="15" t="s">
        <v>5997</v>
      </c>
      <c r="D746" s="34" t="n">
        <f aca="false">Activities!M299</f>
        <v>2</v>
      </c>
      <c r="E746" s="15" t="s">
        <v>5998</v>
      </c>
    </row>
    <row r="747" customFormat="false" ht="15" hidden="false" customHeight="false" outlineLevel="0" collapsed="false">
      <c r="A747" s="15" t="s">
        <v>3424</v>
      </c>
      <c r="B747" s="15" t="s">
        <v>3425</v>
      </c>
      <c r="C747" s="15" t="s">
        <v>5999</v>
      </c>
      <c r="D747" s="34" t="n">
        <f aca="false">Activities!N299</f>
        <v>2</v>
      </c>
      <c r="E747" s="15" t="s">
        <v>5998</v>
      </c>
    </row>
    <row r="748" customFormat="false" ht="15" hidden="false" customHeight="false" outlineLevel="0" collapsed="false">
      <c r="A748" s="15" t="s">
        <v>3395</v>
      </c>
      <c r="B748" s="15" t="s">
        <v>3425</v>
      </c>
      <c r="C748" s="15" t="s">
        <v>5995</v>
      </c>
      <c r="D748" s="34" t="n">
        <v>0</v>
      </c>
      <c r="E748" s="15" t="s">
        <v>6001</v>
      </c>
    </row>
    <row r="749" customFormat="false" ht="15" hidden="false" customHeight="false" outlineLevel="0" collapsed="false">
      <c r="A749" s="15" t="s">
        <v>3425</v>
      </c>
      <c r="B749" s="15" t="s">
        <v>3427</v>
      </c>
      <c r="C749" s="15" t="s">
        <v>5997</v>
      </c>
      <c r="D749" s="34" t="n">
        <f aca="false">Activities!M300</f>
        <v>2</v>
      </c>
      <c r="E749" s="15" t="s">
        <v>5998</v>
      </c>
    </row>
    <row r="750" customFormat="false" ht="15" hidden="false" customHeight="false" outlineLevel="0" collapsed="false">
      <c r="A750" s="15" t="s">
        <v>3425</v>
      </c>
      <c r="B750" s="15" t="s">
        <v>3427</v>
      </c>
      <c r="C750" s="15" t="s">
        <v>5999</v>
      </c>
      <c r="D750" s="34" t="n">
        <f aca="false">Activities!N300</f>
        <v>2</v>
      </c>
      <c r="E750" s="15" t="s">
        <v>5998</v>
      </c>
    </row>
    <row r="751" customFormat="false" ht="15" hidden="false" customHeight="false" outlineLevel="0" collapsed="false">
      <c r="A751" s="15" t="s">
        <v>3427</v>
      </c>
      <c r="B751" s="15" t="s">
        <v>3428</v>
      </c>
      <c r="C751" s="15" t="s">
        <v>5997</v>
      </c>
      <c r="D751" s="34" t="n">
        <f aca="false">Activities!M301</f>
        <v>2</v>
      </c>
      <c r="E751" s="15" t="s">
        <v>5998</v>
      </c>
    </row>
    <row r="752" customFormat="false" ht="15" hidden="false" customHeight="false" outlineLevel="0" collapsed="false">
      <c r="A752" s="15" t="s">
        <v>3427</v>
      </c>
      <c r="B752" s="15" t="s">
        <v>3428</v>
      </c>
      <c r="C752" s="15" t="s">
        <v>5999</v>
      </c>
      <c r="D752" s="34" t="n">
        <f aca="false">Activities!N301</f>
        <v>2</v>
      </c>
      <c r="E752" s="15" t="s">
        <v>5998</v>
      </c>
    </row>
    <row r="753" customFormat="false" ht="15" hidden="false" customHeight="false" outlineLevel="0" collapsed="false">
      <c r="A753" s="15" t="s">
        <v>3409</v>
      </c>
      <c r="B753" s="15" t="s">
        <v>3428</v>
      </c>
      <c r="C753" s="15" t="s">
        <v>5995</v>
      </c>
      <c r="D753" s="34" t="n">
        <v>0</v>
      </c>
      <c r="E753" s="15" t="s">
        <v>6005</v>
      </c>
    </row>
    <row r="754" customFormat="false" ht="15" hidden="false" customHeight="false" outlineLevel="0" collapsed="false">
      <c r="A754" s="15" t="s">
        <v>3442</v>
      </c>
      <c r="B754" s="15" t="s">
        <v>3428</v>
      </c>
      <c r="C754" s="15" t="s">
        <v>5995</v>
      </c>
      <c r="D754" s="34" t="n">
        <v>0</v>
      </c>
      <c r="E754" s="15" t="s">
        <v>6005</v>
      </c>
    </row>
    <row r="755" customFormat="false" ht="15" hidden="false" customHeight="false" outlineLevel="0" collapsed="false">
      <c r="A755" s="15" t="s">
        <v>3457</v>
      </c>
      <c r="B755" s="15" t="s">
        <v>3428</v>
      </c>
      <c r="C755" s="15" t="s">
        <v>5995</v>
      </c>
      <c r="D755" s="34" t="n">
        <v>0</v>
      </c>
      <c r="E755" s="15" t="s">
        <v>6005</v>
      </c>
    </row>
    <row r="756" customFormat="false" ht="15" hidden="false" customHeight="false" outlineLevel="0" collapsed="false">
      <c r="A756" s="15" t="s">
        <v>3428</v>
      </c>
      <c r="B756" s="15" t="s">
        <v>3430</v>
      </c>
      <c r="C756" s="15" t="s">
        <v>5997</v>
      </c>
      <c r="D756" s="34" t="n">
        <f aca="false">Activities!M302</f>
        <v>1</v>
      </c>
      <c r="E756" s="15" t="s">
        <v>5998</v>
      </c>
    </row>
    <row r="757" customFormat="false" ht="15" hidden="false" customHeight="false" outlineLevel="0" collapsed="false">
      <c r="A757" s="15" t="s">
        <v>3428</v>
      </c>
      <c r="B757" s="15" t="s">
        <v>3430</v>
      </c>
      <c r="C757" s="15" t="s">
        <v>5999</v>
      </c>
      <c r="D757" s="34" t="n">
        <f aca="false">Activities!N302</f>
        <v>2</v>
      </c>
      <c r="E757" s="15" t="s">
        <v>5998</v>
      </c>
    </row>
    <row r="758" customFormat="false" ht="15" hidden="false" customHeight="false" outlineLevel="0" collapsed="false">
      <c r="A758" s="15" t="s">
        <v>3431</v>
      </c>
      <c r="B758" s="15" t="s">
        <v>3433</v>
      </c>
      <c r="C758" s="15" t="s">
        <v>5995</v>
      </c>
      <c r="D758" s="34" t="n">
        <v>0</v>
      </c>
      <c r="E758" s="15" t="s">
        <v>5996</v>
      </c>
    </row>
    <row r="759" customFormat="false" ht="15" hidden="false" customHeight="false" outlineLevel="0" collapsed="false">
      <c r="A759" s="15" t="s">
        <v>3388</v>
      </c>
      <c r="B759" s="15" t="s">
        <v>3433</v>
      </c>
      <c r="C759" s="15" t="s">
        <v>5997</v>
      </c>
      <c r="D759" s="34" t="n">
        <v>0</v>
      </c>
      <c r="E759" s="15" t="s">
        <v>6002</v>
      </c>
    </row>
    <row r="760" customFormat="false" ht="15" hidden="false" customHeight="false" outlineLevel="0" collapsed="false">
      <c r="A760" s="15" t="s">
        <v>3433</v>
      </c>
      <c r="B760" s="15" t="s">
        <v>3435</v>
      </c>
      <c r="C760" s="15" t="s">
        <v>5997</v>
      </c>
      <c r="D760" s="34" t="n">
        <f aca="false">Activities!M305</f>
        <v>1</v>
      </c>
      <c r="E760" s="15" t="s">
        <v>5998</v>
      </c>
    </row>
    <row r="761" customFormat="false" ht="15" hidden="false" customHeight="false" outlineLevel="0" collapsed="false">
      <c r="A761" s="15" t="s">
        <v>3433</v>
      </c>
      <c r="B761" s="15" t="s">
        <v>3435</v>
      </c>
      <c r="C761" s="15" t="s">
        <v>5999</v>
      </c>
      <c r="D761" s="34" t="n">
        <f aca="false">Activities!N305</f>
        <v>2</v>
      </c>
      <c r="E761" s="15" t="s">
        <v>5998</v>
      </c>
    </row>
    <row r="762" customFormat="false" ht="15" hidden="false" customHeight="false" outlineLevel="0" collapsed="false">
      <c r="A762" s="15" t="s">
        <v>3388</v>
      </c>
      <c r="B762" s="15" t="s">
        <v>3435</v>
      </c>
      <c r="C762" s="15" t="s">
        <v>5995</v>
      </c>
      <c r="D762" s="34" t="n">
        <v>0</v>
      </c>
      <c r="E762" s="15" t="s">
        <v>6007</v>
      </c>
    </row>
    <row r="763" customFormat="false" ht="15" hidden="false" customHeight="false" outlineLevel="0" collapsed="false">
      <c r="A763" s="15" t="s">
        <v>3435</v>
      </c>
      <c r="B763" s="15" t="s">
        <v>3436</v>
      </c>
      <c r="C763" s="15" t="s">
        <v>5997</v>
      </c>
      <c r="D763" s="34" t="n">
        <f aca="false">Activities!M306</f>
        <v>4</v>
      </c>
      <c r="E763" s="15" t="s">
        <v>5998</v>
      </c>
    </row>
    <row r="764" customFormat="false" ht="15" hidden="false" customHeight="false" outlineLevel="0" collapsed="false">
      <c r="A764" s="15" t="s">
        <v>3435</v>
      </c>
      <c r="B764" s="15" t="s">
        <v>3436</v>
      </c>
      <c r="C764" s="15" t="s">
        <v>5999</v>
      </c>
      <c r="D764" s="34" t="n">
        <f aca="false">Activities!N306</f>
        <v>2</v>
      </c>
      <c r="E764" s="15" t="s">
        <v>5998</v>
      </c>
    </row>
    <row r="765" customFormat="false" ht="15" hidden="false" customHeight="false" outlineLevel="0" collapsed="false">
      <c r="A765" s="15" t="s">
        <v>3389</v>
      </c>
      <c r="B765" s="15" t="s">
        <v>3436</v>
      </c>
      <c r="C765" s="15" t="s">
        <v>5995</v>
      </c>
      <c r="D765" s="34" t="n">
        <v>0</v>
      </c>
      <c r="E765" s="15" t="s">
        <v>6007</v>
      </c>
    </row>
    <row r="766" customFormat="false" ht="15" hidden="false" customHeight="false" outlineLevel="0" collapsed="false">
      <c r="A766" s="15" t="s">
        <v>3436</v>
      </c>
      <c r="B766" s="15" t="s">
        <v>3437</v>
      </c>
      <c r="C766" s="15" t="s">
        <v>5997</v>
      </c>
      <c r="D766" s="34" t="n">
        <f aca="false">Activities!M307</f>
        <v>2</v>
      </c>
      <c r="E766" s="15" t="s">
        <v>5998</v>
      </c>
    </row>
    <row r="767" customFormat="false" ht="15" hidden="false" customHeight="false" outlineLevel="0" collapsed="false">
      <c r="A767" s="15" t="s">
        <v>3436</v>
      </c>
      <c r="B767" s="15" t="s">
        <v>3437</v>
      </c>
      <c r="C767" s="15" t="s">
        <v>5999</v>
      </c>
      <c r="D767" s="34" t="n">
        <f aca="false">Activities!N307</f>
        <v>2</v>
      </c>
      <c r="E767" s="15" t="s">
        <v>5998</v>
      </c>
    </row>
    <row r="768" customFormat="false" ht="15" hidden="false" customHeight="false" outlineLevel="0" collapsed="false">
      <c r="A768" s="15" t="s">
        <v>3392</v>
      </c>
      <c r="B768" s="15" t="s">
        <v>3437</v>
      </c>
      <c r="C768" s="15" t="s">
        <v>5995</v>
      </c>
      <c r="D768" s="34" t="n">
        <f aca="false">-Activities!K307</f>
        <v>-13</v>
      </c>
      <c r="E768" s="15" t="s">
        <v>6004</v>
      </c>
    </row>
    <row r="769" customFormat="false" ht="15" hidden="false" customHeight="false" outlineLevel="0" collapsed="false">
      <c r="A769" s="15" t="s">
        <v>3437</v>
      </c>
      <c r="B769" s="15" t="s">
        <v>3439</v>
      </c>
      <c r="C769" s="15" t="s">
        <v>5997</v>
      </c>
      <c r="D769" s="34" t="n">
        <f aca="false">Activities!M308</f>
        <v>11</v>
      </c>
      <c r="E769" s="15" t="s">
        <v>5998</v>
      </c>
    </row>
    <row r="770" customFormat="false" ht="15" hidden="false" customHeight="false" outlineLevel="0" collapsed="false">
      <c r="A770" s="15" t="s">
        <v>3437</v>
      </c>
      <c r="B770" s="15" t="s">
        <v>3439</v>
      </c>
      <c r="C770" s="15" t="s">
        <v>5999</v>
      </c>
      <c r="D770" s="34" t="n">
        <f aca="false">Activities!N308</f>
        <v>2</v>
      </c>
      <c r="E770" s="15" t="s">
        <v>5998</v>
      </c>
    </row>
    <row r="771" customFormat="false" ht="15" hidden="false" customHeight="false" outlineLevel="0" collapsed="false">
      <c r="A771" s="15" t="s">
        <v>3392</v>
      </c>
      <c r="B771" s="15" t="s">
        <v>3439</v>
      </c>
      <c r="C771" s="15" t="s">
        <v>5995</v>
      </c>
      <c r="D771" s="34" t="n">
        <v>0</v>
      </c>
      <c r="E771" s="15" t="s">
        <v>6007</v>
      </c>
    </row>
    <row r="772" customFormat="false" ht="15" hidden="false" customHeight="false" outlineLevel="0" collapsed="false">
      <c r="A772" s="15" t="s">
        <v>3124</v>
      </c>
      <c r="B772" s="15" t="s">
        <v>3439</v>
      </c>
      <c r="C772" s="15" t="s">
        <v>5995</v>
      </c>
      <c r="D772" s="34" t="n">
        <v>0</v>
      </c>
      <c r="E772" s="15" t="s">
        <v>6008</v>
      </c>
    </row>
    <row r="773" customFormat="false" ht="15" hidden="false" customHeight="false" outlineLevel="0" collapsed="false">
      <c r="A773" s="15" t="s">
        <v>3108</v>
      </c>
      <c r="B773" s="15" t="s">
        <v>3439</v>
      </c>
      <c r="C773" s="15" t="s">
        <v>5995</v>
      </c>
      <c r="D773" s="34" t="n">
        <v>0</v>
      </c>
      <c r="E773" s="15" t="s">
        <v>6008</v>
      </c>
    </row>
    <row r="774" customFormat="false" ht="15" hidden="false" customHeight="false" outlineLevel="0" collapsed="false">
      <c r="A774" s="15" t="s">
        <v>3140</v>
      </c>
      <c r="B774" s="15" t="s">
        <v>3439</v>
      </c>
      <c r="C774" s="15" t="s">
        <v>5995</v>
      </c>
      <c r="D774" s="34" t="n">
        <v>0</v>
      </c>
      <c r="E774" s="15" t="s">
        <v>6008</v>
      </c>
    </row>
    <row r="775" customFormat="false" ht="15" hidden="false" customHeight="false" outlineLevel="0" collapsed="false">
      <c r="A775" s="15" t="s">
        <v>3156</v>
      </c>
      <c r="B775" s="15" t="s">
        <v>3439</v>
      </c>
      <c r="C775" s="15" t="s">
        <v>5995</v>
      </c>
      <c r="D775" s="34" t="n">
        <v>0</v>
      </c>
      <c r="E775" s="15" t="s">
        <v>6008</v>
      </c>
    </row>
    <row r="776" customFormat="false" ht="15" hidden="false" customHeight="false" outlineLevel="0" collapsed="false">
      <c r="A776" s="15" t="s">
        <v>3230</v>
      </c>
      <c r="B776" s="15" t="s">
        <v>3439</v>
      </c>
      <c r="C776" s="15" t="s">
        <v>5995</v>
      </c>
      <c r="D776" s="34" t="n">
        <v>0</v>
      </c>
      <c r="E776" s="15" t="s">
        <v>6008</v>
      </c>
    </row>
    <row r="777" customFormat="false" ht="15" hidden="false" customHeight="false" outlineLevel="0" collapsed="false">
      <c r="A777" s="15" t="s">
        <v>3172</v>
      </c>
      <c r="B777" s="15" t="s">
        <v>3439</v>
      </c>
      <c r="C777" s="15" t="s">
        <v>5995</v>
      </c>
      <c r="D777" s="34" t="n">
        <v>0</v>
      </c>
      <c r="E777" s="15" t="s">
        <v>6008</v>
      </c>
    </row>
    <row r="778" customFormat="false" ht="15" hidden="false" customHeight="false" outlineLevel="0" collapsed="false">
      <c r="A778" s="15" t="s">
        <v>3187</v>
      </c>
      <c r="B778" s="15" t="s">
        <v>3439</v>
      </c>
      <c r="C778" s="15" t="s">
        <v>5995</v>
      </c>
      <c r="D778" s="34" t="n">
        <v>0</v>
      </c>
      <c r="E778" s="15" t="s">
        <v>6008</v>
      </c>
    </row>
    <row r="779" customFormat="false" ht="15" hidden="false" customHeight="false" outlineLevel="0" collapsed="false">
      <c r="A779" s="15" t="s">
        <v>3201</v>
      </c>
      <c r="B779" s="15" t="s">
        <v>3439</v>
      </c>
      <c r="C779" s="15" t="s">
        <v>5995</v>
      </c>
      <c r="D779" s="34" t="n">
        <v>0</v>
      </c>
      <c r="E779" s="15" t="s">
        <v>6008</v>
      </c>
    </row>
    <row r="780" customFormat="false" ht="15" hidden="false" customHeight="false" outlineLevel="0" collapsed="false">
      <c r="A780" s="15" t="s">
        <v>3215</v>
      </c>
      <c r="B780" s="15" t="s">
        <v>3439</v>
      </c>
      <c r="C780" s="15" t="s">
        <v>5995</v>
      </c>
      <c r="D780" s="34" t="n">
        <v>0</v>
      </c>
      <c r="E780" s="15" t="s">
        <v>6008</v>
      </c>
    </row>
    <row r="781" customFormat="false" ht="15" hidden="false" customHeight="false" outlineLevel="0" collapsed="false">
      <c r="A781" s="15" t="s">
        <v>3422</v>
      </c>
      <c r="B781" s="15" t="s">
        <v>3439</v>
      </c>
      <c r="C781" s="15" t="s">
        <v>5997</v>
      </c>
      <c r="D781" s="34" t="n">
        <v>0</v>
      </c>
      <c r="E781" s="15" t="s">
        <v>6006</v>
      </c>
    </row>
    <row r="782" customFormat="false" ht="15" hidden="false" customHeight="false" outlineLevel="0" collapsed="false">
      <c r="A782" s="15" t="s">
        <v>3392</v>
      </c>
      <c r="B782" s="15" t="s">
        <v>3439</v>
      </c>
      <c r="C782" s="15" t="s">
        <v>5997</v>
      </c>
      <c r="D782" s="34" t="n">
        <v>0</v>
      </c>
      <c r="E782" s="15" t="s">
        <v>6006</v>
      </c>
    </row>
    <row r="783" customFormat="false" ht="15" hidden="false" customHeight="false" outlineLevel="0" collapsed="false">
      <c r="A783" s="15" t="s">
        <v>3439</v>
      </c>
      <c r="B783" s="15" t="s">
        <v>3441</v>
      </c>
      <c r="C783" s="15" t="s">
        <v>5997</v>
      </c>
      <c r="D783" s="34" t="n">
        <f aca="false">Activities!M309</f>
        <v>2</v>
      </c>
      <c r="E783" s="15" t="s">
        <v>5998</v>
      </c>
    </row>
    <row r="784" customFormat="false" ht="15" hidden="false" customHeight="false" outlineLevel="0" collapsed="false">
      <c r="A784" s="15" t="s">
        <v>3439</v>
      </c>
      <c r="B784" s="15" t="s">
        <v>3441</v>
      </c>
      <c r="C784" s="15" t="s">
        <v>5999</v>
      </c>
      <c r="D784" s="34" t="n">
        <f aca="false">Activities!N309</f>
        <v>2</v>
      </c>
      <c r="E784" s="15" t="s">
        <v>5998</v>
      </c>
    </row>
    <row r="785" customFormat="false" ht="15" hidden="false" customHeight="false" outlineLevel="0" collapsed="false">
      <c r="A785" s="15" t="s">
        <v>3394</v>
      </c>
      <c r="B785" s="15" t="s">
        <v>3441</v>
      </c>
      <c r="C785" s="15" t="s">
        <v>5995</v>
      </c>
      <c r="D785" s="34" t="n">
        <v>0</v>
      </c>
      <c r="E785" s="15" t="s">
        <v>6007</v>
      </c>
    </row>
    <row r="786" customFormat="false" ht="15" hidden="false" customHeight="false" outlineLevel="0" collapsed="false">
      <c r="A786" s="15" t="s">
        <v>3441</v>
      </c>
      <c r="B786" s="15" t="s">
        <v>3442</v>
      </c>
      <c r="C786" s="15" t="s">
        <v>5997</v>
      </c>
      <c r="D786" s="34" t="n">
        <f aca="false">Activities!M310</f>
        <v>4</v>
      </c>
      <c r="E786" s="15" t="s">
        <v>5998</v>
      </c>
    </row>
    <row r="787" customFormat="false" ht="15" hidden="false" customHeight="false" outlineLevel="0" collapsed="false">
      <c r="A787" s="15" t="s">
        <v>3441</v>
      </c>
      <c r="B787" s="15" t="s">
        <v>3442</v>
      </c>
      <c r="C787" s="15" t="s">
        <v>5999</v>
      </c>
      <c r="D787" s="34" t="n">
        <f aca="false">Activities!N310</f>
        <v>2</v>
      </c>
      <c r="E787" s="15" t="s">
        <v>5998</v>
      </c>
    </row>
    <row r="788" customFormat="false" ht="15" hidden="false" customHeight="false" outlineLevel="0" collapsed="false">
      <c r="A788" s="15" t="s">
        <v>3395</v>
      </c>
      <c r="B788" s="15" t="s">
        <v>3442</v>
      </c>
      <c r="C788" s="15" t="s">
        <v>5995</v>
      </c>
      <c r="D788" s="34" t="n">
        <v>0</v>
      </c>
      <c r="E788" s="15" t="s">
        <v>6007</v>
      </c>
    </row>
    <row r="789" customFormat="false" ht="15" hidden="false" customHeight="false" outlineLevel="0" collapsed="false">
      <c r="A789" s="15" t="s">
        <v>3442</v>
      </c>
      <c r="B789" s="15" t="s">
        <v>3443</v>
      </c>
      <c r="C789" s="15" t="s">
        <v>5997</v>
      </c>
      <c r="D789" s="34" t="n">
        <f aca="false">Activities!M311</f>
        <v>3</v>
      </c>
      <c r="E789" s="15" t="s">
        <v>5998</v>
      </c>
    </row>
    <row r="790" customFormat="false" ht="15" hidden="false" customHeight="false" outlineLevel="0" collapsed="false">
      <c r="A790" s="15" t="s">
        <v>3442</v>
      </c>
      <c r="B790" s="15" t="s">
        <v>3443</v>
      </c>
      <c r="C790" s="15" t="s">
        <v>5999</v>
      </c>
      <c r="D790" s="34" t="n">
        <f aca="false">Activities!N311</f>
        <v>2</v>
      </c>
      <c r="E790" s="15" t="s">
        <v>5998</v>
      </c>
    </row>
    <row r="791" customFormat="false" ht="15" hidden="false" customHeight="false" outlineLevel="0" collapsed="false">
      <c r="A791" s="15" t="s">
        <v>3443</v>
      </c>
      <c r="B791" s="15" t="s">
        <v>3444</v>
      </c>
      <c r="C791" s="15" t="s">
        <v>5997</v>
      </c>
      <c r="D791" s="34" t="n">
        <f aca="false">Activities!M312</f>
        <v>2</v>
      </c>
      <c r="E791" s="15" t="s">
        <v>5998</v>
      </c>
    </row>
    <row r="792" customFormat="false" ht="15" hidden="false" customHeight="false" outlineLevel="0" collapsed="false">
      <c r="A792" s="15" t="s">
        <v>3443</v>
      </c>
      <c r="B792" s="15" t="s">
        <v>3444</v>
      </c>
      <c r="C792" s="15" t="s">
        <v>5999</v>
      </c>
      <c r="D792" s="34" t="n">
        <f aca="false">Activities!N312</f>
        <v>2</v>
      </c>
      <c r="E792" s="15" t="s">
        <v>5998</v>
      </c>
    </row>
    <row r="793" customFormat="false" ht="15" hidden="false" customHeight="false" outlineLevel="0" collapsed="false">
      <c r="A793" s="15" t="s">
        <v>3397</v>
      </c>
      <c r="B793" s="15" t="s">
        <v>3444</v>
      </c>
      <c r="C793" s="15" t="s">
        <v>5995</v>
      </c>
      <c r="D793" s="34" t="n">
        <v>0</v>
      </c>
      <c r="E793" s="15" t="s">
        <v>6007</v>
      </c>
    </row>
    <row r="794" customFormat="false" ht="15" hidden="false" customHeight="false" outlineLevel="0" collapsed="false">
      <c r="A794" s="15" t="s">
        <v>3425</v>
      </c>
      <c r="B794" s="15" t="s">
        <v>3444</v>
      </c>
      <c r="C794" s="15" t="s">
        <v>5995</v>
      </c>
      <c r="D794" s="34" t="n">
        <v>0</v>
      </c>
      <c r="E794" s="15" t="s">
        <v>6005</v>
      </c>
    </row>
    <row r="795" customFormat="false" ht="15" hidden="false" customHeight="false" outlineLevel="0" collapsed="false">
      <c r="A795" s="15" t="s">
        <v>3395</v>
      </c>
      <c r="B795" s="15" t="s">
        <v>3444</v>
      </c>
      <c r="C795" s="15" t="s">
        <v>5995</v>
      </c>
      <c r="D795" s="34" t="n">
        <v>0</v>
      </c>
      <c r="E795" s="15" t="s">
        <v>6005</v>
      </c>
    </row>
    <row r="796" customFormat="false" ht="15" hidden="false" customHeight="false" outlineLevel="0" collapsed="false">
      <c r="A796" s="15" t="s">
        <v>3444</v>
      </c>
      <c r="B796" s="15" t="s">
        <v>3446</v>
      </c>
      <c r="C796" s="15" t="s">
        <v>5997</v>
      </c>
      <c r="D796" s="34" t="n">
        <f aca="false">Activities!M313</f>
        <v>1</v>
      </c>
      <c r="E796" s="15" t="s">
        <v>5998</v>
      </c>
    </row>
    <row r="797" customFormat="false" ht="15" hidden="false" customHeight="false" outlineLevel="0" collapsed="false">
      <c r="A797" s="15" t="s">
        <v>3444</v>
      </c>
      <c r="B797" s="15" t="s">
        <v>3446</v>
      </c>
      <c r="C797" s="15" t="s">
        <v>5999</v>
      </c>
      <c r="D797" s="34" t="n">
        <f aca="false">Activities!N313</f>
        <v>2</v>
      </c>
      <c r="E797" s="15" t="s">
        <v>5998</v>
      </c>
    </row>
    <row r="798" customFormat="false" ht="15" hidden="false" customHeight="false" outlineLevel="0" collapsed="false">
      <c r="A798" s="15" t="s">
        <v>3447</v>
      </c>
      <c r="B798" s="15" t="s">
        <v>3449</v>
      </c>
      <c r="C798" s="15" t="s">
        <v>5995</v>
      </c>
      <c r="D798" s="34" t="n">
        <v>0</v>
      </c>
      <c r="E798" s="15" t="s">
        <v>5996</v>
      </c>
    </row>
    <row r="799" customFormat="false" ht="15" hidden="false" customHeight="false" outlineLevel="0" collapsed="false">
      <c r="A799" s="15" t="s">
        <v>3435</v>
      </c>
      <c r="B799" s="15" t="s">
        <v>3449</v>
      </c>
      <c r="C799" s="15" t="s">
        <v>5997</v>
      </c>
      <c r="D799" s="34" t="n">
        <v>0</v>
      </c>
      <c r="E799" s="15" t="s">
        <v>6000</v>
      </c>
    </row>
    <row r="800" customFormat="false" ht="15" hidden="false" customHeight="false" outlineLevel="0" collapsed="false">
      <c r="A800" s="15" t="s">
        <v>3449</v>
      </c>
      <c r="B800" s="15" t="s">
        <v>3451</v>
      </c>
      <c r="C800" s="15" t="s">
        <v>5997</v>
      </c>
      <c r="D800" s="34" t="n">
        <f aca="false">Activities!M316</f>
        <v>1</v>
      </c>
      <c r="E800" s="15" t="s">
        <v>5998</v>
      </c>
    </row>
    <row r="801" customFormat="false" ht="15" hidden="false" customHeight="false" outlineLevel="0" collapsed="false">
      <c r="A801" s="15" t="s">
        <v>3449</v>
      </c>
      <c r="B801" s="15" t="s">
        <v>3451</v>
      </c>
      <c r="C801" s="15" t="s">
        <v>5999</v>
      </c>
      <c r="D801" s="34" t="n">
        <f aca="false">Activities!N316</f>
        <v>2</v>
      </c>
      <c r="E801" s="15" t="s">
        <v>5998</v>
      </c>
    </row>
    <row r="802" customFormat="false" ht="15" hidden="false" customHeight="false" outlineLevel="0" collapsed="false">
      <c r="A802" s="15" t="s">
        <v>3451</v>
      </c>
      <c r="B802" s="15" t="s">
        <v>3452</v>
      </c>
      <c r="C802" s="15" t="s">
        <v>5997</v>
      </c>
      <c r="D802" s="34" t="n">
        <f aca="false">Activities!M317</f>
        <v>1</v>
      </c>
      <c r="E802" s="15" t="s">
        <v>5998</v>
      </c>
    </row>
    <row r="803" customFormat="false" ht="15" hidden="false" customHeight="false" outlineLevel="0" collapsed="false">
      <c r="A803" s="15" t="s">
        <v>3451</v>
      </c>
      <c r="B803" s="15" t="s">
        <v>3452</v>
      </c>
      <c r="C803" s="15" t="s">
        <v>5999</v>
      </c>
      <c r="D803" s="34" t="n">
        <f aca="false">Activities!N317</f>
        <v>0</v>
      </c>
      <c r="E803" s="15" t="s">
        <v>5998</v>
      </c>
    </row>
    <row r="804" customFormat="false" ht="15" hidden="false" customHeight="false" outlineLevel="0" collapsed="false">
      <c r="A804" s="15" t="s">
        <v>3452</v>
      </c>
      <c r="B804" s="15" t="s">
        <v>3453</v>
      </c>
      <c r="C804" s="15" t="s">
        <v>5997</v>
      </c>
      <c r="D804" s="34" t="n">
        <f aca="false">Activities!M318</f>
        <v>0</v>
      </c>
      <c r="E804" s="15" t="s">
        <v>5998</v>
      </c>
    </row>
    <row r="805" customFormat="false" ht="15" hidden="false" customHeight="false" outlineLevel="0" collapsed="false">
      <c r="A805" s="15" t="s">
        <v>3452</v>
      </c>
      <c r="B805" s="15" t="s">
        <v>3453</v>
      </c>
      <c r="C805" s="15" t="s">
        <v>5999</v>
      </c>
      <c r="D805" s="34" t="n">
        <f aca="false">Activities!N318</f>
        <v>2</v>
      </c>
      <c r="E805" s="15" t="s">
        <v>5998</v>
      </c>
    </row>
    <row r="806" customFormat="false" ht="15" hidden="false" customHeight="false" outlineLevel="0" collapsed="false">
      <c r="A806" s="15" t="s">
        <v>3453</v>
      </c>
      <c r="B806" s="15" t="s">
        <v>3454</v>
      </c>
      <c r="C806" s="15" t="s">
        <v>5997</v>
      </c>
      <c r="D806" s="34" t="n">
        <f aca="false">Activities!M319</f>
        <v>10</v>
      </c>
      <c r="E806" s="15" t="s">
        <v>5998</v>
      </c>
    </row>
    <row r="807" customFormat="false" ht="15" hidden="false" customHeight="false" outlineLevel="0" collapsed="false">
      <c r="A807" s="15" t="s">
        <v>3453</v>
      </c>
      <c r="B807" s="15" t="s">
        <v>3454</v>
      </c>
      <c r="C807" s="15" t="s">
        <v>5999</v>
      </c>
      <c r="D807" s="34" t="n">
        <f aca="false">Activities!N319</f>
        <v>2</v>
      </c>
      <c r="E807" s="15" t="s">
        <v>5998</v>
      </c>
    </row>
    <row r="808" customFormat="false" ht="15" hidden="false" customHeight="false" outlineLevel="0" collapsed="false">
      <c r="A808" s="15" t="s">
        <v>3215</v>
      </c>
      <c r="B808" s="15" t="s">
        <v>3454</v>
      </c>
      <c r="C808" s="15" t="s">
        <v>5995</v>
      </c>
      <c r="D808" s="34" t="n">
        <v>0</v>
      </c>
      <c r="E808" s="15" t="s">
        <v>6008</v>
      </c>
    </row>
    <row r="809" customFormat="false" ht="15" hidden="false" customHeight="false" outlineLevel="0" collapsed="false">
      <c r="A809" s="15" t="s">
        <v>3422</v>
      </c>
      <c r="B809" s="15" t="s">
        <v>3454</v>
      </c>
      <c r="C809" s="15" t="s">
        <v>5997</v>
      </c>
      <c r="D809" s="34" t="n">
        <v>0</v>
      </c>
      <c r="E809" s="15" t="s">
        <v>6006</v>
      </c>
    </row>
    <row r="810" customFormat="false" ht="15" hidden="false" customHeight="false" outlineLevel="0" collapsed="false">
      <c r="A810" s="15" t="s">
        <v>3392</v>
      </c>
      <c r="B810" s="15" t="s">
        <v>3454</v>
      </c>
      <c r="C810" s="15" t="s">
        <v>5997</v>
      </c>
      <c r="D810" s="34" t="n">
        <v>0</v>
      </c>
      <c r="E810" s="15" t="s">
        <v>6006</v>
      </c>
    </row>
    <row r="811" customFormat="false" ht="15" hidden="false" customHeight="false" outlineLevel="0" collapsed="false">
      <c r="A811" s="15" t="s">
        <v>3454</v>
      </c>
      <c r="B811" s="15" t="s">
        <v>3456</v>
      </c>
      <c r="C811" s="15" t="s">
        <v>5997</v>
      </c>
      <c r="D811" s="34" t="n">
        <f aca="false">Activities!M320</f>
        <v>1</v>
      </c>
      <c r="E811" s="15" t="s">
        <v>5998</v>
      </c>
    </row>
    <row r="812" customFormat="false" ht="15" hidden="false" customHeight="false" outlineLevel="0" collapsed="false">
      <c r="A812" s="15" t="s">
        <v>3454</v>
      </c>
      <c r="B812" s="15" t="s">
        <v>3456</v>
      </c>
      <c r="C812" s="15" t="s">
        <v>5999</v>
      </c>
      <c r="D812" s="34" t="n">
        <f aca="false">Activities!N320</f>
        <v>2</v>
      </c>
      <c r="E812" s="15" t="s">
        <v>5998</v>
      </c>
    </row>
    <row r="813" customFormat="false" ht="15" hidden="false" customHeight="false" outlineLevel="0" collapsed="false">
      <c r="A813" s="15" t="s">
        <v>3456</v>
      </c>
      <c r="B813" s="15" t="s">
        <v>3457</v>
      </c>
      <c r="C813" s="15" t="s">
        <v>5997</v>
      </c>
      <c r="D813" s="34" t="n">
        <f aca="false">Activities!M321</f>
        <v>2</v>
      </c>
      <c r="E813" s="15" t="s">
        <v>5998</v>
      </c>
    </row>
    <row r="814" customFormat="false" ht="15" hidden="false" customHeight="false" outlineLevel="0" collapsed="false">
      <c r="A814" s="15" t="s">
        <v>3456</v>
      </c>
      <c r="B814" s="15" t="s">
        <v>3457</v>
      </c>
      <c r="C814" s="15" t="s">
        <v>5999</v>
      </c>
      <c r="D814" s="34" t="n">
        <f aca="false">Activities!N321</f>
        <v>2</v>
      </c>
      <c r="E814" s="15" t="s">
        <v>5998</v>
      </c>
    </row>
    <row r="815" customFormat="false" ht="15" hidden="false" customHeight="false" outlineLevel="0" collapsed="false">
      <c r="A815" s="15" t="s">
        <v>3442</v>
      </c>
      <c r="B815" s="15" t="s">
        <v>3457</v>
      </c>
      <c r="C815" s="15" t="s">
        <v>5995</v>
      </c>
      <c r="D815" s="34" t="n">
        <v>0</v>
      </c>
      <c r="E815" s="15" t="s">
        <v>6001</v>
      </c>
    </row>
    <row r="816" customFormat="false" ht="15" hidden="false" customHeight="false" outlineLevel="0" collapsed="false">
      <c r="A816" s="15" t="s">
        <v>3457</v>
      </c>
      <c r="B816" s="15" t="s">
        <v>3459</v>
      </c>
      <c r="C816" s="15" t="s">
        <v>5997</v>
      </c>
      <c r="D816" s="34" t="n">
        <f aca="false">Activities!M322</f>
        <v>2</v>
      </c>
      <c r="E816" s="15" t="s">
        <v>5998</v>
      </c>
    </row>
    <row r="817" customFormat="false" ht="15" hidden="false" customHeight="false" outlineLevel="0" collapsed="false">
      <c r="A817" s="15" t="s">
        <v>3457</v>
      </c>
      <c r="B817" s="15" t="s">
        <v>3459</v>
      </c>
      <c r="C817" s="15" t="s">
        <v>5999</v>
      </c>
      <c r="D817" s="34" t="n">
        <f aca="false">Activities!N322</f>
        <v>2</v>
      </c>
      <c r="E817" s="15" t="s">
        <v>5998</v>
      </c>
    </row>
    <row r="818" customFormat="false" ht="15" hidden="false" customHeight="false" outlineLevel="0" collapsed="false">
      <c r="A818" s="15" t="s">
        <v>3459</v>
      </c>
      <c r="B818" s="15" t="s">
        <v>3460</v>
      </c>
      <c r="C818" s="15" t="s">
        <v>5997</v>
      </c>
      <c r="D818" s="34" t="n">
        <f aca="false">Activities!M323</f>
        <v>2</v>
      </c>
      <c r="E818" s="15" t="s">
        <v>5998</v>
      </c>
    </row>
    <row r="819" customFormat="false" ht="15" hidden="false" customHeight="false" outlineLevel="0" collapsed="false">
      <c r="A819" s="15" t="s">
        <v>3459</v>
      </c>
      <c r="B819" s="15" t="s">
        <v>3460</v>
      </c>
      <c r="C819" s="15" t="s">
        <v>5999</v>
      </c>
      <c r="D819" s="34" t="n">
        <f aca="false">Activities!N323</f>
        <v>2</v>
      </c>
      <c r="E819" s="15" t="s">
        <v>5998</v>
      </c>
    </row>
    <row r="820" customFormat="false" ht="15" hidden="false" customHeight="false" outlineLevel="0" collapsed="false">
      <c r="A820" s="15" t="s">
        <v>3425</v>
      </c>
      <c r="B820" s="15" t="s">
        <v>3460</v>
      </c>
      <c r="C820" s="15" t="s">
        <v>5995</v>
      </c>
      <c r="D820" s="34" t="n">
        <v>0</v>
      </c>
      <c r="E820" s="15" t="s">
        <v>6005</v>
      </c>
    </row>
    <row r="821" customFormat="false" ht="15" hidden="false" customHeight="false" outlineLevel="0" collapsed="false">
      <c r="A821" s="15" t="s">
        <v>3395</v>
      </c>
      <c r="B821" s="15" t="s">
        <v>3460</v>
      </c>
      <c r="C821" s="15" t="s">
        <v>5995</v>
      </c>
      <c r="D821" s="34" t="n">
        <v>0</v>
      </c>
      <c r="E821" s="15" t="s">
        <v>6005</v>
      </c>
    </row>
    <row r="822" customFormat="false" ht="15" hidden="false" customHeight="false" outlineLevel="0" collapsed="false">
      <c r="A822" s="15" t="s">
        <v>3460</v>
      </c>
      <c r="B822" s="15" t="s">
        <v>3461</v>
      </c>
      <c r="C822" s="15" t="s">
        <v>5997</v>
      </c>
      <c r="D822" s="34" t="n">
        <f aca="false">Activities!M324</f>
        <v>1</v>
      </c>
      <c r="E822" s="15" t="s">
        <v>5998</v>
      </c>
    </row>
    <row r="823" customFormat="false" ht="15" hidden="false" customHeight="false" outlineLevel="0" collapsed="false">
      <c r="A823" s="15" t="s">
        <v>3460</v>
      </c>
      <c r="B823" s="15" t="s">
        <v>3461</v>
      </c>
      <c r="C823" s="15" t="s">
        <v>5999</v>
      </c>
      <c r="D823" s="34" t="n">
        <f aca="false">Activities!N324</f>
        <v>2</v>
      </c>
      <c r="E823" s="15" t="s">
        <v>5998</v>
      </c>
    </row>
    <row r="824" customFormat="false" ht="15" hidden="false" customHeight="false" outlineLevel="0" collapsed="false">
      <c r="A824" s="15" t="s">
        <v>3462</v>
      </c>
      <c r="B824" s="15" t="s">
        <v>3464</v>
      </c>
      <c r="C824" s="15" t="s">
        <v>5995</v>
      </c>
      <c r="D824" s="34" t="n">
        <v>0</v>
      </c>
      <c r="E824" s="15" t="s">
        <v>5996</v>
      </c>
    </row>
    <row r="825" customFormat="false" ht="15" hidden="false" customHeight="false" outlineLevel="0" collapsed="false">
      <c r="A825" s="15" t="s">
        <v>3464</v>
      </c>
      <c r="B825" s="15" t="s">
        <v>3465</v>
      </c>
      <c r="C825" s="15" t="s">
        <v>5997</v>
      </c>
      <c r="D825" s="34" t="n">
        <f aca="false">Activities!M327</f>
        <v>1</v>
      </c>
      <c r="E825" s="15" t="s">
        <v>5998</v>
      </c>
    </row>
    <row r="826" customFormat="false" ht="15" hidden="false" customHeight="false" outlineLevel="0" collapsed="false">
      <c r="A826" s="15" t="s">
        <v>3464</v>
      </c>
      <c r="B826" s="15" t="s">
        <v>3465</v>
      </c>
      <c r="C826" s="15" t="s">
        <v>5999</v>
      </c>
      <c r="D826" s="34" t="n">
        <f aca="false">Activities!N327</f>
        <v>2</v>
      </c>
      <c r="E826" s="15" t="s">
        <v>5998</v>
      </c>
    </row>
    <row r="827" customFormat="false" ht="15" hidden="false" customHeight="false" outlineLevel="0" collapsed="false">
      <c r="A827" s="15" t="s">
        <v>3465</v>
      </c>
      <c r="B827" s="15" t="s">
        <v>3466</v>
      </c>
      <c r="C827" s="15" t="s">
        <v>5997</v>
      </c>
      <c r="D827" s="34" t="n">
        <f aca="false">Activities!M328</f>
        <v>3</v>
      </c>
      <c r="E827" s="15" t="s">
        <v>5998</v>
      </c>
    </row>
    <row r="828" customFormat="false" ht="15" hidden="false" customHeight="false" outlineLevel="0" collapsed="false">
      <c r="A828" s="15" t="s">
        <v>3465</v>
      </c>
      <c r="B828" s="15" t="s">
        <v>3466</v>
      </c>
      <c r="C828" s="15" t="s">
        <v>5999</v>
      </c>
      <c r="D828" s="34" t="n">
        <f aca="false">Activities!N328</f>
        <v>2</v>
      </c>
      <c r="E828" s="15" t="s">
        <v>5998</v>
      </c>
    </row>
    <row r="829" customFormat="false" ht="15" hidden="false" customHeight="false" outlineLevel="0" collapsed="false">
      <c r="A829" s="15" t="s">
        <v>3466</v>
      </c>
      <c r="B829" s="15" t="s">
        <v>3467</v>
      </c>
      <c r="C829" s="15" t="s">
        <v>5997</v>
      </c>
      <c r="D829" s="34" t="n">
        <f aca="false">Activities!M329</f>
        <v>2</v>
      </c>
      <c r="E829" s="15" t="s">
        <v>5998</v>
      </c>
    </row>
    <row r="830" customFormat="false" ht="15" hidden="false" customHeight="false" outlineLevel="0" collapsed="false">
      <c r="A830" s="15" t="s">
        <v>3466</v>
      </c>
      <c r="B830" s="15" t="s">
        <v>3467</v>
      </c>
      <c r="C830" s="15" t="s">
        <v>5999</v>
      </c>
      <c r="D830" s="34" t="n">
        <f aca="false">Activities!N329</f>
        <v>2</v>
      </c>
      <c r="E830" s="15" t="s">
        <v>5998</v>
      </c>
    </row>
    <row r="831" customFormat="false" ht="15" hidden="false" customHeight="false" outlineLevel="0" collapsed="false">
      <c r="A831" s="15" t="s">
        <v>3467</v>
      </c>
      <c r="B831" s="15" t="s">
        <v>3468</v>
      </c>
      <c r="C831" s="15" t="s">
        <v>5997</v>
      </c>
      <c r="D831" s="34" t="n">
        <f aca="false">Activities!M330</f>
        <v>10</v>
      </c>
      <c r="E831" s="15" t="s">
        <v>5998</v>
      </c>
    </row>
    <row r="832" customFormat="false" ht="15" hidden="false" customHeight="false" outlineLevel="0" collapsed="false">
      <c r="A832" s="15" t="s">
        <v>3467</v>
      </c>
      <c r="B832" s="15" t="s">
        <v>3468</v>
      </c>
      <c r="C832" s="15" t="s">
        <v>5999</v>
      </c>
      <c r="D832" s="34" t="n">
        <f aca="false">Activities!N330</f>
        <v>2</v>
      </c>
      <c r="E832" s="15" t="s">
        <v>5998</v>
      </c>
    </row>
    <row r="833" customFormat="false" ht="15" hidden="false" customHeight="false" outlineLevel="0" collapsed="false">
      <c r="A833" s="15" t="s">
        <v>3988</v>
      </c>
      <c r="B833" s="15" t="s">
        <v>3468</v>
      </c>
      <c r="C833" s="15" t="s">
        <v>5995</v>
      </c>
      <c r="D833" s="34" t="n">
        <v>0</v>
      </c>
      <c r="E833" s="15" t="s">
        <v>6008</v>
      </c>
    </row>
    <row r="834" customFormat="false" ht="15" hidden="false" customHeight="false" outlineLevel="0" collapsed="false">
      <c r="A834" s="15" t="s">
        <v>3468</v>
      </c>
      <c r="B834" s="15" t="s">
        <v>3470</v>
      </c>
      <c r="C834" s="15" t="s">
        <v>5997</v>
      </c>
      <c r="D834" s="34" t="n">
        <f aca="false">Activities!M331</f>
        <v>2</v>
      </c>
      <c r="E834" s="15" t="s">
        <v>5998</v>
      </c>
    </row>
    <row r="835" customFormat="false" ht="15" hidden="false" customHeight="false" outlineLevel="0" collapsed="false">
      <c r="A835" s="15" t="s">
        <v>3468</v>
      </c>
      <c r="B835" s="15" t="s">
        <v>3470</v>
      </c>
      <c r="C835" s="15" t="s">
        <v>5999</v>
      </c>
      <c r="D835" s="34" t="n">
        <f aca="false">Activities!N331</f>
        <v>2</v>
      </c>
      <c r="E835" s="15" t="s">
        <v>5998</v>
      </c>
    </row>
    <row r="836" customFormat="false" ht="15" hidden="false" customHeight="false" outlineLevel="0" collapsed="false">
      <c r="A836" s="15" t="s">
        <v>3470</v>
      </c>
      <c r="B836" s="15" t="s">
        <v>3471</v>
      </c>
      <c r="C836" s="15" t="s">
        <v>5997</v>
      </c>
      <c r="D836" s="34" t="n">
        <f aca="false">Activities!M332</f>
        <v>3</v>
      </c>
      <c r="E836" s="15" t="s">
        <v>5998</v>
      </c>
    </row>
    <row r="837" customFormat="false" ht="15" hidden="false" customHeight="false" outlineLevel="0" collapsed="false">
      <c r="A837" s="15" t="s">
        <v>3470</v>
      </c>
      <c r="B837" s="15" t="s">
        <v>3471</v>
      </c>
      <c r="C837" s="15" t="s">
        <v>5999</v>
      </c>
      <c r="D837" s="34" t="n">
        <f aca="false">Activities!N332</f>
        <v>2</v>
      </c>
      <c r="E837" s="15" t="s">
        <v>5998</v>
      </c>
    </row>
    <row r="838" customFormat="false" ht="15" hidden="false" customHeight="false" outlineLevel="0" collapsed="false">
      <c r="A838" s="15" t="s">
        <v>3471</v>
      </c>
      <c r="B838" s="15" t="s">
        <v>3472</v>
      </c>
      <c r="C838" s="15" t="s">
        <v>5997</v>
      </c>
      <c r="D838" s="34" t="n">
        <f aca="false">Activities!M333</f>
        <v>2</v>
      </c>
      <c r="E838" s="15" t="s">
        <v>5998</v>
      </c>
    </row>
    <row r="839" customFormat="false" ht="15" hidden="false" customHeight="false" outlineLevel="0" collapsed="false">
      <c r="A839" s="15" t="s">
        <v>3471</v>
      </c>
      <c r="B839" s="15" t="s">
        <v>3472</v>
      </c>
      <c r="C839" s="15" t="s">
        <v>5999</v>
      </c>
      <c r="D839" s="34" t="n">
        <f aca="false">Activities!N333</f>
        <v>2</v>
      </c>
      <c r="E839" s="15" t="s">
        <v>5998</v>
      </c>
    </row>
    <row r="840" customFormat="false" ht="15" hidden="false" customHeight="false" outlineLevel="0" collapsed="false">
      <c r="A840" s="15" t="s">
        <v>3472</v>
      </c>
      <c r="B840" s="15" t="s">
        <v>3473</v>
      </c>
      <c r="C840" s="15" t="s">
        <v>5997</v>
      </c>
      <c r="D840" s="34" t="n">
        <f aca="false">Activities!M334</f>
        <v>2</v>
      </c>
      <c r="E840" s="15" t="s">
        <v>5998</v>
      </c>
    </row>
    <row r="841" customFormat="false" ht="15" hidden="false" customHeight="false" outlineLevel="0" collapsed="false">
      <c r="A841" s="15" t="s">
        <v>3472</v>
      </c>
      <c r="B841" s="15" t="s">
        <v>3473</v>
      </c>
      <c r="C841" s="15" t="s">
        <v>5999</v>
      </c>
      <c r="D841" s="34" t="n">
        <f aca="false">Activities!N334</f>
        <v>2</v>
      </c>
      <c r="E841" s="15" t="s">
        <v>5998</v>
      </c>
    </row>
    <row r="842" customFormat="false" ht="15" hidden="false" customHeight="false" outlineLevel="0" collapsed="false">
      <c r="A842" s="15" t="s">
        <v>3473</v>
      </c>
      <c r="B842" s="15" t="s">
        <v>3474</v>
      </c>
      <c r="C842" s="15" t="s">
        <v>5997</v>
      </c>
      <c r="D842" s="34" t="n">
        <f aca="false">Activities!M335</f>
        <v>1</v>
      </c>
      <c r="E842" s="15" t="s">
        <v>5998</v>
      </c>
    </row>
    <row r="843" customFormat="false" ht="15" hidden="false" customHeight="false" outlineLevel="0" collapsed="false">
      <c r="A843" s="15" t="s">
        <v>3473</v>
      </c>
      <c r="B843" s="15" t="s">
        <v>3474</v>
      </c>
      <c r="C843" s="15" t="s">
        <v>5999</v>
      </c>
      <c r="D843" s="34" t="n">
        <f aca="false">Activities!N335</f>
        <v>2</v>
      </c>
      <c r="E843" s="15" t="s">
        <v>5998</v>
      </c>
    </row>
    <row r="844" customFormat="false" ht="15" hidden="false" customHeight="false" outlineLevel="0" collapsed="false">
      <c r="A844" s="15" t="s">
        <v>3475</v>
      </c>
      <c r="B844" s="15" t="s">
        <v>3477</v>
      </c>
      <c r="C844" s="15" t="s">
        <v>5995</v>
      </c>
      <c r="D844" s="34" t="n">
        <v>0</v>
      </c>
      <c r="E844" s="15" t="s">
        <v>5996</v>
      </c>
    </row>
    <row r="845" customFormat="false" ht="15" hidden="false" customHeight="false" outlineLevel="0" collapsed="false">
      <c r="A845" s="15" t="s">
        <v>3465</v>
      </c>
      <c r="B845" s="15" t="s">
        <v>3477</v>
      </c>
      <c r="C845" s="15" t="s">
        <v>5997</v>
      </c>
      <c r="D845" s="34" t="n">
        <v>0</v>
      </c>
      <c r="E845" s="15" t="s">
        <v>6000</v>
      </c>
    </row>
    <row r="846" customFormat="false" ht="15" hidden="false" customHeight="false" outlineLevel="0" collapsed="false">
      <c r="A846" s="15" t="s">
        <v>3477</v>
      </c>
      <c r="B846" s="15" t="s">
        <v>3479</v>
      </c>
      <c r="C846" s="15" t="s">
        <v>5997</v>
      </c>
      <c r="D846" s="34" t="n">
        <f aca="false">Activities!M338</f>
        <v>1</v>
      </c>
      <c r="E846" s="15" t="s">
        <v>5998</v>
      </c>
    </row>
    <row r="847" customFormat="false" ht="15" hidden="false" customHeight="false" outlineLevel="0" collapsed="false">
      <c r="A847" s="15" t="s">
        <v>3477</v>
      </c>
      <c r="B847" s="15" t="s">
        <v>3479</v>
      </c>
      <c r="C847" s="15" t="s">
        <v>5999</v>
      </c>
      <c r="D847" s="34" t="n">
        <f aca="false">Activities!N338</f>
        <v>2</v>
      </c>
      <c r="E847" s="15" t="s">
        <v>5998</v>
      </c>
    </row>
    <row r="848" customFormat="false" ht="15" hidden="false" customHeight="false" outlineLevel="0" collapsed="false">
      <c r="A848" s="15" t="s">
        <v>3479</v>
      </c>
      <c r="B848" s="15" t="s">
        <v>3480</v>
      </c>
      <c r="C848" s="15" t="s">
        <v>5997</v>
      </c>
      <c r="D848" s="34" t="n">
        <f aca="false">Activities!M339</f>
        <v>1</v>
      </c>
      <c r="E848" s="15" t="s">
        <v>5998</v>
      </c>
    </row>
    <row r="849" customFormat="false" ht="15" hidden="false" customHeight="false" outlineLevel="0" collapsed="false">
      <c r="A849" s="15" t="s">
        <v>3479</v>
      </c>
      <c r="B849" s="15" t="s">
        <v>3480</v>
      </c>
      <c r="C849" s="15" t="s">
        <v>5999</v>
      </c>
      <c r="D849" s="34" t="n">
        <f aca="false">Activities!N339</f>
        <v>2</v>
      </c>
      <c r="E849" s="15" t="s">
        <v>5998</v>
      </c>
    </row>
    <row r="850" customFormat="false" ht="15" hidden="false" customHeight="false" outlineLevel="0" collapsed="false">
      <c r="A850" s="15" t="s">
        <v>3480</v>
      </c>
      <c r="B850" s="15" t="s">
        <v>3481</v>
      </c>
      <c r="C850" s="15" t="s">
        <v>5997</v>
      </c>
      <c r="D850" s="34" t="n">
        <f aca="false">Activities!M340</f>
        <v>1</v>
      </c>
      <c r="E850" s="15" t="s">
        <v>5998</v>
      </c>
    </row>
    <row r="851" customFormat="false" ht="15" hidden="false" customHeight="false" outlineLevel="0" collapsed="false">
      <c r="A851" s="15" t="s">
        <v>3480</v>
      </c>
      <c r="B851" s="15" t="s">
        <v>3481</v>
      </c>
      <c r="C851" s="15" t="s">
        <v>5999</v>
      </c>
      <c r="D851" s="34" t="n">
        <f aca="false">Activities!N340</f>
        <v>2</v>
      </c>
      <c r="E851" s="15" t="s">
        <v>5998</v>
      </c>
    </row>
    <row r="852" customFormat="false" ht="15" hidden="false" customHeight="false" outlineLevel="0" collapsed="false">
      <c r="A852" s="15" t="s">
        <v>3481</v>
      </c>
      <c r="B852" s="15" t="s">
        <v>3482</v>
      </c>
      <c r="C852" s="15" t="s">
        <v>5997</v>
      </c>
      <c r="D852" s="34" t="n">
        <f aca="false">Activities!M341</f>
        <v>10</v>
      </c>
      <c r="E852" s="15" t="s">
        <v>5998</v>
      </c>
    </row>
    <row r="853" customFormat="false" ht="15" hidden="false" customHeight="false" outlineLevel="0" collapsed="false">
      <c r="A853" s="15" t="s">
        <v>3481</v>
      </c>
      <c r="B853" s="15" t="s">
        <v>3482</v>
      </c>
      <c r="C853" s="15" t="s">
        <v>5999</v>
      </c>
      <c r="D853" s="34" t="n">
        <f aca="false">Activities!N341</f>
        <v>2</v>
      </c>
      <c r="E853" s="15" t="s">
        <v>5998</v>
      </c>
    </row>
    <row r="854" customFormat="false" ht="15" hidden="false" customHeight="false" outlineLevel="0" collapsed="false">
      <c r="A854" s="15" t="s">
        <v>3482</v>
      </c>
      <c r="B854" s="15" t="s">
        <v>3483</v>
      </c>
      <c r="C854" s="15" t="s">
        <v>5997</v>
      </c>
      <c r="D854" s="34" t="n">
        <f aca="false">Activities!M342</f>
        <v>1</v>
      </c>
      <c r="E854" s="15" t="s">
        <v>5998</v>
      </c>
    </row>
    <row r="855" customFormat="false" ht="15" hidden="false" customHeight="false" outlineLevel="0" collapsed="false">
      <c r="A855" s="15" t="s">
        <v>3482</v>
      </c>
      <c r="B855" s="15" t="s">
        <v>3483</v>
      </c>
      <c r="C855" s="15" t="s">
        <v>5999</v>
      </c>
      <c r="D855" s="34" t="n">
        <f aca="false">Activities!N342</f>
        <v>2</v>
      </c>
      <c r="E855" s="15" t="s">
        <v>5998</v>
      </c>
    </row>
    <row r="856" customFormat="false" ht="15" hidden="false" customHeight="false" outlineLevel="0" collapsed="false">
      <c r="A856" s="15" t="s">
        <v>3483</v>
      </c>
      <c r="B856" s="15" t="s">
        <v>3484</v>
      </c>
      <c r="C856" s="15" t="s">
        <v>5997</v>
      </c>
      <c r="D856" s="34" t="n">
        <f aca="false">Activities!M343</f>
        <v>2</v>
      </c>
      <c r="E856" s="15" t="s">
        <v>5998</v>
      </c>
    </row>
    <row r="857" customFormat="false" ht="15" hidden="false" customHeight="false" outlineLevel="0" collapsed="false">
      <c r="A857" s="15" t="s">
        <v>3483</v>
      </c>
      <c r="B857" s="15" t="s">
        <v>3484</v>
      </c>
      <c r="C857" s="15" t="s">
        <v>5999</v>
      </c>
      <c r="D857" s="34" t="n">
        <f aca="false">Activities!N343</f>
        <v>2</v>
      </c>
      <c r="E857" s="15" t="s">
        <v>5998</v>
      </c>
    </row>
    <row r="858" customFormat="false" ht="15" hidden="false" customHeight="false" outlineLevel="0" collapsed="false">
      <c r="A858" s="15" t="s">
        <v>3471</v>
      </c>
      <c r="B858" s="15" t="s">
        <v>3484</v>
      </c>
      <c r="C858" s="15" t="s">
        <v>5995</v>
      </c>
      <c r="D858" s="34" t="n">
        <v>0</v>
      </c>
      <c r="E858" s="15" t="s">
        <v>6001</v>
      </c>
    </row>
    <row r="859" customFormat="false" ht="15" hidden="false" customHeight="false" outlineLevel="0" collapsed="false">
      <c r="A859" s="15" t="s">
        <v>3484</v>
      </c>
      <c r="B859" s="15" t="s">
        <v>3486</v>
      </c>
      <c r="C859" s="15" t="s">
        <v>5997</v>
      </c>
      <c r="D859" s="34" t="n">
        <f aca="false">Activities!M344</f>
        <v>2</v>
      </c>
      <c r="E859" s="15" t="s">
        <v>5998</v>
      </c>
    </row>
    <row r="860" customFormat="false" ht="15" hidden="false" customHeight="false" outlineLevel="0" collapsed="false">
      <c r="A860" s="15" t="s">
        <v>3484</v>
      </c>
      <c r="B860" s="15" t="s">
        <v>3486</v>
      </c>
      <c r="C860" s="15" t="s">
        <v>5999</v>
      </c>
      <c r="D860" s="34" t="n">
        <f aca="false">Activities!N344</f>
        <v>2</v>
      </c>
      <c r="E860" s="15" t="s">
        <v>5998</v>
      </c>
    </row>
    <row r="861" customFormat="false" ht="15" hidden="false" customHeight="false" outlineLevel="0" collapsed="false">
      <c r="A861" s="15" t="s">
        <v>3486</v>
      </c>
      <c r="B861" s="15" t="s">
        <v>3487</v>
      </c>
      <c r="C861" s="15" t="s">
        <v>5997</v>
      </c>
      <c r="D861" s="34" t="n">
        <f aca="false">Activities!M345</f>
        <v>2</v>
      </c>
      <c r="E861" s="15" t="s">
        <v>5998</v>
      </c>
    </row>
    <row r="862" customFormat="false" ht="15" hidden="false" customHeight="false" outlineLevel="0" collapsed="false">
      <c r="A862" s="15" t="s">
        <v>3486</v>
      </c>
      <c r="B862" s="15" t="s">
        <v>3487</v>
      </c>
      <c r="C862" s="15" t="s">
        <v>5999</v>
      </c>
      <c r="D862" s="34" t="n">
        <f aca="false">Activities!N345</f>
        <v>2</v>
      </c>
      <c r="E862" s="15" t="s">
        <v>5998</v>
      </c>
    </row>
    <row r="863" customFormat="false" ht="15" hidden="false" customHeight="false" outlineLevel="0" collapsed="false">
      <c r="A863" s="15" t="s">
        <v>3487</v>
      </c>
      <c r="B863" s="15" t="s">
        <v>3488</v>
      </c>
      <c r="C863" s="15" t="s">
        <v>5997</v>
      </c>
      <c r="D863" s="34" t="n">
        <f aca="false">Activities!M346</f>
        <v>1</v>
      </c>
      <c r="E863" s="15" t="s">
        <v>5998</v>
      </c>
    </row>
    <row r="864" customFormat="false" ht="15" hidden="false" customHeight="false" outlineLevel="0" collapsed="false">
      <c r="A864" s="15" t="s">
        <v>3487</v>
      </c>
      <c r="B864" s="15" t="s">
        <v>3488</v>
      </c>
      <c r="C864" s="15" t="s">
        <v>5999</v>
      </c>
      <c r="D864" s="34" t="n">
        <f aca="false">Activities!N346</f>
        <v>2</v>
      </c>
      <c r="E864" s="15" t="s">
        <v>5998</v>
      </c>
    </row>
    <row r="865" customFormat="false" ht="15" hidden="false" customHeight="false" outlineLevel="0" collapsed="false">
      <c r="A865" s="15" t="s">
        <v>3489</v>
      </c>
      <c r="B865" s="15" t="s">
        <v>3491</v>
      </c>
      <c r="C865" s="15" t="s">
        <v>5995</v>
      </c>
      <c r="D865" s="34" t="n">
        <v>0</v>
      </c>
      <c r="E865" s="15" t="s">
        <v>5996</v>
      </c>
    </row>
    <row r="866" customFormat="false" ht="15" hidden="false" customHeight="false" outlineLevel="0" collapsed="false">
      <c r="A866" s="15" t="s">
        <v>3465</v>
      </c>
      <c r="B866" s="15" t="s">
        <v>3491</v>
      </c>
      <c r="C866" s="15" t="s">
        <v>5997</v>
      </c>
      <c r="D866" s="34" t="n">
        <v>0</v>
      </c>
      <c r="E866" s="15" t="s">
        <v>6002</v>
      </c>
    </row>
    <row r="867" customFormat="false" ht="15" hidden="false" customHeight="false" outlineLevel="0" collapsed="false">
      <c r="A867" s="15" t="s">
        <v>3491</v>
      </c>
      <c r="B867" s="15" t="s">
        <v>3493</v>
      </c>
      <c r="C867" s="15" t="s">
        <v>5997</v>
      </c>
      <c r="D867" s="34" t="n">
        <f aca="false">Activities!M349</f>
        <v>1</v>
      </c>
      <c r="E867" s="15" t="s">
        <v>5998</v>
      </c>
    </row>
    <row r="868" customFormat="false" ht="15" hidden="false" customHeight="false" outlineLevel="0" collapsed="false">
      <c r="A868" s="15" t="s">
        <v>3491</v>
      </c>
      <c r="B868" s="15" t="s">
        <v>3493</v>
      </c>
      <c r="C868" s="15" t="s">
        <v>5999</v>
      </c>
      <c r="D868" s="34" t="n">
        <f aca="false">Activities!N349</f>
        <v>2</v>
      </c>
      <c r="E868" s="15" t="s">
        <v>5998</v>
      </c>
    </row>
    <row r="869" customFormat="false" ht="15" hidden="false" customHeight="false" outlineLevel="0" collapsed="false">
      <c r="A869" s="15" t="s">
        <v>3465</v>
      </c>
      <c r="B869" s="15" t="s">
        <v>3493</v>
      </c>
      <c r="C869" s="15" t="s">
        <v>5995</v>
      </c>
      <c r="D869" s="34" t="n">
        <v>0</v>
      </c>
      <c r="E869" s="15" t="s">
        <v>6009</v>
      </c>
    </row>
    <row r="870" customFormat="false" ht="15" hidden="false" customHeight="false" outlineLevel="0" collapsed="false">
      <c r="A870" s="15" t="s">
        <v>3493</v>
      </c>
      <c r="B870" s="15" t="s">
        <v>3494</v>
      </c>
      <c r="C870" s="15" t="s">
        <v>5997</v>
      </c>
      <c r="D870" s="34" t="n">
        <f aca="false">Activities!M350</f>
        <v>2</v>
      </c>
      <c r="E870" s="15" t="s">
        <v>5998</v>
      </c>
    </row>
    <row r="871" customFormat="false" ht="15" hidden="false" customHeight="false" outlineLevel="0" collapsed="false">
      <c r="A871" s="15" t="s">
        <v>3493</v>
      </c>
      <c r="B871" s="15" t="s">
        <v>3494</v>
      </c>
      <c r="C871" s="15" t="s">
        <v>5999</v>
      </c>
      <c r="D871" s="34" t="n">
        <f aca="false">Activities!N350</f>
        <v>2</v>
      </c>
      <c r="E871" s="15" t="s">
        <v>5998</v>
      </c>
    </row>
    <row r="872" customFormat="false" ht="15" hidden="false" customHeight="false" outlineLevel="0" collapsed="false">
      <c r="A872" s="15" t="s">
        <v>3466</v>
      </c>
      <c r="B872" s="15" t="s">
        <v>3494</v>
      </c>
      <c r="C872" s="15" t="s">
        <v>5995</v>
      </c>
      <c r="D872" s="34" t="n">
        <v>0</v>
      </c>
      <c r="E872" s="15" t="s">
        <v>6009</v>
      </c>
    </row>
    <row r="873" customFormat="false" ht="15" hidden="false" customHeight="false" outlineLevel="0" collapsed="false">
      <c r="A873" s="15" t="s">
        <v>3494</v>
      </c>
      <c r="B873" s="15" t="s">
        <v>3495</v>
      </c>
      <c r="C873" s="15" t="s">
        <v>5997</v>
      </c>
      <c r="D873" s="34" t="n">
        <f aca="false">Activities!M351</f>
        <v>1</v>
      </c>
      <c r="E873" s="15" t="s">
        <v>5998</v>
      </c>
    </row>
    <row r="874" customFormat="false" ht="15" hidden="false" customHeight="false" outlineLevel="0" collapsed="false">
      <c r="A874" s="15" t="s">
        <v>3494</v>
      </c>
      <c r="B874" s="15" t="s">
        <v>3495</v>
      </c>
      <c r="C874" s="15" t="s">
        <v>5999</v>
      </c>
      <c r="D874" s="34" t="n">
        <f aca="false">Activities!N351</f>
        <v>2</v>
      </c>
      <c r="E874" s="15" t="s">
        <v>5998</v>
      </c>
    </row>
    <row r="875" customFormat="false" ht="15" hidden="false" customHeight="false" outlineLevel="0" collapsed="false">
      <c r="A875" s="15" t="s">
        <v>3468</v>
      </c>
      <c r="B875" s="15" t="s">
        <v>3495</v>
      </c>
      <c r="C875" s="15" t="s">
        <v>5995</v>
      </c>
      <c r="D875" s="34" t="n">
        <f aca="false">-Activities!K351</f>
        <v>-10</v>
      </c>
      <c r="E875" s="15" t="s">
        <v>6004</v>
      </c>
    </row>
    <row r="876" customFormat="false" ht="15" hidden="false" customHeight="false" outlineLevel="0" collapsed="false">
      <c r="A876" s="15" t="s">
        <v>3495</v>
      </c>
      <c r="B876" s="15" t="s">
        <v>3497</v>
      </c>
      <c r="C876" s="15" t="s">
        <v>5997</v>
      </c>
      <c r="D876" s="34" t="n">
        <f aca="false">Activities!M352</f>
        <v>10</v>
      </c>
      <c r="E876" s="15" t="s">
        <v>5998</v>
      </c>
    </row>
    <row r="877" customFormat="false" ht="15" hidden="false" customHeight="false" outlineLevel="0" collapsed="false">
      <c r="A877" s="15" t="s">
        <v>3495</v>
      </c>
      <c r="B877" s="15" t="s">
        <v>3497</v>
      </c>
      <c r="C877" s="15" t="s">
        <v>5999</v>
      </c>
      <c r="D877" s="34" t="n">
        <f aca="false">Activities!N352</f>
        <v>2</v>
      </c>
      <c r="E877" s="15" t="s">
        <v>5998</v>
      </c>
    </row>
    <row r="878" customFormat="false" ht="15" hidden="false" customHeight="false" outlineLevel="0" collapsed="false">
      <c r="A878" s="15" t="s">
        <v>3468</v>
      </c>
      <c r="B878" s="15" t="s">
        <v>3497</v>
      </c>
      <c r="C878" s="15" t="s">
        <v>5995</v>
      </c>
      <c r="D878" s="34" t="n">
        <v>0</v>
      </c>
      <c r="E878" s="15" t="s">
        <v>6009</v>
      </c>
    </row>
    <row r="879" customFormat="false" ht="15" hidden="false" customHeight="false" outlineLevel="0" collapsed="false">
      <c r="A879" s="15" t="s">
        <v>3988</v>
      </c>
      <c r="B879" s="15" t="s">
        <v>3497</v>
      </c>
      <c r="C879" s="15" t="s">
        <v>5995</v>
      </c>
      <c r="D879" s="34" t="n">
        <v>0</v>
      </c>
      <c r="E879" s="15" t="s">
        <v>6008</v>
      </c>
    </row>
    <row r="880" customFormat="false" ht="15" hidden="false" customHeight="false" outlineLevel="0" collapsed="false">
      <c r="A880" s="15" t="s">
        <v>3974</v>
      </c>
      <c r="B880" s="15" t="s">
        <v>3497</v>
      </c>
      <c r="C880" s="15" t="s">
        <v>5995</v>
      </c>
      <c r="D880" s="34" t="n">
        <v>0</v>
      </c>
      <c r="E880" s="15" t="s">
        <v>6008</v>
      </c>
    </row>
    <row r="881" customFormat="false" ht="15" hidden="false" customHeight="false" outlineLevel="0" collapsed="false">
      <c r="A881" s="15" t="s">
        <v>5606</v>
      </c>
      <c r="B881" s="15" t="s">
        <v>3497</v>
      </c>
      <c r="C881" s="15" t="s">
        <v>5995</v>
      </c>
      <c r="D881" s="34" t="n">
        <v>0</v>
      </c>
      <c r="E881" s="15" t="s">
        <v>6008</v>
      </c>
    </row>
    <row r="882" customFormat="false" ht="15" hidden="false" customHeight="false" outlineLevel="0" collapsed="false">
      <c r="A882" s="15" t="s">
        <v>5620</v>
      </c>
      <c r="B882" s="15" t="s">
        <v>3497</v>
      </c>
      <c r="C882" s="15" t="s">
        <v>5995</v>
      </c>
      <c r="D882" s="34" t="n">
        <v>0</v>
      </c>
      <c r="E882" s="15" t="s">
        <v>6008</v>
      </c>
    </row>
    <row r="883" customFormat="false" ht="15" hidden="false" customHeight="false" outlineLevel="0" collapsed="false">
      <c r="A883" s="15" t="s">
        <v>5634</v>
      </c>
      <c r="B883" s="15" t="s">
        <v>3497</v>
      </c>
      <c r="C883" s="15" t="s">
        <v>5995</v>
      </c>
      <c r="D883" s="34" t="n">
        <v>0</v>
      </c>
      <c r="E883" s="15" t="s">
        <v>6008</v>
      </c>
    </row>
    <row r="884" customFormat="false" ht="15" hidden="false" customHeight="false" outlineLevel="0" collapsed="false">
      <c r="A884" s="15" t="s">
        <v>3497</v>
      </c>
      <c r="B884" s="15" t="s">
        <v>3499</v>
      </c>
      <c r="C884" s="15" t="s">
        <v>5997</v>
      </c>
      <c r="D884" s="34" t="n">
        <f aca="false">Activities!M353</f>
        <v>1</v>
      </c>
      <c r="E884" s="15" t="s">
        <v>5998</v>
      </c>
    </row>
    <row r="885" customFormat="false" ht="15" hidden="false" customHeight="false" outlineLevel="0" collapsed="false">
      <c r="A885" s="15" t="s">
        <v>3497</v>
      </c>
      <c r="B885" s="15" t="s">
        <v>3499</v>
      </c>
      <c r="C885" s="15" t="s">
        <v>5999</v>
      </c>
      <c r="D885" s="34" t="n">
        <f aca="false">Activities!N353</f>
        <v>2</v>
      </c>
      <c r="E885" s="15" t="s">
        <v>5998</v>
      </c>
    </row>
    <row r="886" customFormat="false" ht="15" hidden="false" customHeight="false" outlineLevel="0" collapsed="false">
      <c r="A886" s="15" t="s">
        <v>3470</v>
      </c>
      <c r="B886" s="15" t="s">
        <v>3499</v>
      </c>
      <c r="C886" s="15" t="s">
        <v>5995</v>
      </c>
      <c r="D886" s="34" t="n">
        <v>0</v>
      </c>
      <c r="E886" s="15" t="s">
        <v>6009</v>
      </c>
    </row>
    <row r="887" customFormat="false" ht="15" hidden="false" customHeight="false" outlineLevel="0" collapsed="false">
      <c r="A887" s="15" t="s">
        <v>3499</v>
      </c>
      <c r="B887" s="15" t="s">
        <v>3500</v>
      </c>
      <c r="C887" s="15" t="s">
        <v>5997</v>
      </c>
      <c r="D887" s="34" t="n">
        <f aca="false">Activities!M354</f>
        <v>3</v>
      </c>
      <c r="E887" s="15" t="s">
        <v>5998</v>
      </c>
    </row>
    <row r="888" customFormat="false" ht="15" hidden="false" customHeight="false" outlineLevel="0" collapsed="false">
      <c r="A888" s="15" t="s">
        <v>3499</v>
      </c>
      <c r="B888" s="15" t="s">
        <v>3500</v>
      </c>
      <c r="C888" s="15" t="s">
        <v>5999</v>
      </c>
      <c r="D888" s="34" t="n">
        <f aca="false">Activities!N354</f>
        <v>2</v>
      </c>
      <c r="E888" s="15" t="s">
        <v>5998</v>
      </c>
    </row>
    <row r="889" customFormat="false" ht="15" hidden="false" customHeight="false" outlineLevel="0" collapsed="false">
      <c r="A889" s="15" t="s">
        <v>3471</v>
      </c>
      <c r="B889" s="15" t="s">
        <v>3500</v>
      </c>
      <c r="C889" s="15" t="s">
        <v>5995</v>
      </c>
      <c r="D889" s="34" t="n">
        <v>0</v>
      </c>
      <c r="E889" s="15" t="s">
        <v>6009</v>
      </c>
    </row>
    <row r="890" customFormat="false" ht="15" hidden="false" customHeight="false" outlineLevel="0" collapsed="false">
      <c r="A890" s="15" t="s">
        <v>3500</v>
      </c>
      <c r="B890" s="15" t="s">
        <v>3501</v>
      </c>
      <c r="C890" s="15" t="s">
        <v>5997</v>
      </c>
      <c r="D890" s="34" t="n">
        <f aca="false">Activities!M355</f>
        <v>2</v>
      </c>
      <c r="E890" s="15" t="s">
        <v>5998</v>
      </c>
    </row>
    <row r="891" customFormat="false" ht="15" hidden="false" customHeight="false" outlineLevel="0" collapsed="false">
      <c r="A891" s="15" t="s">
        <v>3500</v>
      </c>
      <c r="B891" s="15" t="s">
        <v>3501</v>
      </c>
      <c r="C891" s="15" t="s">
        <v>5999</v>
      </c>
      <c r="D891" s="34" t="n">
        <f aca="false">Activities!N355</f>
        <v>2</v>
      </c>
      <c r="E891" s="15" t="s">
        <v>5998</v>
      </c>
    </row>
    <row r="892" customFormat="false" ht="15" hidden="false" customHeight="false" outlineLevel="0" collapsed="false">
      <c r="A892" s="15" t="s">
        <v>3501</v>
      </c>
      <c r="B892" s="15" t="s">
        <v>3502</v>
      </c>
      <c r="C892" s="15" t="s">
        <v>5997</v>
      </c>
      <c r="D892" s="34" t="n">
        <f aca="false">Activities!M356</f>
        <v>2</v>
      </c>
      <c r="E892" s="15" t="s">
        <v>5998</v>
      </c>
    </row>
    <row r="893" customFormat="false" ht="15" hidden="false" customHeight="false" outlineLevel="0" collapsed="false">
      <c r="A893" s="15" t="s">
        <v>3501</v>
      </c>
      <c r="B893" s="15" t="s">
        <v>3502</v>
      </c>
      <c r="C893" s="15" t="s">
        <v>5999</v>
      </c>
      <c r="D893" s="34" t="n">
        <f aca="false">Activities!N356</f>
        <v>2</v>
      </c>
      <c r="E893" s="15" t="s">
        <v>5998</v>
      </c>
    </row>
    <row r="894" customFormat="false" ht="15" hidden="false" customHeight="false" outlineLevel="0" collapsed="false">
      <c r="A894" s="15" t="s">
        <v>3473</v>
      </c>
      <c r="B894" s="15" t="s">
        <v>3502</v>
      </c>
      <c r="C894" s="15" t="s">
        <v>5995</v>
      </c>
      <c r="D894" s="34" t="n">
        <v>0</v>
      </c>
      <c r="E894" s="15" t="s">
        <v>6009</v>
      </c>
    </row>
    <row r="895" customFormat="false" ht="15" hidden="false" customHeight="false" outlineLevel="0" collapsed="false">
      <c r="A895" s="15" t="s">
        <v>3502</v>
      </c>
      <c r="B895" s="15" t="s">
        <v>3503</v>
      </c>
      <c r="C895" s="15" t="s">
        <v>5997</v>
      </c>
      <c r="D895" s="34" t="n">
        <f aca="false">Activities!M357</f>
        <v>1</v>
      </c>
      <c r="E895" s="15" t="s">
        <v>5998</v>
      </c>
    </row>
    <row r="896" customFormat="false" ht="15" hidden="false" customHeight="false" outlineLevel="0" collapsed="false">
      <c r="A896" s="15" t="s">
        <v>3502</v>
      </c>
      <c r="B896" s="15" t="s">
        <v>3503</v>
      </c>
      <c r="C896" s="15" t="s">
        <v>5999</v>
      </c>
      <c r="D896" s="34" t="n">
        <f aca="false">Activities!N357</f>
        <v>2</v>
      </c>
      <c r="E896" s="15" t="s">
        <v>5998</v>
      </c>
    </row>
    <row r="897" customFormat="false" ht="15" hidden="false" customHeight="false" outlineLevel="0" collapsed="false">
      <c r="A897" s="15" t="s">
        <v>3504</v>
      </c>
      <c r="B897" s="15" t="s">
        <v>3506</v>
      </c>
      <c r="C897" s="15" t="s">
        <v>5995</v>
      </c>
      <c r="D897" s="34" t="n">
        <v>0</v>
      </c>
      <c r="E897" s="15" t="s">
        <v>5996</v>
      </c>
    </row>
    <row r="898" customFormat="false" ht="15" hidden="false" customHeight="false" outlineLevel="0" collapsed="false">
      <c r="A898" s="15" t="s">
        <v>3493</v>
      </c>
      <c r="B898" s="15" t="s">
        <v>3506</v>
      </c>
      <c r="C898" s="15" t="s">
        <v>5997</v>
      </c>
      <c r="D898" s="34" t="n">
        <v>0</v>
      </c>
      <c r="E898" s="15" t="s">
        <v>6002</v>
      </c>
    </row>
    <row r="899" customFormat="false" ht="15" hidden="false" customHeight="false" outlineLevel="0" collapsed="false">
      <c r="A899" s="15" t="s">
        <v>3506</v>
      </c>
      <c r="B899" s="15" t="s">
        <v>3508</v>
      </c>
      <c r="C899" s="15" t="s">
        <v>5997</v>
      </c>
      <c r="D899" s="34" t="n">
        <f aca="false">Activities!M360</f>
        <v>1</v>
      </c>
      <c r="E899" s="15" t="s">
        <v>5998</v>
      </c>
    </row>
    <row r="900" customFormat="false" ht="15" hidden="false" customHeight="false" outlineLevel="0" collapsed="false">
      <c r="A900" s="15" t="s">
        <v>3506</v>
      </c>
      <c r="B900" s="15" t="s">
        <v>3508</v>
      </c>
      <c r="C900" s="15" t="s">
        <v>5999</v>
      </c>
      <c r="D900" s="34" t="n">
        <f aca="false">Activities!N360</f>
        <v>2</v>
      </c>
      <c r="E900" s="15" t="s">
        <v>5998</v>
      </c>
    </row>
    <row r="901" customFormat="false" ht="15" hidden="false" customHeight="false" outlineLevel="0" collapsed="false">
      <c r="A901" s="15" t="s">
        <v>3493</v>
      </c>
      <c r="B901" s="15" t="s">
        <v>3508</v>
      </c>
      <c r="C901" s="15" t="s">
        <v>5995</v>
      </c>
      <c r="D901" s="34" t="n">
        <v>0</v>
      </c>
      <c r="E901" s="15" t="s">
        <v>6009</v>
      </c>
    </row>
    <row r="902" customFormat="false" ht="15" hidden="false" customHeight="false" outlineLevel="0" collapsed="false">
      <c r="A902" s="15" t="s">
        <v>3508</v>
      </c>
      <c r="B902" s="15" t="s">
        <v>3509</v>
      </c>
      <c r="C902" s="15" t="s">
        <v>5997</v>
      </c>
      <c r="D902" s="34" t="n">
        <f aca="false">Activities!M361</f>
        <v>6</v>
      </c>
      <c r="E902" s="15" t="s">
        <v>5998</v>
      </c>
    </row>
    <row r="903" customFormat="false" ht="15" hidden="false" customHeight="false" outlineLevel="0" collapsed="false">
      <c r="A903" s="15" t="s">
        <v>3508</v>
      </c>
      <c r="B903" s="15" t="s">
        <v>3509</v>
      </c>
      <c r="C903" s="15" t="s">
        <v>5999</v>
      </c>
      <c r="D903" s="34" t="n">
        <f aca="false">Activities!N361</f>
        <v>2</v>
      </c>
      <c r="E903" s="15" t="s">
        <v>5998</v>
      </c>
    </row>
    <row r="904" customFormat="false" ht="15" hidden="false" customHeight="false" outlineLevel="0" collapsed="false">
      <c r="A904" s="15" t="s">
        <v>3494</v>
      </c>
      <c r="B904" s="15" t="s">
        <v>3509</v>
      </c>
      <c r="C904" s="15" t="s">
        <v>5995</v>
      </c>
      <c r="D904" s="34" t="n">
        <v>0</v>
      </c>
      <c r="E904" s="15" t="s">
        <v>6009</v>
      </c>
    </row>
    <row r="905" customFormat="false" ht="15" hidden="false" customHeight="false" outlineLevel="0" collapsed="false">
      <c r="A905" s="15" t="s">
        <v>3509</v>
      </c>
      <c r="B905" s="15" t="s">
        <v>3510</v>
      </c>
      <c r="C905" s="15" t="s">
        <v>5997</v>
      </c>
      <c r="D905" s="34" t="n">
        <f aca="false">Activities!M362</f>
        <v>4</v>
      </c>
      <c r="E905" s="15" t="s">
        <v>5998</v>
      </c>
    </row>
    <row r="906" customFormat="false" ht="15" hidden="false" customHeight="false" outlineLevel="0" collapsed="false">
      <c r="A906" s="15" t="s">
        <v>3509</v>
      </c>
      <c r="B906" s="15" t="s">
        <v>3510</v>
      </c>
      <c r="C906" s="15" t="s">
        <v>5999</v>
      </c>
      <c r="D906" s="34" t="n">
        <f aca="false">Activities!N362</f>
        <v>2</v>
      </c>
      <c r="E906" s="15" t="s">
        <v>5998</v>
      </c>
    </row>
    <row r="907" customFormat="false" ht="15" hidden="false" customHeight="false" outlineLevel="0" collapsed="false">
      <c r="A907" s="15" t="s">
        <v>3497</v>
      </c>
      <c r="B907" s="15" t="s">
        <v>3510</v>
      </c>
      <c r="C907" s="15" t="s">
        <v>5995</v>
      </c>
      <c r="D907" s="34" t="n">
        <f aca="false">-Activities!K362</f>
        <v>-12</v>
      </c>
      <c r="E907" s="15" t="s">
        <v>6004</v>
      </c>
    </row>
    <row r="908" customFormat="false" ht="15" hidden="false" customHeight="false" outlineLevel="0" collapsed="false">
      <c r="A908" s="15" t="s">
        <v>3510</v>
      </c>
      <c r="B908" s="15" t="s">
        <v>3512</v>
      </c>
      <c r="C908" s="15" t="s">
        <v>5997</v>
      </c>
      <c r="D908" s="34" t="n">
        <f aca="false">Activities!M363</f>
        <v>10</v>
      </c>
      <c r="E908" s="15" t="s">
        <v>5998</v>
      </c>
    </row>
    <row r="909" customFormat="false" ht="15" hidden="false" customHeight="false" outlineLevel="0" collapsed="false">
      <c r="A909" s="15" t="s">
        <v>3510</v>
      </c>
      <c r="B909" s="15" t="s">
        <v>3512</v>
      </c>
      <c r="C909" s="15" t="s">
        <v>5999</v>
      </c>
      <c r="D909" s="34" t="n">
        <f aca="false">Activities!N363</f>
        <v>2</v>
      </c>
      <c r="E909" s="15" t="s">
        <v>5998</v>
      </c>
    </row>
    <row r="910" customFormat="false" ht="15" hidden="false" customHeight="false" outlineLevel="0" collapsed="false">
      <c r="A910" s="15" t="s">
        <v>3497</v>
      </c>
      <c r="B910" s="15" t="s">
        <v>3512</v>
      </c>
      <c r="C910" s="15" t="s">
        <v>5995</v>
      </c>
      <c r="D910" s="34" t="n">
        <v>0</v>
      </c>
      <c r="E910" s="15" t="s">
        <v>6009</v>
      </c>
    </row>
    <row r="911" customFormat="false" ht="15" hidden="false" customHeight="false" outlineLevel="0" collapsed="false">
      <c r="A911" s="15" t="s">
        <v>5606</v>
      </c>
      <c r="B911" s="15" t="s">
        <v>3512</v>
      </c>
      <c r="C911" s="15" t="s">
        <v>5995</v>
      </c>
      <c r="D911" s="34" t="n">
        <v>0</v>
      </c>
      <c r="E911" s="15" t="s">
        <v>6008</v>
      </c>
    </row>
    <row r="912" customFormat="false" ht="15" hidden="false" customHeight="false" outlineLevel="0" collapsed="false">
      <c r="A912" s="15" t="s">
        <v>5620</v>
      </c>
      <c r="B912" s="15" t="s">
        <v>3512</v>
      </c>
      <c r="C912" s="15" t="s">
        <v>5995</v>
      </c>
      <c r="D912" s="34" t="n">
        <v>0</v>
      </c>
      <c r="E912" s="15" t="s">
        <v>6008</v>
      </c>
    </row>
    <row r="913" customFormat="false" ht="15" hidden="false" customHeight="false" outlineLevel="0" collapsed="false">
      <c r="A913" s="15" t="s">
        <v>5634</v>
      </c>
      <c r="B913" s="15" t="s">
        <v>3512</v>
      </c>
      <c r="C913" s="15" t="s">
        <v>5995</v>
      </c>
      <c r="D913" s="34" t="n">
        <v>0</v>
      </c>
      <c r="E913" s="15" t="s">
        <v>6008</v>
      </c>
    </row>
    <row r="914" customFormat="false" ht="15" hidden="false" customHeight="false" outlineLevel="0" collapsed="false">
      <c r="A914" s="15" t="s">
        <v>3512</v>
      </c>
      <c r="B914" s="15" t="s">
        <v>3514</v>
      </c>
      <c r="C914" s="15" t="s">
        <v>5997</v>
      </c>
      <c r="D914" s="34" t="n">
        <f aca="false">Activities!M364</f>
        <v>3</v>
      </c>
      <c r="E914" s="15" t="s">
        <v>5998</v>
      </c>
    </row>
    <row r="915" customFormat="false" ht="15" hidden="false" customHeight="false" outlineLevel="0" collapsed="false">
      <c r="A915" s="15" t="s">
        <v>3512</v>
      </c>
      <c r="B915" s="15" t="s">
        <v>3514</v>
      </c>
      <c r="C915" s="15" t="s">
        <v>5999</v>
      </c>
      <c r="D915" s="34" t="n">
        <f aca="false">Activities!N364</f>
        <v>2</v>
      </c>
      <c r="E915" s="15" t="s">
        <v>5998</v>
      </c>
    </row>
    <row r="916" customFormat="false" ht="15" hidden="false" customHeight="false" outlineLevel="0" collapsed="false">
      <c r="A916" s="15" t="s">
        <v>3499</v>
      </c>
      <c r="B916" s="15" t="s">
        <v>3514</v>
      </c>
      <c r="C916" s="15" t="s">
        <v>5995</v>
      </c>
      <c r="D916" s="34" t="n">
        <v>0</v>
      </c>
      <c r="E916" s="15" t="s">
        <v>6009</v>
      </c>
    </row>
    <row r="917" customFormat="false" ht="15" hidden="false" customHeight="false" outlineLevel="0" collapsed="false">
      <c r="A917" s="15" t="s">
        <v>3514</v>
      </c>
      <c r="B917" s="15" t="s">
        <v>3515</v>
      </c>
      <c r="C917" s="15" t="s">
        <v>5997</v>
      </c>
      <c r="D917" s="34" t="n">
        <f aca="false">Activities!M365</f>
        <v>5</v>
      </c>
      <c r="E917" s="15" t="s">
        <v>5998</v>
      </c>
    </row>
    <row r="918" customFormat="false" ht="15" hidden="false" customHeight="false" outlineLevel="0" collapsed="false">
      <c r="A918" s="15" t="s">
        <v>3514</v>
      </c>
      <c r="B918" s="15" t="s">
        <v>3515</v>
      </c>
      <c r="C918" s="15" t="s">
        <v>5999</v>
      </c>
      <c r="D918" s="34" t="n">
        <f aca="false">Activities!N365</f>
        <v>2</v>
      </c>
      <c r="E918" s="15" t="s">
        <v>5998</v>
      </c>
    </row>
    <row r="919" customFormat="false" ht="15" hidden="false" customHeight="false" outlineLevel="0" collapsed="false">
      <c r="A919" s="15" t="s">
        <v>3500</v>
      </c>
      <c r="B919" s="15" t="s">
        <v>3515</v>
      </c>
      <c r="C919" s="15" t="s">
        <v>5995</v>
      </c>
      <c r="D919" s="34" t="n">
        <v>0</v>
      </c>
      <c r="E919" s="15" t="s">
        <v>6009</v>
      </c>
    </row>
    <row r="920" customFormat="false" ht="15" hidden="false" customHeight="false" outlineLevel="0" collapsed="false">
      <c r="A920" s="15" t="s">
        <v>3515</v>
      </c>
      <c r="B920" s="15" t="s">
        <v>3516</v>
      </c>
      <c r="C920" s="15" t="s">
        <v>5997</v>
      </c>
      <c r="D920" s="34" t="n">
        <f aca="false">Activities!M366</f>
        <v>3</v>
      </c>
      <c r="E920" s="15" t="s">
        <v>5998</v>
      </c>
    </row>
    <row r="921" customFormat="false" ht="15" hidden="false" customHeight="false" outlineLevel="0" collapsed="false">
      <c r="A921" s="15" t="s">
        <v>3515</v>
      </c>
      <c r="B921" s="15" t="s">
        <v>3516</v>
      </c>
      <c r="C921" s="15" t="s">
        <v>5999</v>
      </c>
      <c r="D921" s="34" t="n">
        <f aca="false">Activities!N366</f>
        <v>2</v>
      </c>
      <c r="E921" s="15" t="s">
        <v>5998</v>
      </c>
    </row>
    <row r="922" customFormat="false" ht="15" hidden="false" customHeight="false" outlineLevel="0" collapsed="false">
      <c r="A922" s="15" t="s">
        <v>3516</v>
      </c>
      <c r="B922" s="15" t="s">
        <v>3517</v>
      </c>
      <c r="C922" s="15" t="s">
        <v>5997</v>
      </c>
      <c r="D922" s="34" t="n">
        <f aca="false">Activities!M367</f>
        <v>2</v>
      </c>
      <c r="E922" s="15" t="s">
        <v>5998</v>
      </c>
    </row>
    <row r="923" customFormat="false" ht="15" hidden="false" customHeight="false" outlineLevel="0" collapsed="false">
      <c r="A923" s="15" t="s">
        <v>3516</v>
      </c>
      <c r="B923" s="15" t="s">
        <v>3517</v>
      </c>
      <c r="C923" s="15" t="s">
        <v>5999</v>
      </c>
      <c r="D923" s="34" t="n">
        <f aca="false">Activities!N367</f>
        <v>2</v>
      </c>
      <c r="E923" s="15" t="s">
        <v>5998</v>
      </c>
    </row>
    <row r="924" customFormat="false" ht="15" hidden="false" customHeight="false" outlineLevel="0" collapsed="false">
      <c r="A924" s="15" t="s">
        <v>3502</v>
      </c>
      <c r="B924" s="15" t="s">
        <v>3517</v>
      </c>
      <c r="C924" s="15" t="s">
        <v>5995</v>
      </c>
      <c r="D924" s="34" t="n">
        <v>0</v>
      </c>
      <c r="E924" s="15" t="s">
        <v>6009</v>
      </c>
    </row>
    <row r="925" customFormat="false" ht="15" hidden="false" customHeight="false" outlineLevel="0" collapsed="false">
      <c r="A925" s="15" t="s">
        <v>3517</v>
      </c>
      <c r="B925" s="15" t="s">
        <v>3518</v>
      </c>
      <c r="C925" s="15" t="s">
        <v>5997</v>
      </c>
      <c r="D925" s="34" t="n">
        <f aca="false">Activities!M368</f>
        <v>1</v>
      </c>
      <c r="E925" s="15" t="s">
        <v>5998</v>
      </c>
    </row>
    <row r="926" customFormat="false" ht="15" hidden="false" customHeight="false" outlineLevel="0" collapsed="false">
      <c r="A926" s="15" t="s">
        <v>3517</v>
      </c>
      <c r="B926" s="15" t="s">
        <v>3518</v>
      </c>
      <c r="C926" s="15" t="s">
        <v>5999</v>
      </c>
      <c r="D926" s="34" t="n">
        <f aca="false">Activities!N368</f>
        <v>2</v>
      </c>
      <c r="E926" s="15" t="s">
        <v>5998</v>
      </c>
    </row>
    <row r="927" customFormat="false" ht="15" hidden="false" customHeight="false" outlineLevel="0" collapsed="false">
      <c r="A927" s="15" t="s">
        <v>3519</v>
      </c>
      <c r="B927" s="15" t="s">
        <v>3521</v>
      </c>
      <c r="C927" s="15" t="s">
        <v>5995</v>
      </c>
      <c r="D927" s="34" t="n">
        <v>0</v>
      </c>
      <c r="E927" s="15" t="s">
        <v>5996</v>
      </c>
    </row>
    <row r="928" customFormat="false" ht="15" hidden="false" customHeight="false" outlineLevel="0" collapsed="false">
      <c r="A928" s="15" t="s">
        <v>3508</v>
      </c>
      <c r="B928" s="15" t="s">
        <v>3521</v>
      </c>
      <c r="C928" s="15" t="s">
        <v>5997</v>
      </c>
      <c r="D928" s="34" t="n">
        <v>0</v>
      </c>
      <c r="E928" s="15" t="s">
        <v>6000</v>
      </c>
    </row>
    <row r="929" customFormat="false" ht="15" hidden="false" customHeight="false" outlineLevel="0" collapsed="false">
      <c r="A929" s="15" t="s">
        <v>3521</v>
      </c>
      <c r="B929" s="15" t="s">
        <v>3523</v>
      </c>
      <c r="C929" s="15" t="s">
        <v>5997</v>
      </c>
      <c r="D929" s="34" t="n">
        <f aca="false">Activities!M371</f>
        <v>1</v>
      </c>
      <c r="E929" s="15" t="s">
        <v>5998</v>
      </c>
    </row>
    <row r="930" customFormat="false" ht="15" hidden="false" customHeight="false" outlineLevel="0" collapsed="false">
      <c r="A930" s="15" t="s">
        <v>3521</v>
      </c>
      <c r="B930" s="15" t="s">
        <v>3523</v>
      </c>
      <c r="C930" s="15" t="s">
        <v>5999</v>
      </c>
      <c r="D930" s="34" t="n">
        <f aca="false">Activities!N371</f>
        <v>2</v>
      </c>
      <c r="E930" s="15" t="s">
        <v>5998</v>
      </c>
    </row>
    <row r="931" customFormat="false" ht="15" hidden="false" customHeight="false" outlineLevel="0" collapsed="false">
      <c r="A931" s="15" t="s">
        <v>3523</v>
      </c>
      <c r="B931" s="15" t="s">
        <v>3524</v>
      </c>
      <c r="C931" s="15" t="s">
        <v>5997</v>
      </c>
      <c r="D931" s="34" t="n">
        <f aca="false">Activities!M372</f>
        <v>1</v>
      </c>
      <c r="E931" s="15" t="s">
        <v>5998</v>
      </c>
    </row>
    <row r="932" customFormat="false" ht="15" hidden="false" customHeight="false" outlineLevel="0" collapsed="false">
      <c r="A932" s="15" t="s">
        <v>3523</v>
      </c>
      <c r="B932" s="15" t="s">
        <v>3524</v>
      </c>
      <c r="C932" s="15" t="s">
        <v>5999</v>
      </c>
      <c r="D932" s="34" t="n">
        <f aca="false">Activities!N372</f>
        <v>2</v>
      </c>
      <c r="E932" s="15" t="s">
        <v>5998</v>
      </c>
    </row>
    <row r="933" customFormat="false" ht="15" hidden="false" customHeight="false" outlineLevel="0" collapsed="false">
      <c r="A933" s="15" t="s">
        <v>3524</v>
      </c>
      <c r="B933" s="15" t="s">
        <v>3525</v>
      </c>
      <c r="C933" s="15" t="s">
        <v>5997</v>
      </c>
      <c r="D933" s="34" t="n">
        <f aca="false">Activities!M373</f>
        <v>1</v>
      </c>
      <c r="E933" s="15" t="s">
        <v>5998</v>
      </c>
    </row>
    <row r="934" customFormat="false" ht="15" hidden="false" customHeight="false" outlineLevel="0" collapsed="false">
      <c r="A934" s="15" t="s">
        <v>3524</v>
      </c>
      <c r="B934" s="15" t="s">
        <v>3525</v>
      </c>
      <c r="C934" s="15" t="s">
        <v>5999</v>
      </c>
      <c r="D934" s="34" t="n">
        <f aca="false">Activities!N373</f>
        <v>2</v>
      </c>
      <c r="E934" s="15" t="s">
        <v>5998</v>
      </c>
    </row>
    <row r="935" customFormat="false" ht="15" hidden="false" customHeight="false" outlineLevel="0" collapsed="false">
      <c r="A935" s="15" t="s">
        <v>3525</v>
      </c>
      <c r="B935" s="15" t="s">
        <v>3526</v>
      </c>
      <c r="C935" s="15" t="s">
        <v>5997</v>
      </c>
      <c r="D935" s="34" t="n">
        <f aca="false">Activities!M374</f>
        <v>10</v>
      </c>
      <c r="E935" s="15" t="s">
        <v>5998</v>
      </c>
    </row>
    <row r="936" customFormat="false" ht="15" hidden="false" customHeight="false" outlineLevel="0" collapsed="false">
      <c r="A936" s="15" t="s">
        <v>3525</v>
      </c>
      <c r="B936" s="15" t="s">
        <v>3526</v>
      </c>
      <c r="C936" s="15" t="s">
        <v>5999</v>
      </c>
      <c r="D936" s="34" t="n">
        <f aca="false">Activities!N374</f>
        <v>2</v>
      </c>
      <c r="E936" s="15" t="s">
        <v>5998</v>
      </c>
    </row>
    <row r="937" customFormat="false" ht="15" hidden="false" customHeight="false" outlineLevel="0" collapsed="false">
      <c r="A937" s="15" t="s">
        <v>3526</v>
      </c>
      <c r="B937" s="15" t="s">
        <v>3527</v>
      </c>
      <c r="C937" s="15" t="s">
        <v>5997</v>
      </c>
      <c r="D937" s="34" t="n">
        <f aca="false">Activities!M375</f>
        <v>1</v>
      </c>
      <c r="E937" s="15" t="s">
        <v>5998</v>
      </c>
    </row>
    <row r="938" customFormat="false" ht="15" hidden="false" customHeight="false" outlineLevel="0" collapsed="false">
      <c r="A938" s="15" t="s">
        <v>3526</v>
      </c>
      <c r="B938" s="15" t="s">
        <v>3527</v>
      </c>
      <c r="C938" s="15" t="s">
        <v>5999</v>
      </c>
      <c r="D938" s="34" t="n">
        <f aca="false">Activities!N375</f>
        <v>2</v>
      </c>
      <c r="E938" s="15" t="s">
        <v>5998</v>
      </c>
    </row>
    <row r="939" customFormat="false" ht="15" hidden="false" customHeight="false" outlineLevel="0" collapsed="false">
      <c r="A939" s="15" t="s">
        <v>3527</v>
      </c>
      <c r="B939" s="15" t="s">
        <v>3528</v>
      </c>
      <c r="C939" s="15" t="s">
        <v>5997</v>
      </c>
      <c r="D939" s="34" t="n">
        <f aca="false">Activities!M376</f>
        <v>2</v>
      </c>
      <c r="E939" s="15" t="s">
        <v>5998</v>
      </c>
    </row>
    <row r="940" customFormat="false" ht="15" hidden="false" customHeight="false" outlineLevel="0" collapsed="false">
      <c r="A940" s="15" t="s">
        <v>3527</v>
      </c>
      <c r="B940" s="15" t="s">
        <v>3528</v>
      </c>
      <c r="C940" s="15" t="s">
        <v>5999</v>
      </c>
      <c r="D940" s="34" t="n">
        <f aca="false">Activities!N376</f>
        <v>2</v>
      </c>
      <c r="E940" s="15" t="s">
        <v>5998</v>
      </c>
    </row>
    <row r="941" customFormat="false" ht="15" hidden="false" customHeight="false" outlineLevel="0" collapsed="false">
      <c r="A941" s="15" t="s">
        <v>3515</v>
      </c>
      <c r="B941" s="15" t="s">
        <v>3528</v>
      </c>
      <c r="C941" s="15" t="s">
        <v>5995</v>
      </c>
      <c r="D941" s="34" t="n">
        <v>0</v>
      </c>
      <c r="E941" s="15" t="s">
        <v>6001</v>
      </c>
    </row>
    <row r="942" customFormat="false" ht="15" hidden="false" customHeight="false" outlineLevel="0" collapsed="false">
      <c r="A942" s="15" t="s">
        <v>3528</v>
      </c>
      <c r="B942" s="15" t="s">
        <v>3530</v>
      </c>
      <c r="C942" s="15" t="s">
        <v>5997</v>
      </c>
      <c r="D942" s="34" t="n">
        <f aca="false">Activities!M377</f>
        <v>2</v>
      </c>
      <c r="E942" s="15" t="s">
        <v>5998</v>
      </c>
    </row>
    <row r="943" customFormat="false" ht="15" hidden="false" customHeight="false" outlineLevel="0" collapsed="false">
      <c r="A943" s="15" t="s">
        <v>3528</v>
      </c>
      <c r="B943" s="15" t="s">
        <v>3530</v>
      </c>
      <c r="C943" s="15" t="s">
        <v>5999</v>
      </c>
      <c r="D943" s="34" t="n">
        <f aca="false">Activities!N377</f>
        <v>2</v>
      </c>
      <c r="E943" s="15" t="s">
        <v>5998</v>
      </c>
    </row>
    <row r="944" customFormat="false" ht="15" hidden="false" customHeight="false" outlineLevel="0" collapsed="false">
      <c r="A944" s="15" t="s">
        <v>3530</v>
      </c>
      <c r="B944" s="15" t="s">
        <v>3531</v>
      </c>
      <c r="C944" s="15" t="s">
        <v>5997</v>
      </c>
      <c r="D944" s="34" t="n">
        <f aca="false">Activities!M378</f>
        <v>2</v>
      </c>
      <c r="E944" s="15" t="s">
        <v>5998</v>
      </c>
    </row>
    <row r="945" customFormat="false" ht="15" hidden="false" customHeight="false" outlineLevel="0" collapsed="false">
      <c r="A945" s="15" t="s">
        <v>3530</v>
      </c>
      <c r="B945" s="15" t="s">
        <v>3531</v>
      </c>
      <c r="C945" s="15" t="s">
        <v>5999</v>
      </c>
      <c r="D945" s="34" t="n">
        <f aca="false">Activities!N378</f>
        <v>2</v>
      </c>
      <c r="E945" s="15" t="s">
        <v>5998</v>
      </c>
    </row>
    <row r="946" customFormat="false" ht="15" hidden="false" customHeight="false" outlineLevel="0" collapsed="false">
      <c r="A946" s="15" t="s">
        <v>3531</v>
      </c>
      <c r="B946" s="15" t="s">
        <v>3532</v>
      </c>
      <c r="C946" s="15" t="s">
        <v>5997</v>
      </c>
      <c r="D946" s="34" t="n">
        <f aca="false">Activities!M379</f>
        <v>1</v>
      </c>
      <c r="E946" s="15" t="s">
        <v>5998</v>
      </c>
    </row>
    <row r="947" customFormat="false" ht="15" hidden="false" customHeight="false" outlineLevel="0" collapsed="false">
      <c r="A947" s="15" t="s">
        <v>3531</v>
      </c>
      <c r="B947" s="15" t="s">
        <v>3532</v>
      </c>
      <c r="C947" s="15" t="s">
        <v>5999</v>
      </c>
      <c r="D947" s="34" t="n">
        <f aca="false">Activities!N379</f>
        <v>2</v>
      </c>
      <c r="E947" s="15" t="s">
        <v>5998</v>
      </c>
    </row>
    <row r="948" customFormat="false" ht="15" hidden="false" customHeight="false" outlineLevel="0" collapsed="false">
      <c r="A948" s="15" t="s">
        <v>3533</v>
      </c>
      <c r="B948" s="15" t="s">
        <v>3535</v>
      </c>
      <c r="C948" s="15" t="s">
        <v>5995</v>
      </c>
      <c r="D948" s="34" t="n">
        <v>0</v>
      </c>
      <c r="E948" s="15" t="s">
        <v>5996</v>
      </c>
    </row>
    <row r="949" customFormat="false" ht="15" hidden="false" customHeight="false" outlineLevel="0" collapsed="false">
      <c r="A949" s="15" t="s">
        <v>3508</v>
      </c>
      <c r="B949" s="15" t="s">
        <v>3535</v>
      </c>
      <c r="C949" s="15" t="s">
        <v>5997</v>
      </c>
      <c r="D949" s="34" t="n">
        <v>0</v>
      </c>
      <c r="E949" s="15" t="s">
        <v>6002</v>
      </c>
    </row>
    <row r="950" customFormat="false" ht="15" hidden="false" customHeight="false" outlineLevel="0" collapsed="false">
      <c r="A950" s="15" t="s">
        <v>3535</v>
      </c>
      <c r="B950" s="15" t="s">
        <v>3537</v>
      </c>
      <c r="C950" s="15" t="s">
        <v>5997</v>
      </c>
      <c r="D950" s="34" t="n">
        <f aca="false">Activities!M382</f>
        <v>1</v>
      </c>
      <c r="E950" s="15" t="s">
        <v>5998</v>
      </c>
    </row>
    <row r="951" customFormat="false" ht="15" hidden="false" customHeight="false" outlineLevel="0" collapsed="false">
      <c r="A951" s="15" t="s">
        <v>3535</v>
      </c>
      <c r="B951" s="15" t="s">
        <v>3537</v>
      </c>
      <c r="C951" s="15" t="s">
        <v>5999</v>
      </c>
      <c r="D951" s="34" t="n">
        <f aca="false">Activities!N382</f>
        <v>2</v>
      </c>
      <c r="E951" s="15" t="s">
        <v>5998</v>
      </c>
    </row>
    <row r="952" customFormat="false" ht="15" hidden="false" customHeight="false" outlineLevel="0" collapsed="false">
      <c r="A952" s="15" t="s">
        <v>3508</v>
      </c>
      <c r="B952" s="15" t="s">
        <v>3537</v>
      </c>
      <c r="C952" s="15" t="s">
        <v>5995</v>
      </c>
      <c r="D952" s="34" t="n">
        <v>0</v>
      </c>
      <c r="E952" s="15" t="s">
        <v>6009</v>
      </c>
    </row>
    <row r="953" customFormat="false" ht="15" hidden="false" customHeight="false" outlineLevel="0" collapsed="false">
      <c r="A953" s="15" t="s">
        <v>3537</v>
      </c>
      <c r="B953" s="15" t="s">
        <v>3538</v>
      </c>
      <c r="C953" s="15" t="s">
        <v>5997</v>
      </c>
      <c r="D953" s="34" t="n">
        <f aca="false">Activities!M383</f>
        <v>3</v>
      </c>
      <c r="E953" s="15" t="s">
        <v>5998</v>
      </c>
    </row>
    <row r="954" customFormat="false" ht="15" hidden="false" customHeight="false" outlineLevel="0" collapsed="false">
      <c r="A954" s="15" t="s">
        <v>3537</v>
      </c>
      <c r="B954" s="15" t="s">
        <v>3538</v>
      </c>
      <c r="C954" s="15" t="s">
        <v>5999</v>
      </c>
      <c r="D954" s="34" t="n">
        <f aca="false">Activities!N383</f>
        <v>2</v>
      </c>
      <c r="E954" s="15" t="s">
        <v>5998</v>
      </c>
    </row>
    <row r="955" customFormat="false" ht="15" hidden="false" customHeight="false" outlineLevel="0" collapsed="false">
      <c r="A955" s="15" t="s">
        <v>3509</v>
      </c>
      <c r="B955" s="15" t="s">
        <v>3538</v>
      </c>
      <c r="C955" s="15" t="s">
        <v>5995</v>
      </c>
      <c r="D955" s="34" t="n">
        <v>0</v>
      </c>
      <c r="E955" s="15" t="s">
        <v>6009</v>
      </c>
    </row>
    <row r="956" customFormat="false" ht="15" hidden="false" customHeight="false" outlineLevel="0" collapsed="false">
      <c r="A956" s="15" t="s">
        <v>3538</v>
      </c>
      <c r="B956" s="15" t="s">
        <v>3539</v>
      </c>
      <c r="C956" s="15" t="s">
        <v>5997</v>
      </c>
      <c r="D956" s="34" t="n">
        <f aca="false">Activities!M384</f>
        <v>2</v>
      </c>
      <c r="E956" s="15" t="s">
        <v>5998</v>
      </c>
    </row>
    <row r="957" customFormat="false" ht="15" hidden="false" customHeight="false" outlineLevel="0" collapsed="false">
      <c r="A957" s="15" t="s">
        <v>3538</v>
      </c>
      <c r="B957" s="15" t="s">
        <v>3539</v>
      </c>
      <c r="C957" s="15" t="s">
        <v>5999</v>
      </c>
      <c r="D957" s="34" t="n">
        <f aca="false">Activities!N384</f>
        <v>2</v>
      </c>
      <c r="E957" s="15" t="s">
        <v>5998</v>
      </c>
    </row>
    <row r="958" customFormat="false" ht="15" hidden="false" customHeight="false" outlineLevel="0" collapsed="false">
      <c r="A958" s="15" t="s">
        <v>3512</v>
      </c>
      <c r="B958" s="15" t="s">
        <v>3539</v>
      </c>
      <c r="C958" s="15" t="s">
        <v>5995</v>
      </c>
      <c r="D958" s="34" t="n">
        <f aca="false">-Activities!K384</f>
        <v>-11</v>
      </c>
      <c r="E958" s="15" t="s">
        <v>6004</v>
      </c>
    </row>
    <row r="959" customFormat="false" ht="15" hidden="false" customHeight="false" outlineLevel="0" collapsed="false">
      <c r="A959" s="15" t="s">
        <v>3539</v>
      </c>
      <c r="B959" s="15" t="s">
        <v>3541</v>
      </c>
      <c r="C959" s="15" t="s">
        <v>5997</v>
      </c>
      <c r="D959" s="34" t="n">
        <f aca="false">Activities!M385</f>
        <v>10</v>
      </c>
      <c r="E959" s="15" t="s">
        <v>5998</v>
      </c>
    </row>
    <row r="960" customFormat="false" ht="15" hidden="false" customHeight="false" outlineLevel="0" collapsed="false">
      <c r="A960" s="15" t="s">
        <v>3539</v>
      </c>
      <c r="B960" s="15" t="s">
        <v>3541</v>
      </c>
      <c r="C960" s="15" t="s">
        <v>5999</v>
      </c>
      <c r="D960" s="34" t="n">
        <f aca="false">Activities!N385</f>
        <v>2</v>
      </c>
      <c r="E960" s="15" t="s">
        <v>5998</v>
      </c>
    </row>
    <row r="961" customFormat="false" ht="15" hidden="false" customHeight="false" outlineLevel="0" collapsed="false">
      <c r="A961" s="15" t="s">
        <v>3512</v>
      </c>
      <c r="B961" s="15" t="s">
        <v>3541</v>
      </c>
      <c r="C961" s="15" t="s">
        <v>5995</v>
      </c>
      <c r="D961" s="34" t="n">
        <v>0</v>
      </c>
      <c r="E961" s="15" t="s">
        <v>6009</v>
      </c>
    </row>
    <row r="962" customFormat="false" ht="15" hidden="false" customHeight="false" outlineLevel="0" collapsed="false">
      <c r="A962" s="15" t="s">
        <v>3541</v>
      </c>
      <c r="B962" s="15" t="s">
        <v>3542</v>
      </c>
      <c r="C962" s="15" t="s">
        <v>5997</v>
      </c>
      <c r="D962" s="34" t="n">
        <f aca="false">Activities!M386</f>
        <v>2</v>
      </c>
      <c r="E962" s="15" t="s">
        <v>5998</v>
      </c>
    </row>
    <row r="963" customFormat="false" ht="15" hidden="false" customHeight="false" outlineLevel="0" collapsed="false">
      <c r="A963" s="15" t="s">
        <v>3541</v>
      </c>
      <c r="B963" s="15" t="s">
        <v>3542</v>
      </c>
      <c r="C963" s="15" t="s">
        <v>5999</v>
      </c>
      <c r="D963" s="34" t="n">
        <f aca="false">Activities!N386</f>
        <v>2</v>
      </c>
      <c r="E963" s="15" t="s">
        <v>5998</v>
      </c>
    </row>
    <row r="964" customFormat="false" ht="15" hidden="false" customHeight="false" outlineLevel="0" collapsed="false">
      <c r="A964" s="15" t="s">
        <v>3514</v>
      </c>
      <c r="B964" s="15" t="s">
        <v>3542</v>
      </c>
      <c r="C964" s="15" t="s">
        <v>5995</v>
      </c>
      <c r="D964" s="34" t="n">
        <v>0</v>
      </c>
      <c r="E964" s="15" t="s">
        <v>6009</v>
      </c>
    </row>
    <row r="965" customFormat="false" ht="15" hidden="false" customHeight="false" outlineLevel="0" collapsed="false">
      <c r="A965" s="15" t="s">
        <v>3542</v>
      </c>
      <c r="B965" s="15" t="s">
        <v>3543</v>
      </c>
      <c r="C965" s="15" t="s">
        <v>5997</v>
      </c>
      <c r="D965" s="34" t="n">
        <f aca="false">Activities!M387</f>
        <v>3</v>
      </c>
      <c r="E965" s="15" t="s">
        <v>5998</v>
      </c>
    </row>
    <row r="966" customFormat="false" ht="15" hidden="false" customHeight="false" outlineLevel="0" collapsed="false">
      <c r="A966" s="15" t="s">
        <v>3542</v>
      </c>
      <c r="B966" s="15" t="s">
        <v>3543</v>
      </c>
      <c r="C966" s="15" t="s">
        <v>5999</v>
      </c>
      <c r="D966" s="34" t="n">
        <f aca="false">Activities!N387</f>
        <v>2</v>
      </c>
      <c r="E966" s="15" t="s">
        <v>5998</v>
      </c>
    </row>
    <row r="967" customFormat="false" ht="15" hidden="false" customHeight="false" outlineLevel="0" collapsed="false">
      <c r="A967" s="15" t="s">
        <v>3515</v>
      </c>
      <c r="B967" s="15" t="s">
        <v>3543</v>
      </c>
      <c r="C967" s="15" t="s">
        <v>5995</v>
      </c>
      <c r="D967" s="34" t="n">
        <v>0</v>
      </c>
      <c r="E967" s="15" t="s">
        <v>6009</v>
      </c>
    </row>
    <row r="968" customFormat="false" ht="15" hidden="false" customHeight="false" outlineLevel="0" collapsed="false">
      <c r="A968" s="15" t="s">
        <v>3543</v>
      </c>
      <c r="B968" s="15" t="s">
        <v>3544</v>
      </c>
      <c r="C968" s="15" t="s">
        <v>5997</v>
      </c>
      <c r="D968" s="34" t="n">
        <f aca="false">Activities!M388</f>
        <v>2</v>
      </c>
      <c r="E968" s="15" t="s">
        <v>5998</v>
      </c>
    </row>
    <row r="969" customFormat="false" ht="15" hidden="false" customHeight="false" outlineLevel="0" collapsed="false">
      <c r="A969" s="15" t="s">
        <v>3543</v>
      </c>
      <c r="B969" s="15" t="s">
        <v>3544</v>
      </c>
      <c r="C969" s="15" t="s">
        <v>5999</v>
      </c>
      <c r="D969" s="34" t="n">
        <f aca="false">Activities!N388</f>
        <v>2</v>
      </c>
      <c r="E969" s="15" t="s">
        <v>5998</v>
      </c>
    </row>
    <row r="970" customFormat="false" ht="15" hidden="false" customHeight="false" outlineLevel="0" collapsed="false">
      <c r="A970" s="15" t="s">
        <v>3544</v>
      </c>
      <c r="B970" s="15" t="s">
        <v>3545</v>
      </c>
      <c r="C970" s="15" t="s">
        <v>5997</v>
      </c>
      <c r="D970" s="34" t="n">
        <f aca="false">Activities!M389</f>
        <v>2</v>
      </c>
      <c r="E970" s="15" t="s">
        <v>5998</v>
      </c>
    </row>
    <row r="971" customFormat="false" ht="15" hidden="false" customHeight="false" outlineLevel="0" collapsed="false">
      <c r="A971" s="15" t="s">
        <v>3544</v>
      </c>
      <c r="B971" s="15" t="s">
        <v>3545</v>
      </c>
      <c r="C971" s="15" t="s">
        <v>5999</v>
      </c>
      <c r="D971" s="34" t="n">
        <f aca="false">Activities!N389</f>
        <v>2</v>
      </c>
      <c r="E971" s="15" t="s">
        <v>5998</v>
      </c>
    </row>
    <row r="972" customFormat="false" ht="15" hidden="false" customHeight="false" outlineLevel="0" collapsed="false">
      <c r="A972" s="15" t="s">
        <v>3517</v>
      </c>
      <c r="B972" s="15" t="s">
        <v>3545</v>
      </c>
      <c r="C972" s="15" t="s">
        <v>5995</v>
      </c>
      <c r="D972" s="34" t="n">
        <v>0</v>
      </c>
      <c r="E972" s="15" t="s">
        <v>6009</v>
      </c>
    </row>
    <row r="973" customFormat="false" ht="15" hidden="false" customHeight="false" outlineLevel="0" collapsed="false">
      <c r="A973" s="15" t="s">
        <v>3590</v>
      </c>
      <c r="B973" s="15" t="s">
        <v>3545</v>
      </c>
      <c r="C973" s="15" t="s">
        <v>5995</v>
      </c>
      <c r="D973" s="34" t="n">
        <v>0</v>
      </c>
      <c r="E973" s="15" t="s">
        <v>6005</v>
      </c>
    </row>
    <row r="974" customFormat="false" ht="15" hidden="false" customHeight="false" outlineLevel="0" collapsed="false">
      <c r="A974" s="15" t="s">
        <v>3545</v>
      </c>
      <c r="B974" s="15" t="s">
        <v>3547</v>
      </c>
      <c r="C974" s="15" t="s">
        <v>5997</v>
      </c>
      <c r="D974" s="34" t="n">
        <f aca="false">Activities!M390</f>
        <v>1</v>
      </c>
      <c r="E974" s="15" t="s">
        <v>5998</v>
      </c>
    </row>
    <row r="975" customFormat="false" ht="15" hidden="false" customHeight="false" outlineLevel="0" collapsed="false">
      <c r="A975" s="15" t="s">
        <v>3545</v>
      </c>
      <c r="B975" s="15" t="s">
        <v>3547</v>
      </c>
      <c r="C975" s="15" t="s">
        <v>5999</v>
      </c>
      <c r="D975" s="34" t="n">
        <f aca="false">Activities!N390</f>
        <v>2</v>
      </c>
      <c r="E975" s="15" t="s">
        <v>5998</v>
      </c>
    </row>
    <row r="976" customFormat="false" ht="15" hidden="false" customHeight="false" outlineLevel="0" collapsed="false">
      <c r="A976" s="15" t="s">
        <v>3548</v>
      </c>
      <c r="B976" s="15" t="s">
        <v>3550</v>
      </c>
      <c r="C976" s="15" t="s">
        <v>5995</v>
      </c>
      <c r="D976" s="34" t="n">
        <v>0</v>
      </c>
      <c r="E976" s="15" t="s">
        <v>5996</v>
      </c>
    </row>
    <row r="977" customFormat="false" ht="15" hidden="false" customHeight="false" outlineLevel="0" collapsed="false">
      <c r="A977" s="15" t="s">
        <v>3537</v>
      </c>
      <c r="B977" s="15" t="s">
        <v>3550</v>
      </c>
      <c r="C977" s="15" t="s">
        <v>5997</v>
      </c>
      <c r="D977" s="34" t="n">
        <v>0</v>
      </c>
      <c r="E977" s="15" t="s">
        <v>6002</v>
      </c>
    </row>
    <row r="978" customFormat="false" ht="15" hidden="false" customHeight="false" outlineLevel="0" collapsed="false">
      <c r="A978" s="15" t="s">
        <v>3550</v>
      </c>
      <c r="B978" s="15" t="s">
        <v>3552</v>
      </c>
      <c r="C978" s="15" t="s">
        <v>5997</v>
      </c>
      <c r="D978" s="34" t="n">
        <f aca="false">Activities!M393</f>
        <v>1</v>
      </c>
      <c r="E978" s="15" t="s">
        <v>5998</v>
      </c>
    </row>
    <row r="979" customFormat="false" ht="15" hidden="false" customHeight="false" outlineLevel="0" collapsed="false">
      <c r="A979" s="15" t="s">
        <v>3550</v>
      </c>
      <c r="B979" s="15" t="s">
        <v>3552</v>
      </c>
      <c r="C979" s="15" t="s">
        <v>5999</v>
      </c>
      <c r="D979" s="34" t="n">
        <f aca="false">Activities!N393</f>
        <v>2</v>
      </c>
      <c r="E979" s="15" t="s">
        <v>5998</v>
      </c>
    </row>
    <row r="980" customFormat="false" ht="15" hidden="false" customHeight="false" outlineLevel="0" collapsed="false">
      <c r="A980" s="15" t="s">
        <v>3537</v>
      </c>
      <c r="B980" s="15" t="s">
        <v>3552</v>
      </c>
      <c r="C980" s="15" t="s">
        <v>5995</v>
      </c>
      <c r="D980" s="34" t="n">
        <v>0</v>
      </c>
      <c r="E980" s="15" t="s">
        <v>6009</v>
      </c>
    </row>
    <row r="981" customFormat="false" ht="15" hidden="false" customHeight="false" outlineLevel="0" collapsed="false">
      <c r="A981" s="15" t="s">
        <v>3552</v>
      </c>
      <c r="B981" s="15" t="s">
        <v>3553</v>
      </c>
      <c r="C981" s="15" t="s">
        <v>5997</v>
      </c>
      <c r="D981" s="34" t="n">
        <f aca="false">Activities!M394</f>
        <v>3</v>
      </c>
      <c r="E981" s="15" t="s">
        <v>5998</v>
      </c>
    </row>
    <row r="982" customFormat="false" ht="15" hidden="false" customHeight="false" outlineLevel="0" collapsed="false">
      <c r="A982" s="15" t="s">
        <v>3552</v>
      </c>
      <c r="B982" s="15" t="s">
        <v>3553</v>
      </c>
      <c r="C982" s="15" t="s">
        <v>5999</v>
      </c>
      <c r="D982" s="34" t="n">
        <f aca="false">Activities!N394</f>
        <v>2</v>
      </c>
      <c r="E982" s="15" t="s">
        <v>5998</v>
      </c>
    </row>
    <row r="983" customFormat="false" ht="15" hidden="false" customHeight="false" outlineLevel="0" collapsed="false">
      <c r="A983" s="15" t="s">
        <v>3538</v>
      </c>
      <c r="B983" s="15" t="s">
        <v>3553</v>
      </c>
      <c r="C983" s="15" t="s">
        <v>5995</v>
      </c>
      <c r="D983" s="34" t="n">
        <v>0</v>
      </c>
      <c r="E983" s="15" t="s">
        <v>6009</v>
      </c>
    </row>
    <row r="984" customFormat="false" ht="15" hidden="false" customHeight="false" outlineLevel="0" collapsed="false">
      <c r="A984" s="15" t="s">
        <v>3553</v>
      </c>
      <c r="B984" s="15" t="s">
        <v>3554</v>
      </c>
      <c r="C984" s="15" t="s">
        <v>5997</v>
      </c>
      <c r="D984" s="34" t="n">
        <f aca="false">Activities!M395</f>
        <v>2</v>
      </c>
      <c r="E984" s="15" t="s">
        <v>5998</v>
      </c>
    </row>
    <row r="985" customFormat="false" ht="15" hidden="false" customHeight="false" outlineLevel="0" collapsed="false">
      <c r="A985" s="15" t="s">
        <v>3553</v>
      </c>
      <c r="B985" s="15" t="s">
        <v>3554</v>
      </c>
      <c r="C985" s="15" t="s">
        <v>5999</v>
      </c>
      <c r="D985" s="34" t="n">
        <f aca="false">Activities!N395</f>
        <v>2</v>
      </c>
      <c r="E985" s="15" t="s">
        <v>5998</v>
      </c>
    </row>
    <row r="986" customFormat="false" ht="15" hidden="false" customHeight="false" outlineLevel="0" collapsed="false">
      <c r="A986" s="15" t="s">
        <v>3541</v>
      </c>
      <c r="B986" s="15" t="s">
        <v>3554</v>
      </c>
      <c r="C986" s="15" t="s">
        <v>5995</v>
      </c>
      <c r="D986" s="34" t="n">
        <f aca="false">-Activities!K395</f>
        <v>-11</v>
      </c>
      <c r="E986" s="15" t="s">
        <v>6004</v>
      </c>
    </row>
    <row r="987" customFormat="false" ht="15" hidden="false" customHeight="false" outlineLevel="0" collapsed="false">
      <c r="A987" s="15" t="s">
        <v>3554</v>
      </c>
      <c r="B987" s="15" t="s">
        <v>3556</v>
      </c>
      <c r="C987" s="15" t="s">
        <v>5997</v>
      </c>
      <c r="D987" s="34" t="n">
        <f aca="false">Activities!M396</f>
        <v>10</v>
      </c>
      <c r="E987" s="15" t="s">
        <v>5998</v>
      </c>
    </row>
    <row r="988" customFormat="false" ht="15" hidden="false" customHeight="false" outlineLevel="0" collapsed="false">
      <c r="A988" s="15" t="s">
        <v>3554</v>
      </c>
      <c r="B988" s="15" t="s">
        <v>3556</v>
      </c>
      <c r="C988" s="15" t="s">
        <v>5999</v>
      </c>
      <c r="D988" s="34" t="n">
        <f aca="false">Activities!N396</f>
        <v>2</v>
      </c>
      <c r="E988" s="15" t="s">
        <v>5998</v>
      </c>
    </row>
    <row r="989" customFormat="false" ht="15" hidden="false" customHeight="false" outlineLevel="0" collapsed="false">
      <c r="A989" s="15" t="s">
        <v>3541</v>
      </c>
      <c r="B989" s="15" t="s">
        <v>3556</v>
      </c>
      <c r="C989" s="15" t="s">
        <v>5995</v>
      </c>
      <c r="D989" s="34" t="n">
        <v>0</v>
      </c>
      <c r="E989" s="15" t="s">
        <v>6009</v>
      </c>
    </row>
    <row r="990" customFormat="false" ht="15" hidden="false" customHeight="false" outlineLevel="0" collapsed="false">
      <c r="A990" s="15" t="s">
        <v>3556</v>
      </c>
      <c r="B990" s="15" t="s">
        <v>3557</v>
      </c>
      <c r="C990" s="15" t="s">
        <v>5997</v>
      </c>
      <c r="D990" s="34" t="n">
        <f aca="false">Activities!M397</f>
        <v>2</v>
      </c>
      <c r="E990" s="15" t="s">
        <v>5998</v>
      </c>
    </row>
    <row r="991" customFormat="false" ht="15" hidden="false" customHeight="false" outlineLevel="0" collapsed="false">
      <c r="A991" s="15" t="s">
        <v>3556</v>
      </c>
      <c r="B991" s="15" t="s">
        <v>3557</v>
      </c>
      <c r="C991" s="15" t="s">
        <v>5999</v>
      </c>
      <c r="D991" s="34" t="n">
        <f aca="false">Activities!N397</f>
        <v>2</v>
      </c>
      <c r="E991" s="15" t="s">
        <v>5998</v>
      </c>
    </row>
    <row r="992" customFormat="false" ht="15" hidden="false" customHeight="false" outlineLevel="0" collapsed="false">
      <c r="A992" s="15" t="s">
        <v>3542</v>
      </c>
      <c r="B992" s="15" t="s">
        <v>3557</v>
      </c>
      <c r="C992" s="15" t="s">
        <v>5995</v>
      </c>
      <c r="D992" s="34" t="n">
        <v>0</v>
      </c>
      <c r="E992" s="15" t="s">
        <v>6009</v>
      </c>
    </row>
    <row r="993" customFormat="false" ht="15" hidden="false" customHeight="false" outlineLevel="0" collapsed="false">
      <c r="A993" s="15" t="s">
        <v>3557</v>
      </c>
      <c r="B993" s="15" t="s">
        <v>3558</v>
      </c>
      <c r="C993" s="15" t="s">
        <v>5997</v>
      </c>
      <c r="D993" s="34" t="n">
        <f aca="false">Activities!M398</f>
        <v>3</v>
      </c>
      <c r="E993" s="15" t="s">
        <v>5998</v>
      </c>
    </row>
    <row r="994" customFormat="false" ht="15" hidden="false" customHeight="false" outlineLevel="0" collapsed="false">
      <c r="A994" s="15" t="s">
        <v>3557</v>
      </c>
      <c r="B994" s="15" t="s">
        <v>3558</v>
      </c>
      <c r="C994" s="15" t="s">
        <v>5999</v>
      </c>
      <c r="D994" s="34" t="n">
        <f aca="false">Activities!N398</f>
        <v>2</v>
      </c>
      <c r="E994" s="15" t="s">
        <v>5998</v>
      </c>
    </row>
    <row r="995" customFormat="false" ht="15" hidden="false" customHeight="false" outlineLevel="0" collapsed="false">
      <c r="A995" s="15" t="s">
        <v>3543</v>
      </c>
      <c r="B995" s="15" t="s">
        <v>3558</v>
      </c>
      <c r="C995" s="15" t="s">
        <v>5995</v>
      </c>
      <c r="D995" s="34" t="n">
        <v>0</v>
      </c>
      <c r="E995" s="15" t="s">
        <v>6009</v>
      </c>
    </row>
    <row r="996" customFormat="false" ht="15" hidden="false" customHeight="false" outlineLevel="0" collapsed="false">
      <c r="A996" s="15" t="s">
        <v>3558</v>
      </c>
      <c r="B996" s="15" t="s">
        <v>3559</v>
      </c>
      <c r="C996" s="15" t="s">
        <v>5997</v>
      </c>
      <c r="D996" s="34" t="n">
        <f aca="false">Activities!M399</f>
        <v>2</v>
      </c>
      <c r="E996" s="15" t="s">
        <v>5998</v>
      </c>
    </row>
    <row r="997" customFormat="false" ht="15" hidden="false" customHeight="false" outlineLevel="0" collapsed="false">
      <c r="A997" s="15" t="s">
        <v>3558</v>
      </c>
      <c r="B997" s="15" t="s">
        <v>3559</v>
      </c>
      <c r="C997" s="15" t="s">
        <v>5999</v>
      </c>
      <c r="D997" s="34" t="n">
        <f aca="false">Activities!N399</f>
        <v>2</v>
      </c>
      <c r="E997" s="15" t="s">
        <v>5998</v>
      </c>
    </row>
    <row r="998" customFormat="false" ht="15" hidden="false" customHeight="false" outlineLevel="0" collapsed="false">
      <c r="A998" s="15" t="s">
        <v>3559</v>
      </c>
      <c r="B998" s="15" t="s">
        <v>3560</v>
      </c>
      <c r="C998" s="15" t="s">
        <v>5997</v>
      </c>
      <c r="D998" s="34" t="n">
        <f aca="false">Activities!M400</f>
        <v>2</v>
      </c>
      <c r="E998" s="15" t="s">
        <v>5998</v>
      </c>
    </row>
    <row r="999" customFormat="false" ht="15" hidden="false" customHeight="false" outlineLevel="0" collapsed="false">
      <c r="A999" s="15" t="s">
        <v>3559</v>
      </c>
      <c r="B999" s="15" t="s">
        <v>3560</v>
      </c>
      <c r="C999" s="15" t="s">
        <v>5999</v>
      </c>
      <c r="D999" s="34" t="n">
        <f aca="false">Activities!N400</f>
        <v>2</v>
      </c>
      <c r="E999" s="15" t="s">
        <v>5998</v>
      </c>
    </row>
    <row r="1000" customFormat="false" ht="15" hidden="false" customHeight="false" outlineLevel="0" collapsed="false">
      <c r="A1000" s="15" t="s">
        <v>3545</v>
      </c>
      <c r="B1000" s="15" t="s">
        <v>3560</v>
      </c>
      <c r="C1000" s="15" t="s">
        <v>5995</v>
      </c>
      <c r="D1000" s="34" t="n">
        <v>0</v>
      </c>
      <c r="E1000" s="15" t="s">
        <v>6009</v>
      </c>
    </row>
    <row r="1001" customFormat="false" ht="15" hidden="false" customHeight="false" outlineLevel="0" collapsed="false">
      <c r="A1001" s="15" t="s">
        <v>3574</v>
      </c>
      <c r="B1001" s="15" t="s">
        <v>3560</v>
      </c>
      <c r="C1001" s="15" t="s">
        <v>5995</v>
      </c>
      <c r="D1001" s="34" t="n">
        <v>0</v>
      </c>
      <c r="E1001" s="15" t="s">
        <v>6005</v>
      </c>
    </row>
    <row r="1002" customFormat="false" ht="15" hidden="false" customHeight="false" outlineLevel="0" collapsed="false">
      <c r="A1002" s="15" t="s">
        <v>3560</v>
      </c>
      <c r="B1002" s="15" t="s">
        <v>3562</v>
      </c>
      <c r="C1002" s="15" t="s">
        <v>5997</v>
      </c>
      <c r="D1002" s="34" t="n">
        <f aca="false">Activities!M401</f>
        <v>1</v>
      </c>
      <c r="E1002" s="15" t="s">
        <v>5998</v>
      </c>
    </row>
    <row r="1003" customFormat="false" ht="15" hidden="false" customHeight="false" outlineLevel="0" collapsed="false">
      <c r="A1003" s="15" t="s">
        <v>3560</v>
      </c>
      <c r="B1003" s="15" t="s">
        <v>3562</v>
      </c>
      <c r="C1003" s="15" t="s">
        <v>5999</v>
      </c>
      <c r="D1003" s="34" t="n">
        <f aca="false">Activities!N401</f>
        <v>2</v>
      </c>
      <c r="E1003" s="15" t="s">
        <v>5998</v>
      </c>
    </row>
    <row r="1004" customFormat="false" ht="15" hidden="false" customHeight="false" outlineLevel="0" collapsed="false">
      <c r="A1004" s="15" t="s">
        <v>3563</v>
      </c>
      <c r="B1004" s="15" t="s">
        <v>3565</v>
      </c>
      <c r="C1004" s="15" t="s">
        <v>5995</v>
      </c>
      <c r="D1004" s="34" t="n">
        <v>0</v>
      </c>
      <c r="E1004" s="15" t="s">
        <v>5996</v>
      </c>
    </row>
    <row r="1005" customFormat="false" ht="15" hidden="false" customHeight="false" outlineLevel="0" collapsed="false">
      <c r="A1005" s="15" t="s">
        <v>3552</v>
      </c>
      <c r="B1005" s="15" t="s">
        <v>3565</v>
      </c>
      <c r="C1005" s="15" t="s">
        <v>5997</v>
      </c>
      <c r="D1005" s="34" t="n">
        <v>0</v>
      </c>
      <c r="E1005" s="15" t="s">
        <v>6002</v>
      </c>
    </row>
    <row r="1006" customFormat="false" ht="15" hidden="false" customHeight="false" outlineLevel="0" collapsed="false">
      <c r="A1006" s="15" t="s">
        <v>3565</v>
      </c>
      <c r="B1006" s="15" t="s">
        <v>3567</v>
      </c>
      <c r="C1006" s="15" t="s">
        <v>5997</v>
      </c>
      <c r="D1006" s="34" t="n">
        <f aca="false">Activities!M404</f>
        <v>1</v>
      </c>
      <c r="E1006" s="15" t="s">
        <v>5998</v>
      </c>
    </row>
    <row r="1007" customFormat="false" ht="15" hidden="false" customHeight="false" outlineLevel="0" collapsed="false">
      <c r="A1007" s="15" t="s">
        <v>3565</v>
      </c>
      <c r="B1007" s="15" t="s">
        <v>3567</v>
      </c>
      <c r="C1007" s="15" t="s">
        <v>5999</v>
      </c>
      <c r="D1007" s="34" t="n">
        <f aca="false">Activities!N404</f>
        <v>2</v>
      </c>
      <c r="E1007" s="15" t="s">
        <v>5998</v>
      </c>
    </row>
    <row r="1008" customFormat="false" ht="15" hidden="false" customHeight="false" outlineLevel="0" collapsed="false">
      <c r="A1008" s="15" t="s">
        <v>3552</v>
      </c>
      <c r="B1008" s="15" t="s">
        <v>3567</v>
      </c>
      <c r="C1008" s="15" t="s">
        <v>5995</v>
      </c>
      <c r="D1008" s="34" t="n">
        <v>0</v>
      </c>
      <c r="E1008" s="15" t="s">
        <v>6009</v>
      </c>
    </row>
    <row r="1009" customFormat="false" ht="15" hidden="false" customHeight="false" outlineLevel="0" collapsed="false">
      <c r="A1009" s="15" t="s">
        <v>3567</v>
      </c>
      <c r="B1009" s="15" t="s">
        <v>3568</v>
      </c>
      <c r="C1009" s="15" t="s">
        <v>5997</v>
      </c>
      <c r="D1009" s="34" t="n">
        <f aca="false">Activities!M405</f>
        <v>6</v>
      </c>
      <c r="E1009" s="15" t="s">
        <v>5998</v>
      </c>
    </row>
    <row r="1010" customFormat="false" ht="15" hidden="false" customHeight="false" outlineLevel="0" collapsed="false">
      <c r="A1010" s="15" t="s">
        <v>3567</v>
      </c>
      <c r="B1010" s="15" t="s">
        <v>3568</v>
      </c>
      <c r="C1010" s="15" t="s">
        <v>5999</v>
      </c>
      <c r="D1010" s="34" t="n">
        <f aca="false">Activities!N405</f>
        <v>2</v>
      </c>
      <c r="E1010" s="15" t="s">
        <v>5998</v>
      </c>
    </row>
    <row r="1011" customFormat="false" ht="15" hidden="false" customHeight="false" outlineLevel="0" collapsed="false">
      <c r="A1011" s="15" t="s">
        <v>3553</v>
      </c>
      <c r="B1011" s="15" t="s">
        <v>3568</v>
      </c>
      <c r="C1011" s="15" t="s">
        <v>5995</v>
      </c>
      <c r="D1011" s="34" t="n">
        <v>0</v>
      </c>
      <c r="E1011" s="15" t="s">
        <v>6009</v>
      </c>
    </row>
    <row r="1012" customFormat="false" ht="15" hidden="false" customHeight="false" outlineLevel="0" collapsed="false">
      <c r="A1012" s="15" t="s">
        <v>3568</v>
      </c>
      <c r="B1012" s="15" t="s">
        <v>3569</v>
      </c>
      <c r="C1012" s="15" t="s">
        <v>5997</v>
      </c>
      <c r="D1012" s="34" t="n">
        <f aca="false">Activities!M406</f>
        <v>2</v>
      </c>
      <c r="E1012" s="15" t="s">
        <v>5998</v>
      </c>
    </row>
    <row r="1013" customFormat="false" ht="15" hidden="false" customHeight="false" outlineLevel="0" collapsed="false">
      <c r="A1013" s="15" t="s">
        <v>3568</v>
      </c>
      <c r="B1013" s="15" t="s">
        <v>3569</v>
      </c>
      <c r="C1013" s="15" t="s">
        <v>5999</v>
      </c>
      <c r="D1013" s="34" t="n">
        <f aca="false">Activities!N406</f>
        <v>2</v>
      </c>
      <c r="E1013" s="15" t="s">
        <v>5998</v>
      </c>
    </row>
    <row r="1014" customFormat="false" ht="15" hidden="false" customHeight="false" outlineLevel="0" collapsed="false">
      <c r="A1014" s="15" t="s">
        <v>3556</v>
      </c>
      <c r="B1014" s="15" t="s">
        <v>3569</v>
      </c>
      <c r="C1014" s="15" t="s">
        <v>5995</v>
      </c>
      <c r="D1014" s="34" t="n">
        <f aca="false">-Activities!K406</f>
        <v>-12</v>
      </c>
      <c r="E1014" s="15" t="s">
        <v>6004</v>
      </c>
    </row>
    <row r="1015" customFormat="false" ht="15" hidden="false" customHeight="false" outlineLevel="0" collapsed="false">
      <c r="A1015" s="15" t="s">
        <v>3569</v>
      </c>
      <c r="B1015" s="15" t="s">
        <v>3571</v>
      </c>
      <c r="C1015" s="15" t="s">
        <v>5997</v>
      </c>
      <c r="D1015" s="34" t="n">
        <f aca="false">Activities!M407</f>
        <v>10</v>
      </c>
      <c r="E1015" s="15" t="s">
        <v>5998</v>
      </c>
    </row>
    <row r="1016" customFormat="false" ht="15" hidden="false" customHeight="false" outlineLevel="0" collapsed="false">
      <c r="A1016" s="15" t="s">
        <v>3569</v>
      </c>
      <c r="B1016" s="15" t="s">
        <v>3571</v>
      </c>
      <c r="C1016" s="15" t="s">
        <v>5999</v>
      </c>
      <c r="D1016" s="34" t="n">
        <f aca="false">Activities!N407</f>
        <v>2</v>
      </c>
      <c r="E1016" s="15" t="s">
        <v>5998</v>
      </c>
    </row>
    <row r="1017" customFormat="false" ht="15" hidden="false" customHeight="false" outlineLevel="0" collapsed="false">
      <c r="A1017" s="15" t="s">
        <v>3556</v>
      </c>
      <c r="B1017" s="15" t="s">
        <v>3571</v>
      </c>
      <c r="C1017" s="15" t="s">
        <v>5995</v>
      </c>
      <c r="D1017" s="34" t="n">
        <v>0</v>
      </c>
      <c r="E1017" s="15" t="s">
        <v>6009</v>
      </c>
    </row>
    <row r="1018" customFormat="false" ht="15" hidden="false" customHeight="false" outlineLevel="0" collapsed="false">
      <c r="A1018" s="15" t="s">
        <v>5111</v>
      </c>
      <c r="B1018" s="15" t="s">
        <v>3571</v>
      </c>
      <c r="C1018" s="15" t="s">
        <v>5995</v>
      </c>
      <c r="D1018" s="34" t="n">
        <v>0</v>
      </c>
      <c r="E1018" s="15" t="s">
        <v>6008</v>
      </c>
    </row>
    <row r="1019" customFormat="false" ht="15" hidden="false" customHeight="false" outlineLevel="0" collapsed="false">
      <c r="A1019" s="15" t="s">
        <v>5082</v>
      </c>
      <c r="B1019" s="15" t="s">
        <v>3571</v>
      </c>
      <c r="C1019" s="15" t="s">
        <v>5995</v>
      </c>
      <c r="D1019" s="34" t="n">
        <v>0</v>
      </c>
      <c r="E1019" s="15" t="s">
        <v>6008</v>
      </c>
    </row>
    <row r="1020" customFormat="false" ht="15" hidden="false" customHeight="false" outlineLevel="0" collapsed="false">
      <c r="A1020" s="15" t="s">
        <v>5127</v>
      </c>
      <c r="B1020" s="15" t="s">
        <v>3571</v>
      </c>
      <c r="C1020" s="15" t="s">
        <v>5995</v>
      </c>
      <c r="D1020" s="34" t="n">
        <v>0</v>
      </c>
      <c r="E1020" s="15" t="s">
        <v>6008</v>
      </c>
    </row>
    <row r="1021" customFormat="false" ht="15" hidden="false" customHeight="false" outlineLevel="0" collapsed="false">
      <c r="A1021" s="15" t="s">
        <v>3556</v>
      </c>
      <c r="B1021" s="15" t="s">
        <v>3571</v>
      </c>
      <c r="C1021" s="15" t="s">
        <v>5997</v>
      </c>
      <c r="D1021" s="34" t="n">
        <v>0</v>
      </c>
      <c r="E1021" s="15" t="s">
        <v>6006</v>
      </c>
    </row>
    <row r="1022" customFormat="false" ht="15" hidden="false" customHeight="false" outlineLevel="0" collapsed="false">
      <c r="A1022" s="15" t="s">
        <v>3571</v>
      </c>
      <c r="B1022" s="15" t="s">
        <v>3573</v>
      </c>
      <c r="C1022" s="15" t="s">
        <v>5997</v>
      </c>
      <c r="D1022" s="34" t="n">
        <f aca="false">Activities!M408</f>
        <v>3</v>
      </c>
      <c r="E1022" s="15" t="s">
        <v>5998</v>
      </c>
    </row>
    <row r="1023" customFormat="false" ht="15" hidden="false" customHeight="false" outlineLevel="0" collapsed="false">
      <c r="A1023" s="15" t="s">
        <v>3571</v>
      </c>
      <c r="B1023" s="15" t="s">
        <v>3573</v>
      </c>
      <c r="C1023" s="15" t="s">
        <v>5999</v>
      </c>
      <c r="D1023" s="34" t="n">
        <f aca="false">Activities!N408</f>
        <v>2</v>
      </c>
      <c r="E1023" s="15" t="s">
        <v>5998</v>
      </c>
    </row>
    <row r="1024" customFormat="false" ht="15" hidden="false" customHeight="false" outlineLevel="0" collapsed="false">
      <c r="A1024" s="15" t="s">
        <v>3557</v>
      </c>
      <c r="B1024" s="15" t="s">
        <v>3573</v>
      </c>
      <c r="C1024" s="15" t="s">
        <v>5995</v>
      </c>
      <c r="D1024" s="34" t="n">
        <v>0</v>
      </c>
      <c r="E1024" s="15" t="s">
        <v>6009</v>
      </c>
    </row>
    <row r="1025" customFormat="false" ht="15" hidden="false" customHeight="false" outlineLevel="0" collapsed="false">
      <c r="A1025" s="15" t="s">
        <v>3573</v>
      </c>
      <c r="B1025" s="15" t="s">
        <v>3574</v>
      </c>
      <c r="C1025" s="15" t="s">
        <v>5997</v>
      </c>
      <c r="D1025" s="34" t="n">
        <f aca="false">Activities!M409</f>
        <v>5</v>
      </c>
      <c r="E1025" s="15" t="s">
        <v>5998</v>
      </c>
    </row>
    <row r="1026" customFormat="false" ht="15" hidden="false" customHeight="false" outlineLevel="0" collapsed="false">
      <c r="A1026" s="15" t="s">
        <v>3573</v>
      </c>
      <c r="B1026" s="15" t="s">
        <v>3574</v>
      </c>
      <c r="C1026" s="15" t="s">
        <v>5999</v>
      </c>
      <c r="D1026" s="34" t="n">
        <f aca="false">Activities!N409</f>
        <v>2</v>
      </c>
      <c r="E1026" s="15" t="s">
        <v>5998</v>
      </c>
    </row>
    <row r="1027" customFormat="false" ht="15" hidden="false" customHeight="false" outlineLevel="0" collapsed="false">
      <c r="A1027" s="15" t="s">
        <v>3558</v>
      </c>
      <c r="B1027" s="15" t="s">
        <v>3574</v>
      </c>
      <c r="C1027" s="15" t="s">
        <v>5995</v>
      </c>
      <c r="D1027" s="34" t="n">
        <v>0</v>
      </c>
      <c r="E1027" s="15" t="s">
        <v>6009</v>
      </c>
    </row>
    <row r="1028" customFormat="false" ht="15" hidden="false" customHeight="false" outlineLevel="0" collapsed="false">
      <c r="A1028" s="15" t="s">
        <v>3574</v>
      </c>
      <c r="B1028" s="15" t="s">
        <v>3575</v>
      </c>
      <c r="C1028" s="15" t="s">
        <v>5997</v>
      </c>
      <c r="D1028" s="34" t="n">
        <f aca="false">Activities!M410</f>
        <v>4</v>
      </c>
      <c r="E1028" s="15" t="s">
        <v>5998</v>
      </c>
    </row>
    <row r="1029" customFormat="false" ht="15" hidden="false" customHeight="false" outlineLevel="0" collapsed="false">
      <c r="A1029" s="15" t="s">
        <v>3574</v>
      </c>
      <c r="B1029" s="15" t="s">
        <v>3575</v>
      </c>
      <c r="C1029" s="15" t="s">
        <v>5999</v>
      </c>
      <c r="D1029" s="34" t="n">
        <f aca="false">Activities!N410</f>
        <v>2</v>
      </c>
      <c r="E1029" s="15" t="s">
        <v>5998</v>
      </c>
    </row>
    <row r="1030" customFormat="false" ht="15" hidden="false" customHeight="false" outlineLevel="0" collapsed="false">
      <c r="A1030" s="15" t="s">
        <v>3575</v>
      </c>
      <c r="B1030" s="15" t="s">
        <v>3576</v>
      </c>
      <c r="C1030" s="15" t="s">
        <v>5997</v>
      </c>
      <c r="D1030" s="34" t="n">
        <f aca="false">Activities!M411</f>
        <v>2</v>
      </c>
      <c r="E1030" s="15" t="s">
        <v>5998</v>
      </c>
    </row>
    <row r="1031" customFormat="false" ht="15" hidden="false" customHeight="false" outlineLevel="0" collapsed="false">
      <c r="A1031" s="15" t="s">
        <v>3575</v>
      </c>
      <c r="B1031" s="15" t="s">
        <v>3576</v>
      </c>
      <c r="C1031" s="15" t="s">
        <v>5999</v>
      </c>
      <c r="D1031" s="34" t="n">
        <f aca="false">Activities!N411</f>
        <v>2</v>
      </c>
      <c r="E1031" s="15" t="s">
        <v>5998</v>
      </c>
    </row>
    <row r="1032" customFormat="false" ht="15" hidden="false" customHeight="false" outlineLevel="0" collapsed="false">
      <c r="A1032" s="15" t="s">
        <v>3560</v>
      </c>
      <c r="B1032" s="15" t="s">
        <v>3576</v>
      </c>
      <c r="C1032" s="15" t="s">
        <v>5995</v>
      </c>
      <c r="D1032" s="34" t="n">
        <v>0</v>
      </c>
      <c r="E1032" s="15" t="s">
        <v>6009</v>
      </c>
    </row>
    <row r="1033" customFormat="false" ht="15" hidden="false" customHeight="false" outlineLevel="0" collapsed="false">
      <c r="A1033" s="15" t="s">
        <v>3637</v>
      </c>
      <c r="B1033" s="15" t="s">
        <v>3576</v>
      </c>
      <c r="C1033" s="15" t="s">
        <v>5995</v>
      </c>
      <c r="D1033" s="34" t="n">
        <v>0</v>
      </c>
      <c r="E1033" s="15" t="s">
        <v>6005</v>
      </c>
    </row>
    <row r="1034" customFormat="false" ht="15" hidden="false" customHeight="false" outlineLevel="0" collapsed="false">
      <c r="A1034" s="15" t="s">
        <v>3606</v>
      </c>
      <c r="B1034" s="15" t="s">
        <v>3576</v>
      </c>
      <c r="C1034" s="15" t="s">
        <v>5995</v>
      </c>
      <c r="D1034" s="34" t="n">
        <v>0</v>
      </c>
      <c r="E1034" s="15" t="s">
        <v>6005</v>
      </c>
    </row>
    <row r="1035" customFormat="false" ht="15" hidden="false" customHeight="false" outlineLevel="0" collapsed="false">
      <c r="A1035" s="15" t="s">
        <v>3590</v>
      </c>
      <c r="B1035" s="15" t="s">
        <v>3576</v>
      </c>
      <c r="C1035" s="15" t="s">
        <v>5995</v>
      </c>
      <c r="D1035" s="34" t="n">
        <v>0</v>
      </c>
      <c r="E1035" s="15" t="s">
        <v>6005</v>
      </c>
    </row>
    <row r="1036" customFormat="false" ht="15" hidden="false" customHeight="false" outlineLevel="0" collapsed="false">
      <c r="A1036" s="15" t="s">
        <v>3558</v>
      </c>
      <c r="B1036" s="15" t="s">
        <v>3576</v>
      </c>
      <c r="C1036" s="15" t="s">
        <v>5995</v>
      </c>
      <c r="D1036" s="34" t="n">
        <v>0</v>
      </c>
      <c r="E1036" s="15" t="s">
        <v>6005</v>
      </c>
    </row>
    <row r="1037" customFormat="false" ht="15" hidden="false" customHeight="false" outlineLevel="0" collapsed="false">
      <c r="A1037" s="15" t="s">
        <v>3576</v>
      </c>
      <c r="B1037" s="15" t="s">
        <v>3578</v>
      </c>
      <c r="C1037" s="15" t="s">
        <v>5997</v>
      </c>
      <c r="D1037" s="34" t="n">
        <f aca="false">Activities!M412</f>
        <v>2</v>
      </c>
      <c r="E1037" s="15" t="s">
        <v>5998</v>
      </c>
    </row>
    <row r="1038" customFormat="false" ht="15" hidden="false" customHeight="false" outlineLevel="0" collapsed="false">
      <c r="A1038" s="15" t="s">
        <v>3576</v>
      </c>
      <c r="B1038" s="15" t="s">
        <v>3578</v>
      </c>
      <c r="C1038" s="15" t="s">
        <v>5999</v>
      </c>
      <c r="D1038" s="34" t="n">
        <f aca="false">Activities!N412</f>
        <v>2</v>
      </c>
      <c r="E1038" s="15" t="s">
        <v>5998</v>
      </c>
    </row>
    <row r="1039" customFormat="false" ht="15" hidden="false" customHeight="false" outlineLevel="0" collapsed="false">
      <c r="A1039" s="15" t="s">
        <v>3579</v>
      </c>
      <c r="B1039" s="15" t="s">
        <v>3581</v>
      </c>
      <c r="C1039" s="15" t="s">
        <v>5995</v>
      </c>
      <c r="D1039" s="34" t="n">
        <v>0</v>
      </c>
      <c r="E1039" s="15" t="s">
        <v>5996</v>
      </c>
    </row>
    <row r="1040" customFormat="false" ht="15" hidden="false" customHeight="false" outlineLevel="0" collapsed="false">
      <c r="A1040" s="15" t="s">
        <v>3567</v>
      </c>
      <c r="B1040" s="15" t="s">
        <v>3581</v>
      </c>
      <c r="C1040" s="15" t="s">
        <v>5997</v>
      </c>
      <c r="D1040" s="34" t="n">
        <v>0</v>
      </c>
      <c r="E1040" s="15" t="s">
        <v>6002</v>
      </c>
    </row>
    <row r="1041" customFormat="false" ht="15" hidden="false" customHeight="false" outlineLevel="0" collapsed="false">
      <c r="A1041" s="15" t="s">
        <v>3581</v>
      </c>
      <c r="B1041" s="15" t="s">
        <v>3583</v>
      </c>
      <c r="C1041" s="15" t="s">
        <v>5997</v>
      </c>
      <c r="D1041" s="34" t="n">
        <f aca="false">Activities!M415</f>
        <v>1</v>
      </c>
      <c r="E1041" s="15" t="s">
        <v>5998</v>
      </c>
    </row>
    <row r="1042" customFormat="false" ht="15" hidden="false" customHeight="false" outlineLevel="0" collapsed="false">
      <c r="A1042" s="15" t="s">
        <v>3581</v>
      </c>
      <c r="B1042" s="15" t="s">
        <v>3583</v>
      </c>
      <c r="C1042" s="15" t="s">
        <v>5999</v>
      </c>
      <c r="D1042" s="34" t="n">
        <f aca="false">Activities!N415</f>
        <v>2</v>
      </c>
      <c r="E1042" s="15" t="s">
        <v>5998</v>
      </c>
    </row>
    <row r="1043" customFormat="false" ht="15" hidden="false" customHeight="false" outlineLevel="0" collapsed="false">
      <c r="A1043" s="15" t="s">
        <v>3567</v>
      </c>
      <c r="B1043" s="15" t="s">
        <v>3583</v>
      </c>
      <c r="C1043" s="15" t="s">
        <v>5995</v>
      </c>
      <c r="D1043" s="34" t="n">
        <v>0</v>
      </c>
      <c r="E1043" s="15" t="s">
        <v>6009</v>
      </c>
    </row>
    <row r="1044" customFormat="false" ht="15" hidden="false" customHeight="false" outlineLevel="0" collapsed="false">
      <c r="A1044" s="15" t="s">
        <v>3583</v>
      </c>
      <c r="B1044" s="15" t="s">
        <v>3584</v>
      </c>
      <c r="C1044" s="15" t="s">
        <v>5997</v>
      </c>
      <c r="D1044" s="34" t="n">
        <f aca="false">Activities!M416</f>
        <v>4</v>
      </c>
      <c r="E1044" s="15" t="s">
        <v>5998</v>
      </c>
    </row>
    <row r="1045" customFormat="false" ht="15" hidden="false" customHeight="false" outlineLevel="0" collapsed="false">
      <c r="A1045" s="15" t="s">
        <v>3583</v>
      </c>
      <c r="B1045" s="15" t="s">
        <v>3584</v>
      </c>
      <c r="C1045" s="15" t="s">
        <v>5999</v>
      </c>
      <c r="D1045" s="34" t="n">
        <f aca="false">Activities!N416</f>
        <v>2</v>
      </c>
      <c r="E1045" s="15" t="s">
        <v>5998</v>
      </c>
    </row>
    <row r="1046" customFormat="false" ht="15" hidden="false" customHeight="false" outlineLevel="0" collapsed="false">
      <c r="A1046" s="15" t="s">
        <v>3568</v>
      </c>
      <c r="B1046" s="15" t="s">
        <v>3584</v>
      </c>
      <c r="C1046" s="15" t="s">
        <v>5995</v>
      </c>
      <c r="D1046" s="34" t="n">
        <v>0</v>
      </c>
      <c r="E1046" s="15" t="s">
        <v>6009</v>
      </c>
    </row>
    <row r="1047" customFormat="false" ht="15" hidden="false" customHeight="false" outlineLevel="0" collapsed="false">
      <c r="A1047" s="15" t="s">
        <v>3584</v>
      </c>
      <c r="B1047" s="15" t="s">
        <v>3585</v>
      </c>
      <c r="C1047" s="15" t="s">
        <v>5997</v>
      </c>
      <c r="D1047" s="34" t="n">
        <f aca="false">Activities!M417</f>
        <v>2</v>
      </c>
      <c r="E1047" s="15" t="s">
        <v>5998</v>
      </c>
    </row>
    <row r="1048" customFormat="false" ht="15" hidden="false" customHeight="false" outlineLevel="0" collapsed="false">
      <c r="A1048" s="15" t="s">
        <v>3584</v>
      </c>
      <c r="B1048" s="15" t="s">
        <v>3585</v>
      </c>
      <c r="C1048" s="15" t="s">
        <v>5999</v>
      </c>
      <c r="D1048" s="34" t="n">
        <f aca="false">Activities!N417</f>
        <v>2</v>
      </c>
      <c r="E1048" s="15" t="s">
        <v>5998</v>
      </c>
    </row>
    <row r="1049" customFormat="false" ht="15" hidden="false" customHeight="false" outlineLevel="0" collapsed="false">
      <c r="A1049" s="15" t="s">
        <v>3571</v>
      </c>
      <c r="B1049" s="15" t="s">
        <v>3585</v>
      </c>
      <c r="C1049" s="15" t="s">
        <v>5995</v>
      </c>
      <c r="D1049" s="34" t="n">
        <f aca="false">-Activities!K417</f>
        <v>-11</v>
      </c>
      <c r="E1049" s="15" t="s">
        <v>6004</v>
      </c>
    </row>
    <row r="1050" customFormat="false" ht="15" hidden="false" customHeight="false" outlineLevel="0" collapsed="false">
      <c r="A1050" s="15" t="s">
        <v>3585</v>
      </c>
      <c r="B1050" s="15" t="s">
        <v>3587</v>
      </c>
      <c r="C1050" s="15" t="s">
        <v>5997</v>
      </c>
      <c r="D1050" s="34" t="n">
        <f aca="false">Activities!M418</f>
        <v>10</v>
      </c>
      <c r="E1050" s="15" t="s">
        <v>5998</v>
      </c>
    </row>
    <row r="1051" customFormat="false" ht="15" hidden="false" customHeight="false" outlineLevel="0" collapsed="false">
      <c r="A1051" s="15" t="s">
        <v>3585</v>
      </c>
      <c r="B1051" s="15" t="s">
        <v>3587</v>
      </c>
      <c r="C1051" s="15" t="s">
        <v>5999</v>
      </c>
      <c r="D1051" s="34" t="n">
        <f aca="false">Activities!N418</f>
        <v>2</v>
      </c>
      <c r="E1051" s="15" t="s">
        <v>5998</v>
      </c>
    </row>
    <row r="1052" customFormat="false" ht="15" hidden="false" customHeight="false" outlineLevel="0" collapsed="false">
      <c r="A1052" s="15" t="s">
        <v>3571</v>
      </c>
      <c r="B1052" s="15" t="s">
        <v>3587</v>
      </c>
      <c r="C1052" s="15" t="s">
        <v>5995</v>
      </c>
      <c r="D1052" s="34" t="n">
        <v>0</v>
      </c>
      <c r="E1052" s="15" t="s">
        <v>6009</v>
      </c>
    </row>
    <row r="1053" customFormat="false" ht="15" hidden="false" customHeight="false" outlineLevel="0" collapsed="false">
      <c r="A1053" s="15" t="s">
        <v>5291</v>
      </c>
      <c r="B1053" s="15" t="s">
        <v>3587</v>
      </c>
      <c r="C1053" s="15" t="s">
        <v>5995</v>
      </c>
      <c r="D1053" s="34" t="n">
        <v>0</v>
      </c>
      <c r="E1053" s="15" t="s">
        <v>6008</v>
      </c>
    </row>
    <row r="1054" customFormat="false" ht="15" hidden="false" customHeight="false" outlineLevel="0" collapsed="false">
      <c r="A1054" s="15" t="s">
        <v>3571</v>
      </c>
      <c r="B1054" s="15" t="s">
        <v>3587</v>
      </c>
      <c r="C1054" s="15" t="s">
        <v>5997</v>
      </c>
      <c r="D1054" s="34" t="n">
        <v>0</v>
      </c>
      <c r="E1054" s="15" t="s">
        <v>6006</v>
      </c>
    </row>
    <row r="1055" customFormat="false" ht="15" hidden="false" customHeight="false" outlineLevel="0" collapsed="false">
      <c r="A1055" s="15" t="s">
        <v>3541</v>
      </c>
      <c r="B1055" s="15" t="s">
        <v>3587</v>
      </c>
      <c r="C1055" s="15" t="s">
        <v>5997</v>
      </c>
      <c r="D1055" s="34" t="n">
        <v>0</v>
      </c>
      <c r="E1055" s="15" t="s">
        <v>6006</v>
      </c>
    </row>
    <row r="1056" customFormat="false" ht="15" hidden="false" customHeight="false" outlineLevel="0" collapsed="false">
      <c r="A1056" s="15" t="s">
        <v>3587</v>
      </c>
      <c r="B1056" s="15" t="s">
        <v>3589</v>
      </c>
      <c r="C1056" s="15" t="s">
        <v>5997</v>
      </c>
      <c r="D1056" s="34" t="n">
        <f aca="false">Activities!M419</f>
        <v>2</v>
      </c>
      <c r="E1056" s="15" t="s">
        <v>5998</v>
      </c>
    </row>
    <row r="1057" customFormat="false" ht="15" hidden="false" customHeight="false" outlineLevel="0" collapsed="false">
      <c r="A1057" s="15" t="s">
        <v>3587</v>
      </c>
      <c r="B1057" s="15" t="s">
        <v>3589</v>
      </c>
      <c r="C1057" s="15" t="s">
        <v>5999</v>
      </c>
      <c r="D1057" s="34" t="n">
        <f aca="false">Activities!N419</f>
        <v>2</v>
      </c>
      <c r="E1057" s="15" t="s">
        <v>5998</v>
      </c>
    </row>
    <row r="1058" customFormat="false" ht="15" hidden="false" customHeight="false" outlineLevel="0" collapsed="false">
      <c r="A1058" s="15" t="s">
        <v>3573</v>
      </c>
      <c r="B1058" s="15" t="s">
        <v>3589</v>
      </c>
      <c r="C1058" s="15" t="s">
        <v>5995</v>
      </c>
      <c r="D1058" s="34" t="n">
        <v>0</v>
      </c>
      <c r="E1058" s="15" t="s">
        <v>6009</v>
      </c>
    </row>
    <row r="1059" customFormat="false" ht="15" hidden="false" customHeight="false" outlineLevel="0" collapsed="false">
      <c r="A1059" s="15" t="s">
        <v>3589</v>
      </c>
      <c r="B1059" s="15" t="s">
        <v>3590</v>
      </c>
      <c r="C1059" s="15" t="s">
        <v>5997</v>
      </c>
      <c r="D1059" s="34" t="n">
        <f aca="false">Activities!M420</f>
        <v>4</v>
      </c>
      <c r="E1059" s="15" t="s">
        <v>5998</v>
      </c>
    </row>
    <row r="1060" customFormat="false" ht="15" hidden="false" customHeight="false" outlineLevel="0" collapsed="false">
      <c r="A1060" s="15" t="s">
        <v>3589</v>
      </c>
      <c r="B1060" s="15" t="s">
        <v>3590</v>
      </c>
      <c r="C1060" s="15" t="s">
        <v>5999</v>
      </c>
      <c r="D1060" s="34" t="n">
        <f aca="false">Activities!N420</f>
        <v>2</v>
      </c>
      <c r="E1060" s="15" t="s">
        <v>5998</v>
      </c>
    </row>
    <row r="1061" customFormat="false" ht="15" hidden="false" customHeight="false" outlineLevel="0" collapsed="false">
      <c r="A1061" s="15" t="s">
        <v>3574</v>
      </c>
      <c r="B1061" s="15" t="s">
        <v>3590</v>
      </c>
      <c r="C1061" s="15" t="s">
        <v>5995</v>
      </c>
      <c r="D1061" s="34" t="n">
        <v>0</v>
      </c>
      <c r="E1061" s="15" t="s">
        <v>6009</v>
      </c>
    </row>
    <row r="1062" customFormat="false" ht="15" hidden="false" customHeight="false" outlineLevel="0" collapsed="false">
      <c r="A1062" s="15" t="s">
        <v>3590</v>
      </c>
      <c r="B1062" s="15" t="s">
        <v>3591</v>
      </c>
      <c r="C1062" s="15" t="s">
        <v>5997</v>
      </c>
      <c r="D1062" s="34" t="n">
        <f aca="false">Activities!M421</f>
        <v>2</v>
      </c>
      <c r="E1062" s="15" t="s">
        <v>5998</v>
      </c>
    </row>
    <row r="1063" customFormat="false" ht="15" hidden="false" customHeight="false" outlineLevel="0" collapsed="false">
      <c r="A1063" s="15" t="s">
        <v>3590</v>
      </c>
      <c r="B1063" s="15" t="s">
        <v>3591</v>
      </c>
      <c r="C1063" s="15" t="s">
        <v>5999</v>
      </c>
      <c r="D1063" s="34" t="n">
        <f aca="false">Activities!N421</f>
        <v>2</v>
      </c>
      <c r="E1063" s="15" t="s">
        <v>5998</v>
      </c>
    </row>
    <row r="1064" customFormat="false" ht="15" hidden="false" customHeight="false" outlineLevel="0" collapsed="false">
      <c r="A1064" s="15" t="s">
        <v>3591</v>
      </c>
      <c r="B1064" s="15" t="s">
        <v>3592</v>
      </c>
      <c r="C1064" s="15" t="s">
        <v>5997</v>
      </c>
      <c r="D1064" s="34" t="n">
        <f aca="false">Activities!M422</f>
        <v>2</v>
      </c>
      <c r="E1064" s="15" t="s">
        <v>5998</v>
      </c>
    </row>
    <row r="1065" customFormat="false" ht="15" hidden="false" customHeight="false" outlineLevel="0" collapsed="false">
      <c r="A1065" s="15" t="s">
        <v>3591</v>
      </c>
      <c r="B1065" s="15" t="s">
        <v>3592</v>
      </c>
      <c r="C1065" s="15" t="s">
        <v>5999</v>
      </c>
      <c r="D1065" s="34" t="n">
        <f aca="false">Activities!N422</f>
        <v>2</v>
      </c>
      <c r="E1065" s="15" t="s">
        <v>5998</v>
      </c>
    </row>
    <row r="1066" customFormat="false" ht="15" hidden="false" customHeight="false" outlineLevel="0" collapsed="false">
      <c r="A1066" s="15" t="s">
        <v>3576</v>
      </c>
      <c r="B1066" s="15" t="s">
        <v>3592</v>
      </c>
      <c r="C1066" s="15" t="s">
        <v>5995</v>
      </c>
      <c r="D1066" s="34" t="n">
        <v>0</v>
      </c>
      <c r="E1066" s="15" t="s">
        <v>6009</v>
      </c>
    </row>
    <row r="1067" customFormat="false" ht="15" hidden="false" customHeight="false" outlineLevel="0" collapsed="false">
      <c r="A1067" s="15" t="s">
        <v>3574</v>
      </c>
      <c r="B1067" s="15" t="s">
        <v>3592</v>
      </c>
      <c r="C1067" s="15" t="s">
        <v>5995</v>
      </c>
      <c r="D1067" s="34" t="n">
        <v>0</v>
      </c>
      <c r="E1067" s="15" t="s">
        <v>6005</v>
      </c>
    </row>
    <row r="1068" customFormat="false" ht="15" hidden="false" customHeight="false" outlineLevel="0" collapsed="false">
      <c r="A1068" s="15" t="s">
        <v>3543</v>
      </c>
      <c r="B1068" s="15" t="s">
        <v>3592</v>
      </c>
      <c r="C1068" s="15" t="s">
        <v>5995</v>
      </c>
      <c r="D1068" s="34" t="n">
        <v>0</v>
      </c>
      <c r="E1068" s="15" t="s">
        <v>6005</v>
      </c>
    </row>
    <row r="1069" customFormat="false" ht="15" hidden="false" customHeight="false" outlineLevel="0" collapsed="false">
      <c r="A1069" s="15" t="s">
        <v>3592</v>
      </c>
      <c r="B1069" s="15" t="s">
        <v>3594</v>
      </c>
      <c r="C1069" s="15" t="s">
        <v>5997</v>
      </c>
      <c r="D1069" s="34" t="n">
        <f aca="false">Activities!M423</f>
        <v>1</v>
      </c>
      <c r="E1069" s="15" t="s">
        <v>5998</v>
      </c>
    </row>
    <row r="1070" customFormat="false" ht="15" hidden="false" customHeight="false" outlineLevel="0" collapsed="false">
      <c r="A1070" s="15" t="s">
        <v>3592</v>
      </c>
      <c r="B1070" s="15" t="s">
        <v>3594</v>
      </c>
      <c r="C1070" s="15" t="s">
        <v>5999</v>
      </c>
      <c r="D1070" s="34" t="n">
        <f aca="false">Activities!N423</f>
        <v>2</v>
      </c>
      <c r="E1070" s="15" t="s">
        <v>5998</v>
      </c>
    </row>
    <row r="1071" customFormat="false" ht="15" hidden="false" customHeight="false" outlineLevel="0" collapsed="false">
      <c r="A1071" s="15" t="s">
        <v>3595</v>
      </c>
      <c r="B1071" s="15" t="s">
        <v>3597</v>
      </c>
      <c r="C1071" s="15" t="s">
        <v>5995</v>
      </c>
      <c r="D1071" s="34" t="n">
        <v>0</v>
      </c>
      <c r="E1071" s="15" t="s">
        <v>5996</v>
      </c>
    </row>
    <row r="1072" customFormat="false" ht="15" hidden="false" customHeight="false" outlineLevel="0" collapsed="false">
      <c r="A1072" s="15" t="s">
        <v>3583</v>
      </c>
      <c r="B1072" s="15" t="s">
        <v>3597</v>
      </c>
      <c r="C1072" s="15" t="s">
        <v>5997</v>
      </c>
      <c r="D1072" s="34" t="n">
        <v>0</v>
      </c>
      <c r="E1072" s="15" t="s">
        <v>6002</v>
      </c>
    </row>
    <row r="1073" customFormat="false" ht="15" hidden="false" customHeight="false" outlineLevel="0" collapsed="false">
      <c r="A1073" s="15" t="s">
        <v>3597</v>
      </c>
      <c r="B1073" s="15" t="s">
        <v>3599</v>
      </c>
      <c r="C1073" s="15" t="s">
        <v>5997</v>
      </c>
      <c r="D1073" s="34" t="n">
        <f aca="false">Activities!M426</f>
        <v>1</v>
      </c>
      <c r="E1073" s="15" t="s">
        <v>5998</v>
      </c>
    </row>
    <row r="1074" customFormat="false" ht="15" hidden="false" customHeight="false" outlineLevel="0" collapsed="false">
      <c r="A1074" s="15" t="s">
        <v>3597</v>
      </c>
      <c r="B1074" s="15" t="s">
        <v>3599</v>
      </c>
      <c r="C1074" s="15" t="s">
        <v>5999</v>
      </c>
      <c r="D1074" s="34" t="n">
        <f aca="false">Activities!N426</f>
        <v>2</v>
      </c>
      <c r="E1074" s="15" t="s">
        <v>5998</v>
      </c>
    </row>
    <row r="1075" customFormat="false" ht="15" hidden="false" customHeight="false" outlineLevel="0" collapsed="false">
      <c r="A1075" s="15" t="s">
        <v>3583</v>
      </c>
      <c r="B1075" s="15" t="s">
        <v>3599</v>
      </c>
      <c r="C1075" s="15" t="s">
        <v>5995</v>
      </c>
      <c r="D1075" s="34" t="n">
        <v>0</v>
      </c>
      <c r="E1075" s="15" t="s">
        <v>6009</v>
      </c>
    </row>
    <row r="1076" customFormat="false" ht="15" hidden="false" customHeight="false" outlineLevel="0" collapsed="false">
      <c r="A1076" s="15" t="s">
        <v>3599</v>
      </c>
      <c r="B1076" s="15" t="s">
        <v>3600</v>
      </c>
      <c r="C1076" s="15" t="s">
        <v>5997</v>
      </c>
      <c r="D1076" s="34" t="n">
        <f aca="false">Activities!M427</f>
        <v>2</v>
      </c>
      <c r="E1076" s="15" t="s">
        <v>5998</v>
      </c>
    </row>
    <row r="1077" customFormat="false" ht="15" hidden="false" customHeight="false" outlineLevel="0" collapsed="false">
      <c r="A1077" s="15" t="s">
        <v>3599</v>
      </c>
      <c r="B1077" s="15" t="s">
        <v>3600</v>
      </c>
      <c r="C1077" s="15" t="s">
        <v>5999</v>
      </c>
      <c r="D1077" s="34" t="n">
        <f aca="false">Activities!N427</f>
        <v>0</v>
      </c>
      <c r="E1077" s="15" t="s">
        <v>5998</v>
      </c>
    </row>
    <row r="1078" customFormat="false" ht="15" hidden="false" customHeight="false" outlineLevel="0" collapsed="false">
      <c r="A1078" s="15" t="s">
        <v>3584</v>
      </c>
      <c r="B1078" s="15" t="s">
        <v>3600</v>
      </c>
      <c r="C1078" s="15" t="s">
        <v>5995</v>
      </c>
      <c r="D1078" s="34" t="n">
        <v>0</v>
      </c>
      <c r="E1078" s="15" t="s">
        <v>6009</v>
      </c>
    </row>
    <row r="1079" customFormat="false" ht="15" hidden="false" customHeight="false" outlineLevel="0" collapsed="false">
      <c r="A1079" s="15" t="s">
        <v>3600</v>
      </c>
      <c r="B1079" s="15" t="s">
        <v>3601</v>
      </c>
      <c r="C1079" s="15" t="s">
        <v>5997</v>
      </c>
      <c r="D1079" s="34" t="n">
        <f aca="false">Activities!M428</f>
        <v>0</v>
      </c>
      <c r="E1079" s="15" t="s">
        <v>5998</v>
      </c>
    </row>
    <row r="1080" customFormat="false" ht="15" hidden="false" customHeight="false" outlineLevel="0" collapsed="false">
      <c r="A1080" s="15" t="s">
        <v>3600</v>
      </c>
      <c r="B1080" s="15" t="s">
        <v>3601</v>
      </c>
      <c r="C1080" s="15" t="s">
        <v>5999</v>
      </c>
      <c r="D1080" s="34" t="n">
        <f aca="false">Activities!N428</f>
        <v>2</v>
      </c>
      <c r="E1080" s="15" t="s">
        <v>5998</v>
      </c>
    </row>
    <row r="1081" customFormat="false" ht="15" hidden="false" customHeight="false" outlineLevel="0" collapsed="false">
      <c r="A1081" s="15" t="s">
        <v>3587</v>
      </c>
      <c r="B1081" s="15" t="s">
        <v>3601</v>
      </c>
      <c r="C1081" s="15" t="s">
        <v>5995</v>
      </c>
      <c r="D1081" s="34" t="n">
        <f aca="false">-Activities!K428</f>
        <v>-10</v>
      </c>
      <c r="E1081" s="15" t="s">
        <v>6004</v>
      </c>
    </row>
    <row r="1082" customFormat="false" ht="15" hidden="false" customHeight="false" outlineLevel="0" collapsed="false">
      <c r="A1082" s="15" t="s">
        <v>3601</v>
      </c>
      <c r="B1082" s="15" t="s">
        <v>3603</v>
      </c>
      <c r="C1082" s="15" t="s">
        <v>5997</v>
      </c>
      <c r="D1082" s="34" t="n">
        <f aca="false">Activities!M429</f>
        <v>10</v>
      </c>
      <c r="E1082" s="15" t="s">
        <v>5998</v>
      </c>
    </row>
    <row r="1083" customFormat="false" ht="15" hidden="false" customHeight="false" outlineLevel="0" collapsed="false">
      <c r="A1083" s="15" t="s">
        <v>3601</v>
      </c>
      <c r="B1083" s="15" t="s">
        <v>3603</v>
      </c>
      <c r="C1083" s="15" t="s">
        <v>5999</v>
      </c>
      <c r="D1083" s="34" t="n">
        <f aca="false">Activities!N429</f>
        <v>2</v>
      </c>
      <c r="E1083" s="15" t="s">
        <v>5998</v>
      </c>
    </row>
    <row r="1084" customFormat="false" ht="15" hidden="false" customHeight="false" outlineLevel="0" collapsed="false">
      <c r="A1084" s="15" t="s">
        <v>3587</v>
      </c>
      <c r="B1084" s="15" t="s">
        <v>3603</v>
      </c>
      <c r="C1084" s="15" t="s">
        <v>5995</v>
      </c>
      <c r="D1084" s="34" t="n">
        <v>0</v>
      </c>
      <c r="E1084" s="15" t="s">
        <v>6009</v>
      </c>
    </row>
    <row r="1085" customFormat="false" ht="15" hidden="false" customHeight="false" outlineLevel="0" collapsed="false">
      <c r="A1085" s="15" t="s">
        <v>5111</v>
      </c>
      <c r="B1085" s="15" t="s">
        <v>3603</v>
      </c>
      <c r="C1085" s="15" t="s">
        <v>5995</v>
      </c>
      <c r="D1085" s="34" t="n">
        <v>0</v>
      </c>
      <c r="E1085" s="15" t="s">
        <v>6008</v>
      </c>
    </row>
    <row r="1086" customFormat="false" ht="15" hidden="false" customHeight="false" outlineLevel="0" collapsed="false">
      <c r="A1086" s="15" t="s">
        <v>5143</v>
      </c>
      <c r="B1086" s="15" t="s">
        <v>3603</v>
      </c>
      <c r="C1086" s="15" t="s">
        <v>5995</v>
      </c>
      <c r="D1086" s="34" t="n">
        <v>0</v>
      </c>
      <c r="E1086" s="15" t="s">
        <v>6008</v>
      </c>
    </row>
    <row r="1087" customFormat="false" ht="15" hidden="false" customHeight="false" outlineLevel="0" collapsed="false">
      <c r="A1087" s="15" t="s">
        <v>5291</v>
      </c>
      <c r="B1087" s="15" t="s">
        <v>3603</v>
      </c>
      <c r="C1087" s="15" t="s">
        <v>5995</v>
      </c>
      <c r="D1087" s="34" t="n">
        <v>0</v>
      </c>
      <c r="E1087" s="15" t="s">
        <v>6008</v>
      </c>
    </row>
    <row r="1088" customFormat="false" ht="15" hidden="false" customHeight="false" outlineLevel="0" collapsed="false">
      <c r="A1088" s="15" t="s">
        <v>5262</v>
      </c>
      <c r="B1088" s="15" t="s">
        <v>3603</v>
      </c>
      <c r="C1088" s="15" t="s">
        <v>5995</v>
      </c>
      <c r="D1088" s="34" t="n">
        <v>0</v>
      </c>
      <c r="E1088" s="15" t="s">
        <v>6008</v>
      </c>
    </row>
    <row r="1089" customFormat="false" ht="15" hidden="false" customHeight="false" outlineLevel="0" collapsed="false">
      <c r="A1089" s="15" t="s">
        <v>5127</v>
      </c>
      <c r="B1089" s="15" t="s">
        <v>3603</v>
      </c>
      <c r="C1089" s="15" t="s">
        <v>5995</v>
      </c>
      <c r="D1089" s="34" t="n">
        <v>0</v>
      </c>
      <c r="E1089" s="15" t="s">
        <v>6008</v>
      </c>
    </row>
    <row r="1090" customFormat="false" ht="15" hidden="false" customHeight="false" outlineLevel="0" collapsed="false">
      <c r="A1090" s="15" t="s">
        <v>3571</v>
      </c>
      <c r="B1090" s="15" t="s">
        <v>3603</v>
      </c>
      <c r="C1090" s="15" t="s">
        <v>5997</v>
      </c>
      <c r="D1090" s="34" t="n">
        <v>0</v>
      </c>
      <c r="E1090" s="15" t="s">
        <v>6006</v>
      </c>
    </row>
    <row r="1091" customFormat="false" ht="15" hidden="false" customHeight="false" outlineLevel="0" collapsed="false">
      <c r="A1091" s="15" t="s">
        <v>3603</v>
      </c>
      <c r="B1091" s="15" t="s">
        <v>3605</v>
      </c>
      <c r="C1091" s="15" t="s">
        <v>5997</v>
      </c>
      <c r="D1091" s="34" t="n">
        <f aca="false">Activities!M430</f>
        <v>1</v>
      </c>
      <c r="E1091" s="15" t="s">
        <v>5998</v>
      </c>
    </row>
    <row r="1092" customFormat="false" ht="15" hidden="false" customHeight="false" outlineLevel="0" collapsed="false">
      <c r="A1092" s="15" t="s">
        <v>3603</v>
      </c>
      <c r="B1092" s="15" t="s">
        <v>3605</v>
      </c>
      <c r="C1092" s="15" t="s">
        <v>5999</v>
      </c>
      <c r="D1092" s="34" t="n">
        <f aca="false">Activities!N430</f>
        <v>2</v>
      </c>
      <c r="E1092" s="15" t="s">
        <v>5998</v>
      </c>
    </row>
    <row r="1093" customFormat="false" ht="15" hidden="false" customHeight="false" outlineLevel="0" collapsed="false">
      <c r="A1093" s="15" t="s">
        <v>3589</v>
      </c>
      <c r="B1093" s="15" t="s">
        <v>3605</v>
      </c>
      <c r="C1093" s="15" t="s">
        <v>5995</v>
      </c>
      <c r="D1093" s="34" t="n">
        <v>0</v>
      </c>
      <c r="E1093" s="15" t="s">
        <v>6009</v>
      </c>
    </row>
    <row r="1094" customFormat="false" ht="15" hidden="false" customHeight="false" outlineLevel="0" collapsed="false">
      <c r="A1094" s="15" t="s">
        <v>3605</v>
      </c>
      <c r="B1094" s="15" t="s">
        <v>3606</v>
      </c>
      <c r="C1094" s="15" t="s">
        <v>5997</v>
      </c>
      <c r="D1094" s="34" t="n">
        <f aca="false">Activities!M431</f>
        <v>2</v>
      </c>
      <c r="E1094" s="15" t="s">
        <v>5998</v>
      </c>
    </row>
    <row r="1095" customFormat="false" ht="15" hidden="false" customHeight="false" outlineLevel="0" collapsed="false">
      <c r="A1095" s="15" t="s">
        <v>3605</v>
      </c>
      <c r="B1095" s="15" t="s">
        <v>3606</v>
      </c>
      <c r="C1095" s="15" t="s">
        <v>5999</v>
      </c>
      <c r="D1095" s="34" t="n">
        <f aca="false">Activities!N431</f>
        <v>2</v>
      </c>
      <c r="E1095" s="15" t="s">
        <v>5998</v>
      </c>
    </row>
    <row r="1096" customFormat="false" ht="15" hidden="false" customHeight="false" outlineLevel="0" collapsed="false">
      <c r="A1096" s="15" t="s">
        <v>3590</v>
      </c>
      <c r="B1096" s="15" t="s">
        <v>3606</v>
      </c>
      <c r="C1096" s="15" t="s">
        <v>5995</v>
      </c>
      <c r="D1096" s="34" t="n">
        <v>0</v>
      </c>
      <c r="E1096" s="15" t="s">
        <v>6009</v>
      </c>
    </row>
    <row r="1097" customFormat="false" ht="15" hidden="false" customHeight="false" outlineLevel="0" collapsed="false">
      <c r="A1097" s="15" t="s">
        <v>3606</v>
      </c>
      <c r="B1097" s="15" t="s">
        <v>3607</v>
      </c>
      <c r="C1097" s="15" t="s">
        <v>5997</v>
      </c>
      <c r="D1097" s="34" t="n">
        <f aca="false">Activities!M432</f>
        <v>2</v>
      </c>
      <c r="E1097" s="15" t="s">
        <v>5998</v>
      </c>
    </row>
    <row r="1098" customFormat="false" ht="15" hidden="false" customHeight="false" outlineLevel="0" collapsed="false">
      <c r="A1098" s="15" t="s">
        <v>3606</v>
      </c>
      <c r="B1098" s="15" t="s">
        <v>3607</v>
      </c>
      <c r="C1098" s="15" t="s">
        <v>5999</v>
      </c>
      <c r="D1098" s="34" t="n">
        <f aca="false">Activities!N432</f>
        <v>2</v>
      </c>
      <c r="E1098" s="15" t="s">
        <v>5998</v>
      </c>
    </row>
    <row r="1099" customFormat="false" ht="15" hidden="false" customHeight="false" outlineLevel="0" collapsed="false">
      <c r="A1099" s="15" t="s">
        <v>3607</v>
      </c>
      <c r="B1099" s="15" t="s">
        <v>3608</v>
      </c>
      <c r="C1099" s="15" t="s">
        <v>5997</v>
      </c>
      <c r="D1099" s="34" t="n">
        <f aca="false">Activities!M433</f>
        <v>2</v>
      </c>
      <c r="E1099" s="15" t="s">
        <v>5998</v>
      </c>
    </row>
    <row r="1100" customFormat="false" ht="15" hidden="false" customHeight="false" outlineLevel="0" collapsed="false">
      <c r="A1100" s="15" t="s">
        <v>3607</v>
      </c>
      <c r="B1100" s="15" t="s">
        <v>3608</v>
      </c>
      <c r="C1100" s="15" t="s">
        <v>5999</v>
      </c>
      <c r="D1100" s="34" t="n">
        <f aca="false">Activities!N433</f>
        <v>2</v>
      </c>
      <c r="E1100" s="15" t="s">
        <v>5998</v>
      </c>
    </row>
    <row r="1101" customFormat="false" ht="15" hidden="false" customHeight="false" outlineLevel="0" collapsed="false">
      <c r="A1101" s="15" t="s">
        <v>3592</v>
      </c>
      <c r="B1101" s="15" t="s">
        <v>3608</v>
      </c>
      <c r="C1101" s="15" t="s">
        <v>5995</v>
      </c>
      <c r="D1101" s="34" t="n">
        <v>0</v>
      </c>
      <c r="E1101" s="15" t="s">
        <v>6009</v>
      </c>
    </row>
    <row r="1102" customFormat="false" ht="15" hidden="false" customHeight="false" outlineLevel="0" collapsed="false">
      <c r="A1102" s="15" t="s">
        <v>3574</v>
      </c>
      <c r="B1102" s="15" t="s">
        <v>3608</v>
      </c>
      <c r="C1102" s="15" t="s">
        <v>5995</v>
      </c>
      <c r="D1102" s="34" t="n">
        <v>0</v>
      </c>
      <c r="E1102" s="15" t="s">
        <v>6005</v>
      </c>
    </row>
    <row r="1103" customFormat="false" ht="15" hidden="false" customHeight="false" outlineLevel="0" collapsed="false">
      <c r="A1103" s="15" t="s">
        <v>3608</v>
      </c>
      <c r="B1103" s="15" t="s">
        <v>3609</v>
      </c>
      <c r="C1103" s="15" t="s">
        <v>5997</v>
      </c>
      <c r="D1103" s="34" t="n">
        <f aca="false">Activities!M434</f>
        <v>1</v>
      </c>
      <c r="E1103" s="15" t="s">
        <v>5998</v>
      </c>
    </row>
    <row r="1104" customFormat="false" ht="15" hidden="false" customHeight="false" outlineLevel="0" collapsed="false">
      <c r="A1104" s="15" t="s">
        <v>3608</v>
      </c>
      <c r="B1104" s="15" t="s">
        <v>3609</v>
      </c>
      <c r="C1104" s="15" t="s">
        <v>5999</v>
      </c>
      <c r="D1104" s="34" t="n">
        <f aca="false">Activities!N434</f>
        <v>2</v>
      </c>
      <c r="E1104" s="15" t="s">
        <v>5998</v>
      </c>
    </row>
    <row r="1105" customFormat="false" ht="15" hidden="false" customHeight="false" outlineLevel="0" collapsed="false">
      <c r="A1105" s="15" t="s">
        <v>3610</v>
      </c>
      <c r="B1105" s="15" t="s">
        <v>3612</v>
      </c>
      <c r="C1105" s="15" t="s">
        <v>5995</v>
      </c>
      <c r="D1105" s="34" t="n">
        <v>0</v>
      </c>
      <c r="E1105" s="15" t="s">
        <v>5996</v>
      </c>
    </row>
    <row r="1106" customFormat="false" ht="15" hidden="false" customHeight="false" outlineLevel="0" collapsed="false">
      <c r="A1106" s="15" t="s">
        <v>3599</v>
      </c>
      <c r="B1106" s="15" t="s">
        <v>3612</v>
      </c>
      <c r="C1106" s="15" t="s">
        <v>5997</v>
      </c>
      <c r="D1106" s="34" t="n">
        <v>0</v>
      </c>
      <c r="E1106" s="15" t="s">
        <v>6002</v>
      </c>
    </row>
    <row r="1107" customFormat="false" ht="15" hidden="false" customHeight="false" outlineLevel="0" collapsed="false">
      <c r="A1107" s="15" t="s">
        <v>3612</v>
      </c>
      <c r="B1107" s="15" t="s">
        <v>3614</v>
      </c>
      <c r="C1107" s="15" t="s">
        <v>5997</v>
      </c>
      <c r="D1107" s="34" t="n">
        <f aca="false">Activities!M437</f>
        <v>1</v>
      </c>
      <c r="E1107" s="15" t="s">
        <v>5998</v>
      </c>
    </row>
    <row r="1108" customFormat="false" ht="15" hidden="false" customHeight="false" outlineLevel="0" collapsed="false">
      <c r="A1108" s="15" t="s">
        <v>3612</v>
      </c>
      <c r="B1108" s="15" t="s">
        <v>3614</v>
      </c>
      <c r="C1108" s="15" t="s">
        <v>5999</v>
      </c>
      <c r="D1108" s="34" t="n">
        <f aca="false">Activities!N437</f>
        <v>2</v>
      </c>
      <c r="E1108" s="15" t="s">
        <v>5998</v>
      </c>
    </row>
    <row r="1109" customFormat="false" ht="15" hidden="false" customHeight="false" outlineLevel="0" collapsed="false">
      <c r="A1109" s="15" t="s">
        <v>3599</v>
      </c>
      <c r="B1109" s="15" t="s">
        <v>3614</v>
      </c>
      <c r="C1109" s="15" t="s">
        <v>5995</v>
      </c>
      <c r="D1109" s="34" t="n">
        <v>0</v>
      </c>
      <c r="E1109" s="15" t="s">
        <v>6009</v>
      </c>
    </row>
    <row r="1110" customFormat="false" ht="15" hidden="false" customHeight="false" outlineLevel="0" collapsed="false">
      <c r="A1110" s="15" t="s">
        <v>3614</v>
      </c>
      <c r="B1110" s="15" t="s">
        <v>3615</v>
      </c>
      <c r="C1110" s="15" t="s">
        <v>5997</v>
      </c>
      <c r="D1110" s="34" t="n">
        <f aca="false">Activities!M438</f>
        <v>3</v>
      </c>
      <c r="E1110" s="15" t="s">
        <v>5998</v>
      </c>
    </row>
    <row r="1111" customFormat="false" ht="15" hidden="false" customHeight="false" outlineLevel="0" collapsed="false">
      <c r="A1111" s="15" t="s">
        <v>3614</v>
      </c>
      <c r="B1111" s="15" t="s">
        <v>3615</v>
      </c>
      <c r="C1111" s="15" t="s">
        <v>5999</v>
      </c>
      <c r="D1111" s="34" t="n">
        <f aca="false">Activities!N438</f>
        <v>0</v>
      </c>
      <c r="E1111" s="15" t="s">
        <v>5998</v>
      </c>
    </row>
    <row r="1112" customFormat="false" ht="15" hidden="false" customHeight="false" outlineLevel="0" collapsed="false">
      <c r="A1112" s="15" t="s">
        <v>3600</v>
      </c>
      <c r="B1112" s="15" t="s">
        <v>3615</v>
      </c>
      <c r="C1112" s="15" t="s">
        <v>5995</v>
      </c>
      <c r="D1112" s="34" t="n">
        <v>0</v>
      </c>
      <c r="E1112" s="15" t="s">
        <v>6009</v>
      </c>
    </row>
    <row r="1113" customFormat="false" ht="15" hidden="false" customHeight="false" outlineLevel="0" collapsed="false">
      <c r="A1113" s="15" t="s">
        <v>3615</v>
      </c>
      <c r="B1113" s="15" t="s">
        <v>3616</v>
      </c>
      <c r="C1113" s="15" t="s">
        <v>5997</v>
      </c>
      <c r="D1113" s="34" t="n">
        <f aca="false">Activities!M439</f>
        <v>0</v>
      </c>
      <c r="E1113" s="15" t="s">
        <v>5998</v>
      </c>
    </row>
    <row r="1114" customFormat="false" ht="15" hidden="false" customHeight="false" outlineLevel="0" collapsed="false">
      <c r="A1114" s="15" t="s">
        <v>3615</v>
      </c>
      <c r="B1114" s="15" t="s">
        <v>3616</v>
      </c>
      <c r="C1114" s="15" t="s">
        <v>5999</v>
      </c>
      <c r="D1114" s="34" t="n">
        <f aca="false">Activities!N439</f>
        <v>2</v>
      </c>
      <c r="E1114" s="15" t="s">
        <v>5998</v>
      </c>
    </row>
    <row r="1115" customFormat="false" ht="15" hidden="false" customHeight="false" outlineLevel="0" collapsed="false">
      <c r="A1115" s="15" t="s">
        <v>3603</v>
      </c>
      <c r="B1115" s="15" t="s">
        <v>3616</v>
      </c>
      <c r="C1115" s="15" t="s">
        <v>5995</v>
      </c>
      <c r="D1115" s="34" t="n">
        <f aca="false">-Activities!K439</f>
        <v>-11</v>
      </c>
      <c r="E1115" s="15" t="s">
        <v>6004</v>
      </c>
    </row>
    <row r="1116" customFormat="false" ht="15" hidden="false" customHeight="false" outlineLevel="0" collapsed="false">
      <c r="A1116" s="15" t="s">
        <v>3616</v>
      </c>
      <c r="B1116" s="15" t="s">
        <v>3618</v>
      </c>
      <c r="C1116" s="15" t="s">
        <v>5997</v>
      </c>
      <c r="D1116" s="34" t="n">
        <f aca="false">Activities!M440</f>
        <v>10</v>
      </c>
      <c r="E1116" s="15" t="s">
        <v>5998</v>
      </c>
    </row>
    <row r="1117" customFormat="false" ht="15" hidden="false" customHeight="false" outlineLevel="0" collapsed="false">
      <c r="A1117" s="15" t="s">
        <v>3616</v>
      </c>
      <c r="B1117" s="15" t="s">
        <v>3618</v>
      </c>
      <c r="C1117" s="15" t="s">
        <v>5999</v>
      </c>
      <c r="D1117" s="34" t="n">
        <f aca="false">Activities!N440</f>
        <v>2</v>
      </c>
      <c r="E1117" s="15" t="s">
        <v>5998</v>
      </c>
    </row>
    <row r="1118" customFormat="false" ht="15" hidden="false" customHeight="false" outlineLevel="0" collapsed="false">
      <c r="A1118" s="15" t="s">
        <v>3603</v>
      </c>
      <c r="B1118" s="15" t="s">
        <v>3618</v>
      </c>
      <c r="C1118" s="15" t="s">
        <v>5995</v>
      </c>
      <c r="D1118" s="34" t="n">
        <v>0</v>
      </c>
      <c r="E1118" s="15" t="s">
        <v>6009</v>
      </c>
    </row>
    <row r="1119" customFormat="false" ht="15" hidden="false" customHeight="false" outlineLevel="0" collapsed="false">
      <c r="A1119" s="15" t="s">
        <v>4638</v>
      </c>
      <c r="B1119" s="15" t="s">
        <v>3618</v>
      </c>
      <c r="C1119" s="15" t="s">
        <v>5995</v>
      </c>
      <c r="D1119" s="34" t="n">
        <v>0</v>
      </c>
      <c r="E1119" s="15" t="s">
        <v>6008</v>
      </c>
    </row>
    <row r="1120" customFormat="false" ht="15" hidden="false" customHeight="false" outlineLevel="0" collapsed="false">
      <c r="A1120" s="15" t="s">
        <v>4624</v>
      </c>
      <c r="B1120" s="15" t="s">
        <v>3618</v>
      </c>
      <c r="C1120" s="15" t="s">
        <v>5995</v>
      </c>
      <c r="D1120" s="34" t="n">
        <v>0</v>
      </c>
      <c r="E1120" s="15" t="s">
        <v>6008</v>
      </c>
    </row>
    <row r="1121" customFormat="false" ht="15" hidden="false" customHeight="false" outlineLevel="0" collapsed="false">
      <c r="A1121" s="15" t="s">
        <v>5203</v>
      </c>
      <c r="B1121" s="15" t="s">
        <v>3618</v>
      </c>
      <c r="C1121" s="15" t="s">
        <v>5995</v>
      </c>
      <c r="D1121" s="34" t="n">
        <v>0</v>
      </c>
      <c r="E1121" s="15" t="s">
        <v>6008</v>
      </c>
    </row>
    <row r="1122" customFormat="false" ht="15" hidden="false" customHeight="false" outlineLevel="0" collapsed="false">
      <c r="A1122" s="15" t="s">
        <v>5234</v>
      </c>
      <c r="B1122" s="15" t="s">
        <v>3618</v>
      </c>
      <c r="C1122" s="15" t="s">
        <v>5995</v>
      </c>
      <c r="D1122" s="34" t="n">
        <v>0</v>
      </c>
      <c r="E1122" s="15" t="s">
        <v>6008</v>
      </c>
    </row>
    <row r="1123" customFormat="false" ht="15" hidden="false" customHeight="false" outlineLevel="0" collapsed="false">
      <c r="A1123" s="15" t="s">
        <v>5219</v>
      </c>
      <c r="B1123" s="15" t="s">
        <v>3618</v>
      </c>
      <c r="C1123" s="15" t="s">
        <v>5995</v>
      </c>
      <c r="D1123" s="34" t="n">
        <v>0</v>
      </c>
      <c r="E1123" s="15" t="s">
        <v>6008</v>
      </c>
    </row>
    <row r="1124" customFormat="false" ht="15" hidden="false" customHeight="false" outlineLevel="0" collapsed="false">
      <c r="A1124" s="15" t="s">
        <v>4740</v>
      </c>
      <c r="B1124" s="15" t="s">
        <v>3618</v>
      </c>
      <c r="C1124" s="15" t="s">
        <v>5995</v>
      </c>
      <c r="D1124" s="34" t="n">
        <v>0</v>
      </c>
      <c r="E1124" s="15" t="s">
        <v>6008</v>
      </c>
    </row>
    <row r="1125" customFormat="false" ht="15" hidden="false" customHeight="false" outlineLevel="0" collapsed="false">
      <c r="A1125" s="15" t="s">
        <v>3618</v>
      </c>
      <c r="B1125" s="15" t="s">
        <v>3620</v>
      </c>
      <c r="C1125" s="15" t="s">
        <v>5997</v>
      </c>
      <c r="D1125" s="34" t="n">
        <f aca="false">Activities!M441</f>
        <v>2</v>
      </c>
      <c r="E1125" s="15" t="s">
        <v>5998</v>
      </c>
    </row>
    <row r="1126" customFormat="false" ht="15" hidden="false" customHeight="false" outlineLevel="0" collapsed="false">
      <c r="A1126" s="15" t="s">
        <v>3618</v>
      </c>
      <c r="B1126" s="15" t="s">
        <v>3620</v>
      </c>
      <c r="C1126" s="15" t="s">
        <v>5999</v>
      </c>
      <c r="D1126" s="34" t="n">
        <f aca="false">Activities!N441</f>
        <v>2</v>
      </c>
      <c r="E1126" s="15" t="s">
        <v>5998</v>
      </c>
    </row>
    <row r="1127" customFormat="false" ht="15" hidden="false" customHeight="false" outlineLevel="0" collapsed="false">
      <c r="A1127" s="15" t="s">
        <v>3605</v>
      </c>
      <c r="B1127" s="15" t="s">
        <v>3620</v>
      </c>
      <c r="C1127" s="15" t="s">
        <v>5995</v>
      </c>
      <c r="D1127" s="34" t="n">
        <v>0</v>
      </c>
      <c r="E1127" s="15" t="s">
        <v>6009</v>
      </c>
    </row>
    <row r="1128" customFormat="false" ht="15" hidden="false" customHeight="false" outlineLevel="0" collapsed="false">
      <c r="A1128" s="15" t="s">
        <v>3620</v>
      </c>
      <c r="B1128" s="15" t="s">
        <v>3621</v>
      </c>
      <c r="C1128" s="15" t="s">
        <v>5997</v>
      </c>
      <c r="D1128" s="34" t="n">
        <f aca="false">Activities!M442</f>
        <v>3</v>
      </c>
      <c r="E1128" s="15" t="s">
        <v>5998</v>
      </c>
    </row>
    <row r="1129" customFormat="false" ht="15" hidden="false" customHeight="false" outlineLevel="0" collapsed="false">
      <c r="A1129" s="15" t="s">
        <v>3620</v>
      </c>
      <c r="B1129" s="15" t="s">
        <v>3621</v>
      </c>
      <c r="C1129" s="15" t="s">
        <v>5999</v>
      </c>
      <c r="D1129" s="34" t="n">
        <f aca="false">Activities!N442</f>
        <v>2</v>
      </c>
      <c r="E1129" s="15" t="s">
        <v>5998</v>
      </c>
    </row>
    <row r="1130" customFormat="false" ht="15" hidden="false" customHeight="false" outlineLevel="0" collapsed="false">
      <c r="A1130" s="15" t="s">
        <v>3606</v>
      </c>
      <c r="B1130" s="15" t="s">
        <v>3621</v>
      </c>
      <c r="C1130" s="15" t="s">
        <v>5995</v>
      </c>
      <c r="D1130" s="34" t="n">
        <v>0</v>
      </c>
      <c r="E1130" s="15" t="s">
        <v>6009</v>
      </c>
    </row>
    <row r="1131" customFormat="false" ht="15" hidden="false" customHeight="false" outlineLevel="0" collapsed="false">
      <c r="A1131" s="15" t="s">
        <v>3621</v>
      </c>
      <c r="B1131" s="15" t="s">
        <v>3622</v>
      </c>
      <c r="C1131" s="15" t="s">
        <v>5997</v>
      </c>
      <c r="D1131" s="34" t="n">
        <f aca="false">Activities!M443</f>
        <v>2</v>
      </c>
      <c r="E1131" s="15" t="s">
        <v>5998</v>
      </c>
    </row>
    <row r="1132" customFormat="false" ht="15" hidden="false" customHeight="false" outlineLevel="0" collapsed="false">
      <c r="A1132" s="15" t="s">
        <v>3621</v>
      </c>
      <c r="B1132" s="15" t="s">
        <v>3622</v>
      </c>
      <c r="C1132" s="15" t="s">
        <v>5999</v>
      </c>
      <c r="D1132" s="34" t="n">
        <f aca="false">Activities!N443</f>
        <v>2</v>
      </c>
      <c r="E1132" s="15" t="s">
        <v>5998</v>
      </c>
    </row>
    <row r="1133" customFormat="false" ht="15" hidden="false" customHeight="false" outlineLevel="0" collapsed="false">
      <c r="A1133" s="15" t="s">
        <v>3622</v>
      </c>
      <c r="B1133" s="15" t="s">
        <v>3623</v>
      </c>
      <c r="C1133" s="15" t="s">
        <v>5997</v>
      </c>
      <c r="D1133" s="34" t="n">
        <f aca="false">Activities!M444</f>
        <v>2</v>
      </c>
      <c r="E1133" s="15" t="s">
        <v>5998</v>
      </c>
    </row>
    <row r="1134" customFormat="false" ht="15" hidden="false" customHeight="false" outlineLevel="0" collapsed="false">
      <c r="A1134" s="15" t="s">
        <v>3622</v>
      </c>
      <c r="B1134" s="15" t="s">
        <v>3623</v>
      </c>
      <c r="C1134" s="15" t="s">
        <v>5999</v>
      </c>
      <c r="D1134" s="34" t="n">
        <f aca="false">Activities!N444</f>
        <v>2</v>
      </c>
      <c r="E1134" s="15" t="s">
        <v>5998</v>
      </c>
    </row>
    <row r="1135" customFormat="false" ht="15" hidden="false" customHeight="false" outlineLevel="0" collapsed="false">
      <c r="A1135" s="15" t="s">
        <v>3608</v>
      </c>
      <c r="B1135" s="15" t="s">
        <v>3623</v>
      </c>
      <c r="C1135" s="15" t="s">
        <v>5995</v>
      </c>
      <c r="D1135" s="34" t="n">
        <v>0</v>
      </c>
      <c r="E1135" s="15" t="s">
        <v>6009</v>
      </c>
    </row>
    <row r="1136" customFormat="false" ht="15" hidden="false" customHeight="false" outlineLevel="0" collapsed="false">
      <c r="A1136" s="15" t="s">
        <v>3685</v>
      </c>
      <c r="B1136" s="15" t="s">
        <v>3623</v>
      </c>
      <c r="C1136" s="15" t="s">
        <v>5995</v>
      </c>
      <c r="D1136" s="34" t="n">
        <v>0</v>
      </c>
      <c r="E1136" s="15" t="s">
        <v>6005</v>
      </c>
    </row>
    <row r="1137" customFormat="false" ht="15" hidden="false" customHeight="false" outlineLevel="0" collapsed="false">
      <c r="A1137" s="15" t="s">
        <v>3637</v>
      </c>
      <c r="B1137" s="15" t="s">
        <v>3623</v>
      </c>
      <c r="C1137" s="15" t="s">
        <v>5995</v>
      </c>
      <c r="D1137" s="34" t="n">
        <v>0</v>
      </c>
      <c r="E1137" s="15" t="s">
        <v>6005</v>
      </c>
    </row>
    <row r="1138" customFormat="false" ht="15" hidden="false" customHeight="false" outlineLevel="0" collapsed="false">
      <c r="A1138" s="15" t="s">
        <v>3623</v>
      </c>
      <c r="B1138" s="15" t="s">
        <v>3625</v>
      </c>
      <c r="C1138" s="15" t="s">
        <v>5997</v>
      </c>
      <c r="D1138" s="34" t="n">
        <f aca="false">Activities!M445</f>
        <v>2</v>
      </c>
      <c r="E1138" s="15" t="s">
        <v>5998</v>
      </c>
    </row>
    <row r="1139" customFormat="false" ht="15" hidden="false" customHeight="false" outlineLevel="0" collapsed="false">
      <c r="A1139" s="15" t="s">
        <v>3623</v>
      </c>
      <c r="B1139" s="15" t="s">
        <v>3625</v>
      </c>
      <c r="C1139" s="15" t="s">
        <v>5999</v>
      </c>
      <c r="D1139" s="34" t="n">
        <f aca="false">Activities!N445</f>
        <v>2</v>
      </c>
      <c r="E1139" s="15" t="s">
        <v>5998</v>
      </c>
    </row>
    <row r="1140" customFormat="false" ht="15" hidden="false" customHeight="false" outlineLevel="0" collapsed="false">
      <c r="A1140" s="15" t="s">
        <v>3626</v>
      </c>
      <c r="B1140" s="15" t="s">
        <v>3628</v>
      </c>
      <c r="C1140" s="15" t="s">
        <v>5995</v>
      </c>
      <c r="D1140" s="34" t="n">
        <v>0</v>
      </c>
      <c r="E1140" s="15" t="s">
        <v>5996</v>
      </c>
    </row>
    <row r="1141" customFormat="false" ht="15" hidden="false" customHeight="false" outlineLevel="0" collapsed="false">
      <c r="A1141" s="15" t="s">
        <v>3614</v>
      </c>
      <c r="B1141" s="15" t="s">
        <v>3628</v>
      </c>
      <c r="C1141" s="15" t="s">
        <v>5997</v>
      </c>
      <c r="D1141" s="34" t="n">
        <v>0</v>
      </c>
      <c r="E1141" s="15" t="s">
        <v>6002</v>
      </c>
    </row>
    <row r="1142" customFormat="false" ht="15" hidden="false" customHeight="false" outlineLevel="0" collapsed="false">
      <c r="A1142" s="15" t="s">
        <v>3628</v>
      </c>
      <c r="B1142" s="15" t="s">
        <v>3630</v>
      </c>
      <c r="C1142" s="15" t="s">
        <v>5997</v>
      </c>
      <c r="D1142" s="34" t="n">
        <f aca="false">Activities!M448</f>
        <v>1</v>
      </c>
      <c r="E1142" s="15" t="s">
        <v>5998</v>
      </c>
    </row>
    <row r="1143" customFormat="false" ht="15" hidden="false" customHeight="false" outlineLevel="0" collapsed="false">
      <c r="A1143" s="15" t="s">
        <v>3628</v>
      </c>
      <c r="B1143" s="15" t="s">
        <v>3630</v>
      </c>
      <c r="C1143" s="15" t="s">
        <v>5999</v>
      </c>
      <c r="D1143" s="34" t="n">
        <f aca="false">Activities!N448</f>
        <v>2</v>
      </c>
      <c r="E1143" s="15" t="s">
        <v>5998</v>
      </c>
    </row>
    <row r="1144" customFormat="false" ht="15" hidden="false" customHeight="false" outlineLevel="0" collapsed="false">
      <c r="A1144" s="15" t="s">
        <v>3614</v>
      </c>
      <c r="B1144" s="15" t="s">
        <v>3630</v>
      </c>
      <c r="C1144" s="15" t="s">
        <v>5995</v>
      </c>
      <c r="D1144" s="34" t="n">
        <v>0</v>
      </c>
      <c r="E1144" s="15" t="s">
        <v>6009</v>
      </c>
    </row>
    <row r="1145" customFormat="false" ht="15" hidden="false" customHeight="false" outlineLevel="0" collapsed="false">
      <c r="A1145" s="15" t="s">
        <v>3630</v>
      </c>
      <c r="B1145" s="15" t="s">
        <v>3631</v>
      </c>
      <c r="C1145" s="15" t="s">
        <v>5997</v>
      </c>
      <c r="D1145" s="34" t="n">
        <f aca="false">Activities!M449</f>
        <v>5</v>
      </c>
      <c r="E1145" s="15" t="s">
        <v>5998</v>
      </c>
    </row>
    <row r="1146" customFormat="false" ht="15" hidden="false" customHeight="false" outlineLevel="0" collapsed="false">
      <c r="A1146" s="15" t="s">
        <v>3630</v>
      </c>
      <c r="B1146" s="15" t="s">
        <v>3631</v>
      </c>
      <c r="C1146" s="15" t="s">
        <v>5999</v>
      </c>
      <c r="D1146" s="34" t="n">
        <f aca="false">Activities!N449</f>
        <v>0</v>
      </c>
      <c r="E1146" s="15" t="s">
        <v>5998</v>
      </c>
    </row>
    <row r="1147" customFormat="false" ht="15" hidden="false" customHeight="false" outlineLevel="0" collapsed="false">
      <c r="A1147" s="15" t="s">
        <v>3615</v>
      </c>
      <c r="B1147" s="15" t="s">
        <v>3631</v>
      </c>
      <c r="C1147" s="15" t="s">
        <v>5995</v>
      </c>
      <c r="D1147" s="34" t="n">
        <v>0</v>
      </c>
      <c r="E1147" s="15" t="s">
        <v>6009</v>
      </c>
    </row>
    <row r="1148" customFormat="false" ht="15" hidden="false" customHeight="false" outlineLevel="0" collapsed="false">
      <c r="A1148" s="15" t="s">
        <v>3631</v>
      </c>
      <c r="B1148" s="15" t="s">
        <v>3632</v>
      </c>
      <c r="C1148" s="15" t="s">
        <v>5997</v>
      </c>
      <c r="D1148" s="34" t="n">
        <f aca="false">Activities!M450</f>
        <v>0</v>
      </c>
      <c r="E1148" s="15" t="s">
        <v>5998</v>
      </c>
    </row>
    <row r="1149" customFormat="false" ht="15" hidden="false" customHeight="false" outlineLevel="0" collapsed="false">
      <c r="A1149" s="15" t="s">
        <v>3631</v>
      </c>
      <c r="B1149" s="15" t="s">
        <v>3632</v>
      </c>
      <c r="C1149" s="15" t="s">
        <v>5999</v>
      </c>
      <c r="D1149" s="34" t="n">
        <f aca="false">Activities!N450</f>
        <v>2</v>
      </c>
      <c r="E1149" s="15" t="s">
        <v>5998</v>
      </c>
    </row>
    <row r="1150" customFormat="false" ht="15" hidden="false" customHeight="false" outlineLevel="0" collapsed="false">
      <c r="A1150" s="15" t="s">
        <v>3618</v>
      </c>
      <c r="B1150" s="15" t="s">
        <v>3632</v>
      </c>
      <c r="C1150" s="15" t="s">
        <v>5995</v>
      </c>
      <c r="D1150" s="34" t="n">
        <f aca="false">-Activities!K450</f>
        <v>-12</v>
      </c>
      <c r="E1150" s="15" t="s">
        <v>6004</v>
      </c>
    </row>
    <row r="1151" customFormat="false" ht="15" hidden="false" customHeight="false" outlineLevel="0" collapsed="false">
      <c r="A1151" s="15" t="s">
        <v>3632</v>
      </c>
      <c r="B1151" s="15" t="s">
        <v>3634</v>
      </c>
      <c r="C1151" s="15" t="s">
        <v>5997</v>
      </c>
      <c r="D1151" s="34" t="n">
        <f aca="false">Activities!M451</f>
        <v>10</v>
      </c>
      <c r="E1151" s="15" t="s">
        <v>5998</v>
      </c>
    </row>
    <row r="1152" customFormat="false" ht="15" hidden="false" customHeight="false" outlineLevel="0" collapsed="false">
      <c r="A1152" s="15" t="s">
        <v>3632</v>
      </c>
      <c r="B1152" s="15" t="s">
        <v>3634</v>
      </c>
      <c r="C1152" s="15" t="s">
        <v>5999</v>
      </c>
      <c r="D1152" s="34" t="n">
        <f aca="false">Activities!N451</f>
        <v>2</v>
      </c>
      <c r="E1152" s="15" t="s">
        <v>5998</v>
      </c>
    </row>
    <row r="1153" customFormat="false" ht="15" hidden="false" customHeight="false" outlineLevel="0" collapsed="false">
      <c r="A1153" s="15" t="s">
        <v>3618</v>
      </c>
      <c r="B1153" s="15" t="s">
        <v>3634</v>
      </c>
      <c r="C1153" s="15" t="s">
        <v>5995</v>
      </c>
      <c r="D1153" s="34" t="n">
        <v>0</v>
      </c>
      <c r="E1153" s="15" t="s">
        <v>6009</v>
      </c>
    </row>
    <row r="1154" customFormat="false" ht="15" hidden="false" customHeight="false" outlineLevel="0" collapsed="false">
      <c r="A1154" s="15" t="s">
        <v>5111</v>
      </c>
      <c r="B1154" s="15" t="s">
        <v>3634</v>
      </c>
      <c r="C1154" s="15" t="s">
        <v>5995</v>
      </c>
      <c r="D1154" s="34" t="n">
        <v>0</v>
      </c>
      <c r="E1154" s="15" t="s">
        <v>6008</v>
      </c>
    </row>
    <row r="1155" customFormat="false" ht="15" hidden="false" customHeight="false" outlineLevel="0" collapsed="false">
      <c r="A1155" s="15" t="s">
        <v>5143</v>
      </c>
      <c r="B1155" s="15" t="s">
        <v>3634</v>
      </c>
      <c r="C1155" s="15" t="s">
        <v>5995</v>
      </c>
      <c r="D1155" s="34" t="n">
        <v>0</v>
      </c>
      <c r="E1155" s="15" t="s">
        <v>6008</v>
      </c>
    </row>
    <row r="1156" customFormat="false" ht="15" hidden="false" customHeight="false" outlineLevel="0" collapsed="false">
      <c r="A1156" s="15" t="s">
        <v>5291</v>
      </c>
      <c r="B1156" s="15" t="s">
        <v>3634</v>
      </c>
      <c r="C1156" s="15" t="s">
        <v>5995</v>
      </c>
      <c r="D1156" s="34" t="n">
        <v>0</v>
      </c>
      <c r="E1156" s="15" t="s">
        <v>6008</v>
      </c>
    </row>
    <row r="1157" customFormat="false" ht="15" hidden="false" customHeight="false" outlineLevel="0" collapsed="false">
      <c r="A1157" s="15" t="s">
        <v>5127</v>
      </c>
      <c r="B1157" s="15" t="s">
        <v>3634</v>
      </c>
      <c r="C1157" s="15" t="s">
        <v>5995</v>
      </c>
      <c r="D1157" s="34" t="n">
        <v>0</v>
      </c>
      <c r="E1157" s="15" t="s">
        <v>6008</v>
      </c>
    </row>
    <row r="1158" customFormat="false" ht="15" hidden="false" customHeight="false" outlineLevel="0" collapsed="false">
      <c r="A1158" s="15" t="s">
        <v>5219</v>
      </c>
      <c r="B1158" s="15" t="s">
        <v>3634</v>
      </c>
      <c r="C1158" s="15" t="s">
        <v>5995</v>
      </c>
      <c r="D1158" s="34" t="n">
        <v>0</v>
      </c>
      <c r="E1158" s="15" t="s">
        <v>6008</v>
      </c>
    </row>
    <row r="1159" customFormat="false" ht="15" hidden="false" customHeight="false" outlineLevel="0" collapsed="false">
      <c r="A1159" s="15" t="s">
        <v>4740</v>
      </c>
      <c r="B1159" s="15" t="s">
        <v>3634</v>
      </c>
      <c r="C1159" s="15" t="s">
        <v>5995</v>
      </c>
      <c r="D1159" s="34" t="n">
        <v>0</v>
      </c>
      <c r="E1159" s="15" t="s">
        <v>6008</v>
      </c>
    </row>
    <row r="1160" customFormat="false" ht="15" hidden="false" customHeight="false" outlineLevel="0" collapsed="false">
      <c r="A1160" s="15" t="s">
        <v>3618</v>
      </c>
      <c r="B1160" s="15" t="s">
        <v>3634</v>
      </c>
      <c r="C1160" s="15" t="s">
        <v>5997</v>
      </c>
      <c r="D1160" s="34" t="n">
        <v>0</v>
      </c>
      <c r="E1160" s="15" t="s">
        <v>6006</v>
      </c>
    </row>
    <row r="1161" customFormat="false" ht="15" hidden="false" customHeight="false" outlineLevel="0" collapsed="false">
      <c r="A1161" s="15" t="s">
        <v>3571</v>
      </c>
      <c r="B1161" s="15" t="s">
        <v>3634</v>
      </c>
      <c r="C1161" s="15" t="s">
        <v>5997</v>
      </c>
      <c r="D1161" s="34" t="n">
        <v>0</v>
      </c>
      <c r="E1161" s="15" t="s">
        <v>6006</v>
      </c>
    </row>
    <row r="1162" customFormat="false" ht="15" hidden="false" customHeight="false" outlineLevel="0" collapsed="false">
      <c r="A1162" s="15" t="s">
        <v>3634</v>
      </c>
      <c r="B1162" s="15" t="s">
        <v>3636</v>
      </c>
      <c r="C1162" s="15" t="s">
        <v>5997</v>
      </c>
      <c r="D1162" s="34" t="n">
        <f aca="false">Activities!M452</f>
        <v>2</v>
      </c>
      <c r="E1162" s="15" t="s">
        <v>5998</v>
      </c>
    </row>
    <row r="1163" customFormat="false" ht="15" hidden="false" customHeight="false" outlineLevel="0" collapsed="false">
      <c r="A1163" s="15" t="s">
        <v>3634</v>
      </c>
      <c r="B1163" s="15" t="s">
        <v>3636</v>
      </c>
      <c r="C1163" s="15" t="s">
        <v>5999</v>
      </c>
      <c r="D1163" s="34" t="n">
        <f aca="false">Activities!N452</f>
        <v>2</v>
      </c>
      <c r="E1163" s="15" t="s">
        <v>5998</v>
      </c>
    </row>
    <row r="1164" customFormat="false" ht="15" hidden="false" customHeight="false" outlineLevel="0" collapsed="false">
      <c r="A1164" s="15" t="s">
        <v>3620</v>
      </c>
      <c r="B1164" s="15" t="s">
        <v>3636</v>
      </c>
      <c r="C1164" s="15" t="s">
        <v>5995</v>
      </c>
      <c r="D1164" s="34" t="n">
        <v>0</v>
      </c>
      <c r="E1164" s="15" t="s">
        <v>6009</v>
      </c>
    </row>
    <row r="1165" customFormat="false" ht="15" hidden="false" customHeight="false" outlineLevel="0" collapsed="false">
      <c r="A1165" s="15" t="s">
        <v>3636</v>
      </c>
      <c r="B1165" s="15" t="s">
        <v>3637</v>
      </c>
      <c r="C1165" s="15" t="s">
        <v>5997</v>
      </c>
      <c r="D1165" s="34" t="n">
        <f aca="false">Activities!M453</f>
        <v>4</v>
      </c>
      <c r="E1165" s="15" t="s">
        <v>5998</v>
      </c>
    </row>
    <row r="1166" customFormat="false" ht="15" hidden="false" customHeight="false" outlineLevel="0" collapsed="false">
      <c r="A1166" s="15" t="s">
        <v>3636</v>
      </c>
      <c r="B1166" s="15" t="s">
        <v>3637</v>
      </c>
      <c r="C1166" s="15" t="s">
        <v>5999</v>
      </c>
      <c r="D1166" s="34" t="n">
        <f aca="false">Activities!N453</f>
        <v>2</v>
      </c>
      <c r="E1166" s="15" t="s">
        <v>5998</v>
      </c>
    </row>
    <row r="1167" customFormat="false" ht="15" hidden="false" customHeight="false" outlineLevel="0" collapsed="false">
      <c r="A1167" s="15" t="s">
        <v>3621</v>
      </c>
      <c r="B1167" s="15" t="s">
        <v>3637</v>
      </c>
      <c r="C1167" s="15" t="s">
        <v>5995</v>
      </c>
      <c r="D1167" s="34" t="n">
        <v>0</v>
      </c>
      <c r="E1167" s="15" t="s">
        <v>6009</v>
      </c>
    </row>
    <row r="1168" customFormat="false" ht="15" hidden="false" customHeight="false" outlineLevel="0" collapsed="false">
      <c r="A1168" s="15" t="s">
        <v>3637</v>
      </c>
      <c r="B1168" s="15" t="s">
        <v>3638</v>
      </c>
      <c r="C1168" s="15" t="s">
        <v>5997</v>
      </c>
      <c r="D1168" s="34" t="n">
        <f aca="false">Activities!M454</f>
        <v>3</v>
      </c>
      <c r="E1168" s="15" t="s">
        <v>5998</v>
      </c>
    </row>
    <row r="1169" customFormat="false" ht="15" hidden="false" customHeight="false" outlineLevel="0" collapsed="false">
      <c r="A1169" s="15" t="s">
        <v>3637</v>
      </c>
      <c r="B1169" s="15" t="s">
        <v>3638</v>
      </c>
      <c r="C1169" s="15" t="s">
        <v>5999</v>
      </c>
      <c r="D1169" s="34" t="n">
        <f aca="false">Activities!N454</f>
        <v>2</v>
      </c>
      <c r="E1169" s="15" t="s">
        <v>5998</v>
      </c>
    </row>
    <row r="1170" customFormat="false" ht="15" hidden="false" customHeight="false" outlineLevel="0" collapsed="false">
      <c r="A1170" s="15" t="s">
        <v>3638</v>
      </c>
      <c r="B1170" s="15" t="s">
        <v>3639</v>
      </c>
      <c r="C1170" s="15" t="s">
        <v>5997</v>
      </c>
      <c r="D1170" s="34" t="n">
        <f aca="false">Activities!M455</f>
        <v>2</v>
      </c>
      <c r="E1170" s="15" t="s">
        <v>5998</v>
      </c>
    </row>
    <row r="1171" customFormat="false" ht="15" hidden="false" customHeight="false" outlineLevel="0" collapsed="false">
      <c r="A1171" s="15" t="s">
        <v>3638</v>
      </c>
      <c r="B1171" s="15" t="s">
        <v>3639</v>
      </c>
      <c r="C1171" s="15" t="s">
        <v>5999</v>
      </c>
      <c r="D1171" s="34" t="n">
        <f aca="false">Activities!N455</f>
        <v>2</v>
      </c>
      <c r="E1171" s="15" t="s">
        <v>5998</v>
      </c>
    </row>
    <row r="1172" customFormat="false" ht="15" hidden="false" customHeight="false" outlineLevel="0" collapsed="false">
      <c r="A1172" s="15" t="s">
        <v>3623</v>
      </c>
      <c r="B1172" s="15" t="s">
        <v>3639</v>
      </c>
      <c r="C1172" s="15" t="s">
        <v>5995</v>
      </c>
      <c r="D1172" s="34" t="n">
        <v>0</v>
      </c>
      <c r="E1172" s="15" t="s">
        <v>6009</v>
      </c>
    </row>
    <row r="1173" customFormat="false" ht="15" hidden="false" customHeight="false" outlineLevel="0" collapsed="false">
      <c r="A1173" s="15" t="s">
        <v>3653</v>
      </c>
      <c r="B1173" s="15" t="s">
        <v>3639</v>
      </c>
      <c r="C1173" s="15" t="s">
        <v>5995</v>
      </c>
      <c r="D1173" s="34" t="n">
        <v>0</v>
      </c>
      <c r="E1173" s="15" t="s">
        <v>6005</v>
      </c>
    </row>
    <row r="1174" customFormat="false" ht="15" hidden="false" customHeight="false" outlineLevel="0" collapsed="false">
      <c r="A1174" s="15" t="s">
        <v>3621</v>
      </c>
      <c r="B1174" s="15" t="s">
        <v>3639</v>
      </c>
      <c r="C1174" s="15" t="s">
        <v>5995</v>
      </c>
      <c r="D1174" s="34" t="n">
        <v>0</v>
      </c>
      <c r="E1174" s="15" t="s">
        <v>6005</v>
      </c>
    </row>
    <row r="1175" customFormat="false" ht="15" hidden="false" customHeight="false" outlineLevel="0" collapsed="false">
      <c r="A1175" s="15" t="s">
        <v>3574</v>
      </c>
      <c r="B1175" s="15" t="s">
        <v>3639</v>
      </c>
      <c r="C1175" s="15" t="s">
        <v>5995</v>
      </c>
      <c r="D1175" s="34" t="n">
        <v>0</v>
      </c>
      <c r="E1175" s="15" t="s">
        <v>6005</v>
      </c>
    </row>
    <row r="1176" customFormat="false" ht="15" hidden="false" customHeight="false" outlineLevel="0" collapsed="false">
      <c r="A1176" s="15" t="s">
        <v>3639</v>
      </c>
      <c r="B1176" s="15" t="s">
        <v>3641</v>
      </c>
      <c r="C1176" s="15" t="s">
        <v>5997</v>
      </c>
      <c r="D1176" s="34" t="n">
        <f aca="false">Activities!M456</f>
        <v>2</v>
      </c>
      <c r="E1176" s="15" t="s">
        <v>5998</v>
      </c>
    </row>
    <row r="1177" customFormat="false" ht="15" hidden="false" customHeight="false" outlineLevel="0" collapsed="false">
      <c r="A1177" s="15" t="s">
        <v>3639</v>
      </c>
      <c r="B1177" s="15" t="s">
        <v>3641</v>
      </c>
      <c r="C1177" s="15" t="s">
        <v>5999</v>
      </c>
      <c r="D1177" s="34" t="n">
        <f aca="false">Activities!N456</f>
        <v>2</v>
      </c>
      <c r="E1177" s="15" t="s">
        <v>5998</v>
      </c>
    </row>
    <row r="1178" customFormat="false" ht="15" hidden="false" customHeight="false" outlineLevel="0" collapsed="false">
      <c r="A1178" s="15" t="s">
        <v>3642</v>
      </c>
      <c r="B1178" s="15" t="s">
        <v>3644</v>
      </c>
      <c r="C1178" s="15" t="s">
        <v>5995</v>
      </c>
      <c r="D1178" s="34" t="n">
        <v>0</v>
      </c>
      <c r="E1178" s="15" t="s">
        <v>5996</v>
      </c>
    </row>
    <row r="1179" customFormat="false" ht="15" hidden="false" customHeight="false" outlineLevel="0" collapsed="false">
      <c r="A1179" s="15" t="s">
        <v>3630</v>
      </c>
      <c r="B1179" s="15" t="s">
        <v>3644</v>
      </c>
      <c r="C1179" s="15" t="s">
        <v>5997</v>
      </c>
      <c r="D1179" s="34" t="n">
        <v>0</v>
      </c>
      <c r="E1179" s="15" t="s">
        <v>6002</v>
      </c>
    </row>
    <row r="1180" customFormat="false" ht="15" hidden="false" customHeight="false" outlineLevel="0" collapsed="false">
      <c r="A1180" s="15" t="s">
        <v>3644</v>
      </c>
      <c r="B1180" s="15" t="s">
        <v>3646</v>
      </c>
      <c r="C1180" s="15" t="s">
        <v>5997</v>
      </c>
      <c r="D1180" s="34" t="n">
        <f aca="false">Activities!M459</f>
        <v>1</v>
      </c>
      <c r="E1180" s="15" t="s">
        <v>5998</v>
      </c>
    </row>
    <row r="1181" customFormat="false" ht="15" hidden="false" customHeight="false" outlineLevel="0" collapsed="false">
      <c r="A1181" s="15" t="s">
        <v>3644</v>
      </c>
      <c r="B1181" s="15" t="s">
        <v>3646</v>
      </c>
      <c r="C1181" s="15" t="s">
        <v>5999</v>
      </c>
      <c r="D1181" s="34" t="n">
        <f aca="false">Activities!N459</f>
        <v>2</v>
      </c>
      <c r="E1181" s="15" t="s">
        <v>5998</v>
      </c>
    </row>
    <row r="1182" customFormat="false" ht="15" hidden="false" customHeight="false" outlineLevel="0" collapsed="false">
      <c r="A1182" s="15" t="s">
        <v>3630</v>
      </c>
      <c r="B1182" s="15" t="s">
        <v>3646</v>
      </c>
      <c r="C1182" s="15" t="s">
        <v>5995</v>
      </c>
      <c r="D1182" s="34" t="n">
        <v>0</v>
      </c>
      <c r="E1182" s="15" t="s">
        <v>6009</v>
      </c>
    </row>
    <row r="1183" customFormat="false" ht="15" hidden="false" customHeight="false" outlineLevel="0" collapsed="false">
      <c r="A1183" s="15" t="s">
        <v>3646</v>
      </c>
      <c r="B1183" s="15" t="s">
        <v>3647</v>
      </c>
      <c r="C1183" s="15" t="s">
        <v>5997</v>
      </c>
      <c r="D1183" s="34" t="n">
        <f aca="false">Activities!M460</f>
        <v>2</v>
      </c>
      <c r="E1183" s="15" t="s">
        <v>5998</v>
      </c>
    </row>
    <row r="1184" customFormat="false" ht="15" hidden="false" customHeight="false" outlineLevel="0" collapsed="false">
      <c r="A1184" s="15" t="s">
        <v>3646</v>
      </c>
      <c r="B1184" s="15" t="s">
        <v>3647</v>
      </c>
      <c r="C1184" s="15" t="s">
        <v>5999</v>
      </c>
      <c r="D1184" s="34" t="n">
        <f aca="false">Activities!N460</f>
        <v>2</v>
      </c>
      <c r="E1184" s="15" t="s">
        <v>5998</v>
      </c>
    </row>
    <row r="1185" customFormat="false" ht="15" hidden="false" customHeight="false" outlineLevel="0" collapsed="false">
      <c r="A1185" s="15" t="s">
        <v>3631</v>
      </c>
      <c r="B1185" s="15" t="s">
        <v>3647</v>
      </c>
      <c r="C1185" s="15" t="s">
        <v>5995</v>
      </c>
      <c r="D1185" s="34" t="n">
        <v>0</v>
      </c>
      <c r="E1185" s="15" t="s">
        <v>6009</v>
      </c>
    </row>
    <row r="1186" customFormat="false" ht="15" hidden="false" customHeight="false" outlineLevel="0" collapsed="false">
      <c r="A1186" s="15" t="s">
        <v>3647</v>
      </c>
      <c r="B1186" s="15" t="s">
        <v>3648</v>
      </c>
      <c r="C1186" s="15" t="s">
        <v>5997</v>
      </c>
      <c r="D1186" s="34" t="n">
        <f aca="false">Activities!M461</f>
        <v>1</v>
      </c>
      <c r="E1186" s="15" t="s">
        <v>5998</v>
      </c>
    </row>
    <row r="1187" customFormat="false" ht="15" hidden="false" customHeight="false" outlineLevel="0" collapsed="false">
      <c r="A1187" s="15" t="s">
        <v>3647</v>
      </c>
      <c r="B1187" s="15" t="s">
        <v>3648</v>
      </c>
      <c r="C1187" s="15" t="s">
        <v>5999</v>
      </c>
      <c r="D1187" s="34" t="n">
        <f aca="false">Activities!N461</f>
        <v>2</v>
      </c>
      <c r="E1187" s="15" t="s">
        <v>5998</v>
      </c>
    </row>
    <row r="1188" customFormat="false" ht="15" hidden="false" customHeight="false" outlineLevel="0" collapsed="false">
      <c r="A1188" s="15" t="s">
        <v>3634</v>
      </c>
      <c r="B1188" s="15" t="s">
        <v>3648</v>
      </c>
      <c r="C1188" s="15" t="s">
        <v>5995</v>
      </c>
      <c r="D1188" s="34" t="n">
        <f aca="false">-Activities!K461</f>
        <v>-10</v>
      </c>
      <c r="E1188" s="15" t="s">
        <v>6004</v>
      </c>
    </row>
    <row r="1189" customFormat="false" ht="15" hidden="false" customHeight="false" outlineLevel="0" collapsed="false">
      <c r="A1189" s="15" t="s">
        <v>3648</v>
      </c>
      <c r="B1189" s="15" t="s">
        <v>3650</v>
      </c>
      <c r="C1189" s="15" t="s">
        <v>5997</v>
      </c>
      <c r="D1189" s="34" t="n">
        <f aca="false">Activities!M462</f>
        <v>10</v>
      </c>
      <c r="E1189" s="15" t="s">
        <v>5998</v>
      </c>
    </row>
    <row r="1190" customFormat="false" ht="15" hidden="false" customHeight="false" outlineLevel="0" collapsed="false">
      <c r="A1190" s="15" t="s">
        <v>3648</v>
      </c>
      <c r="B1190" s="15" t="s">
        <v>3650</v>
      </c>
      <c r="C1190" s="15" t="s">
        <v>5999</v>
      </c>
      <c r="D1190" s="34" t="n">
        <f aca="false">Activities!N462</f>
        <v>2</v>
      </c>
      <c r="E1190" s="15" t="s">
        <v>5998</v>
      </c>
    </row>
    <row r="1191" customFormat="false" ht="15" hidden="false" customHeight="false" outlineLevel="0" collapsed="false">
      <c r="A1191" s="15" t="s">
        <v>3634</v>
      </c>
      <c r="B1191" s="15" t="s">
        <v>3650</v>
      </c>
      <c r="C1191" s="15" t="s">
        <v>5995</v>
      </c>
      <c r="D1191" s="34" t="n">
        <v>0</v>
      </c>
      <c r="E1191" s="15" t="s">
        <v>6009</v>
      </c>
    </row>
    <row r="1192" customFormat="false" ht="15" hidden="false" customHeight="false" outlineLevel="0" collapsed="false">
      <c r="A1192" s="15" t="s">
        <v>4638</v>
      </c>
      <c r="B1192" s="15" t="s">
        <v>3650</v>
      </c>
      <c r="C1192" s="15" t="s">
        <v>5995</v>
      </c>
      <c r="D1192" s="34" t="n">
        <v>0</v>
      </c>
      <c r="E1192" s="15" t="s">
        <v>6008</v>
      </c>
    </row>
    <row r="1193" customFormat="false" ht="15" hidden="false" customHeight="false" outlineLevel="0" collapsed="false">
      <c r="A1193" s="15" t="s">
        <v>4624</v>
      </c>
      <c r="B1193" s="15" t="s">
        <v>3650</v>
      </c>
      <c r="C1193" s="15" t="s">
        <v>5995</v>
      </c>
      <c r="D1193" s="34" t="n">
        <v>0</v>
      </c>
      <c r="E1193" s="15" t="s">
        <v>6008</v>
      </c>
    </row>
    <row r="1194" customFormat="false" ht="15" hidden="false" customHeight="false" outlineLevel="0" collapsed="false">
      <c r="A1194" s="15" t="s">
        <v>5219</v>
      </c>
      <c r="B1194" s="15" t="s">
        <v>3650</v>
      </c>
      <c r="C1194" s="15" t="s">
        <v>5995</v>
      </c>
      <c r="D1194" s="34" t="n">
        <v>0</v>
      </c>
      <c r="E1194" s="15" t="s">
        <v>6008</v>
      </c>
    </row>
    <row r="1195" customFormat="false" ht="15" hidden="false" customHeight="false" outlineLevel="0" collapsed="false">
      <c r="A1195" s="15" t="s">
        <v>4740</v>
      </c>
      <c r="B1195" s="15" t="s">
        <v>3650</v>
      </c>
      <c r="C1195" s="15" t="s">
        <v>5995</v>
      </c>
      <c r="D1195" s="34" t="n">
        <v>0</v>
      </c>
      <c r="E1195" s="15" t="s">
        <v>6008</v>
      </c>
    </row>
    <row r="1196" customFormat="false" ht="15" hidden="false" customHeight="false" outlineLevel="0" collapsed="false">
      <c r="A1196" s="15" t="s">
        <v>4725</v>
      </c>
      <c r="B1196" s="15" t="s">
        <v>3650</v>
      </c>
      <c r="C1196" s="15" t="s">
        <v>5995</v>
      </c>
      <c r="D1196" s="34" t="n">
        <v>0</v>
      </c>
      <c r="E1196" s="15" t="s">
        <v>6008</v>
      </c>
    </row>
    <row r="1197" customFormat="false" ht="15" hidden="false" customHeight="false" outlineLevel="0" collapsed="false">
      <c r="A1197" s="15" t="s">
        <v>3634</v>
      </c>
      <c r="B1197" s="15" t="s">
        <v>3650</v>
      </c>
      <c r="C1197" s="15" t="s">
        <v>5997</v>
      </c>
      <c r="D1197" s="34" t="n">
        <v>0</v>
      </c>
      <c r="E1197" s="15" t="s">
        <v>6006</v>
      </c>
    </row>
    <row r="1198" customFormat="false" ht="15" hidden="false" customHeight="false" outlineLevel="0" collapsed="false">
      <c r="A1198" s="15" t="s">
        <v>3650</v>
      </c>
      <c r="B1198" s="15" t="s">
        <v>3652</v>
      </c>
      <c r="C1198" s="15" t="s">
        <v>5997</v>
      </c>
      <c r="D1198" s="34" t="n">
        <f aca="false">Activities!M463</f>
        <v>1</v>
      </c>
      <c r="E1198" s="15" t="s">
        <v>5998</v>
      </c>
    </row>
    <row r="1199" customFormat="false" ht="15" hidden="false" customHeight="false" outlineLevel="0" collapsed="false">
      <c r="A1199" s="15" t="s">
        <v>3650</v>
      </c>
      <c r="B1199" s="15" t="s">
        <v>3652</v>
      </c>
      <c r="C1199" s="15" t="s">
        <v>5999</v>
      </c>
      <c r="D1199" s="34" t="n">
        <f aca="false">Activities!N463</f>
        <v>2</v>
      </c>
      <c r="E1199" s="15" t="s">
        <v>5998</v>
      </c>
    </row>
    <row r="1200" customFormat="false" ht="15" hidden="false" customHeight="false" outlineLevel="0" collapsed="false">
      <c r="A1200" s="15" t="s">
        <v>3636</v>
      </c>
      <c r="B1200" s="15" t="s">
        <v>3652</v>
      </c>
      <c r="C1200" s="15" t="s">
        <v>5995</v>
      </c>
      <c r="D1200" s="34" t="n">
        <v>0</v>
      </c>
      <c r="E1200" s="15" t="s">
        <v>6009</v>
      </c>
    </row>
    <row r="1201" customFormat="false" ht="15" hidden="false" customHeight="false" outlineLevel="0" collapsed="false">
      <c r="A1201" s="15" t="s">
        <v>3652</v>
      </c>
      <c r="B1201" s="15" t="s">
        <v>3653</v>
      </c>
      <c r="C1201" s="15" t="s">
        <v>5997</v>
      </c>
      <c r="D1201" s="34" t="n">
        <f aca="false">Activities!M464</f>
        <v>2</v>
      </c>
      <c r="E1201" s="15" t="s">
        <v>5998</v>
      </c>
    </row>
    <row r="1202" customFormat="false" ht="15" hidden="false" customHeight="false" outlineLevel="0" collapsed="false">
      <c r="A1202" s="15" t="s">
        <v>3652</v>
      </c>
      <c r="B1202" s="15" t="s">
        <v>3653</v>
      </c>
      <c r="C1202" s="15" t="s">
        <v>5999</v>
      </c>
      <c r="D1202" s="34" t="n">
        <f aca="false">Activities!N464</f>
        <v>2</v>
      </c>
      <c r="E1202" s="15" t="s">
        <v>5998</v>
      </c>
    </row>
    <row r="1203" customFormat="false" ht="15" hidden="false" customHeight="false" outlineLevel="0" collapsed="false">
      <c r="A1203" s="15" t="s">
        <v>3637</v>
      </c>
      <c r="B1203" s="15" t="s">
        <v>3653</v>
      </c>
      <c r="C1203" s="15" t="s">
        <v>5995</v>
      </c>
      <c r="D1203" s="34" t="n">
        <v>0</v>
      </c>
      <c r="E1203" s="15" t="s">
        <v>6009</v>
      </c>
    </row>
    <row r="1204" customFormat="false" ht="15" hidden="false" customHeight="false" outlineLevel="0" collapsed="false">
      <c r="A1204" s="15" t="s">
        <v>3653</v>
      </c>
      <c r="B1204" s="15" t="s">
        <v>3654</v>
      </c>
      <c r="C1204" s="15" t="s">
        <v>5997</v>
      </c>
      <c r="D1204" s="34" t="n">
        <f aca="false">Activities!M465</f>
        <v>2</v>
      </c>
      <c r="E1204" s="15" t="s">
        <v>5998</v>
      </c>
    </row>
    <row r="1205" customFormat="false" ht="15" hidden="false" customHeight="false" outlineLevel="0" collapsed="false">
      <c r="A1205" s="15" t="s">
        <v>3653</v>
      </c>
      <c r="B1205" s="15" t="s">
        <v>3654</v>
      </c>
      <c r="C1205" s="15" t="s">
        <v>5999</v>
      </c>
      <c r="D1205" s="34" t="n">
        <f aca="false">Activities!N465</f>
        <v>2</v>
      </c>
      <c r="E1205" s="15" t="s">
        <v>5998</v>
      </c>
    </row>
    <row r="1206" customFormat="false" ht="15" hidden="false" customHeight="false" outlineLevel="0" collapsed="false">
      <c r="A1206" s="15" t="s">
        <v>3654</v>
      </c>
      <c r="B1206" s="15" t="s">
        <v>3655</v>
      </c>
      <c r="C1206" s="15" t="s">
        <v>5997</v>
      </c>
      <c r="D1206" s="34" t="n">
        <f aca="false">Activities!M466</f>
        <v>2</v>
      </c>
      <c r="E1206" s="15" t="s">
        <v>5998</v>
      </c>
    </row>
    <row r="1207" customFormat="false" ht="15" hidden="false" customHeight="false" outlineLevel="0" collapsed="false">
      <c r="A1207" s="15" t="s">
        <v>3654</v>
      </c>
      <c r="B1207" s="15" t="s">
        <v>3655</v>
      </c>
      <c r="C1207" s="15" t="s">
        <v>5999</v>
      </c>
      <c r="D1207" s="34" t="n">
        <f aca="false">Activities!N466</f>
        <v>2</v>
      </c>
      <c r="E1207" s="15" t="s">
        <v>5998</v>
      </c>
    </row>
    <row r="1208" customFormat="false" ht="15" hidden="false" customHeight="false" outlineLevel="0" collapsed="false">
      <c r="A1208" s="15" t="s">
        <v>3639</v>
      </c>
      <c r="B1208" s="15" t="s">
        <v>3655</v>
      </c>
      <c r="C1208" s="15" t="s">
        <v>5995</v>
      </c>
      <c r="D1208" s="34" t="n">
        <v>0</v>
      </c>
      <c r="E1208" s="15" t="s">
        <v>6009</v>
      </c>
    </row>
    <row r="1209" customFormat="false" ht="15" hidden="false" customHeight="false" outlineLevel="0" collapsed="false">
      <c r="A1209" s="15" t="s">
        <v>3717</v>
      </c>
      <c r="B1209" s="15" t="s">
        <v>3655</v>
      </c>
      <c r="C1209" s="15" t="s">
        <v>5995</v>
      </c>
      <c r="D1209" s="34" t="n">
        <v>0</v>
      </c>
      <c r="E1209" s="15" t="s">
        <v>6005</v>
      </c>
    </row>
    <row r="1210" customFormat="false" ht="15" hidden="false" customHeight="false" outlineLevel="0" collapsed="false">
      <c r="A1210" s="15" t="s">
        <v>3685</v>
      </c>
      <c r="B1210" s="15" t="s">
        <v>3655</v>
      </c>
      <c r="C1210" s="15" t="s">
        <v>5995</v>
      </c>
      <c r="D1210" s="34" t="n">
        <v>0</v>
      </c>
      <c r="E1210" s="15" t="s">
        <v>6005</v>
      </c>
    </row>
    <row r="1211" customFormat="false" ht="15" hidden="false" customHeight="false" outlineLevel="0" collapsed="false">
      <c r="A1211" s="15" t="s">
        <v>3637</v>
      </c>
      <c r="B1211" s="15" t="s">
        <v>3655</v>
      </c>
      <c r="C1211" s="15" t="s">
        <v>5995</v>
      </c>
      <c r="D1211" s="34" t="n">
        <v>0</v>
      </c>
      <c r="E1211" s="15" t="s">
        <v>6005</v>
      </c>
    </row>
    <row r="1212" customFormat="false" ht="15" hidden="false" customHeight="false" outlineLevel="0" collapsed="false">
      <c r="A1212" s="15" t="s">
        <v>3655</v>
      </c>
      <c r="B1212" s="15" t="s">
        <v>3657</v>
      </c>
      <c r="C1212" s="15" t="s">
        <v>5997</v>
      </c>
      <c r="D1212" s="34" t="n">
        <f aca="false">Activities!M467</f>
        <v>1</v>
      </c>
      <c r="E1212" s="15" t="s">
        <v>5998</v>
      </c>
    </row>
    <row r="1213" customFormat="false" ht="15" hidden="false" customHeight="false" outlineLevel="0" collapsed="false">
      <c r="A1213" s="15" t="s">
        <v>3655</v>
      </c>
      <c r="B1213" s="15" t="s">
        <v>3657</v>
      </c>
      <c r="C1213" s="15" t="s">
        <v>5999</v>
      </c>
      <c r="D1213" s="34" t="n">
        <f aca="false">Activities!N467</f>
        <v>2</v>
      </c>
      <c r="E1213" s="15" t="s">
        <v>5998</v>
      </c>
    </row>
    <row r="1214" customFormat="false" ht="15" hidden="false" customHeight="false" outlineLevel="0" collapsed="false">
      <c r="A1214" s="15" t="s">
        <v>3658</v>
      </c>
      <c r="B1214" s="15" t="s">
        <v>3660</v>
      </c>
      <c r="C1214" s="15" t="s">
        <v>5995</v>
      </c>
      <c r="D1214" s="34" t="n">
        <v>0</v>
      </c>
      <c r="E1214" s="15" t="s">
        <v>5996</v>
      </c>
    </row>
    <row r="1215" customFormat="false" ht="15" hidden="false" customHeight="false" outlineLevel="0" collapsed="false">
      <c r="A1215" s="15" t="s">
        <v>3646</v>
      </c>
      <c r="B1215" s="15" t="s">
        <v>3660</v>
      </c>
      <c r="C1215" s="15" t="s">
        <v>5997</v>
      </c>
      <c r="D1215" s="34" t="n">
        <v>0</v>
      </c>
      <c r="E1215" s="15" t="s">
        <v>6002</v>
      </c>
    </row>
    <row r="1216" customFormat="false" ht="15" hidden="false" customHeight="false" outlineLevel="0" collapsed="false">
      <c r="A1216" s="15" t="s">
        <v>3660</v>
      </c>
      <c r="B1216" s="15" t="s">
        <v>3662</v>
      </c>
      <c r="C1216" s="15" t="s">
        <v>5997</v>
      </c>
      <c r="D1216" s="34" t="n">
        <f aca="false">Activities!M470</f>
        <v>1</v>
      </c>
      <c r="E1216" s="15" t="s">
        <v>5998</v>
      </c>
    </row>
    <row r="1217" customFormat="false" ht="15" hidden="false" customHeight="false" outlineLevel="0" collapsed="false">
      <c r="A1217" s="15" t="s">
        <v>3660</v>
      </c>
      <c r="B1217" s="15" t="s">
        <v>3662</v>
      </c>
      <c r="C1217" s="15" t="s">
        <v>5999</v>
      </c>
      <c r="D1217" s="34" t="n">
        <f aca="false">Activities!N470</f>
        <v>2</v>
      </c>
      <c r="E1217" s="15" t="s">
        <v>5998</v>
      </c>
    </row>
    <row r="1218" customFormat="false" ht="15" hidden="false" customHeight="false" outlineLevel="0" collapsed="false">
      <c r="A1218" s="15" t="s">
        <v>3646</v>
      </c>
      <c r="B1218" s="15" t="s">
        <v>3662</v>
      </c>
      <c r="C1218" s="15" t="s">
        <v>5995</v>
      </c>
      <c r="D1218" s="34" t="n">
        <v>0</v>
      </c>
      <c r="E1218" s="15" t="s">
        <v>6009</v>
      </c>
    </row>
    <row r="1219" customFormat="false" ht="15" hidden="false" customHeight="false" outlineLevel="0" collapsed="false">
      <c r="A1219" s="15" t="s">
        <v>3662</v>
      </c>
      <c r="B1219" s="15" t="s">
        <v>3663</v>
      </c>
      <c r="C1219" s="15" t="s">
        <v>5997</v>
      </c>
      <c r="D1219" s="34" t="n">
        <f aca="false">Activities!M471</f>
        <v>2</v>
      </c>
      <c r="E1219" s="15" t="s">
        <v>5998</v>
      </c>
    </row>
    <row r="1220" customFormat="false" ht="15" hidden="false" customHeight="false" outlineLevel="0" collapsed="false">
      <c r="A1220" s="15" t="s">
        <v>3662</v>
      </c>
      <c r="B1220" s="15" t="s">
        <v>3663</v>
      </c>
      <c r="C1220" s="15" t="s">
        <v>5999</v>
      </c>
      <c r="D1220" s="34" t="n">
        <f aca="false">Activities!N471</f>
        <v>2</v>
      </c>
      <c r="E1220" s="15" t="s">
        <v>5998</v>
      </c>
    </row>
    <row r="1221" customFormat="false" ht="15" hidden="false" customHeight="false" outlineLevel="0" collapsed="false">
      <c r="A1221" s="15" t="s">
        <v>3647</v>
      </c>
      <c r="B1221" s="15" t="s">
        <v>3663</v>
      </c>
      <c r="C1221" s="15" t="s">
        <v>5995</v>
      </c>
      <c r="D1221" s="34" t="n">
        <v>0</v>
      </c>
      <c r="E1221" s="15" t="s">
        <v>6009</v>
      </c>
    </row>
    <row r="1222" customFormat="false" ht="15" hidden="false" customHeight="false" outlineLevel="0" collapsed="false">
      <c r="A1222" s="15" t="s">
        <v>3663</v>
      </c>
      <c r="B1222" s="15" t="s">
        <v>3664</v>
      </c>
      <c r="C1222" s="15" t="s">
        <v>5997</v>
      </c>
      <c r="D1222" s="34" t="n">
        <f aca="false">Activities!M472</f>
        <v>1</v>
      </c>
      <c r="E1222" s="15" t="s">
        <v>5998</v>
      </c>
    </row>
    <row r="1223" customFormat="false" ht="15" hidden="false" customHeight="false" outlineLevel="0" collapsed="false">
      <c r="A1223" s="15" t="s">
        <v>3663</v>
      </c>
      <c r="B1223" s="15" t="s">
        <v>3664</v>
      </c>
      <c r="C1223" s="15" t="s">
        <v>5999</v>
      </c>
      <c r="D1223" s="34" t="n">
        <f aca="false">Activities!N472</f>
        <v>2</v>
      </c>
      <c r="E1223" s="15" t="s">
        <v>5998</v>
      </c>
    </row>
    <row r="1224" customFormat="false" ht="15" hidden="false" customHeight="false" outlineLevel="0" collapsed="false">
      <c r="A1224" s="15" t="s">
        <v>3650</v>
      </c>
      <c r="B1224" s="15" t="s">
        <v>3664</v>
      </c>
      <c r="C1224" s="15" t="s">
        <v>5995</v>
      </c>
      <c r="D1224" s="34" t="n">
        <f aca="false">-Activities!K472</f>
        <v>-10</v>
      </c>
      <c r="E1224" s="15" t="s">
        <v>6004</v>
      </c>
    </row>
    <row r="1225" customFormat="false" ht="15" hidden="false" customHeight="false" outlineLevel="0" collapsed="false">
      <c r="A1225" s="15" t="s">
        <v>3664</v>
      </c>
      <c r="B1225" s="15" t="s">
        <v>3666</v>
      </c>
      <c r="C1225" s="15" t="s">
        <v>5997</v>
      </c>
      <c r="D1225" s="34" t="n">
        <f aca="false">Activities!M473</f>
        <v>10</v>
      </c>
      <c r="E1225" s="15" t="s">
        <v>5998</v>
      </c>
    </row>
    <row r="1226" customFormat="false" ht="15" hidden="false" customHeight="false" outlineLevel="0" collapsed="false">
      <c r="A1226" s="15" t="s">
        <v>3664</v>
      </c>
      <c r="B1226" s="15" t="s">
        <v>3666</v>
      </c>
      <c r="C1226" s="15" t="s">
        <v>5999</v>
      </c>
      <c r="D1226" s="34" t="n">
        <f aca="false">Activities!N473</f>
        <v>2</v>
      </c>
      <c r="E1226" s="15" t="s">
        <v>5998</v>
      </c>
    </row>
    <row r="1227" customFormat="false" ht="15" hidden="false" customHeight="false" outlineLevel="0" collapsed="false">
      <c r="A1227" s="15" t="s">
        <v>3650</v>
      </c>
      <c r="B1227" s="15" t="s">
        <v>3666</v>
      </c>
      <c r="C1227" s="15" t="s">
        <v>5995</v>
      </c>
      <c r="D1227" s="34" t="n">
        <v>0</v>
      </c>
      <c r="E1227" s="15" t="s">
        <v>6009</v>
      </c>
    </row>
    <row r="1228" customFormat="false" ht="15" hidden="false" customHeight="false" outlineLevel="0" collapsed="false">
      <c r="A1228" s="15" t="s">
        <v>4624</v>
      </c>
      <c r="B1228" s="15" t="s">
        <v>3666</v>
      </c>
      <c r="C1228" s="15" t="s">
        <v>5995</v>
      </c>
      <c r="D1228" s="34" t="n">
        <v>0</v>
      </c>
      <c r="E1228" s="15" t="s">
        <v>6008</v>
      </c>
    </row>
    <row r="1229" customFormat="false" ht="15" hidden="false" customHeight="false" outlineLevel="0" collapsed="false">
      <c r="A1229" s="15" t="s">
        <v>4740</v>
      </c>
      <c r="B1229" s="15" t="s">
        <v>3666</v>
      </c>
      <c r="C1229" s="15" t="s">
        <v>5995</v>
      </c>
      <c r="D1229" s="34" t="n">
        <v>0</v>
      </c>
      <c r="E1229" s="15" t="s">
        <v>6008</v>
      </c>
    </row>
    <row r="1230" customFormat="false" ht="15" hidden="false" customHeight="false" outlineLevel="0" collapsed="false">
      <c r="A1230" s="15" t="s">
        <v>4725</v>
      </c>
      <c r="B1230" s="15" t="s">
        <v>3666</v>
      </c>
      <c r="C1230" s="15" t="s">
        <v>5995</v>
      </c>
      <c r="D1230" s="34" t="n">
        <v>0</v>
      </c>
      <c r="E1230" s="15" t="s">
        <v>6008</v>
      </c>
    </row>
    <row r="1231" customFormat="false" ht="15" hidden="false" customHeight="false" outlineLevel="0" collapsed="false">
      <c r="A1231" s="15" t="s">
        <v>3666</v>
      </c>
      <c r="B1231" s="15" t="s">
        <v>3668</v>
      </c>
      <c r="C1231" s="15" t="s">
        <v>5997</v>
      </c>
      <c r="D1231" s="34" t="n">
        <f aca="false">Activities!M474</f>
        <v>1</v>
      </c>
      <c r="E1231" s="15" t="s">
        <v>5998</v>
      </c>
    </row>
    <row r="1232" customFormat="false" ht="15" hidden="false" customHeight="false" outlineLevel="0" collapsed="false">
      <c r="A1232" s="15" t="s">
        <v>3666</v>
      </c>
      <c r="B1232" s="15" t="s">
        <v>3668</v>
      </c>
      <c r="C1232" s="15" t="s">
        <v>5999</v>
      </c>
      <c r="D1232" s="34" t="n">
        <f aca="false">Activities!N474</f>
        <v>2</v>
      </c>
      <c r="E1232" s="15" t="s">
        <v>5998</v>
      </c>
    </row>
    <row r="1233" customFormat="false" ht="15" hidden="false" customHeight="false" outlineLevel="0" collapsed="false">
      <c r="A1233" s="15" t="s">
        <v>3652</v>
      </c>
      <c r="B1233" s="15" t="s">
        <v>3668</v>
      </c>
      <c r="C1233" s="15" t="s">
        <v>5995</v>
      </c>
      <c r="D1233" s="34" t="n">
        <v>0</v>
      </c>
      <c r="E1233" s="15" t="s">
        <v>6009</v>
      </c>
    </row>
    <row r="1234" customFormat="false" ht="15" hidden="false" customHeight="false" outlineLevel="0" collapsed="false">
      <c r="A1234" s="15" t="s">
        <v>3668</v>
      </c>
      <c r="B1234" s="15" t="s">
        <v>3669</v>
      </c>
      <c r="C1234" s="15" t="s">
        <v>5997</v>
      </c>
      <c r="D1234" s="34" t="n">
        <f aca="false">Activities!M475</f>
        <v>2</v>
      </c>
      <c r="E1234" s="15" t="s">
        <v>5998</v>
      </c>
    </row>
    <row r="1235" customFormat="false" ht="15" hidden="false" customHeight="false" outlineLevel="0" collapsed="false">
      <c r="A1235" s="15" t="s">
        <v>3668</v>
      </c>
      <c r="B1235" s="15" t="s">
        <v>3669</v>
      </c>
      <c r="C1235" s="15" t="s">
        <v>5999</v>
      </c>
      <c r="D1235" s="34" t="n">
        <f aca="false">Activities!N475</f>
        <v>2</v>
      </c>
      <c r="E1235" s="15" t="s">
        <v>5998</v>
      </c>
    </row>
    <row r="1236" customFormat="false" ht="15" hidden="false" customHeight="false" outlineLevel="0" collapsed="false">
      <c r="A1236" s="15" t="s">
        <v>3653</v>
      </c>
      <c r="B1236" s="15" t="s">
        <v>3669</v>
      </c>
      <c r="C1236" s="15" t="s">
        <v>5995</v>
      </c>
      <c r="D1236" s="34" t="n">
        <v>0</v>
      </c>
      <c r="E1236" s="15" t="s">
        <v>6009</v>
      </c>
    </row>
    <row r="1237" customFormat="false" ht="15" hidden="false" customHeight="false" outlineLevel="0" collapsed="false">
      <c r="A1237" s="15" t="s">
        <v>3669</v>
      </c>
      <c r="B1237" s="15" t="s">
        <v>3670</v>
      </c>
      <c r="C1237" s="15" t="s">
        <v>5997</v>
      </c>
      <c r="D1237" s="34" t="n">
        <f aca="false">Activities!M476</f>
        <v>1</v>
      </c>
      <c r="E1237" s="15" t="s">
        <v>5998</v>
      </c>
    </row>
    <row r="1238" customFormat="false" ht="15" hidden="false" customHeight="false" outlineLevel="0" collapsed="false">
      <c r="A1238" s="15" t="s">
        <v>3669</v>
      </c>
      <c r="B1238" s="15" t="s">
        <v>3670</v>
      </c>
      <c r="C1238" s="15" t="s">
        <v>5999</v>
      </c>
      <c r="D1238" s="34" t="n">
        <f aca="false">Activities!N476</f>
        <v>2</v>
      </c>
      <c r="E1238" s="15" t="s">
        <v>5998</v>
      </c>
    </row>
    <row r="1239" customFormat="false" ht="15" hidden="false" customHeight="false" outlineLevel="0" collapsed="false">
      <c r="A1239" s="15" t="s">
        <v>3670</v>
      </c>
      <c r="B1239" s="15" t="s">
        <v>3671</v>
      </c>
      <c r="C1239" s="15" t="s">
        <v>5997</v>
      </c>
      <c r="D1239" s="34" t="n">
        <f aca="false">Activities!M477</f>
        <v>2</v>
      </c>
      <c r="E1239" s="15" t="s">
        <v>5998</v>
      </c>
    </row>
    <row r="1240" customFormat="false" ht="15" hidden="false" customHeight="false" outlineLevel="0" collapsed="false">
      <c r="A1240" s="15" t="s">
        <v>3670</v>
      </c>
      <c r="B1240" s="15" t="s">
        <v>3671</v>
      </c>
      <c r="C1240" s="15" t="s">
        <v>5999</v>
      </c>
      <c r="D1240" s="34" t="n">
        <f aca="false">Activities!N477</f>
        <v>2</v>
      </c>
      <c r="E1240" s="15" t="s">
        <v>5998</v>
      </c>
    </row>
    <row r="1241" customFormat="false" ht="15" hidden="false" customHeight="false" outlineLevel="0" collapsed="false">
      <c r="A1241" s="15" t="s">
        <v>3655</v>
      </c>
      <c r="B1241" s="15" t="s">
        <v>3671</v>
      </c>
      <c r="C1241" s="15" t="s">
        <v>5995</v>
      </c>
      <c r="D1241" s="34" t="n">
        <v>0</v>
      </c>
      <c r="E1241" s="15" t="s">
        <v>6009</v>
      </c>
    </row>
    <row r="1242" customFormat="false" ht="15" hidden="false" customHeight="false" outlineLevel="0" collapsed="false">
      <c r="A1242" s="15" t="s">
        <v>3732</v>
      </c>
      <c r="B1242" s="15" t="s">
        <v>3671</v>
      </c>
      <c r="C1242" s="15" t="s">
        <v>5995</v>
      </c>
      <c r="D1242" s="34" t="n">
        <v>0</v>
      </c>
      <c r="E1242" s="15" t="s">
        <v>6005</v>
      </c>
    </row>
    <row r="1243" customFormat="false" ht="15" hidden="false" customHeight="false" outlineLevel="0" collapsed="false">
      <c r="A1243" s="15" t="s">
        <v>3717</v>
      </c>
      <c r="B1243" s="15" t="s">
        <v>3671</v>
      </c>
      <c r="C1243" s="15" t="s">
        <v>5995</v>
      </c>
      <c r="D1243" s="34" t="n">
        <v>0</v>
      </c>
      <c r="E1243" s="15" t="s">
        <v>6005</v>
      </c>
    </row>
    <row r="1244" customFormat="false" ht="15" hidden="false" customHeight="false" outlineLevel="0" collapsed="false">
      <c r="A1244" s="15" t="s">
        <v>3685</v>
      </c>
      <c r="B1244" s="15" t="s">
        <v>3671</v>
      </c>
      <c r="C1244" s="15" t="s">
        <v>5995</v>
      </c>
      <c r="D1244" s="34" t="n">
        <v>0</v>
      </c>
      <c r="E1244" s="15" t="s">
        <v>6005</v>
      </c>
    </row>
    <row r="1245" customFormat="false" ht="15" hidden="false" customHeight="false" outlineLevel="0" collapsed="false">
      <c r="A1245" s="15" t="s">
        <v>3671</v>
      </c>
      <c r="B1245" s="15" t="s">
        <v>3673</v>
      </c>
      <c r="C1245" s="15" t="s">
        <v>5997</v>
      </c>
      <c r="D1245" s="34" t="n">
        <f aca="false">Activities!M478</f>
        <v>1</v>
      </c>
      <c r="E1245" s="15" t="s">
        <v>5998</v>
      </c>
    </row>
    <row r="1246" customFormat="false" ht="15" hidden="false" customHeight="false" outlineLevel="0" collapsed="false">
      <c r="A1246" s="15" t="s">
        <v>3671</v>
      </c>
      <c r="B1246" s="15" t="s">
        <v>3673</v>
      </c>
      <c r="C1246" s="15" t="s">
        <v>5999</v>
      </c>
      <c r="D1246" s="34" t="n">
        <f aca="false">Activities!N478</f>
        <v>2</v>
      </c>
      <c r="E1246" s="15" t="s">
        <v>5998</v>
      </c>
    </row>
    <row r="1247" customFormat="false" ht="15" hidden="false" customHeight="false" outlineLevel="0" collapsed="false">
      <c r="A1247" s="15" t="s">
        <v>3674</v>
      </c>
      <c r="B1247" s="15" t="s">
        <v>3676</v>
      </c>
      <c r="C1247" s="15" t="s">
        <v>5995</v>
      </c>
      <c r="D1247" s="34" t="n">
        <v>0</v>
      </c>
      <c r="E1247" s="15" t="s">
        <v>5996</v>
      </c>
    </row>
    <row r="1248" customFormat="false" ht="15" hidden="false" customHeight="false" outlineLevel="0" collapsed="false">
      <c r="A1248" s="15" t="s">
        <v>3662</v>
      </c>
      <c r="B1248" s="15" t="s">
        <v>3676</v>
      </c>
      <c r="C1248" s="15" t="s">
        <v>5997</v>
      </c>
      <c r="D1248" s="34" t="n">
        <v>0</v>
      </c>
      <c r="E1248" s="15" t="s">
        <v>6002</v>
      </c>
    </row>
    <row r="1249" customFormat="false" ht="15" hidden="false" customHeight="false" outlineLevel="0" collapsed="false">
      <c r="A1249" s="15" t="s">
        <v>3676</v>
      </c>
      <c r="B1249" s="15" t="s">
        <v>3678</v>
      </c>
      <c r="C1249" s="15" t="s">
        <v>5997</v>
      </c>
      <c r="D1249" s="34" t="n">
        <f aca="false">Activities!M481</f>
        <v>1</v>
      </c>
      <c r="E1249" s="15" t="s">
        <v>5998</v>
      </c>
    </row>
    <row r="1250" customFormat="false" ht="15" hidden="false" customHeight="false" outlineLevel="0" collapsed="false">
      <c r="A1250" s="15" t="s">
        <v>3676</v>
      </c>
      <c r="B1250" s="15" t="s">
        <v>3678</v>
      </c>
      <c r="C1250" s="15" t="s">
        <v>5999</v>
      </c>
      <c r="D1250" s="34" t="n">
        <f aca="false">Activities!N481</f>
        <v>2</v>
      </c>
      <c r="E1250" s="15" t="s">
        <v>5998</v>
      </c>
    </row>
    <row r="1251" customFormat="false" ht="15" hidden="false" customHeight="false" outlineLevel="0" collapsed="false">
      <c r="A1251" s="15" t="s">
        <v>3662</v>
      </c>
      <c r="B1251" s="15" t="s">
        <v>3678</v>
      </c>
      <c r="C1251" s="15" t="s">
        <v>5995</v>
      </c>
      <c r="D1251" s="34" t="n">
        <v>0</v>
      </c>
      <c r="E1251" s="15" t="s">
        <v>6009</v>
      </c>
    </row>
    <row r="1252" customFormat="false" ht="15" hidden="false" customHeight="false" outlineLevel="0" collapsed="false">
      <c r="A1252" s="15" t="s">
        <v>3678</v>
      </c>
      <c r="B1252" s="15" t="s">
        <v>3679</v>
      </c>
      <c r="C1252" s="15" t="s">
        <v>5997</v>
      </c>
      <c r="D1252" s="34" t="n">
        <f aca="false">Activities!M482</f>
        <v>2</v>
      </c>
      <c r="E1252" s="15" t="s">
        <v>5998</v>
      </c>
    </row>
    <row r="1253" customFormat="false" ht="15" hidden="false" customHeight="false" outlineLevel="0" collapsed="false">
      <c r="A1253" s="15" t="s">
        <v>3678</v>
      </c>
      <c r="B1253" s="15" t="s">
        <v>3679</v>
      </c>
      <c r="C1253" s="15" t="s">
        <v>5999</v>
      </c>
      <c r="D1253" s="34" t="n">
        <f aca="false">Activities!N482</f>
        <v>2</v>
      </c>
      <c r="E1253" s="15" t="s">
        <v>5998</v>
      </c>
    </row>
    <row r="1254" customFormat="false" ht="15" hidden="false" customHeight="false" outlineLevel="0" collapsed="false">
      <c r="A1254" s="15" t="s">
        <v>3663</v>
      </c>
      <c r="B1254" s="15" t="s">
        <v>3679</v>
      </c>
      <c r="C1254" s="15" t="s">
        <v>5995</v>
      </c>
      <c r="D1254" s="34" t="n">
        <v>0</v>
      </c>
      <c r="E1254" s="15" t="s">
        <v>6009</v>
      </c>
    </row>
    <row r="1255" customFormat="false" ht="15" hidden="false" customHeight="false" outlineLevel="0" collapsed="false">
      <c r="A1255" s="15" t="s">
        <v>3679</v>
      </c>
      <c r="B1255" s="15" t="s">
        <v>3680</v>
      </c>
      <c r="C1255" s="15" t="s">
        <v>5997</v>
      </c>
      <c r="D1255" s="34" t="n">
        <f aca="false">Activities!M483</f>
        <v>1</v>
      </c>
      <c r="E1255" s="15" t="s">
        <v>5998</v>
      </c>
    </row>
    <row r="1256" customFormat="false" ht="15" hidden="false" customHeight="false" outlineLevel="0" collapsed="false">
      <c r="A1256" s="15" t="s">
        <v>3679</v>
      </c>
      <c r="B1256" s="15" t="s">
        <v>3680</v>
      </c>
      <c r="C1256" s="15" t="s">
        <v>5999</v>
      </c>
      <c r="D1256" s="34" t="n">
        <f aca="false">Activities!N483</f>
        <v>2</v>
      </c>
      <c r="E1256" s="15" t="s">
        <v>5998</v>
      </c>
    </row>
    <row r="1257" customFormat="false" ht="15" hidden="false" customHeight="false" outlineLevel="0" collapsed="false">
      <c r="A1257" s="15" t="s">
        <v>3666</v>
      </c>
      <c r="B1257" s="15" t="s">
        <v>3680</v>
      </c>
      <c r="C1257" s="15" t="s">
        <v>5995</v>
      </c>
      <c r="D1257" s="34" t="n">
        <f aca="false">-Activities!K483</f>
        <v>-10</v>
      </c>
      <c r="E1257" s="15" t="s">
        <v>6004</v>
      </c>
    </row>
    <row r="1258" customFormat="false" ht="15" hidden="false" customHeight="false" outlineLevel="0" collapsed="false">
      <c r="A1258" s="15" t="s">
        <v>3680</v>
      </c>
      <c r="B1258" s="15" t="s">
        <v>3682</v>
      </c>
      <c r="C1258" s="15" t="s">
        <v>5997</v>
      </c>
      <c r="D1258" s="34" t="n">
        <f aca="false">Activities!M484</f>
        <v>10</v>
      </c>
      <c r="E1258" s="15" t="s">
        <v>5998</v>
      </c>
    </row>
    <row r="1259" customFormat="false" ht="15" hidden="false" customHeight="false" outlineLevel="0" collapsed="false">
      <c r="A1259" s="15" t="s">
        <v>3680</v>
      </c>
      <c r="B1259" s="15" t="s">
        <v>3682</v>
      </c>
      <c r="C1259" s="15" t="s">
        <v>5999</v>
      </c>
      <c r="D1259" s="34" t="n">
        <f aca="false">Activities!N484</f>
        <v>2</v>
      </c>
      <c r="E1259" s="15" t="s">
        <v>5998</v>
      </c>
    </row>
    <row r="1260" customFormat="false" ht="15" hidden="false" customHeight="false" outlineLevel="0" collapsed="false">
      <c r="A1260" s="15" t="s">
        <v>3666</v>
      </c>
      <c r="B1260" s="15" t="s">
        <v>3682</v>
      </c>
      <c r="C1260" s="15" t="s">
        <v>5995</v>
      </c>
      <c r="D1260" s="34" t="n">
        <v>0</v>
      </c>
      <c r="E1260" s="15" t="s">
        <v>6009</v>
      </c>
    </row>
    <row r="1261" customFormat="false" ht="15" hidden="false" customHeight="false" outlineLevel="0" collapsed="false">
      <c r="A1261" s="15" t="s">
        <v>4624</v>
      </c>
      <c r="B1261" s="15" t="s">
        <v>3682</v>
      </c>
      <c r="C1261" s="15" t="s">
        <v>5995</v>
      </c>
      <c r="D1261" s="34" t="n">
        <v>0</v>
      </c>
      <c r="E1261" s="15" t="s">
        <v>6008</v>
      </c>
    </row>
    <row r="1262" customFormat="false" ht="15" hidden="false" customHeight="false" outlineLevel="0" collapsed="false">
      <c r="A1262" s="15" t="s">
        <v>4610</v>
      </c>
      <c r="B1262" s="15" t="s">
        <v>3682</v>
      </c>
      <c r="C1262" s="15" t="s">
        <v>5995</v>
      </c>
      <c r="D1262" s="34" t="n">
        <v>0</v>
      </c>
      <c r="E1262" s="15" t="s">
        <v>6008</v>
      </c>
    </row>
    <row r="1263" customFormat="false" ht="15" hidden="false" customHeight="false" outlineLevel="0" collapsed="false">
      <c r="A1263" s="15" t="s">
        <v>5219</v>
      </c>
      <c r="B1263" s="15" t="s">
        <v>3682</v>
      </c>
      <c r="C1263" s="15" t="s">
        <v>5995</v>
      </c>
      <c r="D1263" s="34" t="n">
        <v>0</v>
      </c>
      <c r="E1263" s="15" t="s">
        <v>6008</v>
      </c>
    </row>
    <row r="1264" customFormat="false" ht="15" hidden="false" customHeight="false" outlineLevel="0" collapsed="false">
      <c r="A1264" s="15" t="s">
        <v>4740</v>
      </c>
      <c r="B1264" s="15" t="s">
        <v>3682</v>
      </c>
      <c r="C1264" s="15" t="s">
        <v>5995</v>
      </c>
      <c r="D1264" s="34" t="n">
        <v>0</v>
      </c>
      <c r="E1264" s="15" t="s">
        <v>6008</v>
      </c>
    </row>
    <row r="1265" customFormat="false" ht="15" hidden="false" customHeight="false" outlineLevel="0" collapsed="false">
      <c r="A1265" s="15" t="s">
        <v>4725</v>
      </c>
      <c r="B1265" s="15" t="s">
        <v>3682</v>
      </c>
      <c r="C1265" s="15" t="s">
        <v>5995</v>
      </c>
      <c r="D1265" s="34" t="n">
        <v>0</v>
      </c>
      <c r="E1265" s="15" t="s">
        <v>6008</v>
      </c>
    </row>
    <row r="1266" customFormat="false" ht="15" hidden="false" customHeight="false" outlineLevel="0" collapsed="false">
      <c r="A1266" s="15" t="s">
        <v>3666</v>
      </c>
      <c r="B1266" s="15" t="s">
        <v>3682</v>
      </c>
      <c r="C1266" s="15" t="s">
        <v>5997</v>
      </c>
      <c r="D1266" s="34" t="n">
        <v>0</v>
      </c>
      <c r="E1266" s="15" t="s">
        <v>6006</v>
      </c>
    </row>
    <row r="1267" customFormat="false" ht="15" hidden="false" customHeight="false" outlineLevel="0" collapsed="false">
      <c r="A1267" s="15" t="s">
        <v>3650</v>
      </c>
      <c r="B1267" s="15" t="s">
        <v>3682</v>
      </c>
      <c r="C1267" s="15" t="s">
        <v>5997</v>
      </c>
      <c r="D1267" s="34" t="n">
        <v>0</v>
      </c>
      <c r="E1267" s="15" t="s">
        <v>6006</v>
      </c>
    </row>
    <row r="1268" customFormat="false" ht="15" hidden="false" customHeight="false" outlineLevel="0" collapsed="false">
      <c r="A1268" s="15" t="s">
        <v>3618</v>
      </c>
      <c r="B1268" s="15" t="s">
        <v>3682</v>
      </c>
      <c r="C1268" s="15" t="s">
        <v>5997</v>
      </c>
      <c r="D1268" s="34" t="n">
        <v>0</v>
      </c>
      <c r="E1268" s="15" t="s">
        <v>6006</v>
      </c>
    </row>
    <row r="1269" customFormat="false" ht="15" hidden="false" customHeight="false" outlineLevel="0" collapsed="false">
      <c r="A1269" s="15" t="s">
        <v>3682</v>
      </c>
      <c r="B1269" s="15" t="s">
        <v>3684</v>
      </c>
      <c r="C1269" s="15" t="s">
        <v>5997</v>
      </c>
      <c r="D1269" s="34" t="n">
        <f aca="false">Activities!M485</f>
        <v>1</v>
      </c>
      <c r="E1269" s="15" t="s">
        <v>5998</v>
      </c>
    </row>
    <row r="1270" customFormat="false" ht="15" hidden="false" customHeight="false" outlineLevel="0" collapsed="false">
      <c r="A1270" s="15" t="s">
        <v>3682</v>
      </c>
      <c r="B1270" s="15" t="s">
        <v>3684</v>
      </c>
      <c r="C1270" s="15" t="s">
        <v>5999</v>
      </c>
      <c r="D1270" s="34" t="n">
        <f aca="false">Activities!N485</f>
        <v>2</v>
      </c>
      <c r="E1270" s="15" t="s">
        <v>5998</v>
      </c>
    </row>
    <row r="1271" customFormat="false" ht="15" hidden="false" customHeight="false" outlineLevel="0" collapsed="false">
      <c r="A1271" s="15" t="s">
        <v>3668</v>
      </c>
      <c r="B1271" s="15" t="s">
        <v>3684</v>
      </c>
      <c r="C1271" s="15" t="s">
        <v>5995</v>
      </c>
      <c r="D1271" s="34" t="n">
        <v>0</v>
      </c>
      <c r="E1271" s="15" t="s">
        <v>6009</v>
      </c>
    </row>
    <row r="1272" customFormat="false" ht="15" hidden="false" customHeight="false" outlineLevel="0" collapsed="false">
      <c r="A1272" s="15" t="s">
        <v>3684</v>
      </c>
      <c r="B1272" s="15" t="s">
        <v>3685</v>
      </c>
      <c r="C1272" s="15" t="s">
        <v>5997</v>
      </c>
      <c r="D1272" s="34" t="n">
        <f aca="false">Activities!M486</f>
        <v>2</v>
      </c>
      <c r="E1272" s="15" t="s">
        <v>5998</v>
      </c>
    </row>
    <row r="1273" customFormat="false" ht="15" hidden="false" customHeight="false" outlineLevel="0" collapsed="false">
      <c r="A1273" s="15" t="s">
        <v>3684</v>
      </c>
      <c r="B1273" s="15" t="s">
        <v>3685</v>
      </c>
      <c r="C1273" s="15" t="s">
        <v>5999</v>
      </c>
      <c r="D1273" s="34" t="n">
        <f aca="false">Activities!N486</f>
        <v>2</v>
      </c>
      <c r="E1273" s="15" t="s">
        <v>5998</v>
      </c>
    </row>
    <row r="1274" customFormat="false" ht="15" hidden="false" customHeight="false" outlineLevel="0" collapsed="false">
      <c r="A1274" s="15" t="s">
        <v>3669</v>
      </c>
      <c r="B1274" s="15" t="s">
        <v>3685</v>
      </c>
      <c r="C1274" s="15" t="s">
        <v>5995</v>
      </c>
      <c r="D1274" s="34" t="n">
        <v>0</v>
      </c>
      <c r="E1274" s="15" t="s">
        <v>6009</v>
      </c>
    </row>
    <row r="1275" customFormat="false" ht="15" hidden="false" customHeight="false" outlineLevel="0" collapsed="false">
      <c r="A1275" s="15" t="s">
        <v>3685</v>
      </c>
      <c r="B1275" s="15" t="s">
        <v>3686</v>
      </c>
      <c r="C1275" s="15" t="s">
        <v>5997</v>
      </c>
      <c r="D1275" s="34" t="n">
        <f aca="false">Activities!M487</f>
        <v>1</v>
      </c>
      <c r="E1275" s="15" t="s">
        <v>5998</v>
      </c>
    </row>
    <row r="1276" customFormat="false" ht="15" hidden="false" customHeight="false" outlineLevel="0" collapsed="false">
      <c r="A1276" s="15" t="s">
        <v>3685</v>
      </c>
      <c r="B1276" s="15" t="s">
        <v>3686</v>
      </c>
      <c r="C1276" s="15" t="s">
        <v>5999</v>
      </c>
      <c r="D1276" s="34" t="n">
        <f aca="false">Activities!N487</f>
        <v>2</v>
      </c>
      <c r="E1276" s="15" t="s">
        <v>5998</v>
      </c>
    </row>
    <row r="1277" customFormat="false" ht="15" hidden="false" customHeight="false" outlineLevel="0" collapsed="false">
      <c r="A1277" s="15" t="s">
        <v>3686</v>
      </c>
      <c r="B1277" s="15" t="s">
        <v>3687</v>
      </c>
      <c r="C1277" s="15" t="s">
        <v>5997</v>
      </c>
      <c r="D1277" s="34" t="n">
        <f aca="false">Activities!M488</f>
        <v>2</v>
      </c>
      <c r="E1277" s="15" t="s">
        <v>5998</v>
      </c>
    </row>
    <row r="1278" customFormat="false" ht="15" hidden="false" customHeight="false" outlineLevel="0" collapsed="false">
      <c r="A1278" s="15" t="s">
        <v>3686</v>
      </c>
      <c r="B1278" s="15" t="s">
        <v>3687</v>
      </c>
      <c r="C1278" s="15" t="s">
        <v>5999</v>
      </c>
      <c r="D1278" s="34" t="n">
        <f aca="false">Activities!N488</f>
        <v>2</v>
      </c>
      <c r="E1278" s="15" t="s">
        <v>5998</v>
      </c>
    </row>
    <row r="1279" customFormat="false" ht="15" hidden="false" customHeight="false" outlineLevel="0" collapsed="false">
      <c r="A1279" s="15" t="s">
        <v>3671</v>
      </c>
      <c r="B1279" s="15" t="s">
        <v>3687</v>
      </c>
      <c r="C1279" s="15" t="s">
        <v>5995</v>
      </c>
      <c r="D1279" s="34" t="n">
        <v>0</v>
      </c>
      <c r="E1279" s="15" t="s">
        <v>6009</v>
      </c>
    </row>
    <row r="1280" customFormat="false" ht="15" hidden="false" customHeight="false" outlineLevel="0" collapsed="false">
      <c r="A1280" s="15" t="s">
        <v>3669</v>
      </c>
      <c r="B1280" s="15" t="s">
        <v>3687</v>
      </c>
      <c r="C1280" s="15" t="s">
        <v>5995</v>
      </c>
      <c r="D1280" s="34" t="n">
        <v>0</v>
      </c>
      <c r="E1280" s="15" t="s">
        <v>6005</v>
      </c>
    </row>
    <row r="1281" customFormat="false" ht="15" hidden="false" customHeight="false" outlineLevel="0" collapsed="false">
      <c r="A1281" s="15" t="s">
        <v>3653</v>
      </c>
      <c r="B1281" s="15" t="s">
        <v>3687</v>
      </c>
      <c r="C1281" s="15" t="s">
        <v>5995</v>
      </c>
      <c r="D1281" s="34" t="n">
        <v>0</v>
      </c>
      <c r="E1281" s="15" t="s">
        <v>6005</v>
      </c>
    </row>
    <row r="1282" customFormat="false" ht="15" hidden="false" customHeight="false" outlineLevel="0" collapsed="false">
      <c r="A1282" s="15" t="s">
        <v>3621</v>
      </c>
      <c r="B1282" s="15" t="s">
        <v>3687</v>
      </c>
      <c r="C1282" s="15" t="s">
        <v>5995</v>
      </c>
      <c r="D1282" s="34" t="n">
        <v>0</v>
      </c>
      <c r="E1282" s="15" t="s">
        <v>6005</v>
      </c>
    </row>
    <row r="1283" customFormat="false" ht="15" hidden="false" customHeight="false" outlineLevel="0" collapsed="false">
      <c r="A1283" s="15" t="s">
        <v>3687</v>
      </c>
      <c r="B1283" s="15" t="s">
        <v>3689</v>
      </c>
      <c r="C1283" s="15" t="s">
        <v>5997</v>
      </c>
      <c r="D1283" s="34" t="n">
        <f aca="false">Activities!M489</f>
        <v>1</v>
      </c>
      <c r="E1283" s="15" t="s">
        <v>5998</v>
      </c>
    </row>
    <row r="1284" customFormat="false" ht="15" hidden="false" customHeight="false" outlineLevel="0" collapsed="false">
      <c r="A1284" s="15" t="s">
        <v>3687</v>
      </c>
      <c r="B1284" s="15" t="s">
        <v>3689</v>
      </c>
      <c r="C1284" s="15" t="s">
        <v>5999</v>
      </c>
      <c r="D1284" s="34" t="n">
        <f aca="false">Activities!N489</f>
        <v>2</v>
      </c>
      <c r="E1284" s="15" t="s">
        <v>5998</v>
      </c>
    </row>
    <row r="1285" customFormat="false" ht="15" hidden="false" customHeight="false" outlineLevel="0" collapsed="false">
      <c r="A1285" s="15" t="s">
        <v>3690</v>
      </c>
      <c r="B1285" s="15" t="s">
        <v>3692</v>
      </c>
      <c r="C1285" s="15" t="s">
        <v>5995</v>
      </c>
      <c r="D1285" s="34" t="n">
        <v>0</v>
      </c>
      <c r="E1285" s="15" t="s">
        <v>5996</v>
      </c>
    </row>
    <row r="1286" customFormat="false" ht="15" hidden="false" customHeight="false" outlineLevel="0" collapsed="false">
      <c r="A1286" s="15" t="s">
        <v>3662</v>
      </c>
      <c r="B1286" s="15" t="s">
        <v>3692</v>
      </c>
      <c r="C1286" s="15" t="s">
        <v>5997</v>
      </c>
      <c r="D1286" s="34" t="n">
        <v>0</v>
      </c>
      <c r="E1286" s="15" t="s">
        <v>6000</v>
      </c>
    </row>
    <row r="1287" customFormat="false" ht="15" hidden="false" customHeight="false" outlineLevel="0" collapsed="false">
      <c r="A1287" s="15" t="s">
        <v>3692</v>
      </c>
      <c r="B1287" s="15" t="s">
        <v>3694</v>
      </c>
      <c r="C1287" s="15" t="s">
        <v>5997</v>
      </c>
      <c r="D1287" s="34" t="n">
        <f aca="false">Activities!M492</f>
        <v>1</v>
      </c>
      <c r="E1287" s="15" t="s">
        <v>5998</v>
      </c>
    </row>
    <row r="1288" customFormat="false" ht="15" hidden="false" customHeight="false" outlineLevel="0" collapsed="false">
      <c r="A1288" s="15" t="s">
        <v>3692</v>
      </c>
      <c r="B1288" s="15" t="s">
        <v>3694</v>
      </c>
      <c r="C1288" s="15" t="s">
        <v>5999</v>
      </c>
      <c r="D1288" s="34" t="n">
        <f aca="false">Activities!N492</f>
        <v>2</v>
      </c>
      <c r="E1288" s="15" t="s">
        <v>5998</v>
      </c>
    </row>
    <row r="1289" customFormat="false" ht="15" hidden="false" customHeight="false" outlineLevel="0" collapsed="false">
      <c r="A1289" s="15" t="s">
        <v>3694</v>
      </c>
      <c r="B1289" s="15" t="s">
        <v>3695</v>
      </c>
      <c r="C1289" s="15" t="s">
        <v>5997</v>
      </c>
      <c r="D1289" s="34" t="n">
        <f aca="false">Activities!M493</f>
        <v>2</v>
      </c>
      <c r="E1289" s="15" t="s">
        <v>5998</v>
      </c>
    </row>
    <row r="1290" customFormat="false" ht="15" hidden="false" customHeight="false" outlineLevel="0" collapsed="false">
      <c r="A1290" s="15" t="s">
        <v>3694</v>
      </c>
      <c r="B1290" s="15" t="s">
        <v>3695</v>
      </c>
      <c r="C1290" s="15" t="s">
        <v>5999</v>
      </c>
      <c r="D1290" s="34" t="n">
        <f aca="false">Activities!N493</f>
        <v>0</v>
      </c>
      <c r="E1290" s="15" t="s">
        <v>5998</v>
      </c>
    </row>
    <row r="1291" customFormat="false" ht="15" hidden="false" customHeight="false" outlineLevel="0" collapsed="false">
      <c r="A1291" s="15" t="s">
        <v>3695</v>
      </c>
      <c r="B1291" s="15" t="s">
        <v>3696</v>
      </c>
      <c r="C1291" s="15" t="s">
        <v>5997</v>
      </c>
      <c r="D1291" s="34" t="n">
        <f aca="false">Activities!M494</f>
        <v>0</v>
      </c>
      <c r="E1291" s="15" t="s">
        <v>5998</v>
      </c>
    </row>
    <row r="1292" customFormat="false" ht="15" hidden="false" customHeight="false" outlineLevel="0" collapsed="false">
      <c r="A1292" s="15" t="s">
        <v>3695</v>
      </c>
      <c r="B1292" s="15" t="s">
        <v>3696</v>
      </c>
      <c r="C1292" s="15" t="s">
        <v>5999</v>
      </c>
      <c r="D1292" s="34" t="n">
        <f aca="false">Activities!N494</f>
        <v>2</v>
      </c>
      <c r="E1292" s="15" t="s">
        <v>5998</v>
      </c>
    </row>
    <row r="1293" customFormat="false" ht="15" hidden="false" customHeight="false" outlineLevel="0" collapsed="false">
      <c r="A1293" s="15" t="s">
        <v>3696</v>
      </c>
      <c r="B1293" s="15" t="s">
        <v>3697</v>
      </c>
      <c r="C1293" s="15" t="s">
        <v>5997</v>
      </c>
      <c r="D1293" s="34" t="n">
        <f aca="false">Activities!M495</f>
        <v>10</v>
      </c>
      <c r="E1293" s="15" t="s">
        <v>5998</v>
      </c>
    </row>
    <row r="1294" customFormat="false" ht="15" hidden="false" customHeight="false" outlineLevel="0" collapsed="false">
      <c r="A1294" s="15" t="s">
        <v>3696</v>
      </c>
      <c r="B1294" s="15" t="s">
        <v>3697</v>
      </c>
      <c r="C1294" s="15" t="s">
        <v>5999</v>
      </c>
      <c r="D1294" s="34" t="n">
        <f aca="false">Activities!N495</f>
        <v>2</v>
      </c>
      <c r="E1294" s="15" t="s">
        <v>5998</v>
      </c>
    </row>
    <row r="1295" customFormat="false" ht="15" hidden="false" customHeight="false" outlineLevel="0" collapsed="false">
      <c r="A1295" s="15" t="s">
        <v>4725</v>
      </c>
      <c r="B1295" s="15" t="s">
        <v>3697</v>
      </c>
      <c r="C1295" s="15" t="s">
        <v>5995</v>
      </c>
      <c r="D1295" s="34" t="n">
        <v>0</v>
      </c>
      <c r="E1295" s="15" t="s">
        <v>6008</v>
      </c>
    </row>
    <row r="1296" customFormat="false" ht="15" hidden="false" customHeight="false" outlineLevel="0" collapsed="false">
      <c r="A1296" s="15" t="s">
        <v>3729</v>
      </c>
      <c r="B1296" s="15" t="s">
        <v>3697</v>
      </c>
      <c r="C1296" s="15" t="s">
        <v>5997</v>
      </c>
      <c r="D1296" s="34" t="n">
        <v>0</v>
      </c>
      <c r="E1296" s="15" t="s">
        <v>6006</v>
      </c>
    </row>
    <row r="1297" customFormat="false" ht="15" hidden="false" customHeight="false" outlineLevel="0" collapsed="false">
      <c r="A1297" s="15" t="s">
        <v>3697</v>
      </c>
      <c r="B1297" s="15" t="s">
        <v>3699</v>
      </c>
      <c r="C1297" s="15" t="s">
        <v>5997</v>
      </c>
      <c r="D1297" s="34" t="n">
        <f aca="false">Activities!M496</f>
        <v>1</v>
      </c>
      <c r="E1297" s="15" t="s">
        <v>5998</v>
      </c>
    </row>
    <row r="1298" customFormat="false" ht="15" hidden="false" customHeight="false" outlineLevel="0" collapsed="false">
      <c r="A1298" s="15" t="s">
        <v>3697</v>
      </c>
      <c r="B1298" s="15" t="s">
        <v>3699</v>
      </c>
      <c r="C1298" s="15" t="s">
        <v>5999</v>
      </c>
      <c r="D1298" s="34" t="n">
        <f aca="false">Activities!N496</f>
        <v>2</v>
      </c>
      <c r="E1298" s="15" t="s">
        <v>5998</v>
      </c>
    </row>
    <row r="1299" customFormat="false" ht="15" hidden="false" customHeight="false" outlineLevel="0" collapsed="false">
      <c r="A1299" s="15" t="s">
        <v>3699</v>
      </c>
      <c r="B1299" s="15" t="s">
        <v>3700</v>
      </c>
      <c r="C1299" s="15" t="s">
        <v>5997</v>
      </c>
      <c r="D1299" s="34" t="n">
        <f aca="false">Activities!M497</f>
        <v>2</v>
      </c>
      <c r="E1299" s="15" t="s">
        <v>5998</v>
      </c>
    </row>
    <row r="1300" customFormat="false" ht="15" hidden="false" customHeight="false" outlineLevel="0" collapsed="false">
      <c r="A1300" s="15" t="s">
        <v>3699</v>
      </c>
      <c r="B1300" s="15" t="s">
        <v>3700</v>
      </c>
      <c r="C1300" s="15" t="s">
        <v>5999</v>
      </c>
      <c r="D1300" s="34" t="n">
        <f aca="false">Activities!N497</f>
        <v>2</v>
      </c>
      <c r="E1300" s="15" t="s">
        <v>5998</v>
      </c>
    </row>
    <row r="1301" customFormat="false" ht="15" hidden="false" customHeight="false" outlineLevel="0" collapsed="false">
      <c r="A1301" s="15" t="s">
        <v>3669</v>
      </c>
      <c r="B1301" s="15" t="s">
        <v>3700</v>
      </c>
      <c r="C1301" s="15" t="s">
        <v>5995</v>
      </c>
      <c r="D1301" s="34" t="n">
        <v>0</v>
      </c>
      <c r="E1301" s="15" t="s">
        <v>6001</v>
      </c>
    </row>
    <row r="1302" customFormat="false" ht="15" hidden="false" customHeight="false" outlineLevel="0" collapsed="false">
      <c r="A1302" s="15" t="s">
        <v>3700</v>
      </c>
      <c r="B1302" s="15" t="s">
        <v>3702</v>
      </c>
      <c r="C1302" s="15" t="s">
        <v>5997</v>
      </c>
      <c r="D1302" s="34" t="n">
        <f aca="false">Activities!M498</f>
        <v>3</v>
      </c>
      <c r="E1302" s="15" t="s">
        <v>5998</v>
      </c>
    </row>
    <row r="1303" customFormat="false" ht="15" hidden="false" customHeight="false" outlineLevel="0" collapsed="false">
      <c r="A1303" s="15" t="s">
        <v>3700</v>
      </c>
      <c r="B1303" s="15" t="s">
        <v>3702</v>
      </c>
      <c r="C1303" s="15" t="s">
        <v>5999</v>
      </c>
      <c r="D1303" s="34" t="n">
        <f aca="false">Activities!N498</f>
        <v>2</v>
      </c>
      <c r="E1303" s="15" t="s">
        <v>5998</v>
      </c>
    </row>
    <row r="1304" customFormat="false" ht="15" hidden="false" customHeight="false" outlineLevel="0" collapsed="false">
      <c r="A1304" s="15" t="s">
        <v>3702</v>
      </c>
      <c r="B1304" s="15" t="s">
        <v>3703</v>
      </c>
      <c r="C1304" s="15" t="s">
        <v>5997</v>
      </c>
      <c r="D1304" s="34" t="n">
        <f aca="false">Activities!M499</f>
        <v>2</v>
      </c>
      <c r="E1304" s="15" t="s">
        <v>5998</v>
      </c>
    </row>
    <row r="1305" customFormat="false" ht="15" hidden="false" customHeight="false" outlineLevel="0" collapsed="false">
      <c r="A1305" s="15" t="s">
        <v>3702</v>
      </c>
      <c r="B1305" s="15" t="s">
        <v>3703</v>
      </c>
      <c r="C1305" s="15" t="s">
        <v>5999</v>
      </c>
      <c r="D1305" s="34" t="n">
        <f aca="false">Activities!N499</f>
        <v>2</v>
      </c>
      <c r="E1305" s="15" t="s">
        <v>5998</v>
      </c>
    </row>
    <row r="1306" customFormat="false" ht="15" hidden="false" customHeight="false" outlineLevel="0" collapsed="false">
      <c r="A1306" s="15" t="s">
        <v>3732</v>
      </c>
      <c r="B1306" s="15" t="s">
        <v>3703</v>
      </c>
      <c r="C1306" s="15" t="s">
        <v>5995</v>
      </c>
      <c r="D1306" s="34" t="n">
        <v>0</v>
      </c>
      <c r="E1306" s="15" t="s">
        <v>6005</v>
      </c>
    </row>
    <row r="1307" customFormat="false" ht="15" hidden="false" customHeight="false" outlineLevel="0" collapsed="false">
      <c r="A1307" s="15" t="s">
        <v>3717</v>
      </c>
      <c r="B1307" s="15" t="s">
        <v>3703</v>
      </c>
      <c r="C1307" s="15" t="s">
        <v>5995</v>
      </c>
      <c r="D1307" s="34" t="n">
        <v>0</v>
      </c>
      <c r="E1307" s="15" t="s">
        <v>6005</v>
      </c>
    </row>
    <row r="1308" customFormat="false" ht="15" hidden="false" customHeight="false" outlineLevel="0" collapsed="false">
      <c r="A1308" s="15" t="s">
        <v>3703</v>
      </c>
      <c r="B1308" s="15" t="s">
        <v>3705</v>
      </c>
      <c r="C1308" s="15" t="s">
        <v>5997</v>
      </c>
      <c r="D1308" s="34" t="n">
        <f aca="false">Activities!M500</f>
        <v>1</v>
      </c>
      <c r="E1308" s="15" t="s">
        <v>5998</v>
      </c>
    </row>
    <row r="1309" customFormat="false" ht="15" hidden="false" customHeight="false" outlineLevel="0" collapsed="false">
      <c r="A1309" s="15" t="s">
        <v>3703</v>
      </c>
      <c r="B1309" s="15" t="s">
        <v>3705</v>
      </c>
      <c r="C1309" s="15" t="s">
        <v>5999</v>
      </c>
      <c r="D1309" s="34" t="n">
        <f aca="false">Activities!N500</f>
        <v>2</v>
      </c>
      <c r="E1309" s="15" t="s">
        <v>5998</v>
      </c>
    </row>
    <row r="1310" customFormat="false" ht="15" hidden="false" customHeight="false" outlineLevel="0" collapsed="false">
      <c r="A1310" s="15" t="s">
        <v>3706</v>
      </c>
      <c r="B1310" s="15" t="s">
        <v>3708</v>
      </c>
      <c r="C1310" s="15" t="s">
        <v>5995</v>
      </c>
      <c r="D1310" s="34" t="n">
        <v>0</v>
      </c>
      <c r="E1310" s="15" t="s">
        <v>5996</v>
      </c>
    </row>
    <row r="1311" customFormat="false" ht="15" hidden="false" customHeight="false" outlineLevel="0" collapsed="false">
      <c r="A1311" s="15" t="s">
        <v>3678</v>
      </c>
      <c r="B1311" s="15" t="s">
        <v>3708</v>
      </c>
      <c r="C1311" s="15" t="s">
        <v>5997</v>
      </c>
      <c r="D1311" s="34" t="n">
        <v>0</v>
      </c>
      <c r="E1311" s="15" t="s">
        <v>6002</v>
      </c>
    </row>
    <row r="1312" customFormat="false" ht="15" hidden="false" customHeight="false" outlineLevel="0" collapsed="false">
      <c r="A1312" s="15" t="s">
        <v>3708</v>
      </c>
      <c r="B1312" s="15" t="s">
        <v>3710</v>
      </c>
      <c r="C1312" s="15" t="s">
        <v>5997</v>
      </c>
      <c r="D1312" s="34" t="n">
        <f aca="false">Activities!M503</f>
        <v>1</v>
      </c>
      <c r="E1312" s="15" t="s">
        <v>5998</v>
      </c>
    </row>
    <row r="1313" customFormat="false" ht="15" hidden="false" customHeight="false" outlineLevel="0" collapsed="false">
      <c r="A1313" s="15" t="s">
        <v>3708</v>
      </c>
      <c r="B1313" s="15" t="s">
        <v>3710</v>
      </c>
      <c r="C1313" s="15" t="s">
        <v>5999</v>
      </c>
      <c r="D1313" s="34" t="n">
        <f aca="false">Activities!N503</f>
        <v>2</v>
      </c>
      <c r="E1313" s="15" t="s">
        <v>5998</v>
      </c>
    </row>
    <row r="1314" customFormat="false" ht="15" hidden="false" customHeight="false" outlineLevel="0" collapsed="false">
      <c r="A1314" s="15" t="s">
        <v>3678</v>
      </c>
      <c r="B1314" s="15" t="s">
        <v>3710</v>
      </c>
      <c r="C1314" s="15" t="s">
        <v>5995</v>
      </c>
      <c r="D1314" s="34" t="n">
        <v>0</v>
      </c>
      <c r="E1314" s="15" t="s">
        <v>6009</v>
      </c>
    </row>
    <row r="1315" customFormat="false" ht="15" hidden="false" customHeight="false" outlineLevel="0" collapsed="false">
      <c r="A1315" s="15" t="s">
        <v>3710</v>
      </c>
      <c r="B1315" s="15" t="s">
        <v>3711</v>
      </c>
      <c r="C1315" s="15" t="s">
        <v>5997</v>
      </c>
      <c r="D1315" s="34" t="n">
        <f aca="false">Activities!M504</f>
        <v>2</v>
      </c>
      <c r="E1315" s="15" t="s">
        <v>5998</v>
      </c>
    </row>
    <row r="1316" customFormat="false" ht="15" hidden="false" customHeight="false" outlineLevel="0" collapsed="false">
      <c r="A1316" s="15" t="s">
        <v>3710</v>
      </c>
      <c r="B1316" s="15" t="s">
        <v>3711</v>
      </c>
      <c r="C1316" s="15" t="s">
        <v>5999</v>
      </c>
      <c r="D1316" s="34" t="n">
        <f aca="false">Activities!N504</f>
        <v>2</v>
      </c>
      <c r="E1316" s="15" t="s">
        <v>5998</v>
      </c>
    </row>
    <row r="1317" customFormat="false" ht="15" hidden="false" customHeight="false" outlineLevel="0" collapsed="false">
      <c r="A1317" s="15" t="s">
        <v>3679</v>
      </c>
      <c r="B1317" s="15" t="s">
        <v>3711</v>
      </c>
      <c r="C1317" s="15" t="s">
        <v>5995</v>
      </c>
      <c r="D1317" s="34" t="n">
        <v>0</v>
      </c>
      <c r="E1317" s="15" t="s">
        <v>6009</v>
      </c>
    </row>
    <row r="1318" customFormat="false" ht="15" hidden="false" customHeight="false" outlineLevel="0" collapsed="false">
      <c r="A1318" s="15" t="s">
        <v>3711</v>
      </c>
      <c r="B1318" s="15" t="s">
        <v>3712</v>
      </c>
      <c r="C1318" s="15" t="s">
        <v>5997</v>
      </c>
      <c r="D1318" s="34" t="n">
        <f aca="false">Activities!M505</f>
        <v>1</v>
      </c>
      <c r="E1318" s="15" t="s">
        <v>5998</v>
      </c>
    </row>
    <row r="1319" customFormat="false" ht="15" hidden="false" customHeight="false" outlineLevel="0" collapsed="false">
      <c r="A1319" s="15" t="s">
        <v>3711</v>
      </c>
      <c r="B1319" s="15" t="s">
        <v>3712</v>
      </c>
      <c r="C1319" s="15" t="s">
        <v>5999</v>
      </c>
      <c r="D1319" s="34" t="n">
        <f aca="false">Activities!N505</f>
        <v>2</v>
      </c>
      <c r="E1319" s="15" t="s">
        <v>5998</v>
      </c>
    </row>
    <row r="1320" customFormat="false" ht="15" hidden="false" customHeight="false" outlineLevel="0" collapsed="false">
      <c r="A1320" s="15" t="s">
        <v>3682</v>
      </c>
      <c r="B1320" s="15" t="s">
        <v>3712</v>
      </c>
      <c r="C1320" s="15" t="s">
        <v>5995</v>
      </c>
      <c r="D1320" s="34" t="n">
        <f aca="false">-Activities!K505</f>
        <v>-10</v>
      </c>
      <c r="E1320" s="15" t="s">
        <v>6004</v>
      </c>
    </row>
    <row r="1321" customFormat="false" ht="15" hidden="false" customHeight="false" outlineLevel="0" collapsed="false">
      <c r="A1321" s="15" t="s">
        <v>3712</v>
      </c>
      <c r="B1321" s="15" t="s">
        <v>3714</v>
      </c>
      <c r="C1321" s="15" t="s">
        <v>5997</v>
      </c>
      <c r="D1321" s="34" t="n">
        <f aca="false">Activities!M506</f>
        <v>10</v>
      </c>
      <c r="E1321" s="15" t="s">
        <v>5998</v>
      </c>
    </row>
    <row r="1322" customFormat="false" ht="15" hidden="false" customHeight="false" outlineLevel="0" collapsed="false">
      <c r="A1322" s="15" t="s">
        <v>3712</v>
      </c>
      <c r="B1322" s="15" t="s">
        <v>3714</v>
      </c>
      <c r="C1322" s="15" t="s">
        <v>5999</v>
      </c>
      <c r="D1322" s="34" t="n">
        <f aca="false">Activities!N506</f>
        <v>2</v>
      </c>
      <c r="E1322" s="15" t="s">
        <v>5998</v>
      </c>
    </row>
    <row r="1323" customFormat="false" ht="15" hidden="false" customHeight="false" outlineLevel="0" collapsed="false">
      <c r="A1323" s="15" t="s">
        <v>3682</v>
      </c>
      <c r="B1323" s="15" t="s">
        <v>3714</v>
      </c>
      <c r="C1323" s="15" t="s">
        <v>5995</v>
      </c>
      <c r="D1323" s="34" t="n">
        <v>0</v>
      </c>
      <c r="E1323" s="15" t="s">
        <v>6009</v>
      </c>
    </row>
    <row r="1324" customFormat="false" ht="15" hidden="false" customHeight="false" outlineLevel="0" collapsed="false">
      <c r="A1324" s="15" t="s">
        <v>4740</v>
      </c>
      <c r="B1324" s="15" t="s">
        <v>3714</v>
      </c>
      <c r="C1324" s="15" t="s">
        <v>5995</v>
      </c>
      <c r="D1324" s="34" t="n">
        <v>0</v>
      </c>
      <c r="E1324" s="15" t="s">
        <v>6008</v>
      </c>
    </row>
    <row r="1325" customFormat="false" ht="15" hidden="false" customHeight="false" outlineLevel="0" collapsed="false">
      <c r="A1325" s="15" t="s">
        <v>4725</v>
      </c>
      <c r="B1325" s="15" t="s">
        <v>3714</v>
      </c>
      <c r="C1325" s="15" t="s">
        <v>5995</v>
      </c>
      <c r="D1325" s="34" t="n">
        <v>0</v>
      </c>
      <c r="E1325" s="15" t="s">
        <v>6008</v>
      </c>
    </row>
    <row r="1326" customFormat="false" ht="15" hidden="false" customHeight="false" outlineLevel="0" collapsed="false">
      <c r="A1326" s="15" t="s">
        <v>3697</v>
      </c>
      <c r="B1326" s="15" t="s">
        <v>3714</v>
      </c>
      <c r="C1326" s="15" t="s">
        <v>5997</v>
      </c>
      <c r="D1326" s="34" t="n">
        <v>0</v>
      </c>
      <c r="E1326" s="15" t="s">
        <v>6006</v>
      </c>
    </row>
    <row r="1327" customFormat="false" ht="15" hidden="false" customHeight="false" outlineLevel="0" collapsed="false">
      <c r="A1327" s="15" t="s">
        <v>3666</v>
      </c>
      <c r="B1327" s="15" t="s">
        <v>3714</v>
      </c>
      <c r="C1327" s="15" t="s">
        <v>5997</v>
      </c>
      <c r="D1327" s="34" t="n">
        <v>0</v>
      </c>
      <c r="E1327" s="15" t="s">
        <v>6006</v>
      </c>
    </row>
    <row r="1328" customFormat="false" ht="15" hidden="false" customHeight="false" outlineLevel="0" collapsed="false">
      <c r="A1328" s="15" t="s">
        <v>3650</v>
      </c>
      <c r="B1328" s="15" t="s">
        <v>3714</v>
      </c>
      <c r="C1328" s="15" t="s">
        <v>5997</v>
      </c>
      <c r="D1328" s="34" t="n">
        <v>0</v>
      </c>
      <c r="E1328" s="15" t="s">
        <v>6006</v>
      </c>
    </row>
    <row r="1329" customFormat="false" ht="15" hidden="false" customHeight="false" outlineLevel="0" collapsed="false">
      <c r="A1329" s="15" t="s">
        <v>3714</v>
      </c>
      <c r="B1329" s="15" t="s">
        <v>3716</v>
      </c>
      <c r="C1329" s="15" t="s">
        <v>5997</v>
      </c>
      <c r="D1329" s="34" t="n">
        <f aca="false">Activities!M507</f>
        <v>1</v>
      </c>
      <c r="E1329" s="15" t="s">
        <v>5998</v>
      </c>
    </row>
    <row r="1330" customFormat="false" ht="15" hidden="false" customHeight="false" outlineLevel="0" collapsed="false">
      <c r="A1330" s="15" t="s">
        <v>3714</v>
      </c>
      <c r="B1330" s="15" t="s">
        <v>3716</v>
      </c>
      <c r="C1330" s="15" t="s">
        <v>5999</v>
      </c>
      <c r="D1330" s="34" t="n">
        <f aca="false">Activities!N507</f>
        <v>2</v>
      </c>
      <c r="E1330" s="15" t="s">
        <v>5998</v>
      </c>
    </row>
    <row r="1331" customFormat="false" ht="15" hidden="false" customHeight="false" outlineLevel="0" collapsed="false">
      <c r="A1331" s="15" t="s">
        <v>3684</v>
      </c>
      <c r="B1331" s="15" t="s">
        <v>3716</v>
      </c>
      <c r="C1331" s="15" t="s">
        <v>5995</v>
      </c>
      <c r="D1331" s="34" t="n">
        <v>0</v>
      </c>
      <c r="E1331" s="15" t="s">
        <v>6009</v>
      </c>
    </row>
    <row r="1332" customFormat="false" ht="15" hidden="false" customHeight="false" outlineLevel="0" collapsed="false">
      <c r="A1332" s="15" t="s">
        <v>3716</v>
      </c>
      <c r="B1332" s="15" t="s">
        <v>3717</v>
      </c>
      <c r="C1332" s="15" t="s">
        <v>5997</v>
      </c>
      <c r="D1332" s="34" t="n">
        <f aca="false">Activities!M508</f>
        <v>2</v>
      </c>
      <c r="E1332" s="15" t="s">
        <v>5998</v>
      </c>
    </row>
    <row r="1333" customFormat="false" ht="15" hidden="false" customHeight="false" outlineLevel="0" collapsed="false">
      <c r="A1333" s="15" t="s">
        <v>3716</v>
      </c>
      <c r="B1333" s="15" t="s">
        <v>3717</v>
      </c>
      <c r="C1333" s="15" t="s">
        <v>5999</v>
      </c>
      <c r="D1333" s="34" t="n">
        <f aca="false">Activities!N508</f>
        <v>2</v>
      </c>
      <c r="E1333" s="15" t="s">
        <v>5998</v>
      </c>
    </row>
    <row r="1334" customFormat="false" ht="15" hidden="false" customHeight="false" outlineLevel="0" collapsed="false">
      <c r="A1334" s="15" t="s">
        <v>3685</v>
      </c>
      <c r="B1334" s="15" t="s">
        <v>3717</v>
      </c>
      <c r="C1334" s="15" t="s">
        <v>5995</v>
      </c>
      <c r="D1334" s="34" t="n">
        <v>0</v>
      </c>
      <c r="E1334" s="15" t="s">
        <v>6009</v>
      </c>
    </row>
    <row r="1335" customFormat="false" ht="15" hidden="false" customHeight="false" outlineLevel="0" collapsed="false">
      <c r="A1335" s="15" t="s">
        <v>3717</v>
      </c>
      <c r="B1335" s="15" t="s">
        <v>3718</v>
      </c>
      <c r="C1335" s="15" t="s">
        <v>5997</v>
      </c>
      <c r="D1335" s="34" t="n">
        <f aca="false">Activities!M509</f>
        <v>1</v>
      </c>
      <c r="E1335" s="15" t="s">
        <v>5998</v>
      </c>
    </row>
    <row r="1336" customFormat="false" ht="15" hidden="false" customHeight="false" outlineLevel="0" collapsed="false">
      <c r="A1336" s="15" t="s">
        <v>3717</v>
      </c>
      <c r="B1336" s="15" t="s">
        <v>3718</v>
      </c>
      <c r="C1336" s="15" t="s">
        <v>5999</v>
      </c>
      <c r="D1336" s="34" t="n">
        <f aca="false">Activities!N509</f>
        <v>2</v>
      </c>
      <c r="E1336" s="15" t="s">
        <v>5998</v>
      </c>
    </row>
    <row r="1337" customFormat="false" ht="15" hidden="false" customHeight="false" outlineLevel="0" collapsed="false">
      <c r="A1337" s="15" t="s">
        <v>3718</v>
      </c>
      <c r="B1337" s="15" t="s">
        <v>3719</v>
      </c>
      <c r="C1337" s="15" t="s">
        <v>5997</v>
      </c>
      <c r="D1337" s="34" t="n">
        <f aca="false">Activities!M510</f>
        <v>2</v>
      </c>
      <c r="E1337" s="15" t="s">
        <v>5998</v>
      </c>
    </row>
    <row r="1338" customFormat="false" ht="15" hidden="false" customHeight="false" outlineLevel="0" collapsed="false">
      <c r="A1338" s="15" t="s">
        <v>3718</v>
      </c>
      <c r="B1338" s="15" t="s">
        <v>3719</v>
      </c>
      <c r="C1338" s="15" t="s">
        <v>5999</v>
      </c>
      <c r="D1338" s="34" t="n">
        <f aca="false">Activities!N510</f>
        <v>2</v>
      </c>
      <c r="E1338" s="15" t="s">
        <v>5998</v>
      </c>
    </row>
    <row r="1339" customFormat="false" ht="15" hidden="false" customHeight="false" outlineLevel="0" collapsed="false">
      <c r="A1339" s="15" t="s">
        <v>3687</v>
      </c>
      <c r="B1339" s="15" t="s">
        <v>3719</v>
      </c>
      <c r="C1339" s="15" t="s">
        <v>5995</v>
      </c>
      <c r="D1339" s="34" t="n">
        <v>0</v>
      </c>
      <c r="E1339" s="15" t="s">
        <v>6009</v>
      </c>
    </row>
    <row r="1340" customFormat="false" ht="15" hidden="false" customHeight="false" outlineLevel="0" collapsed="false">
      <c r="A1340" s="15" t="s">
        <v>3700</v>
      </c>
      <c r="B1340" s="15" t="s">
        <v>3719</v>
      </c>
      <c r="C1340" s="15" t="s">
        <v>5995</v>
      </c>
      <c r="D1340" s="34" t="n">
        <v>0</v>
      </c>
      <c r="E1340" s="15" t="s">
        <v>6005</v>
      </c>
    </row>
    <row r="1341" customFormat="false" ht="15" hidden="false" customHeight="false" outlineLevel="0" collapsed="false">
      <c r="A1341" s="15" t="s">
        <v>3669</v>
      </c>
      <c r="B1341" s="15" t="s">
        <v>3719</v>
      </c>
      <c r="C1341" s="15" t="s">
        <v>5995</v>
      </c>
      <c r="D1341" s="34" t="n">
        <v>0</v>
      </c>
      <c r="E1341" s="15" t="s">
        <v>6005</v>
      </c>
    </row>
    <row r="1342" customFormat="false" ht="15" hidden="false" customHeight="false" outlineLevel="0" collapsed="false">
      <c r="A1342" s="15" t="s">
        <v>3653</v>
      </c>
      <c r="B1342" s="15" t="s">
        <v>3719</v>
      </c>
      <c r="C1342" s="15" t="s">
        <v>5995</v>
      </c>
      <c r="D1342" s="34" t="n">
        <v>0</v>
      </c>
      <c r="E1342" s="15" t="s">
        <v>6005</v>
      </c>
    </row>
    <row r="1343" customFormat="false" ht="15" hidden="false" customHeight="false" outlineLevel="0" collapsed="false">
      <c r="A1343" s="15" t="s">
        <v>3719</v>
      </c>
      <c r="B1343" s="15" t="s">
        <v>3721</v>
      </c>
      <c r="C1343" s="15" t="s">
        <v>5997</v>
      </c>
      <c r="D1343" s="34" t="n">
        <f aca="false">Activities!M511</f>
        <v>1</v>
      </c>
      <c r="E1343" s="15" t="s">
        <v>5998</v>
      </c>
    </row>
    <row r="1344" customFormat="false" ht="15" hidden="false" customHeight="false" outlineLevel="0" collapsed="false">
      <c r="A1344" s="15" t="s">
        <v>3719</v>
      </c>
      <c r="B1344" s="15" t="s">
        <v>3721</v>
      </c>
      <c r="C1344" s="15" t="s">
        <v>5999</v>
      </c>
      <c r="D1344" s="34" t="n">
        <f aca="false">Activities!N511</f>
        <v>2</v>
      </c>
      <c r="E1344" s="15" t="s">
        <v>5998</v>
      </c>
    </row>
    <row r="1345" customFormat="false" ht="15" hidden="false" customHeight="false" outlineLevel="0" collapsed="false">
      <c r="A1345" s="15" t="s">
        <v>3722</v>
      </c>
      <c r="B1345" s="15" t="s">
        <v>3724</v>
      </c>
      <c r="C1345" s="15" t="s">
        <v>5995</v>
      </c>
      <c r="D1345" s="34" t="n">
        <v>0</v>
      </c>
      <c r="E1345" s="15" t="s">
        <v>5996</v>
      </c>
    </row>
    <row r="1346" customFormat="false" ht="15" hidden="false" customHeight="false" outlineLevel="0" collapsed="false">
      <c r="A1346" s="15" t="s">
        <v>3710</v>
      </c>
      <c r="B1346" s="15" t="s">
        <v>3724</v>
      </c>
      <c r="C1346" s="15" t="s">
        <v>5997</v>
      </c>
      <c r="D1346" s="34" t="n">
        <v>0</v>
      </c>
      <c r="E1346" s="15" t="s">
        <v>6000</v>
      </c>
    </row>
    <row r="1347" customFormat="false" ht="15" hidden="false" customHeight="false" outlineLevel="0" collapsed="false">
      <c r="A1347" s="15" t="s">
        <v>3724</v>
      </c>
      <c r="B1347" s="15" t="s">
        <v>3726</v>
      </c>
      <c r="C1347" s="15" t="s">
        <v>5997</v>
      </c>
      <c r="D1347" s="34" t="n">
        <f aca="false">Activities!M514</f>
        <v>1</v>
      </c>
      <c r="E1347" s="15" t="s">
        <v>5998</v>
      </c>
    </row>
    <row r="1348" customFormat="false" ht="15" hidden="false" customHeight="false" outlineLevel="0" collapsed="false">
      <c r="A1348" s="15" t="s">
        <v>3724</v>
      </c>
      <c r="B1348" s="15" t="s">
        <v>3726</v>
      </c>
      <c r="C1348" s="15" t="s">
        <v>5999</v>
      </c>
      <c r="D1348" s="34" t="n">
        <f aca="false">Activities!N514</f>
        <v>2</v>
      </c>
      <c r="E1348" s="15" t="s">
        <v>5998</v>
      </c>
    </row>
    <row r="1349" customFormat="false" ht="15" hidden="false" customHeight="false" outlineLevel="0" collapsed="false">
      <c r="A1349" s="15" t="s">
        <v>3726</v>
      </c>
      <c r="B1349" s="15" t="s">
        <v>3727</v>
      </c>
      <c r="C1349" s="15" t="s">
        <v>5997</v>
      </c>
      <c r="D1349" s="34" t="n">
        <f aca="false">Activities!M515</f>
        <v>2</v>
      </c>
      <c r="E1349" s="15" t="s">
        <v>5998</v>
      </c>
    </row>
    <row r="1350" customFormat="false" ht="15" hidden="false" customHeight="false" outlineLevel="0" collapsed="false">
      <c r="A1350" s="15" t="s">
        <v>3726</v>
      </c>
      <c r="B1350" s="15" t="s">
        <v>3727</v>
      </c>
      <c r="C1350" s="15" t="s">
        <v>5999</v>
      </c>
      <c r="D1350" s="34" t="n">
        <f aca="false">Activities!N515</f>
        <v>0</v>
      </c>
      <c r="E1350" s="15" t="s">
        <v>5998</v>
      </c>
    </row>
    <row r="1351" customFormat="false" ht="15" hidden="false" customHeight="false" outlineLevel="0" collapsed="false">
      <c r="A1351" s="15" t="s">
        <v>3727</v>
      </c>
      <c r="B1351" s="15" t="s">
        <v>3728</v>
      </c>
      <c r="C1351" s="15" t="s">
        <v>5997</v>
      </c>
      <c r="D1351" s="34" t="n">
        <f aca="false">Activities!M516</f>
        <v>0</v>
      </c>
      <c r="E1351" s="15" t="s">
        <v>5998</v>
      </c>
    </row>
    <row r="1352" customFormat="false" ht="15" hidden="false" customHeight="false" outlineLevel="0" collapsed="false">
      <c r="A1352" s="15" t="s">
        <v>3727</v>
      </c>
      <c r="B1352" s="15" t="s">
        <v>3728</v>
      </c>
      <c r="C1352" s="15" t="s">
        <v>5999</v>
      </c>
      <c r="D1352" s="34" t="n">
        <f aca="false">Activities!N516</f>
        <v>2</v>
      </c>
      <c r="E1352" s="15" t="s">
        <v>5998</v>
      </c>
    </row>
    <row r="1353" customFormat="false" ht="15" hidden="false" customHeight="false" outlineLevel="0" collapsed="false">
      <c r="A1353" s="15" t="s">
        <v>3728</v>
      </c>
      <c r="B1353" s="15" t="s">
        <v>3729</v>
      </c>
      <c r="C1353" s="15" t="s">
        <v>5997</v>
      </c>
      <c r="D1353" s="34" t="n">
        <f aca="false">Activities!M517</f>
        <v>10</v>
      </c>
      <c r="E1353" s="15" t="s">
        <v>5998</v>
      </c>
    </row>
    <row r="1354" customFormat="false" ht="15" hidden="false" customHeight="false" outlineLevel="0" collapsed="false">
      <c r="A1354" s="15" t="s">
        <v>3728</v>
      </c>
      <c r="B1354" s="15" t="s">
        <v>3729</v>
      </c>
      <c r="C1354" s="15" t="s">
        <v>5999</v>
      </c>
      <c r="D1354" s="34" t="n">
        <f aca="false">Activities!N517</f>
        <v>2</v>
      </c>
      <c r="E1354" s="15" t="s">
        <v>5998</v>
      </c>
    </row>
    <row r="1355" customFormat="false" ht="15" hidden="false" customHeight="false" outlineLevel="0" collapsed="false">
      <c r="A1355" s="15" t="s">
        <v>4725</v>
      </c>
      <c r="B1355" s="15" t="s">
        <v>3729</v>
      </c>
      <c r="C1355" s="15" t="s">
        <v>5995</v>
      </c>
      <c r="D1355" s="34" t="n">
        <v>0</v>
      </c>
      <c r="E1355" s="15" t="s">
        <v>6008</v>
      </c>
    </row>
    <row r="1356" customFormat="false" ht="15" hidden="false" customHeight="false" outlineLevel="0" collapsed="false">
      <c r="A1356" s="15" t="s">
        <v>3666</v>
      </c>
      <c r="B1356" s="15" t="s">
        <v>3729</v>
      </c>
      <c r="C1356" s="15" t="s">
        <v>5997</v>
      </c>
      <c r="D1356" s="34" t="n">
        <v>0</v>
      </c>
      <c r="E1356" s="15" t="s">
        <v>6006</v>
      </c>
    </row>
    <row r="1357" customFormat="false" ht="15" hidden="false" customHeight="false" outlineLevel="0" collapsed="false">
      <c r="A1357" s="15" t="s">
        <v>3729</v>
      </c>
      <c r="B1357" s="15" t="s">
        <v>3731</v>
      </c>
      <c r="C1357" s="15" t="s">
        <v>5997</v>
      </c>
      <c r="D1357" s="34" t="n">
        <f aca="false">Activities!M518</f>
        <v>1</v>
      </c>
      <c r="E1357" s="15" t="s">
        <v>5998</v>
      </c>
    </row>
    <row r="1358" customFormat="false" ht="15" hidden="false" customHeight="false" outlineLevel="0" collapsed="false">
      <c r="A1358" s="15" t="s">
        <v>3729</v>
      </c>
      <c r="B1358" s="15" t="s">
        <v>3731</v>
      </c>
      <c r="C1358" s="15" t="s">
        <v>5999</v>
      </c>
      <c r="D1358" s="34" t="n">
        <f aca="false">Activities!N518</f>
        <v>2</v>
      </c>
      <c r="E1358" s="15" t="s">
        <v>5998</v>
      </c>
    </row>
    <row r="1359" customFormat="false" ht="15" hidden="false" customHeight="false" outlineLevel="0" collapsed="false">
      <c r="A1359" s="15" t="s">
        <v>3731</v>
      </c>
      <c r="B1359" s="15" t="s">
        <v>3732</v>
      </c>
      <c r="C1359" s="15" t="s">
        <v>5997</v>
      </c>
      <c r="D1359" s="34" t="n">
        <f aca="false">Activities!M519</f>
        <v>2</v>
      </c>
      <c r="E1359" s="15" t="s">
        <v>5998</v>
      </c>
    </row>
    <row r="1360" customFormat="false" ht="15" hidden="false" customHeight="false" outlineLevel="0" collapsed="false">
      <c r="A1360" s="15" t="s">
        <v>3731</v>
      </c>
      <c r="B1360" s="15" t="s">
        <v>3732</v>
      </c>
      <c r="C1360" s="15" t="s">
        <v>5999</v>
      </c>
      <c r="D1360" s="34" t="n">
        <f aca="false">Activities!N519</f>
        <v>2</v>
      </c>
      <c r="E1360" s="15" t="s">
        <v>5998</v>
      </c>
    </row>
    <row r="1361" customFormat="false" ht="15" hidden="false" customHeight="false" outlineLevel="0" collapsed="false">
      <c r="A1361" s="15" t="s">
        <v>3717</v>
      </c>
      <c r="B1361" s="15" t="s">
        <v>3732</v>
      </c>
      <c r="C1361" s="15" t="s">
        <v>5995</v>
      </c>
      <c r="D1361" s="34" t="n">
        <v>0</v>
      </c>
      <c r="E1361" s="15" t="s">
        <v>6001</v>
      </c>
    </row>
    <row r="1362" customFormat="false" ht="15" hidden="false" customHeight="false" outlineLevel="0" collapsed="false">
      <c r="A1362" s="15" t="s">
        <v>3732</v>
      </c>
      <c r="B1362" s="15" t="s">
        <v>3734</v>
      </c>
      <c r="C1362" s="15" t="s">
        <v>5997</v>
      </c>
      <c r="D1362" s="34" t="n">
        <f aca="false">Activities!M520</f>
        <v>3</v>
      </c>
      <c r="E1362" s="15" t="s">
        <v>5998</v>
      </c>
    </row>
    <row r="1363" customFormat="false" ht="15" hidden="false" customHeight="false" outlineLevel="0" collapsed="false">
      <c r="A1363" s="15" t="s">
        <v>3732</v>
      </c>
      <c r="B1363" s="15" t="s">
        <v>3734</v>
      </c>
      <c r="C1363" s="15" t="s">
        <v>5999</v>
      </c>
      <c r="D1363" s="34" t="n">
        <f aca="false">Activities!N520</f>
        <v>2</v>
      </c>
      <c r="E1363" s="15" t="s">
        <v>5998</v>
      </c>
    </row>
    <row r="1364" customFormat="false" ht="15" hidden="false" customHeight="false" outlineLevel="0" collapsed="false">
      <c r="A1364" s="15" t="s">
        <v>3734</v>
      </c>
      <c r="B1364" s="15" t="s">
        <v>3735</v>
      </c>
      <c r="C1364" s="15" t="s">
        <v>5997</v>
      </c>
      <c r="D1364" s="34" t="n">
        <f aca="false">Activities!M521</f>
        <v>2</v>
      </c>
      <c r="E1364" s="15" t="s">
        <v>5998</v>
      </c>
    </row>
    <row r="1365" customFormat="false" ht="15" hidden="false" customHeight="false" outlineLevel="0" collapsed="false">
      <c r="A1365" s="15" t="s">
        <v>3734</v>
      </c>
      <c r="B1365" s="15" t="s">
        <v>3735</v>
      </c>
      <c r="C1365" s="15" t="s">
        <v>5999</v>
      </c>
      <c r="D1365" s="34" t="n">
        <f aca="false">Activities!N521</f>
        <v>2</v>
      </c>
      <c r="E1365" s="15" t="s">
        <v>5998</v>
      </c>
    </row>
    <row r="1366" customFormat="false" ht="15" hidden="false" customHeight="false" outlineLevel="0" collapsed="false">
      <c r="A1366" s="15" t="s">
        <v>3700</v>
      </c>
      <c r="B1366" s="15" t="s">
        <v>3735</v>
      </c>
      <c r="C1366" s="15" t="s">
        <v>5995</v>
      </c>
      <c r="D1366" s="34" t="n">
        <v>0</v>
      </c>
      <c r="E1366" s="15" t="s">
        <v>6005</v>
      </c>
    </row>
    <row r="1367" customFormat="false" ht="15" hidden="false" customHeight="false" outlineLevel="0" collapsed="false">
      <c r="A1367" s="15" t="s">
        <v>3669</v>
      </c>
      <c r="B1367" s="15" t="s">
        <v>3735</v>
      </c>
      <c r="C1367" s="15" t="s">
        <v>5995</v>
      </c>
      <c r="D1367" s="34" t="n">
        <v>0</v>
      </c>
      <c r="E1367" s="15" t="s">
        <v>6005</v>
      </c>
    </row>
    <row r="1368" customFormat="false" ht="15" hidden="false" customHeight="false" outlineLevel="0" collapsed="false">
      <c r="A1368" s="15" t="s">
        <v>3735</v>
      </c>
      <c r="B1368" s="15" t="s">
        <v>3737</v>
      </c>
      <c r="C1368" s="15" t="s">
        <v>5997</v>
      </c>
      <c r="D1368" s="34" t="n">
        <f aca="false">Activities!M522</f>
        <v>1</v>
      </c>
      <c r="E1368" s="15" t="s">
        <v>5998</v>
      </c>
    </row>
    <row r="1369" customFormat="false" ht="15" hidden="false" customHeight="false" outlineLevel="0" collapsed="false">
      <c r="A1369" s="15" t="s">
        <v>3735</v>
      </c>
      <c r="B1369" s="15" t="s">
        <v>3737</v>
      </c>
      <c r="C1369" s="15" t="s">
        <v>5999</v>
      </c>
      <c r="D1369" s="34" t="n">
        <f aca="false">Activities!N522</f>
        <v>2</v>
      </c>
      <c r="E1369" s="15" t="s">
        <v>5998</v>
      </c>
    </row>
    <row r="1370" customFormat="false" ht="15" hidden="false" customHeight="false" outlineLevel="0" collapsed="false">
      <c r="A1370" s="15" t="s">
        <v>3738</v>
      </c>
      <c r="B1370" s="15" t="s">
        <v>3740</v>
      </c>
      <c r="C1370" s="15" t="s">
        <v>5995</v>
      </c>
      <c r="D1370" s="34" t="n">
        <v>0</v>
      </c>
      <c r="E1370" s="15" t="s">
        <v>5996</v>
      </c>
    </row>
    <row r="1371" customFormat="false" ht="15" hidden="false" customHeight="false" outlineLevel="0" collapsed="false">
      <c r="A1371" s="15" t="s">
        <v>3537</v>
      </c>
      <c r="B1371" s="15" t="s">
        <v>3740</v>
      </c>
      <c r="C1371" s="15" t="s">
        <v>5997</v>
      </c>
      <c r="D1371" s="34" t="n">
        <v>0</v>
      </c>
      <c r="E1371" s="15" t="s">
        <v>6000</v>
      </c>
    </row>
    <row r="1372" customFormat="false" ht="15" hidden="false" customHeight="false" outlineLevel="0" collapsed="false">
      <c r="A1372" s="15" t="s">
        <v>3740</v>
      </c>
      <c r="B1372" s="15" t="s">
        <v>3742</v>
      </c>
      <c r="C1372" s="15" t="s">
        <v>5997</v>
      </c>
      <c r="D1372" s="34" t="n">
        <f aca="false">Activities!M525</f>
        <v>1</v>
      </c>
      <c r="E1372" s="15" t="s">
        <v>5998</v>
      </c>
    </row>
    <row r="1373" customFormat="false" ht="15" hidden="false" customHeight="false" outlineLevel="0" collapsed="false">
      <c r="A1373" s="15" t="s">
        <v>3740</v>
      </c>
      <c r="B1373" s="15" t="s">
        <v>3742</v>
      </c>
      <c r="C1373" s="15" t="s">
        <v>5999</v>
      </c>
      <c r="D1373" s="34" t="n">
        <f aca="false">Activities!N525</f>
        <v>2</v>
      </c>
      <c r="E1373" s="15" t="s">
        <v>5998</v>
      </c>
    </row>
    <row r="1374" customFormat="false" ht="15" hidden="false" customHeight="false" outlineLevel="0" collapsed="false">
      <c r="A1374" s="15" t="s">
        <v>3742</v>
      </c>
      <c r="B1374" s="15" t="s">
        <v>3743</v>
      </c>
      <c r="C1374" s="15" t="s">
        <v>5997</v>
      </c>
      <c r="D1374" s="34" t="n">
        <f aca="false">Activities!M526</f>
        <v>1</v>
      </c>
      <c r="E1374" s="15" t="s">
        <v>5998</v>
      </c>
    </row>
    <row r="1375" customFormat="false" ht="15" hidden="false" customHeight="false" outlineLevel="0" collapsed="false">
      <c r="A1375" s="15" t="s">
        <v>3742</v>
      </c>
      <c r="B1375" s="15" t="s">
        <v>3743</v>
      </c>
      <c r="C1375" s="15" t="s">
        <v>5999</v>
      </c>
      <c r="D1375" s="34" t="n">
        <f aca="false">Activities!N526</f>
        <v>2</v>
      </c>
      <c r="E1375" s="15" t="s">
        <v>5998</v>
      </c>
    </row>
    <row r="1376" customFormat="false" ht="15" hidden="false" customHeight="false" outlineLevel="0" collapsed="false">
      <c r="A1376" s="15" t="s">
        <v>3743</v>
      </c>
      <c r="B1376" s="15" t="s">
        <v>3744</v>
      </c>
      <c r="C1376" s="15" t="s">
        <v>5997</v>
      </c>
      <c r="D1376" s="34" t="n">
        <f aca="false">Activities!M527</f>
        <v>1</v>
      </c>
      <c r="E1376" s="15" t="s">
        <v>5998</v>
      </c>
    </row>
    <row r="1377" customFormat="false" ht="15" hidden="false" customHeight="false" outlineLevel="0" collapsed="false">
      <c r="A1377" s="15" t="s">
        <v>3743</v>
      </c>
      <c r="B1377" s="15" t="s">
        <v>3744</v>
      </c>
      <c r="C1377" s="15" t="s">
        <v>5999</v>
      </c>
      <c r="D1377" s="34" t="n">
        <f aca="false">Activities!N527</f>
        <v>2</v>
      </c>
      <c r="E1377" s="15" t="s">
        <v>5998</v>
      </c>
    </row>
    <row r="1378" customFormat="false" ht="15" hidden="false" customHeight="false" outlineLevel="0" collapsed="false">
      <c r="A1378" s="15" t="s">
        <v>3744</v>
      </c>
      <c r="B1378" s="15" t="s">
        <v>3745</v>
      </c>
      <c r="C1378" s="15" t="s">
        <v>5997</v>
      </c>
      <c r="D1378" s="34" t="n">
        <f aca="false">Activities!M528</f>
        <v>10</v>
      </c>
      <c r="E1378" s="15" t="s">
        <v>5998</v>
      </c>
    </row>
    <row r="1379" customFormat="false" ht="15" hidden="false" customHeight="false" outlineLevel="0" collapsed="false">
      <c r="A1379" s="15" t="s">
        <v>3744</v>
      </c>
      <c r="B1379" s="15" t="s">
        <v>3745</v>
      </c>
      <c r="C1379" s="15" t="s">
        <v>5999</v>
      </c>
      <c r="D1379" s="34" t="n">
        <f aca="false">Activities!N528</f>
        <v>2</v>
      </c>
      <c r="E1379" s="15" t="s">
        <v>5998</v>
      </c>
    </row>
    <row r="1380" customFormat="false" ht="15" hidden="false" customHeight="false" outlineLevel="0" collapsed="false">
      <c r="A1380" s="15" t="s">
        <v>3745</v>
      </c>
      <c r="B1380" s="15" t="s">
        <v>3746</v>
      </c>
      <c r="C1380" s="15" t="s">
        <v>5997</v>
      </c>
      <c r="D1380" s="34" t="n">
        <f aca="false">Activities!M529</f>
        <v>1</v>
      </c>
      <c r="E1380" s="15" t="s">
        <v>5998</v>
      </c>
    </row>
    <row r="1381" customFormat="false" ht="15" hidden="false" customHeight="false" outlineLevel="0" collapsed="false">
      <c r="A1381" s="15" t="s">
        <v>3745</v>
      </c>
      <c r="B1381" s="15" t="s">
        <v>3746</v>
      </c>
      <c r="C1381" s="15" t="s">
        <v>5999</v>
      </c>
      <c r="D1381" s="34" t="n">
        <f aca="false">Activities!N529</f>
        <v>2</v>
      </c>
      <c r="E1381" s="15" t="s">
        <v>5998</v>
      </c>
    </row>
    <row r="1382" customFormat="false" ht="15" hidden="false" customHeight="false" outlineLevel="0" collapsed="false">
      <c r="A1382" s="15" t="s">
        <v>3746</v>
      </c>
      <c r="B1382" s="15" t="s">
        <v>3747</v>
      </c>
      <c r="C1382" s="15" t="s">
        <v>5997</v>
      </c>
      <c r="D1382" s="34" t="n">
        <f aca="false">Activities!M530</f>
        <v>2</v>
      </c>
      <c r="E1382" s="15" t="s">
        <v>5998</v>
      </c>
    </row>
    <row r="1383" customFormat="false" ht="15" hidden="false" customHeight="false" outlineLevel="0" collapsed="false">
      <c r="A1383" s="15" t="s">
        <v>3746</v>
      </c>
      <c r="B1383" s="15" t="s">
        <v>3747</v>
      </c>
      <c r="C1383" s="15" t="s">
        <v>5999</v>
      </c>
      <c r="D1383" s="34" t="n">
        <f aca="false">Activities!N530</f>
        <v>2</v>
      </c>
      <c r="E1383" s="15" t="s">
        <v>5998</v>
      </c>
    </row>
    <row r="1384" customFormat="false" ht="15" hidden="false" customHeight="false" outlineLevel="0" collapsed="false">
      <c r="A1384" s="15" t="s">
        <v>3543</v>
      </c>
      <c r="B1384" s="15" t="s">
        <v>3747</v>
      </c>
      <c r="C1384" s="15" t="s">
        <v>5995</v>
      </c>
      <c r="D1384" s="34" t="n">
        <v>0</v>
      </c>
      <c r="E1384" s="15" t="s">
        <v>6001</v>
      </c>
    </row>
    <row r="1385" customFormat="false" ht="15" hidden="false" customHeight="false" outlineLevel="0" collapsed="false">
      <c r="A1385" s="15" t="s">
        <v>3747</v>
      </c>
      <c r="B1385" s="15" t="s">
        <v>3749</v>
      </c>
      <c r="C1385" s="15" t="s">
        <v>5997</v>
      </c>
      <c r="D1385" s="34" t="n">
        <f aca="false">Activities!M531</f>
        <v>2</v>
      </c>
      <c r="E1385" s="15" t="s">
        <v>5998</v>
      </c>
    </row>
    <row r="1386" customFormat="false" ht="15" hidden="false" customHeight="false" outlineLevel="0" collapsed="false">
      <c r="A1386" s="15" t="s">
        <v>3747</v>
      </c>
      <c r="B1386" s="15" t="s">
        <v>3749</v>
      </c>
      <c r="C1386" s="15" t="s">
        <v>5999</v>
      </c>
      <c r="D1386" s="34" t="n">
        <f aca="false">Activities!N531</f>
        <v>2</v>
      </c>
      <c r="E1386" s="15" t="s">
        <v>5998</v>
      </c>
    </row>
    <row r="1387" customFormat="false" ht="15" hidden="false" customHeight="false" outlineLevel="0" collapsed="false">
      <c r="A1387" s="15" t="s">
        <v>3749</v>
      </c>
      <c r="B1387" s="15" t="s">
        <v>3750</v>
      </c>
      <c r="C1387" s="15" t="s">
        <v>5997</v>
      </c>
      <c r="D1387" s="34" t="n">
        <f aca="false">Activities!M532</f>
        <v>2</v>
      </c>
      <c r="E1387" s="15" t="s">
        <v>5998</v>
      </c>
    </row>
    <row r="1388" customFormat="false" ht="15" hidden="false" customHeight="false" outlineLevel="0" collapsed="false">
      <c r="A1388" s="15" t="s">
        <v>3749</v>
      </c>
      <c r="B1388" s="15" t="s">
        <v>3750</v>
      </c>
      <c r="C1388" s="15" t="s">
        <v>5999</v>
      </c>
      <c r="D1388" s="34" t="n">
        <f aca="false">Activities!N532</f>
        <v>2</v>
      </c>
      <c r="E1388" s="15" t="s">
        <v>5998</v>
      </c>
    </row>
    <row r="1389" customFormat="false" ht="15" hidden="false" customHeight="false" outlineLevel="0" collapsed="false">
      <c r="A1389" s="15" t="s">
        <v>3750</v>
      </c>
      <c r="B1389" s="15" t="s">
        <v>3751</v>
      </c>
      <c r="C1389" s="15" t="s">
        <v>5997</v>
      </c>
      <c r="D1389" s="34" t="n">
        <f aca="false">Activities!M533</f>
        <v>1</v>
      </c>
      <c r="E1389" s="15" t="s">
        <v>5998</v>
      </c>
    </row>
    <row r="1390" customFormat="false" ht="15" hidden="false" customHeight="false" outlineLevel="0" collapsed="false">
      <c r="A1390" s="15" t="s">
        <v>3750</v>
      </c>
      <c r="B1390" s="15" t="s">
        <v>3751</v>
      </c>
      <c r="C1390" s="15" t="s">
        <v>5999</v>
      </c>
      <c r="D1390" s="34" t="n">
        <f aca="false">Activities!N533</f>
        <v>2</v>
      </c>
      <c r="E1390" s="15" t="s">
        <v>5998</v>
      </c>
    </row>
    <row r="1391" customFormat="false" ht="15" hidden="false" customHeight="false" outlineLevel="0" collapsed="false">
      <c r="A1391" s="15" t="s">
        <v>3752</v>
      </c>
      <c r="B1391" s="15" t="s">
        <v>3754</v>
      </c>
      <c r="C1391" s="15" t="s">
        <v>5995</v>
      </c>
      <c r="D1391" s="34" t="n">
        <v>0</v>
      </c>
      <c r="E1391" s="15" t="s">
        <v>5996</v>
      </c>
    </row>
    <row r="1392" customFormat="false" ht="15" hidden="false" customHeight="false" outlineLevel="0" collapsed="false">
      <c r="A1392" s="15" t="s">
        <v>5529</v>
      </c>
      <c r="B1392" s="15" t="s">
        <v>3754</v>
      </c>
      <c r="C1392" s="15" t="s">
        <v>5997</v>
      </c>
      <c r="D1392" s="34" t="n">
        <v>0</v>
      </c>
      <c r="E1392" s="15" t="s">
        <v>6000</v>
      </c>
    </row>
    <row r="1393" customFormat="false" ht="15" hidden="false" customHeight="false" outlineLevel="0" collapsed="false">
      <c r="A1393" s="15" t="s">
        <v>3754</v>
      </c>
      <c r="B1393" s="15" t="s">
        <v>3756</v>
      </c>
      <c r="C1393" s="15" t="s">
        <v>5997</v>
      </c>
      <c r="D1393" s="34" t="n">
        <f aca="false">Activities!M536</f>
        <v>1</v>
      </c>
      <c r="E1393" s="15" t="s">
        <v>5998</v>
      </c>
    </row>
    <row r="1394" customFormat="false" ht="15" hidden="false" customHeight="false" outlineLevel="0" collapsed="false">
      <c r="A1394" s="15" t="s">
        <v>3754</v>
      </c>
      <c r="B1394" s="15" t="s">
        <v>3756</v>
      </c>
      <c r="C1394" s="15" t="s">
        <v>5999</v>
      </c>
      <c r="D1394" s="34" t="n">
        <f aca="false">Activities!N536</f>
        <v>2</v>
      </c>
      <c r="E1394" s="15" t="s">
        <v>5998</v>
      </c>
    </row>
    <row r="1395" customFormat="false" ht="15" hidden="false" customHeight="false" outlineLevel="0" collapsed="false">
      <c r="A1395" s="15" t="s">
        <v>3756</v>
      </c>
      <c r="B1395" s="15" t="s">
        <v>3757</v>
      </c>
      <c r="C1395" s="15" t="s">
        <v>5997</v>
      </c>
      <c r="D1395" s="34" t="n">
        <f aca="false">Activities!M537</f>
        <v>2</v>
      </c>
      <c r="E1395" s="15" t="s">
        <v>5998</v>
      </c>
    </row>
    <row r="1396" customFormat="false" ht="15" hidden="false" customHeight="false" outlineLevel="0" collapsed="false">
      <c r="A1396" s="15" t="s">
        <v>3756</v>
      </c>
      <c r="B1396" s="15" t="s">
        <v>3757</v>
      </c>
      <c r="C1396" s="15" t="s">
        <v>5999</v>
      </c>
      <c r="D1396" s="34" t="n">
        <f aca="false">Activities!N537</f>
        <v>2</v>
      </c>
      <c r="E1396" s="15" t="s">
        <v>5998</v>
      </c>
    </row>
    <row r="1397" customFormat="false" ht="15" hidden="false" customHeight="false" outlineLevel="0" collapsed="false">
      <c r="A1397" s="15" t="s">
        <v>3757</v>
      </c>
      <c r="B1397" s="15" t="s">
        <v>3758</v>
      </c>
      <c r="C1397" s="15" t="s">
        <v>5997</v>
      </c>
      <c r="D1397" s="34" t="n">
        <f aca="false">Activities!M538</f>
        <v>2</v>
      </c>
      <c r="E1397" s="15" t="s">
        <v>5998</v>
      </c>
    </row>
    <row r="1398" customFormat="false" ht="15" hidden="false" customHeight="false" outlineLevel="0" collapsed="false">
      <c r="A1398" s="15" t="s">
        <v>3757</v>
      </c>
      <c r="B1398" s="15" t="s">
        <v>3758</v>
      </c>
      <c r="C1398" s="15" t="s">
        <v>5999</v>
      </c>
      <c r="D1398" s="34" t="n">
        <f aca="false">Activities!N538</f>
        <v>2</v>
      </c>
      <c r="E1398" s="15" t="s">
        <v>5998</v>
      </c>
    </row>
    <row r="1399" customFormat="false" ht="15" hidden="false" customHeight="false" outlineLevel="0" collapsed="false">
      <c r="A1399" s="15" t="s">
        <v>3758</v>
      </c>
      <c r="B1399" s="15" t="s">
        <v>3759</v>
      </c>
      <c r="C1399" s="15" t="s">
        <v>5997</v>
      </c>
      <c r="D1399" s="34" t="n">
        <f aca="false">Activities!M539</f>
        <v>10</v>
      </c>
      <c r="E1399" s="15" t="s">
        <v>5998</v>
      </c>
    </row>
    <row r="1400" customFormat="false" ht="15" hidden="false" customHeight="false" outlineLevel="0" collapsed="false">
      <c r="A1400" s="15" t="s">
        <v>3758</v>
      </c>
      <c r="B1400" s="15" t="s">
        <v>3759</v>
      </c>
      <c r="C1400" s="15" t="s">
        <v>5999</v>
      </c>
      <c r="D1400" s="34" t="n">
        <f aca="false">Activities!N539</f>
        <v>2</v>
      </c>
      <c r="E1400" s="15" t="s">
        <v>5998</v>
      </c>
    </row>
    <row r="1401" customFormat="false" ht="15" hidden="false" customHeight="false" outlineLevel="0" collapsed="false">
      <c r="A1401" s="15" t="s">
        <v>3759</v>
      </c>
      <c r="B1401" s="15" t="s">
        <v>3760</v>
      </c>
      <c r="C1401" s="15" t="s">
        <v>5997</v>
      </c>
      <c r="D1401" s="34" t="n">
        <f aca="false">Activities!M540</f>
        <v>1</v>
      </c>
      <c r="E1401" s="15" t="s">
        <v>5998</v>
      </c>
    </row>
    <row r="1402" customFormat="false" ht="15" hidden="false" customHeight="false" outlineLevel="0" collapsed="false">
      <c r="A1402" s="15" t="s">
        <v>3759</v>
      </c>
      <c r="B1402" s="15" t="s">
        <v>3760</v>
      </c>
      <c r="C1402" s="15" t="s">
        <v>5999</v>
      </c>
      <c r="D1402" s="34" t="n">
        <f aca="false">Activities!N540</f>
        <v>2</v>
      </c>
      <c r="E1402" s="15" t="s">
        <v>5998</v>
      </c>
    </row>
    <row r="1403" customFormat="false" ht="15" hidden="false" customHeight="false" outlineLevel="0" collapsed="false">
      <c r="A1403" s="15" t="s">
        <v>3760</v>
      </c>
      <c r="B1403" s="15" t="s">
        <v>3761</v>
      </c>
      <c r="C1403" s="15" t="s">
        <v>5997</v>
      </c>
      <c r="D1403" s="34" t="n">
        <f aca="false">Activities!M541</f>
        <v>3</v>
      </c>
      <c r="E1403" s="15" t="s">
        <v>5998</v>
      </c>
    </row>
    <row r="1404" customFormat="false" ht="15" hidden="false" customHeight="false" outlineLevel="0" collapsed="false">
      <c r="A1404" s="15" t="s">
        <v>3760</v>
      </c>
      <c r="B1404" s="15" t="s">
        <v>3761</v>
      </c>
      <c r="C1404" s="15" t="s">
        <v>5999</v>
      </c>
      <c r="D1404" s="34" t="n">
        <f aca="false">Activities!N541</f>
        <v>2</v>
      </c>
      <c r="E1404" s="15" t="s">
        <v>5998</v>
      </c>
    </row>
    <row r="1405" customFormat="false" ht="15" hidden="false" customHeight="false" outlineLevel="0" collapsed="false">
      <c r="A1405" s="15" t="s">
        <v>5535</v>
      </c>
      <c r="B1405" s="15" t="s">
        <v>3761</v>
      </c>
      <c r="C1405" s="15" t="s">
        <v>5995</v>
      </c>
      <c r="D1405" s="34" t="n">
        <v>0</v>
      </c>
      <c r="E1405" s="15" t="s">
        <v>6001</v>
      </c>
    </row>
    <row r="1406" customFormat="false" ht="15" hidden="false" customHeight="false" outlineLevel="0" collapsed="false">
      <c r="A1406" s="15" t="s">
        <v>3761</v>
      </c>
      <c r="B1406" s="15" t="s">
        <v>3763</v>
      </c>
      <c r="C1406" s="15" t="s">
        <v>5997</v>
      </c>
      <c r="D1406" s="34" t="n">
        <f aca="false">Activities!M542</f>
        <v>2</v>
      </c>
      <c r="E1406" s="15" t="s">
        <v>5998</v>
      </c>
    </row>
    <row r="1407" customFormat="false" ht="15" hidden="false" customHeight="false" outlineLevel="0" collapsed="false">
      <c r="A1407" s="15" t="s">
        <v>3761</v>
      </c>
      <c r="B1407" s="15" t="s">
        <v>3763</v>
      </c>
      <c r="C1407" s="15" t="s">
        <v>5999</v>
      </c>
      <c r="D1407" s="34" t="n">
        <f aca="false">Activities!N542</f>
        <v>2</v>
      </c>
      <c r="E1407" s="15" t="s">
        <v>5998</v>
      </c>
    </row>
    <row r="1408" customFormat="false" ht="15" hidden="false" customHeight="false" outlineLevel="0" collapsed="false">
      <c r="A1408" s="15" t="s">
        <v>3763</v>
      </c>
      <c r="B1408" s="15" t="s">
        <v>3764</v>
      </c>
      <c r="C1408" s="15" t="s">
        <v>5997</v>
      </c>
      <c r="D1408" s="34" t="n">
        <f aca="false">Activities!M543</f>
        <v>2</v>
      </c>
      <c r="E1408" s="15" t="s">
        <v>5998</v>
      </c>
    </row>
    <row r="1409" customFormat="false" ht="15" hidden="false" customHeight="false" outlineLevel="0" collapsed="false">
      <c r="A1409" s="15" t="s">
        <v>3763</v>
      </c>
      <c r="B1409" s="15" t="s">
        <v>3764</v>
      </c>
      <c r="C1409" s="15" t="s">
        <v>5999</v>
      </c>
      <c r="D1409" s="34" t="n">
        <f aca="false">Activities!N543</f>
        <v>2</v>
      </c>
      <c r="E1409" s="15" t="s">
        <v>5998</v>
      </c>
    </row>
    <row r="1410" customFormat="false" ht="15" hidden="false" customHeight="false" outlineLevel="0" collapsed="false">
      <c r="A1410" s="15" t="s">
        <v>3776</v>
      </c>
      <c r="B1410" s="15" t="s">
        <v>3764</v>
      </c>
      <c r="C1410" s="15" t="s">
        <v>5995</v>
      </c>
      <c r="D1410" s="34" t="n">
        <v>0</v>
      </c>
      <c r="E1410" s="15" t="s">
        <v>6005</v>
      </c>
    </row>
    <row r="1411" customFormat="false" ht="15" hidden="false" customHeight="false" outlineLevel="0" collapsed="false">
      <c r="A1411" s="15" t="s">
        <v>3764</v>
      </c>
      <c r="B1411" s="15" t="s">
        <v>3766</v>
      </c>
      <c r="C1411" s="15" t="s">
        <v>5997</v>
      </c>
      <c r="D1411" s="34" t="n">
        <f aca="false">Activities!M544</f>
        <v>1</v>
      </c>
      <c r="E1411" s="15" t="s">
        <v>5998</v>
      </c>
    </row>
    <row r="1412" customFormat="false" ht="15" hidden="false" customHeight="false" outlineLevel="0" collapsed="false">
      <c r="A1412" s="15" t="s">
        <v>3764</v>
      </c>
      <c r="B1412" s="15" t="s">
        <v>3766</v>
      </c>
      <c r="C1412" s="15" t="s">
        <v>5999</v>
      </c>
      <c r="D1412" s="34" t="n">
        <f aca="false">Activities!N544</f>
        <v>2</v>
      </c>
      <c r="E1412" s="15" t="s">
        <v>5998</v>
      </c>
    </row>
    <row r="1413" customFormat="false" ht="15" hidden="false" customHeight="false" outlineLevel="0" collapsed="false">
      <c r="A1413" s="15" t="s">
        <v>3767</v>
      </c>
      <c r="B1413" s="15" t="s">
        <v>3769</v>
      </c>
      <c r="C1413" s="15" t="s">
        <v>5995</v>
      </c>
      <c r="D1413" s="34" t="n">
        <v>0</v>
      </c>
      <c r="E1413" s="15" t="s">
        <v>5996</v>
      </c>
    </row>
    <row r="1414" customFormat="false" ht="15" hidden="false" customHeight="false" outlineLevel="0" collapsed="false">
      <c r="A1414" s="15" t="s">
        <v>3769</v>
      </c>
      <c r="B1414" s="15" t="s">
        <v>3770</v>
      </c>
      <c r="C1414" s="15" t="s">
        <v>5997</v>
      </c>
      <c r="D1414" s="34" t="n">
        <f aca="false">Activities!M547</f>
        <v>1</v>
      </c>
      <c r="E1414" s="15" t="s">
        <v>5998</v>
      </c>
    </row>
    <row r="1415" customFormat="false" ht="15" hidden="false" customHeight="false" outlineLevel="0" collapsed="false">
      <c r="A1415" s="15" t="s">
        <v>3769</v>
      </c>
      <c r="B1415" s="15" t="s">
        <v>3770</v>
      </c>
      <c r="C1415" s="15" t="s">
        <v>5999</v>
      </c>
      <c r="D1415" s="34" t="n">
        <f aca="false">Activities!N547</f>
        <v>2</v>
      </c>
      <c r="E1415" s="15" t="s">
        <v>5998</v>
      </c>
    </row>
    <row r="1416" customFormat="false" ht="15" hidden="false" customHeight="false" outlineLevel="0" collapsed="false">
      <c r="A1416" s="15" t="s">
        <v>3770</v>
      </c>
      <c r="B1416" s="15" t="s">
        <v>3771</v>
      </c>
      <c r="C1416" s="15" t="s">
        <v>5997</v>
      </c>
      <c r="D1416" s="34" t="n">
        <f aca="false">Activities!M548</f>
        <v>3</v>
      </c>
      <c r="E1416" s="15" t="s">
        <v>5998</v>
      </c>
    </row>
    <row r="1417" customFormat="false" ht="15" hidden="false" customHeight="false" outlineLevel="0" collapsed="false">
      <c r="A1417" s="15" t="s">
        <v>3770</v>
      </c>
      <c r="B1417" s="15" t="s">
        <v>3771</v>
      </c>
      <c r="C1417" s="15" t="s">
        <v>5999</v>
      </c>
      <c r="D1417" s="34" t="n">
        <f aca="false">Activities!N548</f>
        <v>2</v>
      </c>
      <c r="E1417" s="15" t="s">
        <v>5998</v>
      </c>
    </row>
    <row r="1418" customFormat="false" ht="15" hidden="false" customHeight="false" outlineLevel="0" collapsed="false">
      <c r="A1418" s="15" t="s">
        <v>3771</v>
      </c>
      <c r="B1418" s="15" t="s">
        <v>3772</v>
      </c>
      <c r="C1418" s="15" t="s">
        <v>5997</v>
      </c>
      <c r="D1418" s="34" t="n">
        <f aca="false">Activities!M549</f>
        <v>2</v>
      </c>
      <c r="E1418" s="15" t="s">
        <v>5998</v>
      </c>
    </row>
    <row r="1419" customFormat="false" ht="15" hidden="false" customHeight="false" outlineLevel="0" collapsed="false">
      <c r="A1419" s="15" t="s">
        <v>3771</v>
      </c>
      <c r="B1419" s="15" t="s">
        <v>3772</v>
      </c>
      <c r="C1419" s="15" t="s">
        <v>5999</v>
      </c>
      <c r="D1419" s="34" t="n">
        <f aca="false">Activities!N549</f>
        <v>2</v>
      </c>
      <c r="E1419" s="15" t="s">
        <v>5998</v>
      </c>
    </row>
    <row r="1420" customFormat="false" ht="15" hidden="false" customHeight="false" outlineLevel="0" collapsed="false">
      <c r="A1420" s="15" t="s">
        <v>3772</v>
      </c>
      <c r="B1420" s="15" t="s">
        <v>3773</v>
      </c>
      <c r="C1420" s="15" t="s">
        <v>5997</v>
      </c>
      <c r="D1420" s="34" t="n">
        <f aca="false">Activities!M550</f>
        <v>10</v>
      </c>
      <c r="E1420" s="15" t="s">
        <v>5998</v>
      </c>
    </row>
    <row r="1421" customFormat="false" ht="15" hidden="false" customHeight="false" outlineLevel="0" collapsed="false">
      <c r="A1421" s="15" t="s">
        <v>3772</v>
      </c>
      <c r="B1421" s="15" t="s">
        <v>3773</v>
      </c>
      <c r="C1421" s="15" t="s">
        <v>5999</v>
      </c>
      <c r="D1421" s="34" t="n">
        <f aca="false">Activities!N550</f>
        <v>2</v>
      </c>
      <c r="E1421" s="15" t="s">
        <v>5998</v>
      </c>
    </row>
    <row r="1422" customFormat="false" ht="15" hidden="false" customHeight="false" outlineLevel="0" collapsed="false">
      <c r="A1422" s="15" t="s">
        <v>3750</v>
      </c>
      <c r="B1422" s="15" t="s">
        <v>3773</v>
      </c>
      <c r="C1422" s="15" t="s">
        <v>5995</v>
      </c>
      <c r="D1422" s="34" t="n">
        <v>0</v>
      </c>
      <c r="E1422" s="15" t="s">
        <v>6008</v>
      </c>
    </row>
    <row r="1423" customFormat="false" ht="15" hidden="false" customHeight="false" outlineLevel="0" collapsed="false">
      <c r="A1423" s="15" t="s">
        <v>3759</v>
      </c>
      <c r="B1423" s="15" t="s">
        <v>3773</v>
      </c>
      <c r="C1423" s="15" t="s">
        <v>5997</v>
      </c>
      <c r="D1423" s="34" t="n">
        <v>0</v>
      </c>
      <c r="E1423" s="15" t="s">
        <v>6006</v>
      </c>
    </row>
    <row r="1424" customFormat="false" ht="15" hidden="false" customHeight="false" outlineLevel="0" collapsed="false">
      <c r="A1424" s="15" t="s">
        <v>3773</v>
      </c>
      <c r="B1424" s="15" t="s">
        <v>3775</v>
      </c>
      <c r="C1424" s="15" t="s">
        <v>5997</v>
      </c>
      <c r="D1424" s="34" t="n">
        <f aca="false">Activities!M551</f>
        <v>1</v>
      </c>
      <c r="E1424" s="15" t="s">
        <v>5998</v>
      </c>
    </row>
    <row r="1425" customFormat="false" ht="15" hidden="false" customHeight="false" outlineLevel="0" collapsed="false">
      <c r="A1425" s="15" t="s">
        <v>3773</v>
      </c>
      <c r="B1425" s="15" t="s">
        <v>3775</v>
      </c>
      <c r="C1425" s="15" t="s">
        <v>5999</v>
      </c>
      <c r="D1425" s="34" t="n">
        <f aca="false">Activities!N551</f>
        <v>2</v>
      </c>
      <c r="E1425" s="15" t="s">
        <v>5998</v>
      </c>
    </row>
    <row r="1426" customFormat="false" ht="15" hidden="false" customHeight="false" outlineLevel="0" collapsed="false">
      <c r="A1426" s="15" t="s">
        <v>3775</v>
      </c>
      <c r="B1426" s="15" t="s">
        <v>3776</v>
      </c>
      <c r="C1426" s="15" t="s">
        <v>5997</v>
      </c>
      <c r="D1426" s="34" t="n">
        <f aca="false">Activities!M552</f>
        <v>3</v>
      </c>
      <c r="E1426" s="15" t="s">
        <v>5998</v>
      </c>
    </row>
    <row r="1427" customFormat="false" ht="15" hidden="false" customHeight="false" outlineLevel="0" collapsed="false">
      <c r="A1427" s="15" t="s">
        <v>3775</v>
      </c>
      <c r="B1427" s="15" t="s">
        <v>3776</v>
      </c>
      <c r="C1427" s="15" t="s">
        <v>5999</v>
      </c>
      <c r="D1427" s="34" t="n">
        <f aca="false">Activities!N552</f>
        <v>2</v>
      </c>
      <c r="E1427" s="15" t="s">
        <v>5998</v>
      </c>
    </row>
    <row r="1428" customFormat="false" ht="15" hidden="false" customHeight="false" outlineLevel="0" collapsed="false">
      <c r="A1428" s="15" t="s">
        <v>3776</v>
      </c>
      <c r="B1428" s="15" t="s">
        <v>3777</v>
      </c>
      <c r="C1428" s="15" t="s">
        <v>5997</v>
      </c>
      <c r="D1428" s="34" t="n">
        <f aca="false">Activities!M553</f>
        <v>4</v>
      </c>
      <c r="E1428" s="15" t="s">
        <v>5998</v>
      </c>
    </row>
    <row r="1429" customFormat="false" ht="15" hidden="false" customHeight="false" outlineLevel="0" collapsed="false">
      <c r="A1429" s="15" t="s">
        <v>3776</v>
      </c>
      <c r="B1429" s="15" t="s">
        <v>3777</v>
      </c>
      <c r="C1429" s="15" t="s">
        <v>5999</v>
      </c>
      <c r="D1429" s="34" t="n">
        <f aca="false">Activities!N553</f>
        <v>2</v>
      </c>
      <c r="E1429" s="15" t="s">
        <v>5998</v>
      </c>
    </row>
    <row r="1430" customFormat="false" ht="15" hidden="false" customHeight="false" outlineLevel="0" collapsed="false">
      <c r="A1430" s="15" t="s">
        <v>3777</v>
      </c>
      <c r="B1430" s="15" t="s">
        <v>3778</v>
      </c>
      <c r="C1430" s="15" t="s">
        <v>5997</v>
      </c>
      <c r="D1430" s="34" t="n">
        <f aca="false">Activities!M554</f>
        <v>2</v>
      </c>
      <c r="E1430" s="15" t="s">
        <v>5998</v>
      </c>
    </row>
    <row r="1431" customFormat="false" ht="15" hidden="false" customHeight="false" outlineLevel="0" collapsed="false">
      <c r="A1431" s="15" t="s">
        <v>3777</v>
      </c>
      <c r="B1431" s="15" t="s">
        <v>3778</v>
      </c>
      <c r="C1431" s="15" t="s">
        <v>5999</v>
      </c>
      <c r="D1431" s="34" t="n">
        <f aca="false">Activities!N554</f>
        <v>2</v>
      </c>
      <c r="E1431" s="15" t="s">
        <v>5998</v>
      </c>
    </row>
    <row r="1432" customFormat="false" ht="15" hidden="false" customHeight="false" outlineLevel="0" collapsed="false">
      <c r="A1432" s="15" t="s">
        <v>3761</v>
      </c>
      <c r="B1432" s="15" t="s">
        <v>3778</v>
      </c>
      <c r="C1432" s="15" t="s">
        <v>5995</v>
      </c>
      <c r="D1432" s="34" t="n">
        <v>0</v>
      </c>
      <c r="E1432" s="15" t="s">
        <v>6005</v>
      </c>
    </row>
    <row r="1433" customFormat="false" ht="15" hidden="false" customHeight="false" outlineLevel="0" collapsed="false">
      <c r="A1433" s="15" t="s">
        <v>3778</v>
      </c>
      <c r="B1433" s="15" t="s">
        <v>3780</v>
      </c>
      <c r="C1433" s="15" t="s">
        <v>5997</v>
      </c>
      <c r="D1433" s="34" t="n">
        <f aca="false">Activities!M555</f>
        <v>1</v>
      </c>
      <c r="E1433" s="15" t="s">
        <v>5998</v>
      </c>
    </row>
    <row r="1434" customFormat="false" ht="15" hidden="false" customHeight="false" outlineLevel="0" collapsed="false">
      <c r="A1434" s="15" t="s">
        <v>3778</v>
      </c>
      <c r="B1434" s="15" t="s">
        <v>3780</v>
      </c>
      <c r="C1434" s="15" t="s">
        <v>5999</v>
      </c>
      <c r="D1434" s="34" t="n">
        <f aca="false">Activities!N555</f>
        <v>2</v>
      </c>
      <c r="E1434" s="15" t="s">
        <v>5998</v>
      </c>
    </row>
    <row r="1435" customFormat="false" ht="15" hidden="false" customHeight="false" outlineLevel="0" collapsed="false">
      <c r="A1435" s="15" t="s">
        <v>3781</v>
      </c>
      <c r="B1435" s="15" t="s">
        <v>3783</v>
      </c>
      <c r="C1435" s="15" t="s">
        <v>5995</v>
      </c>
      <c r="D1435" s="34" t="n">
        <v>0</v>
      </c>
      <c r="E1435" s="15" t="s">
        <v>5996</v>
      </c>
    </row>
    <row r="1436" customFormat="false" ht="15" hidden="false" customHeight="false" outlineLevel="0" collapsed="false">
      <c r="A1436" s="15" t="s">
        <v>3552</v>
      </c>
      <c r="B1436" s="15" t="s">
        <v>3783</v>
      </c>
      <c r="C1436" s="15" t="s">
        <v>5997</v>
      </c>
      <c r="D1436" s="34" t="n">
        <v>0</v>
      </c>
      <c r="E1436" s="15" t="s">
        <v>6000</v>
      </c>
    </row>
    <row r="1437" customFormat="false" ht="15" hidden="false" customHeight="false" outlineLevel="0" collapsed="false">
      <c r="A1437" s="15" t="s">
        <v>3783</v>
      </c>
      <c r="B1437" s="15" t="s">
        <v>3785</v>
      </c>
      <c r="C1437" s="15" t="s">
        <v>5997</v>
      </c>
      <c r="D1437" s="34" t="n">
        <f aca="false">Activities!M558</f>
        <v>1</v>
      </c>
      <c r="E1437" s="15" t="s">
        <v>5998</v>
      </c>
    </row>
    <row r="1438" customFormat="false" ht="15" hidden="false" customHeight="false" outlineLevel="0" collapsed="false">
      <c r="A1438" s="15" t="s">
        <v>3783</v>
      </c>
      <c r="B1438" s="15" t="s">
        <v>3785</v>
      </c>
      <c r="C1438" s="15" t="s">
        <v>5999</v>
      </c>
      <c r="D1438" s="34" t="n">
        <f aca="false">Activities!N558</f>
        <v>2</v>
      </c>
      <c r="E1438" s="15" t="s">
        <v>5998</v>
      </c>
    </row>
    <row r="1439" customFormat="false" ht="15" hidden="false" customHeight="false" outlineLevel="0" collapsed="false">
      <c r="A1439" s="15" t="s">
        <v>3785</v>
      </c>
      <c r="B1439" s="15" t="s">
        <v>3786</v>
      </c>
      <c r="C1439" s="15" t="s">
        <v>5997</v>
      </c>
      <c r="D1439" s="34" t="n">
        <f aca="false">Activities!M559</f>
        <v>1</v>
      </c>
      <c r="E1439" s="15" t="s">
        <v>5998</v>
      </c>
    </row>
    <row r="1440" customFormat="false" ht="15" hidden="false" customHeight="false" outlineLevel="0" collapsed="false">
      <c r="A1440" s="15" t="s">
        <v>3785</v>
      </c>
      <c r="B1440" s="15" t="s">
        <v>3786</v>
      </c>
      <c r="C1440" s="15" t="s">
        <v>5999</v>
      </c>
      <c r="D1440" s="34" t="n">
        <f aca="false">Activities!N559</f>
        <v>2</v>
      </c>
      <c r="E1440" s="15" t="s">
        <v>5998</v>
      </c>
    </row>
    <row r="1441" customFormat="false" ht="15" hidden="false" customHeight="false" outlineLevel="0" collapsed="false">
      <c r="A1441" s="15" t="s">
        <v>3786</v>
      </c>
      <c r="B1441" s="15" t="s">
        <v>3787</v>
      </c>
      <c r="C1441" s="15" t="s">
        <v>5997</v>
      </c>
      <c r="D1441" s="34" t="n">
        <f aca="false">Activities!M560</f>
        <v>1</v>
      </c>
      <c r="E1441" s="15" t="s">
        <v>5998</v>
      </c>
    </row>
    <row r="1442" customFormat="false" ht="15" hidden="false" customHeight="false" outlineLevel="0" collapsed="false">
      <c r="A1442" s="15" t="s">
        <v>3786</v>
      </c>
      <c r="B1442" s="15" t="s">
        <v>3787</v>
      </c>
      <c r="C1442" s="15" t="s">
        <v>5999</v>
      </c>
      <c r="D1442" s="34" t="n">
        <f aca="false">Activities!N560</f>
        <v>2</v>
      </c>
      <c r="E1442" s="15" t="s">
        <v>5998</v>
      </c>
    </row>
    <row r="1443" customFormat="false" ht="15" hidden="false" customHeight="false" outlineLevel="0" collapsed="false">
      <c r="A1443" s="15" t="s">
        <v>3787</v>
      </c>
      <c r="B1443" s="15" t="s">
        <v>3788</v>
      </c>
      <c r="C1443" s="15" t="s">
        <v>5997</v>
      </c>
      <c r="D1443" s="34" t="n">
        <f aca="false">Activities!M561</f>
        <v>10</v>
      </c>
      <c r="E1443" s="15" t="s">
        <v>5998</v>
      </c>
    </row>
    <row r="1444" customFormat="false" ht="15" hidden="false" customHeight="false" outlineLevel="0" collapsed="false">
      <c r="A1444" s="15" t="s">
        <v>3787</v>
      </c>
      <c r="B1444" s="15" t="s">
        <v>3788</v>
      </c>
      <c r="C1444" s="15" t="s">
        <v>5999</v>
      </c>
      <c r="D1444" s="34" t="n">
        <f aca="false">Activities!N561</f>
        <v>2</v>
      </c>
      <c r="E1444" s="15" t="s">
        <v>5998</v>
      </c>
    </row>
    <row r="1445" customFormat="false" ht="15" hidden="false" customHeight="false" outlineLevel="0" collapsed="false">
      <c r="A1445" s="15" t="s">
        <v>3788</v>
      </c>
      <c r="B1445" s="15" t="s">
        <v>3789</v>
      </c>
      <c r="C1445" s="15" t="s">
        <v>5997</v>
      </c>
      <c r="D1445" s="34" t="n">
        <f aca="false">Activities!M562</f>
        <v>1</v>
      </c>
      <c r="E1445" s="15" t="s">
        <v>5998</v>
      </c>
    </row>
    <row r="1446" customFormat="false" ht="15" hidden="false" customHeight="false" outlineLevel="0" collapsed="false">
      <c r="A1446" s="15" t="s">
        <v>3788</v>
      </c>
      <c r="B1446" s="15" t="s">
        <v>3789</v>
      </c>
      <c r="C1446" s="15" t="s">
        <v>5999</v>
      </c>
      <c r="D1446" s="34" t="n">
        <f aca="false">Activities!N562</f>
        <v>2</v>
      </c>
      <c r="E1446" s="15" t="s">
        <v>5998</v>
      </c>
    </row>
    <row r="1447" customFormat="false" ht="15" hidden="false" customHeight="false" outlineLevel="0" collapsed="false">
      <c r="A1447" s="15" t="s">
        <v>3789</v>
      </c>
      <c r="B1447" s="15" t="s">
        <v>3790</v>
      </c>
      <c r="C1447" s="15" t="s">
        <v>5997</v>
      </c>
      <c r="D1447" s="34" t="n">
        <f aca="false">Activities!M563</f>
        <v>2</v>
      </c>
      <c r="E1447" s="15" t="s">
        <v>5998</v>
      </c>
    </row>
    <row r="1448" customFormat="false" ht="15" hidden="false" customHeight="false" outlineLevel="0" collapsed="false">
      <c r="A1448" s="15" t="s">
        <v>3789</v>
      </c>
      <c r="B1448" s="15" t="s">
        <v>3790</v>
      </c>
      <c r="C1448" s="15" t="s">
        <v>5999</v>
      </c>
      <c r="D1448" s="34" t="n">
        <f aca="false">Activities!N563</f>
        <v>2</v>
      </c>
      <c r="E1448" s="15" t="s">
        <v>5998</v>
      </c>
    </row>
    <row r="1449" customFormat="false" ht="15" hidden="false" customHeight="false" outlineLevel="0" collapsed="false">
      <c r="A1449" s="15" t="s">
        <v>3558</v>
      </c>
      <c r="B1449" s="15" t="s">
        <v>3790</v>
      </c>
      <c r="C1449" s="15" t="s">
        <v>5995</v>
      </c>
      <c r="D1449" s="34" t="n">
        <v>0</v>
      </c>
      <c r="E1449" s="15" t="s">
        <v>6001</v>
      </c>
    </row>
    <row r="1450" customFormat="false" ht="15" hidden="false" customHeight="false" outlineLevel="0" collapsed="false">
      <c r="A1450" s="15" t="s">
        <v>3790</v>
      </c>
      <c r="B1450" s="15" t="s">
        <v>3792</v>
      </c>
      <c r="C1450" s="15" t="s">
        <v>5997</v>
      </c>
      <c r="D1450" s="34" t="n">
        <f aca="false">Activities!M564</f>
        <v>2</v>
      </c>
      <c r="E1450" s="15" t="s">
        <v>5998</v>
      </c>
    </row>
    <row r="1451" customFormat="false" ht="15" hidden="false" customHeight="false" outlineLevel="0" collapsed="false">
      <c r="A1451" s="15" t="s">
        <v>3790</v>
      </c>
      <c r="B1451" s="15" t="s">
        <v>3792</v>
      </c>
      <c r="C1451" s="15" t="s">
        <v>5999</v>
      </c>
      <c r="D1451" s="34" t="n">
        <f aca="false">Activities!N564</f>
        <v>2</v>
      </c>
      <c r="E1451" s="15" t="s">
        <v>5998</v>
      </c>
    </row>
    <row r="1452" customFormat="false" ht="15" hidden="false" customHeight="false" outlineLevel="0" collapsed="false">
      <c r="A1452" s="15" t="s">
        <v>3792</v>
      </c>
      <c r="B1452" s="15" t="s">
        <v>3793</v>
      </c>
      <c r="C1452" s="15" t="s">
        <v>5997</v>
      </c>
      <c r="D1452" s="34" t="n">
        <f aca="false">Activities!M565</f>
        <v>2</v>
      </c>
      <c r="E1452" s="15" t="s">
        <v>5998</v>
      </c>
    </row>
    <row r="1453" customFormat="false" ht="15" hidden="false" customHeight="false" outlineLevel="0" collapsed="false">
      <c r="A1453" s="15" t="s">
        <v>3792</v>
      </c>
      <c r="B1453" s="15" t="s">
        <v>3793</v>
      </c>
      <c r="C1453" s="15" t="s">
        <v>5999</v>
      </c>
      <c r="D1453" s="34" t="n">
        <f aca="false">Activities!N565</f>
        <v>2</v>
      </c>
      <c r="E1453" s="15" t="s">
        <v>5998</v>
      </c>
    </row>
    <row r="1454" customFormat="false" ht="15" hidden="false" customHeight="false" outlineLevel="0" collapsed="false">
      <c r="A1454" s="15" t="s">
        <v>3793</v>
      </c>
      <c r="B1454" s="15" t="s">
        <v>3794</v>
      </c>
      <c r="C1454" s="15" t="s">
        <v>5997</v>
      </c>
      <c r="D1454" s="34" t="n">
        <f aca="false">Activities!M566</f>
        <v>1</v>
      </c>
      <c r="E1454" s="15" t="s">
        <v>5998</v>
      </c>
    </row>
    <row r="1455" customFormat="false" ht="15" hidden="false" customHeight="false" outlineLevel="0" collapsed="false">
      <c r="A1455" s="15" t="s">
        <v>3793</v>
      </c>
      <c r="B1455" s="15" t="s">
        <v>3794</v>
      </c>
      <c r="C1455" s="15" t="s">
        <v>5999</v>
      </c>
      <c r="D1455" s="34" t="n">
        <f aca="false">Activities!N566</f>
        <v>2</v>
      </c>
      <c r="E1455" s="15" t="s">
        <v>5998</v>
      </c>
    </row>
    <row r="1456" customFormat="false" ht="15" hidden="false" customHeight="false" outlineLevel="0" collapsed="false">
      <c r="A1456" s="15" t="s">
        <v>3795</v>
      </c>
      <c r="B1456" s="15" t="s">
        <v>3797</v>
      </c>
      <c r="C1456" s="15" t="s">
        <v>5995</v>
      </c>
      <c r="D1456" s="34" t="n">
        <v>0</v>
      </c>
      <c r="E1456" s="15" t="s">
        <v>5996</v>
      </c>
    </row>
    <row r="1457" customFormat="false" ht="15" hidden="false" customHeight="false" outlineLevel="0" collapsed="false">
      <c r="A1457" s="15" t="s">
        <v>5325</v>
      </c>
      <c r="B1457" s="15" t="s">
        <v>3797</v>
      </c>
      <c r="C1457" s="15" t="s">
        <v>5997</v>
      </c>
      <c r="D1457" s="34" t="n">
        <v>0</v>
      </c>
      <c r="E1457" s="15" t="s">
        <v>6000</v>
      </c>
    </row>
    <row r="1458" customFormat="false" ht="15" hidden="false" customHeight="false" outlineLevel="0" collapsed="false">
      <c r="A1458" s="15" t="s">
        <v>3797</v>
      </c>
      <c r="B1458" s="15" t="s">
        <v>3799</v>
      </c>
      <c r="C1458" s="15" t="s">
        <v>5997</v>
      </c>
      <c r="D1458" s="34" t="n">
        <f aca="false">Activities!M569</f>
        <v>1</v>
      </c>
      <c r="E1458" s="15" t="s">
        <v>5998</v>
      </c>
    </row>
    <row r="1459" customFormat="false" ht="15" hidden="false" customHeight="false" outlineLevel="0" collapsed="false">
      <c r="A1459" s="15" t="s">
        <v>3797</v>
      </c>
      <c r="B1459" s="15" t="s">
        <v>3799</v>
      </c>
      <c r="C1459" s="15" t="s">
        <v>5999</v>
      </c>
      <c r="D1459" s="34" t="n">
        <f aca="false">Activities!N569</f>
        <v>2</v>
      </c>
      <c r="E1459" s="15" t="s">
        <v>5998</v>
      </c>
    </row>
    <row r="1460" customFormat="false" ht="15" hidden="false" customHeight="false" outlineLevel="0" collapsed="false">
      <c r="A1460" s="15" t="s">
        <v>3799</v>
      </c>
      <c r="B1460" s="15" t="s">
        <v>3800</v>
      </c>
      <c r="C1460" s="15" t="s">
        <v>5997</v>
      </c>
      <c r="D1460" s="34" t="n">
        <f aca="false">Activities!M570</f>
        <v>2</v>
      </c>
      <c r="E1460" s="15" t="s">
        <v>5998</v>
      </c>
    </row>
    <row r="1461" customFormat="false" ht="15" hidden="false" customHeight="false" outlineLevel="0" collapsed="false">
      <c r="A1461" s="15" t="s">
        <v>3799</v>
      </c>
      <c r="B1461" s="15" t="s">
        <v>3800</v>
      </c>
      <c r="C1461" s="15" t="s">
        <v>5999</v>
      </c>
      <c r="D1461" s="34" t="n">
        <f aca="false">Activities!N570</f>
        <v>2</v>
      </c>
      <c r="E1461" s="15" t="s">
        <v>5998</v>
      </c>
    </row>
    <row r="1462" customFormat="false" ht="15" hidden="false" customHeight="false" outlineLevel="0" collapsed="false">
      <c r="A1462" s="15" t="s">
        <v>3800</v>
      </c>
      <c r="B1462" s="15" t="s">
        <v>3801</v>
      </c>
      <c r="C1462" s="15" t="s">
        <v>5997</v>
      </c>
      <c r="D1462" s="34" t="n">
        <f aca="false">Activities!M571</f>
        <v>2</v>
      </c>
      <c r="E1462" s="15" t="s">
        <v>5998</v>
      </c>
    </row>
    <row r="1463" customFormat="false" ht="15" hidden="false" customHeight="false" outlineLevel="0" collapsed="false">
      <c r="A1463" s="15" t="s">
        <v>3800</v>
      </c>
      <c r="B1463" s="15" t="s">
        <v>3801</v>
      </c>
      <c r="C1463" s="15" t="s">
        <v>5999</v>
      </c>
      <c r="D1463" s="34" t="n">
        <f aca="false">Activities!N571</f>
        <v>2</v>
      </c>
      <c r="E1463" s="15" t="s">
        <v>5998</v>
      </c>
    </row>
    <row r="1464" customFormat="false" ht="15" hidden="false" customHeight="false" outlineLevel="0" collapsed="false">
      <c r="A1464" s="15" t="s">
        <v>3801</v>
      </c>
      <c r="B1464" s="15" t="s">
        <v>3802</v>
      </c>
      <c r="C1464" s="15" t="s">
        <v>5997</v>
      </c>
      <c r="D1464" s="34" t="n">
        <f aca="false">Activities!M572</f>
        <v>10</v>
      </c>
      <c r="E1464" s="15" t="s">
        <v>5998</v>
      </c>
    </row>
    <row r="1465" customFormat="false" ht="15" hidden="false" customHeight="false" outlineLevel="0" collapsed="false">
      <c r="A1465" s="15" t="s">
        <v>3801</v>
      </c>
      <c r="B1465" s="15" t="s">
        <v>3802</v>
      </c>
      <c r="C1465" s="15" t="s">
        <v>5999</v>
      </c>
      <c r="D1465" s="34" t="n">
        <f aca="false">Activities!N572</f>
        <v>2</v>
      </c>
      <c r="E1465" s="15" t="s">
        <v>5998</v>
      </c>
    </row>
    <row r="1466" customFormat="false" ht="15" hidden="false" customHeight="false" outlineLevel="0" collapsed="false">
      <c r="A1466" s="15" t="s">
        <v>3802</v>
      </c>
      <c r="B1466" s="15" t="s">
        <v>3803</v>
      </c>
      <c r="C1466" s="15" t="s">
        <v>5997</v>
      </c>
      <c r="D1466" s="34" t="n">
        <f aca="false">Activities!M573</f>
        <v>1</v>
      </c>
      <c r="E1466" s="15" t="s">
        <v>5998</v>
      </c>
    </row>
    <row r="1467" customFormat="false" ht="15" hidden="false" customHeight="false" outlineLevel="0" collapsed="false">
      <c r="A1467" s="15" t="s">
        <v>3802</v>
      </c>
      <c r="B1467" s="15" t="s">
        <v>3803</v>
      </c>
      <c r="C1467" s="15" t="s">
        <v>5999</v>
      </c>
      <c r="D1467" s="34" t="n">
        <f aca="false">Activities!N573</f>
        <v>2</v>
      </c>
      <c r="E1467" s="15" t="s">
        <v>5998</v>
      </c>
    </row>
    <row r="1468" customFormat="false" ht="15" hidden="false" customHeight="false" outlineLevel="0" collapsed="false">
      <c r="A1468" s="15" t="s">
        <v>3803</v>
      </c>
      <c r="B1468" s="15" t="s">
        <v>3804</v>
      </c>
      <c r="C1468" s="15" t="s">
        <v>5997</v>
      </c>
      <c r="D1468" s="34" t="n">
        <f aca="false">Activities!M574</f>
        <v>3</v>
      </c>
      <c r="E1468" s="15" t="s">
        <v>5998</v>
      </c>
    </row>
    <row r="1469" customFormat="false" ht="15" hidden="false" customHeight="false" outlineLevel="0" collapsed="false">
      <c r="A1469" s="15" t="s">
        <v>3803</v>
      </c>
      <c r="B1469" s="15" t="s">
        <v>3804</v>
      </c>
      <c r="C1469" s="15" t="s">
        <v>5999</v>
      </c>
      <c r="D1469" s="34" t="n">
        <f aca="false">Activities!N574</f>
        <v>2</v>
      </c>
      <c r="E1469" s="15" t="s">
        <v>5998</v>
      </c>
    </row>
    <row r="1470" customFormat="false" ht="15" hidden="false" customHeight="false" outlineLevel="0" collapsed="false">
      <c r="A1470" s="15" t="s">
        <v>5331</v>
      </c>
      <c r="B1470" s="15" t="s">
        <v>3804</v>
      </c>
      <c r="C1470" s="15" t="s">
        <v>5995</v>
      </c>
      <c r="D1470" s="34" t="n">
        <v>0</v>
      </c>
      <c r="E1470" s="15" t="s">
        <v>6001</v>
      </c>
    </row>
    <row r="1471" customFormat="false" ht="15" hidden="false" customHeight="false" outlineLevel="0" collapsed="false">
      <c r="A1471" s="15" t="s">
        <v>3804</v>
      </c>
      <c r="B1471" s="15" t="s">
        <v>3806</v>
      </c>
      <c r="C1471" s="15" t="s">
        <v>5997</v>
      </c>
      <c r="D1471" s="34" t="n">
        <f aca="false">Activities!M575</f>
        <v>2</v>
      </c>
      <c r="E1471" s="15" t="s">
        <v>5998</v>
      </c>
    </row>
    <row r="1472" customFormat="false" ht="15" hidden="false" customHeight="false" outlineLevel="0" collapsed="false">
      <c r="A1472" s="15" t="s">
        <v>3804</v>
      </c>
      <c r="B1472" s="15" t="s">
        <v>3806</v>
      </c>
      <c r="C1472" s="15" t="s">
        <v>5999</v>
      </c>
      <c r="D1472" s="34" t="n">
        <f aca="false">Activities!N575</f>
        <v>2</v>
      </c>
      <c r="E1472" s="15" t="s">
        <v>5998</v>
      </c>
    </row>
    <row r="1473" customFormat="false" ht="15" hidden="false" customHeight="false" outlineLevel="0" collapsed="false">
      <c r="A1473" s="15" t="s">
        <v>3806</v>
      </c>
      <c r="B1473" s="15" t="s">
        <v>3807</v>
      </c>
      <c r="C1473" s="15" t="s">
        <v>5997</v>
      </c>
      <c r="D1473" s="34" t="n">
        <f aca="false">Activities!M576</f>
        <v>2</v>
      </c>
      <c r="E1473" s="15" t="s">
        <v>5998</v>
      </c>
    </row>
    <row r="1474" customFormat="false" ht="15" hidden="false" customHeight="false" outlineLevel="0" collapsed="false">
      <c r="A1474" s="15" t="s">
        <v>3806</v>
      </c>
      <c r="B1474" s="15" t="s">
        <v>3807</v>
      </c>
      <c r="C1474" s="15" t="s">
        <v>5999</v>
      </c>
      <c r="D1474" s="34" t="n">
        <f aca="false">Activities!N576</f>
        <v>2</v>
      </c>
      <c r="E1474" s="15" t="s">
        <v>5998</v>
      </c>
    </row>
    <row r="1475" customFormat="false" ht="15" hidden="false" customHeight="false" outlineLevel="0" collapsed="false">
      <c r="A1475" s="15" t="s">
        <v>3819</v>
      </c>
      <c r="B1475" s="15" t="s">
        <v>3807</v>
      </c>
      <c r="C1475" s="15" t="s">
        <v>5995</v>
      </c>
      <c r="D1475" s="34" t="n">
        <v>0</v>
      </c>
      <c r="E1475" s="15" t="s">
        <v>6005</v>
      </c>
    </row>
    <row r="1476" customFormat="false" ht="15" hidden="false" customHeight="false" outlineLevel="0" collapsed="false">
      <c r="A1476" s="15" t="s">
        <v>3807</v>
      </c>
      <c r="B1476" s="15" t="s">
        <v>3809</v>
      </c>
      <c r="C1476" s="15" t="s">
        <v>5997</v>
      </c>
      <c r="D1476" s="34" t="n">
        <f aca="false">Activities!M577</f>
        <v>1</v>
      </c>
      <c r="E1476" s="15" t="s">
        <v>5998</v>
      </c>
    </row>
    <row r="1477" customFormat="false" ht="15" hidden="false" customHeight="false" outlineLevel="0" collapsed="false">
      <c r="A1477" s="15" t="s">
        <v>3807</v>
      </c>
      <c r="B1477" s="15" t="s">
        <v>3809</v>
      </c>
      <c r="C1477" s="15" t="s">
        <v>5999</v>
      </c>
      <c r="D1477" s="34" t="n">
        <f aca="false">Activities!N577</f>
        <v>2</v>
      </c>
      <c r="E1477" s="15" t="s">
        <v>5998</v>
      </c>
    </row>
    <row r="1478" customFormat="false" ht="15" hidden="false" customHeight="false" outlineLevel="0" collapsed="false">
      <c r="A1478" s="15" t="s">
        <v>3810</v>
      </c>
      <c r="B1478" s="15" t="s">
        <v>3812</v>
      </c>
      <c r="C1478" s="15" t="s">
        <v>5995</v>
      </c>
      <c r="D1478" s="34" t="n">
        <v>0</v>
      </c>
      <c r="E1478" s="15" t="s">
        <v>5996</v>
      </c>
    </row>
    <row r="1479" customFormat="false" ht="15" hidden="false" customHeight="false" outlineLevel="0" collapsed="false">
      <c r="A1479" s="15" t="s">
        <v>3812</v>
      </c>
      <c r="B1479" s="15" t="s">
        <v>3813</v>
      </c>
      <c r="C1479" s="15" t="s">
        <v>5997</v>
      </c>
      <c r="D1479" s="34" t="n">
        <f aca="false">Activities!M580</f>
        <v>1</v>
      </c>
      <c r="E1479" s="15" t="s">
        <v>5998</v>
      </c>
    </row>
    <row r="1480" customFormat="false" ht="15" hidden="false" customHeight="false" outlineLevel="0" collapsed="false">
      <c r="A1480" s="15" t="s">
        <v>3812</v>
      </c>
      <c r="B1480" s="15" t="s">
        <v>3813</v>
      </c>
      <c r="C1480" s="15" t="s">
        <v>5999</v>
      </c>
      <c r="D1480" s="34" t="n">
        <f aca="false">Activities!N580</f>
        <v>2</v>
      </c>
      <c r="E1480" s="15" t="s">
        <v>5998</v>
      </c>
    </row>
    <row r="1481" customFormat="false" ht="15" hidden="false" customHeight="false" outlineLevel="0" collapsed="false">
      <c r="A1481" s="15" t="s">
        <v>3813</v>
      </c>
      <c r="B1481" s="15" t="s">
        <v>3814</v>
      </c>
      <c r="C1481" s="15" t="s">
        <v>5997</v>
      </c>
      <c r="D1481" s="34" t="n">
        <f aca="false">Activities!M581</f>
        <v>3</v>
      </c>
      <c r="E1481" s="15" t="s">
        <v>5998</v>
      </c>
    </row>
    <row r="1482" customFormat="false" ht="15" hidden="false" customHeight="false" outlineLevel="0" collapsed="false">
      <c r="A1482" s="15" t="s">
        <v>3813</v>
      </c>
      <c r="B1482" s="15" t="s">
        <v>3814</v>
      </c>
      <c r="C1482" s="15" t="s">
        <v>5999</v>
      </c>
      <c r="D1482" s="34" t="n">
        <f aca="false">Activities!N581</f>
        <v>0</v>
      </c>
      <c r="E1482" s="15" t="s">
        <v>5998</v>
      </c>
    </row>
    <row r="1483" customFormat="false" ht="15" hidden="false" customHeight="false" outlineLevel="0" collapsed="false">
      <c r="A1483" s="15" t="s">
        <v>3814</v>
      </c>
      <c r="B1483" s="15" t="s">
        <v>3815</v>
      </c>
      <c r="C1483" s="15" t="s">
        <v>5997</v>
      </c>
      <c r="D1483" s="34" t="n">
        <f aca="false">Activities!M582</f>
        <v>0</v>
      </c>
      <c r="E1483" s="15" t="s">
        <v>5998</v>
      </c>
    </row>
    <row r="1484" customFormat="false" ht="15" hidden="false" customHeight="false" outlineLevel="0" collapsed="false">
      <c r="A1484" s="15" t="s">
        <v>3814</v>
      </c>
      <c r="B1484" s="15" t="s">
        <v>3815</v>
      </c>
      <c r="C1484" s="15" t="s">
        <v>5999</v>
      </c>
      <c r="D1484" s="34" t="n">
        <f aca="false">Activities!N582</f>
        <v>2</v>
      </c>
      <c r="E1484" s="15" t="s">
        <v>5998</v>
      </c>
    </row>
    <row r="1485" customFormat="false" ht="15" hidden="false" customHeight="false" outlineLevel="0" collapsed="false">
      <c r="A1485" s="15" t="s">
        <v>3815</v>
      </c>
      <c r="B1485" s="15" t="s">
        <v>3816</v>
      </c>
      <c r="C1485" s="15" t="s">
        <v>5997</v>
      </c>
      <c r="D1485" s="34" t="n">
        <f aca="false">Activities!M583</f>
        <v>10</v>
      </c>
      <c r="E1485" s="15" t="s">
        <v>5998</v>
      </c>
    </row>
    <row r="1486" customFormat="false" ht="15" hidden="false" customHeight="false" outlineLevel="0" collapsed="false">
      <c r="A1486" s="15" t="s">
        <v>3815</v>
      </c>
      <c r="B1486" s="15" t="s">
        <v>3816</v>
      </c>
      <c r="C1486" s="15" t="s">
        <v>5999</v>
      </c>
      <c r="D1486" s="34" t="n">
        <f aca="false">Activities!N583</f>
        <v>2</v>
      </c>
      <c r="E1486" s="15" t="s">
        <v>5998</v>
      </c>
    </row>
    <row r="1487" customFormat="false" ht="15" hidden="false" customHeight="false" outlineLevel="0" collapsed="false">
      <c r="A1487" s="15" t="s">
        <v>3793</v>
      </c>
      <c r="B1487" s="15" t="s">
        <v>3816</v>
      </c>
      <c r="C1487" s="15" t="s">
        <v>5995</v>
      </c>
      <c r="D1487" s="34" t="n">
        <v>0</v>
      </c>
      <c r="E1487" s="15" t="s">
        <v>6008</v>
      </c>
    </row>
    <row r="1488" customFormat="false" ht="15" hidden="false" customHeight="false" outlineLevel="0" collapsed="false">
      <c r="A1488" s="15" t="s">
        <v>3802</v>
      </c>
      <c r="B1488" s="15" t="s">
        <v>3816</v>
      </c>
      <c r="C1488" s="15" t="s">
        <v>5997</v>
      </c>
      <c r="D1488" s="34" t="n">
        <v>0</v>
      </c>
      <c r="E1488" s="15" t="s">
        <v>6006</v>
      </c>
    </row>
    <row r="1489" customFormat="false" ht="15" hidden="false" customHeight="false" outlineLevel="0" collapsed="false">
      <c r="A1489" s="15" t="s">
        <v>3816</v>
      </c>
      <c r="B1489" s="15" t="s">
        <v>3818</v>
      </c>
      <c r="C1489" s="15" t="s">
        <v>5997</v>
      </c>
      <c r="D1489" s="34" t="n">
        <f aca="false">Activities!M584</f>
        <v>2</v>
      </c>
      <c r="E1489" s="15" t="s">
        <v>5998</v>
      </c>
    </row>
    <row r="1490" customFormat="false" ht="15" hidden="false" customHeight="false" outlineLevel="0" collapsed="false">
      <c r="A1490" s="15" t="s">
        <v>3816</v>
      </c>
      <c r="B1490" s="15" t="s">
        <v>3818</v>
      </c>
      <c r="C1490" s="15" t="s">
        <v>5999</v>
      </c>
      <c r="D1490" s="34" t="n">
        <f aca="false">Activities!N584</f>
        <v>2</v>
      </c>
      <c r="E1490" s="15" t="s">
        <v>5998</v>
      </c>
    </row>
    <row r="1491" customFormat="false" ht="15" hidden="false" customHeight="false" outlineLevel="0" collapsed="false">
      <c r="A1491" s="15" t="s">
        <v>3818</v>
      </c>
      <c r="B1491" s="15" t="s">
        <v>3819</v>
      </c>
      <c r="C1491" s="15" t="s">
        <v>5997</v>
      </c>
      <c r="D1491" s="34" t="n">
        <f aca="false">Activities!M585</f>
        <v>3</v>
      </c>
      <c r="E1491" s="15" t="s">
        <v>5998</v>
      </c>
    </row>
    <row r="1492" customFormat="false" ht="15" hidden="false" customHeight="false" outlineLevel="0" collapsed="false">
      <c r="A1492" s="15" t="s">
        <v>3818</v>
      </c>
      <c r="B1492" s="15" t="s">
        <v>3819</v>
      </c>
      <c r="C1492" s="15" t="s">
        <v>5999</v>
      </c>
      <c r="D1492" s="34" t="n">
        <f aca="false">Activities!N585</f>
        <v>2</v>
      </c>
      <c r="E1492" s="15" t="s">
        <v>5998</v>
      </c>
    </row>
    <row r="1493" customFormat="false" ht="15" hidden="false" customHeight="false" outlineLevel="0" collapsed="false">
      <c r="A1493" s="15" t="s">
        <v>3819</v>
      </c>
      <c r="B1493" s="15" t="s">
        <v>3820</v>
      </c>
      <c r="C1493" s="15" t="s">
        <v>5997</v>
      </c>
      <c r="D1493" s="34" t="n">
        <f aca="false">Activities!M586</f>
        <v>4</v>
      </c>
      <c r="E1493" s="15" t="s">
        <v>5998</v>
      </c>
    </row>
    <row r="1494" customFormat="false" ht="15" hidden="false" customHeight="false" outlineLevel="0" collapsed="false">
      <c r="A1494" s="15" t="s">
        <v>3819</v>
      </c>
      <c r="B1494" s="15" t="s">
        <v>3820</v>
      </c>
      <c r="C1494" s="15" t="s">
        <v>5999</v>
      </c>
      <c r="D1494" s="34" t="n">
        <f aca="false">Activities!N586</f>
        <v>2</v>
      </c>
      <c r="E1494" s="15" t="s">
        <v>5998</v>
      </c>
    </row>
    <row r="1495" customFormat="false" ht="15" hidden="false" customHeight="false" outlineLevel="0" collapsed="false">
      <c r="A1495" s="15" t="s">
        <v>3820</v>
      </c>
      <c r="B1495" s="15" t="s">
        <v>3821</v>
      </c>
      <c r="C1495" s="15" t="s">
        <v>5997</v>
      </c>
      <c r="D1495" s="34" t="n">
        <f aca="false">Activities!M587</f>
        <v>2</v>
      </c>
      <c r="E1495" s="15" t="s">
        <v>5998</v>
      </c>
    </row>
    <row r="1496" customFormat="false" ht="15" hidden="false" customHeight="false" outlineLevel="0" collapsed="false">
      <c r="A1496" s="15" t="s">
        <v>3820</v>
      </c>
      <c r="B1496" s="15" t="s">
        <v>3821</v>
      </c>
      <c r="C1496" s="15" t="s">
        <v>5999</v>
      </c>
      <c r="D1496" s="34" t="n">
        <f aca="false">Activities!N587</f>
        <v>2</v>
      </c>
      <c r="E1496" s="15" t="s">
        <v>5998</v>
      </c>
    </row>
    <row r="1497" customFormat="false" ht="15" hidden="false" customHeight="false" outlineLevel="0" collapsed="false">
      <c r="A1497" s="15" t="s">
        <v>3804</v>
      </c>
      <c r="B1497" s="15" t="s">
        <v>3821</v>
      </c>
      <c r="C1497" s="15" t="s">
        <v>5995</v>
      </c>
      <c r="D1497" s="34" t="n">
        <v>0</v>
      </c>
      <c r="E1497" s="15" t="s">
        <v>6005</v>
      </c>
    </row>
    <row r="1498" customFormat="false" ht="15" hidden="false" customHeight="false" outlineLevel="0" collapsed="false">
      <c r="A1498" s="15" t="s">
        <v>3821</v>
      </c>
      <c r="B1498" s="15" t="s">
        <v>3823</v>
      </c>
      <c r="C1498" s="15" t="s">
        <v>5997</v>
      </c>
      <c r="D1498" s="34" t="n">
        <f aca="false">Activities!M588</f>
        <v>2</v>
      </c>
      <c r="E1498" s="15" t="s">
        <v>5998</v>
      </c>
    </row>
    <row r="1499" customFormat="false" ht="15" hidden="false" customHeight="false" outlineLevel="0" collapsed="false">
      <c r="A1499" s="15" t="s">
        <v>3821</v>
      </c>
      <c r="B1499" s="15" t="s">
        <v>3823</v>
      </c>
      <c r="C1499" s="15" t="s">
        <v>5999</v>
      </c>
      <c r="D1499" s="34" t="n">
        <f aca="false">Activities!N588</f>
        <v>2</v>
      </c>
      <c r="E1499" s="15" t="s">
        <v>5998</v>
      </c>
    </row>
    <row r="1500" customFormat="false" ht="15" hidden="false" customHeight="false" outlineLevel="0" collapsed="false">
      <c r="A1500" s="15" t="s">
        <v>3824</v>
      </c>
      <c r="B1500" s="15" t="s">
        <v>3826</v>
      </c>
      <c r="C1500" s="15" t="s">
        <v>5995</v>
      </c>
      <c r="D1500" s="34" t="n">
        <v>0</v>
      </c>
      <c r="E1500" s="15" t="s">
        <v>5996</v>
      </c>
    </row>
    <row r="1501" customFormat="false" ht="15" hidden="false" customHeight="false" outlineLevel="0" collapsed="false">
      <c r="A1501" s="15" t="s">
        <v>4746</v>
      </c>
      <c r="B1501" s="15" t="s">
        <v>3826</v>
      </c>
      <c r="C1501" s="15" t="s">
        <v>5997</v>
      </c>
      <c r="D1501" s="34" t="n">
        <v>0</v>
      </c>
      <c r="E1501" s="15" t="s">
        <v>6000</v>
      </c>
    </row>
    <row r="1502" customFormat="false" ht="15" hidden="false" customHeight="false" outlineLevel="0" collapsed="false">
      <c r="A1502" s="15" t="s">
        <v>3826</v>
      </c>
      <c r="B1502" s="15" t="s">
        <v>3828</v>
      </c>
      <c r="C1502" s="15" t="s">
        <v>5997</v>
      </c>
      <c r="D1502" s="34" t="n">
        <f aca="false">Activities!M591</f>
        <v>1</v>
      </c>
      <c r="E1502" s="15" t="s">
        <v>5998</v>
      </c>
    </row>
    <row r="1503" customFormat="false" ht="15" hidden="false" customHeight="false" outlineLevel="0" collapsed="false">
      <c r="A1503" s="15" t="s">
        <v>3826</v>
      </c>
      <c r="B1503" s="15" t="s">
        <v>3828</v>
      </c>
      <c r="C1503" s="15" t="s">
        <v>5999</v>
      </c>
      <c r="D1503" s="34" t="n">
        <f aca="false">Activities!N591</f>
        <v>2</v>
      </c>
      <c r="E1503" s="15" t="s">
        <v>5998</v>
      </c>
    </row>
    <row r="1504" customFormat="false" ht="15" hidden="false" customHeight="false" outlineLevel="0" collapsed="false">
      <c r="A1504" s="15" t="s">
        <v>3828</v>
      </c>
      <c r="B1504" s="15" t="s">
        <v>3829</v>
      </c>
      <c r="C1504" s="15" t="s">
        <v>5997</v>
      </c>
      <c r="D1504" s="34" t="n">
        <f aca="false">Activities!M592</f>
        <v>2</v>
      </c>
      <c r="E1504" s="15" t="s">
        <v>5998</v>
      </c>
    </row>
    <row r="1505" customFormat="false" ht="15" hidden="false" customHeight="false" outlineLevel="0" collapsed="false">
      <c r="A1505" s="15" t="s">
        <v>3828</v>
      </c>
      <c r="B1505" s="15" t="s">
        <v>3829</v>
      </c>
      <c r="C1505" s="15" t="s">
        <v>5999</v>
      </c>
      <c r="D1505" s="34" t="n">
        <f aca="false">Activities!N592</f>
        <v>2</v>
      </c>
      <c r="E1505" s="15" t="s">
        <v>5998</v>
      </c>
    </row>
    <row r="1506" customFormat="false" ht="15" hidden="false" customHeight="false" outlineLevel="0" collapsed="false">
      <c r="A1506" s="15" t="s">
        <v>3829</v>
      </c>
      <c r="B1506" s="15" t="s">
        <v>3830</v>
      </c>
      <c r="C1506" s="15" t="s">
        <v>5997</v>
      </c>
      <c r="D1506" s="34" t="n">
        <f aca="false">Activities!M593</f>
        <v>2</v>
      </c>
      <c r="E1506" s="15" t="s">
        <v>5998</v>
      </c>
    </row>
    <row r="1507" customFormat="false" ht="15" hidden="false" customHeight="false" outlineLevel="0" collapsed="false">
      <c r="A1507" s="15" t="s">
        <v>3829</v>
      </c>
      <c r="B1507" s="15" t="s">
        <v>3830</v>
      </c>
      <c r="C1507" s="15" t="s">
        <v>5999</v>
      </c>
      <c r="D1507" s="34" t="n">
        <f aca="false">Activities!N593</f>
        <v>2</v>
      </c>
      <c r="E1507" s="15" t="s">
        <v>5998</v>
      </c>
    </row>
    <row r="1508" customFormat="false" ht="15" hidden="false" customHeight="false" outlineLevel="0" collapsed="false">
      <c r="A1508" s="15" t="s">
        <v>3830</v>
      </c>
      <c r="B1508" s="15" t="s">
        <v>3831</v>
      </c>
      <c r="C1508" s="15" t="s">
        <v>5997</v>
      </c>
      <c r="D1508" s="34" t="n">
        <f aca="false">Activities!M594</f>
        <v>10</v>
      </c>
      <c r="E1508" s="15" t="s">
        <v>5998</v>
      </c>
    </row>
    <row r="1509" customFormat="false" ht="15" hidden="false" customHeight="false" outlineLevel="0" collapsed="false">
      <c r="A1509" s="15" t="s">
        <v>3830</v>
      </c>
      <c r="B1509" s="15" t="s">
        <v>3831</v>
      </c>
      <c r="C1509" s="15" t="s">
        <v>5999</v>
      </c>
      <c r="D1509" s="34" t="n">
        <f aca="false">Activities!N594</f>
        <v>2</v>
      </c>
      <c r="E1509" s="15" t="s">
        <v>5998</v>
      </c>
    </row>
    <row r="1510" customFormat="false" ht="15" hidden="false" customHeight="false" outlineLevel="0" collapsed="false">
      <c r="A1510" s="15" t="s">
        <v>3831</v>
      </c>
      <c r="B1510" s="15" t="s">
        <v>3832</v>
      </c>
      <c r="C1510" s="15" t="s">
        <v>5997</v>
      </c>
      <c r="D1510" s="34" t="n">
        <f aca="false">Activities!M595</f>
        <v>1</v>
      </c>
      <c r="E1510" s="15" t="s">
        <v>5998</v>
      </c>
    </row>
    <row r="1511" customFormat="false" ht="15" hidden="false" customHeight="false" outlineLevel="0" collapsed="false">
      <c r="A1511" s="15" t="s">
        <v>3831</v>
      </c>
      <c r="B1511" s="15" t="s">
        <v>3832</v>
      </c>
      <c r="C1511" s="15" t="s">
        <v>5999</v>
      </c>
      <c r="D1511" s="34" t="n">
        <f aca="false">Activities!N595</f>
        <v>2</v>
      </c>
      <c r="E1511" s="15" t="s">
        <v>5998</v>
      </c>
    </row>
    <row r="1512" customFormat="false" ht="15" hidden="false" customHeight="false" outlineLevel="0" collapsed="false">
      <c r="A1512" s="15" t="s">
        <v>3832</v>
      </c>
      <c r="B1512" s="15" t="s">
        <v>3833</v>
      </c>
      <c r="C1512" s="15" t="s">
        <v>5997</v>
      </c>
      <c r="D1512" s="34" t="n">
        <f aca="false">Activities!M596</f>
        <v>3</v>
      </c>
      <c r="E1512" s="15" t="s">
        <v>5998</v>
      </c>
    </row>
    <row r="1513" customFormat="false" ht="15" hidden="false" customHeight="false" outlineLevel="0" collapsed="false">
      <c r="A1513" s="15" t="s">
        <v>3832</v>
      </c>
      <c r="B1513" s="15" t="s">
        <v>3833</v>
      </c>
      <c r="C1513" s="15" t="s">
        <v>5999</v>
      </c>
      <c r="D1513" s="34" t="n">
        <f aca="false">Activities!N596</f>
        <v>2</v>
      </c>
      <c r="E1513" s="15" t="s">
        <v>5998</v>
      </c>
    </row>
    <row r="1514" customFormat="false" ht="15" hidden="false" customHeight="false" outlineLevel="0" collapsed="false">
      <c r="A1514" s="15" t="s">
        <v>4752</v>
      </c>
      <c r="B1514" s="15" t="s">
        <v>3833</v>
      </c>
      <c r="C1514" s="15" t="s">
        <v>5995</v>
      </c>
      <c r="D1514" s="34" t="n">
        <v>0</v>
      </c>
      <c r="E1514" s="15" t="s">
        <v>6001</v>
      </c>
    </row>
    <row r="1515" customFormat="false" ht="15" hidden="false" customHeight="false" outlineLevel="0" collapsed="false">
      <c r="A1515" s="15" t="s">
        <v>3833</v>
      </c>
      <c r="B1515" s="15" t="s">
        <v>3835</v>
      </c>
      <c r="C1515" s="15" t="s">
        <v>5997</v>
      </c>
      <c r="D1515" s="34" t="n">
        <f aca="false">Activities!M597</f>
        <v>2</v>
      </c>
      <c r="E1515" s="15" t="s">
        <v>5998</v>
      </c>
    </row>
    <row r="1516" customFormat="false" ht="15" hidden="false" customHeight="false" outlineLevel="0" collapsed="false">
      <c r="A1516" s="15" t="s">
        <v>3833</v>
      </c>
      <c r="B1516" s="15" t="s">
        <v>3835</v>
      </c>
      <c r="C1516" s="15" t="s">
        <v>5999</v>
      </c>
      <c r="D1516" s="34" t="n">
        <f aca="false">Activities!N597</f>
        <v>2</v>
      </c>
      <c r="E1516" s="15" t="s">
        <v>5998</v>
      </c>
    </row>
    <row r="1517" customFormat="false" ht="15" hidden="false" customHeight="false" outlineLevel="0" collapsed="false">
      <c r="A1517" s="15" t="s">
        <v>3835</v>
      </c>
      <c r="B1517" s="15" t="s">
        <v>3836</v>
      </c>
      <c r="C1517" s="15" t="s">
        <v>5997</v>
      </c>
      <c r="D1517" s="34" t="n">
        <f aca="false">Activities!M598</f>
        <v>2</v>
      </c>
      <c r="E1517" s="15" t="s">
        <v>5998</v>
      </c>
    </row>
    <row r="1518" customFormat="false" ht="15" hidden="false" customHeight="false" outlineLevel="0" collapsed="false">
      <c r="A1518" s="15" t="s">
        <v>3835</v>
      </c>
      <c r="B1518" s="15" t="s">
        <v>3836</v>
      </c>
      <c r="C1518" s="15" t="s">
        <v>5999</v>
      </c>
      <c r="D1518" s="34" t="n">
        <f aca="false">Activities!N598</f>
        <v>2</v>
      </c>
      <c r="E1518" s="15" t="s">
        <v>5998</v>
      </c>
    </row>
    <row r="1519" customFormat="false" ht="15" hidden="false" customHeight="false" outlineLevel="0" collapsed="false">
      <c r="A1519" s="15" t="s">
        <v>3848</v>
      </c>
      <c r="B1519" s="15" t="s">
        <v>3836</v>
      </c>
      <c r="C1519" s="15" t="s">
        <v>5995</v>
      </c>
      <c r="D1519" s="34" t="n">
        <v>0</v>
      </c>
      <c r="E1519" s="15" t="s">
        <v>6005</v>
      </c>
    </row>
    <row r="1520" customFormat="false" ht="15" hidden="false" customHeight="false" outlineLevel="0" collapsed="false">
      <c r="A1520" s="15" t="s">
        <v>3836</v>
      </c>
      <c r="B1520" s="15" t="s">
        <v>3838</v>
      </c>
      <c r="C1520" s="15" t="s">
        <v>5997</v>
      </c>
      <c r="D1520" s="34" t="n">
        <f aca="false">Activities!M599</f>
        <v>1</v>
      </c>
      <c r="E1520" s="15" t="s">
        <v>5998</v>
      </c>
    </row>
    <row r="1521" customFormat="false" ht="15" hidden="false" customHeight="false" outlineLevel="0" collapsed="false">
      <c r="A1521" s="15" t="s">
        <v>3836</v>
      </c>
      <c r="B1521" s="15" t="s">
        <v>3838</v>
      </c>
      <c r="C1521" s="15" t="s">
        <v>5999</v>
      </c>
      <c r="D1521" s="34" t="n">
        <f aca="false">Activities!N599</f>
        <v>2</v>
      </c>
      <c r="E1521" s="15" t="s">
        <v>5998</v>
      </c>
    </row>
    <row r="1522" customFormat="false" ht="15" hidden="false" customHeight="false" outlineLevel="0" collapsed="false">
      <c r="A1522" s="15" t="s">
        <v>3839</v>
      </c>
      <c r="B1522" s="15" t="s">
        <v>3841</v>
      </c>
      <c r="C1522" s="15" t="s">
        <v>5995</v>
      </c>
      <c r="D1522" s="34" t="n">
        <v>0</v>
      </c>
      <c r="E1522" s="15" t="s">
        <v>5996</v>
      </c>
    </row>
    <row r="1523" customFormat="false" ht="15" hidden="false" customHeight="false" outlineLevel="0" collapsed="false">
      <c r="A1523" s="15" t="s">
        <v>3841</v>
      </c>
      <c r="B1523" s="15" t="s">
        <v>3842</v>
      </c>
      <c r="C1523" s="15" t="s">
        <v>5997</v>
      </c>
      <c r="D1523" s="34" t="n">
        <f aca="false">Activities!M602</f>
        <v>1</v>
      </c>
      <c r="E1523" s="15" t="s">
        <v>5998</v>
      </c>
    </row>
    <row r="1524" customFormat="false" ht="15" hidden="false" customHeight="false" outlineLevel="0" collapsed="false">
      <c r="A1524" s="15" t="s">
        <v>3841</v>
      </c>
      <c r="B1524" s="15" t="s">
        <v>3842</v>
      </c>
      <c r="C1524" s="15" t="s">
        <v>5999</v>
      </c>
      <c r="D1524" s="34" t="n">
        <f aca="false">Activities!N602</f>
        <v>2</v>
      </c>
      <c r="E1524" s="15" t="s">
        <v>5998</v>
      </c>
    </row>
    <row r="1525" customFormat="false" ht="15" hidden="false" customHeight="false" outlineLevel="0" collapsed="false">
      <c r="A1525" s="15" t="s">
        <v>3842</v>
      </c>
      <c r="B1525" s="15" t="s">
        <v>3843</v>
      </c>
      <c r="C1525" s="15" t="s">
        <v>5997</v>
      </c>
      <c r="D1525" s="34" t="n">
        <f aca="false">Activities!M603</f>
        <v>3</v>
      </c>
      <c r="E1525" s="15" t="s">
        <v>5998</v>
      </c>
    </row>
    <row r="1526" customFormat="false" ht="15" hidden="false" customHeight="false" outlineLevel="0" collapsed="false">
      <c r="A1526" s="15" t="s">
        <v>3842</v>
      </c>
      <c r="B1526" s="15" t="s">
        <v>3843</v>
      </c>
      <c r="C1526" s="15" t="s">
        <v>5999</v>
      </c>
      <c r="D1526" s="34" t="n">
        <f aca="false">Activities!N603</f>
        <v>2</v>
      </c>
      <c r="E1526" s="15" t="s">
        <v>5998</v>
      </c>
    </row>
    <row r="1527" customFormat="false" ht="15" hidden="false" customHeight="false" outlineLevel="0" collapsed="false">
      <c r="A1527" s="15" t="s">
        <v>3843</v>
      </c>
      <c r="B1527" s="15" t="s">
        <v>3844</v>
      </c>
      <c r="C1527" s="15" t="s">
        <v>5997</v>
      </c>
      <c r="D1527" s="34" t="n">
        <f aca="false">Activities!M604</f>
        <v>2</v>
      </c>
      <c r="E1527" s="15" t="s">
        <v>5998</v>
      </c>
    </row>
    <row r="1528" customFormat="false" ht="15" hidden="false" customHeight="false" outlineLevel="0" collapsed="false">
      <c r="A1528" s="15" t="s">
        <v>3843</v>
      </c>
      <c r="B1528" s="15" t="s">
        <v>3844</v>
      </c>
      <c r="C1528" s="15" t="s">
        <v>5999</v>
      </c>
      <c r="D1528" s="34" t="n">
        <f aca="false">Activities!N604</f>
        <v>2</v>
      </c>
      <c r="E1528" s="15" t="s">
        <v>5998</v>
      </c>
    </row>
    <row r="1529" customFormat="false" ht="15" hidden="false" customHeight="false" outlineLevel="0" collapsed="false">
      <c r="A1529" s="15" t="s">
        <v>3844</v>
      </c>
      <c r="B1529" s="15" t="s">
        <v>3845</v>
      </c>
      <c r="C1529" s="15" t="s">
        <v>5997</v>
      </c>
      <c r="D1529" s="34" t="n">
        <f aca="false">Activities!M605</f>
        <v>10</v>
      </c>
      <c r="E1529" s="15" t="s">
        <v>5998</v>
      </c>
    </row>
    <row r="1530" customFormat="false" ht="15" hidden="false" customHeight="false" outlineLevel="0" collapsed="false">
      <c r="A1530" s="15" t="s">
        <v>3844</v>
      </c>
      <c r="B1530" s="15" t="s">
        <v>3845</v>
      </c>
      <c r="C1530" s="15" t="s">
        <v>5999</v>
      </c>
      <c r="D1530" s="34" t="n">
        <f aca="false">Activities!N605</f>
        <v>2</v>
      </c>
      <c r="E1530" s="15" t="s">
        <v>5998</v>
      </c>
    </row>
    <row r="1531" customFormat="false" ht="15" hidden="false" customHeight="false" outlineLevel="0" collapsed="false">
      <c r="A1531" s="15" t="s">
        <v>3487</v>
      </c>
      <c r="B1531" s="15" t="s">
        <v>3845</v>
      </c>
      <c r="C1531" s="15" t="s">
        <v>5995</v>
      </c>
      <c r="D1531" s="34" t="n">
        <v>0</v>
      </c>
      <c r="E1531" s="15" t="s">
        <v>6008</v>
      </c>
    </row>
    <row r="1532" customFormat="false" ht="15" hidden="false" customHeight="false" outlineLevel="0" collapsed="false">
      <c r="A1532" s="15" t="s">
        <v>3831</v>
      </c>
      <c r="B1532" s="15" t="s">
        <v>3845</v>
      </c>
      <c r="C1532" s="15" t="s">
        <v>5997</v>
      </c>
      <c r="D1532" s="34" t="n">
        <v>0</v>
      </c>
      <c r="E1532" s="15" t="s">
        <v>6006</v>
      </c>
    </row>
    <row r="1533" customFormat="false" ht="15" hidden="false" customHeight="false" outlineLevel="0" collapsed="false">
      <c r="A1533" s="15" t="s">
        <v>3845</v>
      </c>
      <c r="B1533" s="15" t="s">
        <v>3847</v>
      </c>
      <c r="C1533" s="15" t="s">
        <v>5997</v>
      </c>
      <c r="D1533" s="34" t="n">
        <f aca="false">Activities!M606</f>
        <v>1</v>
      </c>
      <c r="E1533" s="15" t="s">
        <v>5998</v>
      </c>
    </row>
    <row r="1534" customFormat="false" ht="15" hidden="false" customHeight="false" outlineLevel="0" collapsed="false">
      <c r="A1534" s="15" t="s">
        <v>3845</v>
      </c>
      <c r="B1534" s="15" t="s">
        <v>3847</v>
      </c>
      <c r="C1534" s="15" t="s">
        <v>5999</v>
      </c>
      <c r="D1534" s="34" t="n">
        <f aca="false">Activities!N606</f>
        <v>2</v>
      </c>
      <c r="E1534" s="15" t="s">
        <v>5998</v>
      </c>
    </row>
    <row r="1535" customFormat="false" ht="15" hidden="false" customHeight="false" outlineLevel="0" collapsed="false">
      <c r="A1535" s="15" t="s">
        <v>3847</v>
      </c>
      <c r="B1535" s="15" t="s">
        <v>3848</v>
      </c>
      <c r="C1535" s="15" t="s">
        <v>5997</v>
      </c>
      <c r="D1535" s="34" t="n">
        <f aca="false">Activities!M607</f>
        <v>3</v>
      </c>
      <c r="E1535" s="15" t="s">
        <v>5998</v>
      </c>
    </row>
    <row r="1536" customFormat="false" ht="15" hidden="false" customHeight="false" outlineLevel="0" collapsed="false">
      <c r="A1536" s="15" t="s">
        <v>3847</v>
      </c>
      <c r="B1536" s="15" t="s">
        <v>3848</v>
      </c>
      <c r="C1536" s="15" t="s">
        <v>5999</v>
      </c>
      <c r="D1536" s="34" t="n">
        <f aca="false">Activities!N607</f>
        <v>2</v>
      </c>
      <c r="E1536" s="15" t="s">
        <v>5998</v>
      </c>
    </row>
    <row r="1537" customFormat="false" ht="15" hidden="false" customHeight="false" outlineLevel="0" collapsed="false">
      <c r="A1537" s="15" t="s">
        <v>3848</v>
      </c>
      <c r="B1537" s="15" t="s">
        <v>3849</v>
      </c>
      <c r="C1537" s="15" t="s">
        <v>5997</v>
      </c>
      <c r="D1537" s="34" t="n">
        <f aca="false">Activities!M608</f>
        <v>4</v>
      </c>
      <c r="E1537" s="15" t="s">
        <v>5998</v>
      </c>
    </row>
    <row r="1538" customFormat="false" ht="15" hidden="false" customHeight="false" outlineLevel="0" collapsed="false">
      <c r="A1538" s="15" t="s">
        <v>3848</v>
      </c>
      <c r="B1538" s="15" t="s">
        <v>3849</v>
      </c>
      <c r="C1538" s="15" t="s">
        <v>5999</v>
      </c>
      <c r="D1538" s="34" t="n">
        <f aca="false">Activities!N608</f>
        <v>2</v>
      </c>
      <c r="E1538" s="15" t="s">
        <v>5998</v>
      </c>
    </row>
    <row r="1539" customFormat="false" ht="15" hidden="false" customHeight="false" outlineLevel="0" collapsed="false">
      <c r="A1539" s="15" t="s">
        <v>3849</v>
      </c>
      <c r="B1539" s="15" t="s">
        <v>3850</v>
      </c>
      <c r="C1539" s="15" t="s">
        <v>5997</v>
      </c>
      <c r="D1539" s="34" t="n">
        <f aca="false">Activities!M609</f>
        <v>2</v>
      </c>
      <c r="E1539" s="15" t="s">
        <v>5998</v>
      </c>
    </row>
    <row r="1540" customFormat="false" ht="15" hidden="false" customHeight="false" outlineLevel="0" collapsed="false">
      <c r="A1540" s="15" t="s">
        <v>3849</v>
      </c>
      <c r="B1540" s="15" t="s">
        <v>3850</v>
      </c>
      <c r="C1540" s="15" t="s">
        <v>5999</v>
      </c>
      <c r="D1540" s="34" t="n">
        <f aca="false">Activities!N609</f>
        <v>2</v>
      </c>
      <c r="E1540" s="15" t="s">
        <v>5998</v>
      </c>
    </row>
    <row r="1541" customFormat="false" ht="15" hidden="false" customHeight="false" outlineLevel="0" collapsed="false">
      <c r="A1541" s="15" t="s">
        <v>3833</v>
      </c>
      <c r="B1541" s="15" t="s">
        <v>3850</v>
      </c>
      <c r="C1541" s="15" t="s">
        <v>5995</v>
      </c>
      <c r="D1541" s="34" t="n">
        <v>0</v>
      </c>
      <c r="E1541" s="15" t="s">
        <v>6005</v>
      </c>
    </row>
    <row r="1542" customFormat="false" ht="15" hidden="false" customHeight="false" outlineLevel="0" collapsed="false">
      <c r="A1542" s="15" t="s">
        <v>3850</v>
      </c>
      <c r="B1542" s="15" t="s">
        <v>3852</v>
      </c>
      <c r="C1542" s="15" t="s">
        <v>5997</v>
      </c>
      <c r="D1542" s="34" t="n">
        <f aca="false">Activities!M610</f>
        <v>1</v>
      </c>
      <c r="E1542" s="15" t="s">
        <v>5998</v>
      </c>
    </row>
    <row r="1543" customFormat="false" ht="15" hidden="false" customHeight="false" outlineLevel="0" collapsed="false">
      <c r="A1543" s="15" t="s">
        <v>3850</v>
      </c>
      <c r="B1543" s="15" t="s">
        <v>3852</v>
      </c>
      <c r="C1543" s="15" t="s">
        <v>5999</v>
      </c>
      <c r="D1543" s="34" t="n">
        <f aca="false">Activities!N610</f>
        <v>2</v>
      </c>
      <c r="E1543" s="15" t="s">
        <v>5998</v>
      </c>
    </row>
    <row r="1544" customFormat="false" ht="15" hidden="false" customHeight="false" outlineLevel="0" collapsed="false">
      <c r="A1544" s="15" t="s">
        <v>3853</v>
      </c>
      <c r="B1544" s="15" t="s">
        <v>3855</v>
      </c>
      <c r="C1544" s="15" t="s">
        <v>5995</v>
      </c>
      <c r="D1544" s="34" t="n">
        <v>0</v>
      </c>
      <c r="E1544" s="15" t="s">
        <v>5996</v>
      </c>
    </row>
    <row r="1545" customFormat="false" ht="15" hidden="false" customHeight="false" outlineLevel="0" collapsed="false">
      <c r="A1545" s="15" t="s">
        <v>3855</v>
      </c>
      <c r="B1545" s="15" t="s">
        <v>3856</v>
      </c>
      <c r="C1545" s="15" t="s">
        <v>5997</v>
      </c>
      <c r="D1545" s="34" t="n">
        <f aca="false">Activities!M613</f>
        <v>1</v>
      </c>
      <c r="E1545" s="15" t="s">
        <v>5998</v>
      </c>
    </row>
    <row r="1546" customFormat="false" ht="15" hidden="false" customHeight="false" outlineLevel="0" collapsed="false">
      <c r="A1546" s="15" t="s">
        <v>3855</v>
      </c>
      <c r="B1546" s="15" t="s">
        <v>3856</v>
      </c>
      <c r="C1546" s="15" t="s">
        <v>5999</v>
      </c>
      <c r="D1546" s="34" t="n">
        <f aca="false">Activities!N613</f>
        <v>2</v>
      </c>
      <c r="E1546" s="15" t="s">
        <v>5998</v>
      </c>
    </row>
    <row r="1547" customFormat="false" ht="15" hidden="false" customHeight="false" outlineLevel="0" collapsed="false">
      <c r="A1547" s="15" t="s">
        <v>3856</v>
      </c>
      <c r="B1547" s="15" t="s">
        <v>3857</v>
      </c>
      <c r="C1547" s="15" t="s">
        <v>5997</v>
      </c>
      <c r="D1547" s="34" t="n">
        <f aca="false">Activities!M614</f>
        <v>3</v>
      </c>
      <c r="E1547" s="15" t="s">
        <v>5998</v>
      </c>
    </row>
    <row r="1548" customFormat="false" ht="15" hidden="false" customHeight="false" outlineLevel="0" collapsed="false">
      <c r="A1548" s="15" t="s">
        <v>3856</v>
      </c>
      <c r="B1548" s="15" t="s">
        <v>3857</v>
      </c>
      <c r="C1548" s="15" t="s">
        <v>5999</v>
      </c>
      <c r="D1548" s="34" t="n">
        <f aca="false">Activities!N614</f>
        <v>2</v>
      </c>
      <c r="E1548" s="15" t="s">
        <v>5998</v>
      </c>
    </row>
    <row r="1549" customFormat="false" ht="15" hidden="false" customHeight="false" outlineLevel="0" collapsed="false">
      <c r="A1549" s="15" t="s">
        <v>3857</v>
      </c>
      <c r="B1549" s="15" t="s">
        <v>3858</v>
      </c>
      <c r="C1549" s="15" t="s">
        <v>5997</v>
      </c>
      <c r="D1549" s="34" t="n">
        <f aca="false">Activities!M615</f>
        <v>2</v>
      </c>
      <c r="E1549" s="15" t="s">
        <v>5998</v>
      </c>
    </row>
    <row r="1550" customFormat="false" ht="15" hidden="false" customHeight="false" outlineLevel="0" collapsed="false">
      <c r="A1550" s="15" t="s">
        <v>3857</v>
      </c>
      <c r="B1550" s="15" t="s">
        <v>3858</v>
      </c>
      <c r="C1550" s="15" t="s">
        <v>5999</v>
      </c>
      <c r="D1550" s="34" t="n">
        <f aca="false">Activities!N615</f>
        <v>2</v>
      </c>
      <c r="E1550" s="15" t="s">
        <v>5998</v>
      </c>
    </row>
    <row r="1551" customFormat="false" ht="15" hidden="false" customHeight="false" outlineLevel="0" collapsed="false">
      <c r="A1551" s="15" t="s">
        <v>3858</v>
      </c>
      <c r="B1551" s="15" t="s">
        <v>3859</v>
      </c>
      <c r="C1551" s="15" t="s">
        <v>5997</v>
      </c>
      <c r="D1551" s="34" t="n">
        <f aca="false">Activities!M616</f>
        <v>10</v>
      </c>
      <c r="E1551" s="15" t="s">
        <v>5998</v>
      </c>
    </row>
    <row r="1552" customFormat="false" ht="15" hidden="false" customHeight="false" outlineLevel="0" collapsed="false">
      <c r="A1552" s="15" t="s">
        <v>3858</v>
      </c>
      <c r="B1552" s="15" t="s">
        <v>3859</v>
      </c>
      <c r="C1552" s="15" t="s">
        <v>5999</v>
      </c>
      <c r="D1552" s="34" t="n">
        <f aca="false">Activities!N616</f>
        <v>2</v>
      </c>
      <c r="E1552" s="15" t="s">
        <v>5998</v>
      </c>
    </row>
    <row r="1553" customFormat="false" ht="15" hidden="false" customHeight="false" outlineLevel="0" collapsed="false">
      <c r="A1553" s="15" t="s">
        <v>3793</v>
      </c>
      <c r="B1553" s="15" t="s">
        <v>3859</v>
      </c>
      <c r="C1553" s="15" t="s">
        <v>5995</v>
      </c>
      <c r="D1553" s="34" t="n">
        <v>0</v>
      </c>
      <c r="E1553" s="15" t="s">
        <v>6008</v>
      </c>
    </row>
    <row r="1554" customFormat="false" ht="15" hidden="false" customHeight="false" outlineLevel="0" collapsed="false">
      <c r="A1554" s="15" t="s">
        <v>5262</v>
      </c>
      <c r="B1554" s="15" t="s">
        <v>3859</v>
      </c>
      <c r="C1554" s="15" t="s">
        <v>5995</v>
      </c>
      <c r="D1554" s="34" t="n">
        <v>0</v>
      </c>
      <c r="E1554" s="15" t="s">
        <v>6008</v>
      </c>
    </row>
    <row r="1555" customFormat="false" ht="15" hidden="false" customHeight="false" outlineLevel="0" collapsed="false">
      <c r="A1555" s="15" t="s">
        <v>5276</v>
      </c>
      <c r="B1555" s="15" t="s">
        <v>3859</v>
      </c>
      <c r="C1555" s="15" t="s">
        <v>5995</v>
      </c>
      <c r="D1555" s="34" t="n">
        <v>0</v>
      </c>
      <c r="E1555" s="15" t="s">
        <v>6008</v>
      </c>
    </row>
    <row r="1556" customFormat="false" ht="15" hidden="false" customHeight="false" outlineLevel="0" collapsed="false">
      <c r="A1556" s="15" t="s">
        <v>3859</v>
      </c>
      <c r="B1556" s="15" t="s">
        <v>3861</v>
      </c>
      <c r="C1556" s="15" t="s">
        <v>5997</v>
      </c>
      <c r="D1556" s="34" t="n">
        <f aca="false">Activities!M617</f>
        <v>1</v>
      </c>
      <c r="E1556" s="15" t="s">
        <v>5998</v>
      </c>
    </row>
    <row r="1557" customFormat="false" ht="15" hidden="false" customHeight="false" outlineLevel="0" collapsed="false">
      <c r="A1557" s="15" t="s">
        <v>3859</v>
      </c>
      <c r="B1557" s="15" t="s">
        <v>3861</v>
      </c>
      <c r="C1557" s="15" t="s">
        <v>5999</v>
      </c>
      <c r="D1557" s="34" t="n">
        <f aca="false">Activities!N617</f>
        <v>2</v>
      </c>
      <c r="E1557" s="15" t="s">
        <v>5998</v>
      </c>
    </row>
    <row r="1558" customFormat="false" ht="15" hidden="false" customHeight="false" outlineLevel="0" collapsed="false">
      <c r="A1558" s="15" t="s">
        <v>3861</v>
      </c>
      <c r="B1558" s="15" t="s">
        <v>3862</v>
      </c>
      <c r="C1558" s="15" t="s">
        <v>5997</v>
      </c>
      <c r="D1558" s="34" t="n">
        <f aca="false">Activities!M618</f>
        <v>3</v>
      </c>
      <c r="E1558" s="15" t="s">
        <v>5998</v>
      </c>
    </row>
    <row r="1559" customFormat="false" ht="15" hidden="false" customHeight="false" outlineLevel="0" collapsed="false">
      <c r="A1559" s="15" t="s">
        <v>3861</v>
      </c>
      <c r="B1559" s="15" t="s">
        <v>3862</v>
      </c>
      <c r="C1559" s="15" t="s">
        <v>5999</v>
      </c>
      <c r="D1559" s="34" t="n">
        <f aca="false">Activities!N618</f>
        <v>2</v>
      </c>
      <c r="E1559" s="15" t="s">
        <v>5998</v>
      </c>
    </row>
    <row r="1560" customFormat="false" ht="15" hidden="false" customHeight="false" outlineLevel="0" collapsed="false">
      <c r="A1560" s="15" t="s">
        <v>3862</v>
      </c>
      <c r="B1560" s="15" t="s">
        <v>3863</v>
      </c>
      <c r="C1560" s="15" t="s">
        <v>5997</v>
      </c>
      <c r="D1560" s="34" t="n">
        <f aca="false">Activities!M619</f>
        <v>4</v>
      </c>
      <c r="E1560" s="15" t="s">
        <v>5998</v>
      </c>
    </row>
    <row r="1561" customFormat="false" ht="15" hidden="false" customHeight="false" outlineLevel="0" collapsed="false">
      <c r="A1561" s="15" t="s">
        <v>3862</v>
      </c>
      <c r="B1561" s="15" t="s">
        <v>3863</v>
      </c>
      <c r="C1561" s="15" t="s">
        <v>5999</v>
      </c>
      <c r="D1561" s="34" t="n">
        <f aca="false">Activities!N619</f>
        <v>2</v>
      </c>
      <c r="E1561" s="15" t="s">
        <v>5998</v>
      </c>
    </row>
    <row r="1562" customFormat="false" ht="15" hidden="false" customHeight="false" outlineLevel="0" collapsed="false">
      <c r="A1562" s="15" t="s">
        <v>3863</v>
      </c>
      <c r="B1562" s="15" t="s">
        <v>3864</v>
      </c>
      <c r="C1562" s="15" t="s">
        <v>5997</v>
      </c>
      <c r="D1562" s="34" t="n">
        <f aca="false">Activities!M620</f>
        <v>2</v>
      </c>
      <c r="E1562" s="15" t="s">
        <v>5998</v>
      </c>
    </row>
    <row r="1563" customFormat="false" ht="15" hidden="false" customHeight="false" outlineLevel="0" collapsed="false">
      <c r="A1563" s="15" t="s">
        <v>3863</v>
      </c>
      <c r="B1563" s="15" t="s">
        <v>3864</v>
      </c>
      <c r="C1563" s="15" t="s">
        <v>5999</v>
      </c>
      <c r="D1563" s="34" t="n">
        <f aca="false">Activities!N620</f>
        <v>2</v>
      </c>
      <c r="E1563" s="15" t="s">
        <v>5998</v>
      </c>
    </row>
    <row r="1564" customFormat="false" ht="15" hidden="false" customHeight="false" outlineLevel="0" collapsed="false">
      <c r="A1564" s="15" t="s">
        <v>3864</v>
      </c>
      <c r="B1564" s="15" t="s">
        <v>3865</v>
      </c>
      <c r="C1564" s="15" t="s">
        <v>5997</v>
      </c>
      <c r="D1564" s="34" t="n">
        <f aca="false">Activities!M621</f>
        <v>1</v>
      </c>
      <c r="E1564" s="15" t="s">
        <v>5998</v>
      </c>
    </row>
    <row r="1565" customFormat="false" ht="15" hidden="false" customHeight="false" outlineLevel="0" collapsed="false">
      <c r="A1565" s="15" t="s">
        <v>3864</v>
      </c>
      <c r="B1565" s="15" t="s">
        <v>3865</v>
      </c>
      <c r="C1565" s="15" t="s">
        <v>5999</v>
      </c>
      <c r="D1565" s="34" t="n">
        <f aca="false">Activities!N621</f>
        <v>2</v>
      </c>
      <c r="E1565" s="15" t="s">
        <v>5998</v>
      </c>
    </row>
    <row r="1566" customFormat="false" ht="15" hidden="false" customHeight="false" outlineLevel="0" collapsed="false">
      <c r="A1566" s="15" t="s">
        <v>3866</v>
      </c>
      <c r="B1566" s="15" t="s">
        <v>3868</v>
      </c>
      <c r="C1566" s="15" t="s">
        <v>5995</v>
      </c>
      <c r="D1566" s="34" t="n">
        <v>0</v>
      </c>
      <c r="E1566" s="15" t="s">
        <v>5996</v>
      </c>
    </row>
    <row r="1567" customFormat="false" ht="15" hidden="false" customHeight="false" outlineLevel="0" collapsed="false">
      <c r="A1567" s="15" t="s">
        <v>3868</v>
      </c>
      <c r="B1567" s="15" t="s">
        <v>3869</v>
      </c>
      <c r="C1567" s="15" t="s">
        <v>5997</v>
      </c>
      <c r="D1567" s="34" t="n">
        <f aca="false">Activities!M624</f>
        <v>1</v>
      </c>
      <c r="E1567" s="15" t="s">
        <v>5998</v>
      </c>
    </row>
    <row r="1568" customFormat="false" ht="15" hidden="false" customHeight="false" outlineLevel="0" collapsed="false">
      <c r="A1568" s="15" t="s">
        <v>3868</v>
      </c>
      <c r="B1568" s="15" t="s">
        <v>3869</v>
      </c>
      <c r="C1568" s="15" t="s">
        <v>5999</v>
      </c>
      <c r="D1568" s="34" t="n">
        <f aca="false">Activities!N624</f>
        <v>2</v>
      </c>
      <c r="E1568" s="15" t="s">
        <v>5998</v>
      </c>
    </row>
    <row r="1569" customFormat="false" ht="15" hidden="false" customHeight="false" outlineLevel="0" collapsed="false">
      <c r="A1569" s="15" t="s">
        <v>3869</v>
      </c>
      <c r="B1569" s="15" t="s">
        <v>3870</v>
      </c>
      <c r="C1569" s="15" t="s">
        <v>5997</v>
      </c>
      <c r="D1569" s="34" t="n">
        <f aca="false">Activities!M625</f>
        <v>2</v>
      </c>
      <c r="E1569" s="15" t="s">
        <v>5998</v>
      </c>
    </row>
    <row r="1570" customFormat="false" ht="15" hidden="false" customHeight="false" outlineLevel="0" collapsed="false">
      <c r="A1570" s="15" t="s">
        <v>3869</v>
      </c>
      <c r="B1570" s="15" t="s">
        <v>3870</v>
      </c>
      <c r="C1570" s="15" t="s">
        <v>5999</v>
      </c>
      <c r="D1570" s="34" t="n">
        <f aca="false">Activities!N625</f>
        <v>0</v>
      </c>
      <c r="E1570" s="15" t="s">
        <v>5998</v>
      </c>
    </row>
    <row r="1571" customFormat="false" ht="15" hidden="false" customHeight="false" outlineLevel="0" collapsed="false">
      <c r="A1571" s="15" t="s">
        <v>3870</v>
      </c>
      <c r="B1571" s="15" t="s">
        <v>3871</v>
      </c>
      <c r="C1571" s="15" t="s">
        <v>5997</v>
      </c>
      <c r="D1571" s="34" t="n">
        <f aca="false">Activities!M626</f>
        <v>0</v>
      </c>
      <c r="E1571" s="15" t="s">
        <v>5998</v>
      </c>
    </row>
    <row r="1572" customFormat="false" ht="15" hidden="false" customHeight="false" outlineLevel="0" collapsed="false">
      <c r="A1572" s="15" t="s">
        <v>3870</v>
      </c>
      <c r="B1572" s="15" t="s">
        <v>3871</v>
      </c>
      <c r="C1572" s="15" t="s">
        <v>5999</v>
      </c>
      <c r="D1572" s="34" t="n">
        <f aca="false">Activities!N626</f>
        <v>2</v>
      </c>
      <c r="E1572" s="15" t="s">
        <v>5998</v>
      </c>
    </row>
    <row r="1573" customFormat="false" ht="15" hidden="false" customHeight="false" outlineLevel="0" collapsed="false">
      <c r="A1573" s="15" t="s">
        <v>3871</v>
      </c>
      <c r="B1573" s="15" t="s">
        <v>3872</v>
      </c>
      <c r="C1573" s="15" t="s">
        <v>5997</v>
      </c>
      <c r="D1573" s="34" t="n">
        <f aca="false">Activities!M627</f>
        <v>10</v>
      </c>
      <c r="E1573" s="15" t="s">
        <v>5998</v>
      </c>
    </row>
    <row r="1574" customFormat="false" ht="15" hidden="false" customHeight="false" outlineLevel="0" collapsed="false">
      <c r="A1574" s="15" t="s">
        <v>3871</v>
      </c>
      <c r="B1574" s="15" t="s">
        <v>3872</v>
      </c>
      <c r="C1574" s="15" t="s">
        <v>5999</v>
      </c>
      <c r="D1574" s="34" t="n">
        <f aca="false">Activities!N627</f>
        <v>2</v>
      </c>
      <c r="E1574" s="15" t="s">
        <v>5998</v>
      </c>
    </row>
    <row r="1575" customFormat="false" ht="15" hidden="false" customHeight="false" outlineLevel="0" collapsed="false">
      <c r="A1575" s="15" t="s">
        <v>5594</v>
      </c>
      <c r="B1575" s="15" t="s">
        <v>3872</v>
      </c>
      <c r="C1575" s="15" t="s">
        <v>5995</v>
      </c>
      <c r="D1575" s="34" t="n">
        <v>0</v>
      </c>
      <c r="E1575" s="15" t="s">
        <v>6008</v>
      </c>
    </row>
    <row r="1576" customFormat="false" ht="15" hidden="false" customHeight="false" outlineLevel="0" collapsed="false">
      <c r="A1576" s="15" t="s">
        <v>3872</v>
      </c>
      <c r="B1576" s="15" t="s">
        <v>3874</v>
      </c>
      <c r="C1576" s="15" t="s">
        <v>5997</v>
      </c>
      <c r="D1576" s="34" t="n">
        <f aca="false">Activities!M628</f>
        <v>1</v>
      </c>
      <c r="E1576" s="15" t="s">
        <v>5998</v>
      </c>
    </row>
    <row r="1577" customFormat="false" ht="15" hidden="false" customHeight="false" outlineLevel="0" collapsed="false">
      <c r="A1577" s="15" t="s">
        <v>3872</v>
      </c>
      <c r="B1577" s="15" t="s">
        <v>3874</v>
      </c>
      <c r="C1577" s="15" t="s">
        <v>5999</v>
      </c>
      <c r="D1577" s="34" t="n">
        <f aca="false">Activities!N628</f>
        <v>2</v>
      </c>
      <c r="E1577" s="15" t="s">
        <v>5998</v>
      </c>
    </row>
    <row r="1578" customFormat="false" ht="15" hidden="false" customHeight="false" outlineLevel="0" collapsed="false">
      <c r="A1578" s="15" t="s">
        <v>3874</v>
      </c>
      <c r="B1578" s="15" t="s">
        <v>3875</v>
      </c>
      <c r="C1578" s="15" t="s">
        <v>5997</v>
      </c>
      <c r="D1578" s="34" t="n">
        <f aca="false">Activities!M629</f>
        <v>2</v>
      </c>
      <c r="E1578" s="15" t="s">
        <v>5998</v>
      </c>
    </row>
    <row r="1579" customFormat="false" ht="15" hidden="false" customHeight="false" outlineLevel="0" collapsed="false">
      <c r="A1579" s="15" t="s">
        <v>3874</v>
      </c>
      <c r="B1579" s="15" t="s">
        <v>3875</v>
      </c>
      <c r="C1579" s="15" t="s">
        <v>5999</v>
      </c>
      <c r="D1579" s="34" t="n">
        <f aca="false">Activities!N629</f>
        <v>2</v>
      </c>
      <c r="E1579" s="15" t="s">
        <v>5998</v>
      </c>
    </row>
    <row r="1580" customFormat="false" ht="15" hidden="false" customHeight="false" outlineLevel="0" collapsed="false">
      <c r="A1580" s="15" t="s">
        <v>3875</v>
      </c>
      <c r="B1580" s="15" t="s">
        <v>3876</v>
      </c>
      <c r="C1580" s="15" t="s">
        <v>5997</v>
      </c>
      <c r="D1580" s="34" t="n">
        <f aca="false">Activities!M630</f>
        <v>2</v>
      </c>
      <c r="E1580" s="15" t="s">
        <v>5998</v>
      </c>
    </row>
    <row r="1581" customFormat="false" ht="15" hidden="false" customHeight="false" outlineLevel="0" collapsed="false">
      <c r="A1581" s="15" t="s">
        <v>3875</v>
      </c>
      <c r="B1581" s="15" t="s">
        <v>3876</v>
      </c>
      <c r="C1581" s="15" t="s">
        <v>5999</v>
      </c>
      <c r="D1581" s="34" t="n">
        <f aca="false">Activities!N630</f>
        <v>2</v>
      </c>
      <c r="E1581" s="15" t="s">
        <v>5998</v>
      </c>
    </row>
    <row r="1582" customFormat="false" ht="15" hidden="false" customHeight="false" outlineLevel="0" collapsed="false">
      <c r="A1582" s="15" t="s">
        <v>3876</v>
      </c>
      <c r="B1582" s="15" t="s">
        <v>3877</v>
      </c>
      <c r="C1582" s="15" t="s">
        <v>5997</v>
      </c>
      <c r="D1582" s="34" t="n">
        <f aca="false">Activities!M631</f>
        <v>2</v>
      </c>
      <c r="E1582" s="15" t="s">
        <v>5998</v>
      </c>
    </row>
    <row r="1583" customFormat="false" ht="15" hidden="false" customHeight="false" outlineLevel="0" collapsed="false">
      <c r="A1583" s="15" t="s">
        <v>3876</v>
      </c>
      <c r="B1583" s="15" t="s">
        <v>3877</v>
      </c>
      <c r="C1583" s="15" t="s">
        <v>5999</v>
      </c>
      <c r="D1583" s="34" t="n">
        <f aca="false">Activities!N631</f>
        <v>2</v>
      </c>
      <c r="E1583" s="15" t="s">
        <v>5998</v>
      </c>
    </row>
    <row r="1584" customFormat="false" ht="15" hidden="false" customHeight="false" outlineLevel="0" collapsed="false">
      <c r="A1584" s="15" t="s">
        <v>3877</v>
      </c>
      <c r="B1584" s="15" t="s">
        <v>3878</v>
      </c>
      <c r="C1584" s="15" t="s">
        <v>5997</v>
      </c>
      <c r="D1584" s="34" t="n">
        <f aca="false">Activities!M632</f>
        <v>1</v>
      </c>
      <c r="E1584" s="15" t="s">
        <v>5998</v>
      </c>
    </row>
    <row r="1585" customFormat="false" ht="15" hidden="false" customHeight="false" outlineLevel="0" collapsed="false">
      <c r="A1585" s="15" t="s">
        <v>3877</v>
      </c>
      <c r="B1585" s="15" t="s">
        <v>3878</v>
      </c>
      <c r="C1585" s="15" t="s">
        <v>5999</v>
      </c>
      <c r="D1585" s="34" t="n">
        <f aca="false">Activities!N632</f>
        <v>2</v>
      </c>
      <c r="E1585" s="15" t="s">
        <v>5998</v>
      </c>
    </row>
    <row r="1586" customFormat="false" ht="15" hidden="false" customHeight="false" outlineLevel="0" collapsed="false">
      <c r="A1586" s="15" t="s">
        <v>3879</v>
      </c>
      <c r="B1586" s="15" t="s">
        <v>3881</v>
      </c>
      <c r="C1586" s="15" t="s">
        <v>5995</v>
      </c>
      <c r="D1586" s="34" t="n">
        <v>0</v>
      </c>
      <c r="E1586" s="15" t="s">
        <v>5996</v>
      </c>
    </row>
    <row r="1587" customFormat="false" ht="15" hidden="false" customHeight="false" outlineLevel="0" collapsed="false">
      <c r="A1587" s="15" t="s">
        <v>3881</v>
      </c>
      <c r="B1587" s="15" t="s">
        <v>3882</v>
      </c>
      <c r="C1587" s="15" t="s">
        <v>5997</v>
      </c>
      <c r="D1587" s="34" t="n">
        <f aca="false">Activities!M635</f>
        <v>1</v>
      </c>
      <c r="E1587" s="15" t="s">
        <v>5998</v>
      </c>
    </row>
    <row r="1588" customFormat="false" ht="15" hidden="false" customHeight="false" outlineLevel="0" collapsed="false">
      <c r="A1588" s="15" t="s">
        <v>3881</v>
      </c>
      <c r="B1588" s="15" t="s">
        <v>3882</v>
      </c>
      <c r="C1588" s="15" t="s">
        <v>5999</v>
      </c>
      <c r="D1588" s="34" t="n">
        <f aca="false">Activities!N635</f>
        <v>2</v>
      </c>
      <c r="E1588" s="15" t="s">
        <v>5998</v>
      </c>
    </row>
    <row r="1589" customFormat="false" ht="15" hidden="false" customHeight="false" outlineLevel="0" collapsed="false">
      <c r="A1589" s="15" t="s">
        <v>3882</v>
      </c>
      <c r="B1589" s="15" t="s">
        <v>3883</v>
      </c>
      <c r="C1589" s="15" t="s">
        <v>5997</v>
      </c>
      <c r="D1589" s="34" t="n">
        <f aca="false">Activities!M636</f>
        <v>2</v>
      </c>
      <c r="E1589" s="15" t="s">
        <v>5998</v>
      </c>
    </row>
    <row r="1590" customFormat="false" ht="15" hidden="false" customHeight="false" outlineLevel="0" collapsed="false">
      <c r="A1590" s="15" t="s">
        <v>3882</v>
      </c>
      <c r="B1590" s="15" t="s">
        <v>3883</v>
      </c>
      <c r="C1590" s="15" t="s">
        <v>5999</v>
      </c>
      <c r="D1590" s="34" t="n">
        <f aca="false">Activities!N636</f>
        <v>2</v>
      </c>
      <c r="E1590" s="15" t="s">
        <v>5998</v>
      </c>
    </row>
    <row r="1591" customFormat="false" ht="15" hidden="false" customHeight="false" outlineLevel="0" collapsed="false">
      <c r="A1591" s="15" t="s">
        <v>3883</v>
      </c>
      <c r="B1591" s="15" t="s">
        <v>3884</v>
      </c>
      <c r="C1591" s="15" t="s">
        <v>5997</v>
      </c>
      <c r="D1591" s="34" t="n">
        <f aca="false">Activities!M637</f>
        <v>1</v>
      </c>
      <c r="E1591" s="15" t="s">
        <v>5998</v>
      </c>
    </row>
    <row r="1592" customFormat="false" ht="15" hidden="false" customHeight="false" outlineLevel="0" collapsed="false">
      <c r="A1592" s="15" t="s">
        <v>3883</v>
      </c>
      <c r="B1592" s="15" t="s">
        <v>3884</v>
      </c>
      <c r="C1592" s="15" t="s">
        <v>5999</v>
      </c>
      <c r="D1592" s="34" t="n">
        <f aca="false">Activities!N637</f>
        <v>2</v>
      </c>
      <c r="E1592" s="15" t="s">
        <v>5998</v>
      </c>
    </row>
    <row r="1593" customFormat="false" ht="15" hidden="false" customHeight="false" outlineLevel="0" collapsed="false">
      <c r="A1593" s="15" t="s">
        <v>3884</v>
      </c>
      <c r="B1593" s="15" t="s">
        <v>3885</v>
      </c>
      <c r="C1593" s="15" t="s">
        <v>5997</v>
      </c>
      <c r="D1593" s="34" t="n">
        <f aca="false">Activities!M638</f>
        <v>10</v>
      </c>
      <c r="E1593" s="15" t="s">
        <v>5998</v>
      </c>
    </row>
    <row r="1594" customFormat="false" ht="15" hidden="false" customHeight="false" outlineLevel="0" collapsed="false">
      <c r="A1594" s="15" t="s">
        <v>3884</v>
      </c>
      <c r="B1594" s="15" t="s">
        <v>3885</v>
      </c>
      <c r="C1594" s="15" t="s">
        <v>5999</v>
      </c>
      <c r="D1594" s="34" t="n">
        <f aca="false">Activities!N638</f>
        <v>2</v>
      </c>
      <c r="E1594" s="15" t="s">
        <v>5998</v>
      </c>
    </row>
    <row r="1595" customFormat="false" ht="15" hidden="false" customHeight="false" outlineLevel="0" collapsed="false">
      <c r="A1595" s="15" t="s">
        <v>5481</v>
      </c>
      <c r="B1595" s="15" t="s">
        <v>3885</v>
      </c>
      <c r="C1595" s="15" t="s">
        <v>5995</v>
      </c>
      <c r="D1595" s="34" t="n">
        <v>0</v>
      </c>
      <c r="E1595" s="15" t="s">
        <v>6008</v>
      </c>
    </row>
    <row r="1596" customFormat="false" ht="15" hidden="false" customHeight="false" outlineLevel="0" collapsed="false">
      <c r="A1596" s="15" t="s">
        <v>5347</v>
      </c>
      <c r="B1596" s="15" t="s">
        <v>3885</v>
      </c>
      <c r="C1596" s="15" t="s">
        <v>5995</v>
      </c>
      <c r="D1596" s="34" t="n">
        <v>0</v>
      </c>
      <c r="E1596" s="15" t="s">
        <v>6008</v>
      </c>
    </row>
    <row r="1597" customFormat="false" ht="15" hidden="false" customHeight="false" outlineLevel="0" collapsed="false">
      <c r="A1597" s="15" t="s">
        <v>3885</v>
      </c>
      <c r="B1597" s="15" t="s">
        <v>3887</v>
      </c>
      <c r="C1597" s="15" t="s">
        <v>5997</v>
      </c>
      <c r="D1597" s="34" t="n">
        <f aca="false">Activities!M639</f>
        <v>1</v>
      </c>
      <c r="E1597" s="15" t="s">
        <v>5998</v>
      </c>
    </row>
    <row r="1598" customFormat="false" ht="15" hidden="false" customHeight="false" outlineLevel="0" collapsed="false">
      <c r="A1598" s="15" t="s">
        <v>3885</v>
      </c>
      <c r="B1598" s="15" t="s">
        <v>3887</v>
      </c>
      <c r="C1598" s="15" t="s">
        <v>5999</v>
      </c>
      <c r="D1598" s="34" t="n">
        <f aca="false">Activities!N639</f>
        <v>2</v>
      </c>
      <c r="E1598" s="15" t="s">
        <v>5998</v>
      </c>
    </row>
    <row r="1599" customFormat="false" ht="15" hidden="false" customHeight="false" outlineLevel="0" collapsed="false">
      <c r="A1599" s="15" t="s">
        <v>3887</v>
      </c>
      <c r="B1599" s="15" t="s">
        <v>3888</v>
      </c>
      <c r="C1599" s="15" t="s">
        <v>5997</v>
      </c>
      <c r="D1599" s="34" t="n">
        <f aca="false">Activities!M640</f>
        <v>2</v>
      </c>
      <c r="E1599" s="15" t="s">
        <v>5998</v>
      </c>
    </row>
    <row r="1600" customFormat="false" ht="15" hidden="false" customHeight="false" outlineLevel="0" collapsed="false">
      <c r="A1600" s="15" t="s">
        <v>3887</v>
      </c>
      <c r="B1600" s="15" t="s">
        <v>3888</v>
      </c>
      <c r="C1600" s="15" t="s">
        <v>5999</v>
      </c>
      <c r="D1600" s="34" t="n">
        <f aca="false">Activities!N640</f>
        <v>2</v>
      </c>
      <c r="E1600" s="15" t="s">
        <v>5998</v>
      </c>
    </row>
    <row r="1601" customFormat="false" ht="15" hidden="false" customHeight="false" outlineLevel="0" collapsed="false">
      <c r="A1601" s="15" t="s">
        <v>3888</v>
      </c>
      <c r="B1601" s="15" t="s">
        <v>3889</v>
      </c>
      <c r="C1601" s="15" t="s">
        <v>5997</v>
      </c>
      <c r="D1601" s="34" t="n">
        <f aca="false">Activities!M641</f>
        <v>3</v>
      </c>
      <c r="E1601" s="15" t="s">
        <v>5998</v>
      </c>
    </row>
    <row r="1602" customFormat="false" ht="15" hidden="false" customHeight="false" outlineLevel="0" collapsed="false">
      <c r="A1602" s="15" t="s">
        <v>3888</v>
      </c>
      <c r="B1602" s="15" t="s">
        <v>3889</v>
      </c>
      <c r="C1602" s="15" t="s">
        <v>5999</v>
      </c>
      <c r="D1602" s="34" t="n">
        <f aca="false">Activities!N641</f>
        <v>2</v>
      </c>
      <c r="E1602" s="15" t="s">
        <v>5998</v>
      </c>
    </row>
    <row r="1603" customFormat="false" ht="15" hidden="false" customHeight="false" outlineLevel="0" collapsed="false">
      <c r="A1603" s="15" t="s">
        <v>3889</v>
      </c>
      <c r="B1603" s="15" t="s">
        <v>3890</v>
      </c>
      <c r="C1603" s="15" t="s">
        <v>5997</v>
      </c>
      <c r="D1603" s="34" t="n">
        <f aca="false">Activities!M642</f>
        <v>2</v>
      </c>
      <c r="E1603" s="15" t="s">
        <v>5998</v>
      </c>
    </row>
    <row r="1604" customFormat="false" ht="15" hidden="false" customHeight="false" outlineLevel="0" collapsed="false">
      <c r="A1604" s="15" t="s">
        <v>3889</v>
      </c>
      <c r="B1604" s="15" t="s">
        <v>3890</v>
      </c>
      <c r="C1604" s="15" t="s">
        <v>5999</v>
      </c>
      <c r="D1604" s="34" t="n">
        <f aca="false">Activities!N642</f>
        <v>2</v>
      </c>
      <c r="E1604" s="15" t="s">
        <v>5998</v>
      </c>
    </row>
    <row r="1605" customFormat="false" ht="15" hidden="false" customHeight="false" outlineLevel="0" collapsed="false">
      <c r="A1605" s="15" t="s">
        <v>3890</v>
      </c>
      <c r="B1605" s="15" t="s">
        <v>3891</v>
      </c>
      <c r="C1605" s="15" t="s">
        <v>5997</v>
      </c>
      <c r="D1605" s="34" t="n">
        <f aca="false">Activities!M643</f>
        <v>1</v>
      </c>
      <c r="E1605" s="15" t="s">
        <v>5998</v>
      </c>
    </row>
    <row r="1606" customFormat="false" ht="15" hidden="false" customHeight="false" outlineLevel="0" collapsed="false">
      <c r="A1606" s="15" t="s">
        <v>3890</v>
      </c>
      <c r="B1606" s="15" t="s">
        <v>3891</v>
      </c>
      <c r="C1606" s="15" t="s">
        <v>5999</v>
      </c>
      <c r="D1606" s="34" t="n">
        <f aca="false">Activities!N643</f>
        <v>2</v>
      </c>
      <c r="E1606" s="15" t="s">
        <v>5998</v>
      </c>
    </row>
    <row r="1607" customFormat="false" ht="15" hidden="false" customHeight="false" outlineLevel="0" collapsed="false">
      <c r="A1607" s="15" t="s">
        <v>3892</v>
      </c>
      <c r="B1607" s="15" t="s">
        <v>3894</v>
      </c>
      <c r="C1607" s="15" t="s">
        <v>5995</v>
      </c>
      <c r="D1607" s="34" t="n">
        <v>0</v>
      </c>
      <c r="E1607" s="15" t="s">
        <v>5996</v>
      </c>
    </row>
    <row r="1608" customFormat="false" ht="15" hidden="false" customHeight="false" outlineLevel="0" collapsed="false">
      <c r="A1608" s="15" t="s">
        <v>3894</v>
      </c>
      <c r="B1608" s="15" t="s">
        <v>3895</v>
      </c>
      <c r="C1608" s="15" t="s">
        <v>5997</v>
      </c>
      <c r="D1608" s="34" t="n">
        <f aca="false">Activities!M646</f>
        <v>1</v>
      </c>
      <c r="E1608" s="15" t="s">
        <v>5998</v>
      </c>
    </row>
    <row r="1609" customFormat="false" ht="15" hidden="false" customHeight="false" outlineLevel="0" collapsed="false">
      <c r="A1609" s="15" t="s">
        <v>3894</v>
      </c>
      <c r="B1609" s="15" t="s">
        <v>3895</v>
      </c>
      <c r="C1609" s="15" t="s">
        <v>5999</v>
      </c>
      <c r="D1609" s="34" t="n">
        <f aca="false">Activities!N646</f>
        <v>2</v>
      </c>
      <c r="E1609" s="15" t="s">
        <v>5998</v>
      </c>
    </row>
    <row r="1610" customFormat="false" ht="15" hidden="false" customHeight="false" outlineLevel="0" collapsed="false">
      <c r="A1610" s="15" t="s">
        <v>3895</v>
      </c>
      <c r="B1610" s="15" t="s">
        <v>3896</v>
      </c>
      <c r="C1610" s="15" t="s">
        <v>5997</v>
      </c>
      <c r="D1610" s="34" t="n">
        <f aca="false">Activities!M647</f>
        <v>3</v>
      </c>
      <c r="E1610" s="15" t="s">
        <v>5998</v>
      </c>
    </row>
    <row r="1611" customFormat="false" ht="15" hidden="false" customHeight="false" outlineLevel="0" collapsed="false">
      <c r="A1611" s="15" t="s">
        <v>3895</v>
      </c>
      <c r="B1611" s="15" t="s">
        <v>3896</v>
      </c>
      <c r="C1611" s="15" t="s">
        <v>5999</v>
      </c>
      <c r="D1611" s="34" t="n">
        <f aca="false">Activities!N647</f>
        <v>0</v>
      </c>
      <c r="E1611" s="15" t="s">
        <v>5998</v>
      </c>
    </row>
    <row r="1612" customFormat="false" ht="15" hidden="false" customHeight="false" outlineLevel="0" collapsed="false">
      <c r="A1612" s="15" t="s">
        <v>3896</v>
      </c>
      <c r="B1612" s="15" t="s">
        <v>3897</v>
      </c>
      <c r="C1612" s="15" t="s">
        <v>5997</v>
      </c>
      <c r="D1612" s="34" t="n">
        <f aca="false">Activities!M648</f>
        <v>0</v>
      </c>
      <c r="E1612" s="15" t="s">
        <v>5998</v>
      </c>
    </row>
    <row r="1613" customFormat="false" ht="15" hidden="false" customHeight="false" outlineLevel="0" collapsed="false">
      <c r="A1613" s="15" t="s">
        <v>3896</v>
      </c>
      <c r="B1613" s="15" t="s">
        <v>3897</v>
      </c>
      <c r="C1613" s="15" t="s">
        <v>5999</v>
      </c>
      <c r="D1613" s="34" t="n">
        <f aca="false">Activities!N648</f>
        <v>2</v>
      </c>
      <c r="E1613" s="15" t="s">
        <v>5998</v>
      </c>
    </row>
    <row r="1614" customFormat="false" ht="15" hidden="false" customHeight="false" outlineLevel="0" collapsed="false">
      <c r="A1614" s="15" t="s">
        <v>3897</v>
      </c>
      <c r="B1614" s="15" t="s">
        <v>3898</v>
      </c>
      <c r="C1614" s="15" t="s">
        <v>5997</v>
      </c>
      <c r="D1614" s="34" t="n">
        <f aca="false">Activities!M649</f>
        <v>10</v>
      </c>
      <c r="E1614" s="15" t="s">
        <v>5998</v>
      </c>
    </row>
    <row r="1615" customFormat="false" ht="15" hidden="false" customHeight="false" outlineLevel="0" collapsed="false">
      <c r="A1615" s="15" t="s">
        <v>3897</v>
      </c>
      <c r="B1615" s="15" t="s">
        <v>3898</v>
      </c>
      <c r="C1615" s="15" t="s">
        <v>5999</v>
      </c>
      <c r="D1615" s="34" t="n">
        <f aca="false">Activities!N649</f>
        <v>2</v>
      </c>
      <c r="E1615" s="15" t="s">
        <v>5998</v>
      </c>
    </row>
    <row r="1616" customFormat="false" ht="15" hidden="false" customHeight="false" outlineLevel="0" collapsed="false">
      <c r="A1616" s="15" t="s">
        <v>3750</v>
      </c>
      <c r="B1616" s="15" t="s">
        <v>3898</v>
      </c>
      <c r="C1616" s="15" t="s">
        <v>5995</v>
      </c>
      <c r="D1616" s="34" t="n">
        <v>0</v>
      </c>
      <c r="E1616" s="15" t="s">
        <v>6008</v>
      </c>
    </row>
    <row r="1617" customFormat="false" ht="15" hidden="false" customHeight="false" outlineLevel="0" collapsed="false">
      <c r="A1617" s="15" t="s">
        <v>5467</v>
      </c>
      <c r="B1617" s="15" t="s">
        <v>3898</v>
      </c>
      <c r="C1617" s="15" t="s">
        <v>5995</v>
      </c>
      <c r="D1617" s="34" t="n">
        <v>0</v>
      </c>
      <c r="E1617" s="15" t="s">
        <v>6008</v>
      </c>
    </row>
    <row r="1618" customFormat="false" ht="15" hidden="false" customHeight="false" outlineLevel="0" collapsed="false">
      <c r="A1618" s="15" t="s">
        <v>5377</v>
      </c>
      <c r="B1618" s="15" t="s">
        <v>3898</v>
      </c>
      <c r="C1618" s="15" t="s">
        <v>5995</v>
      </c>
      <c r="D1618" s="34" t="n">
        <v>0</v>
      </c>
      <c r="E1618" s="15" t="s">
        <v>6008</v>
      </c>
    </row>
    <row r="1619" customFormat="false" ht="15" hidden="false" customHeight="false" outlineLevel="0" collapsed="false">
      <c r="A1619" s="15" t="s">
        <v>3898</v>
      </c>
      <c r="B1619" s="15" t="s">
        <v>3900</v>
      </c>
      <c r="C1619" s="15" t="s">
        <v>5997</v>
      </c>
      <c r="D1619" s="34" t="n">
        <f aca="false">Activities!M650</f>
        <v>2</v>
      </c>
      <c r="E1619" s="15" t="s">
        <v>5998</v>
      </c>
    </row>
    <row r="1620" customFormat="false" ht="15" hidden="false" customHeight="false" outlineLevel="0" collapsed="false">
      <c r="A1620" s="15" t="s">
        <v>3898</v>
      </c>
      <c r="B1620" s="15" t="s">
        <v>3900</v>
      </c>
      <c r="C1620" s="15" t="s">
        <v>5999</v>
      </c>
      <c r="D1620" s="34" t="n">
        <f aca="false">Activities!N650</f>
        <v>2</v>
      </c>
      <c r="E1620" s="15" t="s">
        <v>5998</v>
      </c>
    </row>
    <row r="1621" customFormat="false" ht="15" hidden="false" customHeight="false" outlineLevel="0" collapsed="false">
      <c r="A1621" s="15" t="s">
        <v>3900</v>
      </c>
      <c r="B1621" s="15" t="s">
        <v>3901</v>
      </c>
      <c r="C1621" s="15" t="s">
        <v>5997</v>
      </c>
      <c r="D1621" s="34" t="n">
        <f aca="false">Activities!M651</f>
        <v>3</v>
      </c>
      <c r="E1621" s="15" t="s">
        <v>5998</v>
      </c>
    </row>
    <row r="1622" customFormat="false" ht="15" hidden="false" customHeight="false" outlineLevel="0" collapsed="false">
      <c r="A1622" s="15" t="s">
        <v>3900</v>
      </c>
      <c r="B1622" s="15" t="s">
        <v>3901</v>
      </c>
      <c r="C1622" s="15" t="s">
        <v>5999</v>
      </c>
      <c r="D1622" s="34" t="n">
        <f aca="false">Activities!N651</f>
        <v>2</v>
      </c>
      <c r="E1622" s="15" t="s">
        <v>5998</v>
      </c>
    </row>
    <row r="1623" customFormat="false" ht="15" hidden="false" customHeight="false" outlineLevel="0" collapsed="false">
      <c r="A1623" s="15" t="s">
        <v>3901</v>
      </c>
      <c r="B1623" s="15" t="s">
        <v>3902</v>
      </c>
      <c r="C1623" s="15" t="s">
        <v>5997</v>
      </c>
      <c r="D1623" s="34" t="n">
        <f aca="false">Activities!M652</f>
        <v>4</v>
      </c>
      <c r="E1623" s="15" t="s">
        <v>5998</v>
      </c>
    </row>
    <row r="1624" customFormat="false" ht="15" hidden="false" customHeight="false" outlineLevel="0" collapsed="false">
      <c r="A1624" s="15" t="s">
        <v>3901</v>
      </c>
      <c r="B1624" s="15" t="s">
        <v>3902</v>
      </c>
      <c r="C1624" s="15" t="s">
        <v>5999</v>
      </c>
      <c r="D1624" s="34" t="n">
        <f aca="false">Activities!N652</f>
        <v>2</v>
      </c>
      <c r="E1624" s="15" t="s">
        <v>5998</v>
      </c>
    </row>
    <row r="1625" customFormat="false" ht="15" hidden="false" customHeight="false" outlineLevel="0" collapsed="false">
      <c r="A1625" s="15" t="s">
        <v>3902</v>
      </c>
      <c r="B1625" s="15" t="s">
        <v>3903</v>
      </c>
      <c r="C1625" s="15" t="s">
        <v>5997</v>
      </c>
      <c r="D1625" s="34" t="n">
        <f aca="false">Activities!M653</f>
        <v>2</v>
      </c>
      <c r="E1625" s="15" t="s">
        <v>5998</v>
      </c>
    </row>
    <row r="1626" customFormat="false" ht="15" hidden="false" customHeight="false" outlineLevel="0" collapsed="false">
      <c r="A1626" s="15" t="s">
        <v>3902</v>
      </c>
      <c r="B1626" s="15" t="s">
        <v>3903</v>
      </c>
      <c r="C1626" s="15" t="s">
        <v>5999</v>
      </c>
      <c r="D1626" s="34" t="n">
        <f aca="false">Activities!N653</f>
        <v>2</v>
      </c>
      <c r="E1626" s="15" t="s">
        <v>5998</v>
      </c>
    </row>
    <row r="1627" customFormat="false" ht="15" hidden="false" customHeight="false" outlineLevel="0" collapsed="false">
      <c r="A1627" s="15" t="s">
        <v>3903</v>
      </c>
      <c r="B1627" s="15" t="s">
        <v>3904</v>
      </c>
      <c r="C1627" s="15" t="s">
        <v>5997</v>
      </c>
      <c r="D1627" s="34" t="n">
        <f aca="false">Activities!M654</f>
        <v>2</v>
      </c>
      <c r="E1627" s="15" t="s">
        <v>5998</v>
      </c>
    </row>
    <row r="1628" customFormat="false" ht="15" hidden="false" customHeight="false" outlineLevel="0" collapsed="false">
      <c r="A1628" s="15" t="s">
        <v>3903</v>
      </c>
      <c r="B1628" s="15" t="s">
        <v>3904</v>
      </c>
      <c r="C1628" s="15" t="s">
        <v>5999</v>
      </c>
      <c r="D1628" s="34" t="n">
        <f aca="false">Activities!N654</f>
        <v>2</v>
      </c>
      <c r="E1628" s="15" t="s">
        <v>5998</v>
      </c>
    </row>
    <row r="1629" customFormat="false" ht="15" hidden="false" customHeight="false" outlineLevel="0" collapsed="false">
      <c r="A1629" s="15" t="s">
        <v>3905</v>
      </c>
      <c r="B1629" s="15" t="s">
        <v>3907</v>
      </c>
      <c r="C1629" s="15" t="s">
        <v>5995</v>
      </c>
      <c r="D1629" s="34" t="n">
        <v>0</v>
      </c>
      <c r="E1629" s="15" t="s">
        <v>5996</v>
      </c>
    </row>
    <row r="1630" customFormat="false" ht="15" hidden="false" customHeight="false" outlineLevel="0" collapsed="false">
      <c r="A1630" s="15" t="s">
        <v>3907</v>
      </c>
      <c r="B1630" s="15" t="s">
        <v>3908</v>
      </c>
      <c r="C1630" s="15" t="s">
        <v>5997</v>
      </c>
      <c r="D1630" s="34" t="n">
        <f aca="false">Activities!M657</f>
        <v>1</v>
      </c>
      <c r="E1630" s="15" t="s">
        <v>5998</v>
      </c>
    </row>
    <row r="1631" customFormat="false" ht="15" hidden="false" customHeight="false" outlineLevel="0" collapsed="false">
      <c r="A1631" s="15" t="s">
        <v>3907</v>
      </c>
      <c r="B1631" s="15" t="s">
        <v>3908</v>
      </c>
      <c r="C1631" s="15" t="s">
        <v>5999</v>
      </c>
      <c r="D1631" s="34" t="n">
        <f aca="false">Activities!N657</f>
        <v>2</v>
      </c>
      <c r="E1631" s="15" t="s">
        <v>5998</v>
      </c>
    </row>
    <row r="1632" customFormat="false" ht="15" hidden="false" customHeight="false" outlineLevel="0" collapsed="false">
      <c r="A1632" s="15" t="s">
        <v>3908</v>
      </c>
      <c r="B1632" s="15" t="s">
        <v>3909</v>
      </c>
      <c r="C1632" s="15" t="s">
        <v>5997</v>
      </c>
      <c r="D1632" s="34" t="n">
        <f aca="false">Activities!M658</f>
        <v>2</v>
      </c>
      <c r="E1632" s="15" t="s">
        <v>5998</v>
      </c>
    </row>
    <row r="1633" customFormat="false" ht="15" hidden="false" customHeight="false" outlineLevel="0" collapsed="false">
      <c r="A1633" s="15" t="s">
        <v>3908</v>
      </c>
      <c r="B1633" s="15" t="s">
        <v>3909</v>
      </c>
      <c r="C1633" s="15" t="s">
        <v>5999</v>
      </c>
      <c r="D1633" s="34" t="n">
        <f aca="false">Activities!N658</f>
        <v>2</v>
      </c>
      <c r="E1633" s="15" t="s">
        <v>5998</v>
      </c>
    </row>
    <row r="1634" customFormat="false" ht="15" hidden="false" customHeight="false" outlineLevel="0" collapsed="false">
      <c r="A1634" s="15" t="s">
        <v>3909</v>
      </c>
      <c r="B1634" s="15" t="s">
        <v>3910</v>
      </c>
      <c r="C1634" s="15" t="s">
        <v>5997</v>
      </c>
      <c r="D1634" s="34" t="n">
        <f aca="false">Activities!M659</f>
        <v>1</v>
      </c>
      <c r="E1634" s="15" t="s">
        <v>5998</v>
      </c>
    </row>
    <row r="1635" customFormat="false" ht="15" hidden="false" customHeight="false" outlineLevel="0" collapsed="false">
      <c r="A1635" s="15" t="s">
        <v>3909</v>
      </c>
      <c r="B1635" s="15" t="s">
        <v>3910</v>
      </c>
      <c r="C1635" s="15" t="s">
        <v>5999</v>
      </c>
      <c r="D1635" s="34" t="n">
        <f aca="false">Activities!N659</f>
        <v>2</v>
      </c>
      <c r="E1635" s="15" t="s">
        <v>5998</v>
      </c>
    </row>
    <row r="1636" customFormat="false" ht="15" hidden="false" customHeight="false" outlineLevel="0" collapsed="false">
      <c r="A1636" s="15" t="s">
        <v>3910</v>
      </c>
      <c r="B1636" s="15" t="s">
        <v>3911</v>
      </c>
      <c r="C1636" s="15" t="s">
        <v>5997</v>
      </c>
      <c r="D1636" s="34" t="n">
        <f aca="false">Activities!M660</f>
        <v>10</v>
      </c>
      <c r="E1636" s="15" t="s">
        <v>5998</v>
      </c>
    </row>
    <row r="1637" customFormat="false" ht="15" hidden="false" customHeight="false" outlineLevel="0" collapsed="false">
      <c r="A1637" s="15" t="s">
        <v>3910</v>
      </c>
      <c r="B1637" s="15" t="s">
        <v>3911</v>
      </c>
      <c r="C1637" s="15" t="s">
        <v>5999</v>
      </c>
      <c r="D1637" s="34" t="n">
        <f aca="false">Activities!N660</f>
        <v>2</v>
      </c>
      <c r="E1637" s="15" t="s">
        <v>5998</v>
      </c>
    </row>
    <row r="1638" customFormat="false" ht="15" hidden="false" customHeight="false" outlineLevel="0" collapsed="false">
      <c r="A1638" s="15" t="s">
        <v>3911</v>
      </c>
      <c r="B1638" s="15" t="s">
        <v>3912</v>
      </c>
      <c r="C1638" s="15" t="s">
        <v>5997</v>
      </c>
      <c r="D1638" s="34" t="n">
        <f aca="false">Activities!M661</f>
        <v>1</v>
      </c>
      <c r="E1638" s="15" t="s">
        <v>5998</v>
      </c>
    </row>
    <row r="1639" customFormat="false" ht="15" hidden="false" customHeight="false" outlineLevel="0" collapsed="false">
      <c r="A1639" s="15" t="s">
        <v>3911</v>
      </c>
      <c r="B1639" s="15" t="s">
        <v>3912</v>
      </c>
      <c r="C1639" s="15" t="s">
        <v>5999</v>
      </c>
      <c r="D1639" s="34" t="n">
        <f aca="false">Activities!N661</f>
        <v>2</v>
      </c>
      <c r="E1639" s="15" t="s">
        <v>5998</v>
      </c>
    </row>
    <row r="1640" customFormat="false" ht="15" hidden="false" customHeight="false" outlineLevel="0" collapsed="false">
      <c r="A1640" s="15" t="s">
        <v>3912</v>
      </c>
      <c r="B1640" s="15" t="s">
        <v>3913</v>
      </c>
      <c r="C1640" s="15" t="s">
        <v>5997</v>
      </c>
      <c r="D1640" s="34" t="n">
        <f aca="false">Activities!M662</f>
        <v>2</v>
      </c>
      <c r="E1640" s="15" t="s">
        <v>5998</v>
      </c>
    </row>
    <row r="1641" customFormat="false" ht="15" hidden="false" customHeight="false" outlineLevel="0" collapsed="false">
      <c r="A1641" s="15" t="s">
        <v>3912</v>
      </c>
      <c r="B1641" s="15" t="s">
        <v>3913</v>
      </c>
      <c r="C1641" s="15" t="s">
        <v>5999</v>
      </c>
      <c r="D1641" s="34" t="n">
        <f aca="false">Activities!N662</f>
        <v>2</v>
      </c>
      <c r="E1641" s="15" t="s">
        <v>5998</v>
      </c>
    </row>
    <row r="1642" customFormat="false" ht="15" hidden="false" customHeight="false" outlineLevel="0" collapsed="false">
      <c r="A1642" s="15" t="s">
        <v>3913</v>
      </c>
      <c r="B1642" s="15" t="s">
        <v>3914</v>
      </c>
      <c r="C1642" s="15" t="s">
        <v>5997</v>
      </c>
      <c r="D1642" s="34" t="n">
        <f aca="false">Activities!M663</f>
        <v>1</v>
      </c>
      <c r="E1642" s="15" t="s">
        <v>5998</v>
      </c>
    </row>
    <row r="1643" customFormat="false" ht="15" hidden="false" customHeight="false" outlineLevel="0" collapsed="false">
      <c r="A1643" s="15" t="s">
        <v>3913</v>
      </c>
      <c r="B1643" s="15" t="s">
        <v>3914</v>
      </c>
      <c r="C1643" s="15" t="s">
        <v>5999</v>
      </c>
      <c r="D1643" s="34" t="n">
        <f aca="false">Activities!N663</f>
        <v>2</v>
      </c>
      <c r="E1643" s="15" t="s">
        <v>5998</v>
      </c>
    </row>
    <row r="1644" customFormat="false" ht="15" hidden="false" customHeight="false" outlineLevel="0" collapsed="false">
      <c r="A1644" s="15" t="s">
        <v>3914</v>
      </c>
      <c r="B1644" s="15" t="s">
        <v>3915</v>
      </c>
      <c r="C1644" s="15" t="s">
        <v>5997</v>
      </c>
      <c r="D1644" s="34" t="n">
        <f aca="false">Activities!M664</f>
        <v>2</v>
      </c>
      <c r="E1644" s="15" t="s">
        <v>5998</v>
      </c>
    </row>
    <row r="1645" customFormat="false" ht="15" hidden="false" customHeight="false" outlineLevel="0" collapsed="false">
      <c r="A1645" s="15" t="s">
        <v>3914</v>
      </c>
      <c r="B1645" s="15" t="s">
        <v>3915</v>
      </c>
      <c r="C1645" s="15" t="s">
        <v>5999</v>
      </c>
      <c r="D1645" s="34" t="n">
        <f aca="false">Activities!N664</f>
        <v>2</v>
      </c>
      <c r="E1645" s="15" t="s">
        <v>5998</v>
      </c>
    </row>
    <row r="1646" customFormat="false" ht="15" hidden="false" customHeight="false" outlineLevel="0" collapsed="false">
      <c r="A1646" s="15" t="s">
        <v>3943</v>
      </c>
      <c r="B1646" s="15" t="s">
        <v>3915</v>
      </c>
      <c r="C1646" s="15" t="s">
        <v>5995</v>
      </c>
      <c r="D1646" s="34" t="n">
        <v>0</v>
      </c>
      <c r="E1646" s="15" t="s">
        <v>6005</v>
      </c>
    </row>
    <row r="1647" customFormat="false" ht="15" hidden="false" customHeight="false" outlineLevel="0" collapsed="false">
      <c r="A1647" s="15" t="s">
        <v>3915</v>
      </c>
      <c r="B1647" s="15" t="s">
        <v>3917</v>
      </c>
      <c r="C1647" s="15" t="s">
        <v>5997</v>
      </c>
      <c r="D1647" s="34" t="n">
        <f aca="false">Activities!M665</f>
        <v>1</v>
      </c>
      <c r="E1647" s="15" t="s">
        <v>5998</v>
      </c>
    </row>
    <row r="1648" customFormat="false" ht="15" hidden="false" customHeight="false" outlineLevel="0" collapsed="false">
      <c r="A1648" s="15" t="s">
        <v>3915</v>
      </c>
      <c r="B1648" s="15" t="s">
        <v>3917</v>
      </c>
      <c r="C1648" s="15" t="s">
        <v>5999</v>
      </c>
      <c r="D1648" s="34" t="n">
        <f aca="false">Activities!N665</f>
        <v>2</v>
      </c>
      <c r="E1648" s="15" t="s">
        <v>5998</v>
      </c>
    </row>
    <row r="1649" customFormat="false" ht="15" hidden="false" customHeight="false" outlineLevel="0" collapsed="false">
      <c r="A1649" s="15" t="s">
        <v>3918</v>
      </c>
      <c r="B1649" s="15" t="s">
        <v>3920</v>
      </c>
      <c r="C1649" s="15" t="s">
        <v>5995</v>
      </c>
      <c r="D1649" s="34" t="n">
        <v>0</v>
      </c>
      <c r="E1649" s="15" t="s">
        <v>5996</v>
      </c>
    </row>
    <row r="1650" customFormat="false" ht="15" hidden="false" customHeight="false" outlineLevel="0" collapsed="false">
      <c r="A1650" s="15" t="s">
        <v>3908</v>
      </c>
      <c r="B1650" s="15" t="s">
        <v>3920</v>
      </c>
      <c r="C1650" s="15" t="s">
        <v>5997</v>
      </c>
      <c r="D1650" s="34" t="n">
        <v>0</v>
      </c>
      <c r="E1650" s="15" t="s">
        <v>6002</v>
      </c>
    </row>
    <row r="1651" customFormat="false" ht="15" hidden="false" customHeight="false" outlineLevel="0" collapsed="false">
      <c r="A1651" s="15" t="s">
        <v>3920</v>
      </c>
      <c r="B1651" s="15" t="s">
        <v>3922</v>
      </c>
      <c r="C1651" s="15" t="s">
        <v>5997</v>
      </c>
      <c r="D1651" s="34" t="n">
        <f aca="false">Activities!M668</f>
        <v>1</v>
      </c>
      <c r="E1651" s="15" t="s">
        <v>5998</v>
      </c>
    </row>
    <row r="1652" customFormat="false" ht="15" hidden="false" customHeight="false" outlineLevel="0" collapsed="false">
      <c r="A1652" s="15" t="s">
        <v>3920</v>
      </c>
      <c r="B1652" s="15" t="s">
        <v>3922</v>
      </c>
      <c r="C1652" s="15" t="s">
        <v>5999</v>
      </c>
      <c r="D1652" s="34" t="n">
        <f aca="false">Activities!N668</f>
        <v>2</v>
      </c>
      <c r="E1652" s="15" t="s">
        <v>5998</v>
      </c>
    </row>
    <row r="1653" customFormat="false" ht="15" hidden="false" customHeight="false" outlineLevel="0" collapsed="false">
      <c r="A1653" s="15" t="s">
        <v>3908</v>
      </c>
      <c r="B1653" s="15" t="s">
        <v>3922</v>
      </c>
      <c r="C1653" s="15" t="s">
        <v>5995</v>
      </c>
      <c r="D1653" s="34" t="n">
        <v>0</v>
      </c>
      <c r="E1653" s="15" t="s">
        <v>6010</v>
      </c>
    </row>
    <row r="1654" customFormat="false" ht="15" hidden="false" customHeight="false" outlineLevel="0" collapsed="false">
      <c r="A1654" s="15" t="s">
        <v>3922</v>
      </c>
      <c r="B1654" s="15" t="s">
        <v>3923</v>
      </c>
      <c r="C1654" s="15" t="s">
        <v>5997</v>
      </c>
      <c r="D1654" s="34" t="n">
        <f aca="false">Activities!M669</f>
        <v>2</v>
      </c>
      <c r="E1654" s="15" t="s">
        <v>5998</v>
      </c>
    </row>
    <row r="1655" customFormat="false" ht="15" hidden="false" customHeight="false" outlineLevel="0" collapsed="false">
      <c r="A1655" s="15" t="s">
        <v>3922</v>
      </c>
      <c r="B1655" s="15" t="s">
        <v>3923</v>
      </c>
      <c r="C1655" s="15" t="s">
        <v>5999</v>
      </c>
      <c r="D1655" s="34" t="n">
        <f aca="false">Activities!N669</f>
        <v>2</v>
      </c>
      <c r="E1655" s="15" t="s">
        <v>5998</v>
      </c>
    </row>
    <row r="1656" customFormat="false" ht="15" hidden="false" customHeight="false" outlineLevel="0" collapsed="false">
      <c r="A1656" s="15" t="s">
        <v>3909</v>
      </c>
      <c r="B1656" s="15" t="s">
        <v>3923</v>
      </c>
      <c r="C1656" s="15" t="s">
        <v>5995</v>
      </c>
      <c r="D1656" s="34" t="n">
        <v>0</v>
      </c>
      <c r="E1656" s="15" t="s">
        <v>6010</v>
      </c>
    </row>
    <row r="1657" customFormat="false" ht="15" hidden="false" customHeight="false" outlineLevel="0" collapsed="false">
      <c r="A1657" s="15" t="s">
        <v>3923</v>
      </c>
      <c r="B1657" s="15" t="s">
        <v>3924</v>
      </c>
      <c r="C1657" s="15" t="s">
        <v>5997</v>
      </c>
      <c r="D1657" s="34" t="n">
        <f aca="false">Activities!M670</f>
        <v>1</v>
      </c>
      <c r="E1657" s="15" t="s">
        <v>5998</v>
      </c>
    </row>
    <row r="1658" customFormat="false" ht="15" hidden="false" customHeight="false" outlineLevel="0" collapsed="false">
      <c r="A1658" s="15" t="s">
        <v>3923</v>
      </c>
      <c r="B1658" s="15" t="s">
        <v>3924</v>
      </c>
      <c r="C1658" s="15" t="s">
        <v>5999</v>
      </c>
      <c r="D1658" s="34" t="n">
        <f aca="false">Activities!N670</f>
        <v>2</v>
      </c>
      <c r="E1658" s="15" t="s">
        <v>5998</v>
      </c>
    </row>
    <row r="1659" customFormat="false" ht="15" hidden="false" customHeight="false" outlineLevel="0" collapsed="false">
      <c r="A1659" s="15" t="s">
        <v>3911</v>
      </c>
      <c r="B1659" s="15" t="s">
        <v>3924</v>
      </c>
      <c r="C1659" s="15" t="s">
        <v>5995</v>
      </c>
      <c r="D1659" s="34" t="n">
        <f aca="false">-Activities!K670</f>
        <v>-10</v>
      </c>
      <c r="E1659" s="15" t="s">
        <v>6004</v>
      </c>
    </row>
    <row r="1660" customFormat="false" ht="15" hidden="false" customHeight="false" outlineLevel="0" collapsed="false">
      <c r="A1660" s="15" t="s">
        <v>3924</v>
      </c>
      <c r="B1660" s="15" t="s">
        <v>3926</v>
      </c>
      <c r="C1660" s="15" t="s">
        <v>5997</v>
      </c>
      <c r="D1660" s="34" t="n">
        <f aca="false">Activities!M671</f>
        <v>10</v>
      </c>
      <c r="E1660" s="15" t="s">
        <v>5998</v>
      </c>
    </row>
    <row r="1661" customFormat="false" ht="15" hidden="false" customHeight="false" outlineLevel="0" collapsed="false">
      <c r="A1661" s="15" t="s">
        <v>3924</v>
      </c>
      <c r="B1661" s="15" t="s">
        <v>3926</v>
      </c>
      <c r="C1661" s="15" t="s">
        <v>5999</v>
      </c>
      <c r="D1661" s="34" t="n">
        <f aca="false">Activities!N671</f>
        <v>2</v>
      </c>
      <c r="E1661" s="15" t="s">
        <v>5998</v>
      </c>
    </row>
    <row r="1662" customFormat="false" ht="15" hidden="false" customHeight="false" outlineLevel="0" collapsed="false">
      <c r="A1662" s="15" t="s">
        <v>3911</v>
      </c>
      <c r="B1662" s="15" t="s">
        <v>3926</v>
      </c>
      <c r="C1662" s="15" t="s">
        <v>5995</v>
      </c>
      <c r="D1662" s="34" t="n">
        <v>0</v>
      </c>
      <c r="E1662" s="15" t="s">
        <v>6010</v>
      </c>
    </row>
    <row r="1663" customFormat="false" ht="15" hidden="false" customHeight="false" outlineLevel="0" collapsed="false">
      <c r="A1663" s="15" t="s">
        <v>3926</v>
      </c>
      <c r="B1663" s="15" t="s">
        <v>3927</v>
      </c>
      <c r="C1663" s="15" t="s">
        <v>5997</v>
      </c>
      <c r="D1663" s="34" t="n">
        <f aca="false">Activities!M672</f>
        <v>1</v>
      </c>
      <c r="E1663" s="15" t="s">
        <v>5998</v>
      </c>
    </row>
    <row r="1664" customFormat="false" ht="15" hidden="false" customHeight="false" outlineLevel="0" collapsed="false">
      <c r="A1664" s="15" t="s">
        <v>3926</v>
      </c>
      <c r="B1664" s="15" t="s">
        <v>3927</v>
      </c>
      <c r="C1664" s="15" t="s">
        <v>5999</v>
      </c>
      <c r="D1664" s="34" t="n">
        <f aca="false">Activities!N672</f>
        <v>2</v>
      </c>
      <c r="E1664" s="15" t="s">
        <v>5998</v>
      </c>
    </row>
    <row r="1665" customFormat="false" ht="15" hidden="false" customHeight="false" outlineLevel="0" collapsed="false">
      <c r="A1665" s="15" t="s">
        <v>3912</v>
      </c>
      <c r="B1665" s="15" t="s">
        <v>3927</v>
      </c>
      <c r="C1665" s="15" t="s">
        <v>5995</v>
      </c>
      <c r="D1665" s="34" t="n">
        <v>0</v>
      </c>
      <c r="E1665" s="15" t="s">
        <v>6010</v>
      </c>
    </row>
    <row r="1666" customFormat="false" ht="15" hidden="false" customHeight="false" outlineLevel="0" collapsed="false">
      <c r="A1666" s="15" t="s">
        <v>3927</v>
      </c>
      <c r="B1666" s="15" t="s">
        <v>3928</v>
      </c>
      <c r="C1666" s="15" t="s">
        <v>5997</v>
      </c>
      <c r="D1666" s="34" t="n">
        <f aca="false">Activities!M673</f>
        <v>2</v>
      </c>
      <c r="E1666" s="15" t="s">
        <v>5998</v>
      </c>
    </row>
    <row r="1667" customFormat="false" ht="15" hidden="false" customHeight="false" outlineLevel="0" collapsed="false">
      <c r="A1667" s="15" t="s">
        <v>3927</v>
      </c>
      <c r="B1667" s="15" t="s">
        <v>3928</v>
      </c>
      <c r="C1667" s="15" t="s">
        <v>5999</v>
      </c>
      <c r="D1667" s="34" t="n">
        <f aca="false">Activities!N673</f>
        <v>2</v>
      </c>
      <c r="E1667" s="15" t="s">
        <v>5998</v>
      </c>
    </row>
    <row r="1668" customFormat="false" ht="15" hidden="false" customHeight="false" outlineLevel="0" collapsed="false">
      <c r="A1668" s="15" t="s">
        <v>3913</v>
      </c>
      <c r="B1668" s="15" t="s">
        <v>3928</v>
      </c>
      <c r="C1668" s="15" t="s">
        <v>5995</v>
      </c>
      <c r="D1668" s="34" t="n">
        <v>0</v>
      </c>
      <c r="E1668" s="15" t="s">
        <v>6010</v>
      </c>
    </row>
    <row r="1669" customFormat="false" ht="15" hidden="false" customHeight="false" outlineLevel="0" collapsed="false">
      <c r="A1669" s="15" t="s">
        <v>3928</v>
      </c>
      <c r="B1669" s="15" t="s">
        <v>3929</v>
      </c>
      <c r="C1669" s="15" t="s">
        <v>5997</v>
      </c>
      <c r="D1669" s="34" t="n">
        <f aca="false">Activities!M674</f>
        <v>1</v>
      </c>
      <c r="E1669" s="15" t="s">
        <v>5998</v>
      </c>
    </row>
    <row r="1670" customFormat="false" ht="15" hidden="false" customHeight="false" outlineLevel="0" collapsed="false">
      <c r="A1670" s="15" t="s">
        <v>3928</v>
      </c>
      <c r="B1670" s="15" t="s">
        <v>3929</v>
      </c>
      <c r="C1670" s="15" t="s">
        <v>5999</v>
      </c>
      <c r="D1670" s="34" t="n">
        <f aca="false">Activities!N674</f>
        <v>2</v>
      </c>
      <c r="E1670" s="15" t="s">
        <v>5998</v>
      </c>
    </row>
    <row r="1671" customFormat="false" ht="15" hidden="false" customHeight="false" outlineLevel="0" collapsed="false">
      <c r="A1671" s="15" t="s">
        <v>3929</v>
      </c>
      <c r="B1671" s="15" t="s">
        <v>3930</v>
      </c>
      <c r="C1671" s="15" t="s">
        <v>5997</v>
      </c>
      <c r="D1671" s="34" t="n">
        <f aca="false">Activities!M675</f>
        <v>2</v>
      </c>
      <c r="E1671" s="15" t="s">
        <v>5998</v>
      </c>
    </row>
    <row r="1672" customFormat="false" ht="15" hidden="false" customHeight="false" outlineLevel="0" collapsed="false">
      <c r="A1672" s="15" t="s">
        <v>3929</v>
      </c>
      <c r="B1672" s="15" t="s">
        <v>3930</v>
      </c>
      <c r="C1672" s="15" t="s">
        <v>5999</v>
      </c>
      <c r="D1672" s="34" t="n">
        <f aca="false">Activities!N675</f>
        <v>2</v>
      </c>
      <c r="E1672" s="15" t="s">
        <v>5998</v>
      </c>
    </row>
    <row r="1673" customFormat="false" ht="15" hidden="false" customHeight="false" outlineLevel="0" collapsed="false">
      <c r="A1673" s="15" t="s">
        <v>3915</v>
      </c>
      <c r="B1673" s="15" t="s">
        <v>3930</v>
      </c>
      <c r="C1673" s="15" t="s">
        <v>5995</v>
      </c>
      <c r="D1673" s="34" t="n">
        <v>0</v>
      </c>
      <c r="E1673" s="15" t="s">
        <v>6010</v>
      </c>
    </row>
    <row r="1674" customFormat="false" ht="15" hidden="false" customHeight="false" outlineLevel="0" collapsed="false">
      <c r="A1674" s="15" t="s">
        <v>3943</v>
      </c>
      <c r="B1674" s="15" t="s">
        <v>3930</v>
      </c>
      <c r="C1674" s="15" t="s">
        <v>5995</v>
      </c>
      <c r="D1674" s="34" t="n">
        <v>0</v>
      </c>
      <c r="E1674" s="15" t="s">
        <v>6005</v>
      </c>
    </row>
    <row r="1675" customFormat="false" ht="15" hidden="false" customHeight="false" outlineLevel="0" collapsed="false">
      <c r="A1675" s="15" t="s">
        <v>3930</v>
      </c>
      <c r="B1675" s="15" t="s">
        <v>3931</v>
      </c>
      <c r="C1675" s="15" t="s">
        <v>5997</v>
      </c>
      <c r="D1675" s="34" t="n">
        <f aca="false">Activities!M676</f>
        <v>1</v>
      </c>
      <c r="E1675" s="15" t="s">
        <v>5998</v>
      </c>
    </row>
    <row r="1676" customFormat="false" ht="15" hidden="false" customHeight="false" outlineLevel="0" collapsed="false">
      <c r="A1676" s="15" t="s">
        <v>3930</v>
      </c>
      <c r="B1676" s="15" t="s">
        <v>3931</v>
      </c>
      <c r="C1676" s="15" t="s">
        <v>5999</v>
      </c>
      <c r="D1676" s="34" t="n">
        <f aca="false">Activities!N676</f>
        <v>2</v>
      </c>
      <c r="E1676" s="15" t="s">
        <v>5998</v>
      </c>
    </row>
    <row r="1677" customFormat="false" ht="15" hidden="false" customHeight="false" outlineLevel="0" collapsed="false">
      <c r="A1677" s="15" t="s">
        <v>3932</v>
      </c>
      <c r="B1677" s="15" t="s">
        <v>3934</v>
      </c>
      <c r="C1677" s="15" t="s">
        <v>5995</v>
      </c>
      <c r="D1677" s="34" t="n">
        <v>0</v>
      </c>
      <c r="E1677" s="15" t="s">
        <v>5996</v>
      </c>
    </row>
    <row r="1678" customFormat="false" ht="15" hidden="false" customHeight="false" outlineLevel="0" collapsed="false">
      <c r="A1678" s="15" t="s">
        <v>3922</v>
      </c>
      <c r="B1678" s="15" t="s">
        <v>3934</v>
      </c>
      <c r="C1678" s="15" t="s">
        <v>5997</v>
      </c>
      <c r="D1678" s="34" t="n">
        <v>0</v>
      </c>
      <c r="E1678" s="15" t="s">
        <v>6002</v>
      </c>
    </row>
    <row r="1679" customFormat="false" ht="15" hidden="false" customHeight="false" outlineLevel="0" collapsed="false">
      <c r="A1679" s="15" t="s">
        <v>3934</v>
      </c>
      <c r="B1679" s="15" t="s">
        <v>3936</v>
      </c>
      <c r="C1679" s="15" t="s">
        <v>5997</v>
      </c>
      <c r="D1679" s="34" t="n">
        <f aca="false">Activities!M679</f>
        <v>1</v>
      </c>
      <c r="E1679" s="15" t="s">
        <v>5998</v>
      </c>
    </row>
    <row r="1680" customFormat="false" ht="15" hidden="false" customHeight="false" outlineLevel="0" collapsed="false">
      <c r="A1680" s="15" t="s">
        <v>3934</v>
      </c>
      <c r="B1680" s="15" t="s">
        <v>3936</v>
      </c>
      <c r="C1680" s="15" t="s">
        <v>5999</v>
      </c>
      <c r="D1680" s="34" t="n">
        <f aca="false">Activities!N679</f>
        <v>2</v>
      </c>
      <c r="E1680" s="15" t="s">
        <v>5998</v>
      </c>
    </row>
    <row r="1681" customFormat="false" ht="15" hidden="false" customHeight="false" outlineLevel="0" collapsed="false">
      <c r="A1681" s="15" t="s">
        <v>3922</v>
      </c>
      <c r="B1681" s="15" t="s">
        <v>3936</v>
      </c>
      <c r="C1681" s="15" t="s">
        <v>5995</v>
      </c>
      <c r="D1681" s="34" t="n">
        <v>0</v>
      </c>
      <c r="E1681" s="15" t="s">
        <v>6010</v>
      </c>
    </row>
    <row r="1682" customFormat="false" ht="15" hidden="false" customHeight="false" outlineLevel="0" collapsed="false">
      <c r="A1682" s="15" t="s">
        <v>3936</v>
      </c>
      <c r="B1682" s="15" t="s">
        <v>3937</v>
      </c>
      <c r="C1682" s="15" t="s">
        <v>5997</v>
      </c>
      <c r="D1682" s="34" t="n">
        <f aca="false">Activities!M680</f>
        <v>2</v>
      </c>
      <c r="E1682" s="15" t="s">
        <v>5998</v>
      </c>
    </row>
    <row r="1683" customFormat="false" ht="15" hidden="false" customHeight="false" outlineLevel="0" collapsed="false">
      <c r="A1683" s="15" t="s">
        <v>3936</v>
      </c>
      <c r="B1683" s="15" t="s">
        <v>3937</v>
      </c>
      <c r="C1683" s="15" t="s">
        <v>5999</v>
      </c>
      <c r="D1683" s="34" t="n">
        <f aca="false">Activities!N680</f>
        <v>2</v>
      </c>
      <c r="E1683" s="15" t="s">
        <v>5998</v>
      </c>
    </row>
    <row r="1684" customFormat="false" ht="15" hidden="false" customHeight="false" outlineLevel="0" collapsed="false">
      <c r="A1684" s="15" t="s">
        <v>3923</v>
      </c>
      <c r="B1684" s="15" t="s">
        <v>3937</v>
      </c>
      <c r="C1684" s="15" t="s">
        <v>5995</v>
      </c>
      <c r="D1684" s="34" t="n">
        <v>0</v>
      </c>
      <c r="E1684" s="15" t="s">
        <v>6010</v>
      </c>
    </row>
    <row r="1685" customFormat="false" ht="15" hidden="false" customHeight="false" outlineLevel="0" collapsed="false">
      <c r="A1685" s="15" t="s">
        <v>3937</v>
      </c>
      <c r="B1685" s="15" t="s">
        <v>3938</v>
      </c>
      <c r="C1685" s="15" t="s">
        <v>5997</v>
      </c>
      <c r="D1685" s="34" t="n">
        <f aca="false">Activities!M681</f>
        <v>1</v>
      </c>
      <c r="E1685" s="15" t="s">
        <v>5998</v>
      </c>
    </row>
    <row r="1686" customFormat="false" ht="15" hidden="false" customHeight="false" outlineLevel="0" collapsed="false">
      <c r="A1686" s="15" t="s">
        <v>3937</v>
      </c>
      <c r="B1686" s="15" t="s">
        <v>3938</v>
      </c>
      <c r="C1686" s="15" t="s">
        <v>5999</v>
      </c>
      <c r="D1686" s="34" t="n">
        <f aca="false">Activities!N681</f>
        <v>2</v>
      </c>
      <c r="E1686" s="15" t="s">
        <v>5998</v>
      </c>
    </row>
    <row r="1687" customFormat="false" ht="15" hidden="false" customHeight="false" outlineLevel="0" collapsed="false">
      <c r="A1687" s="15" t="s">
        <v>3926</v>
      </c>
      <c r="B1687" s="15" t="s">
        <v>3938</v>
      </c>
      <c r="C1687" s="15" t="s">
        <v>5995</v>
      </c>
      <c r="D1687" s="34" t="n">
        <f aca="false">-Activities!K681</f>
        <v>-10</v>
      </c>
      <c r="E1687" s="15" t="s">
        <v>6004</v>
      </c>
    </row>
    <row r="1688" customFormat="false" ht="15" hidden="false" customHeight="false" outlineLevel="0" collapsed="false">
      <c r="A1688" s="15" t="s">
        <v>3938</v>
      </c>
      <c r="B1688" s="15" t="s">
        <v>3940</v>
      </c>
      <c r="C1688" s="15" t="s">
        <v>5997</v>
      </c>
      <c r="D1688" s="34" t="n">
        <f aca="false">Activities!M682</f>
        <v>10</v>
      </c>
      <c r="E1688" s="15" t="s">
        <v>5998</v>
      </c>
    </row>
    <row r="1689" customFormat="false" ht="15" hidden="false" customHeight="false" outlineLevel="0" collapsed="false">
      <c r="A1689" s="15" t="s">
        <v>3938</v>
      </c>
      <c r="B1689" s="15" t="s">
        <v>3940</v>
      </c>
      <c r="C1689" s="15" t="s">
        <v>5999</v>
      </c>
      <c r="D1689" s="34" t="n">
        <f aca="false">Activities!N682</f>
        <v>2</v>
      </c>
      <c r="E1689" s="15" t="s">
        <v>5998</v>
      </c>
    </row>
    <row r="1690" customFormat="false" ht="15" hidden="false" customHeight="false" outlineLevel="0" collapsed="false">
      <c r="A1690" s="15" t="s">
        <v>3926</v>
      </c>
      <c r="B1690" s="15" t="s">
        <v>3940</v>
      </c>
      <c r="C1690" s="15" t="s">
        <v>5995</v>
      </c>
      <c r="D1690" s="34" t="n">
        <v>0</v>
      </c>
      <c r="E1690" s="15" t="s">
        <v>6010</v>
      </c>
    </row>
    <row r="1691" customFormat="false" ht="15" hidden="false" customHeight="false" outlineLevel="0" collapsed="false">
      <c r="A1691" s="15" t="s">
        <v>3926</v>
      </c>
      <c r="B1691" s="15" t="s">
        <v>3940</v>
      </c>
      <c r="C1691" s="15" t="s">
        <v>5997</v>
      </c>
      <c r="D1691" s="34" t="n">
        <v>0</v>
      </c>
      <c r="E1691" s="15" t="s">
        <v>6006</v>
      </c>
    </row>
    <row r="1692" customFormat="false" ht="15" hidden="false" customHeight="false" outlineLevel="0" collapsed="false">
      <c r="A1692" s="15" t="s">
        <v>3911</v>
      </c>
      <c r="B1692" s="15" t="s">
        <v>3940</v>
      </c>
      <c r="C1692" s="15" t="s">
        <v>5997</v>
      </c>
      <c r="D1692" s="34" t="n">
        <v>0</v>
      </c>
      <c r="E1692" s="15" t="s">
        <v>6006</v>
      </c>
    </row>
    <row r="1693" customFormat="false" ht="15" hidden="false" customHeight="false" outlineLevel="0" collapsed="false">
      <c r="A1693" s="15" t="s">
        <v>3940</v>
      </c>
      <c r="B1693" s="15" t="s">
        <v>3942</v>
      </c>
      <c r="C1693" s="15" t="s">
        <v>5997</v>
      </c>
      <c r="D1693" s="34" t="n">
        <f aca="false">Activities!M683</f>
        <v>1</v>
      </c>
      <c r="E1693" s="15" t="s">
        <v>5998</v>
      </c>
    </row>
    <row r="1694" customFormat="false" ht="15" hidden="false" customHeight="false" outlineLevel="0" collapsed="false">
      <c r="A1694" s="15" t="s">
        <v>3940</v>
      </c>
      <c r="B1694" s="15" t="s">
        <v>3942</v>
      </c>
      <c r="C1694" s="15" t="s">
        <v>5999</v>
      </c>
      <c r="D1694" s="34" t="n">
        <f aca="false">Activities!N683</f>
        <v>2</v>
      </c>
      <c r="E1694" s="15" t="s">
        <v>5998</v>
      </c>
    </row>
    <row r="1695" customFormat="false" ht="15" hidden="false" customHeight="false" outlineLevel="0" collapsed="false">
      <c r="A1695" s="15" t="s">
        <v>3927</v>
      </c>
      <c r="B1695" s="15" t="s">
        <v>3942</v>
      </c>
      <c r="C1695" s="15" t="s">
        <v>5995</v>
      </c>
      <c r="D1695" s="34" t="n">
        <v>0</v>
      </c>
      <c r="E1695" s="15" t="s">
        <v>6010</v>
      </c>
    </row>
    <row r="1696" customFormat="false" ht="15" hidden="false" customHeight="false" outlineLevel="0" collapsed="false">
      <c r="A1696" s="15" t="s">
        <v>3942</v>
      </c>
      <c r="B1696" s="15" t="s">
        <v>3943</v>
      </c>
      <c r="C1696" s="15" t="s">
        <v>5997</v>
      </c>
      <c r="D1696" s="34" t="n">
        <f aca="false">Activities!M684</f>
        <v>2</v>
      </c>
      <c r="E1696" s="15" t="s">
        <v>5998</v>
      </c>
    </row>
    <row r="1697" customFormat="false" ht="15" hidden="false" customHeight="false" outlineLevel="0" collapsed="false">
      <c r="A1697" s="15" t="s">
        <v>3942</v>
      </c>
      <c r="B1697" s="15" t="s">
        <v>3943</v>
      </c>
      <c r="C1697" s="15" t="s">
        <v>5999</v>
      </c>
      <c r="D1697" s="34" t="n">
        <f aca="false">Activities!N684</f>
        <v>2</v>
      </c>
      <c r="E1697" s="15" t="s">
        <v>5998</v>
      </c>
    </row>
    <row r="1698" customFormat="false" ht="15" hidden="false" customHeight="false" outlineLevel="0" collapsed="false">
      <c r="A1698" s="15" t="s">
        <v>3928</v>
      </c>
      <c r="B1698" s="15" t="s">
        <v>3943</v>
      </c>
      <c r="C1698" s="15" t="s">
        <v>5995</v>
      </c>
      <c r="D1698" s="34" t="n">
        <v>0</v>
      </c>
      <c r="E1698" s="15" t="s">
        <v>6010</v>
      </c>
    </row>
    <row r="1699" customFormat="false" ht="15" hidden="false" customHeight="false" outlineLevel="0" collapsed="false">
      <c r="A1699" s="15" t="s">
        <v>3943</v>
      </c>
      <c r="B1699" s="15" t="s">
        <v>3944</v>
      </c>
      <c r="C1699" s="15" t="s">
        <v>5997</v>
      </c>
      <c r="D1699" s="34" t="n">
        <f aca="false">Activities!M685</f>
        <v>2</v>
      </c>
      <c r="E1699" s="15" t="s">
        <v>5998</v>
      </c>
    </row>
    <row r="1700" customFormat="false" ht="15" hidden="false" customHeight="false" outlineLevel="0" collapsed="false">
      <c r="A1700" s="15" t="s">
        <v>3943</v>
      </c>
      <c r="B1700" s="15" t="s">
        <v>3944</v>
      </c>
      <c r="C1700" s="15" t="s">
        <v>5999</v>
      </c>
      <c r="D1700" s="34" t="n">
        <f aca="false">Activities!N685</f>
        <v>2</v>
      </c>
      <c r="E1700" s="15" t="s">
        <v>5998</v>
      </c>
    </row>
    <row r="1701" customFormat="false" ht="15" hidden="false" customHeight="false" outlineLevel="0" collapsed="false">
      <c r="A1701" s="15" t="s">
        <v>3944</v>
      </c>
      <c r="B1701" s="15" t="s">
        <v>3945</v>
      </c>
      <c r="C1701" s="15" t="s">
        <v>5997</v>
      </c>
      <c r="D1701" s="34" t="n">
        <f aca="false">Activities!M686</f>
        <v>2</v>
      </c>
      <c r="E1701" s="15" t="s">
        <v>5998</v>
      </c>
    </row>
    <row r="1702" customFormat="false" ht="15" hidden="false" customHeight="false" outlineLevel="0" collapsed="false">
      <c r="A1702" s="15" t="s">
        <v>3944</v>
      </c>
      <c r="B1702" s="15" t="s">
        <v>3945</v>
      </c>
      <c r="C1702" s="15" t="s">
        <v>5999</v>
      </c>
      <c r="D1702" s="34" t="n">
        <f aca="false">Activities!N686</f>
        <v>2</v>
      </c>
      <c r="E1702" s="15" t="s">
        <v>5998</v>
      </c>
    </row>
    <row r="1703" customFormat="false" ht="15" hidden="false" customHeight="false" outlineLevel="0" collapsed="false">
      <c r="A1703" s="15" t="s">
        <v>3930</v>
      </c>
      <c r="B1703" s="15" t="s">
        <v>3945</v>
      </c>
      <c r="C1703" s="15" t="s">
        <v>5995</v>
      </c>
      <c r="D1703" s="34" t="n">
        <v>0</v>
      </c>
      <c r="E1703" s="15" t="s">
        <v>6010</v>
      </c>
    </row>
    <row r="1704" customFormat="false" ht="15" hidden="false" customHeight="false" outlineLevel="0" collapsed="false">
      <c r="A1704" s="15" t="s">
        <v>3928</v>
      </c>
      <c r="B1704" s="15" t="s">
        <v>3945</v>
      </c>
      <c r="C1704" s="15" t="s">
        <v>5995</v>
      </c>
      <c r="D1704" s="34" t="n">
        <v>0</v>
      </c>
      <c r="E1704" s="15" t="s">
        <v>6005</v>
      </c>
    </row>
    <row r="1705" customFormat="false" ht="15" hidden="false" customHeight="false" outlineLevel="0" collapsed="false">
      <c r="A1705" s="15" t="s">
        <v>3913</v>
      </c>
      <c r="B1705" s="15" t="s">
        <v>3945</v>
      </c>
      <c r="C1705" s="15" t="s">
        <v>5995</v>
      </c>
      <c r="D1705" s="34" t="n">
        <v>0</v>
      </c>
      <c r="E1705" s="15" t="s">
        <v>6005</v>
      </c>
    </row>
    <row r="1706" customFormat="false" ht="15" hidden="false" customHeight="false" outlineLevel="0" collapsed="false">
      <c r="A1706" s="15" t="s">
        <v>3945</v>
      </c>
      <c r="B1706" s="15" t="s">
        <v>3947</v>
      </c>
      <c r="C1706" s="15" t="s">
        <v>5997</v>
      </c>
      <c r="D1706" s="34" t="n">
        <f aca="false">Activities!M687</f>
        <v>1</v>
      </c>
      <c r="E1706" s="15" t="s">
        <v>5998</v>
      </c>
    </row>
    <row r="1707" customFormat="false" ht="15" hidden="false" customHeight="false" outlineLevel="0" collapsed="false">
      <c r="A1707" s="15" t="s">
        <v>3945</v>
      </c>
      <c r="B1707" s="15" t="s">
        <v>3947</v>
      </c>
      <c r="C1707" s="15" t="s">
        <v>5999</v>
      </c>
      <c r="D1707" s="34" t="n">
        <f aca="false">Activities!N687</f>
        <v>2</v>
      </c>
      <c r="E1707" s="15" t="s">
        <v>5998</v>
      </c>
    </row>
    <row r="1708" customFormat="false" ht="15" hidden="false" customHeight="false" outlineLevel="0" collapsed="false">
      <c r="A1708" s="15" t="s">
        <v>3948</v>
      </c>
      <c r="B1708" s="15" t="s">
        <v>3950</v>
      </c>
      <c r="C1708" s="15" t="s">
        <v>5995</v>
      </c>
      <c r="D1708" s="34" t="n">
        <v>0</v>
      </c>
      <c r="E1708" s="15" t="s">
        <v>5996</v>
      </c>
    </row>
    <row r="1709" customFormat="false" ht="15" hidden="false" customHeight="false" outlineLevel="0" collapsed="false">
      <c r="A1709" s="15" t="s">
        <v>3908</v>
      </c>
      <c r="B1709" s="15" t="s">
        <v>3950</v>
      </c>
      <c r="C1709" s="15" t="s">
        <v>5997</v>
      </c>
      <c r="D1709" s="34" t="n">
        <v>0</v>
      </c>
      <c r="E1709" s="15" t="s">
        <v>6000</v>
      </c>
    </row>
    <row r="1710" customFormat="false" ht="15" hidden="false" customHeight="false" outlineLevel="0" collapsed="false">
      <c r="A1710" s="15" t="s">
        <v>3950</v>
      </c>
      <c r="B1710" s="15" t="s">
        <v>3952</v>
      </c>
      <c r="C1710" s="15" t="s">
        <v>5997</v>
      </c>
      <c r="D1710" s="34" t="n">
        <f aca="false">Activities!M690</f>
        <v>1</v>
      </c>
      <c r="E1710" s="15" t="s">
        <v>5998</v>
      </c>
    </row>
    <row r="1711" customFormat="false" ht="15" hidden="false" customHeight="false" outlineLevel="0" collapsed="false">
      <c r="A1711" s="15" t="s">
        <v>3950</v>
      </c>
      <c r="B1711" s="15" t="s">
        <v>3952</v>
      </c>
      <c r="C1711" s="15" t="s">
        <v>5999</v>
      </c>
      <c r="D1711" s="34" t="n">
        <f aca="false">Activities!N690</f>
        <v>2</v>
      </c>
      <c r="E1711" s="15" t="s">
        <v>5998</v>
      </c>
    </row>
    <row r="1712" customFormat="false" ht="15" hidden="false" customHeight="false" outlineLevel="0" collapsed="false">
      <c r="A1712" s="15" t="s">
        <v>3952</v>
      </c>
      <c r="B1712" s="15" t="s">
        <v>3953</v>
      </c>
      <c r="C1712" s="15" t="s">
        <v>5997</v>
      </c>
      <c r="D1712" s="34" t="n">
        <f aca="false">Activities!M691</f>
        <v>2</v>
      </c>
      <c r="E1712" s="15" t="s">
        <v>5998</v>
      </c>
    </row>
    <row r="1713" customFormat="false" ht="15" hidden="false" customHeight="false" outlineLevel="0" collapsed="false">
      <c r="A1713" s="15" t="s">
        <v>3952</v>
      </c>
      <c r="B1713" s="15" t="s">
        <v>3953</v>
      </c>
      <c r="C1713" s="15" t="s">
        <v>5999</v>
      </c>
      <c r="D1713" s="34" t="n">
        <f aca="false">Activities!N691</f>
        <v>2</v>
      </c>
      <c r="E1713" s="15" t="s">
        <v>5998</v>
      </c>
    </row>
    <row r="1714" customFormat="false" ht="15" hidden="false" customHeight="false" outlineLevel="0" collapsed="false">
      <c r="A1714" s="15" t="s">
        <v>3953</v>
      </c>
      <c r="B1714" s="15" t="s">
        <v>3954</v>
      </c>
      <c r="C1714" s="15" t="s">
        <v>5997</v>
      </c>
      <c r="D1714" s="34" t="n">
        <f aca="false">Activities!M692</f>
        <v>1</v>
      </c>
      <c r="E1714" s="15" t="s">
        <v>5998</v>
      </c>
    </row>
    <row r="1715" customFormat="false" ht="15" hidden="false" customHeight="false" outlineLevel="0" collapsed="false">
      <c r="A1715" s="15" t="s">
        <v>3953</v>
      </c>
      <c r="B1715" s="15" t="s">
        <v>3954</v>
      </c>
      <c r="C1715" s="15" t="s">
        <v>5999</v>
      </c>
      <c r="D1715" s="34" t="n">
        <f aca="false">Activities!N692</f>
        <v>2</v>
      </c>
      <c r="E1715" s="15" t="s">
        <v>5998</v>
      </c>
    </row>
    <row r="1716" customFormat="false" ht="15" hidden="false" customHeight="false" outlineLevel="0" collapsed="false">
      <c r="A1716" s="15" t="s">
        <v>3954</v>
      </c>
      <c r="B1716" s="15" t="s">
        <v>3955</v>
      </c>
      <c r="C1716" s="15" t="s">
        <v>5997</v>
      </c>
      <c r="D1716" s="34" t="n">
        <f aca="false">Activities!M693</f>
        <v>10</v>
      </c>
      <c r="E1716" s="15" t="s">
        <v>5998</v>
      </c>
    </row>
    <row r="1717" customFormat="false" ht="15" hidden="false" customHeight="false" outlineLevel="0" collapsed="false">
      <c r="A1717" s="15" t="s">
        <v>3954</v>
      </c>
      <c r="B1717" s="15" t="s">
        <v>3955</v>
      </c>
      <c r="C1717" s="15" t="s">
        <v>5999</v>
      </c>
      <c r="D1717" s="34" t="n">
        <f aca="false">Activities!N693</f>
        <v>2</v>
      </c>
      <c r="E1717" s="15" t="s">
        <v>5998</v>
      </c>
    </row>
    <row r="1718" customFormat="false" ht="15" hidden="false" customHeight="false" outlineLevel="0" collapsed="false">
      <c r="A1718" s="15" t="s">
        <v>3955</v>
      </c>
      <c r="B1718" s="15" t="s">
        <v>3956</v>
      </c>
      <c r="C1718" s="15" t="s">
        <v>5997</v>
      </c>
      <c r="D1718" s="34" t="n">
        <f aca="false">Activities!M694</f>
        <v>1</v>
      </c>
      <c r="E1718" s="15" t="s">
        <v>5998</v>
      </c>
    </row>
    <row r="1719" customFormat="false" ht="15" hidden="false" customHeight="false" outlineLevel="0" collapsed="false">
      <c r="A1719" s="15" t="s">
        <v>3955</v>
      </c>
      <c r="B1719" s="15" t="s">
        <v>3956</v>
      </c>
      <c r="C1719" s="15" t="s">
        <v>5999</v>
      </c>
      <c r="D1719" s="34" t="n">
        <f aca="false">Activities!N694</f>
        <v>2</v>
      </c>
      <c r="E1719" s="15" t="s">
        <v>5998</v>
      </c>
    </row>
    <row r="1720" customFormat="false" ht="15" hidden="false" customHeight="false" outlineLevel="0" collapsed="false">
      <c r="A1720" s="15" t="s">
        <v>3956</v>
      </c>
      <c r="B1720" s="15" t="s">
        <v>3957</v>
      </c>
      <c r="C1720" s="15" t="s">
        <v>5997</v>
      </c>
      <c r="D1720" s="34" t="n">
        <f aca="false">Activities!M695</f>
        <v>2</v>
      </c>
      <c r="E1720" s="15" t="s">
        <v>5998</v>
      </c>
    </row>
    <row r="1721" customFormat="false" ht="15" hidden="false" customHeight="false" outlineLevel="0" collapsed="false">
      <c r="A1721" s="15" t="s">
        <v>3956</v>
      </c>
      <c r="B1721" s="15" t="s">
        <v>3957</v>
      </c>
      <c r="C1721" s="15" t="s">
        <v>5999</v>
      </c>
      <c r="D1721" s="34" t="n">
        <f aca="false">Activities!N695</f>
        <v>2</v>
      </c>
      <c r="E1721" s="15" t="s">
        <v>5998</v>
      </c>
    </row>
    <row r="1722" customFormat="false" ht="15" hidden="false" customHeight="false" outlineLevel="0" collapsed="false">
      <c r="A1722" s="15" t="s">
        <v>3913</v>
      </c>
      <c r="B1722" s="15" t="s">
        <v>3957</v>
      </c>
      <c r="C1722" s="15" t="s">
        <v>5995</v>
      </c>
      <c r="D1722" s="34" t="n">
        <v>0</v>
      </c>
      <c r="E1722" s="15" t="s">
        <v>6001</v>
      </c>
    </row>
    <row r="1723" customFormat="false" ht="15" hidden="false" customHeight="false" outlineLevel="0" collapsed="false">
      <c r="A1723" s="15" t="s">
        <v>3957</v>
      </c>
      <c r="B1723" s="15" t="s">
        <v>3959</v>
      </c>
      <c r="C1723" s="15" t="s">
        <v>5997</v>
      </c>
      <c r="D1723" s="34" t="n">
        <f aca="false">Activities!M696</f>
        <v>2</v>
      </c>
      <c r="E1723" s="15" t="s">
        <v>5998</v>
      </c>
    </row>
    <row r="1724" customFormat="false" ht="15" hidden="false" customHeight="false" outlineLevel="0" collapsed="false">
      <c r="A1724" s="15" t="s">
        <v>3957</v>
      </c>
      <c r="B1724" s="15" t="s">
        <v>3959</v>
      </c>
      <c r="C1724" s="15" t="s">
        <v>5999</v>
      </c>
      <c r="D1724" s="34" t="n">
        <f aca="false">Activities!N696</f>
        <v>2</v>
      </c>
      <c r="E1724" s="15" t="s">
        <v>5998</v>
      </c>
    </row>
    <row r="1725" customFormat="false" ht="15" hidden="false" customHeight="false" outlineLevel="0" collapsed="false">
      <c r="A1725" s="15" t="s">
        <v>3959</v>
      </c>
      <c r="B1725" s="15" t="s">
        <v>3960</v>
      </c>
      <c r="C1725" s="15" t="s">
        <v>5997</v>
      </c>
      <c r="D1725" s="34" t="n">
        <f aca="false">Activities!M697</f>
        <v>2</v>
      </c>
      <c r="E1725" s="15" t="s">
        <v>5998</v>
      </c>
    </row>
    <row r="1726" customFormat="false" ht="15" hidden="false" customHeight="false" outlineLevel="0" collapsed="false">
      <c r="A1726" s="15" t="s">
        <v>3959</v>
      </c>
      <c r="B1726" s="15" t="s">
        <v>3960</v>
      </c>
      <c r="C1726" s="15" t="s">
        <v>5999</v>
      </c>
      <c r="D1726" s="34" t="n">
        <f aca="false">Activities!N697</f>
        <v>2</v>
      </c>
      <c r="E1726" s="15" t="s">
        <v>5998</v>
      </c>
    </row>
    <row r="1727" customFormat="false" ht="15" hidden="false" customHeight="false" outlineLevel="0" collapsed="false">
      <c r="A1727" s="15" t="s">
        <v>3960</v>
      </c>
      <c r="B1727" s="15" t="s">
        <v>3961</v>
      </c>
      <c r="C1727" s="15" t="s">
        <v>5997</v>
      </c>
      <c r="D1727" s="34" t="n">
        <f aca="false">Activities!M698</f>
        <v>1</v>
      </c>
      <c r="E1727" s="15" t="s">
        <v>5998</v>
      </c>
    </row>
    <row r="1728" customFormat="false" ht="15" hidden="false" customHeight="false" outlineLevel="0" collapsed="false">
      <c r="A1728" s="15" t="s">
        <v>3960</v>
      </c>
      <c r="B1728" s="15" t="s">
        <v>3961</v>
      </c>
      <c r="C1728" s="15" t="s">
        <v>5999</v>
      </c>
      <c r="D1728" s="34" t="n">
        <f aca="false">Activities!N698</f>
        <v>2</v>
      </c>
      <c r="E1728" s="15" t="s">
        <v>5998</v>
      </c>
    </row>
    <row r="1729" customFormat="false" ht="15" hidden="false" customHeight="false" outlineLevel="0" collapsed="false">
      <c r="A1729" s="15" t="s">
        <v>3962</v>
      </c>
      <c r="B1729" s="15" t="s">
        <v>3964</v>
      </c>
      <c r="C1729" s="15" t="s">
        <v>5995</v>
      </c>
      <c r="D1729" s="34" t="n">
        <v>0</v>
      </c>
      <c r="E1729" s="15" t="s">
        <v>5996</v>
      </c>
    </row>
    <row r="1730" customFormat="false" ht="15" hidden="false" customHeight="false" outlineLevel="0" collapsed="false">
      <c r="A1730" s="15" t="s">
        <v>3936</v>
      </c>
      <c r="B1730" s="15" t="s">
        <v>3964</v>
      </c>
      <c r="C1730" s="15" t="s">
        <v>5997</v>
      </c>
      <c r="D1730" s="34" t="n">
        <v>0</v>
      </c>
      <c r="E1730" s="15" t="s">
        <v>6002</v>
      </c>
    </row>
    <row r="1731" customFormat="false" ht="15" hidden="false" customHeight="false" outlineLevel="0" collapsed="false">
      <c r="A1731" s="15" t="s">
        <v>3964</v>
      </c>
      <c r="B1731" s="15" t="s">
        <v>3966</v>
      </c>
      <c r="C1731" s="15" t="s">
        <v>5997</v>
      </c>
      <c r="D1731" s="34" t="n">
        <f aca="false">Activities!M701</f>
        <v>1</v>
      </c>
      <c r="E1731" s="15" t="s">
        <v>5998</v>
      </c>
    </row>
    <row r="1732" customFormat="false" ht="15" hidden="false" customHeight="false" outlineLevel="0" collapsed="false">
      <c r="A1732" s="15" t="s">
        <v>3964</v>
      </c>
      <c r="B1732" s="15" t="s">
        <v>3966</v>
      </c>
      <c r="C1732" s="15" t="s">
        <v>5999</v>
      </c>
      <c r="D1732" s="34" t="n">
        <f aca="false">Activities!N701</f>
        <v>2</v>
      </c>
      <c r="E1732" s="15" t="s">
        <v>5998</v>
      </c>
    </row>
    <row r="1733" customFormat="false" ht="15" hidden="false" customHeight="false" outlineLevel="0" collapsed="false">
      <c r="A1733" s="15" t="s">
        <v>3936</v>
      </c>
      <c r="B1733" s="15" t="s">
        <v>3966</v>
      </c>
      <c r="C1733" s="15" t="s">
        <v>5995</v>
      </c>
      <c r="D1733" s="34" t="n">
        <v>0</v>
      </c>
      <c r="E1733" s="15" t="s">
        <v>6010</v>
      </c>
    </row>
    <row r="1734" customFormat="false" ht="15" hidden="false" customHeight="false" outlineLevel="0" collapsed="false">
      <c r="A1734" s="15" t="s">
        <v>3966</v>
      </c>
      <c r="B1734" s="15" t="s">
        <v>3967</v>
      </c>
      <c r="C1734" s="15" t="s">
        <v>5997</v>
      </c>
      <c r="D1734" s="34" t="n">
        <f aca="false">Activities!M702</f>
        <v>4</v>
      </c>
      <c r="E1734" s="15" t="s">
        <v>5998</v>
      </c>
    </row>
    <row r="1735" customFormat="false" ht="15" hidden="false" customHeight="false" outlineLevel="0" collapsed="false">
      <c r="A1735" s="15" t="s">
        <v>3966</v>
      </c>
      <c r="B1735" s="15" t="s">
        <v>3967</v>
      </c>
      <c r="C1735" s="15" t="s">
        <v>5999</v>
      </c>
      <c r="D1735" s="34" t="n">
        <f aca="false">Activities!N702</f>
        <v>2</v>
      </c>
      <c r="E1735" s="15" t="s">
        <v>5998</v>
      </c>
    </row>
    <row r="1736" customFormat="false" ht="15" hidden="false" customHeight="false" outlineLevel="0" collapsed="false">
      <c r="A1736" s="15" t="s">
        <v>3937</v>
      </c>
      <c r="B1736" s="15" t="s">
        <v>3967</v>
      </c>
      <c r="C1736" s="15" t="s">
        <v>5995</v>
      </c>
      <c r="D1736" s="34" t="n">
        <v>0</v>
      </c>
      <c r="E1736" s="15" t="s">
        <v>6010</v>
      </c>
    </row>
    <row r="1737" customFormat="false" ht="15" hidden="false" customHeight="false" outlineLevel="0" collapsed="false">
      <c r="A1737" s="15" t="s">
        <v>3967</v>
      </c>
      <c r="B1737" s="15" t="s">
        <v>3968</v>
      </c>
      <c r="C1737" s="15" t="s">
        <v>5997</v>
      </c>
      <c r="D1737" s="34" t="n">
        <f aca="false">Activities!M703</f>
        <v>2</v>
      </c>
      <c r="E1737" s="15" t="s">
        <v>5998</v>
      </c>
    </row>
    <row r="1738" customFormat="false" ht="15" hidden="false" customHeight="false" outlineLevel="0" collapsed="false">
      <c r="A1738" s="15" t="s">
        <v>3967</v>
      </c>
      <c r="B1738" s="15" t="s">
        <v>3968</v>
      </c>
      <c r="C1738" s="15" t="s">
        <v>5999</v>
      </c>
      <c r="D1738" s="34" t="n">
        <f aca="false">Activities!N703</f>
        <v>2</v>
      </c>
      <c r="E1738" s="15" t="s">
        <v>5998</v>
      </c>
    </row>
    <row r="1739" customFormat="false" ht="15" hidden="false" customHeight="false" outlineLevel="0" collapsed="false">
      <c r="A1739" s="15" t="s">
        <v>3940</v>
      </c>
      <c r="B1739" s="15" t="s">
        <v>3968</v>
      </c>
      <c r="C1739" s="15" t="s">
        <v>5995</v>
      </c>
      <c r="D1739" s="34" t="n">
        <f aca="false">-Activities!K703</f>
        <v>-11</v>
      </c>
      <c r="E1739" s="15" t="s">
        <v>6004</v>
      </c>
    </row>
    <row r="1740" customFormat="false" ht="15" hidden="false" customHeight="false" outlineLevel="0" collapsed="false">
      <c r="A1740" s="15" t="s">
        <v>3968</v>
      </c>
      <c r="B1740" s="15" t="s">
        <v>3970</v>
      </c>
      <c r="C1740" s="15" t="s">
        <v>5997</v>
      </c>
      <c r="D1740" s="34" t="n">
        <f aca="false">Activities!M704</f>
        <v>10</v>
      </c>
      <c r="E1740" s="15" t="s">
        <v>5998</v>
      </c>
    </row>
    <row r="1741" customFormat="false" ht="15" hidden="false" customHeight="false" outlineLevel="0" collapsed="false">
      <c r="A1741" s="15" t="s">
        <v>3968</v>
      </c>
      <c r="B1741" s="15" t="s">
        <v>3970</v>
      </c>
      <c r="C1741" s="15" t="s">
        <v>5999</v>
      </c>
      <c r="D1741" s="34" t="n">
        <f aca="false">Activities!N704</f>
        <v>2</v>
      </c>
      <c r="E1741" s="15" t="s">
        <v>5998</v>
      </c>
    </row>
    <row r="1742" customFormat="false" ht="15" hidden="false" customHeight="false" outlineLevel="0" collapsed="false">
      <c r="A1742" s="15" t="s">
        <v>3940</v>
      </c>
      <c r="B1742" s="15" t="s">
        <v>3970</v>
      </c>
      <c r="C1742" s="15" t="s">
        <v>5995</v>
      </c>
      <c r="D1742" s="34" t="n">
        <v>0</v>
      </c>
      <c r="E1742" s="15" t="s">
        <v>6010</v>
      </c>
    </row>
    <row r="1743" customFormat="false" ht="15" hidden="false" customHeight="false" outlineLevel="0" collapsed="false">
      <c r="A1743" s="15" t="s">
        <v>3970</v>
      </c>
      <c r="B1743" s="15" t="s">
        <v>3971</v>
      </c>
      <c r="C1743" s="15" t="s">
        <v>5997</v>
      </c>
      <c r="D1743" s="34" t="n">
        <f aca="false">Activities!M705</f>
        <v>2</v>
      </c>
      <c r="E1743" s="15" t="s">
        <v>5998</v>
      </c>
    </row>
    <row r="1744" customFormat="false" ht="15" hidden="false" customHeight="false" outlineLevel="0" collapsed="false">
      <c r="A1744" s="15" t="s">
        <v>3970</v>
      </c>
      <c r="B1744" s="15" t="s">
        <v>3971</v>
      </c>
      <c r="C1744" s="15" t="s">
        <v>5999</v>
      </c>
      <c r="D1744" s="34" t="n">
        <f aca="false">Activities!N705</f>
        <v>2</v>
      </c>
      <c r="E1744" s="15" t="s">
        <v>5998</v>
      </c>
    </row>
    <row r="1745" customFormat="false" ht="15" hidden="false" customHeight="false" outlineLevel="0" collapsed="false">
      <c r="A1745" s="15" t="s">
        <v>3942</v>
      </c>
      <c r="B1745" s="15" t="s">
        <v>3971</v>
      </c>
      <c r="C1745" s="15" t="s">
        <v>5995</v>
      </c>
      <c r="D1745" s="34" t="n">
        <v>0</v>
      </c>
      <c r="E1745" s="15" t="s">
        <v>6010</v>
      </c>
    </row>
    <row r="1746" customFormat="false" ht="15" hidden="false" customHeight="false" outlineLevel="0" collapsed="false">
      <c r="A1746" s="15" t="s">
        <v>3971</v>
      </c>
      <c r="B1746" s="15" t="s">
        <v>3972</v>
      </c>
      <c r="C1746" s="15" t="s">
        <v>5997</v>
      </c>
      <c r="D1746" s="34" t="n">
        <f aca="false">Activities!M706</f>
        <v>3</v>
      </c>
      <c r="E1746" s="15" t="s">
        <v>5998</v>
      </c>
    </row>
    <row r="1747" customFormat="false" ht="15" hidden="false" customHeight="false" outlineLevel="0" collapsed="false">
      <c r="A1747" s="15" t="s">
        <v>3971</v>
      </c>
      <c r="B1747" s="15" t="s">
        <v>3972</v>
      </c>
      <c r="C1747" s="15" t="s">
        <v>5999</v>
      </c>
      <c r="D1747" s="34" t="n">
        <f aca="false">Activities!N706</f>
        <v>2</v>
      </c>
      <c r="E1747" s="15" t="s">
        <v>5998</v>
      </c>
    </row>
    <row r="1748" customFormat="false" ht="15" hidden="false" customHeight="false" outlineLevel="0" collapsed="false">
      <c r="A1748" s="15" t="s">
        <v>3943</v>
      </c>
      <c r="B1748" s="15" t="s">
        <v>3972</v>
      </c>
      <c r="C1748" s="15" t="s">
        <v>5995</v>
      </c>
      <c r="D1748" s="34" t="n">
        <v>0</v>
      </c>
      <c r="E1748" s="15" t="s">
        <v>6010</v>
      </c>
    </row>
    <row r="1749" customFormat="false" ht="15" hidden="false" customHeight="false" outlineLevel="0" collapsed="false">
      <c r="A1749" s="15" t="s">
        <v>3972</v>
      </c>
      <c r="B1749" s="15" t="s">
        <v>3973</v>
      </c>
      <c r="C1749" s="15" t="s">
        <v>5997</v>
      </c>
      <c r="D1749" s="34" t="n">
        <f aca="false">Activities!M707</f>
        <v>2</v>
      </c>
      <c r="E1749" s="15" t="s">
        <v>5998</v>
      </c>
    </row>
    <row r="1750" customFormat="false" ht="15" hidden="false" customHeight="false" outlineLevel="0" collapsed="false">
      <c r="A1750" s="15" t="s">
        <v>3972</v>
      </c>
      <c r="B1750" s="15" t="s">
        <v>3973</v>
      </c>
      <c r="C1750" s="15" t="s">
        <v>5999</v>
      </c>
      <c r="D1750" s="34" t="n">
        <f aca="false">Activities!N707</f>
        <v>2</v>
      </c>
      <c r="E1750" s="15" t="s">
        <v>5998</v>
      </c>
    </row>
    <row r="1751" customFormat="false" ht="15" hidden="false" customHeight="false" outlineLevel="0" collapsed="false">
      <c r="A1751" s="15" t="s">
        <v>3973</v>
      </c>
      <c r="B1751" s="15" t="s">
        <v>3974</v>
      </c>
      <c r="C1751" s="15" t="s">
        <v>5997</v>
      </c>
      <c r="D1751" s="34" t="n">
        <f aca="false">Activities!M708</f>
        <v>2</v>
      </c>
      <c r="E1751" s="15" t="s">
        <v>5998</v>
      </c>
    </row>
    <row r="1752" customFormat="false" ht="15" hidden="false" customHeight="false" outlineLevel="0" collapsed="false">
      <c r="A1752" s="15" t="s">
        <v>3973</v>
      </c>
      <c r="B1752" s="15" t="s">
        <v>3974</v>
      </c>
      <c r="C1752" s="15" t="s">
        <v>5999</v>
      </c>
      <c r="D1752" s="34" t="n">
        <f aca="false">Activities!N708</f>
        <v>2</v>
      </c>
      <c r="E1752" s="15" t="s">
        <v>5998</v>
      </c>
    </row>
    <row r="1753" customFormat="false" ht="15" hidden="false" customHeight="false" outlineLevel="0" collapsed="false">
      <c r="A1753" s="15" t="s">
        <v>3945</v>
      </c>
      <c r="B1753" s="15" t="s">
        <v>3974</v>
      </c>
      <c r="C1753" s="15" t="s">
        <v>5995</v>
      </c>
      <c r="D1753" s="34" t="n">
        <v>0</v>
      </c>
      <c r="E1753" s="15" t="s">
        <v>6010</v>
      </c>
    </row>
    <row r="1754" customFormat="false" ht="15" hidden="false" customHeight="false" outlineLevel="0" collapsed="false">
      <c r="A1754" s="15" t="s">
        <v>3974</v>
      </c>
      <c r="B1754" s="15" t="s">
        <v>3975</v>
      </c>
      <c r="C1754" s="15" t="s">
        <v>5997</v>
      </c>
      <c r="D1754" s="34" t="n">
        <f aca="false">Activities!M709</f>
        <v>2</v>
      </c>
      <c r="E1754" s="15" t="s">
        <v>5998</v>
      </c>
    </row>
    <row r="1755" customFormat="false" ht="15" hidden="false" customHeight="false" outlineLevel="0" collapsed="false">
      <c r="A1755" s="15" t="s">
        <v>3974</v>
      </c>
      <c r="B1755" s="15" t="s">
        <v>3975</v>
      </c>
      <c r="C1755" s="15" t="s">
        <v>5999</v>
      </c>
      <c r="D1755" s="34" t="n">
        <f aca="false">Activities!N709</f>
        <v>2</v>
      </c>
      <c r="E1755" s="15" t="s">
        <v>5998</v>
      </c>
    </row>
    <row r="1756" customFormat="false" ht="15" hidden="false" customHeight="false" outlineLevel="0" collapsed="false">
      <c r="A1756" s="15" t="s">
        <v>3976</v>
      </c>
      <c r="B1756" s="15" t="s">
        <v>3978</v>
      </c>
      <c r="C1756" s="15" t="s">
        <v>5995</v>
      </c>
      <c r="D1756" s="34" t="n">
        <v>0</v>
      </c>
      <c r="E1756" s="15" t="s">
        <v>5996</v>
      </c>
    </row>
    <row r="1757" customFormat="false" ht="15" hidden="false" customHeight="false" outlineLevel="0" collapsed="false">
      <c r="A1757" s="15" t="s">
        <v>3966</v>
      </c>
      <c r="B1757" s="15" t="s">
        <v>3978</v>
      </c>
      <c r="C1757" s="15" t="s">
        <v>5997</v>
      </c>
      <c r="D1757" s="34" t="n">
        <v>0</v>
      </c>
      <c r="E1757" s="15" t="s">
        <v>6002</v>
      </c>
    </row>
    <row r="1758" customFormat="false" ht="15" hidden="false" customHeight="false" outlineLevel="0" collapsed="false">
      <c r="A1758" s="15" t="s">
        <v>3978</v>
      </c>
      <c r="B1758" s="15" t="s">
        <v>3980</v>
      </c>
      <c r="C1758" s="15" t="s">
        <v>5997</v>
      </c>
      <c r="D1758" s="34" t="n">
        <f aca="false">Activities!M712</f>
        <v>1</v>
      </c>
      <c r="E1758" s="15" t="s">
        <v>5998</v>
      </c>
    </row>
    <row r="1759" customFormat="false" ht="15" hidden="false" customHeight="false" outlineLevel="0" collapsed="false">
      <c r="A1759" s="15" t="s">
        <v>3978</v>
      </c>
      <c r="B1759" s="15" t="s">
        <v>3980</v>
      </c>
      <c r="C1759" s="15" t="s">
        <v>5999</v>
      </c>
      <c r="D1759" s="34" t="n">
        <f aca="false">Activities!N712</f>
        <v>2</v>
      </c>
      <c r="E1759" s="15" t="s">
        <v>5998</v>
      </c>
    </row>
    <row r="1760" customFormat="false" ht="15" hidden="false" customHeight="false" outlineLevel="0" collapsed="false">
      <c r="A1760" s="15" t="s">
        <v>3966</v>
      </c>
      <c r="B1760" s="15" t="s">
        <v>3980</v>
      </c>
      <c r="C1760" s="15" t="s">
        <v>5995</v>
      </c>
      <c r="D1760" s="34" t="n">
        <v>0</v>
      </c>
      <c r="E1760" s="15" t="s">
        <v>6010</v>
      </c>
    </row>
    <row r="1761" customFormat="false" ht="15" hidden="false" customHeight="false" outlineLevel="0" collapsed="false">
      <c r="A1761" s="15" t="s">
        <v>3980</v>
      </c>
      <c r="B1761" s="15" t="s">
        <v>3981</v>
      </c>
      <c r="C1761" s="15" t="s">
        <v>5997</v>
      </c>
      <c r="D1761" s="34" t="n">
        <f aca="false">Activities!M713</f>
        <v>2</v>
      </c>
      <c r="E1761" s="15" t="s">
        <v>5998</v>
      </c>
    </row>
    <row r="1762" customFormat="false" ht="15" hidden="false" customHeight="false" outlineLevel="0" collapsed="false">
      <c r="A1762" s="15" t="s">
        <v>3980</v>
      </c>
      <c r="B1762" s="15" t="s">
        <v>3981</v>
      </c>
      <c r="C1762" s="15" t="s">
        <v>5999</v>
      </c>
      <c r="D1762" s="34" t="n">
        <f aca="false">Activities!N713</f>
        <v>2</v>
      </c>
      <c r="E1762" s="15" t="s">
        <v>5998</v>
      </c>
    </row>
    <row r="1763" customFormat="false" ht="15" hidden="false" customHeight="false" outlineLevel="0" collapsed="false">
      <c r="A1763" s="15" t="s">
        <v>3967</v>
      </c>
      <c r="B1763" s="15" t="s">
        <v>3981</v>
      </c>
      <c r="C1763" s="15" t="s">
        <v>5995</v>
      </c>
      <c r="D1763" s="34" t="n">
        <v>0</v>
      </c>
      <c r="E1763" s="15" t="s">
        <v>6010</v>
      </c>
    </row>
    <row r="1764" customFormat="false" ht="15" hidden="false" customHeight="false" outlineLevel="0" collapsed="false">
      <c r="A1764" s="15" t="s">
        <v>3981</v>
      </c>
      <c r="B1764" s="15" t="s">
        <v>3982</v>
      </c>
      <c r="C1764" s="15" t="s">
        <v>5997</v>
      </c>
      <c r="D1764" s="34" t="n">
        <f aca="false">Activities!M714</f>
        <v>1</v>
      </c>
      <c r="E1764" s="15" t="s">
        <v>5998</v>
      </c>
    </row>
    <row r="1765" customFormat="false" ht="15" hidden="false" customHeight="false" outlineLevel="0" collapsed="false">
      <c r="A1765" s="15" t="s">
        <v>3981</v>
      </c>
      <c r="B1765" s="15" t="s">
        <v>3982</v>
      </c>
      <c r="C1765" s="15" t="s">
        <v>5999</v>
      </c>
      <c r="D1765" s="34" t="n">
        <f aca="false">Activities!N714</f>
        <v>2</v>
      </c>
      <c r="E1765" s="15" t="s">
        <v>5998</v>
      </c>
    </row>
    <row r="1766" customFormat="false" ht="15" hidden="false" customHeight="false" outlineLevel="0" collapsed="false">
      <c r="A1766" s="15" t="s">
        <v>3970</v>
      </c>
      <c r="B1766" s="15" t="s">
        <v>3982</v>
      </c>
      <c r="C1766" s="15" t="s">
        <v>5995</v>
      </c>
      <c r="D1766" s="34" t="n">
        <f aca="false">-Activities!K714</f>
        <v>-10</v>
      </c>
      <c r="E1766" s="15" t="s">
        <v>6004</v>
      </c>
    </row>
    <row r="1767" customFormat="false" ht="15" hidden="false" customHeight="false" outlineLevel="0" collapsed="false">
      <c r="A1767" s="15" t="s">
        <v>3982</v>
      </c>
      <c r="B1767" s="15" t="s">
        <v>3984</v>
      </c>
      <c r="C1767" s="15" t="s">
        <v>5997</v>
      </c>
      <c r="D1767" s="34" t="n">
        <f aca="false">Activities!M715</f>
        <v>10</v>
      </c>
      <c r="E1767" s="15" t="s">
        <v>5998</v>
      </c>
    </row>
    <row r="1768" customFormat="false" ht="15" hidden="false" customHeight="false" outlineLevel="0" collapsed="false">
      <c r="A1768" s="15" t="s">
        <v>3982</v>
      </c>
      <c r="B1768" s="15" t="s">
        <v>3984</v>
      </c>
      <c r="C1768" s="15" t="s">
        <v>5999</v>
      </c>
      <c r="D1768" s="34" t="n">
        <f aca="false">Activities!N715</f>
        <v>2</v>
      </c>
      <c r="E1768" s="15" t="s">
        <v>5998</v>
      </c>
    </row>
    <row r="1769" customFormat="false" ht="15" hidden="false" customHeight="false" outlineLevel="0" collapsed="false">
      <c r="A1769" s="15" t="s">
        <v>3970</v>
      </c>
      <c r="B1769" s="15" t="s">
        <v>3984</v>
      </c>
      <c r="C1769" s="15" t="s">
        <v>5995</v>
      </c>
      <c r="D1769" s="34" t="n">
        <v>0</v>
      </c>
      <c r="E1769" s="15" t="s">
        <v>6010</v>
      </c>
    </row>
    <row r="1770" customFormat="false" ht="15" hidden="false" customHeight="false" outlineLevel="0" collapsed="false">
      <c r="A1770" s="15" t="s">
        <v>3984</v>
      </c>
      <c r="B1770" s="15" t="s">
        <v>3985</v>
      </c>
      <c r="C1770" s="15" t="s">
        <v>5997</v>
      </c>
      <c r="D1770" s="34" t="n">
        <f aca="false">Activities!M716</f>
        <v>1</v>
      </c>
      <c r="E1770" s="15" t="s">
        <v>5998</v>
      </c>
    </row>
    <row r="1771" customFormat="false" ht="15" hidden="false" customHeight="false" outlineLevel="0" collapsed="false">
      <c r="A1771" s="15" t="s">
        <v>3984</v>
      </c>
      <c r="B1771" s="15" t="s">
        <v>3985</v>
      </c>
      <c r="C1771" s="15" t="s">
        <v>5999</v>
      </c>
      <c r="D1771" s="34" t="n">
        <f aca="false">Activities!N716</f>
        <v>2</v>
      </c>
      <c r="E1771" s="15" t="s">
        <v>5998</v>
      </c>
    </row>
    <row r="1772" customFormat="false" ht="15" hidden="false" customHeight="false" outlineLevel="0" collapsed="false">
      <c r="A1772" s="15" t="s">
        <v>3971</v>
      </c>
      <c r="B1772" s="15" t="s">
        <v>3985</v>
      </c>
      <c r="C1772" s="15" t="s">
        <v>5995</v>
      </c>
      <c r="D1772" s="34" t="n">
        <v>0</v>
      </c>
      <c r="E1772" s="15" t="s">
        <v>6010</v>
      </c>
    </row>
    <row r="1773" customFormat="false" ht="15" hidden="false" customHeight="false" outlineLevel="0" collapsed="false">
      <c r="A1773" s="15" t="s">
        <v>3985</v>
      </c>
      <c r="B1773" s="15" t="s">
        <v>3986</v>
      </c>
      <c r="C1773" s="15" t="s">
        <v>5997</v>
      </c>
      <c r="D1773" s="34" t="n">
        <f aca="false">Activities!M717</f>
        <v>2</v>
      </c>
      <c r="E1773" s="15" t="s">
        <v>5998</v>
      </c>
    </row>
    <row r="1774" customFormat="false" ht="15" hidden="false" customHeight="false" outlineLevel="0" collapsed="false">
      <c r="A1774" s="15" t="s">
        <v>3985</v>
      </c>
      <c r="B1774" s="15" t="s">
        <v>3986</v>
      </c>
      <c r="C1774" s="15" t="s">
        <v>5999</v>
      </c>
      <c r="D1774" s="34" t="n">
        <f aca="false">Activities!N717</f>
        <v>2</v>
      </c>
      <c r="E1774" s="15" t="s">
        <v>5998</v>
      </c>
    </row>
    <row r="1775" customFormat="false" ht="15" hidden="false" customHeight="false" outlineLevel="0" collapsed="false">
      <c r="A1775" s="15" t="s">
        <v>3972</v>
      </c>
      <c r="B1775" s="15" t="s">
        <v>3986</v>
      </c>
      <c r="C1775" s="15" t="s">
        <v>5995</v>
      </c>
      <c r="D1775" s="34" t="n">
        <v>0</v>
      </c>
      <c r="E1775" s="15" t="s">
        <v>6010</v>
      </c>
    </row>
    <row r="1776" customFormat="false" ht="15" hidden="false" customHeight="false" outlineLevel="0" collapsed="false">
      <c r="A1776" s="15" t="s">
        <v>3986</v>
      </c>
      <c r="B1776" s="15" t="s">
        <v>3987</v>
      </c>
      <c r="C1776" s="15" t="s">
        <v>5997</v>
      </c>
      <c r="D1776" s="34" t="n">
        <f aca="false">Activities!M718</f>
        <v>1</v>
      </c>
      <c r="E1776" s="15" t="s">
        <v>5998</v>
      </c>
    </row>
    <row r="1777" customFormat="false" ht="15" hidden="false" customHeight="false" outlineLevel="0" collapsed="false">
      <c r="A1777" s="15" t="s">
        <v>3986</v>
      </c>
      <c r="B1777" s="15" t="s">
        <v>3987</v>
      </c>
      <c r="C1777" s="15" t="s">
        <v>5999</v>
      </c>
      <c r="D1777" s="34" t="n">
        <f aca="false">Activities!N718</f>
        <v>2</v>
      </c>
      <c r="E1777" s="15" t="s">
        <v>5998</v>
      </c>
    </row>
    <row r="1778" customFormat="false" ht="15" hidden="false" customHeight="false" outlineLevel="0" collapsed="false">
      <c r="A1778" s="15" t="s">
        <v>3987</v>
      </c>
      <c r="B1778" s="15" t="s">
        <v>3988</v>
      </c>
      <c r="C1778" s="15" t="s">
        <v>5997</v>
      </c>
      <c r="D1778" s="34" t="n">
        <f aca="false">Activities!M719</f>
        <v>2</v>
      </c>
      <c r="E1778" s="15" t="s">
        <v>5998</v>
      </c>
    </row>
    <row r="1779" customFormat="false" ht="15" hidden="false" customHeight="false" outlineLevel="0" collapsed="false">
      <c r="A1779" s="15" t="s">
        <v>3987</v>
      </c>
      <c r="B1779" s="15" t="s">
        <v>3988</v>
      </c>
      <c r="C1779" s="15" t="s">
        <v>5999</v>
      </c>
      <c r="D1779" s="34" t="n">
        <f aca="false">Activities!N719</f>
        <v>2</v>
      </c>
      <c r="E1779" s="15" t="s">
        <v>5998</v>
      </c>
    </row>
    <row r="1780" customFormat="false" ht="15" hidden="false" customHeight="false" outlineLevel="0" collapsed="false">
      <c r="A1780" s="15" t="s">
        <v>3974</v>
      </c>
      <c r="B1780" s="15" t="s">
        <v>3988</v>
      </c>
      <c r="C1780" s="15" t="s">
        <v>5995</v>
      </c>
      <c r="D1780" s="34" t="n">
        <v>0</v>
      </c>
      <c r="E1780" s="15" t="s">
        <v>6010</v>
      </c>
    </row>
    <row r="1781" customFormat="false" ht="15" hidden="false" customHeight="false" outlineLevel="0" collapsed="false">
      <c r="A1781" s="15" t="s">
        <v>3988</v>
      </c>
      <c r="B1781" s="15" t="s">
        <v>3989</v>
      </c>
      <c r="C1781" s="15" t="s">
        <v>5997</v>
      </c>
      <c r="D1781" s="34" t="n">
        <f aca="false">Activities!M720</f>
        <v>1</v>
      </c>
      <c r="E1781" s="15" t="s">
        <v>5998</v>
      </c>
    </row>
    <row r="1782" customFormat="false" ht="15" hidden="false" customHeight="false" outlineLevel="0" collapsed="false">
      <c r="A1782" s="15" t="s">
        <v>3988</v>
      </c>
      <c r="B1782" s="15" t="s">
        <v>3989</v>
      </c>
      <c r="C1782" s="15" t="s">
        <v>5999</v>
      </c>
      <c r="D1782" s="34" t="n">
        <f aca="false">Activities!N720</f>
        <v>2</v>
      </c>
      <c r="E1782" s="15" t="s">
        <v>5998</v>
      </c>
    </row>
    <row r="1783" customFormat="false" ht="15" hidden="false" customHeight="false" outlineLevel="0" collapsed="false">
      <c r="A1783" s="15" t="s">
        <v>3990</v>
      </c>
      <c r="B1783" s="15" t="s">
        <v>3992</v>
      </c>
      <c r="C1783" s="15" t="s">
        <v>5995</v>
      </c>
      <c r="D1783" s="34" t="n">
        <v>0</v>
      </c>
      <c r="E1783" s="15" t="s">
        <v>5996</v>
      </c>
    </row>
    <row r="1784" customFormat="false" ht="15" hidden="false" customHeight="false" outlineLevel="0" collapsed="false">
      <c r="A1784" s="15" t="s">
        <v>3980</v>
      </c>
      <c r="B1784" s="15" t="s">
        <v>3992</v>
      </c>
      <c r="C1784" s="15" t="s">
        <v>5997</v>
      </c>
      <c r="D1784" s="34" t="n">
        <v>0</v>
      </c>
      <c r="E1784" s="15" t="s">
        <v>6002</v>
      </c>
    </row>
    <row r="1785" customFormat="false" ht="15" hidden="false" customHeight="false" outlineLevel="0" collapsed="false">
      <c r="A1785" s="15" t="s">
        <v>3992</v>
      </c>
      <c r="B1785" s="15" t="s">
        <v>3994</v>
      </c>
      <c r="C1785" s="15" t="s">
        <v>5997</v>
      </c>
      <c r="D1785" s="34" t="n">
        <f aca="false">Activities!M723</f>
        <v>1</v>
      </c>
      <c r="E1785" s="15" t="s">
        <v>5998</v>
      </c>
    </row>
    <row r="1786" customFormat="false" ht="15" hidden="false" customHeight="false" outlineLevel="0" collapsed="false">
      <c r="A1786" s="15" t="s">
        <v>3992</v>
      </c>
      <c r="B1786" s="15" t="s">
        <v>3994</v>
      </c>
      <c r="C1786" s="15" t="s">
        <v>5999</v>
      </c>
      <c r="D1786" s="34" t="n">
        <f aca="false">Activities!N723</f>
        <v>2</v>
      </c>
      <c r="E1786" s="15" t="s">
        <v>5998</v>
      </c>
    </row>
    <row r="1787" customFormat="false" ht="15" hidden="false" customHeight="false" outlineLevel="0" collapsed="false">
      <c r="A1787" s="15" t="s">
        <v>3980</v>
      </c>
      <c r="B1787" s="15" t="s">
        <v>3994</v>
      </c>
      <c r="C1787" s="15" t="s">
        <v>5995</v>
      </c>
      <c r="D1787" s="34" t="n">
        <v>0</v>
      </c>
      <c r="E1787" s="15" t="s">
        <v>6010</v>
      </c>
    </row>
    <row r="1788" customFormat="false" ht="15" hidden="false" customHeight="false" outlineLevel="0" collapsed="false">
      <c r="A1788" s="15" t="s">
        <v>3994</v>
      </c>
      <c r="B1788" s="15" t="s">
        <v>3995</v>
      </c>
      <c r="C1788" s="15" t="s">
        <v>5997</v>
      </c>
      <c r="D1788" s="34" t="n">
        <f aca="false">Activities!M724</f>
        <v>3</v>
      </c>
      <c r="E1788" s="15" t="s">
        <v>5998</v>
      </c>
    </row>
    <row r="1789" customFormat="false" ht="15" hidden="false" customHeight="false" outlineLevel="0" collapsed="false">
      <c r="A1789" s="15" t="s">
        <v>3994</v>
      </c>
      <c r="B1789" s="15" t="s">
        <v>3995</v>
      </c>
      <c r="C1789" s="15" t="s">
        <v>5999</v>
      </c>
      <c r="D1789" s="34" t="n">
        <f aca="false">Activities!N724</f>
        <v>2</v>
      </c>
      <c r="E1789" s="15" t="s">
        <v>5998</v>
      </c>
    </row>
    <row r="1790" customFormat="false" ht="15" hidden="false" customHeight="false" outlineLevel="0" collapsed="false">
      <c r="A1790" s="15" t="s">
        <v>3981</v>
      </c>
      <c r="B1790" s="15" t="s">
        <v>3995</v>
      </c>
      <c r="C1790" s="15" t="s">
        <v>5995</v>
      </c>
      <c r="D1790" s="34" t="n">
        <v>0</v>
      </c>
      <c r="E1790" s="15" t="s">
        <v>6010</v>
      </c>
    </row>
    <row r="1791" customFormat="false" ht="15" hidden="false" customHeight="false" outlineLevel="0" collapsed="false">
      <c r="A1791" s="15" t="s">
        <v>3995</v>
      </c>
      <c r="B1791" s="15" t="s">
        <v>3996</v>
      </c>
      <c r="C1791" s="15" t="s">
        <v>5997</v>
      </c>
      <c r="D1791" s="34" t="n">
        <f aca="false">Activities!M725</f>
        <v>2</v>
      </c>
      <c r="E1791" s="15" t="s">
        <v>5998</v>
      </c>
    </row>
    <row r="1792" customFormat="false" ht="15" hidden="false" customHeight="false" outlineLevel="0" collapsed="false">
      <c r="A1792" s="15" t="s">
        <v>3995</v>
      </c>
      <c r="B1792" s="15" t="s">
        <v>3996</v>
      </c>
      <c r="C1792" s="15" t="s">
        <v>5999</v>
      </c>
      <c r="D1792" s="34" t="n">
        <f aca="false">Activities!N725</f>
        <v>2</v>
      </c>
      <c r="E1792" s="15" t="s">
        <v>5998</v>
      </c>
    </row>
    <row r="1793" customFormat="false" ht="15" hidden="false" customHeight="false" outlineLevel="0" collapsed="false">
      <c r="A1793" s="15" t="s">
        <v>3984</v>
      </c>
      <c r="B1793" s="15" t="s">
        <v>3996</v>
      </c>
      <c r="C1793" s="15" t="s">
        <v>5995</v>
      </c>
      <c r="D1793" s="34" t="n">
        <f aca="false">-Activities!K725</f>
        <v>-10</v>
      </c>
      <c r="E1793" s="15" t="s">
        <v>6004</v>
      </c>
    </row>
    <row r="1794" customFormat="false" ht="15" hidden="false" customHeight="false" outlineLevel="0" collapsed="false">
      <c r="A1794" s="15" t="s">
        <v>3996</v>
      </c>
      <c r="B1794" s="15" t="s">
        <v>3998</v>
      </c>
      <c r="C1794" s="15" t="s">
        <v>5997</v>
      </c>
      <c r="D1794" s="34" t="n">
        <f aca="false">Activities!M726</f>
        <v>10</v>
      </c>
      <c r="E1794" s="15" t="s">
        <v>5998</v>
      </c>
    </row>
    <row r="1795" customFormat="false" ht="15" hidden="false" customHeight="false" outlineLevel="0" collapsed="false">
      <c r="A1795" s="15" t="s">
        <v>3996</v>
      </c>
      <c r="B1795" s="15" t="s">
        <v>3998</v>
      </c>
      <c r="C1795" s="15" t="s">
        <v>5999</v>
      </c>
      <c r="D1795" s="34" t="n">
        <f aca="false">Activities!N726</f>
        <v>2</v>
      </c>
      <c r="E1795" s="15" t="s">
        <v>5998</v>
      </c>
    </row>
    <row r="1796" customFormat="false" ht="15" hidden="false" customHeight="false" outlineLevel="0" collapsed="false">
      <c r="A1796" s="15" t="s">
        <v>3984</v>
      </c>
      <c r="B1796" s="15" t="s">
        <v>3998</v>
      </c>
      <c r="C1796" s="15" t="s">
        <v>5995</v>
      </c>
      <c r="D1796" s="34" t="n">
        <v>0</v>
      </c>
      <c r="E1796" s="15" t="s">
        <v>6010</v>
      </c>
    </row>
    <row r="1797" customFormat="false" ht="15" hidden="false" customHeight="false" outlineLevel="0" collapsed="false">
      <c r="A1797" s="15" t="s">
        <v>4345</v>
      </c>
      <c r="B1797" s="15" t="s">
        <v>3998</v>
      </c>
      <c r="C1797" s="15" t="s">
        <v>5995</v>
      </c>
      <c r="D1797" s="34" t="n">
        <v>0</v>
      </c>
      <c r="E1797" s="15" t="s">
        <v>6008</v>
      </c>
    </row>
    <row r="1798" customFormat="false" ht="15" hidden="false" customHeight="false" outlineLevel="0" collapsed="false">
      <c r="A1798" s="15" t="s">
        <v>4282</v>
      </c>
      <c r="B1798" s="15" t="s">
        <v>3998</v>
      </c>
      <c r="C1798" s="15" t="s">
        <v>5995</v>
      </c>
      <c r="D1798" s="34" t="n">
        <v>0</v>
      </c>
      <c r="E1798" s="15" t="s">
        <v>6008</v>
      </c>
    </row>
    <row r="1799" customFormat="false" ht="15" hidden="false" customHeight="false" outlineLevel="0" collapsed="false">
      <c r="A1799" s="15" t="s">
        <v>3998</v>
      </c>
      <c r="B1799" s="15" t="s">
        <v>4000</v>
      </c>
      <c r="C1799" s="15" t="s">
        <v>5997</v>
      </c>
      <c r="D1799" s="34" t="n">
        <f aca="false">Activities!M727</f>
        <v>2</v>
      </c>
      <c r="E1799" s="15" t="s">
        <v>5998</v>
      </c>
    </row>
    <row r="1800" customFormat="false" ht="15" hidden="false" customHeight="false" outlineLevel="0" collapsed="false">
      <c r="A1800" s="15" t="s">
        <v>3998</v>
      </c>
      <c r="B1800" s="15" t="s">
        <v>4000</v>
      </c>
      <c r="C1800" s="15" t="s">
        <v>5999</v>
      </c>
      <c r="D1800" s="34" t="n">
        <f aca="false">Activities!N727</f>
        <v>2</v>
      </c>
      <c r="E1800" s="15" t="s">
        <v>5998</v>
      </c>
    </row>
    <row r="1801" customFormat="false" ht="15" hidden="false" customHeight="false" outlineLevel="0" collapsed="false">
      <c r="A1801" s="15" t="s">
        <v>3985</v>
      </c>
      <c r="B1801" s="15" t="s">
        <v>4000</v>
      </c>
      <c r="C1801" s="15" t="s">
        <v>5995</v>
      </c>
      <c r="D1801" s="34" t="n">
        <v>0</v>
      </c>
      <c r="E1801" s="15" t="s">
        <v>6010</v>
      </c>
    </row>
    <row r="1802" customFormat="false" ht="15" hidden="false" customHeight="false" outlineLevel="0" collapsed="false">
      <c r="A1802" s="15" t="s">
        <v>4000</v>
      </c>
      <c r="B1802" s="15" t="s">
        <v>4001</v>
      </c>
      <c r="C1802" s="15" t="s">
        <v>5997</v>
      </c>
      <c r="D1802" s="34" t="n">
        <f aca="false">Activities!M728</f>
        <v>3</v>
      </c>
      <c r="E1802" s="15" t="s">
        <v>5998</v>
      </c>
    </row>
    <row r="1803" customFormat="false" ht="15" hidden="false" customHeight="false" outlineLevel="0" collapsed="false">
      <c r="A1803" s="15" t="s">
        <v>4000</v>
      </c>
      <c r="B1803" s="15" t="s">
        <v>4001</v>
      </c>
      <c r="C1803" s="15" t="s">
        <v>5999</v>
      </c>
      <c r="D1803" s="34" t="n">
        <f aca="false">Activities!N728</f>
        <v>2</v>
      </c>
      <c r="E1803" s="15" t="s">
        <v>5998</v>
      </c>
    </row>
    <row r="1804" customFormat="false" ht="15" hidden="false" customHeight="false" outlineLevel="0" collapsed="false">
      <c r="A1804" s="15" t="s">
        <v>3986</v>
      </c>
      <c r="B1804" s="15" t="s">
        <v>4001</v>
      </c>
      <c r="C1804" s="15" t="s">
        <v>5995</v>
      </c>
      <c r="D1804" s="34" t="n">
        <v>0</v>
      </c>
      <c r="E1804" s="15" t="s">
        <v>6010</v>
      </c>
    </row>
    <row r="1805" customFormat="false" ht="15" hidden="false" customHeight="false" outlineLevel="0" collapsed="false">
      <c r="A1805" s="15" t="s">
        <v>4001</v>
      </c>
      <c r="B1805" s="15" t="s">
        <v>4002</v>
      </c>
      <c r="C1805" s="15" t="s">
        <v>5997</v>
      </c>
      <c r="D1805" s="34" t="n">
        <f aca="false">Activities!M729</f>
        <v>2</v>
      </c>
      <c r="E1805" s="15" t="s">
        <v>5998</v>
      </c>
    </row>
    <row r="1806" customFormat="false" ht="15" hidden="false" customHeight="false" outlineLevel="0" collapsed="false">
      <c r="A1806" s="15" t="s">
        <v>4001</v>
      </c>
      <c r="B1806" s="15" t="s">
        <v>4002</v>
      </c>
      <c r="C1806" s="15" t="s">
        <v>5999</v>
      </c>
      <c r="D1806" s="34" t="n">
        <f aca="false">Activities!N729</f>
        <v>2</v>
      </c>
      <c r="E1806" s="15" t="s">
        <v>5998</v>
      </c>
    </row>
    <row r="1807" customFormat="false" ht="15" hidden="false" customHeight="false" outlineLevel="0" collapsed="false">
      <c r="A1807" s="15" t="s">
        <v>4002</v>
      </c>
      <c r="B1807" s="15" t="s">
        <v>4003</v>
      </c>
      <c r="C1807" s="15" t="s">
        <v>5997</v>
      </c>
      <c r="D1807" s="34" t="n">
        <f aca="false">Activities!M730</f>
        <v>2</v>
      </c>
      <c r="E1807" s="15" t="s">
        <v>5998</v>
      </c>
    </row>
    <row r="1808" customFormat="false" ht="15" hidden="false" customHeight="false" outlineLevel="0" collapsed="false">
      <c r="A1808" s="15" t="s">
        <v>4002</v>
      </c>
      <c r="B1808" s="15" t="s">
        <v>4003</v>
      </c>
      <c r="C1808" s="15" t="s">
        <v>5999</v>
      </c>
      <c r="D1808" s="34" t="n">
        <f aca="false">Activities!N730</f>
        <v>2</v>
      </c>
      <c r="E1808" s="15" t="s">
        <v>5998</v>
      </c>
    </row>
    <row r="1809" customFormat="false" ht="15" hidden="false" customHeight="false" outlineLevel="0" collapsed="false">
      <c r="A1809" s="15" t="s">
        <v>3988</v>
      </c>
      <c r="B1809" s="15" t="s">
        <v>4003</v>
      </c>
      <c r="C1809" s="15" t="s">
        <v>5995</v>
      </c>
      <c r="D1809" s="34" t="n">
        <v>0</v>
      </c>
      <c r="E1809" s="15" t="s">
        <v>6010</v>
      </c>
    </row>
    <row r="1810" customFormat="false" ht="15" hidden="false" customHeight="false" outlineLevel="0" collapsed="false">
      <c r="A1810" s="15" t="s">
        <v>4049</v>
      </c>
      <c r="B1810" s="15" t="s">
        <v>4003</v>
      </c>
      <c r="C1810" s="15" t="s">
        <v>5995</v>
      </c>
      <c r="D1810" s="34" t="n">
        <v>0</v>
      </c>
      <c r="E1810" s="15" t="s">
        <v>6005</v>
      </c>
    </row>
    <row r="1811" customFormat="false" ht="15" hidden="false" customHeight="false" outlineLevel="0" collapsed="false">
      <c r="A1811" s="15" t="s">
        <v>4017</v>
      </c>
      <c r="B1811" s="15" t="s">
        <v>4003</v>
      </c>
      <c r="C1811" s="15" t="s">
        <v>5995</v>
      </c>
      <c r="D1811" s="34" t="n">
        <v>0</v>
      </c>
      <c r="E1811" s="15" t="s">
        <v>6005</v>
      </c>
    </row>
    <row r="1812" customFormat="false" ht="15" hidden="false" customHeight="false" outlineLevel="0" collapsed="false">
      <c r="A1812" s="15" t="s">
        <v>4003</v>
      </c>
      <c r="B1812" s="15" t="s">
        <v>4005</v>
      </c>
      <c r="C1812" s="15" t="s">
        <v>5997</v>
      </c>
      <c r="D1812" s="34" t="n">
        <f aca="false">Activities!M731</f>
        <v>1</v>
      </c>
      <c r="E1812" s="15" t="s">
        <v>5998</v>
      </c>
    </row>
    <row r="1813" customFormat="false" ht="15" hidden="false" customHeight="false" outlineLevel="0" collapsed="false">
      <c r="A1813" s="15" t="s">
        <v>4003</v>
      </c>
      <c r="B1813" s="15" t="s">
        <v>4005</v>
      </c>
      <c r="C1813" s="15" t="s">
        <v>5999</v>
      </c>
      <c r="D1813" s="34" t="n">
        <f aca="false">Activities!N731</f>
        <v>2</v>
      </c>
      <c r="E1813" s="15" t="s">
        <v>5998</v>
      </c>
    </row>
    <row r="1814" customFormat="false" ht="15" hidden="false" customHeight="false" outlineLevel="0" collapsed="false">
      <c r="A1814" s="15" t="s">
        <v>4006</v>
      </c>
      <c r="B1814" s="15" t="s">
        <v>4008</v>
      </c>
      <c r="C1814" s="15" t="s">
        <v>5995</v>
      </c>
      <c r="D1814" s="34" t="n">
        <v>0</v>
      </c>
      <c r="E1814" s="15" t="s">
        <v>5996</v>
      </c>
    </row>
    <row r="1815" customFormat="false" ht="15" hidden="false" customHeight="false" outlineLevel="0" collapsed="false">
      <c r="A1815" s="15" t="s">
        <v>3994</v>
      </c>
      <c r="B1815" s="15" t="s">
        <v>4008</v>
      </c>
      <c r="C1815" s="15" t="s">
        <v>5997</v>
      </c>
      <c r="D1815" s="34" t="n">
        <v>0</v>
      </c>
      <c r="E1815" s="15" t="s">
        <v>6002</v>
      </c>
    </row>
    <row r="1816" customFormat="false" ht="15" hidden="false" customHeight="false" outlineLevel="0" collapsed="false">
      <c r="A1816" s="15" t="s">
        <v>4008</v>
      </c>
      <c r="B1816" s="15" t="s">
        <v>4010</v>
      </c>
      <c r="C1816" s="15" t="s">
        <v>5997</v>
      </c>
      <c r="D1816" s="34" t="n">
        <f aca="false">Activities!M734</f>
        <v>1</v>
      </c>
      <c r="E1816" s="15" t="s">
        <v>5998</v>
      </c>
    </row>
    <row r="1817" customFormat="false" ht="15" hidden="false" customHeight="false" outlineLevel="0" collapsed="false">
      <c r="A1817" s="15" t="s">
        <v>4008</v>
      </c>
      <c r="B1817" s="15" t="s">
        <v>4010</v>
      </c>
      <c r="C1817" s="15" t="s">
        <v>5999</v>
      </c>
      <c r="D1817" s="34" t="n">
        <f aca="false">Activities!N734</f>
        <v>2</v>
      </c>
      <c r="E1817" s="15" t="s">
        <v>5998</v>
      </c>
    </row>
    <row r="1818" customFormat="false" ht="15" hidden="false" customHeight="false" outlineLevel="0" collapsed="false">
      <c r="A1818" s="15" t="s">
        <v>3994</v>
      </c>
      <c r="B1818" s="15" t="s">
        <v>4010</v>
      </c>
      <c r="C1818" s="15" t="s">
        <v>5995</v>
      </c>
      <c r="D1818" s="34" t="n">
        <v>0</v>
      </c>
      <c r="E1818" s="15" t="s">
        <v>6010</v>
      </c>
    </row>
    <row r="1819" customFormat="false" ht="15" hidden="false" customHeight="false" outlineLevel="0" collapsed="false">
      <c r="A1819" s="15" t="s">
        <v>4010</v>
      </c>
      <c r="B1819" s="15" t="s">
        <v>4011</v>
      </c>
      <c r="C1819" s="15" t="s">
        <v>5997</v>
      </c>
      <c r="D1819" s="34" t="n">
        <f aca="false">Activities!M735</f>
        <v>2</v>
      </c>
      <c r="E1819" s="15" t="s">
        <v>5998</v>
      </c>
    </row>
    <row r="1820" customFormat="false" ht="15" hidden="false" customHeight="false" outlineLevel="0" collapsed="false">
      <c r="A1820" s="15" t="s">
        <v>4010</v>
      </c>
      <c r="B1820" s="15" t="s">
        <v>4011</v>
      </c>
      <c r="C1820" s="15" t="s">
        <v>5999</v>
      </c>
      <c r="D1820" s="34" t="n">
        <f aca="false">Activities!N735</f>
        <v>2</v>
      </c>
      <c r="E1820" s="15" t="s">
        <v>5998</v>
      </c>
    </row>
    <row r="1821" customFormat="false" ht="15" hidden="false" customHeight="false" outlineLevel="0" collapsed="false">
      <c r="A1821" s="15" t="s">
        <v>3995</v>
      </c>
      <c r="B1821" s="15" t="s">
        <v>4011</v>
      </c>
      <c r="C1821" s="15" t="s">
        <v>5995</v>
      </c>
      <c r="D1821" s="34" t="n">
        <v>0</v>
      </c>
      <c r="E1821" s="15" t="s">
        <v>6010</v>
      </c>
    </row>
    <row r="1822" customFormat="false" ht="15" hidden="false" customHeight="false" outlineLevel="0" collapsed="false">
      <c r="A1822" s="15" t="s">
        <v>4011</v>
      </c>
      <c r="B1822" s="15" t="s">
        <v>4012</v>
      </c>
      <c r="C1822" s="15" t="s">
        <v>5997</v>
      </c>
      <c r="D1822" s="34" t="n">
        <f aca="false">Activities!M736</f>
        <v>2</v>
      </c>
      <c r="E1822" s="15" t="s">
        <v>5998</v>
      </c>
    </row>
    <row r="1823" customFormat="false" ht="15" hidden="false" customHeight="false" outlineLevel="0" collapsed="false">
      <c r="A1823" s="15" t="s">
        <v>4011</v>
      </c>
      <c r="B1823" s="15" t="s">
        <v>4012</v>
      </c>
      <c r="C1823" s="15" t="s">
        <v>5999</v>
      </c>
      <c r="D1823" s="34" t="n">
        <f aca="false">Activities!N736</f>
        <v>2</v>
      </c>
      <c r="E1823" s="15" t="s">
        <v>5998</v>
      </c>
    </row>
    <row r="1824" customFormat="false" ht="15" hidden="false" customHeight="false" outlineLevel="0" collapsed="false">
      <c r="A1824" s="15" t="s">
        <v>3998</v>
      </c>
      <c r="B1824" s="15" t="s">
        <v>4012</v>
      </c>
      <c r="C1824" s="15" t="s">
        <v>5995</v>
      </c>
      <c r="D1824" s="34" t="n">
        <f aca="false">-Activities!K736</f>
        <v>-10</v>
      </c>
      <c r="E1824" s="15" t="s">
        <v>6004</v>
      </c>
    </row>
    <row r="1825" customFormat="false" ht="15" hidden="false" customHeight="false" outlineLevel="0" collapsed="false">
      <c r="A1825" s="15" t="s">
        <v>4012</v>
      </c>
      <c r="B1825" s="15" t="s">
        <v>4014</v>
      </c>
      <c r="C1825" s="15" t="s">
        <v>5997</v>
      </c>
      <c r="D1825" s="34" t="n">
        <f aca="false">Activities!M737</f>
        <v>10</v>
      </c>
      <c r="E1825" s="15" t="s">
        <v>5998</v>
      </c>
    </row>
    <row r="1826" customFormat="false" ht="15" hidden="false" customHeight="false" outlineLevel="0" collapsed="false">
      <c r="A1826" s="15" t="s">
        <v>4012</v>
      </c>
      <c r="B1826" s="15" t="s">
        <v>4014</v>
      </c>
      <c r="C1826" s="15" t="s">
        <v>5999</v>
      </c>
      <c r="D1826" s="34" t="n">
        <f aca="false">Activities!N737</f>
        <v>2</v>
      </c>
      <c r="E1826" s="15" t="s">
        <v>5998</v>
      </c>
    </row>
    <row r="1827" customFormat="false" ht="15" hidden="false" customHeight="false" outlineLevel="0" collapsed="false">
      <c r="A1827" s="15" t="s">
        <v>3998</v>
      </c>
      <c r="B1827" s="15" t="s">
        <v>4014</v>
      </c>
      <c r="C1827" s="15" t="s">
        <v>5995</v>
      </c>
      <c r="D1827" s="34" t="n">
        <v>0</v>
      </c>
      <c r="E1827" s="15" t="s">
        <v>6010</v>
      </c>
    </row>
    <row r="1828" customFormat="false" ht="15" hidden="false" customHeight="false" outlineLevel="0" collapsed="false">
      <c r="A1828" s="15" t="s">
        <v>5051</v>
      </c>
      <c r="B1828" s="15" t="s">
        <v>4014</v>
      </c>
      <c r="C1828" s="15" t="s">
        <v>5995</v>
      </c>
      <c r="D1828" s="34" t="n">
        <v>0</v>
      </c>
      <c r="E1828" s="15" t="s">
        <v>6008</v>
      </c>
    </row>
    <row r="1829" customFormat="false" ht="15" hidden="false" customHeight="false" outlineLevel="0" collapsed="false">
      <c r="A1829" s="15" t="s">
        <v>4345</v>
      </c>
      <c r="B1829" s="15" t="s">
        <v>4014</v>
      </c>
      <c r="C1829" s="15" t="s">
        <v>5995</v>
      </c>
      <c r="D1829" s="34" t="n">
        <v>0</v>
      </c>
      <c r="E1829" s="15" t="s">
        <v>6008</v>
      </c>
    </row>
    <row r="1830" customFormat="false" ht="15" hidden="false" customHeight="false" outlineLevel="0" collapsed="false">
      <c r="A1830" s="15" t="s">
        <v>4282</v>
      </c>
      <c r="B1830" s="15" t="s">
        <v>4014</v>
      </c>
      <c r="C1830" s="15" t="s">
        <v>5995</v>
      </c>
      <c r="D1830" s="34" t="n">
        <v>0</v>
      </c>
      <c r="E1830" s="15" t="s">
        <v>6008</v>
      </c>
    </row>
    <row r="1831" customFormat="false" ht="15" hidden="false" customHeight="false" outlineLevel="0" collapsed="false">
      <c r="A1831" s="15" t="s">
        <v>3998</v>
      </c>
      <c r="B1831" s="15" t="s">
        <v>4014</v>
      </c>
      <c r="C1831" s="15" t="s">
        <v>5997</v>
      </c>
      <c r="D1831" s="34" t="n">
        <v>0</v>
      </c>
      <c r="E1831" s="15" t="s">
        <v>6006</v>
      </c>
    </row>
    <row r="1832" customFormat="false" ht="15" hidden="false" customHeight="false" outlineLevel="0" collapsed="false">
      <c r="A1832" s="15" t="s">
        <v>4014</v>
      </c>
      <c r="B1832" s="15" t="s">
        <v>4016</v>
      </c>
      <c r="C1832" s="15" t="s">
        <v>5997</v>
      </c>
      <c r="D1832" s="34" t="n">
        <f aca="false">Activities!M738</f>
        <v>1</v>
      </c>
      <c r="E1832" s="15" t="s">
        <v>5998</v>
      </c>
    </row>
    <row r="1833" customFormat="false" ht="15" hidden="false" customHeight="false" outlineLevel="0" collapsed="false">
      <c r="A1833" s="15" t="s">
        <v>4014</v>
      </c>
      <c r="B1833" s="15" t="s">
        <v>4016</v>
      </c>
      <c r="C1833" s="15" t="s">
        <v>5999</v>
      </c>
      <c r="D1833" s="34" t="n">
        <f aca="false">Activities!N738</f>
        <v>2</v>
      </c>
      <c r="E1833" s="15" t="s">
        <v>5998</v>
      </c>
    </row>
    <row r="1834" customFormat="false" ht="15" hidden="false" customHeight="false" outlineLevel="0" collapsed="false">
      <c r="A1834" s="15" t="s">
        <v>4000</v>
      </c>
      <c r="B1834" s="15" t="s">
        <v>4016</v>
      </c>
      <c r="C1834" s="15" t="s">
        <v>5995</v>
      </c>
      <c r="D1834" s="34" t="n">
        <v>0</v>
      </c>
      <c r="E1834" s="15" t="s">
        <v>6010</v>
      </c>
    </row>
    <row r="1835" customFormat="false" ht="15" hidden="false" customHeight="false" outlineLevel="0" collapsed="false">
      <c r="A1835" s="15" t="s">
        <v>4016</v>
      </c>
      <c r="B1835" s="15" t="s">
        <v>4017</v>
      </c>
      <c r="C1835" s="15" t="s">
        <v>5997</v>
      </c>
      <c r="D1835" s="34" t="n">
        <f aca="false">Activities!M739</f>
        <v>3</v>
      </c>
      <c r="E1835" s="15" t="s">
        <v>5998</v>
      </c>
    </row>
    <row r="1836" customFormat="false" ht="15" hidden="false" customHeight="false" outlineLevel="0" collapsed="false">
      <c r="A1836" s="15" t="s">
        <v>4016</v>
      </c>
      <c r="B1836" s="15" t="s">
        <v>4017</v>
      </c>
      <c r="C1836" s="15" t="s">
        <v>5999</v>
      </c>
      <c r="D1836" s="34" t="n">
        <f aca="false">Activities!N739</f>
        <v>2</v>
      </c>
      <c r="E1836" s="15" t="s">
        <v>5998</v>
      </c>
    </row>
    <row r="1837" customFormat="false" ht="15" hidden="false" customHeight="false" outlineLevel="0" collapsed="false">
      <c r="A1837" s="15" t="s">
        <v>4001</v>
      </c>
      <c r="B1837" s="15" t="s">
        <v>4017</v>
      </c>
      <c r="C1837" s="15" t="s">
        <v>5995</v>
      </c>
      <c r="D1837" s="34" t="n">
        <v>0</v>
      </c>
      <c r="E1837" s="15" t="s">
        <v>6010</v>
      </c>
    </row>
    <row r="1838" customFormat="false" ht="15" hidden="false" customHeight="false" outlineLevel="0" collapsed="false">
      <c r="A1838" s="15" t="s">
        <v>4017</v>
      </c>
      <c r="B1838" s="15" t="s">
        <v>4018</v>
      </c>
      <c r="C1838" s="15" t="s">
        <v>5997</v>
      </c>
      <c r="D1838" s="34" t="n">
        <f aca="false">Activities!M740</f>
        <v>2</v>
      </c>
      <c r="E1838" s="15" t="s">
        <v>5998</v>
      </c>
    </row>
    <row r="1839" customFormat="false" ht="15" hidden="false" customHeight="false" outlineLevel="0" collapsed="false">
      <c r="A1839" s="15" t="s">
        <v>4017</v>
      </c>
      <c r="B1839" s="15" t="s">
        <v>4018</v>
      </c>
      <c r="C1839" s="15" t="s">
        <v>5999</v>
      </c>
      <c r="D1839" s="34" t="n">
        <f aca="false">Activities!N740</f>
        <v>2</v>
      </c>
      <c r="E1839" s="15" t="s">
        <v>5998</v>
      </c>
    </row>
    <row r="1840" customFormat="false" ht="15" hidden="false" customHeight="false" outlineLevel="0" collapsed="false">
      <c r="A1840" s="15" t="s">
        <v>4018</v>
      </c>
      <c r="B1840" s="15" t="s">
        <v>4019</v>
      </c>
      <c r="C1840" s="15" t="s">
        <v>5997</v>
      </c>
      <c r="D1840" s="34" t="n">
        <f aca="false">Activities!M741</f>
        <v>2</v>
      </c>
      <c r="E1840" s="15" t="s">
        <v>5998</v>
      </c>
    </row>
    <row r="1841" customFormat="false" ht="15" hidden="false" customHeight="false" outlineLevel="0" collapsed="false">
      <c r="A1841" s="15" t="s">
        <v>4018</v>
      </c>
      <c r="B1841" s="15" t="s">
        <v>4019</v>
      </c>
      <c r="C1841" s="15" t="s">
        <v>5999</v>
      </c>
      <c r="D1841" s="34" t="n">
        <f aca="false">Activities!N741</f>
        <v>2</v>
      </c>
      <c r="E1841" s="15" t="s">
        <v>5998</v>
      </c>
    </row>
    <row r="1842" customFormat="false" ht="15" hidden="false" customHeight="false" outlineLevel="0" collapsed="false">
      <c r="A1842" s="15" t="s">
        <v>4003</v>
      </c>
      <c r="B1842" s="15" t="s">
        <v>4019</v>
      </c>
      <c r="C1842" s="15" t="s">
        <v>5995</v>
      </c>
      <c r="D1842" s="34" t="n">
        <v>0</v>
      </c>
      <c r="E1842" s="15" t="s">
        <v>6010</v>
      </c>
    </row>
    <row r="1843" customFormat="false" ht="15" hidden="false" customHeight="false" outlineLevel="0" collapsed="false">
      <c r="A1843" s="15" t="s">
        <v>4033</v>
      </c>
      <c r="B1843" s="15" t="s">
        <v>4019</v>
      </c>
      <c r="C1843" s="15" t="s">
        <v>5995</v>
      </c>
      <c r="D1843" s="34" t="n">
        <v>0</v>
      </c>
      <c r="E1843" s="15" t="s">
        <v>6005</v>
      </c>
    </row>
    <row r="1844" customFormat="false" ht="15" hidden="false" customHeight="false" outlineLevel="0" collapsed="false">
      <c r="A1844" s="15" t="s">
        <v>4001</v>
      </c>
      <c r="B1844" s="15" t="s">
        <v>4019</v>
      </c>
      <c r="C1844" s="15" t="s">
        <v>5995</v>
      </c>
      <c r="D1844" s="34" t="n">
        <v>0</v>
      </c>
      <c r="E1844" s="15" t="s">
        <v>6005</v>
      </c>
    </row>
    <row r="1845" customFormat="false" ht="15" hidden="false" customHeight="false" outlineLevel="0" collapsed="false">
      <c r="A1845" s="15" t="s">
        <v>4019</v>
      </c>
      <c r="B1845" s="15" t="s">
        <v>4021</v>
      </c>
      <c r="C1845" s="15" t="s">
        <v>5997</v>
      </c>
      <c r="D1845" s="34" t="n">
        <f aca="false">Activities!M742</f>
        <v>1</v>
      </c>
      <c r="E1845" s="15" t="s">
        <v>5998</v>
      </c>
    </row>
    <row r="1846" customFormat="false" ht="15" hidden="false" customHeight="false" outlineLevel="0" collapsed="false">
      <c r="A1846" s="15" t="s">
        <v>4019</v>
      </c>
      <c r="B1846" s="15" t="s">
        <v>4021</v>
      </c>
      <c r="C1846" s="15" t="s">
        <v>5999</v>
      </c>
      <c r="D1846" s="34" t="n">
        <f aca="false">Activities!N742</f>
        <v>2</v>
      </c>
      <c r="E1846" s="15" t="s">
        <v>5998</v>
      </c>
    </row>
    <row r="1847" customFormat="false" ht="15" hidden="false" customHeight="false" outlineLevel="0" collapsed="false">
      <c r="A1847" s="15" t="s">
        <v>4022</v>
      </c>
      <c r="B1847" s="15" t="s">
        <v>4024</v>
      </c>
      <c r="C1847" s="15" t="s">
        <v>5995</v>
      </c>
      <c r="D1847" s="34" t="n">
        <v>0</v>
      </c>
      <c r="E1847" s="15" t="s">
        <v>5996</v>
      </c>
    </row>
    <row r="1848" customFormat="false" ht="15" hidden="false" customHeight="false" outlineLevel="0" collapsed="false">
      <c r="A1848" s="15" t="s">
        <v>4010</v>
      </c>
      <c r="B1848" s="15" t="s">
        <v>4024</v>
      </c>
      <c r="C1848" s="15" t="s">
        <v>5997</v>
      </c>
      <c r="D1848" s="34" t="n">
        <v>0</v>
      </c>
      <c r="E1848" s="15" t="s">
        <v>6002</v>
      </c>
    </row>
    <row r="1849" customFormat="false" ht="15" hidden="false" customHeight="false" outlineLevel="0" collapsed="false">
      <c r="A1849" s="15" t="s">
        <v>4024</v>
      </c>
      <c r="B1849" s="15" t="s">
        <v>4026</v>
      </c>
      <c r="C1849" s="15" t="s">
        <v>5997</v>
      </c>
      <c r="D1849" s="34" t="n">
        <f aca="false">Activities!M745</f>
        <v>1</v>
      </c>
      <c r="E1849" s="15" t="s">
        <v>5998</v>
      </c>
    </row>
    <row r="1850" customFormat="false" ht="15" hidden="false" customHeight="false" outlineLevel="0" collapsed="false">
      <c r="A1850" s="15" t="s">
        <v>4024</v>
      </c>
      <c r="B1850" s="15" t="s">
        <v>4026</v>
      </c>
      <c r="C1850" s="15" t="s">
        <v>5999</v>
      </c>
      <c r="D1850" s="34" t="n">
        <f aca="false">Activities!N745</f>
        <v>2</v>
      </c>
      <c r="E1850" s="15" t="s">
        <v>5998</v>
      </c>
    </row>
    <row r="1851" customFormat="false" ht="15" hidden="false" customHeight="false" outlineLevel="0" collapsed="false">
      <c r="A1851" s="15" t="s">
        <v>4010</v>
      </c>
      <c r="B1851" s="15" t="s">
        <v>4026</v>
      </c>
      <c r="C1851" s="15" t="s">
        <v>5995</v>
      </c>
      <c r="D1851" s="34" t="n">
        <v>0</v>
      </c>
      <c r="E1851" s="15" t="s">
        <v>6010</v>
      </c>
    </row>
    <row r="1852" customFormat="false" ht="15" hidden="false" customHeight="false" outlineLevel="0" collapsed="false">
      <c r="A1852" s="15" t="s">
        <v>4026</v>
      </c>
      <c r="B1852" s="15" t="s">
        <v>4027</v>
      </c>
      <c r="C1852" s="15" t="s">
        <v>5997</v>
      </c>
      <c r="D1852" s="34" t="n">
        <f aca="false">Activities!M746</f>
        <v>2</v>
      </c>
      <c r="E1852" s="15" t="s">
        <v>5998</v>
      </c>
    </row>
    <row r="1853" customFormat="false" ht="15" hidden="false" customHeight="false" outlineLevel="0" collapsed="false">
      <c r="A1853" s="15" t="s">
        <v>4026</v>
      </c>
      <c r="B1853" s="15" t="s">
        <v>4027</v>
      </c>
      <c r="C1853" s="15" t="s">
        <v>5999</v>
      </c>
      <c r="D1853" s="34" t="n">
        <f aca="false">Activities!N746</f>
        <v>0</v>
      </c>
      <c r="E1853" s="15" t="s">
        <v>5998</v>
      </c>
    </row>
    <row r="1854" customFormat="false" ht="15" hidden="false" customHeight="false" outlineLevel="0" collapsed="false">
      <c r="A1854" s="15" t="s">
        <v>4011</v>
      </c>
      <c r="B1854" s="15" t="s">
        <v>4027</v>
      </c>
      <c r="C1854" s="15" t="s">
        <v>5995</v>
      </c>
      <c r="D1854" s="34" t="n">
        <v>0</v>
      </c>
      <c r="E1854" s="15" t="s">
        <v>6010</v>
      </c>
    </row>
    <row r="1855" customFormat="false" ht="15" hidden="false" customHeight="false" outlineLevel="0" collapsed="false">
      <c r="A1855" s="15" t="s">
        <v>4027</v>
      </c>
      <c r="B1855" s="15" t="s">
        <v>4028</v>
      </c>
      <c r="C1855" s="15" t="s">
        <v>5997</v>
      </c>
      <c r="D1855" s="34" t="n">
        <f aca="false">Activities!M747</f>
        <v>0</v>
      </c>
      <c r="E1855" s="15" t="s">
        <v>5998</v>
      </c>
    </row>
    <row r="1856" customFormat="false" ht="15" hidden="false" customHeight="false" outlineLevel="0" collapsed="false">
      <c r="A1856" s="15" t="s">
        <v>4027</v>
      </c>
      <c r="B1856" s="15" t="s">
        <v>4028</v>
      </c>
      <c r="C1856" s="15" t="s">
        <v>5999</v>
      </c>
      <c r="D1856" s="34" t="n">
        <f aca="false">Activities!N747</f>
        <v>2</v>
      </c>
      <c r="E1856" s="15" t="s">
        <v>5998</v>
      </c>
    </row>
    <row r="1857" customFormat="false" ht="15" hidden="false" customHeight="false" outlineLevel="0" collapsed="false">
      <c r="A1857" s="15" t="s">
        <v>4014</v>
      </c>
      <c r="B1857" s="15" t="s">
        <v>4028</v>
      </c>
      <c r="C1857" s="15" t="s">
        <v>5995</v>
      </c>
      <c r="D1857" s="34" t="n">
        <f aca="false">-Activities!K747</f>
        <v>-10</v>
      </c>
      <c r="E1857" s="15" t="s">
        <v>6004</v>
      </c>
    </row>
    <row r="1858" customFormat="false" ht="15" hidden="false" customHeight="false" outlineLevel="0" collapsed="false">
      <c r="A1858" s="15" t="s">
        <v>4028</v>
      </c>
      <c r="B1858" s="15" t="s">
        <v>4030</v>
      </c>
      <c r="C1858" s="15" t="s">
        <v>5997</v>
      </c>
      <c r="D1858" s="34" t="n">
        <f aca="false">Activities!M748</f>
        <v>10</v>
      </c>
      <c r="E1858" s="15" t="s">
        <v>5998</v>
      </c>
    </row>
    <row r="1859" customFormat="false" ht="15" hidden="false" customHeight="false" outlineLevel="0" collapsed="false">
      <c r="A1859" s="15" t="s">
        <v>4028</v>
      </c>
      <c r="B1859" s="15" t="s">
        <v>4030</v>
      </c>
      <c r="C1859" s="15" t="s">
        <v>5999</v>
      </c>
      <c r="D1859" s="34" t="n">
        <f aca="false">Activities!N748</f>
        <v>2</v>
      </c>
      <c r="E1859" s="15" t="s">
        <v>5998</v>
      </c>
    </row>
    <row r="1860" customFormat="false" ht="15" hidden="false" customHeight="false" outlineLevel="0" collapsed="false">
      <c r="A1860" s="15" t="s">
        <v>4014</v>
      </c>
      <c r="B1860" s="15" t="s">
        <v>4030</v>
      </c>
      <c r="C1860" s="15" t="s">
        <v>5995</v>
      </c>
      <c r="D1860" s="34" t="n">
        <v>0</v>
      </c>
      <c r="E1860" s="15" t="s">
        <v>6010</v>
      </c>
    </row>
    <row r="1861" customFormat="false" ht="15" hidden="false" customHeight="false" outlineLevel="0" collapsed="false">
      <c r="A1861" s="15" t="s">
        <v>4282</v>
      </c>
      <c r="B1861" s="15" t="s">
        <v>4030</v>
      </c>
      <c r="C1861" s="15" t="s">
        <v>5995</v>
      </c>
      <c r="D1861" s="34" t="n">
        <v>0</v>
      </c>
      <c r="E1861" s="15" t="s">
        <v>6008</v>
      </c>
    </row>
    <row r="1862" customFormat="false" ht="15" hidden="false" customHeight="false" outlineLevel="0" collapsed="false">
      <c r="A1862" s="15" t="s">
        <v>4014</v>
      </c>
      <c r="B1862" s="15" t="s">
        <v>4030</v>
      </c>
      <c r="C1862" s="15" t="s">
        <v>5997</v>
      </c>
      <c r="D1862" s="34" t="n">
        <v>0</v>
      </c>
      <c r="E1862" s="15" t="s">
        <v>6006</v>
      </c>
    </row>
    <row r="1863" customFormat="false" ht="15" hidden="false" customHeight="false" outlineLevel="0" collapsed="false">
      <c r="A1863" s="15" t="s">
        <v>4030</v>
      </c>
      <c r="B1863" s="15" t="s">
        <v>4032</v>
      </c>
      <c r="C1863" s="15" t="s">
        <v>5997</v>
      </c>
      <c r="D1863" s="34" t="n">
        <f aca="false">Activities!M749</f>
        <v>1</v>
      </c>
      <c r="E1863" s="15" t="s">
        <v>5998</v>
      </c>
    </row>
    <row r="1864" customFormat="false" ht="15" hidden="false" customHeight="false" outlineLevel="0" collapsed="false">
      <c r="A1864" s="15" t="s">
        <v>4030</v>
      </c>
      <c r="B1864" s="15" t="s">
        <v>4032</v>
      </c>
      <c r="C1864" s="15" t="s">
        <v>5999</v>
      </c>
      <c r="D1864" s="34" t="n">
        <f aca="false">Activities!N749</f>
        <v>2</v>
      </c>
      <c r="E1864" s="15" t="s">
        <v>5998</v>
      </c>
    </row>
    <row r="1865" customFormat="false" ht="15" hidden="false" customHeight="false" outlineLevel="0" collapsed="false">
      <c r="A1865" s="15" t="s">
        <v>4016</v>
      </c>
      <c r="B1865" s="15" t="s">
        <v>4032</v>
      </c>
      <c r="C1865" s="15" t="s">
        <v>5995</v>
      </c>
      <c r="D1865" s="34" t="n">
        <v>0</v>
      </c>
      <c r="E1865" s="15" t="s">
        <v>6010</v>
      </c>
    </row>
    <row r="1866" customFormat="false" ht="15" hidden="false" customHeight="false" outlineLevel="0" collapsed="false">
      <c r="A1866" s="15" t="s">
        <v>4032</v>
      </c>
      <c r="B1866" s="15" t="s">
        <v>4033</v>
      </c>
      <c r="C1866" s="15" t="s">
        <v>5997</v>
      </c>
      <c r="D1866" s="34" t="n">
        <f aca="false">Activities!M750</f>
        <v>2</v>
      </c>
      <c r="E1866" s="15" t="s">
        <v>5998</v>
      </c>
    </row>
    <row r="1867" customFormat="false" ht="15" hidden="false" customHeight="false" outlineLevel="0" collapsed="false">
      <c r="A1867" s="15" t="s">
        <v>4032</v>
      </c>
      <c r="B1867" s="15" t="s">
        <v>4033</v>
      </c>
      <c r="C1867" s="15" t="s">
        <v>5999</v>
      </c>
      <c r="D1867" s="34" t="n">
        <f aca="false">Activities!N750</f>
        <v>2</v>
      </c>
      <c r="E1867" s="15" t="s">
        <v>5998</v>
      </c>
    </row>
    <row r="1868" customFormat="false" ht="15" hidden="false" customHeight="false" outlineLevel="0" collapsed="false">
      <c r="A1868" s="15" t="s">
        <v>4017</v>
      </c>
      <c r="B1868" s="15" t="s">
        <v>4033</v>
      </c>
      <c r="C1868" s="15" t="s">
        <v>5995</v>
      </c>
      <c r="D1868" s="34" t="n">
        <v>0</v>
      </c>
      <c r="E1868" s="15" t="s">
        <v>6010</v>
      </c>
    </row>
    <row r="1869" customFormat="false" ht="15" hidden="false" customHeight="false" outlineLevel="0" collapsed="false">
      <c r="A1869" s="15" t="s">
        <v>4033</v>
      </c>
      <c r="B1869" s="15" t="s">
        <v>4034</v>
      </c>
      <c r="C1869" s="15" t="s">
        <v>5997</v>
      </c>
      <c r="D1869" s="34" t="n">
        <f aca="false">Activities!M751</f>
        <v>2</v>
      </c>
      <c r="E1869" s="15" t="s">
        <v>5998</v>
      </c>
    </row>
    <row r="1870" customFormat="false" ht="15" hidden="false" customHeight="false" outlineLevel="0" collapsed="false">
      <c r="A1870" s="15" t="s">
        <v>4033</v>
      </c>
      <c r="B1870" s="15" t="s">
        <v>4034</v>
      </c>
      <c r="C1870" s="15" t="s">
        <v>5999</v>
      </c>
      <c r="D1870" s="34" t="n">
        <f aca="false">Activities!N751</f>
        <v>2</v>
      </c>
      <c r="E1870" s="15" t="s">
        <v>5998</v>
      </c>
    </row>
    <row r="1871" customFormat="false" ht="15" hidden="false" customHeight="false" outlineLevel="0" collapsed="false">
      <c r="A1871" s="15" t="s">
        <v>4034</v>
      </c>
      <c r="B1871" s="15" t="s">
        <v>4035</v>
      </c>
      <c r="C1871" s="15" t="s">
        <v>5997</v>
      </c>
      <c r="D1871" s="34" t="n">
        <f aca="false">Activities!M752</f>
        <v>2</v>
      </c>
      <c r="E1871" s="15" t="s">
        <v>5998</v>
      </c>
    </row>
    <row r="1872" customFormat="false" ht="15" hidden="false" customHeight="false" outlineLevel="0" collapsed="false">
      <c r="A1872" s="15" t="s">
        <v>4034</v>
      </c>
      <c r="B1872" s="15" t="s">
        <v>4035</v>
      </c>
      <c r="C1872" s="15" t="s">
        <v>5999</v>
      </c>
      <c r="D1872" s="34" t="n">
        <f aca="false">Activities!N752</f>
        <v>2</v>
      </c>
      <c r="E1872" s="15" t="s">
        <v>5998</v>
      </c>
    </row>
    <row r="1873" customFormat="false" ht="15" hidden="false" customHeight="false" outlineLevel="0" collapsed="false">
      <c r="A1873" s="15" t="s">
        <v>4019</v>
      </c>
      <c r="B1873" s="15" t="s">
        <v>4035</v>
      </c>
      <c r="C1873" s="15" t="s">
        <v>5995</v>
      </c>
      <c r="D1873" s="34" t="n">
        <v>0</v>
      </c>
      <c r="E1873" s="15" t="s">
        <v>6010</v>
      </c>
    </row>
    <row r="1874" customFormat="false" ht="15" hidden="false" customHeight="false" outlineLevel="0" collapsed="false">
      <c r="A1874" s="15" t="s">
        <v>4064</v>
      </c>
      <c r="B1874" s="15" t="s">
        <v>4035</v>
      </c>
      <c r="C1874" s="15" t="s">
        <v>5995</v>
      </c>
      <c r="D1874" s="34" t="n">
        <v>0</v>
      </c>
      <c r="E1874" s="15" t="s">
        <v>6005</v>
      </c>
    </row>
    <row r="1875" customFormat="false" ht="15" hidden="false" customHeight="false" outlineLevel="0" collapsed="false">
      <c r="A1875" s="15" t="s">
        <v>4049</v>
      </c>
      <c r="B1875" s="15" t="s">
        <v>4035</v>
      </c>
      <c r="C1875" s="15" t="s">
        <v>5995</v>
      </c>
      <c r="D1875" s="34" t="n">
        <v>0</v>
      </c>
      <c r="E1875" s="15" t="s">
        <v>6005</v>
      </c>
    </row>
    <row r="1876" customFormat="false" ht="15" hidden="false" customHeight="false" outlineLevel="0" collapsed="false">
      <c r="A1876" s="15" t="s">
        <v>4017</v>
      </c>
      <c r="B1876" s="15" t="s">
        <v>4035</v>
      </c>
      <c r="C1876" s="15" t="s">
        <v>5995</v>
      </c>
      <c r="D1876" s="34" t="n">
        <v>0</v>
      </c>
      <c r="E1876" s="15" t="s">
        <v>6005</v>
      </c>
    </row>
    <row r="1877" customFormat="false" ht="15" hidden="false" customHeight="false" outlineLevel="0" collapsed="false">
      <c r="A1877" s="15" t="s">
        <v>4035</v>
      </c>
      <c r="B1877" s="15" t="s">
        <v>4037</v>
      </c>
      <c r="C1877" s="15" t="s">
        <v>5997</v>
      </c>
      <c r="D1877" s="34" t="n">
        <f aca="false">Activities!M753</f>
        <v>1</v>
      </c>
      <c r="E1877" s="15" t="s">
        <v>5998</v>
      </c>
    </row>
    <row r="1878" customFormat="false" ht="15" hidden="false" customHeight="false" outlineLevel="0" collapsed="false">
      <c r="A1878" s="15" t="s">
        <v>4035</v>
      </c>
      <c r="B1878" s="15" t="s">
        <v>4037</v>
      </c>
      <c r="C1878" s="15" t="s">
        <v>5999</v>
      </c>
      <c r="D1878" s="34" t="n">
        <f aca="false">Activities!N753</f>
        <v>2</v>
      </c>
      <c r="E1878" s="15" t="s">
        <v>5998</v>
      </c>
    </row>
    <row r="1879" customFormat="false" ht="15" hidden="false" customHeight="false" outlineLevel="0" collapsed="false">
      <c r="A1879" s="15" t="s">
        <v>4038</v>
      </c>
      <c r="B1879" s="15" t="s">
        <v>4040</v>
      </c>
      <c r="C1879" s="15" t="s">
        <v>5995</v>
      </c>
      <c r="D1879" s="34" t="n">
        <v>0</v>
      </c>
      <c r="E1879" s="15" t="s">
        <v>5996</v>
      </c>
    </row>
    <row r="1880" customFormat="false" ht="15" hidden="false" customHeight="false" outlineLevel="0" collapsed="false">
      <c r="A1880" s="15" t="s">
        <v>4026</v>
      </c>
      <c r="B1880" s="15" t="s">
        <v>4040</v>
      </c>
      <c r="C1880" s="15" t="s">
        <v>5997</v>
      </c>
      <c r="D1880" s="34" t="n">
        <v>0</v>
      </c>
      <c r="E1880" s="15" t="s">
        <v>6002</v>
      </c>
    </row>
    <row r="1881" customFormat="false" ht="15" hidden="false" customHeight="false" outlineLevel="0" collapsed="false">
      <c r="A1881" s="15" t="s">
        <v>4040</v>
      </c>
      <c r="B1881" s="15" t="s">
        <v>4042</v>
      </c>
      <c r="C1881" s="15" t="s">
        <v>5997</v>
      </c>
      <c r="D1881" s="34" t="n">
        <f aca="false">Activities!M756</f>
        <v>1</v>
      </c>
      <c r="E1881" s="15" t="s">
        <v>5998</v>
      </c>
    </row>
    <row r="1882" customFormat="false" ht="15" hidden="false" customHeight="false" outlineLevel="0" collapsed="false">
      <c r="A1882" s="15" t="s">
        <v>4040</v>
      </c>
      <c r="B1882" s="15" t="s">
        <v>4042</v>
      </c>
      <c r="C1882" s="15" t="s">
        <v>5999</v>
      </c>
      <c r="D1882" s="34" t="n">
        <f aca="false">Activities!N756</f>
        <v>2</v>
      </c>
      <c r="E1882" s="15" t="s">
        <v>5998</v>
      </c>
    </row>
    <row r="1883" customFormat="false" ht="15" hidden="false" customHeight="false" outlineLevel="0" collapsed="false">
      <c r="A1883" s="15" t="s">
        <v>4026</v>
      </c>
      <c r="B1883" s="15" t="s">
        <v>4042</v>
      </c>
      <c r="C1883" s="15" t="s">
        <v>5995</v>
      </c>
      <c r="D1883" s="34" t="n">
        <v>0</v>
      </c>
      <c r="E1883" s="15" t="s">
        <v>6010</v>
      </c>
    </row>
    <row r="1884" customFormat="false" ht="15" hidden="false" customHeight="false" outlineLevel="0" collapsed="false">
      <c r="A1884" s="15" t="s">
        <v>4042</v>
      </c>
      <c r="B1884" s="15" t="s">
        <v>4043</v>
      </c>
      <c r="C1884" s="15" t="s">
        <v>5997</v>
      </c>
      <c r="D1884" s="34" t="n">
        <f aca="false">Activities!M757</f>
        <v>2</v>
      </c>
      <c r="E1884" s="15" t="s">
        <v>5998</v>
      </c>
    </row>
    <row r="1885" customFormat="false" ht="15" hidden="false" customHeight="false" outlineLevel="0" collapsed="false">
      <c r="A1885" s="15" t="s">
        <v>4042</v>
      </c>
      <c r="B1885" s="15" t="s">
        <v>4043</v>
      </c>
      <c r="C1885" s="15" t="s">
        <v>5999</v>
      </c>
      <c r="D1885" s="34" t="n">
        <f aca="false">Activities!N757</f>
        <v>0</v>
      </c>
      <c r="E1885" s="15" t="s">
        <v>5998</v>
      </c>
    </row>
    <row r="1886" customFormat="false" ht="15" hidden="false" customHeight="false" outlineLevel="0" collapsed="false">
      <c r="A1886" s="15" t="s">
        <v>4027</v>
      </c>
      <c r="B1886" s="15" t="s">
        <v>4043</v>
      </c>
      <c r="C1886" s="15" t="s">
        <v>5995</v>
      </c>
      <c r="D1886" s="34" t="n">
        <v>0</v>
      </c>
      <c r="E1886" s="15" t="s">
        <v>6010</v>
      </c>
    </row>
    <row r="1887" customFormat="false" ht="15" hidden="false" customHeight="false" outlineLevel="0" collapsed="false">
      <c r="A1887" s="15" t="s">
        <v>4043</v>
      </c>
      <c r="B1887" s="15" t="s">
        <v>4044</v>
      </c>
      <c r="C1887" s="15" t="s">
        <v>5997</v>
      </c>
      <c r="D1887" s="34" t="n">
        <f aca="false">Activities!M758</f>
        <v>0</v>
      </c>
      <c r="E1887" s="15" t="s">
        <v>5998</v>
      </c>
    </row>
    <row r="1888" customFormat="false" ht="15" hidden="false" customHeight="false" outlineLevel="0" collapsed="false">
      <c r="A1888" s="15" t="s">
        <v>4043</v>
      </c>
      <c r="B1888" s="15" t="s">
        <v>4044</v>
      </c>
      <c r="C1888" s="15" t="s">
        <v>5999</v>
      </c>
      <c r="D1888" s="34" t="n">
        <f aca="false">Activities!N758</f>
        <v>2</v>
      </c>
      <c r="E1888" s="15" t="s">
        <v>5998</v>
      </c>
    </row>
    <row r="1889" customFormat="false" ht="15" hidden="false" customHeight="false" outlineLevel="0" collapsed="false">
      <c r="A1889" s="15" t="s">
        <v>4030</v>
      </c>
      <c r="B1889" s="15" t="s">
        <v>4044</v>
      </c>
      <c r="C1889" s="15" t="s">
        <v>5995</v>
      </c>
      <c r="D1889" s="34" t="n">
        <f aca="false">-Activities!K758</f>
        <v>-10</v>
      </c>
      <c r="E1889" s="15" t="s">
        <v>6004</v>
      </c>
    </row>
    <row r="1890" customFormat="false" ht="15" hidden="false" customHeight="false" outlineLevel="0" collapsed="false">
      <c r="A1890" s="15" t="s">
        <v>4044</v>
      </c>
      <c r="B1890" s="15" t="s">
        <v>4046</v>
      </c>
      <c r="C1890" s="15" t="s">
        <v>5997</v>
      </c>
      <c r="D1890" s="34" t="n">
        <f aca="false">Activities!M759</f>
        <v>10</v>
      </c>
      <c r="E1890" s="15" t="s">
        <v>5998</v>
      </c>
    </row>
    <row r="1891" customFormat="false" ht="15" hidden="false" customHeight="false" outlineLevel="0" collapsed="false">
      <c r="A1891" s="15" t="s">
        <v>4044</v>
      </c>
      <c r="B1891" s="15" t="s">
        <v>4046</v>
      </c>
      <c r="C1891" s="15" t="s">
        <v>5999</v>
      </c>
      <c r="D1891" s="34" t="n">
        <f aca="false">Activities!N759</f>
        <v>2</v>
      </c>
      <c r="E1891" s="15" t="s">
        <v>5998</v>
      </c>
    </row>
    <row r="1892" customFormat="false" ht="15" hidden="false" customHeight="false" outlineLevel="0" collapsed="false">
      <c r="A1892" s="15" t="s">
        <v>4030</v>
      </c>
      <c r="B1892" s="15" t="s">
        <v>4046</v>
      </c>
      <c r="C1892" s="15" t="s">
        <v>5995</v>
      </c>
      <c r="D1892" s="34" t="n">
        <v>0</v>
      </c>
      <c r="E1892" s="15" t="s">
        <v>6010</v>
      </c>
    </row>
    <row r="1893" customFormat="false" ht="15" hidden="false" customHeight="false" outlineLevel="0" collapsed="false">
      <c r="A1893" s="15" t="s">
        <v>4030</v>
      </c>
      <c r="B1893" s="15" t="s">
        <v>4046</v>
      </c>
      <c r="C1893" s="15" t="s">
        <v>5997</v>
      </c>
      <c r="D1893" s="34" t="n">
        <v>0</v>
      </c>
      <c r="E1893" s="15" t="s">
        <v>6006</v>
      </c>
    </row>
    <row r="1894" customFormat="false" ht="15" hidden="false" customHeight="false" outlineLevel="0" collapsed="false">
      <c r="A1894" s="15" t="s">
        <v>3998</v>
      </c>
      <c r="B1894" s="15" t="s">
        <v>4046</v>
      </c>
      <c r="C1894" s="15" t="s">
        <v>5997</v>
      </c>
      <c r="D1894" s="34" t="n">
        <v>0</v>
      </c>
      <c r="E1894" s="15" t="s">
        <v>6006</v>
      </c>
    </row>
    <row r="1895" customFormat="false" ht="15" hidden="false" customHeight="false" outlineLevel="0" collapsed="false">
      <c r="A1895" s="15" t="s">
        <v>4046</v>
      </c>
      <c r="B1895" s="15" t="s">
        <v>4048</v>
      </c>
      <c r="C1895" s="15" t="s">
        <v>5997</v>
      </c>
      <c r="D1895" s="34" t="n">
        <f aca="false">Activities!M760</f>
        <v>1</v>
      </c>
      <c r="E1895" s="15" t="s">
        <v>5998</v>
      </c>
    </row>
    <row r="1896" customFormat="false" ht="15" hidden="false" customHeight="false" outlineLevel="0" collapsed="false">
      <c r="A1896" s="15" t="s">
        <v>4046</v>
      </c>
      <c r="B1896" s="15" t="s">
        <v>4048</v>
      </c>
      <c r="C1896" s="15" t="s">
        <v>5999</v>
      </c>
      <c r="D1896" s="34" t="n">
        <f aca="false">Activities!N760</f>
        <v>2</v>
      </c>
      <c r="E1896" s="15" t="s">
        <v>5998</v>
      </c>
    </row>
    <row r="1897" customFormat="false" ht="15" hidden="false" customHeight="false" outlineLevel="0" collapsed="false">
      <c r="A1897" s="15" t="s">
        <v>4032</v>
      </c>
      <c r="B1897" s="15" t="s">
        <v>4048</v>
      </c>
      <c r="C1897" s="15" t="s">
        <v>5995</v>
      </c>
      <c r="D1897" s="34" t="n">
        <v>0</v>
      </c>
      <c r="E1897" s="15" t="s">
        <v>6010</v>
      </c>
    </row>
    <row r="1898" customFormat="false" ht="15" hidden="false" customHeight="false" outlineLevel="0" collapsed="false">
      <c r="A1898" s="15" t="s">
        <v>4048</v>
      </c>
      <c r="B1898" s="15" t="s">
        <v>4049</v>
      </c>
      <c r="C1898" s="15" t="s">
        <v>5997</v>
      </c>
      <c r="D1898" s="34" t="n">
        <f aca="false">Activities!M761</f>
        <v>2</v>
      </c>
      <c r="E1898" s="15" t="s">
        <v>5998</v>
      </c>
    </row>
    <row r="1899" customFormat="false" ht="15" hidden="false" customHeight="false" outlineLevel="0" collapsed="false">
      <c r="A1899" s="15" t="s">
        <v>4048</v>
      </c>
      <c r="B1899" s="15" t="s">
        <v>4049</v>
      </c>
      <c r="C1899" s="15" t="s">
        <v>5999</v>
      </c>
      <c r="D1899" s="34" t="n">
        <f aca="false">Activities!N761</f>
        <v>2</v>
      </c>
      <c r="E1899" s="15" t="s">
        <v>5998</v>
      </c>
    </row>
    <row r="1900" customFormat="false" ht="15" hidden="false" customHeight="false" outlineLevel="0" collapsed="false">
      <c r="A1900" s="15" t="s">
        <v>4033</v>
      </c>
      <c r="B1900" s="15" t="s">
        <v>4049</v>
      </c>
      <c r="C1900" s="15" t="s">
        <v>5995</v>
      </c>
      <c r="D1900" s="34" t="n">
        <v>0</v>
      </c>
      <c r="E1900" s="15" t="s">
        <v>6010</v>
      </c>
    </row>
    <row r="1901" customFormat="false" ht="15" hidden="false" customHeight="false" outlineLevel="0" collapsed="false">
      <c r="A1901" s="15" t="s">
        <v>4049</v>
      </c>
      <c r="B1901" s="15" t="s">
        <v>4050</v>
      </c>
      <c r="C1901" s="15" t="s">
        <v>5997</v>
      </c>
      <c r="D1901" s="34" t="n">
        <f aca="false">Activities!M762</f>
        <v>1</v>
      </c>
      <c r="E1901" s="15" t="s">
        <v>5998</v>
      </c>
    </row>
    <row r="1902" customFormat="false" ht="15" hidden="false" customHeight="false" outlineLevel="0" collapsed="false">
      <c r="A1902" s="15" t="s">
        <v>4049</v>
      </c>
      <c r="B1902" s="15" t="s">
        <v>4050</v>
      </c>
      <c r="C1902" s="15" t="s">
        <v>5999</v>
      </c>
      <c r="D1902" s="34" t="n">
        <f aca="false">Activities!N762</f>
        <v>2</v>
      </c>
      <c r="E1902" s="15" t="s">
        <v>5998</v>
      </c>
    </row>
    <row r="1903" customFormat="false" ht="15" hidden="false" customHeight="false" outlineLevel="0" collapsed="false">
      <c r="A1903" s="15" t="s">
        <v>4050</v>
      </c>
      <c r="B1903" s="15" t="s">
        <v>4051</v>
      </c>
      <c r="C1903" s="15" t="s">
        <v>5997</v>
      </c>
      <c r="D1903" s="34" t="n">
        <f aca="false">Activities!M763</f>
        <v>2</v>
      </c>
      <c r="E1903" s="15" t="s">
        <v>5998</v>
      </c>
    </row>
    <row r="1904" customFormat="false" ht="15" hidden="false" customHeight="false" outlineLevel="0" collapsed="false">
      <c r="A1904" s="15" t="s">
        <v>4050</v>
      </c>
      <c r="B1904" s="15" t="s">
        <v>4051</v>
      </c>
      <c r="C1904" s="15" t="s">
        <v>5999</v>
      </c>
      <c r="D1904" s="34" t="n">
        <f aca="false">Activities!N763</f>
        <v>2</v>
      </c>
      <c r="E1904" s="15" t="s">
        <v>5998</v>
      </c>
    </row>
    <row r="1905" customFormat="false" ht="15" hidden="false" customHeight="false" outlineLevel="0" collapsed="false">
      <c r="A1905" s="15" t="s">
        <v>4035</v>
      </c>
      <c r="B1905" s="15" t="s">
        <v>4051</v>
      </c>
      <c r="C1905" s="15" t="s">
        <v>5995</v>
      </c>
      <c r="D1905" s="34" t="n">
        <v>0</v>
      </c>
      <c r="E1905" s="15" t="s">
        <v>6010</v>
      </c>
    </row>
    <row r="1906" customFormat="false" ht="15" hidden="false" customHeight="false" outlineLevel="0" collapsed="false">
      <c r="A1906" s="15" t="s">
        <v>4033</v>
      </c>
      <c r="B1906" s="15" t="s">
        <v>4051</v>
      </c>
      <c r="C1906" s="15" t="s">
        <v>5995</v>
      </c>
      <c r="D1906" s="34" t="n">
        <v>0</v>
      </c>
      <c r="E1906" s="15" t="s">
        <v>6005</v>
      </c>
    </row>
    <row r="1907" customFormat="false" ht="15" hidden="false" customHeight="false" outlineLevel="0" collapsed="false">
      <c r="A1907" s="15" t="s">
        <v>4001</v>
      </c>
      <c r="B1907" s="15" t="s">
        <v>4051</v>
      </c>
      <c r="C1907" s="15" t="s">
        <v>5995</v>
      </c>
      <c r="D1907" s="34" t="n">
        <v>0</v>
      </c>
      <c r="E1907" s="15" t="s">
        <v>6005</v>
      </c>
    </row>
    <row r="1908" customFormat="false" ht="15" hidden="false" customHeight="false" outlineLevel="0" collapsed="false">
      <c r="A1908" s="15" t="s">
        <v>4051</v>
      </c>
      <c r="B1908" s="15" t="s">
        <v>4052</v>
      </c>
      <c r="C1908" s="15" t="s">
        <v>5997</v>
      </c>
      <c r="D1908" s="34" t="n">
        <f aca="false">Activities!M764</f>
        <v>1</v>
      </c>
      <c r="E1908" s="15" t="s">
        <v>5998</v>
      </c>
    </row>
    <row r="1909" customFormat="false" ht="15" hidden="false" customHeight="false" outlineLevel="0" collapsed="false">
      <c r="A1909" s="15" t="s">
        <v>4051</v>
      </c>
      <c r="B1909" s="15" t="s">
        <v>4052</v>
      </c>
      <c r="C1909" s="15" t="s">
        <v>5999</v>
      </c>
      <c r="D1909" s="34" t="n">
        <f aca="false">Activities!N764</f>
        <v>2</v>
      </c>
      <c r="E1909" s="15" t="s">
        <v>5998</v>
      </c>
    </row>
    <row r="1910" customFormat="false" ht="15" hidden="false" customHeight="false" outlineLevel="0" collapsed="false">
      <c r="A1910" s="15" t="s">
        <v>4053</v>
      </c>
      <c r="B1910" s="15" t="s">
        <v>4055</v>
      </c>
      <c r="C1910" s="15" t="s">
        <v>5995</v>
      </c>
      <c r="D1910" s="34" t="n">
        <v>0</v>
      </c>
      <c r="E1910" s="15" t="s">
        <v>5996</v>
      </c>
    </row>
    <row r="1911" customFormat="false" ht="15" hidden="false" customHeight="false" outlineLevel="0" collapsed="false">
      <c r="A1911" s="15" t="s">
        <v>4042</v>
      </c>
      <c r="B1911" s="15" t="s">
        <v>4055</v>
      </c>
      <c r="C1911" s="15" t="s">
        <v>5997</v>
      </c>
      <c r="D1911" s="34" t="n">
        <v>0</v>
      </c>
      <c r="E1911" s="15" t="s">
        <v>6002</v>
      </c>
    </row>
    <row r="1912" customFormat="false" ht="15" hidden="false" customHeight="false" outlineLevel="0" collapsed="false">
      <c r="A1912" s="15" t="s">
        <v>4055</v>
      </c>
      <c r="B1912" s="15" t="s">
        <v>4057</v>
      </c>
      <c r="C1912" s="15" t="s">
        <v>5997</v>
      </c>
      <c r="D1912" s="34" t="n">
        <f aca="false">Activities!M767</f>
        <v>1</v>
      </c>
      <c r="E1912" s="15" t="s">
        <v>5998</v>
      </c>
    </row>
    <row r="1913" customFormat="false" ht="15" hidden="false" customHeight="false" outlineLevel="0" collapsed="false">
      <c r="A1913" s="15" t="s">
        <v>4055</v>
      </c>
      <c r="B1913" s="15" t="s">
        <v>4057</v>
      </c>
      <c r="C1913" s="15" t="s">
        <v>5999</v>
      </c>
      <c r="D1913" s="34" t="n">
        <f aca="false">Activities!N767</f>
        <v>2</v>
      </c>
      <c r="E1913" s="15" t="s">
        <v>5998</v>
      </c>
    </row>
    <row r="1914" customFormat="false" ht="15" hidden="false" customHeight="false" outlineLevel="0" collapsed="false">
      <c r="A1914" s="15" t="s">
        <v>4042</v>
      </c>
      <c r="B1914" s="15" t="s">
        <v>4057</v>
      </c>
      <c r="C1914" s="15" t="s">
        <v>5995</v>
      </c>
      <c r="D1914" s="34" t="n">
        <v>0</v>
      </c>
      <c r="E1914" s="15" t="s">
        <v>6010</v>
      </c>
    </row>
    <row r="1915" customFormat="false" ht="15" hidden="false" customHeight="false" outlineLevel="0" collapsed="false">
      <c r="A1915" s="15" t="s">
        <v>4057</v>
      </c>
      <c r="B1915" s="15" t="s">
        <v>4058</v>
      </c>
      <c r="C1915" s="15" t="s">
        <v>5997</v>
      </c>
      <c r="D1915" s="34" t="n">
        <f aca="false">Activities!M768</f>
        <v>2</v>
      </c>
      <c r="E1915" s="15" t="s">
        <v>5998</v>
      </c>
    </row>
    <row r="1916" customFormat="false" ht="15" hidden="false" customHeight="false" outlineLevel="0" collapsed="false">
      <c r="A1916" s="15" t="s">
        <v>4057</v>
      </c>
      <c r="B1916" s="15" t="s">
        <v>4058</v>
      </c>
      <c r="C1916" s="15" t="s">
        <v>5999</v>
      </c>
      <c r="D1916" s="34" t="n">
        <f aca="false">Activities!N768</f>
        <v>0</v>
      </c>
      <c r="E1916" s="15" t="s">
        <v>5998</v>
      </c>
    </row>
    <row r="1917" customFormat="false" ht="15" hidden="false" customHeight="false" outlineLevel="0" collapsed="false">
      <c r="A1917" s="15" t="s">
        <v>4043</v>
      </c>
      <c r="B1917" s="15" t="s">
        <v>4058</v>
      </c>
      <c r="C1917" s="15" t="s">
        <v>5995</v>
      </c>
      <c r="D1917" s="34" t="n">
        <v>0</v>
      </c>
      <c r="E1917" s="15" t="s">
        <v>6010</v>
      </c>
    </row>
    <row r="1918" customFormat="false" ht="15" hidden="false" customHeight="false" outlineLevel="0" collapsed="false">
      <c r="A1918" s="15" t="s">
        <v>4058</v>
      </c>
      <c r="B1918" s="15" t="s">
        <v>4059</v>
      </c>
      <c r="C1918" s="15" t="s">
        <v>5997</v>
      </c>
      <c r="D1918" s="34" t="n">
        <f aca="false">Activities!M769</f>
        <v>0</v>
      </c>
      <c r="E1918" s="15" t="s">
        <v>5998</v>
      </c>
    </row>
    <row r="1919" customFormat="false" ht="15" hidden="false" customHeight="false" outlineLevel="0" collapsed="false">
      <c r="A1919" s="15" t="s">
        <v>4058</v>
      </c>
      <c r="B1919" s="15" t="s">
        <v>4059</v>
      </c>
      <c r="C1919" s="15" t="s">
        <v>5999</v>
      </c>
      <c r="D1919" s="34" t="n">
        <f aca="false">Activities!N769</f>
        <v>2</v>
      </c>
      <c r="E1919" s="15" t="s">
        <v>5998</v>
      </c>
    </row>
    <row r="1920" customFormat="false" ht="15" hidden="false" customHeight="false" outlineLevel="0" collapsed="false">
      <c r="A1920" s="15" t="s">
        <v>4046</v>
      </c>
      <c r="B1920" s="15" t="s">
        <v>4059</v>
      </c>
      <c r="C1920" s="15" t="s">
        <v>5995</v>
      </c>
      <c r="D1920" s="34" t="n">
        <f aca="false">-Activities!K769</f>
        <v>-10</v>
      </c>
      <c r="E1920" s="15" t="s">
        <v>6004</v>
      </c>
    </row>
    <row r="1921" customFormat="false" ht="15" hidden="false" customHeight="false" outlineLevel="0" collapsed="false">
      <c r="A1921" s="15" t="s">
        <v>4059</v>
      </c>
      <c r="B1921" s="15" t="s">
        <v>4061</v>
      </c>
      <c r="C1921" s="15" t="s">
        <v>5997</v>
      </c>
      <c r="D1921" s="34" t="n">
        <f aca="false">Activities!M770</f>
        <v>10</v>
      </c>
      <c r="E1921" s="15" t="s">
        <v>5998</v>
      </c>
    </row>
    <row r="1922" customFormat="false" ht="15" hidden="false" customHeight="false" outlineLevel="0" collapsed="false">
      <c r="A1922" s="15" t="s">
        <v>4059</v>
      </c>
      <c r="B1922" s="15" t="s">
        <v>4061</v>
      </c>
      <c r="C1922" s="15" t="s">
        <v>5999</v>
      </c>
      <c r="D1922" s="34" t="n">
        <f aca="false">Activities!N770</f>
        <v>2</v>
      </c>
      <c r="E1922" s="15" t="s">
        <v>5998</v>
      </c>
    </row>
    <row r="1923" customFormat="false" ht="15" hidden="false" customHeight="false" outlineLevel="0" collapsed="false">
      <c r="A1923" s="15" t="s">
        <v>4046</v>
      </c>
      <c r="B1923" s="15" t="s">
        <v>4061</v>
      </c>
      <c r="C1923" s="15" t="s">
        <v>5995</v>
      </c>
      <c r="D1923" s="34" t="n">
        <v>0</v>
      </c>
      <c r="E1923" s="15" t="s">
        <v>6010</v>
      </c>
    </row>
    <row r="1924" customFormat="false" ht="15" hidden="false" customHeight="false" outlineLevel="0" collapsed="false">
      <c r="A1924" s="15" t="s">
        <v>4030</v>
      </c>
      <c r="B1924" s="15" t="s">
        <v>4061</v>
      </c>
      <c r="C1924" s="15" t="s">
        <v>5997</v>
      </c>
      <c r="D1924" s="34" t="n">
        <v>0</v>
      </c>
      <c r="E1924" s="15" t="s">
        <v>6006</v>
      </c>
    </row>
    <row r="1925" customFormat="false" ht="15" hidden="false" customHeight="false" outlineLevel="0" collapsed="false">
      <c r="A1925" s="15" t="s">
        <v>4061</v>
      </c>
      <c r="B1925" s="15" t="s">
        <v>4063</v>
      </c>
      <c r="C1925" s="15" t="s">
        <v>5997</v>
      </c>
      <c r="D1925" s="34" t="n">
        <f aca="false">Activities!M771</f>
        <v>1</v>
      </c>
      <c r="E1925" s="15" t="s">
        <v>5998</v>
      </c>
    </row>
    <row r="1926" customFormat="false" ht="15" hidden="false" customHeight="false" outlineLevel="0" collapsed="false">
      <c r="A1926" s="15" t="s">
        <v>4061</v>
      </c>
      <c r="B1926" s="15" t="s">
        <v>4063</v>
      </c>
      <c r="C1926" s="15" t="s">
        <v>5999</v>
      </c>
      <c r="D1926" s="34" t="n">
        <f aca="false">Activities!N771</f>
        <v>2</v>
      </c>
      <c r="E1926" s="15" t="s">
        <v>5998</v>
      </c>
    </row>
    <row r="1927" customFormat="false" ht="15" hidden="false" customHeight="false" outlineLevel="0" collapsed="false">
      <c r="A1927" s="15" t="s">
        <v>4048</v>
      </c>
      <c r="B1927" s="15" t="s">
        <v>4063</v>
      </c>
      <c r="C1927" s="15" t="s">
        <v>5995</v>
      </c>
      <c r="D1927" s="34" t="n">
        <v>0</v>
      </c>
      <c r="E1927" s="15" t="s">
        <v>6010</v>
      </c>
    </row>
    <row r="1928" customFormat="false" ht="15" hidden="false" customHeight="false" outlineLevel="0" collapsed="false">
      <c r="A1928" s="15" t="s">
        <v>4063</v>
      </c>
      <c r="B1928" s="15" t="s">
        <v>4064</v>
      </c>
      <c r="C1928" s="15" t="s">
        <v>5997</v>
      </c>
      <c r="D1928" s="34" t="n">
        <f aca="false">Activities!M772</f>
        <v>2</v>
      </c>
      <c r="E1928" s="15" t="s">
        <v>5998</v>
      </c>
    </row>
    <row r="1929" customFormat="false" ht="15" hidden="false" customHeight="false" outlineLevel="0" collapsed="false">
      <c r="A1929" s="15" t="s">
        <v>4063</v>
      </c>
      <c r="B1929" s="15" t="s">
        <v>4064</v>
      </c>
      <c r="C1929" s="15" t="s">
        <v>5999</v>
      </c>
      <c r="D1929" s="34" t="n">
        <f aca="false">Activities!N772</f>
        <v>2</v>
      </c>
      <c r="E1929" s="15" t="s">
        <v>5998</v>
      </c>
    </row>
    <row r="1930" customFormat="false" ht="15" hidden="false" customHeight="false" outlineLevel="0" collapsed="false">
      <c r="A1930" s="15" t="s">
        <v>4049</v>
      </c>
      <c r="B1930" s="15" t="s">
        <v>4064</v>
      </c>
      <c r="C1930" s="15" t="s">
        <v>5995</v>
      </c>
      <c r="D1930" s="34" t="n">
        <v>0</v>
      </c>
      <c r="E1930" s="15" t="s">
        <v>6010</v>
      </c>
    </row>
    <row r="1931" customFormat="false" ht="15" hidden="false" customHeight="false" outlineLevel="0" collapsed="false">
      <c r="A1931" s="15" t="s">
        <v>4064</v>
      </c>
      <c r="B1931" s="15" t="s">
        <v>4065</v>
      </c>
      <c r="C1931" s="15" t="s">
        <v>5997</v>
      </c>
      <c r="D1931" s="34" t="n">
        <f aca="false">Activities!M773</f>
        <v>1</v>
      </c>
      <c r="E1931" s="15" t="s">
        <v>5998</v>
      </c>
    </row>
    <row r="1932" customFormat="false" ht="15" hidden="false" customHeight="false" outlineLevel="0" collapsed="false">
      <c r="A1932" s="15" t="s">
        <v>4064</v>
      </c>
      <c r="B1932" s="15" t="s">
        <v>4065</v>
      </c>
      <c r="C1932" s="15" t="s">
        <v>5999</v>
      </c>
      <c r="D1932" s="34" t="n">
        <f aca="false">Activities!N773</f>
        <v>2</v>
      </c>
      <c r="E1932" s="15" t="s">
        <v>5998</v>
      </c>
    </row>
    <row r="1933" customFormat="false" ht="15" hidden="false" customHeight="false" outlineLevel="0" collapsed="false">
      <c r="A1933" s="15" t="s">
        <v>4065</v>
      </c>
      <c r="B1933" s="15" t="s">
        <v>4066</v>
      </c>
      <c r="C1933" s="15" t="s">
        <v>5997</v>
      </c>
      <c r="D1933" s="34" t="n">
        <f aca="false">Activities!M774</f>
        <v>2</v>
      </c>
      <c r="E1933" s="15" t="s">
        <v>5998</v>
      </c>
    </row>
    <row r="1934" customFormat="false" ht="15" hidden="false" customHeight="false" outlineLevel="0" collapsed="false">
      <c r="A1934" s="15" t="s">
        <v>4065</v>
      </c>
      <c r="B1934" s="15" t="s">
        <v>4066</v>
      </c>
      <c r="C1934" s="15" t="s">
        <v>5999</v>
      </c>
      <c r="D1934" s="34" t="n">
        <f aca="false">Activities!N774</f>
        <v>2</v>
      </c>
      <c r="E1934" s="15" t="s">
        <v>5998</v>
      </c>
    </row>
    <row r="1935" customFormat="false" ht="15" hidden="false" customHeight="false" outlineLevel="0" collapsed="false">
      <c r="A1935" s="15" t="s">
        <v>4051</v>
      </c>
      <c r="B1935" s="15" t="s">
        <v>4066</v>
      </c>
      <c r="C1935" s="15" t="s">
        <v>5995</v>
      </c>
      <c r="D1935" s="34" t="n">
        <v>0</v>
      </c>
      <c r="E1935" s="15" t="s">
        <v>6010</v>
      </c>
    </row>
    <row r="1936" customFormat="false" ht="15" hidden="false" customHeight="false" outlineLevel="0" collapsed="false">
      <c r="A1936" s="15" t="s">
        <v>4033</v>
      </c>
      <c r="B1936" s="15" t="s">
        <v>4066</v>
      </c>
      <c r="C1936" s="15" t="s">
        <v>5995</v>
      </c>
      <c r="D1936" s="34" t="n">
        <v>0</v>
      </c>
      <c r="E1936" s="15" t="s">
        <v>6005</v>
      </c>
    </row>
    <row r="1937" customFormat="false" ht="15" hidden="false" customHeight="false" outlineLevel="0" collapsed="false">
      <c r="A1937" s="15" t="s">
        <v>4066</v>
      </c>
      <c r="B1937" s="15" t="s">
        <v>4068</v>
      </c>
      <c r="C1937" s="15" t="s">
        <v>5997</v>
      </c>
      <c r="D1937" s="34" t="n">
        <f aca="false">Activities!M775</f>
        <v>1</v>
      </c>
      <c r="E1937" s="15" t="s">
        <v>5998</v>
      </c>
    </row>
    <row r="1938" customFormat="false" ht="15" hidden="false" customHeight="false" outlineLevel="0" collapsed="false">
      <c r="A1938" s="15" t="s">
        <v>4066</v>
      </c>
      <c r="B1938" s="15" t="s">
        <v>4068</v>
      </c>
      <c r="C1938" s="15" t="s">
        <v>5999</v>
      </c>
      <c r="D1938" s="34" t="n">
        <f aca="false">Activities!N775</f>
        <v>2</v>
      </c>
      <c r="E1938" s="15" t="s">
        <v>5998</v>
      </c>
    </row>
    <row r="1939" customFormat="false" ht="15" hidden="false" customHeight="false" outlineLevel="0" collapsed="false">
      <c r="A1939" s="15" t="s">
        <v>4069</v>
      </c>
      <c r="B1939" s="15" t="s">
        <v>4071</v>
      </c>
      <c r="C1939" s="15" t="s">
        <v>5995</v>
      </c>
      <c r="D1939" s="34" t="n">
        <v>0</v>
      </c>
      <c r="E1939" s="15" t="s">
        <v>5996</v>
      </c>
    </row>
    <row r="1940" customFormat="false" ht="15" hidden="false" customHeight="false" outlineLevel="0" collapsed="false">
      <c r="A1940" s="15" t="s">
        <v>3936</v>
      </c>
      <c r="B1940" s="15" t="s">
        <v>4071</v>
      </c>
      <c r="C1940" s="15" t="s">
        <v>5997</v>
      </c>
      <c r="D1940" s="34" t="n">
        <v>0</v>
      </c>
      <c r="E1940" s="15" t="s">
        <v>6000</v>
      </c>
    </row>
    <row r="1941" customFormat="false" ht="15" hidden="false" customHeight="false" outlineLevel="0" collapsed="false">
      <c r="A1941" s="15" t="s">
        <v>4071</v>
      </c>
      <c r="B1941" s="15" t="s">
        <v>4073</v>
      </c>
      <c r="C1941" s="15" t="s">
        <v>5997</v>
      </c>
      <c r="D1941" s="34" t="n">
        <f aca="false">Activities!M778</f>
        <v>1</v>
      </c>
      <c r="E1941" s="15" t="s">
        <v>5998</v>
      </c>
    </row>
    <row r="1942" customFormat="false" ht="15" hidden="false" customHeight="false" outlineLevel="0" collapsed="false">
      <c r="A1942" s="15" t="s">
        <v>4071</v>
      </c>
      <c r="B1942" s="15" t="s">
        <v>4073</v>
      </c>
      <c r="C1942" s="15" t="s">
        <v>5999</v>
      </c>
      <c r="D1942" s="34" t="n">
        <f aca="false">Activities!N778</f>
        <v>2</v>
      </c>
      <c r="E1942" s="15" t="s">
        <v>5998</v>
      </c>
    </row>
    <row r="1943" customFormat="false" ht="15" hidden="false" customHeight="false" outlineLevel="0" collapsed="false">
      <c r="A1943" s="15" t="s">
        <v>4073</v>
      </c>
      <c r="B1943" s="15" t="s">
        <v>4074</v>
      </c>
      <c r="C1943" s="15" t="s">
        <v>5997</v>
      </c>
      <c r="D1943" s="34" t="n">
        <f aca="false">Activities!M779</f>
        <v>1</v>
      </c>
      <c r="E1943" s="15" t="s">
        <v>5998</v>
      </c>
    </row>
    <row r="1944" customFormat="false" ht="15" hidden="false" customHeight="false" outlineLevel="0" collapsed="false">
      <c r="A1944" s="15" t="s">
        <v>4073</v>
      </c>
      <c r="B1944" s="15" t="s">
        <v>4074</v>
      </c>
      <c r="C1944" s="15" t="s">
        <v>5999</v>
      </c>
      <c r="D1944" s="34" t="n">
        <f aca="false">Activities!N779</f>
        <v>2</v>
      </c>
      <c r="E1944" s="15" t="s">
        <v>5998</v>
      </c>
    </row>
    <row r="1945" customFormat="false" ht="15" hidden="false" customHeight="false" outlineLevel="0" collapsed="false">
      <c r="A1945" s="15" t="s">
        <v>4074</v>
      </c>
      <c r="B1945" s="15" t="s">
        <v>4075</v>
      </c>
      <c r="C1945" s="15" t="s">
        <v>5997</v>
      </c>
      <c r="D1945" s="34" t="n">
        <f aca="false">Activities!M780</f>
        <v>1</v>
      </c>
      <c r="E1945" s="15" t="s">
        <v>5998</v>
      </c>
    </row>
    <row r="1946" customFormat="false" ht="15" hidden="false" customHeight="false" outlineLevel="0" collapsed="false">
      <c r="A1946" s="15" t="s">
        <v>4074</v>
      </c>
      <c r="B1946" s="15" t="s">
        <v>4075</v>
      </c>
      <c r="C1946" s="15" t="s">
        <v>5999</v>
      </c>
      <c r="D1946" s="34" t="n">
        <f aca="false">Activities!N780</f>
        <v>2</v>
      </c>
      <c r="E1946" s="15" t="s">
        <v>5998</v>
      </c>
    </row>
    <row r="1947" customFormat="false" ht="15" hidden="false" customHeight="false" outlineLevel="0" collapsed="false">
      <c r="A1947" s="15" t="s">
        <v>4075</v>
      </c>
      <c r="B1947" s="15" t="s">
        <v>4076</v>
      </c>
      <c r="C1947" s="15" t="s">
        <v>5997</v>
      </c>
      <c r="D1947" s="34" t="n">
        <f aca="false">Activities!M781</f>
        <v>10</v>
      </c>
      <c r="E1947" s="15" t="s">
        <v>5998</v>
      </c>
    </row>
    <row r="1948" customFormat="false" ht="15" hidden="false" customHeight="false" outlineLevel="0" collapsed="false">
      <c r="A1948" s="15" t="s">
        <v>4075</v>
      </c>
      <c r="B1948" s="15" t="s">
        <v>4076</v>
      </c>
      <c r="C1948" s="15" t="s">
        <v>5999</v>
      </c>
      <c r="D1948" s="34" t="n">
        <f aca="false">Activities!N781</f>
        <v>2</v>
      </c>
      <c r="E1948" s="15" t="s">
        <v>5998</v>
      </c>
    </row>
    <row r="1949" customFormat="false" ht="15" hidden="false" customHeight="false" outlineLevel="0" collapsed="false">
      <c r="A1949" s="15" t="s">
        <v>4076</v>
      </c>
      <c r="B1949" s="15" t="s">
        <v>4077</v>
      </c>
      <c r="C1949" s="15" t="s">
        <v>5997</v>
      </c>
      <c r="D1949" s="34" t="n">
        <f aca="false">Activities!M782</f>
        <v>1</v>
      </c>
      <c r="E1949" s="15" t="s">
        <v>5998</v>
      </c>
    </row>
    <row r="1950" customFormat="false" ht="15" hidden="false" customHeight="false" outlineLevel="0" collapsed="false">
      <c r="A1950" s="15" t="s">
        <v>4076</v>
      </c>
      <c r="B1950" s="15" t="s">
        <v>4077</v>
      </c>
      <c r="C1950" s="15" t="s">
        <v>5999</v>
      </c>
      <c r="D1950" s="34" t="n">
        <f aca="false">Activities!N782</f>
        <v>2</v>
      </c>
      <c r="E1950" s="15" t="s">
        <v>5998</v>
      </c>
    </row>
    <row r="1951" customFormat="false" ht="15" hidden="false" customHeight="false" outlineLevel="0" collapsed="false">
      <c r="A1951" s="15" t="s">
        <v>4077</v>
      </c>
      <c r="B1951" s="15" t="s">
        <v>4078</v>
      </c>
      <c r="C1951" s="15" t="s">
        <v>5997</v>
      </c>
      <c r="D1951" s="34" t="n">
        <f aca="false">Activities!M783</f>
        <v>2</v>
      </c>
      <c r="E1951" s="15" t="s">
        <v>5998</v>
      </c>
    </row>
    <row r="1952" customFormat="false" ht="15" hidden="false" customHeight="false" outlineLevel="0" collapsed="false">
      <c r="A1952" s="15" t="s">
        <v>4077</v>
      </c>
      <c r="B1952" s="15" t="s">
        <v>4078</v>
      </c>
      <c r="C1952" s="15" t="s">
        <v>5999</v>
      </c>
      <c r="D1952" s="34" t="n">
        <f aca="false">Activities!N783</f>
        <v>2</v>
      </c>
      <c r="E1952" s="15" t="s">
        <v>5998</v>
      </c>
    </row>
    <row r="1953" customFormat="false" ht="15" hidden="false" customHeight="false" outlineLevel="0" collapsed="false">
      <c r="A1953" s="15" t="s">
        <v>3943</v>
      </c>
      <c r="B1953" s="15" t="s">
        <v>4078</v>
      </c>
      <c r="C1953" s="15" t="s">
        <v>5995</v>
      </c>
      <c r="D1953" s="34" t="n">
        <v>0</v>
      </c>
      <c r="E1953" s="15" t="s">
        <v>6001</v>
      </c>
    </row>
    <row r="1954" customFormat="false" ht="15" hidden="false" customHeight="false" outlineLevel="0" collapsed="false">
      <c r="A1954" s="15" t="s">
        <v>4078</v>
      </c>
      <c r="B1954" s="15" t="s">
        <v>4080</v>
      </c>
      <c r="C1954" s="15" t="s">
        <v>5997</v>
      </c>
      <c r="D1954" s="34" t="n">
        <f aca="false">Activities!M784</f>
        <v>2</v>
      </c>
      <c r="E1954" s="15" t="s">
        <v>5998</v>
      </c>
    </row>
    <row r="1955" customFormat="false" ht="15" hidden="false" customHeight="false" outlineLevel="0" collapsed="false">
      <c r="A1955" s="15" t="s">
        <v>4078</v>
      </c>
      <c r="B1955" s="15" t="s">
        <v>4080</v>
      </c>
      <c r="C1955" s="15" t="s">
        <v>5999</v>
      </c>
      <c r="D1955" s="34" t="n">
        <f aca="false">Activities!N784</f>
        <v>2</v>
      </c>
      <c r="E1955" s="15" t="s">
        <v>5998</v>
      </c>
    </row>
    <row r="1956" customFormat="false" ht="15" hidden="false" customHeight="false" outlineLevel="0" collapsed="false">
      <c r="A1956" s="15" t="s">
        <v>4080</v>
      </c>
      <c r="B1956" s="15" t="s">
        <v>4081</v>
      </c>
      <c r="C1956" s="15" t="s">
        <v>5997</v>
      </c>
      <c r="D1956" s="34" t="n">
        <f aca="false">Activities!M785</f>
        <v>2</v>
      </c>
      <c r="E1956" s="15" t="s">
        <v>5998</v>
      </c>
    </row>
    <row r="1957" customFormat="false" ht="15" hidden="false" customHeight="false" outlineLevel="0" collapsed="false">
      <c r="A1957" s="15" t="s">
        <v>4080</v>
      </c>
      <c r="B1957" s="15" t="s">
        <v>4081</v>
      </c>
      <c r="C1957" s="15" t="s">
        <v>5999</v>
      </c>
      <c r="D1957" s="34" t="n">
        <f aca="false">Activities!N785</f>
        <v>2</v>
      </c>
      <c r="E1957" s="15" t="s">
        <v>5998</v>
      </c>
    </row>
    <row r="1958" customFormat="false" ht="15" hidden="false" customHeight="false" outlineLevel="0" collapsed="false">
      <c r="A1958" s="15" t="s">
        <v>4081</v>
      </c>
      <c r="B1958" s="15" t="s">
        <v>4082</v>
      </c>
      <c r="C1958" s="15" t="s">
        <v>5997</v>
      </c>
      <c r="D1958" s="34" t="n">
        <f aca="false">Activities!M786</f>
        <v>1</v>
      </c>
      <c r="E1958" s="15" t="s">
        <v>5998</v>
      </c>
    </row>
    <row r="1959" customFormat="false" ht="15" hidden="false" customHeight="false" outlineLevel="0" collapsed="false">
      <c r="A1959" s="15" t="s">
        <v>4081</v>
      </c>
      <c r="B1959" s="15" t="s">
        <v>4082</v>
      </c>
      <c r="C1959" s="15" t="s">
        <v>5999</v>
      </c>
      <c r="D1959" s="34" t="n">
        <f aca="false">Activities!N786</f>
        <v>2</v>
      </c>
      <c r="E1959" s="15" t="s">
        <v>5998</v>
      </c>
    </row>
    <row r="1960" customFormat="false" ht="15" hidden="false" customHeight="false" outlineLevel="0" collapsed="false">
      <c r="A1960" s="15" t="s">
        <v>4083</v>
      </c>
      <c r="B1960" s="15" t="s">
        <v>4085</v>
      </c>
      <c r="C1960" s="15" t="s">
        <v>5995</v>
      </c>
      <c r="D1960" s="34" t="n">
        <v>0</v>
      </c>
      <c r="E1960" s="15" t="s">
        <v>5996</v>
      </c>
    </row>
    <row r="1961" customFormat="false" ht="15" hidden="false" customHeight="false" outlineLevel="0" collapsed="false">
      <c r="A1961" s="15" t="s">
        <v>5916</v>
      </c>
      <c r="B1961" s="15" t="s">
        <v>4085</v>
      </c>
      <c r="C1961" s="15" t="s">
        <v>5997</v>
      </c>
      <c r="D1961" s="34" t="n">
        <v>0</v>
      </c>
      <c r="E1961" s="15" t="s">
        <v>6000</v>
      </c>
    </row>
    <row r="1962" customFormat="false" ht="15" hidden="false" customHeight="false" outlineLevel="0" collapsed="false">
      <c r="A1962" s="15" t="s">
        <v>4085</v>
      </c>
      <c r="B1962" s="15" t="s">
        <v>4087</v>
      </c>
      <c r="C1962" s="15" t="s">
        <v>5997</v>
      </c>
      <c r="D1962" s="34" t="n">
        <f aca="false">Activities!M789</f>
        <v>1</v>
      </c>
      <c r="E1962" s="15" t="s">
        <v>5998</v>
      </c>
    </row>
    <row r="1963" customFormat="false" ht="15" hidden="false" customHeight="false" outlineLevel="0" collapsed="false">
      <c r="A1963" s="15" t="s">
        <v>4085</v>
      </c>
      <c r="B1963" s="15" t="s">
        <v>4087</v>
      </c>
      <c r="C1963" s="15" t="s">
        <v>5999</v>
      </c>
      <c r="D1963" s="34" t="n">
        <f aca="false">Activities!N789</f>
        <v>2</v>
      </c>
      <c r="E1963" s="15" t="s">
        <v>5998</v>
      </c>
    </row>
    <row r="1964" customFormat="false" ht="15" hidden="false" customHeight="false" outlineLevel="0" collapsed="false">
      <c r="A1964" s="15" t="s">
        <v>4087</v>
      </c>
      <c r="B1964" s="15" t="s">
        <v>4088</v>
      </c>
      <c r="C1964" s="15" t="s">
        <v>5997</v>
      </c>
      <c r="D1964" s="34" t="n">
        <f aca="false">Activities!M790</f>
        <v>2</v>
      </c>
      <c r="E1964" s="15" t="s">
        <v>5998</v>
      </c>
    </row>
    <row r="1965" customFormat="false" ht="15" hidden="false" customHeight="false" outlineLevel="0" collapsed="false">
      <c r="A1965" s="15" t="s">
        <v>4087</v>
      </c>
      <c r="B1965" s="15" t="s">
        <v>4088</v>
      </c>
      <c r="C1965" s="15" t="s">
        <v>5999</v>
      </c>
      <c r="D1965" s="34" t="n">
        <f aca="false">Activities!N790</f>
        <v>0</v>
      </c>
      <c r="E1965" s="15" t="s">
        <v>5998</v>
      </c>
    </row>
    <row r="1966" customFormat="false" ht="15" hidden="false" customHeight="false" outlineLevel="0" collapsed="false">
      <c r="A1966" s="15" t="s">
        <v>4088</v>
      </c>
      <c r="B1966" s="15" t="s">
        <v>4089</v>
      </c>
      <c r="C1966" s="15" t="s">
        <v>5997</v>
      </c>
      <c r="D1966" s="34" t="n">
        <f aca="false">Activities!M791</f>
        <v>0</v>
      </c>
      <c r="E1966" s="15" t="s">
        <v>5998</v>
      </c>
    </row>
    <row r="1967" customFormat="false" ht="15" hidden="false" customHeight="false" outlineLevel="0" collapsed="false">
      <c r="A1967" s="15" t="s">
        <v>4088</v>
      </c>
      <c r="B1967" s="15" t="s">
        <v>4089</v>
      </c>
      <c r="C1967" s="15" t="s">
        <v>5999</v>
      </c>
      <c r="D1967" s="34" t="n">
        <f aca="false">Activities!N791</f>
        <v>2</v>
      </c>
      <c r="E1967" s="15" t="s">
        <v>5998</v>
      </c>
    </row>
    <row r="1968" customFormat="false" ht="15" hidden="false" customHeight="false" outlineLevel="0" collapsed="false">
      <c r="A1968" s="15" t="s">
        <v>4089</v>
      </c>
      <c r="B1968" s="15" t="s">
        <v>4090</v>
      </c>
      <c r="C1968" s="15" t="s">
        <v>5997</v>
      </c>
      <c r="D1968" s="34" t="n">
        <f aca="false">Activities!M792</f>
        <v>10</v>
      </c>
      <c r="E1968" s="15" t="s">
        <v>5998</v>
      </c>
    </row>
    <row r="1969" customFormat="false" ht="15" hidden="false" customHeight="false" outlineLevel="0" collapsed="false">
      <c r="A1969" s="15" t="s">
        <v>4089</v>
      </c>
      <c r="B1969" s="15" t="s">
        <v>4090</v>
      </c>
      <c r="C1969" s="15" t="s">
        <v>5999</v>
      </c>
      <c r="D1969" s="34" t="n">
        <f aca="false">Activities!N792</f>
        <v>2</v>
      </c>
      <c r="E1969" s="15" t="s">
        <v>5998</v>
      </c>
    </row>
    <row r="1970" customFormat="false" ht="15" hidden="false" customHeight="false" outlineLevel="0" collapsed="false">
      <c r="A1970" s="15" t="s">
        <v>5861</v>
      </c>
      <c r="B1970" s="15" t="s">
        <v>4090</v>
      </c>
      <c r="C1970" s="15" t="s">
        <v>5995</v>
      </c>
      <c r="D1970" s="34" t="n">
        <v>0</v>
      </c>
      <c r="E1970" s="15" t="s">
        <v>6008</v>
      </c>
    </row>
    <row r="1971" customFormat="false" ht="15" hidden="false" customHeight="false" outlineLevel="0" collapsed="false">
      <c r="A1971" s="15" t="s">
        <v>5909</v>
      </c>
      <c r="B1971" s="15" t="s">
        <v>4090</v>
      </c>
      <c r="C1971" s="15" t="s">
        <v>5995</v>
      </c>
      <c r="D1971" s="34" t="n">
        <v>0</v>
      </c>
      <c r="E1971" s="15" t="s">
        <v>6008</v>
      </c>
    </row>
    <row r="1972" customFormat="false" ht="15" hidden="false" customHeight="false" outlineLevel="0" collapsed="false">
      <c r="A1972" s="15" t="s">
        <v>5877</v>
      </c>
      <c r="B1972" s="15" t="s">
        <v>4090</v>
      </c>
      <c r="C1972" s="15" t="s">
        <v>5995</v>
      </c>
      <c r="D1972" s="34" t="n">
        <v>0</v>
      </c>
      <c r="E1972" s="15" t="s">
        <v>6008</v>
      </c>
    </row>
    <row r="1973" customFormat="false" ht="15" hidden="false" customHeight="false" outlineLevel="0" collapsed="false">
      <c r="A1973" s="15" t="s">
        <v>5830</v>
      </c>
      <c r="B1973" s="15" t="s">
        <v>4090</v>
      </c>
      <c r="C1973" s="15" t="s">
        <v>5995</v>
      </c>
      <c r="D1973" s="34" t="n">
        <v>0</v>
      </c>
      <c r="E1973" s="15" t="s">
        <v>6008</v>
      </c>
    </row>
    <row r="1974" customFormat="false" ht="15" hidden="false" customHeight="false" outlineLevel="0" collapsed="false">
      <c r="A1974" s="15" t="s">
        <v>4090</v>
      </c>
      <c r="B1974" s="15" t="s">
        <v>4092</v>
      </c>
      <c r="C1974" s="15" t="s">
        <v>5997</v>
      </c>
      <c r="D1974" s="34" t="n">
        <f aca="false">Activities!M793</f>
        <v>1</v>
      </c>
      <c r="E1974" s="15" t="s">
        <v>5998</v>
      </c>
    </row>
    <row r="1975" customFormat="false" ht="15" hidden="false" customHeight="false" outlineLevel="0" collapsed="false">
      <c r="A1975" s="15" t="s">
        <v>4090</v>
      </c>
      <c r="B1975" s="15" t="s">
        <v>4092</v>
      </c>
      <c r="C1975" s="15" t="s">
        <v>5999</v>
      </c>
      <c r="D1975" s="34" t="n">
        <f aca="false">Activities!N793</f>
        <v>2</v>
      </c>
      <c r="E1975" s="15" t="s">
        <v>5998</v>
      </c>
    </row>
    <row r="1976" customFormat="false" ht="15" hidden="false" customHeight="false" outlineLevel="0" collapsed="false">
      <c r="A1976" s="15" t="s">
        <v>4092</v>
      </c>
      <c r="B1976" s="15" t="s">
        <v>4093</v>
      </c>
      <c r="C1976" s="15" t="s">
        <v>5997</v>
      </c>
      <c r="D1976" s="34" t="n">
        <f aca="false">Activities!M794</f>
        <v>2</v>
      </c>
      <c r="E1976" s="15" t="s">
        <v>5998</v>
      </c>
    </row>
    <row r="1977" customFormat="false" ht="15" hidden="false" customHeight="false" outlineLevel="0" collapsed="false">
      <c r="A1977" s="15" t="s">
        <v>4092</v>
      </c>
      <c r="B1977" s="15" t="s">
        <v>4093</v>
      </c>
      <c r="C1977" s="15" t="s">
        <v>5999</v>
      </c>
      <c r="D1977" s="34" t="n">
        <f aca="false">Activities!N794</f>
        <v>2</v>
      </c>
      <c r="E1977" s="15" t="s">
        <v>5998</v>
      </c>
    </row>
    <row r="1978" customFormat="false" ht="15" hidden="false" customHeight="false" outlineLevel="0" collapsed="false">
      <c r="A1978" s="15" t="s">
        <v>5923</v>
      </c>
      <c r="B1978" s="15" t="s">
        <v>4093</v>
      </c>
      <c r="C1978" s="15" t="s">
        <v>5995</v>
      </c>
      <c r="D1978" s="34" t="n">
        <v>0</v>
      </c>
      <c r="E1978" s="15" t="s">
        <v>6001</v>
      </c>
    </row>
    <row r="1979" customFormat="false" ht="15" hidden="false" customHeight="false" outlineLevel="0" collapsed="false">
      <c r="A1979" s="15" t="s">
        <v>4093</v>
      </c>
      <c r="B1979" s="15" t="s">
        <v>4095</v>
      </c>
      <c r="C1979" s="15" t="s">
        <v>5997</v>
      </c>
      <c r="D1979" s="34" t="n">
        <f aca="false">Activities!M795</f>
        <v>2</v>
      </c>
      <c r="E1979" s="15" t="s">
        <v>5998</v>
      </c>
    </row>
    <row r="1980" customFormat="false" ht="15" hidden="false" customHeight="false" outlineLevel="0" collapsed="false">
      <c r="A1980" s="15" t="s">
        <v>4093</v>
      </c>
      <c r="B1980" s="15" t="s">
        <v>4095</v>
      </c>
      <c r="C1980" s="15" t="s">
        <v>5999</v>
      </c>
      <c r="D1980" s="34" t="n">
        <f aca="false">Activities!N795</f>
        <v>2</v>
      </c>
      <c r="E1980" s="15" t="s">
        <v>5998</v>
      </c>
    </row>
    <row r="1981" customFormat="false" ht="15" hidden="false" customHeight="false" outlineLevel="0" collapsed="false">
      <c r="A1981" s="15" t="s">
        <v>4095</v>
      </c>
      <c r="B1981" s="15" t="s">
        <v>4096</v>
      </c>
      <c r="C1981" s="15" t="s">
        <v>5997</v>
      </c>
      <c r="D1981" s="34" t="n">
        <f aca="false">Activities!M796</f>
        <v>2</v>
      </c>
      <c r="E1981" s="15" t="s">
        <v>5998</v>
      </c>
    </row>
    <row r="1982" customFormat="false" ht="15" hidden="false" customHeight="false" outlineLevel="0" collapsed="false">
      <c r="A1982" s="15" t="s">
        <v>4095</v>
      </c>
      <c r="B1982" s="15" t="s">
        <v>4096</v>
      </c>
      <c r="C1982" s="15" t="s">
        <v>5999</v>
      </c>
      <c r="D1982" s="34" t="n">
        <f aca="false">Activities!N796</f>
        <v>2</v>
      </c>
      <c r="E1982" s="15" t="s">
        <v>5998</v>
      </c>
    </row>
    <row r="1983" customFormat="false" ht="15" hidden="false" customHeight="false" outlineLevel="0" collapsed="false">
      <c r="A1983" s="15" t="s">
        <v>4096</v>
      </c>
      <c r="B1983" s="15" t="s">
        <v>4097</v>
      </c>
      <c r="C1983" s="15" t="s">
        <v>5997</v>
      </c>
      <c r="D1983" s="34" t="n">
        <f aca="false">Activities!M797</f>
        <v>1</v>
      </c>
      <c r="E1983" s="15" t="s">
        <v>5998</v>
      </c>
    </row>
    <row r="1984" customFormat="false" ht="15" hidden="false" customHeight="false" outlineLevel="0" collapsed="false">
      <c r="A1984" s="15" t="s">
        <v>4096</v>
      </c>
      <c r="B1984" s="15" t="s">
        <v>4097</v>
      </c>
      <c r="C1984" s="15" t="s">
        <v>5999</v>
      </c>
      <c r="D1984" s="34" t="n">
        <f aca="false">Activities!N797</f>
        <v>2</v>
      </c>
      <c r="E1984" s="15" t="s">
        <v>5998</v>
      </c>
    </row>
    <row r="1985" customFormat="false" ht="15" hidden="false" customHeight="false" outlineLevel="0" collapsed="false">
      <c r="A1985" s="15" t="s">
        <v>4098</v>
      </c>
      <c r="B1985" s="15" t="s">
        <v>4100</v>
      </c>
      <c r="C1985" s="15" t="s">
        <v>5995</v>
      </c>
      <c r="D1985" s="34" t="n">
        <v>0</v>
      </c>
      <c r="E1985" s="15" t="s">
        <v>5996</v>
      </c>
    </row>
    <row r="1986" customFormat="false" ht="15" hidden="false" customHeight="false" outlineLevel="0" collapsed="false">
      <c r="A1986" s="15" t="s">
        <v>5792</v>
      </c>
      <c r="B1986" s="15" t="s">
        <v>4100</v>
      </c>
      <c r="C1986" s="15" t="s">
        <v>5997</v>
      </c>
      <c r="D1986" s="34" t="n">
        <v>0</v>
      </c>
      <c r="E1986" s="15" t="s">
        <v>6000</v>
      </c>
    </row>
    <row r="1987" customFormat="false" ht="15" hidden="false" customHeight="false" outlineLevel="0" collapsed="false">
      <c r="A1987" s="15" t="s">
        <v>4100</v>
      </c>
      <c r="B1987" s="15" t="s">
        <v>4102</v>
      </c>
      <c r="C1987" s="15" t="s">
        <v>5997</v>
      </c>
      <c r="D1987" s="34" t="n">
        <f aca="false">Activities!M800</f>
        <v>1</v>
      </c>
      <c r="E1987" s="15" t="s">
        <v>5998</v>
      </c>
    </row>
    <row r="1988" customFormat="false" ht="15" hidden="false" customHeight="false" outlineLevel="0" collapsed="false">
      <c r="A1988" s="15" t="s">
        <v>4100</v>
      </c>
      <c r="B1988" s="15" t="s">
        <v>4102</v>
      </c>
      <c r="C1988" s="15" t="s">
        <v>5999</v>
      </c>
      <c r="D1988" s="34" t="n">
        <f aca="false">Activities!N800</f>
        <v>2</v>
      </c>
      <c r="E1988" s="15" t="s">
        <v>5998</v>
      </c>
    </row>
    <row r="1989" customFormat="false" ht="15" hidden="false" customHeight="false" outlineLevel="0" collapsed="false">
      <c r="A1989" s="15" t="s">
        <v>4102</v>
      </c>
      <c r="B1989" s="15" t="s">
        <v>4103</v>
      </c>
      <c r="C1989" s="15" t="s">
        <v>5997</v>
      </c>
      <c r="D1989" s="34" t="n">
        <f aca="false">Activities!M801</f>
        <v>1</v>
      </c>
      <c r="E1989" s="15" t="s">
        <v>5998</v>
      </c>
    </row>
    <row r="1990" customFormat="false" ht="15" hidden="false" customHeight="false" outlineLevel="0" collapsed="false">
      <c r="A1990" s="15" t="s">
        <v>4102</v>
      </c>
      <c r="B1990" s="15" t="s">
        <v>4103</v>
      </c>
      <c r="C1990" s="15" t="s">
        <v>5999</v>
      </c>
      <c r="D1990" s="34" t="n">
        <f aca="false">Activities!N801</f>
        <v>2</v>
      </c>
      <c r="E1990" s="15" t="s">
        <v>5998</v>
      </c>
    </row>
    <row r="1991" customFormat="false" ht="15" hidden="false" customHeight="false" outlineLevel="0" collapsed="false">
      <c r="A1991" s="15" t="s">
        <v>4103</v>
      </c>
      <c r="B1991" s="15" t="s">
        <v>4104</v>
      </c>
      <c r="C1991" s="15" t="s">
        <v>5997</v>
      </c>
      <c r="D1991" s="34" t="n">
        <f aca="false">Activities!M802</f>
        <v>1</v>
      </c>
      <c r="E1991" s="15" t="s">
        <v>5998</v>
      </c>
    </row>
    <row r="1992" customFormat="false" ht="15" hidden="false" customHeight="false" outlineLevel="0" collapsed="false">
      <c r="A1992" s="15" t="s">
        <v>4103</v>
      </c>
      <c r="B1992" s="15" t="s">
        <v>4104</v>
      </c>
      <c r="C1992" s="15" t="s">
        <v>5999</v>
      </c>
      <c r="D1992" s="34" t="n">
        <f aca="false">Activities!N802</f>
        <v>2</v>
      </c>
      <c r="E1992" s="15" t="s">
        <v>5998</v>
      </c>
    </row>
    <row r="1993" customFormat="false" ht="15" hidden="false" customHeight="false" outlineLevel="0" collapsed="false">
      <c r="A1993" s="15" t="s">
        <v>4104</v>
      </c>
      <c r="B1993" s="15" t="s">
        <v>4105</v>
      </c>
      <c r="C1993" s="15" t="s">
        <v>5997</v>
      </c>
      <c r="D1993" s="34" t="n">
        <f aca="false">Activities!M803</f>
        <v>10</v>
      </c>
      <c r="E1993" s="15" t="s">
        <v>5998</v>
      </c>
    </row>
    <row r="1994" customFormat="false" ht="15" hidden="false" customHeight="false" outlineLevel="0" collapsed="false">
      <c r="A1994" s="15" t="s">
        <v>4104</v>
      </c>
      <c r="B1994" s="15" t="s">
        <v>4105</v>
      </c>
      <c r="C1994" s="15" t="s">
        <v>5999</v>
      </c>
      <c r="D1994" s="34" t="n">
        <f aca="false">Activities!N803</f>
        <v>2</v>
      </c>
      <c r="E1994" s="15" t="s">
        <v>5998</v>
      </c>
    </row>
    <row r="1995" customFormat="false" ht="15" hidden="false" customHeight="false" outlineLevel="0" collapsed="false">
      <c r="A1995" s="15" t="s">
        <v>4105</v>
      </c>
      <c r="B1995" s="15" t="s">
        <v>4106</v>
      </c>
      <c r="C1995" s="15" t="s">
        <v>5997</v>
      </c>
      <c r="D1995" s="34" t="n">
        <f aca="false">Activities!M804</f>
        <v>1</v>
      </c>
      <c r="E1995" s="15" t="s">
        <v>5998</v>
      </c>
    </row>
    <row r="1996" customFormat="false" ht="15" hidden="false" customHeight="false" outlineLevel="0" collapsed="false">
      <c r="A1996" s="15" t="s">
        <v>4105</v>
      </c>
      <c r="B1996" s="15" t="s">
        <v>4106</v>
      </c>
      <c r="C1996" s="15" t="s">
        <v>5999</v>
      </c>
      <c r="D1996" s="34" t="n">
        <f aca="false">Activities!N804</f>
        <v>2</v>
      </c>
      <c r="E1996" s="15" t="s">
        <v>5998</v>
      </c>
    </row>
    <row r="1997" customFormat="false" ht="15" hidden="false" customHeight="false" outlineLevel="0" collapsed="false">
      <c r="A1997" s="15" t="s">
        <v>4106</v>
      </c>
      <c r="B1997" s="15" t="s">
        <v>4107</v>
      </c>
      <c r="C1997" s="15" t="s">
        <v>5997</v>
      </c>
      <c r="D1997" s="34" t="n">
        <f aca="false">Activities!M805</f>
        <v>2</v>
      </c>
      <c r="E1997" s="15" t="s">
        <v>5998</v>
      </c>
    </row>
    <row r="1998" customFormat="false" ht="15" hidden="false" customHeight="false" outlineLevel="0" collapsed="false">
      <c r="A1998" s="15" t="s">
        <v>4106</v>
      </c>
      <c r="B1998" s="15" t="s">
        <v>4107</v>
      </c>
      <c r="C1998" s="15" t="s">
        <v>5999</v>
      </c>
      <c r="D1998" s="34" t="n">
        <f aca="false">Activities!N805</f>
        <v>2</v>
      </c>
      <c r="E1998" s="15" t="s">
        <v>5998</v>
      </c>
    </row>
    <row r="1999" customFormat="false" ht="15" hidden="false" customHeight="false" outlineLevel="0" collapsed="false">
      <c r="A1999" s="15" t="s">
        <v>5798</v>
      </c>
      <c r="B1999" s="15" t="s">
        <v>4107</v>
      </c>
      <c r="C1999" s="15" t="s">
        <v>5995</v>
      </c>
      <c r="D1999" s="34" t="n">
        <v>0</v>
      </c>
      <c r="E1999" s="15" t="s">
        <v>6001</v>
      </c>
    </row>
    <row r="2000" customFormat="false" ht="15" hidden="false" customHeight="false" outlineLevel="0" collapsed="false">
      <c r="A2000" s="15" t="s">
        <v>4107</v>
      </c>
      <c r="B2000" s="15" t="s">
        <v>4109</v>
      </c>
      <c r="C2000" s="15" t="s">
        <v>5997</v>
      </c>
      <c r="D2000" s="34" t="n">
        <f aca="false">Activities!M806</f>
        <v>2</v>
      </c>
      <c r="E2000" s="15" t="s">
        <v>5998</v>
      </c>
    </row>
    <row r="2001" customFormat="false" ht="15" hidden="false" customHeight="false" outlineLevel="0" collapsed="false">
      <c r="A2001" s="15" t="s">
        <v>4107</v>
      </c>
      <c r="B2001" s="15" t="s">
        <v>4109</v>
      </c>
      <c r="C2001" s="15" t="s">
        <v>5999</v>
      </c>
      <c r="D2001" s="34" t="n">
        <f aca="false">Activities!N806</f>
        <v>2</v>
      </c>
      <c r="E2001" s="15" t="s">
        <v>5998</v>
      </c>
    </row>
    <row r="2002" customFormat="false" ht="15" hidden="false" customHeight="false" outlineLevel="0" collapsed="false">
      <c r="A2002" s="15" t="s">
        <v>4109</v>
      </c>
      <c r="B2002" s="15" t="s">
        <v>4110</v>
      </c>
      <c r="C2002" s="15" t="s">
        <v>5997</v>
      </c>
      <c r="D2002" s="34" t="n">
        <f aca="false">Activities!M807</f>
        <v>2</v>
      </c>
      <c r="E2002" s="15" t="s">
        <v>5998</v>
      </c>
    </row>
    <row r="2003" customFormat="false" ht="15" hidden="false" customHeight="false" outlineLevel="0" collapsed="false">
      <c r="A2003" s="15" t="s">
        <v>4109</v>
      </c>
      <c r="B2003" s="15" t="s">
        <v>4110</v>
      </c>
      <c r="C2003" s="15" t="s">
        <v>5999</v>
      </c>
      <c r="D2003" s="34" t="n">
        <f aca="false">Activities!N807</f>
        <v>2</v>
      </c>
      <c r="E2003" s="15" t="s">
        <v>5998</v>
      </c>
    </row>
    <row r="2004" customFormat="false" ht="15" hidden="false" customHeight="false" outlineLevel="0" collapsed="false">
      <c r="A2004" s="15" t="s">
        <v>4110</v>
      </c>
      <c r="B2004" s="15" t="s">
        <v>4111</v>
      </c>
      <c r="C2004" s="15" t="s">
        <v>5997</v>
      </c>
      <c r="D2004" s="34" t="n">
        <f aca="false">Activities!M808</f>
        <v>1</v>
      </c>
      <c r="E2004" s="15" t="s">
        <v>5998</v>
      </c>
    </row>
    <row r="2005" customFormat="false" ht="15" hidden="false" customHeight="false" outlineLevel="0" collapsed="false">
      <c r="A2005" s="15" t="s">
        <v>4110</v>
      </c>
      <c r="B2005" s="15" t="s">
        <v>4111</v>
      </c>
      <c r="C2005" s="15" t="s">
        <v>5999</v>
      </c>
      <c r="D2005" s="34" t="n">
        <f aca="false">Activities!N808</f>
        <v>2</v>
      </c>
      <c r="E2005" s="15" t="s">
        <v>5998</v>
      </c>
    </row>
    <row r="2006" customFormat="false" ht="15" hidden="false" customHeight="false" outlineLevel="0" collapsed="false">
      <c r="A2006" s="15" t="s">
        <v>4112</v>
      </c>
      <c r="B2006" s="15" t="s">
        <v>4114</v>
      </c>
      <c r="C2006" s="15" t="s">
        <v>5995</v>
      </c>
      <c r="D2006" s="34" t="n">
        <v>0</v>
      </c>
      <c r="E2006" s="15" t="s">
        <v>5996</v>
      </c>
    </row>
    <row r="2007" customFormat="false" ht="15" hidden="false" customHeight="false" outlineLevel="0" collapsed="false">
      <c r="A2007" s="15" t="s">
        <v>4057</v>
      </c>
      <c r="B2007" s="15" t="s">
        <v>4114</v>
      </c>
      <c r="C2007" s="15" t="s">
        <v>5997</v>
      </c>
      <c r="D2007" s="34" t="n">
        <v>0</v>
      </c>
      <c r="E2007" s="15" t="s">
        <v>6002</v>
      </c>
    </row>
    <row r="2008" customFormat="false" ht="15" hidden="false" customHeight="false" outlineLevel="0" collapsed="false">
      <c r="A2008" s="15" t="s">
        <v>4114</v>
      </c>
      <c r="B2008" s="15" t="s">
        <v>4116</v>
      </c>
      <c r="C2008" s="15" t="s">
        <v>5997</v>
      </c>
      <c r="D2008" s="34" t="n">
        <f aca="false">Activities!M811</f>
        <v>1</v>
      </c>
      <c r="E2008" s="15" t="s">
        <v>5998</v>
      </c>
    </row>
    <row r="2009" customFormat="false" ht="15" hidden="false" customHeight="false" outlineLevel="0" collapsed="false">
      <c r="A2009" s="15" t="s">
        <v>4114</v>
      </c>
      <c r="B2009" s="15" t="s">
        <v>4116</v>
      </c>
      <c r="C2009" s="15" t="s">
        <v>5999</v>
      </c>
      <c r="D2009" s="34" t="n">
        <f aca="false">Activities!N811</f>
        <v>2</v>
      </c>
      <c r="E2009" s="15" t="s">
        <v>5998</v>
      </c>
    </row>
    <row r="2010" customFormat="false" ht="15" hidden="false" customHeight="false" outlineLevel="0" collapsed="false">
      <c r="A2010" s="15" t="s">
        <v>4057</v>
      </c>
      <c r="B2010" s="15" t="s">
        <v>4116</v>
      </c>
      <c r="C2010" s="15" t="s">
        <v>5995</v>
      </c>
      <c r="D2010" s="34" t="n">
        <v>0</v>
      </c>
      <c r="E2010" s="15" t="s">
        <v>6010</v>
      </c>
    </row>
    <row r="2011" customFormat="false" ht="15" hidden="false" customHeight="false" outlineLevel="0" collapsed="false">
      <c r="A2011" s="15" t="s">
        <v>4116</v>
      </c>
      <c r="B2011" s="15" t="s">
        <v>4117</v>
      </c>
      <c r="C2011" s="15" t="s">
        <v>5997</v>
      </c>
      <c r="D2011" s="34" t="n">
        <f aca="false">Activities!M812</f>
        <v>1</v>
      </c>
      <c r="E2011" s="15" t="s">
        <v>5998</v>
      </c>
    </row>
    <row r="2012" customFormat="false" ht="15" hidden="false" customHeight="false" outlineLevel="0" collapsed="false">
      <c r="A2012" s="15" t="s">
        <v>4116</v>
      </c>
      <c r="B2012" s="15" t="s">
        <v>4117</v>
      </c>
      <c r="C2012" s="15" t="s">
        <v>5999</v>
      </c>
      <c r="D2012" s="34" t="n">
        <f aca="false">Activities!N812</f>
        <v>0</v>
      </c>
      <c r="E2012" s="15" t="s">
        <v>5998</v>
      </c>
    </row>
    <row r="2013" customFormat="false" ht="15" hidden="false" customHeight="false" outlineLevel="0" collapsed="false">
      <c r="A2013" s="15" t="s">
        <v>4058</v>
      </c>
      <c r="B2013" s="15" t="s">
        <v>4117</v>
      </c>
      <c r="C2013" s="15" t="s">
        <v>5995</v>
      </c>
      <c r="D2013" s="34" t="n">
        <v>0</v>
      </c>
      <c r="E2013" s="15" t="s">
        <v>6010</v>
      </c>
    </row>
    <row r="2014" customFormat="false" ht="15" hidden="false" customHeight="false" outlineLevel="0" collapsed="false">
      <c r="A2014" s="15" t="s">
        <v>4117</v>
      </c>
      <c r="B2014" s="15" t="s">
        <v>4118</v>
      </c>
      <c r="C2014" s="15" t="s">
        <v>5997</v>
      </c>
      <c r="D2014" s="34" t="n">
        <f aca="false">Activities!M813</f>
        <v>0</v>
      </c>
      <c r="E2014" s="15" t="s">
        <v>5998</v>
      </c>
    </row>
    <row r="2015" customFormat="false" ht="15" hidden="false" customHeight="false" outlineLevel="0" collapsed="false">
      <c r="A2015" s="15" t="s">
        <v>4117</v>
      </c>
      <c r="B2015" s="15" t="s">
        <v>4118</v>
      </c>
      <c r="C2015" s="15" t="s">
        <v>5999</v>
      </c>
      <c r="D2015" s="34" t="n">
        <f aca="false">Activities!N813</f>
        <v>2</v>
      </c>
      <c r="E2015" s="15" t="s">
        <v>5998</v>
      </c>
    </row>
    <row r="2016" customFormat="false" ht="15" hidden="false" customHeight="false" outlineLevel="0" collapsed="false">
      <c r="A2016" s="15" t="s">
        <v>4061</v>
      </c>
      <c r="B2016" s="15" t="s">
        <v>4118</v>
      </c>
      <c r="C2016" s="15" t="s">
        <v>5995</v>
      </c>
      <c r="D2016" s="34" t="n">
        <f aca="false">-Activities!K813</f>
        <v>-10</v>
      </c>
      <c r="E2016" s="15" t="s">
        <v>6004</v>
      </c>
    </row>
    <row r="2017" customFormat="false" ht="15" hidden="false" customHeight="false" outlineLevel="0" collapsed="false">
      <c r="A2017" s="15" t="s">
        <v>4118</v>
      </c>
      <c r="B2017" s="15" t="s">
        <v>4120</v>
      </c>
      <c r="C2017" s="15" t="s">
        <v>5997</v>
      </c>
      <c r="D2017" s="34" t="n">
        <f aca="false">Activities!M814</f>
        <v>10</v>
      </c>
      <c r="E2017" s="15" t="s">
        <v>5998</v>
      </c>
    </row>
    <row r="2018" customFormat="false" ht="15" hidden="false" customHeight="false" outlineLevel="0" collapsed="false">
      <c r="A2018" s="15" t="s">
        <v>4118</v>
      </c>
      <c r="B2018" s="15" t="s">
        <v>4120</v>
      </c>
      <c r="C2018" s="15" t="s">
        <v>5999</v>
      </c>
      <c r="D2018" s="34" t="n">
        <f aca="false">Activities!N814</f>
        <v>2</v>
      </c>
      <c r="E2018" s="15" t="s">
        <v>5998</v>
      </c>
    </row>
    <row r="2019" customFormat="false" ht="15" hidden="false" customHeight="false" outlineLevel="0" collapsed="false">
      <c r="A2019" s="15" t="s">
        <v>4061</v>
      </c>
      <c r="B2019" s="15" t="s">
        <v>4120</v>
      </c>
      <c r="C2019" s="15" t="s">
        <v>5995</v>
      </c>
      <c r="D2019" s="34" t="n">
        <v>0</v>
      </c>
      <c r="E2019" s="15" t="s">
        <v>6010</v>
      </c>
    </row>
    <row r="2020" customFormat="false" ht="15" hidden="false" customHeight="false" outlineLevel="0" collapsed="false">
      <c r="A2020" s="15" t="s">
        <v>4120</v>
      </c>
      <c r="B2020" s="15" t="s">
        <v>4121</v>
      </c>
      <c r="C2020" s="15" t="s">
        <v>5997</v>
      </c>
      <c r="D2020" s="34" t="n">
        <f aca="false">Activities!M815</f>
        <v>1</v>
      </c>
      <c r="E2020" s="15" t="s">
        <v>5998</v>
      </c>
    </row>
    <row r="2021" customFormat="false" ht="15" hidden="false" customHeight="false" outlineLevel="0" collapsed="false">
      <c r="A2021" s="15" t="s">
        <v>4120</v>
      </c>
      <c r="B2021" s="15" t="s">
        <v>4121</v>
      </c>
      <c r="C2021" s="15" t="s">
        <v>5999</v>
      </c>
      <c r="D2021" s="34" t="n">
        <f aca="false">Activities!N815</f>
        <v>2</v>
      </c>
      <c r="E2021" s="15" t="s">
        <v>5998</v>
      </c>
    </row>
    <row r="2022" customFormat="false" ht="15" hidden="false" customHeight="false" outlineLevel="0" collapsed="false">
      <c r="A2022" s="15" t="s">
        <v>4063</v>
      </c>
      <c r="B2022" s="15" t="s">
        <v>4121</v>
      </c>
      <c r="C2022" s="15" t="s">
        <v>5995</v>
      </c>
      <c r="D2022" s="34" t="n">
        <v>0</v>
      </c>
      <c r="E2022" s="15" t="s">
        <v>6010</v>
      </c>
    </row>
    <row r="2023" customFormat="false" ht="15" hidden="false" customHeight="false" outlineLevel="0" collapsed="false">
      <c r="A2023" s="15" t="s">
        <v>4121</v>
      </c>
      <c r="B2023" s="15" t="s">
        <v>4122</v>
      </c>
      <c r="C2023" s="15" t="s">
        <v>5997</v>
      </c>
      <c r="D2023" s="34" t="n">
        <f aca="false">Activities!M816</f>
        <v>2</v>
      </c>
      <c r="E2023" s="15" t="s">
        <v>5998</v>
      </c>
    </row>
    <row r="2024" customFormat="false" ht="15" hidden="false" customHeight="false" outlineLevel="0" collapsed="false">
      <c r="A2024" s="15" t="s">
        <v>4121</v>
      </c>
      <c r="B2024" s="15" t="s">
        <v>4122</v>
      </c>
      <c r="C2024" s="15" t="s">
        <v>5999</v>
      </c>
      <c r="D2024" s="34" t="n">
        <f aca="false">Activities!N816</f>
        <v>2</v>
      </c>
      <c r="E2024" s="15" t="s">
        <v>5998</v>
      </c>
    </row>
    <row r="2025" customFormat="false" ht="15" hidden="false" customHeight="false" outlineLevel="0" collapsed="false">
      <c r="A2025" s="15" t="s">
        <v>4064</v>
      </c>
      <c r="B2025" s="15" t="s">
        <v>4122</v>
      </c>
      <c r="C2025" s="15" t="s">
        <v>5995</v>
      </c>
      <c r="D2025" s="34" t="n">
        <v>0</v>
      </c>
      <c r="E2025" s="15" t="s">
        <v>6010</v>
      </c>
    </row>
    <row r="2026" customFormat="false" ht="15" hidden="false" customHeight="false" outlineLevel="0" collapsed="false">
      <c r="A2026" s="15" t="s">
        <v>4122</v>
      </c>
      <c r="B2026" s="15" t="s">
        <v>4123</v>
      </c>
      <c r="C2026" s="15" t="s">
        <v>5997</v>
      </c>
      <c r="D2026" s="34" t="n">
        <f aca="false">Activities!M817</f>
        <v>1</v>
      </c>
      <c r="E2026" s="15" t="s">
        <v>5998</v>
      </c>
    </row>
    <row r="2027" customFormat="false" ht="15" hidden="false" customHeight="false" outlineLevel="0" collapsed="false">
      <c r="A2027" s="15" t="s">
        <v>4122</v>
      </c>
      <c r="B2027" s="15" t="s">
        <v>4123</v>
      </c>
      <c r="C2027" s="15" t="s">
        <v>5999</v>
      </c>
      <c r="D2027" s="34" t="n">
        <f aca="false">Activities!N817</f>
        <v>2</v>
      </c>
      <c r="E2027" s="15" t="s">
        <v>5998</v>
      </c>
    </row>
    <row r="2028" customFormat="false" ht="15" hidden="false" customHeight="false" outlineLevel="0" collapsed="false">
      <c r="A2028" s="15" t="s">
        <v>4123</v>
      </c>
      <c r="B2028" s="15" t="s">
        <v>4124</v>
      </c>
      <c r="C2028" s="15" t="s">
        <v>5997</v>
      </c>
      <c r="D2028" s="34" t="n">
        <f aca="false">Activities!M818</f>
        <v>2</v>
      </c>
      <c r="E2028" s="15" t="s">
        <v>5998</v>
      </c>
    </row>
    <row r="2029" customFormat="false" ht="15" hidden="false" customHeight="false" outlineLevel="0" collapsed="false">
      <c r="A2029" s="15" t="s">
        <v>4123</v>
      </c>
      <c r="B2029" s="15" t="s">
        <v>4124</v>
      </c>
      <c r="C2029" s="15" t="s">
        <v>5999</v>
      </c>
      <c r="D2029" s="34" t="n">
        <f aca="false">Activities!N818</f>
        <v>2</v>
      </c>
      <c r="E2029" s="15" t="s">
        <v>5998</v>
      </c>
    </row>
    <row r="2030" customFormat="false" ht="15" hidden="false" customHeight="false" outlineLevel="0" collapsed="false">
      <c r="A2030" s="15" t="s">
        <v>4066</v>
      </c>
      <c r="B2030" s="15" t="s">
        <v>4124</v>
      </c>
      <c r="C2030" s="15" t="s">
        <v>5995</v>
      </c>
      <c r="D2030" s="34" t="n">
        <v>0</v>
      </c>
      <c r="E2030" s="15" t="s">
        <v>6010</v>
      </c>
    </row>
    <row r="2031" customFormat="false" ht="15" hidden="false" customHeight="false" outlineLevel="0" collapsed="false">
      <c r="A2031" s="15" t="s">
        <v>4124</v>
      </c>
      <c r="B2031" s="15" t="s">
        <v>4125</v>
      </c>
      <c r="C2031" s="15" t="s">
        <v>5997</v>
      </c>
      <c r="D2031" s="34" t="n">
        <f aca="false">Activities!M819</f>
        <v>1</v>
      </c>
      <c r="E2031" s="15" t="s">
        <v>5998</v>
      </c>
    </row>
    <row r="2032" customFormat="false" ht="15" hidden="false" customHeight="false" outlineLevel="0" collapsed="false">
      <c r="A2032" s="15" t="s">
        <v>4124</v>
      </c>
      <c r="B2032" s="15" t="s">
        <v>4125</v>
      </c>
      <c r="C2032" s="15" t="s">
        <v>5999</v>
      </c>
      <c r="D2032" s="34" t="n">
        <f aca="false">Activities!N819</f>
        <v>2</v>
      </c>
      <c r="E2032" s="15" t="s">
        <v>5998</v>
      </c>
    </row>
    <row r="2033" customFormat="false" ht="15" hidden="false" customHeight="false" outlineLevel="0" collapsed="false">
      <c r="A2033" s="15" t="s">
        <v>4126</v>
      </c>
      <c r="B2033" s="15" t="s">
        <v>4128</v>
      </c>
      <c r="C2033" s="15" t="s">
        <v>5995</v>
      </c>
      <c r="D2033" s="34" t="n">
        <v>0</v>
      </c>
      <c r="E2033" s="15" t="s">
        <v>5996</v>
      </c>
    </row>
    <row r="2034" customFormat="false" ht="15" hidden="false" customHeight="false" outlineLevel="0" collapsed="false">
      <c r="A2034" s="15" t="s">
        <v>4116</v>
      </c>
      <c r="B2034" s="15" t="s">
        <v>4128</v>
      </c>
      <c r="C2034" s="15" t="s">
        <v>5997</v>
      </c>
      <c r="D2034" s="34" t="n">
        <v>0</v>
      </c>
      <c r="E2034" s="15" t="s">
        <v>6002</v>
      </c>
    </row>
    <row r="2035" customFormat="false" ht="15" hidden="false" customHeight="false" outlineLevel="0" collapsed="false">
      <c r="A2035" s="15" t="s">
        <v>4128</v>
      </c>
      <c r="B2035" s="15" t="s">
        <v>4130</v>
      </c>
      <c r="C2035" s="15" t="s">
        <v>5997</v>
      </c>
      <c r="D2035" s="34" t="n">
        <f aca="false">Activities!M822</f>
        <v>1</v>
      </c>
      <c r="E2035" s="15" t="s">
        <v>5998</v>
      </c>
    </row>
    <row r="2036" customFormat="false" ht="15" hidden="false" customHeight="false" outlineLevel="0" collapsed="false">
      <c r="A2036" s="15" t="s">
        <v>4128</v>
      </c>
      <c r="B2036" s="15" t="s">
        <v>4130</v>
      </c>
      <c r="C2036" s="15" t="s">
        <v>5999</v>
      </c>
      <c r="D2036" s="34" t="n">
        <f aca="false">Activities!N822</f>
        <v>2</v>
      </c>
      <c r="E2036" s="15" t="s">
        <v>5998</v>
      </c>
    </row>
    <row r="2037" customFormat="false" ht="15" hidden="false" customHeight="false" outlineLevel="0" collapsed="false">
      <c r="A2037" s="15" t="s">
        <v>4116</v>
      </c>
      <c r="B2037" s="15" t="s">
        <v>4130</v>
      </c>
      <c r="C2037" s="15" t="s">
        <v>5995</v>
      </c>
      <c r="D2037" s="34" t="n">
        <v>0</v>
      </c>
      <c r="E2037" s="15" t="s">
        <v>6010</v>
      </c>
    </row>
    <row r="2038" customFormat="false" ht="15" hidden="false" customHeight="false" outlineLevel="0" collapsed="false">
      <c r="A2038" s="15" t="s">
        <v>4130</v>
      </c>
      <c r="B2038" s="15" t="s">
        <v>4131</v>
      </c>
      <c r="C2038" s="15" t="s">
        <v>5997</v>
      </c>
      <c r="D2038" s="34" t="n">
        <f aca="false">Activities!M823</f>
        <v>7</v>
      </c>
      <c r="E2038" s="15" t="s">
        <v>5998</v>
      </c>
    </row>
    <row r="2039" customFormat="false" ht="15" hidden="false" customHeight="false" outlineLevel="0" collapsed="false">
      <c r="A2039" s="15" t="s">
        <v>4130</v>
      </c>
      <c r="B2039" s="15" t="s">
        <v>4131</v>
      </c>
      <c r="C2039" s="15" t="s">
        <v>5999</v>
      </c>
      <c r="D2039" s="34" t="n">
        <f aca="false">Activities!N823</f>
        <v>2</v>
      </c>
      <c r="E2039" s="15" t="s">
        <v>5998</v>
      </c>
    </row>
    <row r="2040" customFormat="false" ht="15" hidden="false" customHeight="false" outlineLevel="0" collapsed="false">
      <c r="A2040" s="15" t="s">
        <v>4117</v>
      </c>
      <c r="B2040" s="15" t="s">
        <v>4131</v>
      </c>
      <c r="C2040" s="15" t="s">
        <v>5995</v>
      </c>
      <c r="D2040" s="34" t="n">
        <v>0</v>
      </c>
      <c r="E2040" s="15" t="s">
        <v>6010</v>
      </c>
    </row>
    <row r="2041" customFormat="false" ht="15" hidden="false" customHeight="false" outlineLevel="0" collapsed="false">
      <c r="A2041" s="15" t="s">
        <v>4131</v>
      </c>
      <c r="B2041" s="15" t="s">
        <v>4132</v>
      </c>
      <c r="C2041" s="15" t="s">
        <v>5997</v>
      </c>
      <c r="D2041" s="34" t="n">
        <f aca="false">Activities!M824</f>
        <v>3</v>
      </c>
      <c r="E2041" s="15" t="s">
        <v>5998</v>
      </c>
    </row>
    <row r="2042" customFormat="false" ht="15" hidden="false" customHeight="false" outlineLevel="0" collapsed="false">
      <c r="A2042" s="15" t="s">
        <v>4131</v>
      </c>
      <c r="B2042" s="15" t="s">
        <v>4132</v>
      </c>
      <c r="C2042" s="15" t="s">
        <v>5999</v>
      </c>
      <c r="D2042" s="34" t="n">
        <f aca="false">Activities!N824</f>
        <v>2</v>
      </c>
      <c r="E2042" s="15" t="s">
        <v>5998</v>
      </c>
    </row>
    <row r="2043" customFormat="false" ht="15" hidden="false" customHeight="false" outlineLevel="0" collapsed="false">
      <c r="A2043" s="15" t="s">
        <v>4120</v>
      </c>
      <c r="B2043" s="15" t="s">
        <v>4132</v>
      </c>
      <c r="C2043" s="15" t="s">
        <v>5995</v>
      </c>
      <c r="D2043" s="34" t="n">
        <f aca="false">-Activities!K824</f>
        <v>-13</v>
      </c>
      <c r="E2043" s="15" t="s">
        <v>6004</v>
      </c>
    </row>
    <row r="2044" customFormat="false" ht="15" hidden="false" customHeight="false" outlineLevel="0" collapsed="false">
      <c r="A2044" s="15" t="s">
        <v>4132</v>
      </c>
      <c r="B2044" s="15" t="s">
        <v>4134</v>
      </c>
      <c r="C2044" s="15" t="s">
        <v>5997</v>
      </c>
      <c r="D2044" s="34" t="n">
        <f aca="false">Activities!M825</f>
        <v>11</v>
      </c>
      <c r="E2044" s="15" t="s">
        <v>5998</v>
      </c>
    </row>
    <row r="2045" customFormat="false" ht="15" hidden="false" customHeight="false" outlineLevel="0" collapsed="false">
      <c r="A2045" s="15" t="s">
        <v>4132</v>
      </c>
      <c r="B2045" s="15" t="s">
        <v>4134</v>
      </c>
      <c r="C2045" s="15" t="s">
        <v>5999</v>
      </c>
      <c r="D2045" s="34" t="n">
        <f aca="false">Activities!N825</f>
        <v>2</v>
      </c>
      <c r="E2045" s="15" t="s">
        <v>5998</v>
      </c>
    </row>
    <row r="2046" customFormat="false" ht="15" hidden="false" customHeight="false" outlineLevel="0" collapsed="false">
      <c r="A2046" s="15" t="s">
        <v>4120</v>
      </c>
      <c r="B2046" s="15" t="s">
        <v>4134</v>
      </c>
      <c r="C2046" s="15" t="s">
        <v>5995</v>
      </c>
      <c r="D2046" s="34" t="n">
        <v>0</v>
      </c>
      <c r="E2046" s="15" t="s">
        <v>6010</v>
      </c>
    </row>
    <row r="2047" customFormat="false" ht="15" hidden="false" customHeight="false" outlineLevel="0" collapsed="false">
      <c r="A2047" s="15" t="s">
        <v>4134</v>
      </c>
      <c r="B2047" s="15" t="s">
        <v>4135</v>
      </c>
      <c r="C2047" s="15" t="s">
        <v>5997</v>
      </c>
      <c r="D2047" s="34" t="n">
        <f aca="false">Activities!M826</f>
        <v>2</v>
      </c>
      <c r="E2047" s="15" t="s">
        <v>5998</v>
      </c>
    </row>
    <row r="2048" customFormat="false" ht="15" hidden="false" customHeight="false" outlineLevel="0" collapsed="false">
      <c r="A2048" s="15" t="s">
        <v>4134</v>
      </c>
      <c r="B2048" s="15" t="s">
        <v>4135</v>
      </c>
      <c r="C2048" s="15" t="s">
        <v>5999</v>
      </c>
      <c r="D2048" s="34" t="n">
        <f aca="false">Activities!N826</f>
        <v>2</v>
      </c>
      <c r="E2048" s="15" t="s">
        <v>5998</v>
      </c>
    </row>
    <row r="2049" customFormat="false" ht="15" hidden="false" customHeight="false" outlineLevel="0" collapsed="false">
      <c r="A2049" s="15" t="s">
        <v>4121</v>
      </c>
      <c r="B2049" s="15" t="s">
        <v>4135</v>
      </c>
      <c r="C2049" s="15" t="s">
        <v>5995</v>
      </c>
      <c r="D2049" s="34" t="n">
        <v>0</v>
      </c>
      <c r="E2049" s="15" t="s">
        <v>6010</v>
      </c>
    </row>
    <row r="2050" customFormat="false" ht="15" hidden="false" customHeight="false" outlineLevel="0" collapsed="false">
      <c r="A2050" s="15" t="s">
        <v>4135</v>
      </c>
      <c r="B2050" s="15" t="s">
        <v>4136</v>
      </c>
      <c r="C2050" s="15" t="s">
        <v>5997</v>
      </c>
      <c r="D2050" s="34" t="n">
        <f aca="false">Activities!M827</f>
        <v>6</v>
      </c>
      <c r="E2050" s="15" t="s">
        <v>5998</v>
      </c>
    </row>
    <row r="2051" customFormat="false" ht="15" hidden="false" customHeight="false" outlineLevel="0" collapsed="false">
      <c r="A2051" s="15" t="s">
        <v>4135</v>
      </c>
      <c r="B2051" s="15" t="s">
        <v>4136</v>
      </c>
      <c r="C2051" s="15" t="s">
        <v>5999</v>
      </c>
      <c r="D2051" s="34" t="n">
        <f aca="false">Activities!N827</f>
        <v>2</v>
      </c>
      <c r="E2051" s="15" t="s">
        <v>5998</v>
      </c>
    </row>
    <row r="2052" customFormat="false" ht="15" hidden="false" customHeight="false" outlineLevel="0" collapsed="false">
      <c r="A2052" s="15" t="s">
        <v>4122</v>
      </c>
      <c r="B2052" s="15" t="s">
        <v>4136</v>
      </c>
      <c r="C2052" s="15" t="s">
        <v>5995</v>
      </c>
      <c r="D2052" s="34" t="n">
        <v>0</v>
      </c>
      <c r="E2052" s="15" t="s">
        <v>6010</v>
      </c>
    </row>
    <row r="2053" customFormat="false" ht="15" hidden="false" customHeight="false" outlineLevel="0" collapsed="false">
      <c r="A2053" s="15" t="s">
        <v>4136</v>
      </c>
      <c r="B2053" s="15" t="s">
        <v>4137</v>
      </c>
      <c r="C2053" s="15" t="s">
        <v>5997</v>
      </c>
      <c r="D2053" s="34" t="n">
        <f aca="false">Activities!M828</f>
        <v>4</v>
      </c>
      <c r="E2053" s="15" t="s">
        <v>5998</v>
      </c>
    </row>
    <row r="2054" customFormat="false" ht="15" hidden="false" customHeight="false" outlineLevel="0" collapsed="false">
      <c r="A2054" s="15" t="s">
        <v>4136</v>
      </c>
      <c r="B2054" s="15" t="s">
        <v>4137</v>
      </c>
      <c r="C2054" s="15" t="s">
        <v>5999</v>
      </c>
      <c r="D2054" s="34" t="n">
        <f aca="false">Activities!N828</f>
        <v>2</v>
      </c>
      <c r="E2054" s="15" t="s">
        <v>5998</v>
      </c>
    </row>
    <row r="2055" customFormat="false" ht="15" hidden="false" customHeight="false" outlineLevel="0" collapsed="false">
      <c r="A2055" s="15" t="s">
        <v>4137</v>
      </c>
      <c r="B2055" s="15" t="s">
        <v>4138</v>
      </c>
      <c r="C2055" s="15" t="s">
        <v>5997</v>
      </c>
      <c r="D2055" s="34" t="n">
        <f aca="false">Activities!M829</f>
        <v>2</v>
      </c>
      <c r="E2055" s="15" t="s">
        <v>5998</v>
      </c>
    </row>
    <row r="2056" customFormat="false" ht="15" hidden="false" customHeight="false" outlineLevel="0" collapsed="false">
      <c r="A2056" s="15" t="s">
        <v>4137</v>
      </c>
      <c r="B2056" s="15" t="s">
        <v>4138</v>
      </c>
      <c r="C2056" s="15" t="s">
        <v>5999</v>
      </c>
      <c r="D2056" s="34" t="n">
        <f aca="false">Activities!N829</f>
        <v>2</v>
      </c>
      <c r="E2056" s="15" t="s">
        <v>5998</v>
      </c>
    </row>
    <row r="2057" customFormat="false" ht="15" hidden="false" customHeight="false" outlineLevel="0" collapsed="false">
      <c r="A2057" s="15" t="s">
        <v>4124</v>
      </c>
      <c r="B2057" s="15" t="s">
        <v>4138</v>
      </c>
      <c r="C2057" s="15" t="s">
        <v>5995</v>
      </c>
      <c r="D2057" s="34" t="n">
        <v>0</v>
      </c>
      <c r="E2057" s="15" t="s">
        <v>6010</v>
      </c>
    </row>
    <row r="2058" customFormat="false" ht="15" hidden="false" customHeight="false" outlineLevel="0" collapsed="false">
      <c r="A2058" s="15" t="s">
        <v>4138</v>
      </c>
      <c r="B2058" s="15" t="s">
        <v>4139</v>
      </c>
      <c r="C2058" s="15" t="s">
        <v>5997</v>
      </c>
      <c r="D2058" s="34" t="n">
        <f aca="false">Activities!M830</f>
        <v>2</v>
      </c>
      <c r="E2058" s="15" t="s">
        <v>5998</v>
      </c>
    </row>
    <row r="2059" customFormat="false" ht="15" hidden="false" customHeight="false" outlineLevel="0" collapsed="false">
      <c r="A2059" s="15" t="s">
        <v>4138</v>
      </c>
      <c r="B2059" s="15" t="s">
        <v>4139</v>
      </c>
      <c r="C2059" s="15" t="s">
        <v>5999</v>
      </c>
      <c r="D2059" s="34" t="n">
        <f aca="false">Activities!N830</f>
        <v>2</v>
      </c>
      <c r="E2059" s="15" t="s">
        <v>5998</v>
      </c>
    </row>
    <row r="2060" customFormat="false" ht="15" hidden="false" customHeight="false" outlineLevel="0" collapsed="false">
      <c r="A2060" s="15" t="s">
        <v>4140</v>
      </c>
      <c r="B2060" s="15" t="s">
        <v>4142</v>
      </c>
      <c r="C2060" s="15" t="s">
        <v>5995</v>
      </c>
      <c r="D2060" s="34" t="n">
        <v>0</v>
      </c>
      <c r="E2060" s="15" t="s">
        <v>5996</v>
      </c>
    </row>
    <row r="2061" customFormat="false" ht="15" hidden="false" customHeight="false" outlineLevel="0" collapsed="false">
      <c r="A2061" s="15" t="s">
        <v>4130</v>
      </c>
      <c r="B2061" s="15" t="s">
        <v>4142</v>
      </c>
      <c r="C2061" s="15" t="s">
        <v>5997</v>
      </c>
      <c r="D2061" s="34" t="n">
        <v>0</v>
      </c>
      <c r="E2061" s="15" t="s">
        <v>6000</v>
      </c>
    </row>
    <row r="2062" customFormat="false" ht="15" hidden="false" customHeight="false" outlineLevel="0" collapsed="false">
      <c r="A2062" s="15" t="s">
        <v>4142</v>
      </c>
      <c r="B2062" s="15" t="s">
        <v>4144</v>
      </c>
      <c r="C2062" s="15" t="s">
        <v>5997</v>
      </c>
      <c r="D2062" s="34" t="n">
        <f aca="false">Activities!M833</f>
        <v>1</v>
      </c>
      <c r="E2062" s="15" t="s">
        <v>5998</v>
      </c>
    </row>
    <row r="2063" customFormat="false" ht="15" hidden="false" customHeight="false" outlineLevel="0" collapsed="false">
      <c r="A2063" s="15" t="s">
        <v>4142</v>
      </c>
      <c r="B2063" s="15" t="s">
        <v>4144</v>
      </c>
      <c r="C2063" s="15" t="s">
        <v>5999</v>
      </c>
      <c r="D2063" s="34" t="n">
        <f aca="false">Activities!N833</f>
        <v>2</v>
      </c>
      <c r="E2063" s="15" t="s">
        <v>5998</v>
      </c>
    </row>
    <row r="2064" customFormat="false" ht="15" hidden="false" customHeight="false" outlineLevel="0" collapsed="false">
      <c r="A2064" s="15" t="s">
        <v>4144</v>
      </c>
      <c r="B2064" s="15" t="s">
        <v>4145</v>
      </c>
      <c r="C2064" s="15" t="s">
        <v>5997</v>
      </c>
      <c r="D2064" s="34" t="n">
        <f aca="false">Activities!M834</f>
        <v>2</v>
      </c>
      <c r="E2064" s="15" t="s">
        <v>5998</v>
      </c>
    </row>
    <row r="2065" customFormat="false" ht="15" hidden="false" customHeight="false" outlineLevel="0" collapsed="false">
      <c r="A2065" s="15" t="s">
        <v>4144</v>
      </c>
      <c r="B2065" s="15" t="s">
        <v>4145</v>
      </c>
      <c r="C2065" s="15" t="s">
        <v>5999</v>
      </c>
      <c r="D2065" s="34" t="n">
        <f aca="false">Activities!N834</f>
        <v>0</v>
      </c>
      <c r="E2065" s="15" t="s">
        <v>5998</v>
      </c>
    </row>
    <row r="2066" customFormat="false" ht="15" hidden="false" customHeight="false" outlineLevel="0" collapsed="false">
      <c r="A2066" s="15" t="s">
        <v>4145</v>
      </c>
      <c r="B2066" s="15" t="s">
        <v>4146</v>
      </c>
      <c r="C2066" s="15" t="s">
        <v>5997</v>
      </c>
      <c r="D2066" s="34" t="n">
        <f aca="false">Activities!M835</f>
        <v>0</v>
      </c>
      <c r="E2066" s="15" t="s">
        <v>5998</v>
      </c>
    </row>
    <row r="2067" customFormat="false" ht="15" hidden="false" customHeight="false" outlineLevel="0" collapsed="false">
      <c r="A2067" s="15" t="s">
        <v>4145</v>
      </c>
      <c r="B2067" s="15" t="s">
        <v>4146</v>
      </c>
      <c r="C2067" s="15" t="s">
        <v>5999</v>
      </c>
      <c r="D2067" s="34" t="n">
        <f aca="false">Activities!N835</f>
        <v>2</v>
      </c>
      <c r="E2067" s="15" t="s">
        <v>5998</v>
      </c>
    </row>
    <row r="2068" customFormat="false" ht="15" hidden="false" customHeight="false" outlineLevel="0" collapsed="false">
      <c r="A2068" s="15" t="s">
        <v>4146</v>
      </c>
      <c r="B2068" s="15" t="s">
        <v>4147</v>
      </c>
      <c r="C2068" s="15" t="s">
        <v>5997</v>
      </c>
      <c r="D2068" s="34" t="n">
        <f aca="false">Activities!M836</f>
        <v>10</v>
      </c>
      <c r="E2068" s="15" t="s">
        <v>5998</v>
      </c>
    </row>
    <row r="2069" customFormat="false" ht="15" hidden="false" customHeight="false" outlineLevel="0" collapsed="false">
      <c r="A2069" s="15" t="s">
        <v>4146</v>
      </c>
      <c r="B2069" s="15" t="s">
        <v>4147</v>
      </c>
      <c r="C2069" s="15" t="s">
        <v>5999</v>
      </c>
      <c r="D2069" s="34" t="n">
        <f aca="false">Activities!N836</f>
        <v>2</v>
      </c>
      <c r="E2069" s="15" t="s">
        <v>5998</v>
      </c>
    </row>
    <row r="2070" customFormat="false" ht="15" hidden="false" customHeight="false" outlineLevel="0" collapsed="false">
      <c r="A2070" s="15" t="s">
        <v>4147</v>
      </c>
      <c r="B2070" s="15" t="s">
        <v>4148</v>
      </c>
      <c r="C2070" s="15" t="s">
        <v>5997</v>
      </c>
      <c r="D2070" s="34" t="n">
        <f aca="false">Activities!M837</f>
        <v>1</v>
      </c>
      <c r="E2070" s="15" t="s">
        <v>5998</v>
      </c>
    </row>
    <row r="2071" customFormat="false" ht="15" hidden="false" customHeight="false" outlineLevel="0" collapsed="false">
      <c r="A2071" s="15" t="s">
        <v>4147</v>
      </c>
      <c r="B2071" s="15" t="s">
        <v>4148</v>
      </c>
      <c r="C2071" s="15" t="s">
        <v>5999</v>
      </c>
      <c r="D2071" s="34" t="n">
        <f aca="false">Activities!N837</f>
        <v>2</v>
      </c>
      <c r="E2071" s="15" t="s">
        <v>5998</v>
      </c>
    </row>
    <row r="2072" customFormat="false" ht="15" hidden="false" customHeight="false" outlineLevel="0" collapsed="false">
      <c r="A2072" s="15" t="s">
        <v>4148</v>
      </c>
      <c r="B2072" s="15" t="s">
        <v>4149</v>
      </c>
      <c r="C2072" s="15" t="s">
        <v>5997</v>
      </c>
      <c r="D2072" s="34" t="n">
        <f aca="false">Activities!M838</f>
        <v>2</v>
      </c>
      <c r="E2072" s="15" t="s">
        <v>5998</v>
      </c>
    </row>
    <row r="2073" customFormat="false" ht="15" hidden="false" customHeight="false" outlineLevel="0" collapsed="false">
      <c r="A2073" s="15" t="s">
        <v>4148</v>
      </c>
      <c r="B2073" s="15" t="s">
        <v>4149</v>
      </c>
      <c r="C2073" s="15" t="s">
        <v>5999</v>
      </c>
      <c r="D2073" s="34" t="n">
        <f aca="false">Activities!N838</f>
        <v>2</v>
      </c>
      <c r="E2073" s="15" t="s">
        <v>5998</v>
      </c>
    </row>
    <row r="2074" customFormat="false" ht="15" hidden="false" customHeight="false" outlineLevel="0" collapsed="false">
      <c r="A2074" s="15" t="s">
        <v>4136</v>
      </c>
      <c r="B2074" s="15" t="s">
        <v>4149</v>
      </c>
      <c r="C2074" s="15" t="s">
        <v>5995</v>
      </c>
      <c r="D2074" s="34" t="n">
        <v>0</v>
      </c>
      <c r="E2074" s="15" t="s">
        <v>6001</v>
      </c>
    </row>
    <row r="2075" customFormat="false" ht="15" hidden="false" customHeight="false" outlineLevel="0" collapsed="false">
      <c r="A2075" s="15" t="s">
        <v>4149</v>
      </c>
      <c r="B2075" s="15" t="s">
        <v>4151</v>
      </c>
      <c r="C2075" s="15" t="s">
        <v>5997</v>
      </c>
      <c r="D2075" s="34" t="n">
        <f aca="false">Activities!M839</f>
        <v>2</v>
      </c>
      <c r="E2075" s="15" t="s">
        <v>5998</v>
      </c>
    </row>
    <row r="2076" customFormat="false" ht="15" hidden="false" customHeight="false" outlineLevel="0" collapsed="false">
      <c r="A2076" s="15" t="s">
        <v>4149</v>
      </c>
      <c r="B2076" s="15" t="s">
        <v>4151</v>
      </c>
      <c r="C2076" s="15" t="s">
        <v>5999</v>
      </c>
      <c r="D2076" s="34" t="n">
        <f aca="false">Activities!N839</f>
        <v>2</v>
      </c>
      <c r="E2076" s="15" t="s">
        <v>5998</v>
      </c>
    </row>
    <row r="2077" customFormat="false" ht="15" hidden="false" customHeight="false" outlineLevel="0" collapsed="false">
      <c r="A2077" s="15" t="s">
        <v>4151</v>
      </c>
      <c r="B2077" s="15" t="s">
        <v>4152</v>
      </c>
      <c r="C2077" s="15" t="s">
        <v>5997</v>
      </c>
      <c r="D2077" s="34" t="n">
        <f aca="false">Activities!M840</f>
        <v>2</v>
      </c>
      <c r="E2077" s="15" t="s">
        <v>5998</v>
      </c>
    </row>
    <row r="2078" customFormat="false" ht="15" hidden="false" customHeight="false" outlineLevel="0" collapsed="false">
      <c r="A2078" s="15" t="s">
        <v>4151</v>
      </c>
      <c r="B2078" s="15" t="s">
        <v>4152</v>
      </c>
      <c r="C2078" s="15" t="s">
        <v>5999</v>
      </c>
      <c r="D2078" s="34" t="n">
        <f aca="false">Activities!N840</f>
        <v>2</v>
      </c>
      <c r="E2078" s="15" t="s">
        <v>5998</v>
      </c>
    </row>
    <row r="2079" customFormat="false" ht="15" hidden="false" customHeight="false" outlineLevel="0" collapsed="false">
      <c r="A2079" s="15" t="s">
        <v>4152</v>
      </c>
      <c r="B2079" s="15" t="s">
        <v>4153</v>
      </c>
      <c r="C2079" s="15" t="s">
        <v>5997</v>
      </c>
      <c r="D2079" s="34" t="n">
        <f aca="false">Activities!M841</f>
        <v>1</v>
      </c>
      <c r="E2079" s="15" t="s">
        <v>5998</v>
      </c>
    </row>
    <row r="2080" customFormat="false" ht="15" hidden="false" customHeight="false" outlineLevel="0" collapsed="false">
      <c r="A2080" s="15" t="s">
        <v>4152</v>
      </c>
      <c r="B2080" s="15" t="s">
        <v>4153</v>
      </c>
      <c r="C2080" s="15" t="s">
        <v>5999</v>
      </c>
      <c r="D2080" s="34" t="n">
        <f aca="false">Activities!N841</f>
        <v>2</v>
      </c>
      <c r="E2080" s="15" t="s">
        <v>5998</v>
      </c>
    </row>
    <row r="2081" customFormat="false" ht="15" hidden="false" customHeight="false" outlineLevel="0" collapsed="false">
      <c r="A2081" s="15" t="s">
        <v>4154</v>
      </c>
      <c r="B2081" s="15" t="s">
        <v>4156</v>
      </c>
      <c r="C2081" s="15" t="s">
        <v>5995</v>
      </c>
      <c r="D2081" s="34" t="n">
        <v>0</v>
      </c>
      <c r="E2081" s="15" t="s">
        <v>5996</v>
      </c>
    </row>
    <row r="2082" customFormat="false" ht="15" hidden="false" customHeight="false" outlineLevel="0" collapsed="false">
      <c r="A2082" s="15" t="s">
        <v>4130</v>
      </c>
      <c r="B2082" s="15" t="s">
        <v>4156</v>
      </c>
      <c r="C2082" s="15" t="s">
        <v>5997</v>
      </c>
      <c r="D2082" s="34" t="n">
        <v>0</v>
      </c>
      <c r="E2082" s="15" t="s">
        <v>6002</v>
      </c>
    </row>
    <row r="2083" customFormat="false" ht="15" hidden="false" customHeight="false" outlineLevel="0" collapsed="false">
      <c r="A2083" s="15" t="s">
        <v>4156</v>
      </c>
      <c r="B2083" s="15" t="s">
        <v>4158</v>
      </c>
      <c r="C2083" s="15" t="s">
        <v>5997</v>
      </c>
      <c r="D2083" s="34" t="n">
        <f aca="false">Activities!M844</f>
        <v>1</v>
      </c>
      <c r="E2083" s="15" t="s">
        <v>5998</v>
      </c>
    </row>
    <row r="2084" customFormat="false" ht="15" hidden="false" customHeight="false" outlineLevel="0" collapsed="false">
      <c r="A2084" s="15" t="s">
        <v>4156</v>
      </c>
      <c r="B2084" s="15" t="s">
        <v>4158</v>
      </c>
      <c r="C2084" s="15" t="s">
        <v>5999</v>
      </c>
      <c r="D2084" s="34" t="n">
        <f aca="false">Activities!N844</f>
        <v>2</v>
      </c>
      <c r="E2084" s="15" t="s">
        <v>5998</v>
      </c>
    </row>
    <row r="2085" customFormat="false" ht="15" hidden="false" customHeight="false" outlineLevel="0" collapsed="false">
      <c r="A2085" s="15" t="s">
        <v>4130</v>
      </c>
      <c r="B2085" s="15" t="s">
        <v>4158</v>
      </c>
      <c r="C2085" s="15" t="s">
        <v>5995</v>
      </c>
      <c r="D2085" s="34" t="n">
        <v>0</v>
      </c>
      <c r="E2085" s="15" t="s">
        <v>6010</v>
      </c>
    </row>
    <row r="2086" customFormat="false" ht="15" hidden="false" customHeight="false" outlineLevel="0" collapsed="false">
      <c r="A2086" s="15" t="s">
        <v>4158</v>
      </c>
      <c r="B2086" s="15" t="s">
        <v>4159</v>
      </c>
      <c r="C2086" s="15" t="s">
        <v>5997</v>
      </c>
      <c r="D2086" s="34" t="n">
        <f aca="false">Activities!M845</f>
        <v>2</v>
      </c>
      <c r="E2086" s="15" t="s">
        <v>5998</v>
      </c>
    </row>
    <row r="2087" customFormat="false" ht="15" hidden="false" customHeight="false" outlineLevel="0" collapsed="false">
      <c r="A2087" s="15" t="s">
        <v>4158</v>
      </c>
      <c r="B2087" s="15" t="s">
        <v>4159</v>
      </c>
      <c r="C2087" s="15" t="s">
        <v>5999</v>
      </c>
      <c r="D2087" s="34" t="n">
        <f aca="false">Activities!N845</f>
        <v>0</v>
      </c>
      <c r="E2087" s="15" t="s">
        <v>5998</v>
      </c>
    </row>
    <row r="2088" customFormat="false" ht="15" hidden="false" customHeight="false" outlineLevel="0" collapsed="false">
      <c r="A2088" s="15" t="s">
        <v>4131</v>
      </c>
      <c r="B2088" s="15" t="s">
        <v>4159</v>
      </c>
      <c r="C2088" s="15" t="s">
        <v>5995</v>
      </c>
      <c r="D2088" s="34" t="n">
        <v>0</v>
      </c>
      <c r="E2088" s="15" t="s">
        <v>6010</v>
      </c>
    </row>
    <row r="2089" customFormat="false" ht="15" hidden="false" customHeight="false" outlineLevel="0" collapsed="false">
      <c r="A2089" s="15" t="s">
        <v>4159</v>
      </c>
      <c r="B2089" s="15" t="s">
        <v>4160</v>
      </c>
      <c r="C2089" s="15" t="s">
        <v>5997</v>
      </c>
      <c r="D2089" s="34" t="n">
        <f aca="false">Activities!M846</f>
        <v>0</v>
      </c>
      <c r="E2089" s="15" t="s">
        <v>5998</v>
      </c>
    </row>
    <row r="2090" customFormat="false" ht="15" hidden="false" customHeight="false" outlineLevel="0" collapsed="false">
      <c r="A2090" s="15" t="s">
        <v>4159</v>
      </c>
      <c r="B2090" s="15" t="s">
        <v>4160</v>
      </c>
      <c r="C2090" s="15" t="s">
        <v>5999</v>
      </c>
      <c r="D2090" s="34" t="n">
        <f aca="false">Activities!N846</f>
        <v>2</v>
      </c>
      <c r="E2090" s="15" t="s">
        <v>5998</v>
      </c>
    </row>
    <row r="2091" customFormat="false" ht="15" hidden="false" customHeight="false" outlineLevel="0" collapsed="false">
      <c r="A2091" s="15" t="s">
        <v>4134</v>
      </c>
      <c r="B2091" s="15" t="s">
        <v>4160</v>
      </c>
      <c r="C2091" s="15" t="s">
        <v>5995</v>
      </c>
      <c r="D2091" s="34" t="n">
        <f aca="false">-Activities!K846</f>
        <v>-10</v>
      </c>
      <c r="E2091" s="15" t="s">
        <v>6004</v>
      </c>
    </row>
    <row r="2092" customFormat="false" ht="15" hidden="false" customHeight="false" outlineLevel="0" collapsed="false">
      <c r="A2092" s="15" t="s">
        <v>4160</v>
      </c>
      <c r="B2092" s="15" t="s">
        <v>4162</v>
      </c>
      <c r="C2092" s="15" t="s">
        <v>5997</v>
      </c>
      <c r="D2092" s="34" t="n">
        <f aca="false">Activities!M847</f>
        <v>10</v>
      </c>
      <c r="E2092" s="15" t="s">
        <v>5998</v>
      </c>
    </row>
    <row r="2093" customFormat="false" ht="15" hidden="false" customHeight="false" outlineLevel="0" collapsed="false">
      <c r="A2093" s="15" t="s">
        <v>4160</v>
      </c>
      <c r="B2093" s="15" t="s">
        <v>4162</v>
      </c>
      <c r="C2093" s="15" t="s">
        <v>5999</v>
      </c>
      <c r="D2093" s="34" t="n">
        <f aca="false">Activities!N847</f>
        <v>2</v>
      </c>
      <c r="E2093" s="15" t="s">
        <v>5998</v>
      </c>
    </row>
    <row r="2094" customFormat="false" ht="15" hidden="false" customHeight="false" outlineLevel="0" collapsed="false">
      <c r="A2094" s="15" t="s">
        <v>4134</v>
      </c>
      <c r="B2094" s="15" t="s">
        <v>4162</v>
      </c>
      <c r="C2094" s="15" t="s">
        <v>5995</v>
      </c>
      <c r="D2094" s="34" t="n">
        <v>0</v>
      </c>
      <c r="E2094" s="15" t="s">
        <v>6010</v>
      </c>
    </row>
    <row r="2095" customFormat="false" ht="15" hidden="false" customHeight="false" outlineLevel="0" collapsed="false">
      <c r="A2095" s="15" t="s">
        <v>4162</v>
      </c>
      <c r="B2095" s="15" t="s">
        <v>4163</v>
      </c>
      <c r="C2095" s="15" t="s">
        <v>5997</v>
      </c>
      <c r="D2095" s="34" t="n">
        <f aca="false">Activities!M848</f>
        <v>1</v>
      </c>
      <c r="E2095" s="15" t="s">
        <v>5998</v>
      </c>
    </row>
    <row r="2096" customFormat="false" ht="15" hidden="false" customHeight="false" outlineLevel="0" collapsed="false">
      <c r="A2096" s="15" t="s">
        <v>4162</v>
      </c>
      <c r="B2096" s="15" t="s">
        <v>4163</v>
      </c>
      <c r="C2096" s="15" t="s">
        <v>5999</v>
      </c>
      <c r="D2096" s="34" t="n">
        <f aca="false">Activities!N848</f>
        <v>2</v>
      </c>
      <c r="E2096" s="15" t="s">
        <v>5998</v>
      </c>
    </row>
    <row r="2097" customFormat="false" ht="15" hidden="false" customHeight="false" outlineLevel="0" collapsed="false">
      <c r="A2097" s="15" t="s">
        <v>4135</v>
      </c>
      <c r="B2097" s="15" t="s">
        <v>4163</v>
      </c>
      <c r="C2097" s="15" t="s">
        <v>5995</v>
      </c>
      <c r="D2097" s="34" t="n">
        <v>0</v>
      </c>
      <c r="E2097" s="15" t="s">
        <v>6010</v>
      </c>
    </row>
    <row r="2098" customFormat="false" ht="15" hidden="false" customHeight="false" outlineLevel="0" collapsed="false">
      <c r="A2098" s="15" t="s">
        <v>4163</v>
      </c>
      <c r="B2098" s="15" t="s">
        <v>4164</v>
      </c>
      <c r="C2098" s="15" t="s">
        <v>5997</v>
      </c>
      <c r="D2098" s="34" t="n">
        <f aca="false">Activities!M849</f>
        <v>2</v>
      </c>
      <c r="E2098" s="15" t="s">
        <v>5998</v>
      </c>
    </row>
    <row r="2099" customFormat="false" ht="15" hidden="false" customHeight="false" outlineLevel="0" collapsed="false">
      <c r="A2099" s="15" t="s">
        <v>4163</v>
      </c>
      <c r="B2099" s="15" t="s">
        <v>4164</v>
      </c>
      <c r="C2099" s="15" t="s">
        <v>5999</v>
      </c>
      <c r="D2099" s="34" t="n">
        <f aca="false">Activities!N849</f>
        <v>2</v>
      </c>
      <c r="E2099" s="15" t="s">
        <v>5998</v>
      </c>
    </row>
    <row r="2100" customFormat="false" ht="15" hidden="false" customHeight="false" outlineLevel="0" collapsed="false">
      <c r="A2100" s="15" t="s">
        <v>4136</v>
      </c>
      <c r="B2100" s="15" t="s">
        <v>4164</v>
      </c>
      <c r="C2100" s="15" t="s">
        <v>5995</v>
      </c>
      <c r="D2100" s="34" t="n">
        <v>0</v>
      </c>
      <c r="E2100" s="15" t="s">
        <v>6010</v>
      </c>
    </row>
    <row r="2101" customFormat="false" ht="15" hidden="false" customHeight="false" outlineLevel="0" collapsed="false">
      <c r="A2101" s="15" t="s">
        <v>4164</v>
      </c>
      <c r="B2101" s="15" t="s">
        <v>4165</v>
      </c>
      <c r="C2101" s="15" t="s">
        <v>5997</v>
      </c>
      <c r="D2101" s="34" t="n">
        <f aca="false">Activities!M850</f>
        <v>1</v>
      </c>
      <c r="E2101" s="15" t="s">
        <v>5998</v>
      </c>
    </row>
    <row r="2102" customFormat="false" ht="15" hidden="false" customHeight="false" outlineLevel="0" collapsed="false">
      <c r="A2102" s="15" t="s">
        <v>4164</v>
      </c>
      <c r="B2102" s="15" t="s">
        <v>4165</v>
      </c>
      <c r="C2102" s="15" t="s">
        <v>5999</v>
      </c>
      <c r="D2102" s="34" t="n">
        <f aca="false">Activities!N850</f>
        <v>2</v>
      </c>
      <c r="E2102" s="15" t="s">
        <v>5998</v>
      </c>
    </row>
    <row r="2103" customFormat="false" ht="15" hidden="false" customHeight="false" outlineLevel="0" collapsed="false">
      <c r="A2103" s="15" t="s">
        <v>4165</v>
      </c>
      <c r="B2103" s="15" t="s">
        <v>4166</v>
      </c>
      <c r="C2103" s="15" t="s">
        <v>5997</v>
      </c>
      <c r="D2103" s="34" t="n">
        <f aca="false">Activities!M851</f>
        <v>2</v>
      </c>
      <c r="E2103" s="15" t="s">
        <v>5998</v>
      </c>
    </row>
    <row r="2104" customFormat="false" ht="15" hidden="false" customHeight="false" outlineLevel="0" collapsed="false">
      <c r="A2104" s="15" t="s">
        <v>4165</v>
      </c>
      <c r="B2104" s="15" t="s">
        <v>4166</v>
      </c>
      <c r="C2104" s="15" t="s">
        <v>5999</v>
      </c>
      <c r="D2104" s="34" t="n">
        <f aca="false">Activities!N851</f>
        <v>2</v>
      </c>
      <c r="E2104" s="15" t="s">
        <v>5998</v>
      </c>
    </row>
    <row r="2105" customFormat="false" ht="15" hidden="false" customHeight="false" outlineLevel="0" collapsed="false">
      <c r="A2105" s="15" t="s">
        <v>4138</v>
      </c>
      <c r="B2105" s="15" t="s">
        <v>4166</v>
      </c>
      <c r="C2105" s="15" t="s">
        <v>5995</v>
      </c>
      <c r="D2105" s="34" t="n">
        <v>0</v>
      </c>
      <c r="E2105" s="15" t="s">
        <v>6010</v>
      </c>
    </row>
    <row r="2106" customFormat="false" ht="15" hidden="false" customHeight="false" outlineLevel="0" collapsed="false">
      <c r="A2106" s="15" t="s">
        <v>4166</v>
      </c>
      <c r="B2106" s="15" t="s">
        <v>4167</v>
      </c>
      <c r="C2106" s="15" t="s">
        <v>5997</v>
      </c>
      <c r="D2106" s="34" t="n">
        <f aca="false">Activities!M852</f>
        <v>1</v>
      </c>
      <c r="E2106" s="15" t="s">
        <v>5998</v>
      </c>
    </row>
    <row r="2107" customFormat="false" ht="15" hidden="false" customHeight="false" outlineLevel="0" collapsed="false">
      <c r="A2107" s="15" t="s">
        <v>4166</v>
      </c>
      <c r="B2107" s="15" t="s">
        <v>4167</v>
      </c>
      <c r="C2107" s="15" t="s">
        <v>5999</v>
      </c>
      <c r="D2107" s="34" t="n">
        <f aca="false">Activities!N852</f>
        <v>2</v>
      </c>
      <c r="E2107" s="15" t="s">
        <v>5998</v>
      </c>
    </row>
    <row r="2108" customFormat="false" ht="15" hidden="false" customHeight="false" outlineLevel="0" collapsed="false">
      <c r="A2108" s="15" t="s">
        <v>4168</v>
      </c>
      <c r="B2108" s="15" t="s">
        <v>4170</v>
      </c>
      <c r="C2108" s="15" t="s">
        <v>5995</v>
      </c>
      <c r="D2108" s="34" t="n">
        <v>0</v>
      </c>
      <c r="E2108" s="15" t="s">
        <v>5996</v>
      </c>
    </row>
    <row r="2109" customFormat="false" ht="15" hidden="false" customHeight="false" outlineLevel="0" collapsed="false">
      <c r="A2109" s="15" t="s">
        <v>4042</v>
      </c>
      <c r="B2109" s="15" t="s">
        <v>4170</v>
      </c>
      <c r="C2109" s="15" t="s">
        <v>5997</v>
      </c>
      <c r="D2109" s="34" t="n">
        <v>0</v>
      </c>
      <c r="E2109" s="15" t="s">
        <v>6000</v>
      </c>
    </row>
    <row r="2110" customFormat="false" ht="15" hidden="false" customHeight="false" outlineLevel="0" collapsed="false">
      <c r="A2110" s="15" t="s">
        <v>4170</v>
      </c>
      <c r="B2110" s="15" t="s">
        <v>4172</v>
      </c>
      <c r="C2110" s="15" t="s">
        <v>5997</v>
      </c>
      <c r="D2110" s="34" t="n">
        <f aca="false">Activities!M855</f>
        <v>1</v>
      </c>
      <c r="E2110" s="15" t="s">
        <v>5998</v>
      </c>
    </row>
    <row r="2111" customFormat="false" ht="15" hidden="false" customHeight="false" outlineLevel="0" collapsed="false">
      <c r="A2111" s="15" t="s">
        <v>4170</v>
      </c>
      <c r="B2111" s="15" t="s">
        <v>4172</v>
      </c>
      <c r="C2111" s="15" t="s">
        <v>5999</v>
      </c>
      <c r="D2111" s="34" t="n">
        <f aca="false">Activities!N855</f>
        <v>2</v>
      </c>
      <c r="E2111" s="15" t="s">
        <v>5998</v>
      </c>
    </row>
    <row r="2112" customFormat="false" ht="15" hidden="false" customHeight="false" outlineLevel="0" collapsed="false">
      <c r="A2112" s="15" t="s">
        <v>4172</v>
      </c>
      <c r="B2112" s="15" t="s">
        <v>4173</v>
      </c>
      <c r="C2112" s="15" t="s">
        <v>5997</v>
      </c>
      <c r="D2112" s="34" t="n">
        <f aca="false">Activities!M856</f>
        <v>1</v>
      </c>
      <c r="E2112" s="15" t="s">
        <v>5998</v>
      </c>
    </row>
    <row r="2113" customFormat="false" ht="15" hidden="false" customHeight="false" outlineLevel="0" collapsed="false">
      <c r="A2113" s="15" t="s">
        <v>4172</v>
      </c>
      <c r="B2113" s="15" t="s">
        <v>4173</v>
      </c>
      <c r="C2113" s="15" t="s">
        <v>5999</v>
      </c>
      <c r="D2113" s="34" t="n">
        <f aca="false">Activities!N856</f>
        <v>0</v>
      </c>
      <c r="E2113" s="15" t="s">
        <v>5998</v>
      </c>
    </row>
    <row r="2114" customFormat="false" ht="15" hidden="false" customHeight="false" outlineLevel="0" collapsed="false">
      <c r="A2114" s="15" t="s">
        <v>4173</v>
      </c>
      <c r="B2114" s="15" t="s">
        <v>4174</v>
      </c>
      <c r="C2114" s="15" t="s">
        <v>5997</v>
      </c>
      <c r="D2114" s="34" t="n">
        <f aca="false">Activities!M857</f>
        <v>0</v>
      </c>
      <c r="E2114" s="15" t="s">
        <v>5998</v>
      </c>
    </row>
    <row r="2115" customFormat="false" ht="15" hidden="false" customHeight="false" outlineLevel="0" collapsed="false">
      <c r="A2115" s="15" t="s">
        <v>4173</v>
      </c>
      <c r="B2115" s="15" t="s">
        <v>4174</v>
      </c>
      <c r="C2115" s="15" t="s">
        <v>5999</v>
      </c>
      <c r="D2115" s="34" t="n">
        <f aca="false">Activities!N857</f>
        <v>2</v>
      </c>
      <c r="E2115" s="15" t="s">
        <v>5998</v>
      </c>
    </row>
    <row r="2116" customFormat="false" ht="15" hidden="false" customHeight="false" outlineLevel="0" collapsed="false">
      <c r="A2116" s="15" t="s">
        <v>4174</v>
      </c>
      <c r="B2116" s="15" t="s">
        <v>4175</v>
      </c>
      <c r="C2116" s="15" t="s">
        <v>5997</v>
      </c>
      <c r="D2116" s="34" t="n">
        <f aca="false">Activities!M858</f>
        <v>10</v>
      </c>
      <c r="E2116" s="15" t="s">
        <v>5998</v>
      </c>
    </row>
    <row r="2117" customFormat="false" ht="15" hidden="false" customHeight="false" outlineLevel="0" collapsed="false">
      <c r="A2117" s="15" t="s">
        <v>4174</v>
      </c>
      <c r="B2117" s="15" t="s">
        <v>4175</v>
      </c>
      <c r="C2117" s="15" t="s">
        <v>5999</v>
      </c>
      <c r="D2117" s="34" t="n">
        <f aca="false">Activities!N858</f>
        <v>2</v>
      </c>
      <c r="E2117" s="15" t="s">
        <v>5998</v>
      </c>
    </row>
    <row r="2118" customFormat="false" ht="15" hidden="false" customHeight="false" outlineLevel="0" collapsed="false">
      <c r="A2118" s="15" t="s">
        <v>4175</v>
      </c>
      <c r="B2118" s="15" t="s">
        <v>4176</v>
      </c>
      <c r="C2118" s="15" t="s">
        <v>5997</v>
      </c>
      <c r="D2118" s="34" t="n">
        <f aca="false">Activities!M859</f>
        <v>1</v>
      </c>
      <c r="E2118" s="15" t="s">
        <v>5998</v>
      </c>
    </row>
    <row r="2119" customFormat="false" ht="15" hidden="false" customHeight="false" outlineLevel="0" collapsed="false">
      <c r="A2119" s="15" t="s">
        <v>4175</v>
      </c>
      <c r="B2119" s="15" t="s">
        <v>4176</v>
      </c>
      <c r="C2119" s="15" t="s">
        <v>5999</v>
      </c>
      <c r="D2119" s="34" t="n">
        <f aca="false">Activities!N859</f>
        <v>2</v>
      </c>
      <c r="E2119" s="15" t="s">
        <v>5998</v>
      </c>
    </row>
    <row r="2120" customFormat="false" ht="15" hidden="false" customHeight="false" outlineLevel="0" collapsed="false">
      <c r="A2120" s="15" t="s">
        <v>4176</v>
      </c>
      <c r="B2120" s="15" t="s">
        <v>4177</v>
      </c>
      <c r="C2120" s="15" t="s">
        <v>5997</v>
      </c>
      <c r="D2120" s="34" t="n">
        <f aca="false">Activities!M860</f>
        <v>2</v>
      </c>
      <c r="E2120" s="15" t="s">
        <v>5998</v>
      </c>
    </row>
    <row r="2121" customFormat="false" ht="15" hidden="false" customHeight="false" outlineLevel="0" collapsed="false">
      <c r="A2121" s="15" t="s">
        <v>4176</v>
      </c>
      <c r="B2121" s="15" t="s">
        <v>4177</v>
      </c>
      <c r="C2121" s="15" t="s">
        <v>5999</v>
      </c>
      <c r="D2121" s="34" t="n">
        <f aca="false">Activities!N860</f>
        <v>2</v>
      </c>
      <c r="E2121" s="15" t="s">
        <v>5998</v>
      </c>
    </row>
    <row r="2122" customFormat="false" ht="15" hidden="false" customHeight="false" outlineLevel="0" collapsed="false">
      <c r="A2122" s="15" t="s">
        <v>4049</v>
      </c>
      <c r="B2122" s="15" t="s">
        <v>4177</v>
      </c>
      <c r="C2122" s="15" t="s">
        <v>5995</v>
      </c>
      <c r="D2122" s="34" t="n">
        <v>0</v>
      </c>
      <c r="E2122" s="15" t="s">
        <v>6001</v>
      </c>
    </row>
    <row r="2123" customFormat="false" ht="15" hidden="false" customHeight="false" outlineLevel="0" collapsed="false">
      <c r="A2123" s="15" t="s">
        <v>4177</v>
      </c>
      <c r="B2123" s="15" t="s">
        <v>4179</v>
      </c>
      <c r="C2123" s="15" t="s">
        <v>5997</v>
      </c>
      <c r="D2123" s="34" t="n">
        <f aca="false">Activities!M861</f>
        <v>2</v>
      </c>
      <c r="E2123" s="15" t="s">
        <v>5998</v>
      </c>
    </row>
    <row r="2124" customFormat="false" ht="15" hidden="false" customHeight="false" outlineLevel="0" collapsed="false">
      <c r="A2124" s="15" t="s">
        <v>4177</v>
      </c>
      <c r="B2124" s="15" t="s">
        <v>4179</v>
      </c>
      <c r="C2124" s="15" t="s">
        <v>5999</v>
      </c>
      <c r="D2124" s="34" t="n">
        <f aca="false">Activities!N861</f>
        <v>2</v>
      </c>
      <c r="E2124" s="15" t="s">
        <v>5998</v>
      </c>
    </row>
    <row r="2125" customFormat="false" ht="15" hidden="false" customHeight="false" outlineLevel="0" collapsed="false">
      <c r="A2125" s="15" t="s">
        <v>4179</v>
      </c>
      <c r="B2125" s="15" t="s">
        <v>4180</v>
      </c>
      <c r="C2125" s="15" t="s">
        <v>5997</v>
      </c>
      <c r="D2125" s="34" t="n">
        <f aca="false">Activities!M862</f>
        <v>2</v>
      </c>
      <c r="E2125" s="15" t="s">
        <v>5998</v>
      </c>
    </row>
    <row r="2126" customFormat="false" ht="15" hidden="false" customHeight="false" outlineLevel="0" collapsed="false">
      <c r="A2126" s="15" t="s">
        <v>4179</v>
      </c>
      <c r="B2126" s="15" t="s">
        <v>4180</v>
      </c>
      <c r="C2126" s="15" t="s">
        <v>5999</v>
      </c>
      <c r="D2126" s="34" t="n">
        <f aca="false">Activities!N862</f>
        <v>2</v>
      </c>
      <c r="E2126" s="15" t="s">
        <v>5998</v>
      </c>
    </row>
    <row r="2127" customFormat="false" ht="15" hidden="false" customHeight="false" outlineLevel="0" collapsed="false">
      <c r="A2127" s="15" t="s">
        <v>4180</v>
      </c>
      <c r="B2127" s="15" t="s">
        <v>4181</v>
      </c>
      <c r="C2127" s="15" t="s">
        <v>5997</v>
      </c>
      <c r="D2127" s="34" t="n">
        <f aca="false">Activities!M863</f>
        <v>1</v>
      </c>
      <c r="E2127" s="15" t="s">
        <v>5998</v>
      </c>
    </row>
    <row r="2128" customFormat="false" ht="15" hidden="false" customHeight="false" outlineLevel="0" collapsed="false">
      <c r="A2128" s="15" t="s">
        <v>4180</v>
      </c>
      <c r="B2128" s="15" t="s">
        <v>4181</v>
      </c>
      <c r="C2128" s="15" t="s">
        <v>5999</v>
      </c>
      <c r="D2128" s="34" t="n">
        <f aca="false">Activities!N863</f>
        <v>2</v>
      </c>
      <c r="E2128" s="15" t="s">
        <v>5998</v>
      </c>
    </row>
    <row r="2129" customFormat="false" ht="15" hidden="false" customHeight="false" outlineLevel="0" collapsed="false">
      <c r="A2129" s="15" t="s">
        <v>4182</v>
      </c>
      <c r="B2129" s="15" t="s">
        <v>4184</v>
      </c>
      <c r="C2129" s="15" t="s">
        <v>5995</v>
      </c>
      <c r="D2129" s="34" t="n">
        <v>0</v>
      </c>
      <c r="E2129" s="15" t="s">
        <v>5996</v>
      </c>
    </row>
    <row r="2130" customFormat="false" ht="15" hidden="false" customHeight="false" outlineLevel="0" collapsed="false">
      <c r="A2130" s="15" t="s">
        <v>5165</v>
      </c>
      <c r="B2130" s="15" t="s">
        <v>4184</v>
      </c>
      <c r="C2130" s="15" t="s">
        <v>5997</v>
      </c>
      <c r="D2130" s="34" t="n">
        <v>0</v>
      </c>
      <c r="E2130" s="15" t="s">
        <v>6000</v>
      </c>
    </row>
    <row r="2131" customFormat="false" ht="15" hidden="false" customHeight="false" outlineLevel="0" collapsed="false">
      <c r="A2131" s="15" t="s">
        <v>4184</v>
      </c>
      <c r="B2131" s="15" t="s">
        <v>4186</v>
      </c>
      <c r="C2131" s="15" t="s">
        <v>5997</v>
      </c>
      <c r="D2131" s="34" t="n">
        <f aca="false">Activities!M866</f>
        <v>1</v>
      </c>
      <c r="E2131" s="15" t="s">
        <v>5998</v>
      </c>
    </row>
    <row r="2132" customFormat="false" ht="15" hidden="false" customHeight="false" outlineLevel="0" collapsed="false">
      <c r="A2132" s="15" t="s">
        <v>4184</v>
      </c>
      <c r="B2132" s="15" t="s">
        <v>4186</v>
      </c>
      <c r="C2132" s="15" t="s">
        <v>5999</v>
      </c>
      <c r="D2132" s="34" t="n">
        <f aca="false">Activities!N866</f>
        <v>2</v>
      </c>
      <c r="E2132" s="15" t="s">
        <v>5998</v>
      </c>
    </row>
    <row r="2133" customFormat="false" ht="15" hidden="false" customHeight="false" outlineLevel="0" collapsed="false">
      <c r="A2133" s="15" t="s">
        <v>4186</v>
      </c>
      <c r="B2133" s="15" t="s">
        <v>4187</v>
      </c>
      <c r="C2133" s="15" t="s">
        <v>5997</v>
      </c>
      <c r="D2133" s="34" t="n">
        <f aca="false">Activities!M867</f>
        <v>1</v>
      </c>
      <c r="E2133" s="15" t="s">
        <v>5998</v>
      </c>
    </row>
    <row r="2134" customFormat="false" ht="15" hidden="false" customHeight="false" outlineLevel="0" collapsed="false">
      <c r="A2134" s="15" t="s">
        <v>4186</v>
      </c>
      <c r="B2134" s="15" t="s">
        <v>4187</v>
      </c>
      <c r="C2134" s="15" t="s">
        <v>5999</v>
      </c>
      <c r="D2134" s="34" t="n">
        <f aca="false">Activities!N867</f>
        <v>0</v>
      </c>
      <c r="E2134" s="15" t="s">
        <v>5998</v>
      </c>
    </row>
    <row r="2135" customFormat="false" ht="15" hidden="false" customHeight="false" outlineLevel="0" collapsed="false">
      <c r="A2135" s="15" t="s">
        <v>4187</v>
      </c>
      <c r="B2135" s="15" t="s">
        <v>4188</v>
      </c>
      <c r="C2135" s="15" t="s">
        <v>5997</v>
      </c>
      <c r="D2135" s="34" t="n">
        <f aca="false">Activities!M868</f>
        <v>0</v>
      </c>
      <c r="E2135" s="15" t="s">
        <v>5998</v>
      </c>
    </row>
    <row r="2136" customFormat="false" ht="15" hidden="false" customHeight="false" outlineLevel="0" collapsed="false">
      <c r="A2136" s="15" t="s">
        <v>4187</v>
      </c>
      <c r="B2136" s="15" t="s">
        <v>4188</v>
      </c>
      <c r="C2136" s="15" t="s">
        <v>5999</v>
      </c>
      <c r="D2136" s="34" t="n">
        <f aca="false">Activities!N868</f>
        <v>2</v>
      </c>
      <c r="E2136" s="15" t="s">
        <v>5998</v>
      </c>
    </row>
    <row r="2137" customFormat="false" ht="15" hidden="false" customHeight="false" outlineLevel="0" collapsed="false">
      <c r="A2137" s="15" t="s">
        <v>4188</v>
      </c>
      <c r="B2137" s="15" t="s">
        <v>4189</v>
      </c>
      <c r="C2137" s="15" t="s">
        <v>5997</v>
      </c>
      <c r="D2137" s="34" t="n">
        <f aca="false">Activities!M869</f>
        <v>10</v>
      </c>
      <c r="E2137" s="15" t="s">
        <v>5998</v>
      </c>
    </row>
    <row r="2138" customFormat="false" ht="15" hidden="false" customHeight="false" outlineLevel="0" collapsed="false">
      <c r="A2138" s="15" t="s">
        <v>4188</v>
      </c>
      <c r="B2138" s="15" t="s">
        <v>4189</v>
      </c>
      <c r="C2138" s="15" t="s">
        <v>5999</v>
      </c>
      <c r="D2138" s="34" t="n">
        <f aca="false">Activities!N869</f>
        <v>2</v>
      </c>
      <c r="E2138" s="15" t="s">
        <v>5998</v>
      </c>
    </row>
    <row r="2139" customFormat="false" ht="15" hidden="false" customHeight="false" outlineLevel="0" collapsed="false">
      <c r="A2139" s="15" t="s">
        <v>5051</v>
      </c>
      <c r="B2139" s="15" t="s">
        <v>4189</v>
      </c>
      <c r="C2139" s="15" t="s">
        <v>5995</v>
      </c>
      <c r="D2139" s="34" t="n">
        <v>0</v>
      </c>
      <c r="E2139" s="15" t="s">
        <v>6008</v>
      </c>
    </row>
    <row r="2140" customFormat="false" ht="15" hidden="false" customHeight="false" outlineLevel="0" collapsed="false">
      <c r="A2140" s="15" t="s">
        <v>5158</v>
      </c>
      <c r="B2140" s="15" t="s">
        <v>4189</v>
      </c>
      <c r="C2140" s="15" t="s">
        <v>5995</v>
      </c>
      <c r="D2140" s="34" t="n">
        <v>0</v>
      </c>
      <c r="E2140" s="15" t="s">
        <v>6008</v>
      </c>
    </row>
    <row r="2141" customFormat="false" ht="15" hidden="false" customHeight="false" outlineLevel="0" collapsed="false">
      <c r="A2141" s="15" t="s">
        <v>5143</v>
      </c>
      <c r="B2141" s="15" t="s">
        <v>4189</v>
      </c>
      <c r="C2141" s="15" t="s">
        <v>5995</v>
      </c>
      <c r="D2141" s="34" t="n">
        <v>0</v>
      </c>
      <c r="E2141" s="15" t="s">
        <v>6008</v>
      </c>
    </row>
    <row r="2142" customFormat="false" ht="15" hidden="false" customHeight="false" outlineLevel="0" collapsed="false">
      <c r="A2142" s="15" t="s">
        <v>4189</v>
      </c>
      <c r="B2142" s="15" t="s">
        <v>4191</v>
      </c>
      <c r="C2142" s="15" t="s">
        <v>5997</v>
      </c>
      <c r="D2142" s="34" t="n">
        <f aca="false">Activities!M870</f>
        <v>1</v>
      </c>
      <c r="E2142" s="15" t="s">
        <v>5998</v>
      </c>
    </row>
    <row r="2143" customFormat="false" ht="15" hidden="false" customHeight="false" outlineLevel="0" collapsed="false">
      <c r="A2143" s="15" t="s">
        <v>4189</v>
      </c>
      <c r="B2143" s="15" t="s">
        <v>4191</v>
      </c>
      <c r="C2143" s="15" t="s">
        <v>5999</v>
      </c>
      <c r="D2143" s="34" t="n">
        <f aca="false">Activities!N870</f>
        <v>2</v>
      </c>
      <c r="E2143" s="15" t="s">
        <v>5998</v>
      </c>
    </row>
    <row r="2144" customFormat="false" ht="15" hidden="false" customHeight="false" outlineLevel="0" collapsed="false">
      <c r="A2144" s="15" t="s">
        <v>4191</v>
      </c>
      <c r="B2144" s="15" t="s">
        <v>4192</v>
      </c>
      <c r="C2144" s="15" t="s">
        <v>5997</v>
      </c>
      <c r="D2144" s="34" t="n">
        <f aca="false">Activities!M871</f>
        <v>2</v>
      </c>
      <c r="E2144" s="15" t="s">
        <v>5998</v>
      </c>
    </row>
    <row r="2145" customFormat="false" ht="15" hidden="false" customHeight="false" outlineLevel="0" collapsed="false">
      <c r="A2145" s="15" t="s">
        <v>4191</v>
      </c>
      <c r="B2145" s="15" t="s">
        <v>4192</v>
      </c>
      <c r="C2145" s="15" t="s">
        <v>5999</v>
      </c>
      <c r="D2145" s="34" t="n">
        <f aca="false">Activities!N871</f>
        <v>2</v>
      </c>
      <c r="E2145" s="15" t="s">
        <v>5998</v>
      </c>
    </row>
    <row r="2146" customFormat="false" ht="15" hidden="false" customHeight="false" outlineLevel="0" collapsed="false">
      <c r="A2146" s="15" t="s">
        <v>5172</v>
      </c>
      <c r="B2146" s="15" t="s">
        <v>4192</v>
      </c>
      <c r="C2146" s="15" t="s">
        <v>5995</v>
      </c>
      <c r="D2146" s="34" t="n">
        <v>0</v>
      </c>
      <c r="E2146" s="15" t="s">
        <v>6001</v>
      </c>
    </row>
    <row r="2147" customFormat="false" ht="15" hidden="false" customHeight="false" outlineLevel="0" collapsed="false">
      <c r="A2147" s="15" t="s">
        <v>4192</v>
      </c>
      <c r="B2147" s="15" t="s">
        <v>4194</v>
      </c>
      <c r="C2147" s="15" t="s">
        <v>5997</v>
      </c>
      <c r="D2147" s="34" t="n">
        <f aca="false">Activities!M872</f>
        <v>2</v>
      </c>
      <c r="E2147" s="15" t="s">
        <v>5998</v>
      </c>
    </row>
    <row r="2148" customFormat="false" ht="15" hidden="false" customHeight="false" outlineLevel="0" collapsed="false">
      <c r="A2148" s="15" t="s">
        <v>4192</v>
      </c>
      <c r="B2148" s="15" t="s">
        <v>4194</v>
      </c>
      <c r="C2148" s="15" t="s">
        <v>5999</v>
      </c>
      <c r="D2148" s="34" t="n">
        <f aca="false">Activities!N872</f>
        <v>2</v>
      </c>
      <c r="E2148" s="15" t="s">
        <v>5998</v>
      </c>
    </row>
    <row r="2149" customFormat="false" ht="15" hidden="false" customHeight="false" outlineLevel="0" collapsed="false">
      <c r="A2149" s="15" t="s">
        <v>4194</v>
      </c>
      <c r="B2149" s="15" t="s">
        <v>4195</v>
      </c>
      <c r="C2149" s="15" t="s">
        <v>5997</v>
      </c>
      <c r="D2149" s="34" t="n">
        <f aca="false">Activities!M873</f>
        <v>2</v>
      </c>
      <c r="E2149" s="15" t="s">
        <v>5998</v>
      </c>
    </row>
    <row r="2150" customFormat="false" ht="15" hidden="false" customHeight="false" outlineLevel="0" collapsed="false">
      <c r="A2150" s="15" t="s">
        <v>4194</v>
      </c>
      <c r="B2150" s="15" t="s">
        <v>4195</v>
      </c>
      <c r="C2150" s="15" t="s">
        <v>5999</v>
      </c>
      <c r="D2150" s="34" t="n">
        <f aca="false">Activities!N873</f>
        <v>2</v>
      </c>
      <c r="E2150" s="15" t="s">
        <v>5998</v>
      </c>
    </row>
    <row r="2151" customFormat="false" ht="15" hidden="false" customHeight="false" outlineLevel="0" collapsed="false">
      <c r="A2151" s="15" t="s">
        <v>4195</v>
      </c>
      <c r="B2151" s="15" t="s">
        <v>4196</v>
      </c>
      <c r="C2151" s="15" t="s">
        <v>5997</v>
      </c>
      <c r="D2151" s="34" t="n">
        <f aca="false">Activities!M874</f>
        <v>1</v>
      </c>
      <c r="E2151" s="15" t="s">
        <v>5998</v>
      </c>
    </row>
    <row r="2152" customFormat="false" ht="15" hidden="false" customHeight="false" outlineLevel="0" collapsed="false">
      <c r="A2152" s="15" t="s">
        <v>4195</v>
      </c>
      <c r="B2152" s="15" t="s">
        <v>4196</v>
      </c>
      <c r="C2152" s="15" t="s">
        <v>5999</v>
      </c>
      <c r="D2152" s="34" t="n">
        <f aca="false">Activities!N874</f>
        <v>2</v>
      </c>
      <c r="E2152" s="15" t="s">
        <v>5998</v>
      </c>
    </row>
    <row r="2153" customFormat="false" ht="15" hidden="false" customHeight="false" outlineLevel="0" collapsed="false">
      <c r="A2153" s="15" t="s">
        <v>4197</v>
      </c>
      <c r="B2153" s="15" t="s">
        <v>4199</v>
      </c>
      <c r="C2153" s="15" t="s">
        <v>5995</v>
      </c>
      <c r="D2153" s="34" t="n">
        <v>0</v>
      </c>
      <c r="E2153" s="15" t="s">
        <v>5996</v>
      </c>
    </row>
    <row r="2154" customFormat="false" ht="15" hidden="false" customHeight="false" outlineLevel="0" collapsed="false">
      <c r="A2154" s="15" t="s">
        <v>4158</v>
      </c>
      <c r="B2154" s="15" t="s">
        <v>4199</v>
      </c>
      <c r="C2154" s="15" t="s">
        <v>5997</v>
      </c>
      <c r="D2154" s="34" t="n">
        <v>0</v>
      </c>
      <c r="E2154" s="15" t="s">
        <v>6000</v>
      </c>
    </row>
    <row r="2155" customFormat="false" ht="15" hidden="false" customHeight="false" outlineLevel="0" collapsed="false">
      <c r="A2155" s="15" t="s">
        <v>4199</v>
      </c>
      <c r="B2155" s="15" t="s">
        <v>4201</v>
      </c>
      <c r="C2155" s="15" t="s">
        <v>5997</v>
      </c>
      <c r="D2155" s="34" t="n">
        <f aca="false">Activities!M877</f>
        <v>1</v>
      </c>
      <c r="E2155" s="15" t="s">
        <v>5998</v>
      </c>
    </row>
    <row r="2156" customFormat="false" ht="15" hidden="false" customHeight="false" outlineLevel="0" collapsed="false">
      <c r="A2156" s="15" t="s">
        <v>4199</v>
      </c>
      <c r="B2156" s="15" t="s">
        <v>4201</v>
      </c>
      <c r="C2156" s="15" t="s">
        <v>5999</v>
      </c>
      <c r="D2156" s="34" t="n">
        <f aca="false">Activities!N877</f>
        <v>2</v>
      </c>
      <c r="E2156" s="15" t="s">
        <v>5998</v>
      </c>
    </row>
    <row r="2157" customFormat="false" ht="15" hidden="false" customHeight="false" outlineLevel="0" collapsed="false">
      <c r="A2157" s="15" t="s">
        <v>4201</v>
      </c>
      <c r="B2157" s="15" t="s">
        <v>4202</v>
      </c>
      <c r="C2157" s="15" t="s">
        <v>5997</v>
      </c>
      <c r="D2157" s="34" t="n">
        <f aca="false">Activities!M878</f>
        <v>1</v>
      </c>
      <c r="E2157" s="15" t="s">
        <v>5998</v>
      </c>
    </row>
    <row r="2158" customFormat="false" ht="15" hidden="false" customHeight="false" outlineLevel="0" collapsed="false">
      <c r="A2158" s="15" t="s">
        <v>4201</v>
      </c>
      <c r="B2158" s="15" t="s">
        <v>4202</v>
      </c>
      <c r="C2158" s="15" t="s">
        <v>5999</v>
      </c>
      <c r="D2158" s="34" t="n">
        <f aca="false">Activities!N878</f>
        <v>0</v>
      </c>
      <c r="E2158" s="15" t="s">
        <v>5998</v>
      </c>
    </row>
    <row r="2159" customFormat="false" ht="15" hidden="false" customHeight="false" outlineLevel="0" collapsed="false">
      <c r="A2159" s="15" t="s">
        <v>4202</v>
      </c>
      <c r="B2159" s="15" t="s">
        <v>4203</v>
      </c>
      <c r="C2159" s="15" t="s">
        <v>5997</v>
      </c>
      <c r="D2159" s="34" t="n">
        <f aca="false">Activities!M879</f>
        <v>0</v>
      </c>
      <c r="E2159" s="15" t="s">
        <v>5998</v>
      </c>
    </row>
    <row r="2160" customFormat="false" ht="15" hidden="false" customHeight="false" outlineLevel="0" collapsed="false">
      <c r="A2160" s="15" t="s">
        <v>4202</v>
      </c>
      <c r="B2160" s="15" t="s">
        <v>4203</v>
      </c>
      <c r="C2160" s="15" t="s">
        <v>5999</v>
      </c>
      <c r="D2160" s="34" t="n">
        <f aca="false">Activities!N879</f>
        <v>2</v>
      </c>
      <c r="E2160" s="15" t="s">
        <v>5998</v>
      </c>
    </row>
    <row r="2161" customFormat="false" ht="15" hidden="false" customHeight="false" outlineLevel="0" collapsed="false">
      <c r="A2161" s="15" t="s">
        <v>4203</v>
      </c>
      <c r="B2161" s="15" t="s">
        <v>4204</v>
      </c>
      <c r="C2161" s="15" t="s">
        <v>5997</v>
      </c>
      <c r="D2161" s="34" t="n">
        <f aca="false">Activities!M880</f>
        <v>10</v>
      </c>
      <c r="E2161" s="15" t="s">
        <v>5998</v>
      </c>
    </row>
    <row r="2162" customFormat="false" ht="15" hidden="false" customHeight="false" outlineLevel="0" collapsed="false">
      <c r="A2162" s="15" t="s">
        <v>4203</v>
      </c>
      <c r="B2162" s="15" t="s">
        <v>4204</v>
      </c>
      <c r="C2162" s="15" t="s">
        <v>5999</v>
      </c>
      <c r="D2162" s="34" t="n">
        <f aca="false">Activities!N880</f>
        <v>2</v>
      </c>
      <c r="E2162" s="15" t="s">
        <v>5998</v>
      </c>
    </row>
    <row r="2163" customFormat="false" ht="15" hidden="false" customHeight="false" outlineLevel="0" collapsed="false">
      <c r="A2163" s="15" t="s">
        <v>4967</v>
      </c>
      <c r="B2163" s="15" t="s">
        <v>4204</v>
      </c>
      <c r="C2163" s="15" t="s">
        <v>5995</v>
      </c>
      <c r="D2163" s="34" t="n">
        <v>0</v>
      </c>
      <c r="E2163" s="15" t="s">
        <v>6008</v>
      </c>
    </row>
    <row r="2164" customFormat="false" ht="15" hidden="false" customHeight="false" outlineLevel="0" collapsed="false">
      <c r="A2164" s="15" t="s">
        <v>4204</v>
      </c>
      <c r="B2164" s="15" t="s">
        <v>4206</v>
      </c>
      <c r="C2164" s="15" t="s">
        <v>5997</v>
      </c>
      <c r="D2164" s="34" t="n">
        <f aca="false">Activities!M881</f>
        <v>1</v>
      </c>
      <c r="E2164" s="15" t="s">
        <v>5998</v>
      </c>
    </row>
    <row r="2165" customFormat="false" ht="15" hidden="false" customHeight="false" outlineLevel="0" collapsed="false">
      <c r="A2165" s="15" t="s">
        <v>4204</v>
      </c>
      <c r="B2165" s="15" t="s">
        <v>4206</v>
      </c>
      <c r="C2165" s="15" t="s">
        <v>5999</v>
      </c>
      <c r="D2165" s="34" t="n">
        <f aca="false">Activities!N881</f>
        <v>2</v>
      </c>
      <c r="E2165" s="15" t="s">
        <v>5998</v>
      </c>
    </row>
    <row r="2166" customFormat="false" ht="15" hidden="false" customHeight="false" outlineLevel="0" collapsed="false">
      <c r="A2166" s="15" t="s">
        <v>4206</v>
      </c>
      <c r="B2166" s="15" t="s">
        <v>4207</v>
      </c>
      <c r="C2166" s="15" t="s">
        <v>5997</v>
      </c>
      <c r="D2166" s="34" t="n">
        <f aca="false">Activities!M882</f>
        <v>2</v>
      </c>
      <c r="E2166" s="15" t="s">
        <v>5998</v>
      </c>
    </row>
    <row r="2167" customFormat="false" ht="15" hidden="false" customHeight="false" outlineLevel="0" collapsed="false">
      <c r="A2167" s="15" t="s">
        <v>4206</v>
      </c>
      <c r="B2167" s="15" t="s">
        <v>4207</v>
      </c>
      <c r="C2167" s="15" t="s">
        <v>5999</v>
      </c>
      <c r="D2167" s="34" t="n">
        <f aca="false">Activities!N882</f>
        <v>2</v>
      </c>
      <c r="E2167" s="15" t="s">
        <v>5998</v>
      </c>
    </row>
    <row r="2168" customFormat="false" ht="15" hidden="false" customHeight="false" outlineLevel="0" collapsed="false">
      <c r="A2168" s="15" t="s">
        <v>4164</v>
      </c>
      <c r="B2168" s="15" t="s">
        <v>4207</v>
      </c>
      <c r="C2168" s="15" t="s">
        <v>5995</v>
      </c>
      <c r="D2168" s="34" t="n">
        <v>0</v>
      </c>
      <c r="E2168" s="15" t="s">
        <v>6001</v>
      </c>
    </row>
    <row r="2169" customFormat="false" ht="15" hidden="false" customHeight="false" outlineLevel="0" collapsed="false">
      <c r="A2169" s="15" t="s">
        <v>4207</v>
      </c>
      <c r="B2169" s="15" t="s">
        <v>4209</v>
      </c>
      <c r="C2169" s="15" t="s">
        <v>5997</v>
      </c>
      <c r="D2169" s="34" t="n">
        <f aca="false">Activities!M883</f>
        <v>2</v>
      </c>
      <c r="E2169" s="15" t="s">
        <v>5998</v>
      </c>
    </row>
    <row r="2170" customFormat="false" ht="15" hidden="false" customHeight="false" outlineLevel="0" collapsed="false">
      <c r="A2170" s="15" t="s">
        <v>4207</v>
      </c>
      <c r="B2170" s="15" t="s">
        <v>4209</v>
      </c>
      <c r="C2170" s="15" t="s">
        <v>5999</v>
      </c>
      <c r="D2170" s="34" t="n">
        <f aca="false">Activities!N883</f>
        <v>2</v>
      </c>
      <c r="E2170" s="15" t="s">
        <v>5998</v>
      </c>
    </row>
    <row r="2171" customFormat="false" ht="15" hidden="false" customHeight="false" outlineLevel="0" collapsed="false">
      <c r="A2171" s="15" t="s">
        <v>4209</v>
      </c>
      <c r="B2171" s="15" t="s">
        <v>4210</v>
      </c>
      <c r="C2171" s="15" t="s">
        <v>5997</v>
      </c>
      <c r="D2171" s="34" t="n">
        <f aca="false">Activities!M884</f>
        <v>2</v>
      </c>
      <c r="E2171" s="15" t="s">
        <v>5998</v>
      </c>
    </row>
    <row r="2172" customFormat="false" ht="15" hidden="false" customHeight="false" outlineLevel="0" collapsed="false">
      <c r="A2172" s="15" t="s">
        <v>4209</v>
      </c>
      <c r="B2172" s="15" t="s">
        <v>4210</v>
      </c>
      <c r="C2172" s="15" t="s">
        <v>5999</v>
      </c>
      <c r="D2172" s="34" t="n">
        <f aca="false">Activities!N884</f>
        <v>2</v>
      </c>
      <c r="E2172" s="15" t="s">
        <v>5998</v>
      </c>
    </row>
    <row r="2173" customFormat="false" ht="15" hidden="false" customHeight="false" outlineLevel="0" collapsed="false">
      <c r="A2173" s="15" t="s">
        <v>4210</v>
      </c>
      <c r="B2173" s="15" t="s">
        <v>4211</v>
      </c>
      <c r="C2173" s="15" t="s">
        <v>5997</v>
      </c>
      <c r="D2173" s="34" t="n">
        <f aca="false">Activities!M885</f>
        <v>1</v>
      </c>
      <c r="E2173" s="15" t="s">
        <v>5998</v>
      </c>
    </row>
    <row r="2174" customFormat="false" ht="15" hidden="false" customHeight="false" outlineLevel="0" collapsed="false">
      <c r="A2174" s="15" t="s">
        <v>4210</v>
      </c>
      <c r="B2174" s="15" t="s">
        <v>4211</v>
      </c>
      <c r="C2174" s="15" t="s">
        <v>5999</v>
      </c>
      <c r="D2174" s="34" t="n">
        <f aca="false">Activities!N885</f>
        <v>2</v>
      </c>
      <c r="E2174" s="15" t="s">
        <v>5998</v>
      </c>
    </row>
    <row r="2175" customFormat="false" ht="15" hidden="false" customHeight="false" outlineLevel="0" collapsed="false">
      <c r="A2175" s="15" t="s">
        <v>4212</v>
      </c>
      <c r="B2175" s="15" t="s">
        <v>4214</v>
      </c>
      <c r="C2175" s="15" t="s">
        <v>5995</v>
      </c>
      <c r="D2175" s="34" t="n">
        <v>0</v>
      </c>
      <c r="E2175" s="15" t="s">
        <v>5996</v>
      </c>
    </row>
    <row r="2176" customFormat="false" ht="15" hidden="false" customHeight="false" outlineLevel="0" collapsed="false">
      <c r="A2176" s="15" t="s">
        <v>4158</v>
      </c>
      <c r="B2176" s="15" t="s">
        <v>4214</v>
      </c>
      <c r="C2176" s="15" t="s">
        <v>5997</v>
      </c>
      <c r="D2176" s="34" t="n">
        <v>0</v>
      </c>
      <c r="E2176" s="15" t="s">
        <v>6002</v>
      </c>
    </row>
    <row r="2177" customFormat="false" ht="15" hidden="false" customHeight="false" outlineLevel="0" collapsed="false">
      <c r="A2177" s="15" t="s">
        <v>4214</v>
      </c>
      <c r="B2177" s="15" t="s">
        <v>4216</v>
      </c>
      <c r="C2177" s="15" t="s">
        <v>5997</v>
      </c>
      <c r="D2177" s="34" t="n">
        <f aca="false">Activities!M888</f>
        <v>1</v>
      </c>
      <c r="E2177" s="15" t="s">
        <v>5998</v>
      </c>
    </row>
    <row r="2178" customFormat="false" ht="15" hidden="false" customHeight="false" outlineLevel="0" collapsed="false">
      <c r="A2178" s="15" t="s">
        <v>4214</v>
      </c>
      <c r="B2178" s="15" t="s">
        <v>4216</v>
      </c>
      <c r="C2178" s="15" t="s">
        <v>5999</v>
      </c>
      <c r="D2178" s="34" t="n">
        <f aca="false">Activities!N888</f>
        <v>2</v>
      </c>
      <c r="E2178" s="15" t="s">
        <v>5998</v>
      </c>
    </row>
    <row r="2179" customFormat="false" ht="15" hidden="false" customHeight="false" outlineLevel="0" collapsed="false">
      <c r="A2179" s="15" t="s">
        <v>4158</v>
      </c>
      <c r="B2179" s="15" t="s">
        <v>4216</v>
      </c>
      <c r="C2179" s="15" t="s">
        <v>5995</v>
      </c>
      <c r="D2179" s="34" t="n">
        <v>0</v>
      </c>
      <c r="E2179" s="15" t="s">
        <v>6010</v>
      </c>
    </row>
    <row r="2180" customFormat="false" ht="15" hidden="false" customHeight="false" outlineLevel="0" collapsed="false">
      <c r="A2180" s="15" t="s">
        <v>4216</v>
      </c>
      <c r="B2180" s="15" t="s">
        <v>4217</v>
      </c>
      <c r="C2180" s="15" t="s">
        <v>5997</v>
      </c>
      <c r="D2180" s="34" t="n">
        <f aca="false">Activities!M889</f>
        <v>4</v>
      </c>
      <c r="E2180" s="15" t="s">
        <v>5998</v>
      </c>
    </row>
    <row r="2181" customFormat="false" ht="15" hidden="false" customHeight="false" outlineLevel="0" collapsed="false">
      <c r="A2181" s="15" t="s">
        <v>4216</v>
      </c>
      <c r="B2181" s="15" t="s">
        <v>4217</v>
      </c>
      <c r="C2181" s="15" t="s">
        <v>5999</v>
      </c>
      <c r="D2181" s="34" t="n">
        <f aca="false">Activities!N889</f>
        <v>2</v>
      </c>
      <c r="E2181" s="15" t="s">
        <v>5998</v>
      </c>
    </row>
    <row r="2182" customFormat="false" ht="15" hidden="false" customHeight="false" outlineLevel="0" collapsed="false">
      <c r="A2182" s="15" t="s">
        <v>4159</v>
      </c>
      <c r="B2182" s="15" t="s">
        <v>4217</v>
      </c>
      <c r="C2182" s="15" t="s">
        <v>5995</v>
      </c>
      <c r="D2182" s="34" t="n">
        <v>0</v>
      </c>
      <c r="E2182" s="15" t="s">
        <v>6010</v>
      </c>
    </row>
    <row r="2183" customFormat="false" ht="15" hidden="false" customHeight="false" outlineLevel="0" collapsed="false">
      <c r="A2183" s="15" t="s">
        <v>4217</v>
      </c>
      <c r="B2183" s="15" t="s">
        <v>4218</v>
      </c>
      <c r="C2183" s="15" t="s">
        <v>5997</v>
      </c>
      <c r="D2183" s="34" t="n">
        <f aca="false">Activities!M890</f>
        <v>2</v>
      </c>
      <c r="E2183" s="15" t="s">
        <v>5998</v>
      </c>
    </row>
    <row r="2184" customFormat="false" ht="15" hidden="false" customHeight="false" outlineLevel="0" collapsed="false">
      <c r="A2184" s="15" t="s">
        <v>4217</v>
      </c>
      <c r="B2184" s="15" t="s">
        <v>4218</v>
      </c>
      <c r="C2184" s="15" t="s">
        <v>5999</v>
      </c>
      <c r="D2184" s="34" t="n">
        <f aca="false">Activities!N890</f>
        <v>2</v>
      </c>
      <c r="E2184" s="15" t="s">
        <v>5998</v>
      </c>
    </row>
    <row r="2185" customFormat="false" ht="15" hidden="false" customHeight="false" outlineLevel="0" collapsed="false">
      <c r="A2185" s="15" t="s">
        <v>4162</v>
      </c>
      <c r="B2185" s="15" t="s">
        <v>4218</v>
      </c>
      <c r="C2185" s="15" t="s">
        <v>5995</v>
      </c>
      <c r="D2185" s="34" t="n">
        <f aca="false">-Activities!K890</f>
        <v>-11</v>
      </c>
      <c r="E2185" s="15" t="s">
        <v>6004</v>
      </c>
    </row>
    <row r="2186" customFormat="false" ht="15" hidden="false" customHeight="false" outlineLevel="0" collapsed="false">
      <c r="A2186" s="15" t="s">
        <v>4218</v>
      </c>
      <c r="B2186" s="15" t="s">
        <v>4220</v>
      </c>
      <c r="C2186" s="15" t="s">
        <v>5997</v>
      </c>
      <c r="D2186" s="34" t="n">
        <f aca="false">Activities!M891</f>
        <v>10</v>
      </c>
      <c r="E2186" s="15" t="s">
        <v>5998</v>
      </c>
    </row>
    <row r="2187" customFormat="false" ht="15" hidden="false" customHeight="false" outlineLevel="0" collapsed="false">
      <c r="A2187" s="15" t="s">
        <v>4218</v>
      </c>
      <c r="B2187" s="15" t="s">
        <v>4220</v>
      </c>
      <c r="C2187" s="15" t="s">
        <v>5999</v>
      </c>
      <c r="D2187" s="34" t="n">
        <f aca="false">Activities!N891</f>
        <v>2</v>
      </c>
      <c r="E2187" s="15" t="s">
        <v>5998</v>
      </c>
    </row>
    <row r="2188" customFormat="false" ht="15" hidden="false" customHeight="false" outlineLevel="0" collapsed="false">
      <c r="A2188" s="15" t="s">
        <v>4162</v>
      </c>
      <c r="B2188" s="15" t="s">
        <v>4220</v>
      </c>
      <c r="C2188" s="15" t="s">
        <v>5995</v>
      </c>
      <c r="D2188" s="34" t="n">
        <v>0</v>
      </c>
      <c r="E2188" s="15" t="s">
        <v>6010</v>
      </c>
    </row>
    <row r="2189" customFormat="false" ht="15" hidden="false" customHeight="false" outlineLevel="0" collapsed="false">
      <c r="A2189" s="15" t="s">
        <v>4953</v>
      </c>
      <c r="B2189" s="15" t="s">
        <v>4220</v>
      </c>
      <c r="C2189" s="15" t="s">
        <v>5995</v>
      </c>
      <c r="D2189" s="34" t="n">
        <v>0</v>
      </c>
      <c r="E2189" s="15" t="s">
        <v>6008</v>
      </c>
    </row>
    <row r="2190" customFormat="false" ht="15" hidden="false" customHeight="false" outlineLevel="0" collapsed="false">
      <c r="A2190" s="15" t="s">
        <v>4939</v>
      </c>
      <c r="B2190" s="15" t="s">
        <v>4220</v>
      </c>
      <c r="C2190" s="15" t="s">
        <v>5995</v>
      </c>
      <c r="D2190" s="34" t="n">
        <v>0</v>
      </c>
      <c r="E2190" s="15" t="s">
        <v>6008</v>
      </c>
    </row>
    <row r="2191" customFormat="false" ht="15" hidden="false" customHeight="false" outlineLevel="0" collapsed="false">
      <c r="A2191" s="15" t="s">
        <v>4581</v>
      </c>
      <c r="B2191" s="15" t="s">
        <v>4220</v>
      </c>
      <c r="C2191" s="15" t="s">
        <v>5995</v>
      </c>
      <c r="D2191" s="34" t="n">
        <v>0</v>
      </c>
      <c r="E2191" s="15" t="s">
        <v>6008</v>
      </c>
    </row>
    <row r="2192" customFormat="false" ht="15" hidden="false" customHeight="false" outlineLevel="0" collapsed="false">
      <c r="A2192" s="15" t="s">
        <v>5010</v>
      </c>
      <c r="B2192" s="15" t="s">
        <v>4220</v>
      </c>
      <c r="C2192" s="15" t="s">
        <v>5995</v>
      </c>
      <c r="D2192" s="34" t="n">
        <v>0</v>
      </c>
      <c r="E2192" s="15" t="s">
        <v>6008</v>
      </c>
    </row>
    <row r="2193" customFormat="false" ht="15" hidden="false" customHeight="false" outlineLevel="0" collapsed="false">
      <c r="A2193" s="15" t="s">
        <v>4220</v>
      </c>
      <c r="B2193" s="15" t="s">
        <v>4222</v>
      </c>
      <c r="C2193" s="15" t="s">
        <v>5997</v>
      </c>
      <c r="D2193" s="34" t="n">
        <f aca="false">Activities!M892</f>
        <v>2</v>
      </c>
      <c r="E2193" s="15" t="s">
        <v>5998</v>
      </c>
    </row>
    <row r="2194" customFormat="false" ht="15" hidden="false" customHeight="false" outlineLevel="0" collapsed="false">
      <c r="A2194" s="15" t="s">
        <v>4220</v>
      </c>
      <c r="B2194" s="15" t="s">
        <v>4222</v>
      </c>
      <c r="C2194" s="15" t="s">
        <v>5999</v>
      </c>
      <c r="D2194" s="34" t="n">
        <f aca="false">Activities!N892</f>
        <v>2</v>
      </c>
      <c r="E2194" s="15" t="s">
        <v>5998</v>
      </c>
    </row>
    <row r="2195" customFormat="false" ht="15" hidden="false" customHeight="false" outlineLevel="0" collapsed="false">
      <c r="A2195" s="15" t="s">
        <v>4163</v>
      </c>
      <c r="B2195" s="15" t="s">
        <v>4222</v>
      </c>
      <c r="C2195" s="15" t="s">
        <v>5995</v>
      </c>
      <c r="D2195" s="34" t="n">
        <v>0</v>
      </c>
      <c r="E2195" s="15" t="s">
        <v>6010</v>
      </c>
    </row>
    <row r="2196" customFormat="false" ht="15" hidden="false" customHeight="false" outlineLevel="0" collapsed="false">
      <c r="A2196" s="15" t="s">
        <v>4222</v>
      </c>
      <c r="B2196" s="15" t="s">
        <v>4223</v>
      </c>
      <c r="C2196" s="15" t="s">
        <v>5997</v>
      </c>
      <c r="D2196" s="34" t="n">
        <f aca="false">Activities!M893</f>
        <v>4</v>
      </c>
      <c r="E2196" s="15" t="s">
        <v>5998</v>
      </c>
    </row>
    <row r="2197" customFormat="false" ht="15" hidden="false" customHeight="false" outlineLevel="0" collapsed="false">
      <c r="A2197" s="15" t="s">
        <v>4222</v>
      </c>
      <c r="B2197" s="15" t="s">
        <v>4223</v>
      </c>
      <c r="C2197" s="15" t="s">
        <v>5999</v>
      </c>
      <c r="D2197" s="34" t="n">
        <f aca="false">Activities!N893</f>
        <v>2</v>
      </c>
      <c r="E2197" s="15" t="s">
        <v>5998</v>
      </c>
    </row>
    <row r="2198" customFormat="false" ht="15" hidden="false" customHeight="false" outlineLevel="0" collapsed="false">
      <c r="A2198" s="15" t="s">
        <v>4164</v>
      </c>
      <c r="B2198" s="15" t="s">
        <v>4223</v>
      </c>
      <c r="C2198" s="15" t="s">
        <v>5995</v>
      </c>
      <c r="D2198" s="34" t="n">
        <v>0</v>
      </c>
      <c r="E2198" s="15" t="s">
        <v>6010</v>
      </c>
    </row>
    <row r="2199" customFormat="false" ht="15" hidden="false" customHeight="false" outlineLevel="0" collapsed="false">
      <c r="A2199" s="15" t="s">
        <v>4223</v>
      </c>
      <c r="B2199" s="15" t="s">
        <v>4224</v>
      </c>
      <c r="C2199" s="15" t="s">
        <v>5997</v>
      </c>
      <c r="D2199" s="34" t="n">
        <f aca="false">Activities!M894</f>
        <v>2</v>
      </c>
      <c r="E2199" s="15" t="s">
        <v>5998</v>
      </c>
    </row>
    <row r="2200" customFormat="false" ht="15" hidden="false" customHeight="false" outlineLevel="0" collapsed="false">
      <c r="A2200" s="15" t="s">
        <v>4223</v>
      </c>
      <c r="B2200" s="15" t="s">
        <v>4224</v>
      </c>
      <c r="C2200" s="15" t="s">
        <v>5999</v>
      </c>
      <c r="D2200" s="34" t="n">
        <f aca="false">Activities!N894</f>
        <v>2</v>
      </c>
      <c r="E2200" s="15" t="s">
        <v>5998</v>
      </c>
    </row>
    <row r="2201" customFormat="false" ht="15" hidden="false" customHeight="false" outlineLevel="0" collapsed="false">
      <c r="A2201" s="15" t="s">
        <v>4224</v>
      </c>
      <c r="B2201" s="15" t="s">
        <v>4225</v>
      </c>
      <c r="C2201" s="15" t="s">
        <v>5997</v>
      </c>
      <c r="D2201" s="34" t="n">
        <f aca="false">Activities!M895</f>
        <v>2</v>
      </c>
      <c r="E2201" s="15" t="s">
        <v>5998</v>
      </c>
    </row>
    <row r="2202" customFormat="false" ht="15" hidden="false" customHeight="false" outlineLevel="0" collapsed="false">
      <c r="A2202" s="15" t="s">
        <v>4224</v>
      </c>
      <c r="B2202" s="15" t="s">
        <v>4225</v>
      </c>
      <c r="C2202" s="15" t="s">
        <v>5999</v>
      </c>
      <c r="D2202" s="34" t="n">
        <f aca="false">Activities!N895</f>
        <v>2</v>
      </c>
      <c r="E2202" s="15" t="s">
        <v>5998</v>
      </c>
    </row>
    <row r="2203" customFormat="false" ht="15" hidden="false" customHeight="false" outlineLevel="0" collapsed="false">
      <c r="A2203" s="15" t="s">
        <v>4166</v>
      </c>
      <c r="B2203" s="15" t="s">
        <v>4225</v>
      </c>
      <c r="C2203" s="15" t="s">
        <v>5995</v>
      </c>
      <c r="D2203" s="34" t="n">
        <v>0</v>
      </c>
      <c r="E2203" s="15" t="s">
        <v>6010</v>
      </c>
    </row>
    <row r="2204" customFormat="false" ht="15" hidden="false" customHeight="false" outlineLevel="0" collapsed="false">
      <c r="A2204" s="15" t="s">
        <v>4225</v>
      </c>
      <c r="B2204" s="15" t="s">
        <v>4226</v>
      </c>
      <c r="C2204" s="15" t="s">
        <v>5997</v>
      </c>
      <c r="D2204" s="34" t="n">
        <f aca="false">Activities!M896</f>
        <v>1</v>
      </c>
      <c r="E2204" s="15" t="s">
        <v>5998</v>
      </c>
    </row>
    <row r="2205" customFormat="false" ht="15" hidden="false" customHeight="false" outlineLevel="0" collapsed="false">
      <c r="A2205" s="15" t="s">
        <v>4225</v>
      </c>
      <c r="B2205" s="15" t="s">
        <v>4226</v>
      </c>
      <c r="C2205" s="15" t="s">
        <v>5999</v>
      </c>
      <c r="D2205" s="34" t="n">
        <f aca="false">Activities!N896</f>
        <v>2</v>
      </c>
      <c r="E2205" s="15" t="s">
        <v>5998</v>
      </c>
    </row>
    <row r="2206" customFormat="false" ht="15" hidden="false" customHeight="false" outlineLevel="0" collapsed="false">
      <c r="A2206" s="15" t="s">
        <v>4227</v>
      </c>
      <c r="B2206" s="15" t="s">
        <v>4229</v>
      </c>
      <c r="C2206" s="15" t="s">
        <v>5995</v>
      </c>
      <c r="D2206" s="34" t="n">
        <v>0</v>
      </c>
      <c r="E2206" s="15" t="s">
        <v>5996</v>
      </c>
    </row>
    <row r="2207" customFormat="false" ht="15" hidden="false" customHeight="false" outlineLevel="0" collapsed="false">
      <c r="A2207" s="15" t="s">
        <v>4229</v>
      </c>
      <c r="B2207" s="15" t="s">
        <v>4230</v>
      </c>
      <c r="C2207" s="15" t="s">
        <v>5997</v>
      </c>
      <c r="D2207" s="34" t="n">
        <f aca="false">Activities!M899</f>
        <v>1</v>
      </c>
      <c r="E2207" s="15" t="s">
        <v>5998</v>
      </c>
    </row>
    <row r="2208" customFormat="false" ht="15" hidden="false" customHeight="false" outlineLevel="0" collapsed="false">
      <c r="A2208" s="15" t="s">
        <v>4229</v>
      </c>
      <c r="B2208" s="15" t="s">
        <v>4230</v>
      </c>
      <c r="C2208" s="15" t="s">
        <v>5999</v>
      </c>
      <c r="D2208" s="34" t="n">
        <f aca="false">Activities!N899</f>
        <v>2</v>
      </c>
      <c r="E2208" s="15" t="s">
        <v>5998</v>
      </c>
    </row>
    <row r="2209" customFormat="false" ht="15" hidden="false" customHeight="false" outlineLevel="0" collapsed="false">
      <c r="A2209" s="15" t="s">
        <v>4230</v>
      </c>
      <c r="B2209" s="15" t="s">
        <v>4231</v>
      </c>
      <c r="C2209" s="15" t="s">
        <v>5997</v>
      </c>
      <c r="D2209" s="34" t="n">
        <f aca="false">Activities!M900</f>
        <v>2</v>
      </c>
      <c r="E2209" s="15" t="s">
        <v>5998</v>
      </c>
    </row>
    <row r="2210" customFormat="false" ht="15" hidden="false" customHeight="false" outlineLevel="0" collapsed="false">
      <c r="A2210" s="15" t="s">
        <v>4230</v>
      </c>
      <c r="B2210" s="15" t="s">
        <v>4231</v>
      </c>
      <c r="C2210" s="15" t="s">
        <v>5999</v>
      </c>
      <c r="D2210" s="34" t="n">
        <f aca="false">Activities!N900</f>
        <v>2</v>
      </c>
      <c r="E2210" s="15" t="s">
        <v>5998</v>
      </c>
    </row>
    <row r="2211" customFormat="false" ht="15" hidden="false" customHeight="false" outlineLevel="0" collapsed="false">
      <c r="A2211" s="15" t="s">
        <v>4231</v>
      </c>
      <c r="B2211" s="15" t="s">
        <v>4232</v>
      </c>
      <c r="C2211" s="15" t="s">
        <v>5997</v>
      </c>
      <c r="D2211" s="34" t="n">
        <f aca="false">Activities!M901</f>
        <v>1</v>
      </c>
      <c r="E2211" s="15" t="s">
        <v>5998</v>
      </c>
    </row>
    <row r="2212" customFormat="false" ht="15" hidden="false" customHeight="false" outlineLevel="0" collapsed="false">
      <c r="A2212" s="15" t="s">
        <v>4231</v>
      </c>
      <c r="B2212" s="15" t="s">
        <v>4232</v>
      </c>
      <c r="C2212" s="15" t="s">
        <v>5999</v>
      </c>
      <c r="D2212" s="34" t="n">
        <f aca="false">Activities!N901</f>
        <v>2</v>
      </c>
      <c r="E2212" s="15" t="s">
        <v>5998</v>
      </c>
    </row>
    <row r="2213" customFormat="false" ht="15" hidden="false" customHeight="false" outlineLevel="0" collapsed="false">
      <c r="A2213" s="15" t="s">
        <v>4232</v>
      </c>
      <c r="B2213" s="15" t="s">
        <v>4233</v>
      </c>
      <c r="C2213" s="15" t="s">
        <v>5997</v>
      </c>
      <c r="D2213" s="34" t="n">
        <f aca="false">Activities!M902</f>
        <v>10</v>
      </c>
      <c r="E2213" s="15" t="s">
        <v>5998</v>
      </c>
    </row>
    <row r="2214" customFormat="false" ht="15" hidden="false" customHeight="false" outlineLevel="0" collapsed="false">
      <c r="A2214" s="15" t="s">
        <v>4232</v>
      </c>
      <c r="B2214" s="15" t="s">
        <v>4233</v>
      </c>
      <c r="C2214" s="15" t="s">
        <v>5999</v>
      </c>
      <c r="D2214" s="34" t="n">
        <f aca="false">Activities!N902</f>
        <v>2</v>
      </c>
      <c r="E2214" s="15" t="s">
        <v>5998</v>
      </c>
    </row>
    <row r="2215" customFormat="false" ht="15" hidden="false" customHeight="false" outlineLevel="0" collapsed="false">
      <c r="A2215" s="15" t="s">
        <v>4596</v>
      </c>
      <c r="B2215" s="15" t="s">
        <v>4233</v>
      </c>
      <c r="C2215" s="15" t="s">
        <v>5995</v>
      </c>
      <c r="D2215" s="34" t="n">
        <v>0</v>
      </c>
      <c r="E2215" s="15" t="s">
        <v>6008</v>
      </c>
    </row>
    <row r="2216" customFormat="false" ht="15" hidden="false" customHeight="false" outlineLevel="0" collapsed="false">
      <c r="A2216" s="15" t="s">
        <v>4233</v>
      </c>
      <c r="B2216" s="15" t="s">
        <v>4235</v>
      </c>
      <c r="C2216" s="15" t="s">
        <v>5997</v>
      </c>
      <c r="D2216" s="34" t="n">
        <f aca="false">Activities!M903</f>
        <v>1</v>
      </c>
      <c r="E2216" s="15" t="s">
        <v>5998</v>
      </c>
    </row>
    <row r="2217" customFormat="false" ht="15" hidden="false" customHeight="false" outlineLevel="0" collapsed="false">
      <c r="A2217" s="15" t="s">
        <v>4233</v>
      </c>
      <c r="B2217" s="15" t="s">
        <v>4235</v>
      </c>
      <c r="C2217" s="15" t="s">
        <v>5999</v>
      </c>
      <c r="D2217" s="34" t="n">
        <f aca="false">Activities!N903</f>
        <v>2</v>
      </c>
      <c r="E2217" s="15" t="s">
        <v>5998</v>
      </c>
    </row>
    <row r="2218" customFormat="false" ht="15" hidden="false" customHeight="false" outlineLevel="0" collapsed="false">
      <c r="A2218" s="15" t="s">
        <v>4235</v>
      </c>
      <c r="B2218" s="15" t="s">
        <v>4236</v>
      </c>
      <c r="C2218" s="15" t="s">
        <v>5997</v>
      </c>
      <c r="D2218" s="34" t="n">
        <f aca="false">Activities!M904</f>
        <v>2</v>
      </c>
      <c r="E2218" s="15" t="s">
        <v>5998</v>
      </c>
    </row>
    <row r="2219" customFormat="false" ht="15" hidden="false" customHeight="false" outlineLevel="0" collapsed="false">
      <c r="A2219" s="15" t="s">
        <v>4235</v>
      </c>
      <c r="B2219" s="15" t="s">
        <v>4236</v>
      </c>
      <c r="C2219" s="15" t="s">
        <v>5999</v>
      </c>
      <c r="D2219" s="34" t="n">
        <f aca="false">Activities!N904</f>
        <v>2</v>
      </c>
      <c r="E2219" s="15" t="s">
        <v>5998</v>
      </c>
    </row>
    <row r="2220" customFormat="false" ht="15" hidden="false" customHeight="false" outlineLevel="0" collapsed="false">
      <c r="A2220" s="15" t="s">
        <v>4236</v>
      </c>
      <c r="B2220" s="15" t="s">
        <v>4237</v>
      </c>
      <c r="C2220" s="15" t="s">
        <v>5997</v>
      </c>
      <c r="D2220" s="34" t="n">
        <f aca="false">Activities!M905</f>
        <v>1</v>
      </c>
      <c r="E2220" s="15" t="s">
        <v>5998</v>
      </c>
    </row>
    <row r="2221" customFormat="false" ht="15" hidden="false" customHeight="false" outlineLevel="0" collapsed="false">
      <c r="A2221" s="15" t="s">
        <v>4236</v>
      </c>
      <c r="B2221" s="15" t="s">
        <v>4237</v>
      </c>
      <c r="C2221" s="15" t="s">
        <v>5999</v>
      </c>
      <c r="D2221" s="34" t="n">
        <f aca="false">Activities!N905</f>
        <v>2</v>
      </c>
      <c r="E2221" s="15" t="s">
        <v>5998</v>
      </c>
    </row>
    <row r="2222" customFormat="false" ht="15" hidden="false" customHeight="false" outlineLevel="0" collapsed="false">
      <c r="A2222" s="15" t="s">
        <v>4237</v>
      </c>
      <c r="B2222" s="15" t="s">
        <v>4238</v>
      </c>
      <c r="C2222" s="15" t="s">
        <v>5997</v>
      </c>
      <c r="D2222" s="34" t="n">
        <f aca="false">Activities!M906</f>
        <v>2</v>
      </c>
      <c r="E2222" s="15" t="s">
        <v>5998</v>
      </c>
    </row>
    <row r="2223" customFormat="false" ht="15" hidden="false" customHeight="false" outlineLevel="0" collapsed="false">
      <c r="A2223" s="15" t="s">
        <v>4237</v>
      </c>
      <c r="B2223" s="15" t="s">
        <v>4238</v>
      </c>
      <c r="C2223" s="15" t="s">
        <v>5999</v>
      </c>
      <c r="D2223" s="34" t="n">
        <f aca="false">Activities!N906</f>
        <v>2</v>
      </c>
      <c r="E2223" s="15" t="s">
        <v>5998</v>
      </c>
    </row>
    <row r="2224" customFormat="false" ht="15" hidden="false" customHeight="false" outlineLevel="0" collapsed="false">
      <c r="A2224" s="15" t="s">
        <v>4296</v>
      </c>
      <c r="B2224" s="15" t="s">
        <v>4238</v>
      </c>
      <c r="C2224" s="15" t="s">
        <v>5995</v>
      </c>
      <c r="D2224" s="34" t="n">
        <v>0</v>
      </c>
      <c r="E2224" s="15" t="s">
        <v>6005</v>
      </c>
    </row>
    <row r="2225" customFormat="false" ht="15" hidden="false" customHeight="false" outlineLevel="0" collapsed="false">
      <c r="A2225" s="15" t="s">
        <v>4311</v>
      </c>
      <c r="B2225" s="15" t="s">
        <v>4238</v>
      </c>
      <c r="C2225" s="15" t="s">
        <v>5995</v>
      </c>
      <c r="D2225" s="34" t="n">
        <v>0</v>
      </c>
      <c r="E2225" s="15" t="s">
        <v>6005</v>
      </c>
    </row>
    <row r="2226" customFormat="false" ht="15" hidden="false" customHeight="false" outlineLevel="0" collapsed="false">
      <c r="A2226" s="15" t="s">
        <v>4328</v>
      </c>
      <c r="B2226" s="15" t="s">
        <v>4238</v>
      </c>
      <c r="C2226" s="15" t="s">
        <v>5995</v>
      </c>
      <c r="D2226" s="34" t="n">
        <v>0</v>
      </c>
      <c r="E2226" s="15" t="s">
        <v>6005</v>
      </c>
    </row>
    <row r="2227" customFormat="false" ht="15" hidden="false" customHeight="false" outlineLevel="0" collapsed="false">
      <c r="A2227" s="15" t="s">
        <v>4238</v>
      </c>
      <c r="B2227" s="15" t="s">
        <v>4240</v>
      </c>
      <c r="C2227" s="15" t="s">
        <v>5997</v>
      </c>
      <c r="D2227" s="34" t="n">
        <f aca="false">Activities!M907</f>
        <v>1</v>
      </c>
      <c r="E2227" s="15" t="s">
        <v>5998</v>
      </c>
    </row>
    <row r="2228" customFormat="false" ht="15" hidden="false" customHeight="false" outlineLevel="0" collapsed="false">
      <c r="A2228" s="15" t="s">
        <v>4238</v>
      </c>
      <c r="B2228" s="15" t="s">
        <v>4240</v>
      </c>
      <c r="C2228" s="15" t="s">
        <v>5999</v>
      </c>
      <c r="D2228" s="34" t="n">
        <f aca="false">Activities!N907</f>
        <v>2</v>
      </c>
      <c r="E2228" s="15" t="s">
        <v>5998</v>
      </c>
    </row>
    <row r="2229" customFormat="false" ht="15" hidden="false" customHeight="false" outlineLevel="0" collapsed="false">
      <c r="A2229" s="15" t="s">
        <v>4241</v>
      </c>
      <c r="B2229" s="15" t="s">
        <v>4243</v>
      </c>
      <c r="C2229" s="15" t="s">
        <v>5995</v>
      </c>
      <c r="D2229" s="34" t="n">
        <v>0</v>
      </c>
      <c r="E2229" s="15" t="s">
        <v>5996</v>
      </c>
    </row>
    <row r="2230" customFormat="false" ht="15" hidden="false" customHeight="false" outlineLevel="0" collapsed="false">
      <c r="A2230" s="15" t="s">
        <v>4230</v>
      </c>
      <c r="B2230" s="15" t="s">
        <v>4243</v>
      </c>
      <c r="C2230" s="15" t="s">
        <v>5997</v>
      </c>
      <c r="D2230" s="34" t="n">
        <v>0</v>
      </c>
      <c r="E2230" s="15" t="s">
        <v>6000</v>
      </c>
    </row>
    <row r="2231" customFormat="false" ht="15" hidden="false" customHeight="false" outlineLevel="0" collapsed="false">
      <c r="A2231" s="15" t="s">
        <v>4243</v>
      </c>
      <c r="B2231" s="15" t="s">
        <v>4245</v>
      </c>
      <c r="C2231" s="15" t="s">
        <v>5997</v>
      </c>
      <c r="D2231" s="34" t="n">
        <f aca="false">Activities!M910</f>
        <v>1</v>
      </c>
      <c r="E2231" s="15" t="s">
        <v>5998</v>
      </c>
    </row>
    <row r="2232" customFormat="false" ht="15" hidden="false" customHeight="false" outlineLevel="0" collapsed="false">
      <c r="A2232" s="15" t="s">
        <v>4243</v>
      </c>
      <c r="B2232" s="15" t="s">
        <v>4245</v>
      </c>
      <c r="C2232" s="15" t="s">
        <v>5999</v>
      </c>
      <c r="D2232" s="34" t="n">
        <f aca="false">Activities!N910</f>
        <v>2</v>
      </c>
      <c r="E2232" s="15" t="s">
        <v>5998</v>
      </c>
    </row>
    <row r="2233" customFormat="false" ht="15" hidden="false" customHeight="false" outlineLevel="0" collapsed="false">
      <c r="A2233" s="15" t="s">
        <v>4245</v>
      </c>
      <c r="B2233" s="15" t="s">
        <v>4246</v>
      </c>
      <c r="C2233" s="15" t="s">
        <v>5997</v>
      </c>
      <c r="D2233" s="34" t="n">
        <f aca="false">Activities!M911</f>
        <v>1</v>
      </c>
      <c r="E2233" s="15" t="s">
        <v>5998</v>
      </c>
    </row>
    <row r="2234" customFormat="false" ht="15" hidden="false" customHeight="false" outlineLevel="0" collapsed="false">
      <c r="A2234" s="15" t="s">
        <v>4245</v>
      </c>
      <c r="B2234" s="15" t="s">
        <v>4246</v>
      </c>
      <c r="C2234" s="15" t="s">
        <v>5999</v>
      </c>
      <c r="D2234" s="34" t="n">
        <f aca="false">Activities!N911</f>
        <v>2</v>
      </c>
      <c r="E2234" s="15" t="s">
        <v>5998</v>
      </c>
    </row>
    <row r="2235" customFormat="false" ht="15" hidden="false" customHeight="false" outlineLevel="0" collapsed="false">
      <c r="A2235" s="15" t="s">
        <v>4246</v>
      </c>
      <c r="B2235" s="15" t="s">
        <v>4247</v>
      </c>
      <c r="C2235" s="15" t="s">
        <v>5997</v>
      </c>
      <c r="D2235" s="34" t="n">
        <f aca="false">Activities!M912</f>
        <v>1</v>
      </c>
      <c r="E2235" s="15" t="s">
        <v>5998</v>
      </c>
    </row>
    <row r="2236" customFormat="false" ht="15" hidden="false" customHeight="false" outlineLevel="0" collapsed="false">
      <c r="A2236" s="15" t="s">
        <v>4246</v>
      </c>
      <c r="B2236" s="15" t="s">
        <v>4247</v>
      </c>
      <c r="C2236" s="15" t="s">
        <v>5999</v>
      </c>
      <c r="D2236" s="34" t="n">
        <f aca="false">Activities!N912</f>
        <v>2</v>
      </c>
      <c r="E2236" s="15" t="s">
        <v>5998</v>
      </c>
    </row>
    <row r="2237" customFormat="false" ht="15" hidden="false" customHeight="false" outlineLevel="0" collapsed="false">
      <c r="A2237" s="15" t="s">
        <v>4247</v>
      </c>
      <c r="B2237" s="15" t="s">
        <v>4248</v>
      </c>
      <c r="C2237" s="15" t="s">
        <v>5997</v>
      </c>
      <c r="D2237" s="34" t="n">
        <f aca="false">Activities!M913</f>
        <v>10</v>
      </c>
      <c r="E2237" s="15" t="s">
        <v>5998</v>
      </c>
    </row>
    <row r="2238" customFormat="false" ht="15" hidden="false" customHeight="false" outlineLevel="0" collapsed="false">
      <c r="A2238" s="15" t="s">
        <v>4247</v>
      </c>
      <c r="B2238" s="15" t="s">
        <v>4248</v>
      </c>
      <c r="C2238" s="15" t="s">
        <v>5999</v>
      </c>
      <c r="D2238" s="34" t="n">
        <f aca="false">Activities!N913</f>
        <v>2</v>
      </c>
      <c r="E2238" s="15" t="s">
        <v>5998</v>
      </c>
    </row>
    <row r="2239" customFormat="false" ht="15" hidden="false" customHeight="false" outlineLevel="0" collapsed="false">
      <c r="A2239" s="15" t="s">
        <v>4596</v>
      </c>
      <c r="B2239" s="15" t="s">
        <v>4248</v>
      </c>
      <c r="C2239" s="15" t="s">
        <v>5995</v>
      </c>
      <c r="D2239" s="34" t="n">
        <v>0</v>
      </c>
      <c r="E2239" s="15" t="s">
        <v>6008</v>
      </c>
    </row>
    <row r="2240" customFormat="false" ht="15" hidden="false" customHeight="false" outlineLevel="0" collapsed="false">
      <c r="A2240" s="15" t="s">
        <v>4248</v>
      </c>
      <c r="B2240" s="15" t="s">
        <v>4249</v>
      </c>
      <c r="C2240" s="15" t="s">
        <v>5997</v>
      </c>
      <c r="D2240" s="34" t="n">
        <f aca="false">Activities!M914</f>
        <v>1</v>
      </c>
      <c r="E2240" s="15" t="s">
        <v>5998</v>
      </c>
    </row>
    <row r="2241" customFormat="false" ht="15" hidden="false" customHeight="false" outlineLevel="0" collapsed="false">
      <c r="A2241" s="15" t="s">
        <v>4248</v>
      </c>
      <c r="B2241" s="15" t="s">
        <v>4249</v>
      </c>
      <c r="C2241" s="15" t="s">
        <v>5999</v>
      </c>
      <c r="D2241" s="34" t="n">
        <f aca="false">Activities!N914</f>
        <v>2</v>
      </c>
      <c r="E2241" s="15" t="s">
        <v>5998</v>
      </c>
    </row>
    <row r="2242" customFormat="false" ht="15" hidden="false" customHeight="false" outlineLevel="0" collapsed="false">
      <c r="A2242" s="15" t="s">
        <v>4249</v>
      </c>
      <c r="B2242" s="15" t="s">
        <v>4250</v>
      </c>
      <c r="C2242" s="15" t="s">
        <v>5997</v>
      </c>
      <c r="D2242" s="34" t="n">
        <f aca="false">Activities!M915</f>
        <v>2</v>
      </c>
      <c r="E2242" s="15" t="s">
        <v>5998</v>
      </c>
    </row>
    <row r="2243" customFormat="false" ht="15" hidden="false" customHeight="false" outlineLevel="0" collapsed="false">
      <c r="A2243" s="15" t="s">
        <v>4249</v>
      </c>
      <c r="B2243" s="15" t="s">
        <v>4250</v>
      </c>
      <c r="C2243" s="15" t="s">
        <v>5999</v>
      </c>
      <c r="D2243" s="34" t="n">
        <f aca="false">Activities!N915</f>
        <v>2</v>
      </c>
      <c r="E2243" s="15" t="s">
        <v>5998</v>
      </c>
    </row>
    <row r="2244" customFormat="false" ht="15" hidden="false" customHeight="false" outlineLevel="0" collapsed="false">
      <c r="A2244" s="15" t="s">
        <v>4236</v>
      </c>
      <c r="B2244" s="15" t="s">
        <v>4250</v>
      </c>
      <c r="C2244" s="15" t="s">
        <v>5995</v>
      </c>
      <c r="D2244" s="34" t="n">
        <v>0</v>
      </c>
      <c r="E2244" s="15" t="s">
        <v>6001</v>
      </c>
    </row>
    <row r="2245" customFormat="false" ht="15" hidden="false" customHeight="false" outlineLevel="0" collapsed="false">
      <c r="A2245" s="15" t="s">
        <v>4250</v>
      </c>
      <c r="B2245" s="15" t="s">
        <v>4252</v>
      </c>
      <c r="C2245" s="15" t="s">
        <v>5997</v>
      </c>
      <c r="D2245" s="34" t="n">
        <f aca="false">Activities!M916</f>
        <v>2</v>
      </c>
      <c r="E2245" s="15" t="s">
        <v>5998</v>
      </c>
    </row>
    <row r="2246" customFormat="false" ht="15" hidden="false" customHeight="false" outlineLevel="0" collapsed="false">
      <c r="A2246" s="15" t="s">
        <v>4250</v>
      </c>
      <c r="B2246" s="15" t="s">
        <v>4252</v>
      </c>
      <c r="C2246" s="15" t="s">
        <v>5999</v>
      </c>
      <c r="D2246" s="34" t="n">
        <f aca="false">Activities!N916</f>
        <v>2</v>
      </c>
      <c r="E2246" s="15" t="s">
        <v>5998</v>
      </c>
    </row>
    <row r="2247" customFormat="false" ht="15" hidden="false" customHeight="false" outlineLevel="0" collapsed="false">
      <c r="A2247" s="15" t="s">
        <v>4252</v>
      </c>
      <c r="B2247" s="15" t="s">
        <v>4253</v>
      </c>
      <c r="C2247" s="15" t="s">
        <v>5997</v>
      </c>
      <c r="D2247" s="34" t="n">
        <f aca="false">Activities!M917</f>
        <v>2</v>
      </c>
      <c r="E2247" s="15" t="s">
        <v>5998</v>
      </c>
    </row>
    <row r="2248" customFormat="false" ht="15" hidden="false" customHeight="false" outlineLevel="0" collapsed="false">
      <c r="A2248" s="15" t="s">
        <v>4252</v>
      </c>
      <c r="B2248" s="15" t="s">
        <v>4253</v>
      </c>
      <c r="C2248" s="15" t="s">
        <v>5999</v>
      </c>
      <c r="D2248" s="34" t="n">
        <f aca="false">Activities!N917</f>
        <v>2</v>
      </c>
      <c r="E2248" s="15" t="s">
        <v>5998</v>
      </c>
    </row>
    <row r="2249" customFormat="false" ht="15" hidden="false" customHeight="false" outlineLevel="0" collapsed="false">
      <c r="A2249" s="15" t="s">
        <v>4296</v>
      </c>
      <c r="B2249" s="15" t="s">
        <v>4253</v>
      </c>
      <c r="C2249" s="15" t="s">
        <v>5995</v>
      </c>
      <c r="D2249" s="34" t="n">
        <v>0</v>
      </c>
      <c r="E2249" s="15" t="s">
        <v>6005</v>
      </c>
    </row>
    <row r="2250" customFormat="false" ht="15" hidden="false" customHeight="false" outlineLevel="0" collapsed="false">
      <c r="A2250" s="15" t="s">
        <v>4311</v>
      </c>
      <c r="B2250" s="15" t="s">
        <v>4253</v>
      </c>
      <c r="C2250" s="15" t="s">
        <v>5995</v>
      </c>
      <c r="D2250" s="34" t="n">
        <v>0</v>
      </c>
      <c r="E2250" s="15" t="s">
        <v>6005</v>
      </c>
    </row>
    <row r="2251" customFormat="false" ht="15" hidden="false" customHeight="false" outlineLevel="0" collapsed="false">
      <c r="A2251" s="15" t="s">
        <v>4328</v>
      </c>
      <c r="B2251" s="15" t="s">
        <v>4253</v>
      </c>
      <c r="C2251" s="15" t="s">
        <v>5995</v>
      </c>
      <c r="D2251" s="34" t="n">
        <v>0</v>
      </c>
      <c r="E2251" s="15" t="s">
        <v>6005</v>
      </c>
    </row>
    <row r="2252" customFormat="false" ht="15" hidden="false" customHeight="false" outlineLevel="0" collapsed="false">
      <c r="A2252" s="15" t="s">
        <v>4253</v>
      </c>
      <c r="B2252" s="15" t="s">
        <v>4254</v>
      </c>
      <c r="C2252" s="15" t="s">
        <v>5997</v>
      </c>
      <c r="D2252" s="34" t="n">
        <f aca="false">Activities!M918</f>
        <v>1</v>
      </c>
      <c r="E2252" s="15" t="s">
        <v>5998</v>
      </c>
    </row>
    <row r="2253" customFormat="false" ht="15" hidden="false" customHeight="false" outlineLevel="0" collapsed="false">
      <c r="A2253" s="15" t="s">
        <v>4253</v>
      </c>
      <c r="B2253" s="15" t="s">
        <v>4254</v>
      </c>
      <c r="C2253" s="15" t="s">
        <v>5999</v>
      </c>
      <c r="D2253" s="34" t="n">
        <f aca="false">Activities!N918</f>
        <v>2</v>
      </c>
      <c r="E2253" s="15" t="s">
        <v>5998</v>
      </c>
    </row>
    <row r="2254" customFormat="false" ht="15" hidden="false" customHeight="false" outlineLevel="0" collapsed="false">
      <c r="A2254" s="15" t="s">
        <v>4255</v>
      </c>
      <c r="B2254" s="15" t="s">
        <v>4257</v>
      </c>
      <c r="C2254" s="15" t="s">
        <v>5995</v>
      </c>
      <c r="D2254" s="34" t="n">
        <v>0</v>
      </c>
      <c r="E2254" s="15" t="s">
        <v>5996</v>
      </c>
    </row>
    <row r="2255" customFormat="false" ht="15" hidden="false" customHeight="false" outlineLevel="0" collapsed="false">
      <c r="A2255" s="15" t="s">
        <v>4230</v>
      </c>
      <c r="B2255" s="15" t="s">
        <v>4257</v>
      </c>
      <c r="C2255" s="15" t="s">
        <v>5997</v>
      </c>
      <c r="D2255" s="34" t="n">
        <v>0</v>
      </c>
      <c r="E2255" s="15" t="s">
        <v>6002</v>
      </c>
    </row>
    <row r="2256" customFormat="false" ht="15" hidden="false" customHeight="false" outlineLevel="0" collapsed="false">
      <c r="A2256" s="15" t="s">
        <v>4257</v>
      </c>
      <c r="B2256" s="15" t="s">
        <v>4259</v>
      </c>
      <c r="C2256" s="15" t="s">
        <v>5997</v>
      </c>
      <c r="D2256" s="34" t="n">
        <f aca="false">Activities!M921</f>
        <v>1</v>
      </c>
      <c r="E2256" s="15" t="s">
        <v>5998</v>
      </c>
    </row>
    <row r="2257" customFormat="false" ht="15" hidden="false" customHeight="false" outlineLevel="0" collapsed="false">
      <c r="A2257" s="15" t="s">
        <v>4257</v>
      </c>
      <c r="B2257" s="15" t="s">
        <v>4259</v>
      </c>
      <c r="C2257" s="15" t="s">
        <v>5999</v>
      </c>
      <c r="D2257" s="34" t="n">
        <f aca="false">Activities!N921</f>
        <v>2</v>
      </c>
      <c r="E2257" s="15" t="s">
        <v>5998</v>
      </c>
    </row>
    <row r="2258" customFormat="false" ht="15" hidden="false" customHeight="false" outlineLevel="0" collapsed="false">
      <c r="A2258" s="15" t="s">
        <v>4230</v>
      </c>
      <c r="B2258" s="15" t="s">
        <v>4259</v>
      </c>
      <c r="C2258" s="15" t="s">
        <v>5995</v>
      </c>
      <c r="D2258" s="34" t="n">
        <v>0</v>
      </c>
      <c r="E2258" s="15" t="s">
        <v>6011</v>
      </c>
    </row>
    <row r="2259" customFormat="false" ht="15" hidden="false" customHeight="false" outlineLevel="0" collapsed="false">
      <c r="A2259" s="15" t="s">
        <v>4259</v>
      </c>
      <c r="B2259" s="15" t="s">
        <v>4260</v>
      </c>
      <c r="C2259" s="15" t="s">
        <v>5997</v>
      </c>
      <c r="D2259" s="34" t="n">
        <f aca="false">Activities!M922</f>
        <v>2</v>
      </c>
      <c r="E2259" s="15" t="s">
        <v>5998</v>
      </c>
    </row>
    <row r="2260" customFormat="false" ht="15" hidden="false" customHeight="false" outlineLevel="0" collapsed="false">
      <c r="A2260" s="15" t="s">
        <v>4259</v>
      </c>
      <c r="B2260" s="15" t="s">
        <v>4260</v>
      </c>
      <c r="C2260" s="15" t="s">
        <v>5999</v>
      </c>
      <c r="D2260" s="34" t="n">
        <f aca="false">Activities!N922</f>
        <v>2</v>
      </c>
      <c r="E2260" s="15" t="s">
        <v>5998</v>
      </c>
    </row>
    <row r="2261" customFormat="false" ht="15" hidden="false" customHeight="false" outlineLevel="0" collapsed="false">
      <c r="A2261" s="15" t="s">
        <v>4231</v>
      </c>
      <c r="B2261" s="15" t="s">
        <v>4260</v>
      </c>
      <c r="C2261" s="15" t="s">
        <v>5995</v>
      </c>
      <c r="D2261" s="34" t="n">
        <v>0</v>
      </c>
      <c r="E2261" s="15" t="s">
        <v>6011</v>
      </c>
    </row>
    <row r="2262" customFormat="false" ht="15" hidden="false" customHeight="false" outlineLevel="0" collapsed="false">
      <c r="A2262" s="15" t="s">
        <v>4260</v>
      </c>
      <c r="B2262" s="15" t="s">
        <v>4261</v>
      </c>
      <c r="C2262" s="15" t="s">
        <v>5997</v>
      </c>
      <c r="D2262" s="34" t="n">
        <f aca="false">Activities!M923</f>
        <v>1</v>
      </c>
      <c r="E2262" s="15" t="s">
        <v>5998</v>
      </c>
    </row>
    <row r="2263" customFormat="false" ht="15" hidden="false" customHeight="false" outlineLevel="0" collapsed="false">
      <c r="A2263" s="15" t="s">
        <v>4260</v>
      </c>
      <c r="B2263" s="15" t="s">
        <v>4261</v>
      </c>
      <c r="C2263" s="15" t="s">
        <v>5999</v>
      </c>
      <c r="D2263" s="34" t="n">
        <f aca="false">Activities!N923</f>
        <v>2</v>
      </c>
      <c r="E2263" s="15" t="s">
        <v>5998</v>
      </c>
    </row>
    <row r="2264" customFormat="false" ht="15" hidden="false" customHeight="false" outlineLevel="0" collapsed="false">
      <c r="A2264" s="15" t="s">
        <v>4233</v>
      </c>
      <c r="B2264" s="15" t="s">
        <v>4261</v>
      </c>
      <c r="C2264" s="15" t="s">
        <v>5995</v>
      </c>
      <c r="D2264" s="34" t="n">
        <f aca="false">-Activities!K923</f>
        <v>-10</v>
      </c>
      <c r="E2264" s="15" t="s">
        <v>6004</v>
      </c>
    </row>
    <row r="2265" customFormat="false" ht="15" hidden="false" customHeight="false" outlineLevel="0" collapsed="false">
      <c r="A2265" s="15" t="s">
        <v>4261</v>
      </c>
      <c r="B2265" s="15" t="s">
        <v>4263</v>
      </c>
      <c r="C2265" s="15" t="s">
        <v>5997</v>
      </c>
      <c r="D2265" s="34" t="n">
        <f aca="false">Activities!M924</f>
        <v>10</v>
      </c>
      <c r="E2265" s="15" t="s">
        <v>5998</v>
      </c>
    </row>
    <row r="2266" customFormat="false" ht="15" hidden="false" customHeight="false" outlineLevel="0" collapsed="false">
      <c r="A2266" s="15" t="s">
        <v>4261</v>
      </c>
      <c r="B2266" s="15" t="s">
        <v>4263</v>
      </c>
      <c r="C2266" s="15" t="s">
        <v>5999</v>
      </c>
      <c r="D2266" s="34" t="n">
        <f aca="false">Activities!N924</f>
        <v>2</v>
      </c>
      <c r="E2266" s="15" t="s">
        <v>5998</v>
      </c>
    </row>
    <row r="2267" customFormat="false" ht="15" hidden="false" customHeight="false" outlineLevel="0" collapsed="false">
      <c r="A2267" s="15" t="s">
        <v>4233</v>
      </c>
      <c r="B2267" s="15" t="s">
        <v>4263</v>
      </c>
      <c r="C2267" s="15" t="s">
        <v>5995</v>
      </c>
      <c r="D2267" s="34" t="n">
        <v>0</v>
      </c>
      <c r="E2267" s="15" t="s">
        <v>6011</v>
      </c>
    </row>
    <row r="2268" customFormat="false" ht="15" hidden="false" customHeight="false" outlineLevel="0" collapsed="false">
      <c r="A2268" s="15" t="s">
        <v>4263</v>
      </c>
      <c r="B2268" s="15" t="s">
        <v>4264</v>
      </c>
      <c r="C2268" s="15" t="s">
        <v>5997</v>
      </c>
      <c r="D2268" s="34" t="n">
        <f aca="false">Activities!M925</f>
        <v>1</v>
      </c>
      <c r="E2268" s="15" t="s">
        <v>5998</v>
      </c>
    </row>
    <row r="2269" customFormat="false" ht="15" hidden="false" customHeight="false" outlineLevel="0" collapsed="false">
      <c r="A2269" s="15" t="s">
        <v>4263</v>
      </c>
      <c r="B2269" s="15" t="s">
        <v>4264</v>
      </c>
      <c r="C2269" s="15" t="s">
        <v>5999</v>
      </c>
      <c r="D2269" s="34" t="n">
        <f aca="false">Activities!N925</f>
        <v>2</v>
      </c>
      <c r="E2269" s="15" t="s">
        <v>5998</v>
      </c>
    </row>
    <row r="2270" customFormat="false" ht="15" hidden="false" customHeight="false" outlineLevel="0" collapsed="false">
      <c r="A2270" s="15" t="s">
        <v>4235</v>
      </c>
      <c r="B2270" s="15" t="s">
        <v>4264</v>
      </c>
      <c r="C2270" s="15" t="s">
        <v>5995</v>
      </c>
      <c r="D2270" s="34" t="n">
        <v>0</v>
      </c>
      <c r="E2270" s="15" t="s">
        <v>6011</v>
      </c>
    </row>
    <row r="2271" customFormat="false" ht="15" hidden="false" customHeight="false" outlineLevel="0" collapsed="false">
      <c r="A2271" s="15" t="s">
        <v>4264</v>
      </c>
      <c r="B2271" s="15" t="s">
        <v>4265</v>
      </c>
      <c r="C2271" s="15" t="s">
        <v>5997</v>
      </c>
      <c r="D2271" s="34" t="n">
        <f aca="false">Activities!M926</f>
        <v>2</v>
      </c>
      <c r="E2271" s="15" t="s">
        <v>5998</v>
      </c>
    </row>
    <row r="2272" customFormat="false" ht="15" hidden="false" customHeight="false" outlineLevel="0" collapsed="false">
      <c r="A2272" s="15" t="s">
        <v>4264</v>
      </c>
      <c r="B2272" s="15" t="s">
        <v>4265</v>
      </c>
      <c r="C2272" s="15" t="s">
        <v>5999</v>
      </c>
      <c r="D2272" s="34" t="n">
        <f aca="false">Activities!N926</f>
        <v>2</v>
      </c>
      <c r="E2272" s="15" t="s">
        <v>5998</v>
      </c>
    </row>
    <row r="2273" customFormat="false" ht="15" hidden="false" customHeight="false" outlineLevel="0" collapsed="false">
      <c r="A2273" s="15" t="s">
        <v>4236</v>
      </c>
      <c r="B2273" s="15" t="s">
        <v>4265</v>
      </c>
      <c r="C2273" s="15" t="s">
        <v>5995</v>
      </c>
      <c r="D2273" s="34" t="n">
        <v>0</v>
      </c>
      <c r="E2273" s="15" t="s">
        <v>6011</v>
      </c>
    </row>
    <row r="2274" customFormat="false" ht="15" hidden="false" customHeight="false" outlineLevel="0" collapsed="false">
      <c r="A2274" s="15" t="s">
        <v>4265</v>
      </c>
      <c r="B2274" s="15" t="s">
        <v>4266</v>
      </c>
      <c r="C2274" s="15" t="s">
        <v>5997</v>
      </c>
      <c r="D2274" s="34" t="n">
        <f aca="false">Activities!M927</f>
        <v>2</v>
      </c>
      <c r="E2274" s="15" t="s">
        <v>5998</v>
      </c>
    </row>
    <row r="2275" customFormat="false" ht="15" hidden="false" customHeight="false" outlineLevel="0" collapsed="false">
      <c r="A2275" s="15" t="s">
        <v>4265</v>
      </c>
      <c r="B2275" s="15" t="s">
        <v>4266</v>
      </c>
      <c r="C2275" s="15" t="s">
        <v>5999</v>
      </c>
      <c r="D2275" s="34" t="n">
        <f aca="false">Activities!N927</f>
        <v>2</v>
      </c>
      <c r="E2275" s="15" t="s">
        <v>5998</v>
      </c>
    </row>
    <row r="2276" customFormat="false" ht="15" hidden="false" customHeight="false" outlineLevel="0" collapsed="false">
      <c r="A2276" s="15" t="s">
        <v>4266</v>
      </c>
      <c r="B2276" s="15" t="s">
        <v>4267</v>
      </c>
      <c r="C2276" s="15" t="s">
        <v>5997</v>
      </c>
      <c r="D2276" s="34" t="n">
        <f aca="false">Activities!M928</f>
        <v>2</v>
      </c>
      <c r="E2276" s="15" t="s">
        <v>5998</v>
      </c>
    </row>
    <row r="2277" customFormat="false" ht="15" hidden="false" customHeight="false" outlineLevel="0" collapsed="false">
      <c r="A2277" s="15" t="s">
        <v>4266</v>
      </c>
      <c r="B2277" s="15" t="s">
        <v>4267</v>
      </c>
      <c r="C2277" s="15" t="s">
        <v>5999</v>
      </c>
      <c r="D2277" s="34" t="n">
        <f aca="false">Activities!N928</f>
        <v>2</v>
      </c>
      <c r="E2277" s="15" t="s">
        <v>5998</v>
      </c>
    </row>
    <row r="2278" customFormat="false" ht="15" hidden="false" customHeight="false" outlineLevel="0" collapsed="false">
      <c r="A2278" s="15" t="s">
        <v>4238</v>
      </c>
      <c r="B2278" s="15" t="s">
        <v>4267</v>
      </c>
      <c r="C2278" s="15" t="s">
        <v>5995</v>
      </c>
      <c r="D2278" s="34" t="n">
        <v>0</v>
      </c>
      <c r="E2278" s="15" t="s">
        <v>6011</v>
      </c>
    </row>
    <row r="2279" customFormat="false" ht="15" hidden="false" customHeight="false" outlineLevel="0" collapsed="false">
      <c r="A2279" s="15" t="s">
        <v>4328</v>
      </c>
      <c r="B2279" s="15" t="s">
        <v>4267</v>
      </c>
      <c r="C2279" s="15" t="s">
        <v>5995</v>
      </c>
      <c r="D2279" s="34" t="n">
        <v>0</v>
      </c>
      <c r="E2279" s="15" t="s">
        <v>6005</v>
      </c>
    </row>
    <row r="2280" customFormat="false" ht="15" hidden="false" customHeight="false" outlineLevel="0" collapsed="false">
      <c r="A2280" s="15" t="s">
        <v>4267</v>
      </c>
      <c r="B2280" s="15" t="s">
        <v>4269</v>
      </c>
      <c r="C2280" s="15" t="s">
        <v>5997</v>
      </c>
      <c r="D2280" s="34" t="n">
        <f aca="false">Activities!M929</f>
        <v>1</v>
      </c>
      <c r="E2280" s="15" t="s">
        <v>5998</v>
      </c>
    </row>
    <row r="2281" customFormat="false" ht="15" hidden="false" customHeight="false" outlineLevel="0" collapsed="false">
      <c r="A2281" s="15" t="s">
        <v>4267</v>
      </c>
      <c r="B2281" s="15" t="s">
        <v>4269</v>
      </c>
      <c r="C2281" s="15" t="s">
        <v>5999</v>
      </c>
      <c r="D2281" s="34" t="n">
        <f aca="false">Activities!N929</f>
        <v>2</v>
      </c>
      <c r="E2281" s="15" t="s">
        <v>5998</v>
      </c>
    </row>
    <row r="2282" customFormat="false" ht="15" hidden="false" customHeight="false" outlineLevel="0" collapsed="false">
      <c r="A2282" s="15" t="s">
        <v>4270</v>
      </c>
      <c r="B2282" s="15" t="s">
        <v>4272</v>
      </c>
      <c r="C2282" s="15" t="s">
        <v>5995</v>
      </c>
      <c r="D2282" s="34" t="n">
        <v>0</v>
      </c>
      <c r="E2282" s="15" t="s">
        <v>5996</v>
      </c>
    </row>
    <row r="2283" customFormat="false" ht="15" hidden="false" customHeight="false" outlineLevel="0" collapsed="false">
      <c r="A2283" s="15" t="s">
        <v>4259</v>
      </c>
      <c r="B2283" s="15" t="s">
        <v>4272</v>
      </c>
      <c r="C2283" s="15" t="s">
        <v>5997</v>
      </c>
      <c r="D2283" s="34" t="n">
        <v>0</v>
      </c>
      <c r="E2283" s="15" t="s">
        <v>6002</v>
      </c>
    </row>
    <row r="2284" customFormat="false" ht="15" hidden="false" customHeight="false" outlineLevel="0" collapsed="false">
      <c r="A2284" s="15" t="s">
        <v>4272</v>
      </c>
      <c r="B2284" s="15" t="s">
        <v>4274</v>
      </c>
      <c r="C2284" s="15" t="s">
        <v>5997</v>
      </c>
      <c r="D2284" s="34" t="n">
        <f aca="false">Activities!M932</f>
        <v>1</v>
      </c>
      <c r="E2284" s="15" t="s">
        <v>5998</v>
      </c>
    </row>
    <row r="2285" customFormat="false" ht="15" hidden="false" customHeight="false" outlineLevel="0" collapsed="false">
      <c r="A2285" s="15" t="s">
        <v>4272</v>
      </c>
      <c r="B2285" s="15" t="s">
        <v>4274</v>
      </c>
      <c r="C2285" s="15" t="s">
        <v>5999</v>
      </c>
      <c r="D2285" s="34" t="n">
        <f aca="false">Activities!N932</f>
        <v>2</v>
      </c>
      <c r="E2285" s="15" t="s">
        <v>5998</v>
      </c>
    </row>
    <row r="2286" customFormat="false" ht="15" hidden="false" customHeight="false" outlineLevel="0" collapsed="false">
      <c r="A2286" s="15" t="s">
        <v>4259</v>
      </c>
      <c r="B2286" s="15" t="s">
        <v>4274</v>
      </c>
      <c r="C2286" s="15" t="s">
        <v>5995</v>
      </c>
      <c r="D2286" s="34" t="n">
        <v>0</v>
      </c>
      <c r="E2286" s="15" t="s">
        <v>6011</v>
      </c>
    </row>
    <row r="2287" customFormat="false" ht="15" hidden="false" customHeight="false" outlineLevel="0" collapsed="false">
      <c r="A2287" s="15" t="s">
        <v>4274</v>
      </c>
      <c r="B2287" s="15" t="s">
        <v>4275</v>
      </c>
      <c r="C2287" s="15" t="s">
        <v>5997</v>
      </c>
      <c r="D2287" s="34" t="n">
        <f aca="false">Activities!M933</f>
        <v>3</v>
      </c>
      <c r="E2287" s="15" t="s">
        <v>5998</v>
      </c>
    </row>
    <row r="2288" customFormat="false" ht="15" hidden="false" customHeight="false" outlineLevel="0" collapsed="false">
      <c r="A2288" s="15" t="s">
        <v>4274</v>
      </c>
      <c r="B2288" s="15" t="s">
        <v>4275</v>
      </c>
      <c r="C2288" s="15" t="s">
        <v>5999</v>
      </c>
      <c r="D2288" s="34" t="n">
        <f aca="false">Activities!N933</f>
        <v>2</v>
      </c>
      <c r="E2288" s="15" t="s">
        <v>5998</v>
      </c>
    </row>
    <row r="2289" customFormat="false" ht="15" hidden="false" customHeight="false" outlineLevel="0" collapsed="false">
      <c r="A2289" s="15" t="s">
        <v>4260</v>
      </c>
      <c r="B2289" s="15" t="s">
        <v>4275</v>
      </c>
      <c r="C2289" s="15" t="s">
        <v>5995</v>
      </c>
      <c r="D2289" s="34" t="n">
        <v>0</v>
      </c>
      <c r="E2289" s="15" t="s">
        <v>6011</v>
      </c>
    </row>
    <row r="2290" customFormat="false" ht="15" hidden="false" customHeight="false" outlineLevel="0" collapsed="false">
      <c r="A2290" s="15" t="s">
        <v>4275</v>
      </c>
      <c r="B2290" s="15" t="s">
        <v>4276</v>
      </c>
      <c r="C2290" s="15" t="s">
        <v>5997</v>
      </c>
      <c r="D2290" s="34" t="n">
        <f aca="false">Activities!M934</f>
        <v>2</v>
      </c>
      <c r="E2290" s="15" t="s">
        <v>5998</v>
      </c>
    </row>
    <row r="2291" customFormat="false" ht="15" hidden="false" customHeight="false" outlineLevel="0" collapsed="false">
      <c r="A2291" s="15" t="s">
        <v>4275</v>
      </c>
      <c r="B2291" s="15" t="s">
        <v>4276</v>
      </c>
      <c r="C2291" s="15" t="s">
        <v>5999</v>
      </c>
      <c r="D2291" s="34" t="n">
        <f aca="false">Activities!N934</f>
        <v>2</v>
      </c>
      <c r="E2291" s="15" t="s">
        <v>5998</v>
      </c>
    </row>
    <row r="2292" customFormat="false" ht="15" hidden="false" customHeight="false" outlineLevel="0" collapsed="false">
      <c r="A2292" s="15" t="s">
        <v>4263</v>
      </c>
      <c r="B2292" s="15" t="s">
        <v>4276</v>
      </c>
      <c r="C2292" s="15" t="s">
        <v>5995</v>
      </c>
      <c r="D2292" s="34" t="n">
        <f aca="false">-Activities!K934</f>
        <v>-11</v>
      </c>
      <c r="E2292" s="15" t="s">
        <v>6004</v>
      </c>
    </row>
    <row r="2293" customFormat="false" ht="15" hidden="false" customHeight="false" outlineLevel="0" collapsed="false">
      <c r="A2293" s="15" t="s">
        <v>4276</v>
      </c>
      <c r="B2293" s="15" t="s">
        <v>4278</v>
      </c>
      <c r="C2293" s="15" t="s">
        <v>5997</v>
      </c>
      <c r="D2293" s="34" t="n">
        <f aca="false">Activities!M935</f>
        <v>10</v>
      </c>
      <c r="E2293" s="15" t="s">
        <v>5998</v>
      </c>
    </row>
    <row r="2294" customFormat="false" ht="15" hidden="false" customHeight="false" outlineLevel="0" collapsed="false">
      <c r="A2294" s="15" t="s">
        <v>4276</v>
      </c>
      <c r="B2294" s="15" t="s">
        <v>4278</v>
      </c>
      <c r="C2294" s="15" t="s">
        <v>5999</v>
      </c>
      <c r="D2294" s="34" t="n">
        <f aca="false">Activities!N935</f>
        <v>2</v>
      </c>
      <c r="E2294" s="15" t="s">
        <v>5998</v>
      </c>
    </row>
    <row r="2295" customFormat="false" ht="15" hidden="false" customHeight="false" outlineLevel="0" collapsed="false">
      <c r="A2295" s="15" t="s">
        <v>4263</v>
      </c>
      <c r="B2295" s="15" t="s">
        <v>4278</v>
      </c>
      <c r="C2295" s="15" t="s">
        <v>5995</v>
      </c>
      <c r="D2295" s="34" t="n">
        <v>0</v>
      </c>
      <c r="E2295" s="15" t="s">
        <v>6011</v>
      </c>
    </row>
    <row r="2296" customFormat="false" ht="15" hidden="false" customHeight="false" outlineLevel="0" collapsed="false">
      <c r="A2296" s="15" t="s">
        <v>4278</v>
      </c>
      <c r="B2296" s="15" t="s">
        <v>4279</v>
      </c>
      <c r="C2296" s="15" t="s">
        <v>5997</v>
      </c>
      <c r="D2296" s="34" t="n">
        <f aca="false">Activities!M936</f>
        <v>2</v>
      </c>
      <c r="E2296" s="15" t="s">
        <v>5998</v>
      </c>
    </row>
    <row r="2297" customFormat="false" ht="15" hidden="false" customHeight="false" outlineLevel="0" collapsed="false">
      <c r="A2297" s="15" t="s">
        <v>4278</v>
      </c>
      <c r="B2297" s="15" t="s">
        <v>4279</v>
      </c>
      <c r="C2297" s="15" t="s">
        <v>5999</v>
      </c>
      <c r="D2297" s="34" t="n">
        <f aca="false">Activities!N936</f>
        <v>2</v>
      </c>
      <c r="E2297" s="15" t="s">
        <v>5998</v>
      </c>
    </row>
    <row r="2298" customFormat="false" ht="15" hidden="false" customHeight="false" outlineLevel="0" collapsed="false">
      <c r="A2298" s="15" t="s">
        <v>4264</v>
      </c>
      <c r="B2298" s="15" t="s">
        <v>4279</v>
      </c>
      <c r="C2298" s="15" t="s">
        <v>5995</v>
      </c>
      <c r="D2298" s="34" t="n">
        <v>0</v>
      </c>
      <c r="E2298" s="15" t="s">
        <v>6011</v>
      </c>
    </row>
    <row r="2299" customFormat="false" ht="15" hidden="false" customHeight="false" outlineLevel="0" collapsed="false">
      <c r="A2299" s="15" t="s">
        <v>4279</v>
      </c>
      <c r="B2299" s="15" t="s">
        <v>4280</v>
      </c>
      <c r="C2299" s="15" t="s">
        <v>5997</v>
      </c>
      <c r="D2299" s="34" t="n">
        <f aca="false">Activities!M937</f>
        <v>3</v>
      </c>
      <c r="E2299" s="15" t="s">
        <v>5998</v>
      </c>
    </row>
    <row r="2300" customFormat="false" ht="15" hidden="false" customHeight="false" outlineLevel="0" collapsed="false">
      <c r="A2300" s="15" t="s">
        <v>4279</v>
      </c>
      <c r="B2300" s="15" t="s">
        <v>4280</v>
      </c>
      <c r="C2300" s="15" t="s">
        <v>5999</v>
      </c>
      <c r="D2300" s="34" t="n">
        <f aca="false">Activities!N937</f>
        <v>2</v>
      </c>
      <c r="E2300" s="15" t="s">
        <v>5998</v>
      </c>
    </row>
    <row r="2301" customFormat="false" ht="15" hidden="false" customHeight="false" outlineLevel="0" collapsed="false">
      <c r="A2301" s="15" t="s">
        <v>4265</v>
      </c>
      <c r="B2301" s="15" t="s">
        <v>4280</v>
      </c>
      <c r="C2301" s="15" t="s">
        <v>5995</v>
      </c>
      <c r="D2301" s="34" t="n">
        <v>0</v>
      </c>
      <c r="E2301" s="15" t="s">
        <v>6011</v>
      </c>
    </row>
    <row r="2302" customFormat="false" ht="15" hidden="false" customHeight="false" outlineLevel="0" collapsed="false">
      <c r="A2302" s="15" t="s">
        <v>4280</v>
      </c>
      <c r="B2302" s="15" t="s">
        <v>4281</v>
      </c>
      <c r="C2302" s="15" t="s">
        <v>5997</v>
      </c>
      <c r="D2302" s="34" t="n">
        <f aca="false">Activities!M938</f>
        <v>2</v>
      </c>
      <c r="E2302" s="15" t="s">
        <v>5998</v>
      </c>
    </row>
    <row r="2303" customFormat="false" ht="15" hidden="false" customHeight="false" outlineLevel="0" collapsed="false">
      <c r="A2303" s="15" t="s">
        <v>4280</v>
      </c>
      <c r="B2303" s="15" t="s">
        <v>4281</v>
      </c>
      <c r="C2303" s="15" t="s">
        <v>5999</v>
      </c>
      <c r="D2303" s="34" t="n">
        <f aca="false">Activities!N938</f>
        <v>2</v>
      </c>
      <c r="E2303" s="15" t="s">
        <v>5998</v>
      </c>
    </row>
    <row r="2304" customFormat="false" ht="15" hidden="false" customHeight="false" outlineLevel="0" collapsed="false">
      <c r="A2304" s="15" t="s">
        <v>4281</v>
      </c>
      <c r="B2304" s="15" t="s">
        <v>4282</v>
      </c>
      <c r="C2304" s="15" t="s">
        <v>5997</v>
      </c>
      <c r="D2304" s="34" t="n">
        <f aca="false">Activities!M939</f>
        <v>2</v>
      </c>
      <c r="E2304" s="15" t="s">
        <v>5998</v>
      </c>
    </row>
    <row r="2305" customFormat="false" ht="15" hidden="false" customHeight="false" outlineLevel="0" collapsed="false">
      <c r="A2305" s="15" t="s">
        <v>4281</v>
      </c>
      <c r="B2305" s="15" t="s">
        <v>4282</v>
      </c>
      <c r="C2305" s="15" t="s">
        <v>5999</v>
      </c>
      <c r="D2305" s="34" t="n">
        <f aca="false">Activities!N939</f>
        <v>2</v>
      </c>
      <c r="E2305" s="15" t="s">
        <v>5998</v>
      </c>
    </row>
    <row r="2306" customFormat="false" ht="15" hidden="false" customHeight="false" outlineLevel="0" collapsed="false">
      <c r="A2306" s="15" t="s">
        <v>4267</v>
      </c>
      <c r="B2306" s="15" t="s">
        <v>4282</v>
      </c>
      <c r="C2306" s="15" t="s">
        <v>5995</v>
      </c>
      <c r="D2306" s="34" t="n">
        <v>0</v>
      </c>
      <c r="E2306" s="15" t="s">
        <v>6011</v>
      </c>
    </row>
    <row r="2307" customFormat="false" ht="15" hidden="false" customHeight="false" outlineLevel="0" collapsed="false">
      <c r="A2307" s="15" t="s">
        <v>4296</v>
      </c>
      <c r="B2307" s="15" t="s">
        <v>4282</v>
      </c>
      <c r="C2307" s="15" t="s">
        <v>5995</v>
      </c>
      <c r="D2307" s="34" t="n">
        <v>0</v>
      </c>
      <c r="E2307" s="15" t="s">
        <v>6005</v>
      </c>
    </row>
    <row r="2308" customFormat="false" ht="15" hidden="false" customHeight="false" outlineLevel="0" collapsed="false">
      <c r="A2308" s="15" t="s">
        <v>4282</v>
      </c>
      <c r="B2308" s="15" t="s">
        <v>4284</v>
      </c>
      <c r="C2308" s="15" t="s">
        <v>5997</v>
      </c>
      <c r="D2308" s="34" t="n">
        <f aca="false">Activities!M940</f>
        <v>1</v>
      </c>
      <c r="E2308" s="15" t="s">
        <v>5998</v>
      </c>
    </row>
    <row r="2309" customFormat="false" ht="15" hidden="false" customHeight="false" outlineLevel="0" collapsed="false">
      <c r="A2309" s="15" t="s">
        <v>4282</v>
      </c>
      <c r="B2309" s="15" t="s">
        <v>4284</v>
      </c>
      <c r="C2309" s="15" t="s">
        <v>5999</v>
      </c>
      <c r="D2309" s="34" t="n">
        <f aca="false">Activities!N940</f>
        <v>2</v>
      </c>
      <c r="E2309" s="15" t="s">
        <v>5998</v>
      </c>
    </row>
    <row r="2310" customFormat="false" ht="15" hidden="false" customHeight="false" outlineLevel="0" collapsed="false">
      <c r="A2310" s="15" t="s">
        <v>4285</v>
      </c>
      <c r="B2310" s="15" t="s">
        <v>4287</v>
      </c>
      <c r="C2310" s="15" t="s">
        <v>5995</v>
      </c>
      <c r="D2310" s="34" t="n">
        <v>0</v>
      </c>
      <c r="E2310" s="15" t="s">
        <v>5996</v>
      </c>
    </row>
    <row r="2311" customFormat="false" ht="15" hidden="false" customHeight="false" outlineLevel="0" collapsed="false">
      <c r="A2311" s="15" t="s">
        <v>4274</v>
      </c>
      <c r="B2311" s="15" t="s">
        <v>4287</v>
      </c>
      <c r="C2311" s="15" t="s">
        <v>5997</v>
      </c>
      <c r="D2311" s="34" t="n">
        <v>0</v>
      </c>
      <c r="E2311" s="15" t="s">
        <v>6002</v>
      </c>
    </row>
    <row r="2312" customFormat="false" ht="15" hidden="false" customHeight="false" outlineLevel="0" collapsed="false">
      <c r="A2312" s="15" t="s">
        <v>4287</v>
      </c>
      <c r="B2312" s="15" t="s">
        <v>4289</v>
      </c>
      <c r="C2312" s="15" t="s">
        <v>5997</v>
      </c>
      <c r="D2312" s="34" t="n">
        <f aca="false">Activities!M943</f>
        <v>1</v>
      </c>
      <c r="E2312" s="15" t="s">
        <v>5998</v>
      </c>
    </row>
    <row r="2313" customFormat="false" ht="15" hidden="false" customHeight="false" outlineLevel="0" collapsed="false">
      <c r="A2313" s="15" t="s">
        <v>4287</v>
      </c>
      <c r="B2313" s="15" t="s">
        <v>4289</v>
      </c>
      <c r="C2313" s="15" t="s">
        <v>5999</v>
      </c>
      <c r="D2313" s="34" t="n">
        <f aca="false">Activities!N943</f>
        <v>2</v>
      </c>
      <c r="E2313" s="15" t="s">
        <v>5998</v>
      </c>
    </row>
    <row r="2314" customFormat="false" ht="15" hidden="false" customHeight="false" outlineLevel="0" collapsed="false">
      <c r="A2314" s="15" t="s">
        <v>4274</v>
      </c>
      <c r="B2314" s="15" t="s">
        <v>4289</v>
      </c>
      <c r="C2314" s="15" t="s">
        <v>5995</v>
      </c>
      <c r="D2314" s="34" t="n">
        <v>0</v>
      </c>
      <c r="E2314" s="15" t="s">
        <v>6011</v>
      </c>
    </row>
    <row r="2315" customFormat="false" ht="15" hidden="false" customHeight="false" outlineLevel="0" collapsed="false">
      <c r="A2315" s="15" t="s">
        <v>4289</v>
      </c>
      <c r="B2315" s="15" t="s">
        <v>4290</v>
      </c>
      <c r="C2315" s="15" t="s">
        <v>5997</v>
      </c>
      <c r="D2315" s="34" t="n">
        <f aca="false">Activities!M944</f>
        <v>2</v>
      </c>
      <c r="E2315" s="15" t="s">
        <v>5998</v>
      </c>
    </row>
    <row r="2316" customFormat="false" ht="15" hidden="false" customHeight="false" outlineLevel="0" collapsed="false">
      <c r="A2316" s="15" t="s">
        <v>4289</v>
      </c>
      <c r="B2316" s="15" t="s">
        <v>4290</v>
      </c>
      <c r="C2316" s="15" t="s">
        <v>5999</v>
      </c>
      <c r="D2316" s="34" t="n">
        <f aca="false">Activities!N944</f>
        <v>2</v>
      </c>
      <c r="E2316" s="15" t="s">
        <v>5998</v>
      </c>
    </row>
    <row r="2317" customFormat="false" ht="15" hidden="false" customHeight="false" outlineLevel="0" collapsed="false">
      <c r="A2317" s="15" t="s">
        <v>4275</v>
      </c>
      <c r="B2317" s="15" t="s">
        <v>4290</v>
      </c>
      <c r="C2317" s="15" t="s">
        <v>5995</v>
      </c>
      <c r="D2317" s="34" t="n">
        <v>0</v>
      </c>
      <c r="E2317" s="15" t="s">
        <v>6011</v>
      </c>
    </row>
    <row r="2318" customFormat="false" ht="15" hidden="false" customHeight="false" outlineLevel="0" collapsed="false">
      <c r="A2318" s="15" t="s">
        <v>4290</v>
      </c>
      <c r="B2318" s="15" t="s">
        <v>4291</v>
      </c>
      <c r="C2318" s="15" t="s">
        <v>5997</v>
      </c>
      <c r="D2318" s="34" t="n">
        <f aca="false">Activities!M945</f>
        <v>2</v>
      </c>
      <c r="E2318" s="15" t="s">
        <v>5998</v>
      </c>
    </row>
    <row r="2319" customFormat="false" ht="15" hidden="false" customHeight="false" outlineLevel="0" collapsed="false">
      <c r="A2319" s="15" t="s">
        <v>4290</v>
      </c>
      <c r="B2319" s="15" t="s">
        <v>4291</v>
      </c>
      <c r="C2319" s="15" t="s">
        <v>5999</v>
      </c>
      <c r="D2319" s="34" t="n">
        <f aca="false">Activities!N945</f>
        <v>2</v>
      </c>
      <c r="E2319" s="15" t="s">
        <v>5998</v>
      </c>
    </row>
    <row r="2320" customFormat="false" ht="15" hidden="false" customHeight="false" outlineLevel="0" collapsed="false">
      <c r="A2320" s="15" t="s">
        <v>4278</v>
      </c>
      <c r="B2320" s="15" t="s">
        <v>4291</v>
      </c>
      <c r="C2320" s="15" t="s">
        <v>5995</v>
      </c>
      <c r="D2320" s="34" t="n">
        <f aca="false">-Activities!K945</f>
        <v>-10</v>
      </c>
      <c r="E2320" s="15" t="s">
        <v>6004</v>
      </c>
    </row>
    <row r="2321" customFormat="false" ht="15" hidden="false" customHeight="false" outlineLevel="0" collapsed="false">
      <c r="A2321" s="15" t="s">
        <v>4291</v>
      </c>
      <c r="B2321" s="15" t="s">
        <v>4293</v>
      </c>
      <c r="C2321" s="15" t="s">
        <v>5997</v>
      </c>
      <c r="D2321" s="34" t="n">
        <f aca="false">Activities!M946</f>
        <v>10</v>
      </c>
      <c r="E2321" s="15" t="s">
        <v>5998</v>
      </c>
    </row>
    <row r="2322" customFormat="false" ht="15" hidden="false" customHeight="false" outlineLevel="0" collapsed="false">
      <c r="A2322" s="15" t="s">
        <v>4291</v>
      </c>
      <c r="B2322" s="15" t="s">
        <v>4293</v>
      </c>
      <c r="C2322" s="15" t="s">
        <v>5999</v>
      </c>
      <c r="D2322" s="34" t="n">
        <f aca="false">Activities!N946</f>
        <v>2</v>
      </c>
      <c r="E2322" s="15" t="s">
        <v>5998</v>
      </c>
    </row>
    <row r="2323" customFormat="false" ht="15" hidden="false" customHeight="false" outlineLevel="0" collapsed="false">
      <c r="A2323" s="15" t="s">
        <v>4278</v>
      </c>
      <c r="B2323" s="15" t="s">
        <v>4293</v>
      </c>
      <c r="C2323" s="15" t="s">
        <v>5995</v>
      </c>
      <c r="D2323" s="34" t="n">
        <v>0</v>
      </c>
      <c r="E2323" s="15" t="s">
        <v>6011</v>
      </c>
    </row>
    <row r="2324" customFormat="false" ht="15" hidden="false" customHeight="false" outlineLevel="0" collapsed="false">
      <c r="A2324" s="15" t="s">
        <v>4596</v>
      </c>
      <c r="B2324" s="15" t="s">
        <v>4293</v>
      </c>
      <c r="C2324" s="15" t="s">
        <v>5995</v>
      </c>
      <c r="D2324" s="34" t="n">
        <v>0</v>
      </c>
      <c r="E2324" s="15" t="s">
        <v>6008</v>
      </c>
    </row>
    <row r="2325" customFormat="false" ht="15" hidden="false" customHeight="false" outlineLevel="0" collapsed="false">
      <c r="A2325" s="15" t="s">
        <v>4278</v>
      </c>
      <c r="B2325" s="15" t="s">
        <v>4293</v>
      </c>
      <c r="C2325" s="15" t="s">
        <v>5997</v>
      </c>
      <c r="D2325" s="34" t="n">
        <v>0</v>
      </c>
      <c r="E2325" s="15" t="s">
        <v>6006</v>
      </c>
    </row>
    <row r="2326" customFormat="false" ht="15" hidden="false" customHeight="false" outlineLevel="0" collapsed="false">
      <c r="A2326" s="15" t="s">
        <v>4233</v>
      </c>
      <c r="B2326" s="15" t="s">
        <v>4293</v>
      </c>
      <c r="C2326" s="15" t="s">
        <v>5997</v>
      </c>
      <c r="D2326" s="34" t="n">
        <v>0</v>
      </c>
      <c r="E2326" s="15" t="s">
        <v>6006</v>
      </c>
    </row>
    <row r="2327" customFormat="false" ht="15" hidden="false" customHeight="false" outlineLevel="0" collapsed="false">
      <c r="A2327" s="15" t="s">
        <v>4248</v>
      </c>
      <c r="B2327" s="15" t="s">
        <v>4293</v>
      </c>
      <c r="C2327" s="15" t="s">
        <v>5997</v>
      </c>
      <c r="D2327" s="34" t="n">
        <v>0</v>
      </c>
      <c r="E2327" s="15" t="s">
        <v>6006</v>
      </c>
    </row>
    <row r="2328" customFormat="false" ht="15" hidden="false" customHeight="false" outlineLevel="0" collapsed="false">
      <c r="A2328" s="15" t="s">
        <v>4293</v>
      </c>
      <c r="B2328" s="15" t="s">
        <v>4295</v>
      </c>
      <c r="C2328" s="15" t="s">
        <v>5997</v>
      </c>
      <c r="D2328" s="34" t="n">
        <f aca="false">Activities!M947</f>
        <v>1</v>
      </c>
      <c r="E2328" s="15" t="s">
        <v>5998</v>
      </c>
    </row>
    <row r="2329" customFormat="false" ht="15" hidden="false" customHeight="false" outlineLevel="0" collapsed="false">
      <c r="A2329" s="15" t="s">
        <v>4293</v>
      </c>
      <c r="B2329" s="15" t="s">
        <v>4295</v>
      </c>
      <c r="C2329" s="15" t="s">
        <v>5999</v>
      </c>
      <c r="D2329" s="34" t="n">
        <f aca="false">Activities!N947</f>
        <v>2</v>
      </c>
      <c r="E2329" s="15" t="s">
        <v>5998</v>
      </c>
    </row>
    <row r="2330" customFormat="false" ht="15" hidden="false" customHeight="false" outlineLevel="0" collapsed="false">
      <c r="A2330" s="15" t="s">
        <v>4279</v>
      </c>
      <c r="B2330" s="15" t="s">
        <v>4295</v>
      </c>
      <c r="C2330" s="15" t="s">
        <v>5995</v>
      </c>
      <c r="D2330" s="34" t="n">
        <v>0</v>
      </c>
      <c r="E2330" s="15" t="s">
        <v>6011</v>
      </c>
    </row>
    <row r="2331" customFormat="false" ht="15" hidden="false" customHeight="false" outlineLevel="0" collapsed="false">
      <c r="A2331" s="15" t="s">
        <v>4295</v>
      </c>
      <c r="B2331" s="15" t="s">
        <v>4296</v>
      </c>
      <c r="C2331" s="15" t="s">
        <v>5997</v>
      </c>
      <c r="D2331" s="34" t="n">
        <f aca="false">Activities!M948</f>
        <v>3</v>
      </c>
      <c r="E2331" s="15" t="s">
        <v>5998</v>
      </c>
    </row>
    <row r="2332" customFormat="false" ht="15" hidden="false" customHeight="false" outlineLevel="0" collapsed="false">
      <c r="A2332" s="15" t="s">
        <v>4295</v>
      </c>
      <c r="B2332" s="15" t="s">
        <v>4296</v>
      </c>
      <c r="C2332" s="15" t="s">
        <v>5999</v>
      </c>
      <c r="D2332" s="34" t="n">
        <f aca="false">Activities!N948</f>
        <v>2</v>
      </c>
      <c r="E2332" s="15" t="s">
        <v>5998</v>
      </c>
    </row>
    <row r="2333" customFormat="false" ht="15" hidden="false" customHeight="false" outlineLevel="0" collapsed="false">
      <c r="A2333" s="15" t="s">
        <v>4280</v>
      </c>
      <c r="B2333" s="15" t="s">
        <v>4296</v>
      </c>
      <c r="C2333" s="15" t="s">
        <v>5995</v>
      </c>
      <c r="D2333" s="34" t="n">
        <v>0</v>
      </c>
      <c r="E2333" s="15" t="s">
        <v>6011</v>
      </c>
    </row>
    <row r="2334" customFormat="false" ht="15" hidden="false" customHeight="false" outlineLevel="0" collapsed="false">
      <c r="A2334" s="15" t="s">
        <v>4296</v>
      </c>
      <c r="B2334" s="15" t="s">
        <v>4297</v>
      </c>
      <c r="C2334" s="15" t="s">
        <v>5997</v>
      </c>
      <c r="D2334" s="34" t="n">
        <f aca="false">Activities!M949</f>
        <v>1</v>
      </c>
      <c r="E2334" s="15" t="s">
        <v>5998</v>
      </c>
    </row>
    <row r="2335" customFormat="false" ht="15" hidden="false" customHeight="false" outlineLevel="0" collapsed="false">
      <c r="A2335" s="15" t="s">
        <v>4296</v>
      </c>
      <c r="B2335" s="15" t="s">
        <v>4297</v>
      </c>
      <c r="C2335" s="15" t="s">
        <v>5999</v>
      </c>
      <c r="D2335" s="34" t="n">
        <f aca="false">Activities!N949</f>
        <v>2</v>
      </c>
      <c r="E2335" s="15" t="s">
        <v>5998</v>
      </c>
    </row>
    <row r="2336" customFormat="false" ht="15" hidden="false" customHeight="false" outlineLevel="0" collapsed="false">
      <c r="A2336" s="15" t="s">
        <v>4297</v>
      </c>
      <c r="B2336" s="15" t="s">
        <v>4298</v>
      </c>
      <c r="C2336" s="15" t="s">
        <v>5997</v>
      </c>
      <c r="D2336" s="34" t="n">
        <f aca="false">Activities!M950</f>
        <v>2</v>
      </c>
      <c r="E2336" s="15" t="s">
        <v>5998</v>
      </c>
    </row>
    <row r="2337" customFormat="false" ht="15" hidden="false" customHeight="false" outlineLevel="0" collapsed="false">
      <c r="A2337" s="15" t="s">
        <v>4297</v>
      </c>
      <c r="B2337" s="15" t="s">
        <v>4298</v>
      </c>
      <c r="C2337" s="15" t="s">
        <v>5999</v>
      </c>
      <c r="D2337" s="34" t="n">
        <f aca="false">Activities!N950</f>
        <v>2</v>
      </c>
      <c r="E2337" s="15" t="s">
        <v>5998</v>
      </c>
    </row>
    <row r="2338" customFormat="false" ht="15" hidden="false" customHeight="false" outlineLevel="0" collapsed="false">
      <c r="A2338" s="15" t="s">
        <v>4282</v>
      </c>
      <c r="B2338" s="15" t="s">
        <v>4298</v>
      </c>
      <c r="C2338" s="15" t="s">
        <v>5995</v>
      </c>
      <c r="D2338" s="34" t="n">
        <v>0</v>
      </c>
      <c r="E2338" s="15" t="s">
        <v>6011</v>
      </c>
    </row>
    <row r="2339" customFormat="false" ht="15" hidden="false" customHeight="false" outlineLevel="0" collapsed="false">
      <c r="A2339" s="15" t="s">
        <v>4328</v>
      </c>
      <c r="B2339" s="15" t="s">
        <v>4298</v>
      </c>
      <c r="C2339" s="15" t="s">
        <v>5995</v>
      </c>
      <c r="D2339" s="34" t="n">
        <v>0</v>
      </c>
      <c r="E2339" s="15" t="s">
        <v>6005</v>
      </c>
    </row>
    <row r="2340" customFormat="false" ht="15" hidden="false" customHeight="false" outlineLevel="0" collapsed="false">
      <c r="A2340" s="15" t="s">
        <v>4280</v>
      </c>
      <c r="B2340" s="15" t="s">
        <v>4298</v>
      </c>
      <c r="C2340" s="15" t="s">
        <v>5995</v>
      </c>
      <c r="D2340" s="34" t="n">
        <v>0</v>
      </c>
      <c r="E2340" s="15" t="s">
        <v>6005</v>
      </c>
    </row>
    <row r="2341" customFormat="false" ht="15" hidden="false" customHeight="false" outlineLevel="0" collapsed="false">
      <c r="A2341" s="15" t="s">
        <v>4236</v>
      </c>
      <c r="B2341" s="15" t="s">
        <v>4298</v>
      </c>
      <c r="C2341" s="15" t="s">
        <v>5995</v>
      </c>
      <c r="D2341" s="34" t="n">
        <v>0</v>
      </c>
      <c r="E2341" s="15" t="s">
        <v>6005</v>
      </c>
    </row>
    <row r="2342" customFormat="false" ht="15" hidden="false" customHeight="false" outlineLevel="0" collapsed="false">
      <c r="A2342" s="15" t="s">
        <v>4250</v>
      </c>
      <c r="B2342" s="15" t="s">
        <v>4298</v>
      </c>
      <c r="C2342" s="15" t="s">
        <v>5995</v>
      </c>
      <c r="D2342" s="34" t="n">
        <v>0</v>
      </c>
      <c r="E2342" s="15" t="s">
        <v>6005</v>
      </c>
    </row>
    <row r="2343" customFormat="false" ht="15" hidden="false" customHeight="false" outlineLevel="0" collapsed="false">
      <c r="A2343" s="15" t="s">
        <v>4298</v>
      </c>
      <c r="B2343" s="15" t="s">
        <v>4300</v>
      </c>
      <c r="C2343" s="15" t="s">
        <v>5997</v>
      </c>
      <c r="D2343" s="34" t="n">
        <f aca="false">Activities!M951</f>
        <v>1</v>
      </c>
      <c r="E2343" s="15" t="s">
        <v>5998</v>
      </c>
    </row>
    <row r="2344" customFormat="false" ht="15" hidden="false" customHeight="false" outlineLevel="0" collapsed="false">
      <c r="A2344" s="15" t="s">
        <v>4298</v>
      </c>
      <c r="B2344" s="15" t="s">
        <v>4300</v>
      </c>
      <c r="C2344" s="15" t="s">
        <v>5999</v>
      </c>
      <c r="D2344" s="34" t="n">
        <f aca="false">Activities!N951</f>
        <v>2</v>
      </c>
      <c r="E2344" s="15" t="s">
        <v>5998</v>
      </c>
    </row>
    <row r="2345" customFormat="false" ht="15" hidden="false" customHeight="false" outlineLevel="0" collapsed="false">
      <c r="A2345" s="15" t="s">
        <v>4301</v>
      </c>
      <c r="B2345" s="15" t="s">
        <v>4303</v>
      </c>
      <c r="C2345" s="15" t="s">
        <v>5995</v>
      </c>
      <c r="D2345" s="34" t="n">
        <v>0</v>
      </c>
      <c r="E2345" s="15" t="s">
        <v>5996</v>
      </c>
    </row>
    <row r="2346" customFormat="false" ht="15" hidden="false" customHeight="false" outlineLevel="0" collapsed="false">
      <c r="A2346" s="15" t="s">
        <v>4289</v>
      </c>
      <c r="B2346" s="15" t="s">
        <v>4303</v>
      </c>
      <c r="C2346" s="15" t="s">
        <v>5997</v>
      </c>
      <c r="D2346" s="34" t="n">
        <v>0</v>
      </c>
      <c r="E2346" s="15" t="s">
        <v>6000</v>
      </c>
    </row>
    <row r="2347" customFormat="false" ht="15" hidden="false" customHeight="false" outlineLevel="0" collapsed="false">
      <c r="A2347" s="15" t="s">
        <v>4303</v>
      </c>
      <c r="B2347" s="15" t="s">
        <v>4305</v>
      </c>
      <c r="C2347" s="15" t="s">
        <v>5997</v>
      </c>
      <c r="D2347" s="34" t="n">
        <f aca="false">Activities!M954</f>
        <v>1</v>
      </c>
      <c r="E2347" s="15" t="s">
        <v>5998</v>
      </c>
    </row>
    <row r="2348" customFormat="false" ht="15" hidden="false" customHeight="false" outlineLevel="0" collapsed="false">
      <c r="A2348" s="15" t="s">
        <v>4303</v>
      </c>
      <c r="B2348" s="15" t="s">
        <v>4305</v>
      </c>
      <c r="C2348" s="15" t="s">
        <v>5999</v>
      </c>
      <c r="D2348" s="34" t="n">
        <f aca="false">Activities!N954</f>
        <v>2</v>
      </c>
      <c r="E2348" s="15" t="s">
        <v>5998</v>
      </c>
    </row>
    <row r="2349" customFormat="false" ht="15" hidden="false" customHeight="false" outlineLevel="0" collapsed="false">
      <c r="A2349" s="15" t="s">
        <v>4305</v>
      </c>
      <c r="B2349" s="15" t="s">
        <v>4306</v>
      </c>
      <c r="C2349" s="15" t="s">
        <v>5997</v>
      </c>
      <c r="D2349" s="34" t="n">
        <f aca="false">Activities!M955</f>
        <v>1</v>
      </c>
      <c r="E2349" s="15" t="s">
        <v>5998</v>
      </c>
    </row>
    <row r="2350" customFormat="false" ht="15" hidden="false" customHeight="false" outlineLevel="0" collapsed="false">
      <c r="A2350" s="15" t="s">
        <v>4305</v>
      </c>
      <c r="B2350" s="15" t="s">
        <v>4306</v>
      </c>
      <c r="C2350" s="15" t="s">
        <v>5999</v>
      </c>
      <c r="D2350" s="34" t="n">
        <f aca="false">Activities!N955</f>
        <v>2</v>
      </c>
      <c r="E2350" s="15" t="s">
        <v>5998</v>
      </c>
    </row>
    <row r="2351" customFormat="false" ht="15" hidden="false" customHeight="false" outlineLevel="0" collapsed="false">
      <c r="A2351" s="15" t="s">
        <v>4306</v>
      </c>
      <c r="B2351" s="15" t="s">
        <v>4307</v>
      </c>
      <c r="C2351" s="15" t="s">
        <v>5997</v>
      </c>
      <c r="D2351" s="34" t="n">
        <f aca="false">Activities!M956</f>
        <v>1</v>
      </c>
      <c r="E2351" s="15" t="s">
        <v>5998</v>
      </c>
    </row>
    <row r="2352" customFormat="false" ht="15" hidden="false" customHeight="false" outlineLevel="0" collapsed="false">
      <c r="A2352" s="15" t="s">
        <v>4306</v>
      </c>
      <c r="B2352" s="15" t="s">
        <v>4307</v>
      </c>
      <c r="C2352" s="15" t="s">
        <v>5999</v>
      </c>
      <c r="D2352" s="34" t="n">
        <f aca="false">Activities!N956</f>
        <v>2</v>
      </c>
      <c r="E2352" s="15" t="s">
        <v>5998</v>
      </c>
    </row>
    <row r="2353" customFormat="false" ht="15" hidden="false" customHeight="false" outlineLevel="0" collapsed="false">
      <c r="A2353" s="15" t="s">
        <v>4307</v>
      </c>
      <c r="B2353" s="15" t="s">
        <v>4308</v>
      </c>
      <c r="C2353" s="15" t="s">
        <v>5997</v>
      </c>
      <c r="D2353" s="34" t="n">
        <f aca="false">Activities!M957</f>
        <v>10</v>
      </c>
      <c r="E2353" s="15" t="s">
        <v>5998</v>
      </c>
    </row>
    <row r="2354" customFormat="false" ht="15" hidden="false" customHeight="false" outlineLevel="0" collapsed="false">
      <c r="A2354" s="15" t="s">
        <v>4307</v>
      </c>
      <c r="B2354" s="15" t="s">
        <v>4308</v>
      </c>
      <c r="C2354" s="15" t="s">
        <v>5999</v>
      </c>
      <c r="D2354" s="34" t="n">
        <f aca="false">Activities!N957</f>
        <v>2</v>
      </c>
      <c r="E2354" s="15" t="s">
        <v>5998</v>
      </c>
    </row>
    <row r="2355" customFormat="false" ht="15" hidden="false" customHeight="false" outlineLevel="0" collapsed="false">
      <c r="A2355" s="15" t="s">
        <v>4596</v>
      </c>
      <c r="B2355" s="15" t="s">
        <v>4308</v>
      </c>
      <c r="C2355" s="15" t="s">
        <v>5995</v>
      </c>
      <c r="D2355" s="34" t="n">
        <v>0</v>
      </c>
      <c r="E2355" s="15" t="s">
        <v>6008</v>
      </c>
    </row>
    <row r="2356" customFormat="false" ht="15" hidden="false" customHeight="false" outlineLevel="0" collapsed="false">
      <c r="A2356" s="15" t="s">
        <v>4233</v>
      </c>
      <c r="B2356" s="15" t="s">
        <v>4308</v>
      </c>
      <c r="C2356" s="15" t="s">
        <v>5997</v>
      </c>
      <c r="D2356" s="34" t="n">
        <v>0</v>
      </c>
      <c r="E2356" s="15" t="s">
        <v>6006</v>
      </c>
    </row>
    <row r="2357" customFormat="false" ht="15" hidden="false" customHeight="false" outlineLevel="0" collapsed="false">
      <c r="A2357" s="15" t="s">
        <v>4248</v>
      </c>
      <c r="B2357" s="15" t="s">
        <v>4308</v>
      </c>
      <c r="C2357" s="15" t="s">
        <v>5997</v>
      </c>
      <c r="D2357" s="34" t="n">
        <v>0</v>
      </c>
      <c r="E2357" s="15" t="s">
        <v>6006</v>
      </c>
    </row>
    <row r="2358" customFormat="false" ht="15" hidden="false" customHeight="false" outlineLevel="0" collapsed="false">
      <c r="A2358" s="15" t="s">
        <v>4308</v>
      </c>
      <c r="B2358" s="15" t="s">
        <v>4310</v>
      </c>
      <c r="C2358" s="15" t="s">
        <v>5997</v>
      </c>
      <c r="D2358" s="34" t="n">
        <f aca="false">Activities!M958</f>
        <v>1</v>
      </c>
      <c r="E2358" s="15" t="s">
        <v>5998</v>
      </c>
    </row>
    <row r="2359" customFormat="false" ht="15" hidden="false" customHeight="false" outlineLevel="0" collapsed="false">
      <c r="A2359" s="15" t="s">
        <v>4308</v>
      </c>
      <c r="B2359" s="15" t="s">
        <v>4310</v>
      </c>
      <c r="C2359" s="15" t="s">
        <v>5999</v>
      </c>
      <c r="D2359" s="34" t="n">
        <f aca="false">Activities!N958</f>
        <v>2</v>
      </c>
      <c r="E2359" s="15" t="s">
        <v>5998</v>
      </c>
    </row>
    <row r="2360" customFormat="false" ht="15" hidden="false" customHeight="false" outlineLevel="0" collapsed="false">
      <c r="A2360" s="15" t="s">
        <v>4310</v>
      </c>
      <c r="B2360" s="15" t="s">
        <v>4311</v>
      </c>
      <c r="C2360" s="15" t="s">
        <v>5997</v>
      </c>
      <c r="D2360" s="34" t="n">
        <f aca="false">Activities!M959</f>
        <v>2</v>
      </c>
      <c r="E2360" s="15" t="s">
        <v>5998</v>
      </c>
    </row>
    <row r="2361" customFormat="false" ht="15" hidden="false" customHeight="false" outlineLevel="0" collapsed="false">
      <c r="A2361" s="15" t="s">
        <v>4310</v>
      </c>
      <c r="B2361" s="15" t="s">
        <v>4311</v>
      </c>
      <c r="C2361" s="15" t="s">
        <v>5999</v>
      </c>
      <c r="D2361" s="34" t="n">
        <f aca="false">Activities!N959</f>
        <v>2</v>
      </c>
      <c r="E2361" s="15" t="s">
        <v>5998</v>
      </c>
    </row>
    <row r="2362" customFormat="false" ht="15" hidden="false" customHeight="false" outlineLevel="0" collapsed="false">
      <c r="A2362" s="15" t="s">
        <v>4296</v>
      </c>
      <c r="B2362" s="15" t="s">
        <v>4311</v>
      </c>
      <c r="C2362" s="15" t="s">
        <v>5995</v>
      </c>
      <c r="D2362" s="34" t="n">
        <v>0</v>
      </c>
      <c r="E2362" s="15" t="s">
        <v>6001</v>
      </c>
    </row>
    <row r="2363" customFormat="false" ht="15" hidden="false" customHeight="false" outlineLevel="0" collapsed="false">
      <c r="A2363" s="15" t="s">
        <v>4311</v>
      </c>
      <c r="B2363" s="15" t="s">
        <v>4313</v>
      </c>
      <c r="C2363" s="15" t="s">
        <v>5997</v>
      </c>
      <c r="D2363" s="34" t="n">
        <f aca="false">Activities!M960</f>
        <v>2</v>
      </c>
      <c r="E2363" s="15" t="s">
        <v>5998</v>
      </c>
    </row>
    <row r="2364" customFormat="false" ht="15" hidden="false" customHeight="false" outlineLevel="0" collapsed="false">
      <c r="A2364" s="15" t="s">
        <v>4311</v>
      </c>
      <c r="B2364" s="15" t="s">
        <v>4313</v>
      </c>
      <c r="C2364" s="15" t="s">
        <v>5999</v>
      </c>
      <c r="D2364" s="34" t="n">
        <f aca="false">Activities!N960</f>
        <v>2</v>
      </c>
      <c r="E2364" s="15" t="s">
        <v>5998</v>
      </c>
    </row>
    <row r="2365" customFormat="false" ht="15" hidden="false" customHeight="false" outlineLevel="0" collapsed="false">
      <c r="A2365" s="15" t="s">
        <v>4313</v>
      </c>
      <c r="B2365" s="15" t="s">
        <v>4314</v>
      </c>
      <c r="C2365" s="15" t="s">
        <v>5997</v>
      </c>
      <c r="D2365" s="34" t="n">
        <f aca="false">Activities!M961</f>
        <v>2</v>
      </c>
      <c r="E2365" s="15" t="s">
        <v>5998</v>
      </c>
    </row>
    <row r="2366" customFormat="false" ht="15" hidden="false" customHeight="false" outlineLevel="0" collapsed="false">
      <c r="A2366" s="15" t="s">
        <v>4313</v>
      </c>
      <c r="B2366" s="15" t="s">
        <v>4314</v>
      </c>
      <c r="C2366" s="15" t="s">
        <v>5999</v>
      </c>
      <c r="D2366" s="34" t="n">
        <f aca="false">Activities!N961</f>
        <v>2</v>
      </c>
      <c r="E2366" s="15" t="s">
        <v>5998</v>
      </c>
    </row>
    <row r="2367" customFormat="false" ht="15" hidden="false" customHeight="false" outlineLevel="0" collapsed="false">
      <c r="A2367" s="15" t="s">
        <v>4328</v>
      </c>
      <c r="B2367" s="15" t="s">
        <v>4314</v>
      </c>
      <c r="C2367" s="15" t="s">
        <v>5995</v>
      </c>
      <c r="D2367" s="34" t="n">
        <v>0</v>
      </c>
      <c r="E2367" s="15" t="s">
        <v>6005</v>
      </c>
    </row>
    <row r="2368" customFormat="false" ht="15" hidden="false" customHeight="false" outlineLevel="0" collapsed="false">
      <c r="A2368" s="15" t="s">
        <v>4236</v>
      </c>
      <c r="B2368" s="15" t="s">
        <v>4314</v>
      </c>
      <c r="C2368" s="15" t="s">
        <v>5995</v>
      </c>
      <c r="D2368" s="34" t="n">
        <v>0</v>
      </c>
      <c r="E2368" s="15" t="s">
        <v>6005</v>
      </c>
    </row>
    <row r="2369" customFormat="false" ht="15" hidden="false" customHeight="false" outlineLevel="0" collapsed="false">
      <c r="A2369" s="15" t="s">
        <v>4250</v>
      </c>
      <c r="B2369" s="15" t="s">
        <v>4314</v>
      </c>
      <c r="C2369" s="15" t="s">
        <v>5995</v>
      </c>
      <c r="D2369" s="34" t="n">
        <v>0</v>
      </c>
      <c r="E2369" s="15" t="s">
        <v>6005</v>
      </c>
    </row>
    <row r="2370" customFormat="false" ht="15" hidden="false" customHeight="false" outlineLevel="0" collapsed="false">
      <c r="A2370" s="15" t="s">
        <v>4314</v>
      </c>
      <c r="B2370" s="15" t="s">
        <v>4316</v>
      </c>
      <c r="C2370" s="15" t="s">
        <v>5997</v>
      </c>
      <c r="D2370" s="34" t="n">
        <f aca="false">Activities!M962</f>
        <v>1</v>
      </c>
      <c r="E2370" s="15" t="s">
        <v>5998</v>
      </c>
    </row>
    <row r="2371" customFormat="false" ht="15" hidden="false" customHeight="false" outlineLevel="0" collapsed="false">
      <c r="A2371" s="15" t="s">
        <v>4314</v>
      </c>
      <c r="B2371" s="15" t="s">
        <v>4316</v>
      </c>
      <c r="C2371" s="15" t="s">
        <v>5999</v>
      </c>
      <c r="D2371" s="34" t="n">
        <f aca="false">Activities!N962</f>
        <v>2</v>
      </c>
      <c r="E2371" s="15" t="s">
        <v>5998</v>
      </c>
    </row>
    <row r="2372" customFormat="false" ht="15" hidden="false" customHeight="false" outlineLevel="0" collapsed="false">
      <c r="A2372" s="15" t="s">
        <v>4317</v>
      </c>
      <c r="B2372" s="15" t="s">
        <v>4319</v>
      </c>
      <c r="C2372" s="15" t="s">
        <v>5995</v>
      </c>
      <c r="D2372" s="34" t="n">
        <v>0</v>
      </c>
      <c r="E2372" s="15" t="s">
        <v>5996</v>
      </c>
    </row>
    <row r="2373" customFormat="false" ht="15" hidden="false" customHeight="false" outlineLevel="0" collapsed="false">
      <c r="A2373" s="15" t="s">
        <v>4289</v>
      </c>
      <c r="B2373" s="15" t="s">
        <v>4319</v>
      </c>
      <c r="C2373" s="15" t="s">
        <v>5997</v>
      </c>
      <c r="D2373" s="34" t="n">
        <v>0</v>
      </c>
      <c r="E2373" s="15" t="s">
        <v>6002</v>
      </c>
    </row>
    <row r="2374" customFormat="false" ht="15" hidden="false" customHeight="false" outlineLevel="0" collapsed="false">
      <c r="A2374" s="15" t="s">
        <v>4319</v>
      </c>
      <c r="B2374" s="15" t="s">
        <v>4321</v>
      </c>
      <c r="C2374" s="15" t="s">
        <v>5997</v>
      </c>
      <c r="D2374" s="34" t="n">
        <f aca="false">Activities!M965</f>
        <v>1</v>
      </c>
      <c r="E2374" s="15" t="s">
        <v>5998</v>
      </c>
    </row>
    <row r="2375" customFormat="false" ht="15" hidden="false" customHeight="false" outlineLevel="0" collapsed="false">
      <c r="A2375" s="15" t="s">
        <v>4319</v>
      </c>
      <c r="B2375" s="15" t="s">
        <v>4321</v>
      </c>
      <c r="C2375" s="15" t="s">
        <v>5999</v>
      </c>
      <c r="D2375" s="34" t="n">
        <f aca="false">Activities!N965</f>
        <v>2</v>
      </c>
      <c r="E2375" s="15" t="s">
        <v>5998</v>
      </c>
    </row>
    <row r="2376" customFormat="false" ht="15" hidden="false" customHeight="false" outlineLevel="0" collapsed="false">
      <c r="A2376" s="15" t="s">
        <v>4289</v>
      </c>
      <c r="B2376" s="15" t="s">
        <v>4321</v>
      </c>
      <c r="C2376" s="15" t="s">
        <v>5995</v>
      </c>
      <c r="D2376" s="34" t="n">
        <v>0</v>
      </c>
      <c r="E2376" s="15" t="s">
        <v>6011</v>
      </c>
    </row>
    <row r="2377" customFormat="false" ht="15" hidden="false" customHeight="false" outlineLevel="0" collapsed="false">
      <c r="A2377" s="15" t="s">
        <v>4321</v>
      </c>
      <c r="B2377" s="15" t="s">
        <v>4322</v>
      </c>
      <c r="C2377" s="15" t="s">
        <v>5997</v>
      </c>
      <c r="D2377" s="34" t="n">
        <f aca="false">Activities!M966</f>
        <v>3</v>
      </c>
      <c r="E2377" s="15" t="s">
        <v>5998</v>
      </c>
    </row>
    <row r="2378" customFormat="false" ht="15" hidden="false" customHeight="false" outlineLevel="0" collapsed="false">
      <c r="A2378" s="15" t="s">
        <v>4321</v>
      </c>
      <c r="B2378" s="15" t="s">
        <v>4322</v>
      </c>
      <c r="C2378" s="15" t="s">
        <v>5999</v>
      </c>
      <c r="D2378" s="34" t="n">
        <f aca="false">Activities!N966</f>
        <v>2</v>
      </c>
      <c r="E2378" s="15" t="s">
        <v>5998</v>
      </c>
    </row>
    <row r="2379" customFormat="false" ht="15" hidden="false" customHeight="false" outlineLevel="0" collapsed="false">
      <c r="A2379" s="15" t="s">
        <v>4290</v>
      </c>
      <c r="B2379" s="15" t="s">
        <v>4322</v>
      </c>
      <c r="C2379" s="15" t="s">
        <v>5995</v>
      </c>
      <c r="D2379" s="34" t="n">
        <v>0</v>
      </c>
      <c r="E2379" s="15" t="s">
        <v>6011</v>
      </c>
    </row>
    <row r="2380" customFormat="false" ht="15" hidden="false" customHeight="false" outlineLevel="0" collapsed="false">
      <c r="A2380" s="15" t="s">
        <v>4322</v>
      </c>
      <c r="B2380" s="15" t="s">
        <v>4323</v>
      </c>
      <c r="C2380" s="15" t="s">
        <v>5997</v>
      </c>
      <c r="D2380" s="34" t="n">
        <f aca="false">Activities!M967</f>
        <v>2</v>
      </c>
      <c r="E2380" s="15" t="s">
        <v>5998</v>
      </c>
    </row>
    <row r="2381" customFormat="false" ht="15" hidden="false" customHeight="false" outlineLevel="0" collapsed="false">
      <c r="A2381" s="15" t="s">
        <v>4322</v>
      </c>
      <c r="B2381" s="15" t="s">
        <v>4323</v>
      </c>
      <c r="C2381" s="15" t="s">
        <v>5999</v>
      </c>
      <c r="D2381" s="34" t="n">
        <f aca="false">Activities!N967</f>
        <v>2</v>
      </c>
      <c r="E2381" s="15" t="s">
        <v>5998</v>
      </c>
    </row>
    <row r="2382" customFormat="false" ht="15" hidden="false" customHeight="false" outlineLevel="0" collapsed="false">
      <c r="A2382" s="15" t="s">
        <v>4293</v>
      </c>
      <c r="B2382" s="15" t="s">
        <v>4323</v>
      </c>
      <c r="C2382" s="15" t="s">
        <v>5995</v>
      </c>
      <c r="D2382" s="34" t="n">
        <f aca="false">-Activities!K967</f>
        <v>-10</v>
      </c>
      <c r="E2382" s="15" t="s">
        <v>6004</v>
      </c>
    </row>
    <row r="2383" customFormat="false" ht="15" hidden="false" customHeight="false" outlineLevel="0" collapsed="false">
      <c r="A2383" s="15" t="s">
        <v>4323</v>
      </c>
      <c r="B2383" s="15" t="s">
        <v>4325</v>
      </c>
      <c r="C2383" s="15" t="s">
        <v>5997</v>
      </c>
      <c r="D2383" s="34" t="n">
        <f aca="false">Activities!M968</f>
        <v>10</v>
      </c>
      <c r="E2383" s="15" t="s">
        <v>5998</v>
      </c>
    </row>
    <row r="2384" customFormat="false" ht="15" hidden="false" customHeight="false" outlineLevel="0" collapsed="false">
      <c r="A2384" s="15" t="s">
        <v>4323</v>
      </c>
      <c r="B2384" s="15" t="s">
        <v>4325</v>
      </c>
      <c r="C2384" s="15" t="s">
        <v>5999</v>
      </c>
      <c r="D2384" s="34" t="n">
        <f aca="false">Activities!N968</f>
        <v>2</v>
      </c>
      <c r="E2384" s="15" t="s">
        <v>5998</v>
      </c>
    </row>
    <row r="2385" customFormat="false" ht="15" hidden="false" customHeight="false" outlineLevel="0" collapsed="false">
      <c r="A2385" s="15" t="s">
        <v>4293</v>
      </c>
      <c r="B2385" s="15" t="s">
        <v>4325</v>
      </c>
      <c r="C2385" s="15" t="s">
        <v>5995</v>
      </c>
      <c r="D2385" s="34" t="n">
        <v>0</v>
      </c>
      <c r="E2385" s="15" t="s">
        <v>6011</v>
      </c>
    </row>
    <row r="2386" customFormat="false" ht="15" hidden="false" customHeight="false" outlineLevel="0" collapsed="false">
      <c r="A2386" s="15" t="s">
        <v>4293</v>
      </c>
      <c r="B2386" s="15" t="s">
        <v>4325</v>
      </c>
      <c r="C2386" s="15" t="s">
        <v>5997</v>
      </c>
      <c r="D2386" s="34" t="n">
        <v>0</v>
      </c>
      <c r="E2386" s="15" t="s">
        <v>6006</v>
      </c>
    </row>
    <row r="2387" customFormat="false" ht="15" hidden="false" customHeight="false" outlineLevel="0" collapsed="false">
      <c r="A2387" s="15" t="s">
        <v>4308</v>
      </c>
      <c r="B2387" s="15" t="s">
        <v>4325</v>
      </c>
      <c r="C2387" s="15" t="s">
        <v>5997</v>
      </c>
      <c r="D2387" s="34" t="n">
        <v>0</v>
      </c>
      <c r="E2387" s="15" t="s">
        <v>6006</v>
      </c>
    </row>
    <row r="2388" customFormat="false" ht="15" hidden="false" customHeight="false" outlineLevel="0" collapsed="false">
      <c r="A2388" s="15" t="s">
        <v>4263</v>
      </c>
      <c r="B2388" s="15" t="s">
        <v>4325</v>
      </c>
      <c r="C2388" s="15" t="s">
        <v>5997</v>
      </c>
      <c r="D2388" s="34" t="n">
        <v>0</v>
      </c>
      <c r="E2388" s="15" t="s">
        <v>6006</v>
      </c>
    </row>
    <row r="2389" customFormat="false" ht="15" hidden="false" customHeight="false" outlineLevel="0" collapsed="false">
      <c r="A2389" s="15" t="s">
        <v>4233</v>
      </c>
      <c r="B2389" s="15" t="s">
        <v>4325</v>
      </c>
      <c r="C2389" s="15" t="s">
        <v>5997</v>
      </c>
      <c r="D2389" s="34" t="n">
        <v>0</v>
      </c>
      <c r="E2389" s="15" t="s">
        <v>6006</v>
      </c>
    </row>
    <row r="2390" customFormat="false" ht="15" hidden="false" customHeight="false" outlineLevel="0" collapsed="false">
      <c r="A2390" s="15" t="s">
        <v>4248</v>
      </c>
      <c r="B2390" s="15" t="s">
        <v>4325</v>
      </c>
      <c r="C2390" s="15" t="s">
        <v>5997</v>
      </c>
      <c r="D2390" s="34" t="n">
        <v>0</v>
      </c>
      <c r="E2390" s="15" t="s">
        <v>6006</v>
      </c>
    </row>
    <row r="2391" customFormat="false" ht="15" hidden="false" customHeight="false" outlineLevel="0" collapsed="false">
      <c r="A2391" s="15" t="s">
        <v>4325</v>
      </c>
      <c r="B2391" s="15" t="s">
        <v>4327</v>
      </c>
      <c r="C2391" s="15" t="s">
        <v>5997</v>
      </c>
      <c r="D2391" s="34" t="n">
        <f aca="false">Activities!M969</f>
        <v>2</v>
      </c>
      <c r="E2391" s="15" t="s">
        <v>5998</v>
      </c>
    </row>
    <row r="2392" customFormat="false" ht="15" hidden="false" customHeight="false" outlineLevel="0" collapsed="false">
      <c r="A2392" s="15" t="s">
        <v>4325</v>
      </c>
      <c r="B2392" s="15" t="s">
        <v>4327</v>
      </c>
      <c r="C2392" s="15" t="s">
        <v>5999</v>
      </c>
      <c r="D2392" s="34" t="n">
        <f aca="false">Activities!N969</f>
        <v>2</v>
      </c>
      <c r="E2392" s="15" t="s">
        <v>5998</v>
      </c>
    </row>
    <row r="2393" customFormat="false" ht="15" hidden="false" customHeight="false" outlineLevel="0" collapsed="false">
      <c r="A2393" s="15" t="s">
        <v>4295</v>
      </c>
      <c r="B2393" s="15" t="s">
        <v>4327</v>
      </c>
      <c r="C2393" s="15" t="s">
        <v>5995</v>
      </c>
      <c r="D2393" s="34" t="n">
        <v>0</v>
      </c>
      <c r="E2393" s="15" t="s">
        <v>6011</v>
      </c>
    </row>
    <row r="2394" customFormat="false" ht="15" hidden="false" customHeight="false" outlineLevel="0" collapsed="false">
      <c r="A2394" s="15" t="s">
        <v>4327</v>
      </c>
      <c r="B2394" s="15" t="s">
        <v>4328</v>
      </c>
      <c r="C2394" s="15" t="s">
        <v>5997</v>
      </c>
      <c r="D2394" s="34" t="n">
        <f aca="false">Activities!M970</f>
        <v>3</v>
      </c>
      <c r="E2394" s="15" t="s">
        <v>5998</v>
      </c>
    </row>
    <row r="2395" customFormat="false" ht="15" hidden="false" customHeight="false" outlineLevel="0" collapsed="false">
      <c r="A2395" s="15" t="s">
        <v>4327</v>
      </c>
      <c r="B2395" s="15" t="s">
        <v>4328</v>
      </c>
      <c r="C2395" s="15" t="s">
        <v>5999</v>
      </c>
      <c r="D2395" s="34" t="n">
        <f aca="false">Activities!N970</f>
        <v>2</v>
      </c>
      <c r="E2395" s="15" t="s">
        <v>5998</v>
      </c>
    </row>
    <row r="2396" customFormat="false" ht="15" hidden="false" customHeight="false" outlineLevel="0" collapsed="false">
      <c r="A2396" s="15" t="s">
        <v>4296</v>
      </c>
      <c r="B2396" s="15" t="s">
        <v>4328</v>
      </c>
      <c r="C2396" s="15" t="s">
        <v>5995</v>
      </c>
      <c r="D2396" s="34" t="n">
        <v>0</v>
      </c>
      <c r="E2396" s="15" t="s">
        <v>6011</v>
      </c>
    </row>
    <row r="2397" customFormat="false" ht="15" hidden="false" customHeight="false" outlineLevel="0" collapsed="false">
      <c r="A2397" s="15" t="s">
        <v>4328</v>
      </c>
      <c r="B2397" s="15" t="s">
        <v>4329</v>
      </c>
      <c r="C2397" s="15" t="s">
        <v>5997</v>
      </c>
      <c r="D2397" s="34" t="n">
        <f aca="false">Activities!M971</f>
        <v>2</v>
      </c>
      <c r="E2397" s="15" t="s">
        <v>5998</v>
      </c>
    </row>
    <row r="2398" customFormat="false" ht="15" hidden="false" customHeight="false" outlineLevel="0" collapsed="false">
      <c r="A2398" s="15" t="s">
        <v>4328</v>
      </c>
      <c r="B2398" s="15" t="s">
        <v>4329</v>
      </c>
      <c r="C2398" s="15" t="s">
        <v>5999</v>
      </c>
      <c r="D2398" s="34" t="n">
        <f aca="false">Activities!N971</f>
        <v>2</v>
      </c>
      <c r="E2398" s="15" t="s">
        <v>5998</v>
      </c>
    </row>
    <row r="2399" customFormat="false" ht="15" hidden="false" customHeight="false" outlineLevel="0" collapsed="false">
      <c r="A2399" s="15" t="s">
        <v>4329</v>
      </c>
      <c r="B2399" s="15" t="s">
        <v>4330</v>
      </c>
      <c r="C2399" s="15" t="s">
        <v>5997</v>
      </c>
      <c r="D2399" s="34" t="n">
        <f aca="false">Activities!M972</f>
        <v>2</v>
      </c>
      <c r="E2399" s="15" t="s">
        <v>5998</v>
      </c>
    </row>
    <row r="2400" customFormat="false" ht="15" hidden="false" customHeight="false" outlineLevel="0" collapsed="false">
      <c r="A2400" s="15" t="s">
        <v>4329</v>
      </c>
      <c r="B2400" s="15" t="s">
        <v>4330</v>
      </c>
      <c r="C2400" s="15" t="s">
        <v>5999</v>
      </c>
      <c r="D2400" s="34" t="n">
        <f aca="false">Activities!N972</f>
        <v>2</v>
      </c>
      <c r="E2400" s="15" t="s">
        <v>5998</v>
      </c>
    </row>
    <row r="2401" customFormat="false" ht="15" hidden="false" customHeight="false" outlineLevel="0" collapsed="false">
      <c r="A2401" s="15" t="s">
        <v>4298</v>
      </c>
      <c r="B2401" s="15" t="s">
        <v>4330</v>
      </c>
      <c r="C2401" s="15" t="s">
        <v>5995</v>
      </c>
      <c r="D2401" s="34" t="n">
        <v>0</v>
      </c>
      <c r="E2401" s="15" t="s">
        <v>6011</v>
      </c>
    </row>
    <row r="2402" customFormat="false" ht="15" hidden="false" customHeight="false" outlineLevel="0" collapsed="false">
      <c r="A2402" s="15" t="s">
        <v>4296</v>
      </c>
      <c r="B2402" s="15" t="s">
        <v>4330</v>
      </c>
      <c r="C2402" s="15" t="s">
        <v>5995</v>
      </c>
      <c r="D2402" s="34" t="n">
        <v>0</v>
      </c>
      <c r="E2402" s="15" t="s">
        <v>6005</v>
      </c>
    </row>
    <row r="2403" customFormat="false" ht="15" hidden="false" customHeight="false" outlineLevel="0" collapsed="false">
      <c r="A2403" s="15" t="s">
        <v>4311</v>
      </c>
      <c r="B2403" s="15" t="s">
        <v>4330</v>
      </c>
      <c r="C2403" s="15" t="s">
        <v>5995</v>
      </c>
      <c r="D2403" s="34" t="n">
        <v>0</v>
      </c>
      <c r="E2403" s="15" t="s">
        <v>6005</v>
      </c>
    </row>
    <row r="2404" customFormat="false" ht="15" hidden="false" customHeight="false" outlineLevel="0" collapsed="false">
      <c r="A2404" s="15" t="s">
        <v>4265</v>
      </c>
      <c r="B2404" s="15" t="s">
        <v>4330</v>
      </c>
      <c r="C2404" s="15" t="s">
        <v>5995</v>
      </c>
      <c r="D2404" s="34" t="n">
        <v>0</v>
      </c>
      <c r="E2404" s="15" t="s">
        <v>6005</v>
      </c>
    </row>
    <row r="2405" customFormat="false" ht="15" hidden="false" customHeight="false" outlineLevel="0" collapsed="false">
      <c r="A2405" s="15" t="s">
        <v>4236</v>
      </c>
      <c r="B2405" s="15" t="s">
        <v>4330</v>
      </c>
      <c r="C2405" s="15" t="s">
        <v>5995</v>
      </c>
      <c r="D2405" s="34" t="n">
        <v>0</v>
      </c>
      <c r="E2405" s="15" t="s">
        <v>6005</v>
      </c>
    </row>
    <row r="2406" customFormat="false" ht="15" hidden="false" customHeight="false" outlineLevel="0" collapsed="false">
      <c r="A2406" s="15" t="s">
        <v>4250</v>
      </c>
      <c r="B2406" s="15" t="s">
        <v>4330</v>
      </c>
      <c r="C2406" s="15" t="s">
        <v>5995</v>
      </c>
      <c r="D2406" s="34" t="n">
        <v>0</v>
      </c>
      <c r="E2406" s="15" t="s">
        <v>6005</v>
      </c>
    </row>
    <row r="2407" customFormat="false" ht="15" hidden="false" customHeight="false" outlineLevel="0" collapsed="false">
      <c r="A2407" s="15" t="s">
        <v>4330</v>
      </c>
      <c r="B2407" s="15" t="s">
        <v>4332</v>
      </c>
      <c r="C2407" s="15" t="s">
        <v>5997</v>
      </c>
      <c r="D2407" s="34" t="n">
        <f aca="false">Activities!M973</f>
        <v>1</v>
      </c>
      <c r="E2407" s="15" t="s">
        <v>5998</v>
      </c>
    </row>
    <row r="2408" customFormat="false" ht="15" hidden="false" customHeight="false" outlineLevel="0" collapsed="false">
      <c r="A2408" s="15" t="s">
        <v>4330</v>
      </c>
      <c r="B2408" s="15" t="s">
        <v>4332</v>
      </c>
      <c r="C2408" s="15" t="s">
        <v>5999</v>
      </c>
      <c r="D2408" s="34" t="n">
        <f aca="false">Activities!N973</f>
        <v>2</v>
      </c>
      <c r="E2408" s="15" t="s">
        <v>5998</v>
      </c>
    </row>
    <row r="2409" customFormat="false" ht="15" hidden="false" customHeight="false" outlineLevel="0" collapsed="false">
      <c r="A2409" s="15" t="s">
        <v>4333</v>
      </c>
      <c r="B2409" s="15" t="s">
        <v>4335</v>
      </c>
      <c r="C2409" s="15" t="s">
        <v>5995</v>
      </c>
      <c r="D2409" s="34" t="n">
        <v>0</v>
      </c>
      <c r="E2409" s="15" t="s">
        <v>5996</v>
      </c>
    </row>
    <row r="2410" customFormat="false" ht="15" hidden="false" customHeight="false" outlineLevel="0" collapsed="false">
      <c r="A2410" s="15" t="s">
        <v>4321</v>
      </c>
      <c r="B2410" s="15" t="s">
        <v>4335</v>
      </c>
      <c r="C2410" s="15" t="s">
        <v>5997</v>
      </c>
      <c r="D2410" s="34" t="n">
        <v>0</v>
      </c>
      <c r="E2410" s="15" t="s">
        <v>6002</v>
      </c>
    </row>
    <row r="2411" customFormat="false" ht="15" hidden="false" customHeight="false" outlineLevel="0" collapsed="false">
      <c r="A2411" s="15" t="s">
        <v>4335</v>
      </c>
      <c r="B2411" s="15" t="s">
        <v>4337</v>
      </c>
      <c r="C2411" s="15" t="s">
        <v>5997</v>
      </c>
      <c r="D2411" s="34" t="n">
        <f aca="false">Activities!M976</f>
        <v>1</v>
      </c>
      <c r="E2411" s="15" t="s">
        <v>5998</v>
      </c>
    </row>
    <row r="2412" customFormat="false" ht="15" hidden="false" customHeight="false" outlineLevel="0" collapsed="false">
      <c r="A2412" s="15" t="s">
        <v>4335</v>
      </c>
      <c r="B2412" s="15" t="s">
        <v>4337</v>
      </c>
      <c r="C2412" s="15" t="s">
        <v>5999</v>
      </c>
      <c r="D2412" s="34" t="n">
        <f aca="false">Activities!N976</f>
        <v>2</v>
      </c>
      <c r="E2412" s="15" t="s">
        <v>5998</v>
      </c>
    </row>
    <row r="2413" customFormat="false" ht="15" hidden="false" customHeight="false" outlineLevel="0" collapsed="false">
      <c r="A2413" s="15" t="s">
        <v>4321</v>
      </c>
      <c r="B2413" s="15" t="s">
        <v>4337</v>
      </c>
      <c r="C2413" s="15" t="s">
        <v>5995</v>
      </c>
      <c r="D2413" s="34" t="n">
        <v>0</v>
      </c>
      <c r="E2413" s="15" t="s">
        <v>6011</v>
      </c>
    </row>
    <row r="2414" customFormat="false" ht="15" hidden="false" customHeight="false" outlineLevel="0" collapsed="false">
      <c r="A2414" s="15" t="s">
        <v>4337</v>
      </c>
      <c r="B2414" s="15" t="s">
        <v>4338</v>
      </c>
      <c r="C2414" s="15" t="s">
        <v>5997</v>
      </c>
      <c r="D2414" s="34" t="n">
        <f aca="false">Activities!M977</f>
        <v>2</v>
      </c>
      <c r="E2414" s="15" t="s">
        <v>5998</v>
      </c>
    </row>
    <row r="2415" customFormat="false" ht="15" hidden="false" customHeight="false" outlineLevel="0" collapsed="false">
      <c r="A2415" s="15" t="s">
        <v>4337</v>
      </c>
      <c r="B2415" s="15" t="s">
        <v>4338</v>
      </c>
      <c r="C2415" s="15" t="s">
        <v>5999</v>
      </c>
      <c r="D2415" s="34" t="n">
        <f aca="false">Activities!N977</f>
        <v>2</v>
      </c>
      <c r="E2415" s="15" t="s">
        <v>5998</v>
      </c>
    </row>
    <row r="2416" customFormat="false" ht="15" hidden="false" customHeight="false" outlineLevel="0" collapsed="false">
      <c r="A2416" s="15" t="s">
        <v>4322</v>
      </c>
      <c r="B2416" s="15" t="s">
        <v>4338</v>
      </c>
      <c r="C2416" s="15" t="s">
        <v>5995</v>
      </c>
      <c r="D2416" s="34" t="n">
        <v>0</v>
      </c>
      <c r="E2416" s="15" t="s">
        <v>6011</v>
      </c>
    </row>
    <row r="2417" customFormat="false" ht="15" hidden="false" customHeight="false" outlineLevel="0" collapsed="false">
      <c r="A2417" s="15" t="s">
        <v>4338</v>
      </c>
      <c r="B2417" s="15" t="s">
        <v>4339</v>
      </c>
      <c r="C2417" s="15" t="s">
        <v>5997</v>
      </c>
      <c r="D2417" s="34" t="n">
        <f aca="false">Activities!M978</f>
        <v>1</v>
      </c>
      <c r="E2417" s="15" t="s">
        <v>5998</v>
      </c>
    </row>
    <row r="2418" customFormat="false" ht="15" hidden="false" customHeight="false" outlineLevel="0" collapsed="false">
      <c r="A2418" s="15" t="s">
        <v>4338</v>
      </c>
      <c r="B2418" s="15" t="s">
        <v>4339</v>
      </c>
      <c r="C2418" s="15" t="s">
        <v>5999</v>
      </c>
      <c r="D2418" s="34" t="n">
        <f aca="false">Activities!N978</f>
        <v>2</v>
      </c>
      <c r="E2418" s="15" t="s">
        <v>5998</v>
      </c>
    </row>
    <row r="2419" customFormat="false" ht="15" hidden="false" customHeight="false" outlineLevel="0" collapsed="false">
      <c r="A2419" s="15" t="s">
        <v>4325</v>
      </c>
      <c r="B2419" s="15" t="s">
        <v>4339</v>
      </c>
      <c r="C2419" s="15" t="s">
        <v>5995</v>
      </c>
      <c r="D2419" s="34" t="n">
        <f aca="false">-Activities!K978</f>
        <v>-10</v>
      </c>
      <c r="E2419" s="15" t="s">
        <v>6004</v>
      </c>
    </row>
    <row r="2420" customFormat="false" ht="15" hidden="false" customHeight="false" outlineLevel="0" collapsed="false">
      <c r="A2420" s="15" t="s">
        <v>4339</v>
      </c>
      <c r="B2420" s="15" t="s">
        <v>4341</v>
      </c>
      <c r="C2420" s="15" t="s">
        <v>5997</v>
      </c>
      <c r="D2420" s="34" t="n">
        <f aca="false">Activities!M979</f>
        <v>10</v>
      </c>
      <c r="E2420" s="15" t="s">
        <v>5998</v>
      </c>
    </row>
    <row r="2421" customFormat="false" ht="15" hidden="false" customHeight="false" outlineLevel="0" collapsed="false">
      <c r="A2421" s="15" t="s">
        <v>4339</v>
      </c>
      <c r="B2421" s="15" t="s">
        <v>4341</v>
      </c>
      <c r="C2421" s="15" t="s">
        <v>5999</v>
      </c>
      <c r="D2421" s="34" t="n">
        <f aca="false">Activities!N979</f>
        <v>2</v>
      </c>
      <c r="E2421" s="15" t="s">
        <v>5998</v>
      </c>
    </row>
    <row r="2422" customFormat="false" ht="15" hidden="false" customHeight="false" outlineLevel="0" collapsed="false">
      <c r="A2422" s="15" t="s">
        <v>4325</v>
      </c>
      <c r="B2422" s="15" t="s">
        <v>4341</v>
      </c>
      <c r="C2422" s="15" t="s">
        <v>5995</v>
      </c>
      <c r="D2422" s="34" t="n">
        <v>0</v>
      </c>
      <c r="E2422" s="15" t="s">
        <v>6011</v>
      </c>
    </row>
    <row r="2423" customFormat="false" ht="15" hidden="false" customHeight="false" outlineLevel="0" collapsed="false">
      <c r="A2423" s="15" t="s">
        <v>4341</v>
      </c>
      <c r="B2423" s="15" t="s">
        <v>4342</v>
      </c>
      <c r="C2423" s="15" t="s">
        <v>5997</v>
      </c>
      <c r="D2423" s="34" t="n">
        <f aca="false">Activities!M980</f>
        <v>2</v>
      </c>
      <c r="E2423" s="15" t="s">
        <v>5998</v>
      </c>
    </row>
    <row r="2424" customFormat="false" ht="15" hidden="false" customHeight="false" outlineLevel="0" collapsed="false">
      <c r="A2424" s="15" t="s">
        <v>4341</v>
      </c>
      <c r="B2424" s="15" t="s">
        <v>4342</v>
      </c>
      <c r="C2424" s="15" t="s">
        <v>5999</v>
      </c>
      <c r="D2424" s="34" t="n">
        <f aca="false">Activities!N980</f>
        <v>2</v>
      </c>
      <c r="E2424" s="15" t="s">
        <v>5998</v>
      </c>
    </row>
    <row r="2425" customFormat="false" ht="15" hidden="false" customHeight="false" outlineLevel="0" collapsed="false">
      <c r="A2425" s="15" t="s">
        <v>4327</v>
      </c>
      <c r="B2425" s="15" t="s">
        <v>4342</v>
      </c>
      <c r="C2425" s="15" t="s">
        <v>5995</v>
      </c>
      <c r="D2425" s="34" t="n">
        <v>0</v>
      </c>
      <c r="E2425" s="15" t="s">
        <v>6011</v>
      </c>
    </row>
    <row r="2426" customFormat="false" ht="15" hidden="false" customHeight="false" outlineLevel="0" collapsed="false">
      <c r="A2426" s="15" t="s">
        <v>4342</v>
      </c>
      <c r="B2426" s="15" t="s">
        <v>4343</v>
      </c>
      <c r="C2426" s="15" t="s">
        <v>5997</v>
      </c>
      <c r="D2426" s="34" t="n">
        <f aca="false">Activities!M981</f>
        <v>3</v>
      </c>
      <c r="E2426" s="15" t="s">
        <v>5998</v>
      </c>
    </row>
    <row r="2427" customFormat="false" ht="15" hidden="false" customHeight="false" outlineLevel="0" collapsed="false">
      <c r="A2427" s="15" t="s">
        <v>4342</v>
      </c>
      <c r="B2427" s="15" t="s">
        <v>4343</v>
      </c>
      <c r="C2427" s="15" t="s">
        <v>5999</v>
      </c>
      <c r="D2427" s="34" t="n">
        <f aca="false">Activities!N981</f>
        <v>2</v>
      </c>
      <c r="E2427" s="15" t="s">
        <v>5998</v>
      </c>
    </row>
    <row r="2428" customFormat="false" ht="15" hidden="false" customHeight="false" outlineLevel="0" collapsed="false">
      <c r="A2428" s="15" t="s">
        <v>4328</v>
      </c>
      <c r="B2428" s="15" t="s">
        <v>4343</v>
      </c>
      <c r="C2428" s="15" t="s">
        <v>5995</v>
      </c>
      <c r="D2428" s="34" t="n">
        <v>0</v>
      </c>
      <c r="E2428" s="15" t="s">
        <v>6011</v>
      </c>
    </row>
    <row r="2429" customFormat="false" ht="15" hidden="false" customHeight="false" outlineLevel="0" collapsed="false">
      <c r="A2429" s="15" t="s">
        <v>4343</v>
      </c>
      <c r="B2429" s="15" t="s">
        <v>4344</v>
      </c>
      <c r="C2429" s="15" t="s">
        <v>5997</v>
      </c>
      <c r="D2429" s="34" t="n">
        <f aca="false">Activities!M982</f>
        <v>2</v>
      </c>
      <c r="E2429" s="15" t="s">
        <v>5998</v>
      </c>
    </row>
    <row r="2430" customFormat="false" ht="15" hidden="false" customHeight="false" outlineLevel="0" collapsed="false">
      <c r="A2430" s="15" t="s">
        <v>4343</v>
      </c>
      <c r="B2430" s="15" t="s">
        <v>4344</v>
      </c>
      <c r="C2430" s="15" t="s">
        <v>5999</v>
      </c>
      <c r="D2430" s="34" t="n">
        <f aca="false">Activities!N982</f>
        <v>2</v>
      </c>
      <c r="E2430" s="15" t="s">
        <v>5998</v>
      </c>
    </row>
    <row r="2431" customFormat="false" ht="15" hidden="false" customHeight="false" outlineLevel="0" collapsed="false">
      <c r="A2431" s="15" t="s">
        <v>4344</v>
      </c>
      <c r="B2431" s="15" t="s">
        <v>4345</v>
      </c>
      <c r="C2431" s="15" t="s">
        <v>5997</v>
      </c>
      <c r="D2431" s="34" t="n">
        <f aca="false">Activities!M983</f>
        <v>2</v>
      </c>
      <c r="E2431" s="15" t="s">
        <v>5998</v>
      </c>
    </row>
    <row r="2432" customFormat="false" ht="15" hidden="false" customHeight="false" outlineLevel="0" collapsed="false">
      <c r="A2432" s="15" t="s">
        <v>4344</v>
      </c>
      <c r="B2432" s="15" t="s">
        <v>4345</v>
      </c>
      <c r="C2432" s="15" t="s">
        <v>5999</v>
      </c>
      <c r="D2432" s="34" t="n">
        <f aca="false">Activities!N983</f>
        <v>2</v>
      </c>
      <c r="E2432" s="15" t="s">
        <v>5998</v>
      </c>
    </row>
    <row r="2433" customFormat="false" ht="15" hidden="false" customHeight="false" outlineLevel="0" collapsed="false">
      <c r="A2433" s="15" t="s">
        <v>4330</v>
      </c>
      <c r="B2433" s="15" t="s">
        <v>4345</v>
      </c>
      <c r="C2433" s="15" t="s">
        <v>5995</v>
      </c>
      <c r="D2433" s="34" t="n">
        <v>0</v>
      </c>
      <c r="E2433" s="15" t="s">
        <v>6011</v>
      </c>
    </row>
    <row r="2434" customFormat="false" ht="15" hidden="false" customHeight="false" outlineLevel="0" collapsed="false">
      <c r="A2434" s="15" t="s">
        <v>4345</v>
      </c>
      <c r="B2434" s="15" t="s">
        <v>4346</v>
      </c>
      <c r="C2434" s="15" t="s">
        <v>5997</v>
      </c>
      <c r="D2434" s="34" t="n">
        <f aca="false">Activities!M984</f>
        <v>1</v>
      </c>
      <c r="E2434" s="15" t="s">
        <v>5998</v>
      </c>
    </row>
    <row r="2435" customFormat="false" ht="15" hidden="false" customHeight="false" outlineLevel="0" collapsed="false">
      <c r="A2435" s="15" t="s">
        <v>4345</v>
      </c>
      <c r="B2435" s="15" t="s">
        <v>4346</v>
      </c>
      <c r="C2435" s="15" t="s">
        <v>5999</v>
      </c>
      <c r="D2435" s="34" t="n">
        <f aca="false">Activities!N984</f>
        <v>2</v>
      </c>
      <c r="E2435" s="15" t="s">
        <v>5998</v>
      </c>
    </row>
    <row r="2436" customFormat="false" ht="15" hidden="false" customHeight="false" outlineLevel="0" collapsed="false">
      <c r="A2436" s="15" t="s">
        <v>4347</v>
      </c>
      <c r="B2436" s="15" t="s">
        <v>4349</v>
      </c>
      <c r="C2436" s="15" t="s">
        <v>5995</v>
      </c>
      <c r="D2436" s="34" t="n">
        <v>0</v>
      </c>
      <c r="E2436" s="15" t="s">
        <v>5996</v>
      </c>
    </row>
    <row r="2437" customFormat="false" ht="15" hidden="false" customHeight="false" outlineLevel="0" collapsed="false">
      <c r="A2437" s="15" t="s">
        <v>4337</v>
      </c>
      <c r="B2437" s="15" t="s">
        <v>4349</v>
      </c>
      <c r="C2437" s="15" t="s">
        <v>5997</v>
      </c>
      <c r="D2437" s="34" t="n">
        <v>0</v>
      </c>
      <c r="E2437" s="15" t="s">
        <v>6002</v>
      </c>
    </row>
    <row r="2438" customFormat="false" ht="15" hidden="false" customHeight="false" outlineLevel="0" collapsed="false">
      <c r="A2438" s="15" t="s">
        <v>4349</v>
      </c>
      <c r="B2438" s="15" t="s">
        <v>4351</v>
      </c>
      <c r="C2438" s="15" t="s">
        <v>5997</v>
      </c>
      <c r="D2438" s="34" t="n">
        <f aca="false">Activities!M987</f>
        <v>1</v>
      </c>
      <c r="E2438" s="15" t="s">
        <v>5998</v>
      </c>
    </row>
    <row r="2439" customFormat="false" ht="15" hidden="false" customHeight="false" outlineLevel="0" collapsed="false">
      <c r="A2439" s="15" t="s">
        <v>4349</v>
      </c>
      <c r="B2439" s="15" t="s">
        <v>4351</v>
      </c>
      <c r="C2439" s="15" t="s">
        <v>5999</v>
      </c>
      <c r="D2439" s="34" t="n">
        <f aca="false">Activities!N987</f>
        <v>2</v>
      </c>
      <c r="E2439" s="15" t="s">
        <v>5998</v>
      </c>
    </row>
    <row r="2440" customFormat="false" ht="15" hidden="false" customHeight="false" outlineLevel="0" collapsed="false">
      <c r="A2440" s="15" t="s">
        <v>4337</v>
      </c>
      <c r="B2440" s="15" t="s">
        <v>4351</v>
      </c>
      <c r="C2440" s="15" t="s">
        <v>5995</v>
      </c>
      <c r="D2440" s="34" t="n">
        <v>0</v>
      </c>
      <c r="E2440" s="15" t="s">
        <v>6011</v>
      </c>
    </row>
    <row r="2441" customFormat="false" ht="15" hidden="false" customHeight="false" outlineLevel="0" collapsed="false">
      <c r="A2441" s="15" t="s">
        <v>4351</v>
      </c>
      <c r="B2441" s="15" t="s">
        <v>4352</v>
      </c>
      <c r="C2441" s="15" t="s">
        <v>5997</v>
      </c>
      <c r="D2441" s="34" t="n">
        <f aca="false">Activities!M988</f>
        <v>2</v>
      </c>
      <c r="E2441" s="15" t="s">
        <v>5998</v>
      </c>
    </row>
    <row r="2442" customFormat="false" ht="15" hidden="false" customHeight="false" outlineLevel="0" collapsed="false">
      <c r="A2442" s="15" t="s">
        <v>4351</v>
      </c>
      <c r="B2442" s="15" t="s">
        <v>4352</v>
      </c>
      <c r="C2442" s="15" t="s">
        <v>5999</v>
      </c>
      <c r="D2442" s="34" t="n">
        <f aca="false">Activities!N988</f>
        <v>0</v>
      </c>
      <c r="E2442" s="15" t="s">
        <v>5998</v>
      </c>
    </row>
    <row r="2443" customFormat="false" ht="15" hidden="false" customHeight="false" outlineLevel="0" collapsed="false">
      <c r="A2443" s="15" t="s">
        <v>4338</v>
      </c>
      <c r="B2443" s="15" t="s">
        <v>4352</v>
      </c>
      <c r="C2443" s="15" t="s">
        <v>5995</v>
      </c>
      <c r="D2443" s="34" t="n">
        <v>0</v>
      </c>
      <c r="E2443" s="15" t="s">
        <v>6011</v>
      </c>
    </row>
    <row r="2444" customFormat="false" ht="15" hidden="false" customHeight="false" outlineLevel="0" collapsed="false">
      <c r="A2444" s="15" t="s">
        <v>4352</v>
      </c>
      <c r="B2444" s="15" t="s">
        <v>4353</v>
      </c>
      <c r="C2444" s="15" t="s">
        <v>5997</v>
      </c>
      <c r="D2444" s="34" t="n">
        <f aca="false">Activities!M989</f>
        <v>0</v>
      </c>
      <c r="E2444" s="15" t="s">
        <v>5998</v>
      </c>
    </row>
    <row r="2445" customFormat="false" ht="15" hidden="false" customHeight="false" outlineLevel="0" collapsed="false">
      <c r="A2445" s="15" t="s">
        <v>4352</v>
      </c>
      <c r="B2445" s="15" t="s">
        <v>4353</v>
      </c>
      <c r="C2445" s="15" t="s">
        <v>5999</v>
      </c>
      <c r="D2445" s="34" t="n">
        <f aca="false">Activities!N989</f>
        <v>2</v>
      </c>
      <c r="E2445" s="15" t="s">
        <v>5998</v>
      </c>
    </row>
    <row r="2446" customFormat="false" ht="15" hidden="false" customHeight="false" outlineLevel="0" collapsed="false">
      <c r="A2446" s="15" t="s">
        <v>4341</v>
      </c>
      <c r="B2446" s="15" t="s">
        <v>4353</v>
      </c>
      <c r="C2446" s="15" t="s">
        <v>5995</v>
      </c>
      <c r="D2446" s="34" t="n">
        <f aca="false">-Activities!K989</f>
        <v>-10</v>
      </c>
      <c r="E2446" s="15" t="s">
        <v>6004</v>
      </c>
    </row>
    <row r="2447" customFormat="false" ht="15" hidden="false" customHeight="false" outlineLevel="0" collapsed="false">
      <c r="A2447" s="15" t="s">
        <v>4353</v>
      </c>
      <c r="B2447" s="15" t="s">
        <v>4355</v>
      </c>
      <c r="C2447" s="15" t="s">
        <v>5997</v>
      </c>
      <c r="D2447" s="34" t="n">
        <f aca="false">Activities!M990</f>
        <v>10</v>
      </c>
      <c r="E2447" s="15" t="s">
        <v>5998</v>
      </c>
    </row>
    <row r="2448" customFormat="false" ht="15" hidden="false" customHeight="false" outlineLevel="0" collapsed="false">
      <c r="A2448" s="15" t="s">
        <v>4353</v>
      </c>
      <c r="B2448" s="15" t="s">
        <v>4355</v>
      </c>
      <c r="C2448" s="15" t="s">
        <v>5999</v>
      </c>
      <c r="D2448" s="34" t="n">
        <f aca="false">Activities!N990</f>
        <v>2</v>
      </c>
      <c r="E2448" s="15" t="s">
        <v>5998</v>
      </c>
    </row>
    <row r="2449" customFormat="false" ht="15" hidden="false" customHeight="false" outlineLevel="0" collapsed="false">
      <c r="A2449" s="15" t="s">
        <v>4341</v>
      </c>
      <c r="B2449" s="15" t="s">
        <v>4355</v>
      </c>
      <c r="C2449" s="15" t="s">
        <v>5995</v>
      </c>
      <c r="D2449" s="34" t="n">
        <v>0</v>
      </c>
      <c r="E2449" s="15" t="s">
        <v>6011</v>
      </c>
    </row>
    <row r="2450" customFormat="false" ht="15" hidden="false" customHeight="false" outlineLevel="0" collapsed="false">
      <c r="A2450" s="15" t="s">
        <v>5361</v>
      </c>
      <c r="B2450" s="15" t="s">
        <v>4355</v>
      </c>
      <c r="C2450" s="15" t="s">
        <v>5995</v>
      </c>
      <c r="D2450" s="34" t="n">
        <v>0</v>
      </c>
      <c r="E2450" s="15" t="s">
        <v>6008</v>
      </c>
    </row>
    <row r="2451" customFormat="false" ht="15" hidden="false" customHeight="false" outlineLevel="0" collapsed="false">
      <c r="A2451" s="15" t="s">
        <v>5082</v>
      </c>
      <c r="B2451" s="15" t="s">
        <v>4355</v>
      </c>
      <c r="C2451" s="15" t="s">
        <v>5995</v>
      </c>
      <c r="D2451" s="34" t="n">
        <v>0</v>
      </c>
      <c r="E2451" s="15" t="s">
        <v>6008</v>
      </c>
    </row>
    <row r="2452" customFormat="false" ht="15" hidden="false" customHeight="false" outlineLevel="0" collapsed="false">
      <c r="A2452" s="15" t="s">
        <v>4355</v>
      </c>
      <c r="B2452" s="15" t="s">
        <v>4357</v>
      </c>
      <c r="C2452" s="15" t="s">
        <v>5997</v>
      </c>
      <c r="D2452" s="34" t="n">
        <f aca="false">Activities!M991</f>
        <v>1</v>
      </c>
      <c r="E2452" s="15" t="s">
        <v>5998</v>
      </c>
    </row>
    <row r="2453" customFormat="false" ht="15" hidden="false" customHeight="false" outlineLevel="0" collapsed="false">
      <c r="A2453" s="15" t="s">
        <v>4355</v>
      </c>
      <c r="B2453" s="15" t="s">
        <v>4357</v>
      </c>
      <c r="C2453" s="15" t="s">
        <v>5999</v>
      </c>
      <c r="D2453" s="34" t="n">
        <f aca="false">Activities!N991</f>
        <v>2</v>
      </c>
      <c r="E2453" s="15" t="s">
        <v>5998</v>
      </c>
    </row>
    <row r="2454" customFormat="false" ht="15" hidden="false" customHeight="false" outlineLevel="0" collapsed="false">
      <c r="A2454" s="15" t="s">
        <v>4342</v>
      </c>
      <c r="B2454" s="15" t="s">
        <v>4357</v>
      </c>
      <c r="C2454" s="15" t="s">
        <v>5995</v>
      </c>
      <c r="D2454" s="34" t="n">
        <v>0</v>
      </c>
      <c r="E2454" s="15" t="s">
        <v>6011</v>
      </c>
    </row>
    <row r="2455" customFormat="false" ht="15" hidden="false" customHeight="false" outlineLevel="0" collapsed="false">
      <c r="A2455" s="15" t="s">
        <v>4357</v>
      </c>
      <c r="B2455" s="15" t="s">
        <v>4358</v>
      </c>
      <c r="C2455" s="15" t="s">
        <v>5997</v>
      </c>
      <c r="D2455" s="34" t="n">
        <f aca="false">Activities!M992</f>
        <v>2</v>
      </c>
      <c r="E2455" s="15" t="s">
        <v>5998</v>
      </c>
    </row>
    <row r="2456" customFormat="false" ht="15" hidden="false" customHeight="false" outlineLevel="0" collapsed="false">
      <c r="A2456" s="15" t="s">
        <v>4357</v>
      </c>
      <c r="B2456" s="15" t="s">
        <v>4358</v>
      </c>
      <c r="C2456" s="15" t="s">
        <v>5999</v>
      </c>
      <c r="D2456" s="34" t="n">
        <f aca="false">Activities!N992</f>
        <v>2</v>
      </c>
      <c r="E2456" s="15" t="s">
        <v>5998</v>
      </c>
    </row>
    <row r="2457" customFormat="false" ht="15" hidden="false" customHeight="false" outlineLevel="0" collapsed="false">
      <c r="A2457" s="15" t="s">
        <v>4343</v>
      </c>
      <c r="B2457" s="15" t="s">
        <v>4358</v>
      </c>
      <c r="C2457" s="15" t="s">
        <v>5995</v>
      </c>
      <c r="D2457" s="34" t="n">
        <v>0</v>
      </c>
      <c r="E2457" s="15" t="s">
        <v>6011</v>
      </c>
    </row>
    <row r="2458" customFormat="false" ht="15" hidden="false" customHeight="false" outlineLevel="0" collapsed="false">
      <c r="A2458" s="15" t="s">
        <v>4358</v>
      </c>
      <c r="B2458" s="15" t="s">
        <v>4359</v>
      </c>
      <c r="C2458" s="15" t="s">
        <v>5997</v>
      </c>
      <c r="D2458" s="34" t="n">
        <f aca="false">Activities!M993</f>
        <v>1</v>
      </c>
      <c r="E2458" s="15" t="s">
        <v>5998</v>
      </c>
    </row>
    <row r="2459" customFormat="false" ht="15" hidden="false" customHeight="false" outlineLevel="0" collapsed="false">
      <c r="A2459" s="15" t="s">
        <v>4358</v>
      </c>
      <c r="B2459" s="15" t="s">
        <v>4359</v>
      </c>
      <c r="C2459" s="15" t="s">
        <v>5999</v>
      </c>
      <c r="D2459" s="34" t="n">
        <f aca="false">Activities!N993</f>
        <v>2</v>
      </c>
      <c r="E2459" s="15" t="s">
        <v>5998</v>
      </c>
    </row>
    <row r="2460" customFormat="false" ht="15" hidden="false" customHeight="false" outlineLevel="0" collapsed="false">
      <c r="A2460" s="15" t="s">
        <v>4359</v>
      </c>
      <c r="B2460" s="15" t="s">
        <v>4360</v>
      </c>
      <c r="C2460" s="15" t="s">
        <v>5997</v>
      </c>
      <c r="D2460" s="34" t="n">
        <f aca="false">Activities!M994</f>
        <v>2</v>
      </c>
      <c r="E2460" s="15" t="s">
        <v>5998</v>
      </c>
    </row>
    <row r="2461" customFormat="false" ht="15" hidden="false" customHeight="false" outlineLevel="0" collapsed="false">
      <c r="A2461" s="15" t="s">
        <v>4359</v>
      </c>
      <c r="B2461" s="15" t="s">
        <v>4360</v>
      </c>
      <c r="C2461" s="15" t="s">
        <v>5999</v>
      </c>
      <c r="D2461" s="34" t="n">
        <f aca="false">Activities!N994</f>
        <v>2</v>
      </c>
      <c r="E2461" s="15" t="s">
        <v>5998</v>
      </c>
    </row>
    <row r="2462" customFormat="false" ht="15" hidden="false" customHeight="false" outlineLevel="0" collapsed="false">
      <c r="A2462" s="15" t="s">
        <v>4345</v>
      </c>
      <c r="B2462" s="15" t="s">
        <v>4360</v>
      </c>
      <c r="C2462" s="15" t="s">
        <v>5995</v>
      </c>
      <c r="D2462" s="34" t="n">
        <v>0</v>
      </c>
      <c r="E2462" s="15" t="s">
        <v>6011</v>
      </c>
    </row>
    <row r="2463" customFormat="false" ht="15" hidden="false" customHeight="false" outlineLevel="0" collapsed="false">
      <c r="A2463" s="15" t="s">
        <v>4389</v>
      </c>
      <c r="B2463" s="15" t="s">
        <v>4360</v>
      </c>
      <c r="C2463" s="15" t="s">
        <v>5995</v>
      </c>
      <c r="D2463" s="34" t="n">
        <v>0</v>
      </c>
      <c r="E2463" s="15" t="s">
        <v>6005</v>
      </c>
    </row>
    <row r="2464" customFormat="false" ht="15" hidden="false" customHeight="false" outlineLevel="0" collapsed="false">
      <c r="A2464" s="15" t="s">
        <v>4360</v>
      </c>
      <c r="B2464" s="15" t="s">
        <v>4362</v>
      </c>
      <c r="C2464" s="15" t="s">
        <v>5997</v>
      </c>
      <c r="D2464" s="34" t="n">
        <f aca="false">Activities!M995</f>
        <v>1</v>
      </c>
      <c r="E2464" s="15" t="s">
        <v>5998</v>
      </c>
    </row>
    <row r="2465" customFormat="false" ht="15" hidden="false" customHeight="false" outlineLevel="0" collapsed="false">
      <c r="A2465" s="15" t="s">
        <v>4360</v>
      </c>
      <c r="B2465" s="15" t="s">
        <v>4362</v>
      </c>
      <c r="C2465" s="15" t="s">
        <v>5999</v>
      </c>
      <c r="D2465" s="34" t="n">
        <f aca="false">Activities!N995</f>
        <v>2</v>
      </c>
      <c r="E2465" s="15" t="s">
        <v>5998</v>
      </c>
    </row>
    <row r="2466" customFormat="false" ht="15" hidden="false" customHeight="false" outlineLevel="0" collapsed="false">
      <c r="A2466" s="15" t="s">
        <v>4363</v>
      </c>
      <c r="B2466" s="15" t="s">
        <v>4365</v>
      </c>
      <c r="C2466" s="15" t="s">
        <v>5995</v>
      </c>
      <c r="D2466" s="34" t="n">
        <v>0</v>
      </c>
      <c r="E2466" s="15" t="s">
        <v>5996</v>
      </c>
    </row>
    <row r="2467" customFormat="false" ht="15" hidden="false" customHeight="false" outlineLevel="0" collapsed="false">
      <c r="A2467" s="15" t="s">
        <v>4351</v>
      </c>
      <c r="B2467" s="15" t="s">
        <v>4365</v>
      </c>
      <c r="C2467" s="15" t="s">
        <v>5997</v>
      </c>
      <c r="D2467" s="34" t="n">
        <v>0</v>
      </c>
      <c r="E2467" s="15" t="s">
        <v>6002</v>
      </c>
    </row>
    <row r="2468" customFormat="false" ht="15" hidden="false" customHeight="false" outlineLevel="0" collapsed="false">
      <c r="A2468" s="15" t="s">
        <v>4365</v>
      </c>
      <c r="B2468" s="15" t="s">
        <v>4367</v>
      </c>
      <c r="C2468" s="15" t="s">
        <v>5997</v>
      </c>
      <c r="D2468" s="34" t="n">
        <f aca="false">Activities!M998</f>
        <v>1</v>
      </c>
      <c r="E2468" s="15" t="s">
        <v>5998</v>
      </c>
    </row>
    <row r="2469" customFormat="false" ht="15" hidden="false" customHeight="false" outlineLevel="0" collapsed="false">
      <c r="A2469" s="15" t="s">
        <v>4365</v>
      </c>
      <c r="B2469" s="15" t="s">
        <v>4367</v>
      </c>
      <c r="C2469" s="15" t="s">
        <v>5999</v>
      </c>
      <c r="D2469" s="34" t="n">
        <f aca="false">Activities!N998</f>
        <v>2</v>
      </c>
      <c r="E2469" s="15" t="s">
        <v>5998</v>
      </c>
    </row>
    <row r="2470" customFormat="false" ht="15" hidden="false" customHeight="false" outlineLevel="0" collapsed="false">
      <c r="A2470" s="15" t="s">
        <v>4351</v>
      </c>
      <c r="B2470" s="15" t="s">
        <v>4367</v>
      </c>
      <c r="C2470" s="15" t="s">
        <v>5995</v>
      </c>
      <c r="D2470" s="34" t="n">
        <v>0</v>
      </c>
      <c r="E2470" s="15" t="s">
        <v>6011</v>
      </c>
    </row>
    <row r="2471" customFormat="false" ht="15" hidden="false" customHeight="false" outlineLevel="0" collapsed="false">
      <c r="A2471" s="15" t="s">
        <v>4367</v>
      </c>
      <c r="B2471" s="15" t="s">
        <v>4368</v>
      </c>
      <c r="C2471" s="15" t="s">
        <v>5997</v>
      </c>
      <c r="D2471" s="34" t="n">
        <f aca="false">Activities!M999</f>
        <v>2</v>
      </c>
      <c r="E2471" s="15" t="s">
        <v>5998</v>
      </c>
    </row>
    <row r="2472" customFormat="false" ht="15" hidden="false" customHeight="false" outlineLevel="0" collapsed="false">
      <c r="A2472" s="15" t="s">
        <v>4367</v>
      </c>
      <c r="B2472" s="15" t="s">
        <v>4368</v>
      </c>
      <c r="C2472" s="15" t="s">
        <v>5999</v>
      </c>
      <c r="D2472" s="34" t="n">
        <f aca="false">Activities!N999</f>
        <v>0</v>
      </c>
      <c r="E2472" s="15" t="s">
        <v>5998</v>
      </c>
    </row>
    <row r="2473" customFormat="false" ht="15" hidden="false" customHeight="false" outlineLevel="0" collapsed="false">
      <c r="A2473" s="15" t="s">
        <v>4352</v>
      </c>
      <c r="B2473" s="15" t="s">
        <v>4368</v>
      </c>
      <c r="C2473" s="15" t="s">
        <v>5995</v>
      </c>
      <c r="D2473" s="34" t="n">
        <v>0</v>
      </c>
      <c r="E2473" s="15" t="s">
        <v>6011</v>
      </c>
    </row>
    <row r="2474" customFormat="false" ht="15" hidden="false" customHeight="false" outlineLevel="0" collapsed="false">
      <c r="A2474" s="15" t="s">
        <v>4368</v>
      </c>
      <c r="B2474" s="15" t="s">
        <v>4369</v>
      </c>
      <c r="C2474" s="15" t="s">
        <v>5997</v>
      </c>
      <c r="D2474" s="34" t="n">
        <f aca="false">Activities!M1000</f>
        <v>0</v>
      </c>
      <c r="E2474" s="15" t="s">
        <v>5998</v>
      </c>
    </row>
    <row r="2475" customFormat="false" ht="15" hidden="false" customHeight="false" outlineLevel="0" collapsed="false">
      <c r="A2475" s="15" t="s">
        <v>4368</v>
      </c>
      <c r="B2475" s="15" t="s">
        <v>4369</v>
      </c>
      <c r="C2475" s="15" t="s">
        <v>5999</v>
      </c>
      <c r="D2475" s="34" t="n">
        <f aca="false">Activities!N1000</f>
        <v>2</v>
      </c>
      <c r="E2475" s="15" t="s">
        <v>5998</v>
      </c>
    </row>
    <row r="2476" customFormat="false" ht="15" hidden="false" customHeight="false" outlineLevel="0" collapsed="false">
      <c r="A2476" s="15" t="s">
        <v>4355</v>
      </c>
      <c r="B2476" s="15" t="s">
        <v>4369</v>
      </c>
      <c r="C2476" s="15" t="s">
        <v>5995</v>
      </c>
      <c r="D2476" s="34" t="n">
        <f aca="false">-Activities!K1000</f>
        <v>-10</v>
      </c>
      <c r="E2476" s="15" t="s">
        <v>6004</v>
      </c>
    </row>
    <row r="2477" customFormat="false" ht="15" hidden="false" customHeight="false" outlineLevel="0" collapsed="false">
      <c r="A2477" s="15" t="s">
        <v>4369</v>
      </c>
      <c r="B2477" s="15" t="s">
        <v>4371</v>
      </c>
      <c r="C2477" s="15" t="s">
        <v>5997</v>
      </c>
      <c r="D2477" s="34" t="n">
        <f aca="false">Activities!M1001</f>
        <v>10</v>
      </c>
      <c r="E2477" s="15" t="s">
        <v>5998</v>
      </c>
    </row>
    <row r="2478" customFormat="false" ht="15" hidden="false" customHeight="false" outlineLevel="0" collapsed="false">
      <c r="A2478" s="15" t="s">
        <v>4369</v>
      </c>
      <c r="B2478" s="15" t="s">
        <v>4371</v>
      </c>
      <c r="C2478" s="15" t="s">
        <v>5999</v>
      </c>
      <c r="D2478" s="34" t="n">
        <f aca="false">Activities!N1001</f>
        <v>2</v>
      </c>
      <c r="E2478" s="15" t="s">
        <v>5998</v>
      </c>
    </row>
    <row r="2479" customFormat="false" ht="15" hidden="false" customHeight="false" outlineLevel="0" collapsed="false">
      <c r="A2479" s="15" t="s">
        <v>4355</v>
      </c>
      <c r="B2479" s="15" t="s">
        <v>4371</v>
      </c>
      <c r="C2479" s="15" t="s">
        <v>5995</v>
      </c>
      <c r="D2479" s="34" t="n">
        <v>0</v>
      </c>
      <c r="E2479" s="15" t="s">
        <v>6011</v>
      </c>
    </row>
    <row r="2480" customFormat="false" ht="15" hidden="false" customHeight="false" outlineLevel="0" collapsed="false">
      <c r="A2480" s="15" t="s">
        <v>5361</v>
      </c>
      <c r="B2480" s="15" t="s">
        <v>4371</v>
      </c>
      <c r="C2480" s="15" t="s">
        <v>5995</v>
      </c>
      <c r="D2480" s="34" t="n">
        <v>0</v>
      </c>
      <c r="E2480" s="15" t="s">
        <v>6008</v>
      </c>
    </row>
    <row r="2481" customFormat="false" ht="15" hidden="false" customHeight="false" outlineLevel="0" collapsed="false">
      <c r="A2481" s="15" t="s">
        <v>5082</v>
      </c>
      <c r="B2481" s="15" t="s">
        <v>4371</v>
      </c>
      <c r="C2481" s="15" t="s">
        <v>5995</v>
      </c>
      <c r="D2481" s="34" t="n">
        <v>0</v>
      </c>
      <c r="E2481" s="15" t="s">
        <v>6008</v>
      </c>
    </row>
    <row r="2482" customFormat="false" ht="15" hidden="false" customHeight="false" outlineLevel="0" collapsed="false">
      <c r="A2482" s="15" t="s">
        <v>4371</v>
      </c>
      <c r="B2482" s="15" t="s">
        <v>4372</v>
      </c>
      <c r="C2482" s="15" t="s">
        <v>5997</v>
      </c>
      <c r="D2482" s="34" t="n">
        <f aca="false">Activities!M1002</f>
        <v>1</v>
      </c>
      <c r="E2482" s="15" t="s">
        <v>5998</v>
      </c>
    </row>
    <row r="2483" customFormat="false" ht="15" hidden="false" customHeight="false" outlineLevel="0" collapsed="false">
      <c r="A2483" s="15" t="s">
        <v>4371</v>
      </c>
      <c r="B2483" s="15" t="s">
        <v>4372</v>
      </c>
      <c r="C2483" s="15" t="s">
        <v>5999</v>
      </c>
      <c r="D2483" s="34" t="n">
        <f aca="false">Activities!N1002</f>
        <v>2</v>
      </c>
      <c r="E2483" s="15" t="s">
        <v>5998</v>
      </c>
    </row>
    <row r="2484" customFormat="false" ht="15" hidden="false" customHeight="false" outlineLevel="0" collapsed="false">
      <c r="A2484" s="15" t="s">
        <v>4357</v>
      </c>
      <c r="B2484" s="15" t="s">
        <v>4372</v>
      </c>
      <c r="C2484" s="15" t="s">
        <v>5995</v>
      </c>
      <c r="D2484" s="34" t="n">
        <v>0</v>
      </c>
      <c r="E2484" s="15" t="s">
        <v>6011</v>
      </c>
    </row>
    <row r="2485" customFormat="false" ht="15" hidden="false" customHeight="false" outlineLevel="0" collapsed="false">
      <c r="A2485" s="15" t="s">
        <v>4372</v>
      </c>
      <c r="B2485" s="15" t="s">
        <v>4373</v>
      </c>
      <c r="C2485" s="15" t="s">
        <v>5997</v>
      </c>
      <c r="D2485" s="34" t="n">
        <f aca="false">Activities!M1003</f>
        <v>3</v>
      </c>
      <c r="E2485" s="15" t="s">
        <v>5998</v>
      </c>
    </row>
    <row r="2486" customFormat="false" ht="15" hidden="false" customHeight="false" outlineLevel="0" collapsed="false">
      <c r="A2486" s="15" t="s">
        <v>4372</v>
      </c>
      <c r="B2486" s="15" t="s">
        <v>4373</v>
      </c>
      <c r="C2486" s="15" t="s">
        <v>5999</v>
      </c>
      <c r="D2486" s="34" t="n">
        <f aca="false">Activities!N1003</f>
        <v>2</v>
      </c>
      <c r="E2486" s="15" t="s">
        <v>5998</v>
      </c>
    </row>
    <row r="2487" customFormat="false" ht="15" hidden="false" customHeight="false" outlineLevel="0" collapsed="false">
      <c r="A2487" s="15" t="s">
        <v>4358</v>
      </c>
      <c r="B2487" s="15" t="s">
        <v>4373</v>
      </c>
      <c r="C2487" s="15" t="s">
        <v>5995</v>
      </c>
      <c r="D2487" s="34" t="n">
        <v>0</v>
      </c>
      <c r="E2487" s="15" t="s">
        <v>6011</v>
      </c>
    </row>
    <row r="2488" customFormat="false" ht="15" hidden="false" customHeight="false" outlineLevel="0" collapsed="false">
      <c r="A2488" s="15" t="s">
        <v>4373</v>
      </c>
      <c r="B2488" s="15" t="s">
        <v>4374</v>
      </c>
      <c r="C2488" s="15" t="s">
        <v>5997</v>
      </c>
      <c r="D2488" s="34" t="n">
        <f aca="false">Activities!M1004</f>
        <v>2</v>
      </c>
      <c r="E2488" s="15" t="s">
        <v>5998</v>
      </c>
    </row>
    <row r="2489" customFormat="false" ht="15" hidden="false" customHeight="false" outlineLevel="0" collapsed="false">
      <c r="A2489" s="15" t="s">
        <v>4373</v>
      </c>
      <c r="B2489" s="15" t="s">
        <v>4374</v>
      </c>
      <c r="C2489" s="15" t="s">
        <v>5999</v>
      </c>
      <c r="D2489" s="34" t="n">
        <f aca="false">Activities!N1004</f>
        <v>2</v>
      </c>
      <c r="E2489" s="15" t="s">
        <v>5998</v>
      </c>
    </row>
    <row r="2490" customFormat="false" ht="15" hidden="false" customHeight="false" outlineLevel="0" collapsed="false">
      <c r="A2490" s="15" t="s">
        <v>4374</v>
      </c>
      <c r="B2490" s="15" t="s">
        <v>4375</v>
      </c>
      <c r="C2490" s="15" t="s">
        <v>5997</v>
      </c>
      <c r="D2490" s="34" t="n">
        <f aca="false">Activities!M1005</f>
        <v>2</v>
      </c>
      <c r="E2490" s="15" t="s">
        <v>5998</v>
      </c>
    </row>
    <row r="2491" customFormat="false" ht="15" hidden="false" customHeight="false" outlineLevel="0" collapsed="false">
      <c r="A2491" s="15" t="s">
        <v>4374</v>
      </c>
      <c r="B2491" s="15" t="s">
        <v>4375</v>
      </c>
      <c r="C2491" s="15" t="s">
        <v>5999</v>
      </c>
      <c r="D2491" s="34" t="n">
        <f aca="false">Activities!N1005</f>
        <v>2</v>
      </c>
      <c r="E2491" s="15" t="s">
        <v>5998</v>
      </c>
    </row>
    <row r="2492" customFormat="false" ht="15" hidden="false" customHeight="false" outlineLevel="0" collapsed="false">
      <c r="A2492" s="15" t="s">
        <v>4360</v>
      </c>
      <c r="B2492" s="15" t="s">
        <v>4375</v>
      </c>
      <c r="C2492" s="15" t="s">
        <v>5995</v>
      </c>
      <c r="D2492" s="34" t="n">
        <v>0</v>
      </c>
      <c r="E2492" s="15" t="s">
        <v>6011</v>
      </c>
    </row>
    <row r="2493" customFormat="false" ht="15" hidden="false" customHeight="false" outlineLevel="0" collapsed="false">
      <c r="A2493" s="15" t="s">
        <v>4420</v>
      </c>
      <c r="B2493" s="15" t="s">
        <v>4375</v>
      </c>
      <c r="C2493" s="15" t="s">
        <v>5995</v>
      </c>
      <c r="D2493" s="34" t="n">
        <v>0</v>
      </c>
      <c r="E2493" s="15" t="s">
        <v>6005</v>
      </c>
    </row>
    <row r="2494" customFormat="false" ht="15" hidden="false" customHeight="false" outlineLevel="0" collapsed="false">
      <c r="A2494" s="15" t="s">
        <v>4405</v>
      </c>
      <c r="B2494" s="15" t="s">
        <v>4375</v>
      </c>
      <c r="C2494" s="15" t="s">
        <v>5995</v>
      </c>
      <c r="D2494" s="34" t="n">
        <v>0</v>
      </c>
      <c r="E2494" s="15" t="s">
        <v>6005</v>
      </c>
    </row>
    <row r="2495" customFormat="false" ht="15" hidden="false" customHeight="false" outlineLevel="0" collapsed="false">
      <c r="A2495" s="15" t="s">
        <v>4389</v>
      </c>
      <c r="B2495" s="15" t="s">
        <v>4375</v>
      </c>
      <c r="C2495" s="15" t="s">
        <v>5995</v>
      </c>
      <c r="D2495" s="34" t="n">
        <v>0</v>
      </c>
      <c r="E2495" s="15" t="s">
        <v>6005</v>
      </c>
    </row>
    <row r="2496" customFormat="false" ht="15" hidden="false" customHeight="false" outlineLevel="0" collapsed="false">
      <c r="A2496" s="15" t="s">
        <v>4375</v>
      </c>
      <c r="B2496" s="15" t="s">
        <v>4377</v>
      </c>
      <c r="C2496" s="15" t="s">
        <v>5997</v>
      </c>
      <c r="D2496" s="34" t="n">
        <f aca="false">Activities!M1006</f>
        <v>1</v>
      </c>
      <c r="E2496" s="15" t="s">
        <v>5998</v>
      </c>
    </row>
    <row r="2497" customFormat="false" ht="15" hidden="false" customHeight="false" outlineLevel="0" collapsed="false">
      <c r="A2497" s="15" t="s">
        <v>4375</v>
      </c>
      <c r="B2497" s="15" t="s">
        <v>4377</v>
      </c>
      <c r="C2497" s="15" t="s">
        <v>5999</v>
      </c>
      <c r="D2497" s="34" t="n">
        <f aca="false">Activities!N1006</f>
        <v>2</v>
      </c>
      <c r="E2497" s="15" t="s">
        <v>5998</v>
      </c>
    </row>
    <row r="2498" customFormat="false" ht="15" hidden="false" customHeight="false" outlineLevel="0" collapsed="false">
      <c r="A2498" s="15" t="s">
        <v>4378</v>
      </c>
      <c r="B2498" s="15" t="s">
        <v>4380</v>
      </c>
      <c r="C2498" s="15" t="s">
        <v>5995</v>
      </c>
      <c r="D2498" s="34" t="n">
        <v>0</v>
      </c>
      <c r="E2498" s="15" t="s">
        <v>5996</v>
      </c>
    </row>
    <row r="2499" customFormat="false" ht="15" hidden="false" customHeight="false" outlineLevel="0" collapsed="false">
      <c r="A2499" s="15" t="s">
        <v>4367</v>
      </c>
      <c r="B2499" s="15" t="s">
        <v>4380</v>
      </c>
      <c r="C2499" s="15" t="s">
        <v>5997</v>
      </c>
      <c r="D2499" s="34" t="n">
        <v>0</v>
      </c>
      <c r="E2499" s="15" t="s">
        <v>6002</v>
      </c>
    </row>
    <row r="2500" customFormat="false" ht="15" hidden="false" customHeight="false" outlineLevel="0" collapsed="false">
      <c r="A2500" s="15" t="s">
        <v>4380</v>
      </c>
      <c r="B2500" s="15" t="s">
        <v>4382</v>
      </c>
      <c r="C2500" s="15" t="s">
        <v>5997</v>
      </c>
      <c r="D2500" s="34" t="n">
        <f aca="false">Activities!M1009</f>
        <v>1</v>
      </c>
      <c r="E2500" s="15" t="s">
        <v>5998</v>
      </c>
    </row>
    <row r="2501" customFormat="false" ht="15" hidden="false" customHeight="false" outlineLevel="0" collapsed="false">
      <c r="A2501" s="15" t="s">
        <v>4380</v>
      </c>
      <c r="B2501" s="15" t="s">
        <v>4382</v>
      </c>
      <c r="C2501" s="15" t="s">
        <v>5999</v>
      </c>
      <c r="D2501" s="34" t="n">
        <f aca="false">Activities!N1009</f>
        <v>2</v>
      </c>
      <c r="E2501" s="15" t="s">
        <v>5998</v>
      </c>
    </row>
    <row r="2502" customFormat="false" ht="15" hidden="false" customHeight="false" outlineLevel="0" collapsed="false">
      <c r="A2502" s="15" t="s">
        <v>4367</v>
      </c>
      <c r="B2502" s="15" t="s">
        <v>4382</v>
      </c>
      <c r="C2502" s="15" t="s">
        <v>5995</v>
      </c>
      <c r="D2502" s="34" t="n">
        <v>0</v>
      </c>
      <c r="E2502" s="15" t="s">
        <v>6011</v>
      </c>
    </row>
    <row r="2503" customFormat="false" ht="15" hidden="false" customHeight="false" outlineLevel="0" collapsed="false">
      <c r="A2503" s="15" t="s">
        <v>4382</v>
      </c>
      <c r="B2503" s="15" t="s">
        <v>4383</v>
      </c>
      <c r="C2503" s="15" t="s">
        <v>5997</v>
      </c>
      <c r="D2503" s="34" t="n">
        <f aca="false">Activities!M1010</f>
        <v>1</v>
      </c>
      <c r="E2503" s="15" t="s">
        <v>5998</v>
      </c>
    </row>
    <row r="2504" customFormat="false" ht="15" hidden="false" customHeight="false" outlineLevel="0" collapsed="false">
      <c r="A2504" s="15" t="s">
        <v>4382</v>
      </c>
      <c r="B2504" s="15" t="s">
        <v>4383</v>
      </c>
      <c r="C2504" s="15" t="s">
        <v>5999</v>
      </c>
      <c r="D2504" s="34" t="n">
        <f aca="false">Activities!N1010</f>
        <v>0</v>
      </c>
      <c r="E2504" s="15" t="s">
        <v>5998</v>
      </c>
    </row>
    <row r="2505" customFormat="false" ht="15" hidden="false" customHeight="false" outlineLevel="0" collapsed="false">
      <c r="A2505" s="15" t="s">
        <v>4368</v>
      </c>
      <c r="B2505" s="15" t="s">
        <v>4383</v>
      </c>
      <c r="C2505" s="15" t="s">
        <v>5995</v>
      </c>
      <c r="D2505" s="34" t="n">
        <v>0</v>
      </c>
      <c r="E2505" s="15" t="s">
        <v>6011</v>
      </c>
    </row>
    <row r="2506" customFormat="false" ht="15" hidden="false" customHeight="false" outlineLevel="0" collapsed="false">
      <c r="A2506" s="15" t="s">
        <v>4383</v>
      </c>
      <c r="B2506" s="15" t="s">
        <v>4384</v>
      </c>
      <c r="C2506" s="15" t="s">
        <v>5997</v>
      </c>
      <c r="D2506" s="34" t="n">
        <f aca="false">Activities!M1011</f>
        <v>0</v>
      </c>
      <c r="E2506" s="15" t="s">
        <v>5998</v>
      </c>
    </row>
    <row r="2507" customFormat="false" ht="15" hidden="false" customHeight="false" outlineLevel="0" collapsed="false">
      <c r="A2507" s="15" t="s">
        <v>4383</v>
      </c>
      <c r="B2507" s="15" t="s">
        <v>4384</v>
      </c>
      <c r="C2507" s="15" t="s">
        <v>5999</v>
      </c>
      <c r="D2507" s="34" t="n">
        <f aca="false">Activities!N1011</f>
        <v>2</v>
      </c>
      <c r="E2507" s="15" t="s">
        <v>5998</v>
      </c>
    </row>
    <row r="2508" customFormat="false" ht="15" hidden="false" customHeight="false" outlineLevel="0" collapsed="false">
      <c r="A2508" s="15" t="s">
        <v>4371</v>
      </c>
      <c r="B2508" s="15" t="s">
        <v>4384</v>
      </c>
      <c r="C2508" s="15" t="s">
        <v>5995</v>
      </c>
      <c r="D2508" s="34" t="n">
        <f aca="false">-Activities!K1011</f>
        <v>-10</v>
      </c>
      <c r="E2508" s="15" t="s">
        <v>6004</v>
      </c>
    </row>
    <row r="2509" customFormat="false" ht="15" hidden="false" customHeight="false" outlineLevel="0" collapsed="false">
      <c r="A2509" s="15" t="s">
        <v>4384</v>
      </c>
      <c r="B2509" s="15" t="s">
        <v>4386</v>
      </c>
      <c r="C2509" s="15" t="s">
        <v>5997</v>
      </c>
      <c r="D2509" s="34" t="n">
        <f aca="false">Activities!M1012</f>
        <v>10</v>
      </c>
      <c r="E2509" s="15" t="s">
        <v>5998</v>
      </c>
    </row>
    <row r="2510" customFormat="false" ht="15" hidden="false" customHeight="false" outlineLevel="0" collapsed="false">
      <c r="A2510" s="15" t="s">
        <v>4384</v>
      </c>
      <c r="B2510" s="15" t="s">
        <v>4386</v>
      </c>
      <c r="C2510" s="15" t="s">
        <v>5999</v>
      </c>
      <c r="D2510" s="34" t="n">
        <f aca="false">Activities!N1012</f>
        <v>2</v>
      </c>
      <c r="E2510" s="15" t="s">
        <v>5998</v>
      </c>
    </row>
    <row r="2511" customFormat="false" ht="15" hidden="false" customHeight="false" outlineLevel="0" collapsed="false">
      <c r="A2511" s="15" t="s">
        <v>4371</v>
      </c>
      <c r="B2511" s="15" t="s">
        <v>4386</v>
      </c>
      <c r="C2511" s="15" t="s">
        <v>5995</v>
      </c>
      <c r="D2511" s="34" t="n">
        <v>0</v>
      </c>
      <c r="E2511" s="15" t="s">
        <v>6011</v>
      </c>
    </row>
    <row r="2512" customFormat="false" ht="15" hidden="false" customHeight="false" outlineLevel="0" collapsed="false">
      <c r="A2512" s="15" t="s">
        <v>5082</v>
      </c>
      <c r="B2512" s="15" t="s">
        <v>4386</v>
      </c>
      <c r="C2512" s="15" t="s">
        <v>5995</v>
      </c>
      <c r="D2512" s="34" t="n">
        <v>0</v>
      </c>
      <c r="E2512" s="15" t="s">
        <v>6008</v>
      </c>
    </row>
    <row r="2513" customFormat="false" ht="15" hidden="false" customHeight="false" outlineLevel="0" collapsed="false">
      <c r="A2513" s="15" t="s">
        <v>4371</v>
      </c>
      <c r="B2513" s="15" t="s">
        <v>4386</v>
      </c>
      <c r="C2513" s="15" t="s">
        <v>5997</v>
      </c>
      <c r="D2513" s="34" t="n">
        <v>0</v>
      </c>
      <c r="E2513" s="15" t="s">
        <v>6006</v>
      </c>
    </row>
    <row r="2514" customFormat="false" ht="15" hidden="false" customHeight="false" outlineLevel="0" collapsed="false">
      <c r="A2514" s="15" t="s">
        <v>4355</v>
      </c>
      <c r="B2514" s="15" t="s">
        <v>4386</v>
      </c>
      <c r="C2514" s="15" t="s">
        <v>5997</v>
      </c>
      <c r="D2514" s="34" t="n">
        <v>0</v>
      </c>
      <c r="E2514" s="15" t="s">
        <v>6006</v>
      </c>
    </row>
    <row r="2515" customFormat="false" ht="15" hidden="false" customHeight="false" outlineLevel="0" collapsed="false">
      <c r="A2515" s="15" t="s">
        <v>4386</v>
      </c>
      <c r="B2515" s="15" t="s">
        <v>4388</v>
      </c>
      <c r="C2515" s="15" t="s">
        <v>5997</v>
      </c>
      <c r="D2515" s="34" t="n">
        <f aca="false">Activities!M1013</f>
        <v>1</v>
      </c>
      <c r="E2515" s="15" t="s">
        <v>5998</v>
      </c>
    </row>
    <row r="2516" customFormat="false" ht="15" hidden="false" customHeight="false" outlineLevel="0" collapsed="false">
      <c r="A2516" s="15" t="s">
        <v>4386</v>
      </c>
      <c r="B2516" s="15" t="s">
        <v>4388</v>
      </c>
      <c r="C2516" s="15" t="s">
        <v>5999</v>
      </c>
      <c r="D2516" s="34" t="n">
        <f aca="false">Activities!N1013</f>
        <v>2</v>
      </c>
      <c r="E2516" s="15" t="s">
        <v>5998</v>
      </c>
    </row>
    <row r="2517" customFormat="false" ht="15" hidden="false" customHeight="false" outlineLevel="0" collapsed="false">
      <c r="A2517" s="15" t="s">
        <v>4372</v>
      </c>
      <c r="B2517" s="15" t="s">
        <v>4388</v>
      </c>
      <c r="C2517" s="15" t="s">
        <v>5995</v>
      </c>
      <c r="D2517" s="34" t="n">
        <v>0</v>
      </c>
      <c r="E2517" s="15" t="s">
        <v>6011</v>
      </c>
    </row>
    <row r="2518" customFormat="false" ht="15" hidden="false" customHeight="false" outlineLevel="0" collapsed="false">
      <c r="A2518" s="15" t="s">
        <v>4388</v>
      </c>
      <c r="B2518" s="15" t="s">
        <v>4389</v>
      </c>
      <c r="C2518" s="15" t="s">
        <v>5997</v>
      </c>
      <c r="D2518" s="34" t="n">
        <f aca="false">Activities!M1014</f>
        <v>2</v>
      </c>
      <c r="E2518" s="15" t="s">
        <v>5998</v>
      </c>
    </row>
    <row r="2519" customFormat="false" ht="15" hidden="false" customHeight="false" outlineLevel="0" collapsed="false">
      <c r="A2519" s="15" t="s">
        <v>4388</v>
      </c>
      <c r="B2519" s="15" t="s">
        <v>4389</v>
      </c>
      <c r="C2519" s="15" t="s">
        <v>5999</v>
      </c>
      <c r="D2519" s="34" t="n">
        <f aca="false">Activities!N1014</f>
        <v>2</v>
      </c>
      <c r="E2519" s="15" t="s">
        <v>5998</v>
      </c>
    </row>
    <row r="2520" customFormat="false" ht="15" hidden="false" customHeight="false" outlineLevel="0" collapsed="false">
      <c r="A2520" s="15" t="s">
        <v>4373</v>
      </c>
      <c r="B2520" s="15" t="s">
        <v>4389</v>
      </c>
      <c r="C2520" s="15" t="s">
        <v>5995</v>
      </c>
      <c r="D2520" s="34" t="n">
        <v>0</v>
      </c>
      <c r="E2520" s="15" t="s">
        <v>6011</v>
      </c>
    </row>
    <row r="2521" customFormat="false" ht="15" hidden="false" customHeight="false" outlineLevel="0" collapsed="false">
      <c r="A2521" s="15" t="s">
        <v>4389</v>
      </c>
      <c r="B2521" s="15" t="s">
        <v>4390</v>
      </c>
      <c r="C2521" s="15" t="s">
        <v>5997</v>
      </c>
      <c r="D2521" s="34" t="n">
        <f aca="false">Activities!M1015</f>
        <v>1</v>
      </c>
      <c r="E2521" s="15" t="s">
        <v>5998</v>
      </c>
    </row>
    <row r="2522" customFormat="false" ht="15" hidden="false" customHeight="false" outlineLevel="0" collapsed="false">
      <c r="A2522" s="15" t="s">
        <v>4389</v>
      </c>
      <c r="B2522" s="15" t="s">
        <v>4390</v>
      </c>
      <c r="C2522" s="15" t="s">
        <v>5999</v>
      </c>
      <c r="D2522" s="34" t="n">
        <f aca="false">Activities!N1015</f>
        <v>2</v>
      </c>
      <c r="E2522" s="15" t="s">
        <v>5998</v>
      </c>
    </row>
    <row r="2523" customFormat="false" ht="15" hidden="false" customHeight="false" outlineLevel="0" collapsed="false">
      <c r="A2523" s="15" t="s">
        <v>4390</v>
      </c>
      <c r="B2523" s="15" t="s">
        <v>4391</v>
      </c>
      <c r="C2523" s="15" t="s">
        <v>5997</v>
      </c>
      <c r="D2523" s="34" t="n">
        <f aca="false">Activities!M1016</f>
        <v>2</v>
      </c>
      <c r="E2523" s="15" t="s">
        <v>5998</v>
      </c>
    </row>
    <row r="2524" customFormat="false" ht="15" hidden="false" customHeight="false" outlineLevel="0" collapsed="false">
      <c r="A2524" s="15" t="s">
        <v>4390</v>
      </c>
      <c r="B2524" s="15" t="s">
        <v>4391</v>
      </c>
      <c r="C2524" s="15" t="s">
        <v>5999</v>
      </c>
      <c r="D2524" s="34" t="n">
        <f aca="false">Activities!N1016</f>
        <v>2</v>
      </c>
      <c r="E2524" s="15" t="s">
        <v>5998</v>
      </c>
    </row>
    <row r="2525" customFormat="false" ht="15" hidden="false" customHeight="false" outlineLevel="0" collapsed="false">
      <c r="A2525" s="15" t="s">
        <v>4375</v>
      </c>
      <c r="B2525" s="15" t="s">
        <v>4391</v>
      </c>
      <c r="C2525" s="15" t="s">
        <v>5995</v>
      </c>
      <c r="D2525" s="34" t="n">
        <v>0</v>
      </c>
      <c r="E2525" s="15" t="s">
        <v>6011</v>
      </c>
    </row>
    <row r="2526" customFormat="false" ht="15" hidden="false" customHeight="false" outlineLevel="0" collapsed="false">
      <c r="A2526" s="15" t="s">
        <v>4373</v>
      </c>
      <c r="B2526" s="15" t="s">
        <v>4391</v>
      </c>
      <c r="C2526" s="15" t="s">
        <v>5995</v>
      </c>
      <c r="D2526" s="34" t="n">
        <v>0</v>
      </c>
      <c r="E2526" s="15" t="s">
        <v>6005</v>
      </c>
    </row>
    <row r="2527" customFormat="false" ht="15" hidden="false" customHeight="false" outlineLevel="0" collapsed="false">
      <c r="A2527" s="15" t="s">
        <v>4358</v>
      </c>
      <c r="B2527" s="15" t="s">
        <v>4391</v>
      </c>
      <c r="C2527" s="15" t="s">
        <v>5995</v>
      </c>
      <c r="D2527" s="34" t="n">
        <v>0</v>
      </c>
      <c r="E2527" s="15" t="s">
        <v>6005</v>
      </c>
    </row>
    <row r="2528" customFormat="false" ht="15" hidden="false" customHeight="false" outlineLevel="0" collapsed="false">
      <c r="A2528" s="15" t="s">
        <v>4391</v>
      </c>
      <c r="B2528" s="15" t="s">
        <v>4393</v>
      </c>
      <c r="C2528" s="15" t="s">
        <v>5997</v>
      </c>
      <c r="D2528" s="34" t="n">
        <f aca="false">Activities!M1017</f>
        <v>1</v>
      </c>
      <c r="E2528" s="15" t="s">
        <v>5998</v>
      </c>
    </row>
    <row r="2529" customFormat="false" ht="15" hidden="false" customHeight="false" outlineLevel="0" collapsed="false">
      <c r="A2529" s="15" t="s">
        <v>4391</v>
      </c>
      <c r="B2529" s="15" t="s">
        <v>4393</v>
      </c>
      <c r="C2529" s="15" t="s">
        <v>5999</v>
      </c>
      <c r="D2529" s="34" t="n">
        <f aca="false">Activities!N1017</f>
        <v>2</v>
      </c>
      <c r="E2529" s="15" t="s">
        <v>5998</v>
      </c>
    </row>
    <row r="2530" customFormat="false" ht="15" hidden="false" customHeight="false" outlineLevel="0" collapsed="false">
      <c r="A2530" s="15" t="s">
        <v>4394</v>
      </c>
      <c r="B2530" s="15" t="s">
        <v>4396</v>
      </c>
      <c r="C2530" s="15" t="s">
        <v>5995</v>
      </c>
      <c r="D2530" s="34" t="n">
        <v>0</v>
      </c>
      <c r="E2530" s="15" t="s">
        <v>5996</v>
      </c>
    </row>
    <row r="2531" customFormat="false" ht="15" hidden="false" customHeight="false" outlineLevel="0" collapsed="false">
      <c r="A2531" s="15" t="s">
        <v>4382</v>
      </c>
      <c r="B2531" s="15" t="s">
        <v>4396</v>
      </c>
      <c r="C2531" s="15" t="s">
        <v>5997</v>
      </c>
      <c r="D2531" s="34" t="n">
        <v>0</v>
      </c>
      <c r="E2531" s="15" t="s">
        <v>6002</v>
      </c>
    </row>
    <row r="2532" customFormat="false" ht="15" hidden="false" customHeight="false" outlineLevel="0" collapsed="false">
      <c r="A2532" s="15" t="s">
        <v>4396</v>
      </c>
      <c r="B2532" s="15" t="s">
        <v>4398</v>
      </c>
      <c r="C2532" s="15" t="s">
        <v>5997</v>
      </c>
      <c r="D2532" s="34" t="n">
        <f aca="false">Activities!M1020</f>
        <v>1</v>
      </c>
      <c r="E2532" s="15" t="s">
        <v>5998</v>
      </c>
    </row>
    <row r="2533" customFormat="false" ht="15" hidden="false" customHeight="false" outlineLevel="0" collapsed="false">
      <c r="A2533" s="15" t="s">
        <v>4396</v>
      </c>
      <c r="B2533" s="15" t="s">
        <v>4398</v>
      </c>
      <c r="C2533" s="15" t="s">
        <v>5999</v>
      </c>
      <c r="D2533" s="34" t="n">
        <f aca="false">Activities!N1020</f>
        <v>2</v>
      </c>
      <c r="E2533" s="15" t="s">
        <v>5998</v>
      </c>
    </row>
    <row r="2534" customFormat="false" ht="15" hidden="false" customHeight="false" outlineLevel="0" collapsed="false">
      <c r="A2534" s="15" t="s">
        <v>4382</v>
      </c>
      <c r="B2534" s="15" t="s">
        <v>4398</v>
      </c>
      <c r="C2534" s="15" t="s">
        <v>5995</v>
      </c>
      <c r="D2534" s="34" t="n">
        <v>0</v>
      </c>
      <c r="E2534" s="15" t="s">
        <v>6011</v>
      </c>
    </row>
    <row r="2535" customFormat="false" ht="15" hidden="false" customHeight="false" outlineLevel="0" collapsed="false">
      <c r="A2535" s="15" t="s">
        <v>4398</v>
      </c>
      <c r="B2535" s="15" t="s">
        <v>4399</v>
      </c>
      <c r="C2535" s="15" t="s">
        <v>5997</v>
      </c>
      <c r="D2535" s="34" t="n">
        <f aca="false">Activities!M1021</f>
        <v>2</v>
      </c>
      <c r="E2535" s="15" t="s">
        <v>5998</v>
      </c>
    </row>
    <row r="2536" customFormat="false" ht="15" hidden="false" customHeight="false" outlineLevel="0" collapsed="false">
      <c r="A2536" s="15" t="s">
        <v>4398</v>
      </c>
      <c r="B2536" s="15" t="s">
        <v>4399</v>
      </c>
      <c r="C2536" s="15" t="s">
        <v>5999</v>
      </c>
      <c r="D2536" s="34" t="n">
        <f aca="false">Activities!N1021</f>
        <v>0</v>
      </c>
      <c r="E2536" s="15" t="s">
        <v>5998</v>
      </c>
    </row>
    <row r="2537" customFormat="false" ht="15" hidden="false" customHeight="false" outlineLevel="0" collapsed="false">
      <c r="A2537" s="15" t="s">
        <v>4383</v>
      </c>
      <c r="B2537" s="15" t="s">
        <v>4399</v>
      </c>
      <c r="C2537" s="15" t="s">
        <v>5995</v>
      </c>
      <c r="D2537" s="34" t="n">
        <v>0</v>
      </c>
      <c r="E2537" s="15" t="s">
        <v>6011</v>
      </c>
    </row>
    <row r="2538" customFormat="false" ht="15" hidden="false" customHeight="false" outlineLevel="0" collapsed="false">
      <c r="A2538" s="15" t="s">
        <v>4399</v>
      </c>
      <c r="B2538" s="15" t="s">
        <v>4400</v>
      </c>
      <c r="C2538" s="15" t="s">
        <v>5997</v>
      </c>
      <c r="D2538" s="34" t="n">
        <f aca="false">Activities!M1022</f>
        <v>0</v>
      </c>
      <c r="E2538" s="15" t="s">
        <v>5998</v>
      </c>
    </row>
    <row r="2539" customFormat="false" ht="15" hidden="false" customHeight="false" outlineLevel="0" collapsed="false">
      <c r="A2539" s="15" t="s">
        <v>4399</v>
      </c>
      <c r="B2539" s="15" t="s">
        <v>4400</v>
      </c>
      <c r="C2539" s="15" t="s">
        <v>5999</v>
      </c>
      <c r="D2539" s="34" t="n">
        <f aca="false">Activities!N1022</f>
        <v>2</v>
      </c>
      <c r="E2539" s="15" t="s">
        <v>5998</v>
      </c>
    </row>
    <row r="2540" customFormat="false" ht="15" hidden="false" customHeight="false" outlineLevel="0" collapsed="false">
      <c r="A2540" s="15" t="s">
        <v>4386</v>
      </c>
      <c r="B2540" s="15" t="s">
        <v>4400</v>
      </c>
      <c r="C2540" s="15" t="s">
        <v>5995</v>
      </c>
      <c r="D2540" s="34" t="n">
        <f aca="false">-Activities!K1022</f>
        <v>-10</v>
      </c>
      <c r="E2540" s="15" t="s">
        <v>6004</v>
      </c>
    </row>
    <row r="2541" customFormat="false" ht="15" hidden="false" customHeight="false" outlineLevel="0" collapsed="false">
      <c r="A2541" s="15" t="s">
        <v>4400</v>
      </c>
      <c r="B2541" s="15" t="s">
        <v>4402</v>
      </c>
      <c r="C2541" s="15" t="s">
        <v>5997</v>
      </c>
      <c r="D2541" s="34" t="n">
        <f aca="false">Activities!M1023</f>
        <v>10</v>
      </c>
      <c r="E2541" s="15" t="s">
        <v>5998</v>
      </c>
    </row>
    <row r="2542" customFormat="false" ht="15" hidden="false" customHeight="false" outlineLevel="0" collapsed="false">
      <c r="A2542" s="15" t="s">
        <v>4400</v>
      </c>
      <c r="B2542" s="15" t="s">
        <v>4402</v>
      </c>
      <c r="C2542" s="15" t="s">
        <v>5999</v>
      </c>
      <c r="D2542" s="34" t="n">
        <f aca="false">Activities!N1023</f>
        <v>2</v>
      </c>
      <c r="E2542" s="15" t="s">
        <v>5998</v>
      </c>
    </row>
    <row r="2543" customFormat="false" ht="15" hidden="false" customHeight="false" outlineLevel="0" collapsed="false">
      <c r="A2543" s="15" t="s">
        <v>4386</v>
      </c>
      <c r="B2543" s="15" t="s">
        <v>4402</v>
      </c>
      <c r="C2543" s="15" t="s">
        <v>5995</v>
      </c>
      <c r="D2543" s="34" t="n">
        <v>0</v>
      </c>
      <c r="E2543" s="15" t="s">
        <v>6011</v>
      </c>
    </row>
    <row r="2544" customFormat="false" ht="15" hidden="false" customHeight="false" outlineLevel="0" collapsed="false">
      <c r="A2544" s="15" t="s">
        <v>4371</v>
      </c>
      <c r="B2544" s="15" t="s">
        <v>4402</v>
      </c>
      <c r="C2544" s="15" t="s">
        <v>5997</v>
      </c>
      <c r="D2544" s="34" t="n">
        <v>0</v>
      </c>
      <c r="E2544" s="15" t="s">
        <v>6006</v>
      </c>
    </row>
    <row r="2545" customFormat="false" ht="15" hidden="false" customHeight="false" outlineLevel="0" collapsed="false">
      <c r="A2545" s="15" t="s">
        <v>4402</v>
      </c>
      <c r="B2545" s="15" t="s">
        <v>4404</v>
      </c>
      <c r="C2545" s="15" t="s">
        <v>5997</v>
      </c>
      <c r="D2545" s="34" t="n">
        <f aca="false">Activities!M1024</f>
        <v>1</v>
      </c>
      <c r="E2545" s="15" t="s">
        <v>5998</v>
      </c>
    </row>
    <row r="2546" customFormat="false" ht="15" hidden="false" customHeight="false" outlineLevel="0" collapsed="false">
      <c r="A2546" s="15" t="s">
        <v>4402</v>
      </c>
      <c r="B2546" s="15" t="s">
        <v>4404</v>
      </c>
      <c r="C2546" s="15" t="s">
        <v>5999</v>
      </c>
      <c r="D2546" s="34" t="n">
        <f aca="false">Activities!N1024</f>
        <v>2</v>
      </c>
      <c r="E2546" s="15" t="s">
        <v>5998</v>
      </c>
    </row>
    <row r="2547" customFormat="false" ht="15" hidden="false" customHeight="false" outlineLevel="0" collapsed="false">
      <c r="A2547" s="15" t="s">
        <v>4388</v>
      </c>
      <c r="B2547" s="15" t="s">
        <v>4404</v>
      </c>
      <c r="C2547" s="15" t="s">
        <v>5995</v>
      </c>
      <c r="D2547" s="34" t="n">
        <v>0</v>
      </c>
      <c r="E2547" s="15" t="s">
        <v>6011</v>
      </c>
    </row>
    <row r="2548" customFormat="false" ht="15" hidden="false" customHeight="false" outlineLevel="0" collapsed="false">
      <c r="A2548" s="15" t="s">
        <v>4404</v>
      </c>
      <c r="B2548" s="15" t="s">
        <v>4405</v>
      </c>
      <c r="C2548" s="15" t="s">
        <v>5997</v>
      </c>
      <c r="D2548" s="34" t="n">
        <f aca="false">Activities!M1025</f>
        <v>3</v>
      </c>
      <c r="E2548" s="15" t="s">
        <v>5998</v>
      </c>
    </row>
    <row r="2549" customFormat="false" ht="15" hidden="false" customHeight="false" outlineLevel="0" collapsed="false">
      <c r="A2549" s="15" t="s">
        <v>4404</v>
      </c>
      <c r="B2549" s="15" t="s">
        <v>4405</v>
      </c>
      <c r="C2549" s="15" t="s">
        <v>5999</v>
      </c>
      <c r="D2549" s="34" t="n">
        <f aca="false">Activities!N1025</f>
        <v>2</v>
      </c>
      <c r="E2549" s="15" t="s">
        <v>5998</v>
      </c>
    </row>
    <row r="2550" customFormat="false" ht="15" hidden="false" customHeight="false" outlineLevel="0" collapsed="false">
      <c r="A2550" s="15" t="s">
        <v>4389</v>
      </c>
      <c r="B2550" s="15" t="s">
        <v>4405</v>
      </c>
      <c r="C2550" s="15" t="s">
        <v>5995</v>
      </c>
      <c r="D2550" s="34" t="n">
        <v>0</v>
      </c>
      <c r="E2550" s="15" t="s">
        <v>6011</v>
      </c>
    </row>
    <row r="2551" customFormat="false" ht="15" hidden="false" customHeight="false" outlineLevel="0" collapsed="false">
      <c r="A2551" s="15" t="s">
        <v>4405</v>
      </c>
      <c r="B2551" s="15" t="s">
        <v>4406</v>
      </c>
      <c r="C2551" s="15" t="s">
        <v>5997</v>
      </c>
      <c r="D2551" s="34" t="n">
        <f aca="false">Activities!M1026</f>
        <v>1</v>
      </c>
      <c r="E2551" s="15" t="s">
        <v>5998</v>
      </c>
    </row>
    <row r="2552" customFormat="false" ht="15" hidden="false" customHeight="false" outlineLevel="0" collapsed="false">
      <c r="A2552" s="15" t="s">
        <v>4405</v>
      </c>
      <c r="B2552" s="15" t="s">
        <v>4406</v>
      </c>
      <c r="C2552" s="15" t="s">
        <v>5999</v>
      </c>
      <c r="D2552" s="34" t="n">
        <f aca="false">Activities!N1026</f>
        <v>2</v>
      </c>
      <c r="E2552" s="15" t="s">
        <v>5998</v>
      </c>
    </row>
    <row r="2553" customFormat="false" ht="15" hidden="false" customHeight="false" outlineLevel="0" collapsed="false">
      <c r="A2553" s="15" t="s">
        <v>4406</v>
      </c>
      <c r="B2553" s="15" t="s">
        <v>4407</v>
      </c>
      <c r="C2553" s="15" t="s">
        <v>5997</v>
      </c>
      <c r="D2553" s="34" t="n">
        <f aca="false">Activities!M1027</f>
        <v>2</v>
      </c>
      <c r="E2553" s="15" t="s">
        <v>5998</v>
      </c>
    </row>
    <row r="2554" customFormat="false" ht="15" hidden="false" customHeight="false" outlineLevel="0" collapsed="false">
      <c r="A2554" s="15" t="s">
        <v>4406</v>
      </c>
      <c r="B2554" s="15" t="s">
        <v>4407</v>
      </c>
      <c r="C2554" s="15" t="s">
        <v>5999</v>
      </c>
      <c r="D2554" s="34" t="n">
        <f aca="false">Activities!N1027</f>
        <v>2</v>
      </c>
      <c r="E2554" s="15" t="s">
        <v>5998</v>
      </c>
    </row>
    <row r="2555" customFormat="false" ht="15" hidden="false" customHeight="false" outlineLevel="0" collapsed="false">
      <c r="A2555" s="15" t="s">
        <v>4391</v>
      </c>
      <c r="B2555" s="15" t="s">
        <v>4407</v>
      </c>
      <c r="C2555" s="15" t="s">
        <v>5995</v>
      </c>
      <c r="D2555" s="34" t="n">
        <v>0</v>
      </c>
      <c r="E2555" s="15" t="s">
        <v>6011</v>
      </c>
    </row>
    <row r="2556" customFormat="false" ht="15" hidden="false" customHeight="false" outlineLevel="0" collapsed="false">
      <c r="A2556" s="15" t="s">
        <v>4373</v>
      </c>
      <c r="B2556" s="15" t="s">
        <v>4407</v>
      </c>
      <c r="C2556" s="15" t="s">
        <v>5995</v>
      </c>
      <c r="D2556" s="34" t="n">
        <v>0</v>
      </c>
      <c r="E2556" s="15" t="s">
        <v>6005</v>
      </c>
    </row>
    <row r="2557" customFormat="false" ht="15" hidden="false" customHeight="false" outlineLevel="0" collapsed="false">
      <c r="A2557" s="15" t="s">
        <v>4407</v>
      </c>
      <c r="B2557" s="15" t="s">
        <v>4409</v>
      </c>
      <c r="C2557" s="15" t="s">
        <v>5997</v>
      </c>
      <c r="D2557" s="34" t="n">
        <f aca="false">Activities!M1028</f>
        <v>1</v>
      </c>
      <c r="E2557" s="15" t="s">
        <v>5998</v>
      </c>
    </row>
    <row r="2558" customFormat="false" ht="15" hidden="false" customHeight="false" outlineLevel="0" collapsed="false">
      <c r="A2558" s="15" t="s">
        <v>4407</v>
      </c>
      <c r="B2558" s="15" t="s">
        <v>4409</v>
      </c>
      <c r="C2558" s="15" t="s">
        <v>5999</v>
      </c>
      <c r="D2558" s="34" t="n">
        <f aca="false">Activities!N1028</f>
        <v>2</v>
      </c>
      <c r="E2558" s="15" t="s">
        <v>5998</v>
      </c>
    </row>
    <row r="2559" customFormat="false" ht="15" hidden="false" customHeight="false" outlineLevel="0" collapsed="false">
      <c r="A2559" s="15" t="s">
        <v>4410</v>
      </c>
      <c r="B2559" s="15" t="s">
        <v>4412</v>
      </c>
      <c r="C2559" s="15" t="s">
        <v>5995</v>
      </c>
      <c r="D2559" s="34" t="n">
        <v>0</v>
      </c>
      <c r="E2559" s="15" t="s">
        <v>5996</v>
      </c>
    </row>
    <row r="2560" customFormat="false" ht="15" hidden="false" customHeight="false" outlineLevel="0" collapsed="false">
      <c r="A2560" s="15" t="s">
        <v>4398</v>
      </c>
      <c r="B2560" s="15" t="s">
        <v>4412</v>
      </c>
      <c r="C2560" s="15" t="s">
        <v>5997</v>
      </c>
      <c r="D2560" s="34" t="n">
        <v>0</v>
      </c>
      <c r="E2560" s="15" t="s">
        <v>6002</v>
      </c>
    </row>
    <row r="2561" customFormat="false" ht="15" hidden="false" customHeight="false" outlineLevel="0" collapsed="false">
      <c r="A2561" s="15" t="s">
        <v>4412</v>
      </c>
      <c r="B2561" s="15" t="s">
        <v>4414</v>
      </c>
      <c r="C2561" s="15" t="s">
        <v>5997</v>
      </c>
      <c r="D2561" s="34" t="n">
        <f aca="false">Activities!M1031</f>
        <v>1</v>
      </c>
      <c r="E2561" s="15" t="s">
        <v>5998</v>
      </c>
    </row>
    <row r="2562" customFormat="false" ht="15" hidden="false" customHeight="false" outlineLevel="0" collapsed="false">
      <c r="A2562" s="15" t="s">
        <v>4412</v>
      </c>
      <c r="B2562" s="15" t="s">
        <v>4414</v>
      </c>
      <c r="C2562" s="15" t="s">
        <v>5999</v>
      </c>
      <c r="D2562" s="34" t="n">
        <f aca="false">Activities!N1031</f>
        <v>2</v>
      </c>
      <c r="E2562" s="15" t="s">
        <v>5998</v>
      </c>
    </row>
    <row r="2563" customFormat="false" ht="15" hidden="false" customHeight="false" outlineLevel="0" collapsed="false">
      <c r="A2563" s="15" t="s">
        <v>4398</v>
      </c>
      <c r="B2563" s="15" t="s">
        <v>4414</v>
      </c>
      <c r="C2563" s="15" t="s">
        <v>5995</v>
      </c>
      <c r="D2563" s="34" t="n">
        <v>0</v>
      </c>
      <c r="E2563" s="15" t="s">
        <v>6011</v>
      </c>
    </row>
    <row r="2564" customFormat="false" ht="15" hidden="false" customHeight="false" outlineLevel="0" collapsed="false">
      <c r="A2564" s="15" t="s">
        <v>4414</v>
      </c>
      <c r="B2564" s="15" t="s">
        <v>4415</v>
      </c>
      <c r="C2564" s="15" t="s">
        <v>5997</v>
      </c>
      <c r="D2564" s="34" t="n">
        <f aca="false">Activities!M1032</f>
        <v>3</v>
      </c>
      <c r="E2564" s="15" t="s">
        <v>5998</v>
      </c>
    </row>
    <row r="2565" customFormat="false" ht="15" hidden="false" customHeight="false" outlineLevel="0" collapsed="false">
      <c r="A2565" s="15" t="s">
        <v>4414</v>
      </c>
      <c r="B2565" s="15" t="s">
        <v>4415</v>
      </c>
      <c r="C2565" s="15" t="s">
        <v>5999</v>
      </c>
      <c r="D2565" s="34" t="n">
        <f aca="false">Activities!N1032</f>
        <v>0</v>
      </c>
      <c r="E2565" s="15" t="s">
        <v>5998</v>
      </c>
    </row>
    <row r="2566" customFormat="false" ht="15" hidden="false" customHeight="false" outlineLevel="0" collapsed="false">
      <c r="A2566" s="15" t="s">
        <v>4399</v>
      </c>
      <c r="B2566" s="15" t="s">
        <v>4415</v>
      </c>
      <c r="C2566" s="15" t="s">
        <v>5995</v>
      </c>
      <c r="D2566" s="34" t="n">
        <v>0</v>
      </c>
      <c r="E2566" s="15" t="s">
        <v>6011</v>
      </c>
    </row>
    <row r="2567" customFormat="false" ht="15" hidden="false" customHeight="false" outlineLevel="0" collapsed="false">
      <c r="A2567" s="15" t="s">
        <v>4415</v>
      </c>
      <c r="B2567" s="15" t="s">
        <v>4416</v>
      </c>
      <c r="C2567" s="15" t="s">
        <v>5997</v>
      </c>
      <c r="D2567" s="34" t="n">
        <f aca="false">Activities!M1033</f>
        <v>0</v>
      </c>
      <c r="E2567" s="15" t="s">
        <v>5998</v>
      </c>
    </row>
    <row r="2568" customFormat="false" ht="15" hidden="false" customHeight="false" outlineLevel="0" collapsed="false">
      <c r="A2568" s="15" t="s">
        <v>4415</v>
      </c>
      <c r="B2568" s="15" t="s">
        <v>4416</v>
      </c>
      <c r="C2568" s="15" t="s">
        <v>5999</v>
      </c>
      <c r="D2568" s="34" t="n">
        <f aca="false">Activities!N1033</f>
        <v>2</v>
      </c>
      <c r="E2568" s="15" t="s">
        <v>5998</v>
      </c>
    </row>
    <row r="2569" customFormat="false" ht="15" hidden="false" customHeight="false" outlineLevel="0" collapsed="false">
      <c r="A2569" s="15" t="s">
        <v>4402</v>
      </c>
      <c r="B2569" s="15" t="s">
        <v>4416</v>
      </c>
      <c r="C2569" s="15" t="s">
        <v>5995</v>
      </c>
      <c r="D2569" s="34" t="n">
        <f aca="false">-Activities!K1033</f>
        <v>-10</v>
      </c>
      <c r="E2569" s="15" t="s">
        <v>6004</v>
      </c>
    </row>
    <row r="2570" customFormat="false" ht="15" hidden="false" customHeight="false" outlineLevel="0" collapsed="false">
      <c r="A2570" s="15" t="s">
        <v>4416</v>
      </c>
      <c r="B2570" s="15" t="s">
        <v>4418</v>
      </c>
      <c r="C2570" s="15" t="s">
        <v>5997</v>
      </c>
      <c r="D2570" s="34" t="n">
        <f aca="false">Activities!M1034</f>
        <v>10</v>
      </c>
      <c r="E2570" s="15" t="s">
        <v>5998</v>
      </c>
    </row>
    <row r="2571" customFormat="false" ht="15" hidden="false" customHeight="false" outlineLevel="0" collapsed="false">
      <c r="A2571" s="15" t="s">
        <v>4416</v>
      </c>
      <c r="B2571" s="15" t="s">
        <v>4418</v>
      </c>
      <c r="C2571" s="15" t="s">
        <v>5999</v>
      </c>
      <c r="D2571" s="34" t="n">
        <f aca="false">Activities!N1034</f>
        <v>2</v>
      </c>
      <c r="E2571" s="15" t="s">
        <v>5998</v>
      </c>
    </row>
    <row r="2572" customFormat="false" ht="15" hidden="false" customHeight="false" outlineLevel="0" collapsed="false">
      <c r="A2572" s="15" t="s">
        <v>4402</v>
      </c>
      <c r="B2572" s="15" t="s">
        <v>4418</v>
      </c>
      <c r="C2572" s="15" t="s">
        <v>5995</v>
      </c>
      <c r="D2572" s="34" t="n">
        <v>0</v>
      </c>
      <c r="E2572" s="15" t="s">
        <v>6011</v>
      </c>
    </row>
    <row r="2573" customFormat="false" ht="15" hidden="false" customHeight="false" outlineLevel="0" collapsed="false">
      <c r="A2573" s="15" t="s">
        <v>4371</v>
      </c>
      <c r="B2573" s="15" t="s">
        <v>4418</v>
      </c>
      <c r="C2573" s="15" t="s">
        <v>5997</v>
      </c>
      <c r="D2573" s="34" t="n">
        <v>0</v>
      </c>
      <c r="E2573" s="15" t="s">
        <v>6006</v>
      </c>
    </row>
    <row r="2574" customFormat="false" ht="15" hidden="false" customHeight="false" outlineLevel="0" collapsed="false">
      <c r="A2574" s="15" t="s">
        <v>4418</v>
      </c>
      <c r="B2574" s="15" t="s">
        <v>4419</v>
      </c>
      <c r="C2574" s="15" t="s">
        <v>5997</v>
      </c>
      <c r="D2574" s="34" t="n">
        <f aca="false">Activities!M1035</f>
        <v>1</v>
      </c>
      <c r="E2574" s="15" t="s">
        <v>5998</v>
      </c>
    </row>
    <row r="2575" customFormat="false" ht="15" hidden="false" customHeight="false" outlineLevel="0" collapsed="false">
      <c r="A2575" s="15" t="s">
        <v>4418</v>
      </c>
      <c r="B2575" s="15" t="s">
        <v>4419</v>
      </c>
      <c r="C2575" s="15" t="s">
        <v>5999</v>
      </c>
      <c r="D2575" s="34" t="n">
        <f aca="false">Activities!N1035</f>
        <v>2</v>
      </c>
      <c r="E2575" s="15" t="s">
        <v>5998</v>
      </c>
    </row>
    <row r="2576" customFormat="false" ht="15" hidden="false" customHeight="false" outlineLevel="0" collapsed="false">
      <c r="A2576" s="15" t="s">
        <v>4404</v>
      </c>
      <c r="B2576" s="15" t="s">
        <v>4419</v>
      </c>
      <c r="C2576" s="15" t="s">
        <v>5995</v>
      </c>
      <c r="D2576" s="34" t="n">
        <v>0</v>
      </c>
      <c r="E2576" s="15" t="s">
        <v>6011</v>
      </c>
    </row>
    <row r="2577" customFormat="false" ht="15" hidden="false" customHeight="false" outlineLevel="0" collapsed="false">
      <c r="A2577" s="15" t="s">
        <v>4419</v>
      </c>
      <c r="B2577" s="15" t="s">
        <v>4420</v>
      </c>
      <c r="C2577" s="15" t="s">
        <v>5997</v>
      </c>
      <c r="D2577" s="34" t="n">
        <f aca="false">Activities!M1036</f>
        <v>3</v>
      </c>
      <c r="E2577" s="15" t="s">
        <v>5998</v>
      </c>
    </row>
    <row r="2578" customFormat="false" ht="15" hidden="false" customHeight="false" outlineLevel="0" collapsed="false">
      <c r="A2578" s="15" t="s">
        <v>4419</v>
      </c>
      <c r="B2578" s="15" t="s">
        <v>4420</v>
      </c>
      <c r="C2578" s="15" t="s">
        <v>5999</v>
      </c>
      <c r="D2578" s="34" t="n">
        <f aca="false">Activities!N1036</f>
        <v>2</v>
      </c>
      <c r="E2578" s="15" t="s">
        <v>5998</v>
      </c>
    </row>
    <row r="2579" customFormat="false" ht="15" hidden="false" customHeight="false" outlineLevel="0" collapsed="false">
      <c r="A2579" s="15" t="s">
        <v>4405</v>
      </c>
      <c r="B2579" s="15" t="s">
        <v>4420</v>
      </c>
      <c r="C2579" s="15" t="s">
        <v>5995</v>
      </c>
      <c r="D2579" s="34" t="n">
        <v>0</v>
      </c>
      <c r="E2579" s="15" t="s">
        <v>6011</v>
      </c>
    </row>
    <row r="2580" customFormat="false" ht="15" hidden="false" customHeight="false" outlineLevel="0" collapsed="false">
      <c r="A2580" s="15" t="s">
        <v>4420</v>
      </c>
      <c r="B2580" s="15" t="s">
        <v>4421</v>
      </c>
      <c r="C2580" s="15" t="s">
        <v>5997</v>
      </c>
      <c r="D2580" s="34" t="n">
        <f aca="false">Activities!M1037</f>
        <v>1</v>
      </c>
      <c r="E2580" s="15" t="s">
        <v>5998</v>
      </c>
    </row>
    <row r="2581" customFormat="false" ht="15" hidden="false" customHeight="false" outlineLevel="0" collapsed="false">
      <c r="A2581" s="15" t="s">
        <v>4420</v>
      </c>
      <c r="B2581" s="15" t="s">
        <v>4421</v>
      </c>
      <c r="C2581" s="15" t="s">
        <v>5999</v>
      </c>
      <c r="D2581" s="34" t="n">
        <f aca="false">Activities!N1037</f>
        <v>2</v>
      </c>
      <c r="E2581" s="15" t="s">
        <v>5998</v>
      </c>
    </row>
    <row r="2582" customFormat="false" ht="15" hidden="false" customHeight="false" outlineLevel="0" collapsed="false">
      <c r="A2582" s="15" t="s">
        <v>4421</v>
      </c>
      <c r="B2582" s="15" t="s">
        <v>4422</v>
      </c>
      <c r="C2582" s="15" t="s">
        <v>5997</v>
      </c>
      <c r="D2582" s="34" t="n">
        <f aca="false">Activities!M1038</f>
        <v>2</v>
      </c>
      <c r="E2582" s="15" t="s">
        <v>5998</v>
      </c>
    </row>
    <row r="2583" customFormat="false" ht="15" hidden="false" customHeight="false" outlineLevel="0" collapsed="false">
      <c r="A2583" s="15" t="s">
        <v>4421</v>
      </c>
      <c r="B2583" s="15" t="s">
        <v>4422</v>
      </c>
      <c r="C2583" s="15" t="s">
        <v>5999</v>
      </c>
      <c r="D2583" s="34" t="n">
        <f aca="false">Activities!N1038</f>
        <v>2</v>
      </c>
      <c r="E2583" s="15" t="s">
        <v>5998</v>
      </c>
    </row>
    <row r="2584" customFormat="false" ht="15" hidden="false" customHeight="false" outlineLevel="0" collapsed="false">
      <c r="A2584" s="15" t="s">
        <v>4407</v>
      </c>
      <c r="B2584" s="15" t="s">
        <v>4422</v>
      </c>
      <c r="C2584" s="15" t="s">
        <v>5995</v>
      </c>
      <c r="D2584" s="34" t="n">
        <v>0</v>
      </c>
      <c r="E2584" s="15" t="s">
        <v>6011</v>
      </c>
    </row>
    <row r="2585" customFormat="false" ht="15" hidden="false" customHeight="false" outlineLevel="0" collapsed="false">
      <c r="A2585" s="15" t="s">
        <v>4373</v>
      </c>
      <c r="B2585" s="15" t="s">
        <v>4422</v>
      </c>
      <c r="C2585" s="15" t="s">
        <v>5995</v>
      </c>
      <c r="D2585" s="34" t="n">
        <v>0</v>
      </c>
      <c r="E2585" s="15" t="s">
        <v>6005</v>
      </c>
    </row>
    <row r="2586" customFormat="false" ht="15" hidden="false" customHeight="false" outlineLevel="0" collapsed="false">
      <c r="A2586" s="15" t="s">
        <v>4422</v>
      </c>
      <c r="B2586" s="15" t="s">
        <v>4423</v>
      </c>
      <c r="C2586" s="15" t="s">
        <v>5997</v>
      </c>
      <c r="D2586" s="34" t="n">
        <f aca="false">Activities!M1039</f>
        <v>1</v>
      </c>
      <c r="E2586" s="15" t="s">
        <v>5998</v>
      </c>
    </row>
    <row r="2587" customFormat="false" ht="15" hidden="false" customHeight="false" outlineLevel="0" collapsed="false">
      <c r="A2587" s="15" t="s">
        <v>4422</v>
      </c>
      <c r="B2587" s="15" t="s">
        <v>4423</v>
      </c>
      <c r="C2587" s="15" t="s">
        <v>5999</v>
      </c>
      <c r="D2587" s="34" t="n">
        <f aca="false">Activities!N1039</f>
        <v>2</v>
      </c>
      <c r="E2587" s="15" t="s">
        <v>5998</v>
      </c>
    </row>
    <row r="2588" customFormat="false" ht="15" hidden="false" customHeight="false" outlineLevel="0" collapsed="false">
      <c r="A2588" s="15" t="s">
        <v>4424</v>
      </c>
      <c r="B2588" s="15" t="s">
        <v>4426</v>
      </c>
      <c r="C2588" s="15" t="s">
        <v>5995</v>
      </c>
      <c r="D2588" s="34" t="n">
        <v>0</v>
      </c>
      <c r="E2588" s="15" t="s">
        <v>5996</v>
      </c>
    </row>
    <row r="2589" customFormat="false" ht="15" hidden="false" customHeight="false" outlineLevel="0" collapsed="false">
      <c r="A2589" s="15" t="s">
        <v>4414</v>
      </c>
      <c r="B2589" s="15" t="s">
        <v>4426</v>
      </c>
      <c r="C2589" s="15" t="s">
        <v>5997</v>
      </c>
      <c r="D2589" s="34" t="n">
        <v>0</v>
      </c>
      <c r="E2589" s="15" t="s">
        <v>6002</v>
      </c>
    </row>
    <row r="2590" customFormat="false" ht="15" hidden="false" customHeight="false" outlineLevel="0" collapsed="false">
      <c r="A2590" s="15" t="s">
        <v>4426</v>
      </c>
      <c r="B2590" s="15" t="s">
        <v>4428</v>
      </c>
      <c r="C2590" s="15" t="s">
        <v>5997</v>
      </c>
      <c r="D2590" s="34" t="n">
        <f aca="false">Activities!M1042</f>
        <v>1</v>
      </c>
      <c r="E2590" s="15" t="s">
        <v>5998</v>
      </c>
    </row>
    <row r="2591" customFormat="false" ht="15" hidden="false" customHeight="false" outlineLevel="0" collapsed="false">
      <c r="A2591" s="15" t="s">
        <v>4426</v>
      </c>
      <c r="B2591" s="15" t="s">
        <v>4428</v>
      </c>
      <c r="C2591" s="15" t="s">
        <v>5999</v>
      </c>
      <c r="D2591" s="34" t="n">
        <f aca="false">Activities!N1042</f>
        <v>2</v>
      </c>
      <c r="E2591" s="15" t="s">
        <v>5998</v>
      </c>
    </row>
    <row r="2592" customFormat="false" ht="15" hidden="false" customHeight="false" outlineLevel="0" collapsed="false">
      <c r="A2592" s="15" t="s">
        <v>4414</v>
      </c>
      <c r="B2592" s="15" t="s">
        <v>4428</v>
      </c>
      <c r="C2592" s="15" t="s">
        <v>5995</v>
      </c>
      <c r="D2592" s="34" t="n">
        <v>0</v>
      </c>
      <c r="E2592" s="15" t="s">
        <v>6011</v>
      </c>
    </row>
    <row r="2593" customFormat="false" ht="15" hidden="false" customHeight="false" outlineLevel="0" collapsed="false">
      <c r="A2593" s="15" t="s">
        <v>4428</v>
      </c>
      <c r="B2593" s="15" t="s">
        <v>4429</v>
      </c>
      <c r="C2593" s="15" t="s">
        <v>5997</v>
      </c>
      <c r="D2593" s="34" t="n">
        <f aca="false">Activities!M1043</f>
        <v>2</v>
      </c>
      <c r="E2593" s="15" t="s">
        <v>5998</v>
      </c>
    </row>
    <row r="2594" customFormat="false" ht="15" hidden="false" customHeight="false" outlineLevel="0" collapsed="false">
      <c r="A2594" s="15" t="s">
        <v>4428</v>
      </c>
      <c r="B2594" s="15" t="s">
        <v>4429</v>
      </c>
      <c r="C2594" s="15" t="s">
        <v>5999</v>
      </c>
      <c r="D2594" s="34" t="n">
        <f aca="false">Activities!N1043</f>
        <v>0</v>
      </c>
      <c r="E2594" s="15" t="s">
        <v>5998</v>
      </c>
    </row>
    <row r="2595" customFormat="false" ht="15" hidden="false" customHeight="false" outlineLevel="0" collapsed="false">
      <c r="A2595" s="15" t="s">
        <v>4415</v>
      </c>
      <c r="B2595" s="15" t="s">
        <v>4429</v>
      </c>
      <c r="C2595" s="15" t="s">
        <v>5995</v>
      </c>
      <c r="D2595" s="34" t="n">
        <v>0</v>
      </c>
      <c r="E2595" s="15" t="s">
        <v>6011</v>
      </c>
    </row>
    <row r="2596" customFormat="false" ht="15" hidden="false" customHeight="false" outlineLevel="0" collapsed="false">
      <c r="A2596" s="15" t="s">
        <v>4429</v>
      </c>
      <c r="B2596" s="15" t="s">
        <v>4430</v>
      </c>
      <c r="C2596" s="15" t="s">
        <v>5997</v>
      </c>
      <c r="D2596" s="34" t="n">
        <f aca="false">Activities!M1044</f>
        <v>0</v>
      </c>
      <c r="E2596" s="15" t="s">
        <v>5998</v>
      </c>
    </row>
    <row r="2597" customFormat="false" ht="15" hidden="false" customHeight="false" outlineLevel="0" collapsed="false">
      <c r="A2597" s="15" t="s">
        <v>4429</v>
      </c>
      <c r="B2597" s="15" t="s">
        <v>4430</v>
      </c>
      <c r="C2597" s="15" t="s">
        <v>5999</v>
      </c>
      <c r="D2597" s="34" t="n">
        <f aca="false">Activities!N1044</f>
        <v>2</v>
      </c>
      <c r="E2597" s="15" t="s">
        <v>5998</v>
      </c>
    </row>
    <row r="2598" customFormat="false" ht="15" hidden="false" customHeight="false" outlineLevel="0" collapsed="false">
      <c r="A2598" s="15" t="s">
        <v>4418</v>
      </c>
      <c r="B2598" s="15" t="s">
        <v>4430</v>
      </c>
      <c r="C2598" s="15" t="s">
        <v>5995</v>
      </c>
      <c r="D2598" s="34" t="n">
        <f aca="false">-Activities!K1044</f>
        <v>-10</v>
      </c>
      <c r="E2598" s="15" t="s">
        <v>6004</v>
      </c>
    </row>
    <row r="2599" customFormat="false" ht="15" hidden="false" customHeight="false" outlineLevel="0" collapsed="false">
      <c r="A2599" s="15" t="s">
        <v>4430</v>
      </c>
      <c r="B2599" s="15" t="s">
        <v>4432</v>
      </c>
      <c r="C2599" s="15" t="s">
        <v>5997</v>
      </c>
      <c r="D2599" s="34" t="n">
        <f aca="false">Activities!M1045</f>
        <v>10</v>
      </c>
      <c r="E2599" s="15" t="s">
        <v>5998</v>
      </c>
    </row>
    <row r="2600" customFormat="false" ht="15" hidden="false" customHeight="false" outlineLevel="0" collapsed="false">
      <c r="A2600" s="15" t="s">
        <v>4430</v>
      </c>
      <c r="B2600" s="15" t="s">
        <v>4432</v>
      </c>
      <c r="C2600" s="15" t="s">
        <v>5999</v>
      </c>
      <c r="D2600" s="34" t="n">
        <f aca="false">Activities!N1045</f>
        <v>2</v>
      </c>
      <c r="E2600" s="15" t="s">
        <v>5998</v>
      </c>
    </row>
    <row r="2601" customFormat="false" ht="15" hidden="false" customHeight="false" outlineLevel="0" collapsed="false">
      <c r="A2601" s="15" t="s">
        <v>4418</v>
      </c>
      <c r="B2601" s="15" t="s">
        <v>4432</v>
      </c>
      <c r="C2601" s="15" t="s">
        <v>5995</v>
      </c>
      <c r="D2601" s="34" t="n">
        <v>0</v>
      </c>
      <c r="E2601" s="15" t="s">
        <v>6011</v>
      </c>
    </row>
    <row r="2602" customFormat="false" ht="15" hidden="false" customHeight="false" outlineLevel="0" collapsed="false">
      <c r="A2602" s="15" t="s">
        <v>3349</v>
      </c>
      <c r="B2602" s="15" t="s">
        <v>4432</v>
      </c>
      <c r="C2602" s="15" t="s">
        <v>5995</v>
      </c>
      <c r="D2602" s="34" t="n">
        <v>0</v>
      </c>
      <c r="E2602" s="15" t="s">
        <v>6008</v>
      </c>
    </row>
    <row r="2603" customFormat="false" ht="15" hidden="false" customHeight="false" outlineLevel="0" collapsed="false">
      <c r="A2603" s="15" t="s">
        <v>4432</v>
      </c>
      <c r="B2603" s="15" t="s">
        <v>4434</v>
      </c>
      <c r="C2603" s="15" t="s">
        <v>5997</v>
      </c>
      <c r="D2603" s="34" t="n">
        <f aca="false">Activities!M1046</f>
        <v>1</v>
      </c>
      <c r="E2603" s="15" t="s">
        <v>5998</v>
      </c>
    </row>
    <row r="2604" customFormat="false" ht="15" hidden="false" customHeight="false" outlineLevel="0" collapsed="false">
      <c r="A2604" s="15" t="s">
        <v>4432</v>
      </c>
      <c r="B2604" s="15" t="s">
        <v>4434</v>
      </c>
      <c r="C2604" s="15" t="s">
        <v>5999</v>
      </c>
      <c r="D2604" s="34" t="n">
        <f aca="false">Activities!N1046</f>
        <v>2</v>
      </c>
      <c r="E2604" s="15" t="s">
        <v>5998</v>
      </c>
    </row>
    <row r="2605" customFormat="false" ht="15" hidden="false" customHeight="false" outlineLevel="0" collapsed="false">
      <c r="A2605" s="15" t="s">
        <v>4419</v>
      </c>
      <c r="B2605" s="15" t="s">
        <v>4434</v>
      </c>
      <c r="C2605" s="15" t="s">
        <v>5995</v>
      </c>
      <c r="D2605" s="34" t="n">
        <v>0</v>
      </c>
      <c r="E2605" s="15" t="s">
        <v>6011</v>
      </c>
    </row>
    <row r="2606" customFormat="false" ht="15" hidden="false" customHeight="false" outlineLevel="0" collapsed="false">
      <c r="A2606" s="15" t="s">
        <v>4434</v>
      </c>
      <c r="B2606" s="15" t="s">
        <v>4435</v>
      </c>
      <c r="C2606" s="15" t="s">
        <v>5997</v>
      </c>
      <c r="D2606" s="34" t="n">
        <f aca="false">Activities!M1047</f>
        <v>2</v>
      </c>
      <c r="E2606" s="15" t="s">
        <v>5998</v>
      </c>
    </row>
    <row r="2607" customFormat="false" ht="15" hidden="false" customHeight="false" outlineLevel="0" collapsed="false">
      <c r="A2607" s="15" t="s">
        <v>4434</v>
      </c>
      <c r="B2607" s="15" t="s">
        <v>4435</v>
      </c>
      <c r="C2607" s="15" t="s">
        <v>5999</v>
      </c>
      <c r="D2607" s="34" t="n">
        <f aca="false">Activities!N1047</f>
        <v>2</v>
      </c>
      <c r="E2607" s="15" t="s">
        <v>5998</v>
      </c>
    </row>
    <row r="2608" customFormat="false" ht="15" hidden="false" customHeight="false" outlineLevel="0" collapsed="false">
      <c r="A2608" s="15" t="s">
        <v>4420</v>
      </c>
      <c r="B2608" s="15" t="s">
        <v>4435</v>
      </c>
      <c r="C2608" s="15" t="s">
        <v>5995</v>
      </c>
      <c r="D2608" s="34" t="n">
        <v>0</v>
      </c>
      <c r="E2608" s="15" t="s">
        <v>6011</v>
      </c>
    </row>
    <row r="2609" customFormat="false" ht="15" hidden="false" customHeight="false" outlineLevel="0" collapsed="false">
      <c r="A2609" s="15" t="s">
        <v>4435</v>
      </c>
      <c r="B2609" s="15" t="s">
        <v>4436</v>
      </c>
      <c r="C2609" s="15" t="s">
        <v>5997</v>
      </c>
      <c r="D2609" s="34" t="n">
        <f aca="false">Activities!M1048</f>
        <v>1</v>
      </c>
      <c r="E2609" s="15" t="s">
        <v>5998</v>
      </c>
    </row>
    <row r="2610" customFormat="false" ht="15" hidden="false" customHeight="false" outlineLevel="0" collapsed="false">
      <c r="A2610" s="15" t="s">
        <v>4435</v>
      </c>
      <c r="B2610" s="15" t="s">
        <v>4436</v>
      </c>
      <c r="C2610" s="15" t="s">
        <v>5999</v>
      </c>
      <c r="D2610" s="34" t="n">
        <f aca="false">Activities!N1048</f>
        <v>2</v>
      </c>
      <c r="E2610" s="15" t="s">
        <v>5998</v>
      </c>
    </row>
    <row r="2611" customFormat="false" ht="15" hidden="false" customHeight="false" outlineLevel="0" collapsed="false">
      <c r="A2611" s="15" t="s">
        <v>4436</v>
      </c>
      <c r="B2611" s="15" t="s">
        <v>4437</v>
      </c>
      <c r="C2611" s="15" t="s">
        <v>5997</v>
      </c>
      <c r="D2611" s="34" t="n">
        <f aca="false">Activities!M1049</f>
        <v>2</v>
      </c>
      <c r="E2611" s="15" t="s">
        <v>5998</v>
      </c>
    </row>
    <row r="2612" customFormat="false" ht="15" hidden="false" customHeight="false" outlineLevel="0" collapsed="false">
      <c r="A2612" s="15" t="s">
        <v>4436</v>
      </c>
      <c r="B2612" s="15" t="s">
        <v>4437</v>
      </c>
      <c r="C2612" s="15" t="s">
        <v>5999</v>
      </c>
      <c r="D2612" s="34" t="n">
        <f aca="false">Activities!N1049</f>
        <v>2</v>
      </c>
      <c r="E2612" s="15" t="s">
        <v>5998</v>
      </c>
    </row>
    <row r="2613" customFormat="false" ht="15" hidden="false" customHeight="false" outlineLevel="0" collapsed="false">
      <c r="A2613" s="15" t="s">
        <v>4422</v>
      </c>
      <c r="B2613" s="15" t="s">
        <v>4437</v>
      </c>
      <c r="C2613" s="15" t="s">
        <v>5995</v>
      </c>
      <c r="D2613" s="34" t="n">
        <v>0</v>
      </c>
      <c r="E2613" s="15" t="s">
        <v>6011</v>
      </c>
    </row>
    <row r="2614" customFormat="false" ht="15" hidden="false" customHeight="false" outlineLevel="0" collapsed="false">
      <c r="A2614" s="15" t="s">
        <v>4437</v>
      </c>
      <c r="B2614" s="15" t="s">
        <v>4438</v>
      </c>
      <c r="C2614" s="15" t="s">
        <v>5997</v>
      </c>
      <c r="D2614" s="34" t="n">
        <f aca="false">Activities!M1050</f>
        <v>1</v>
      </c>
      <c r="E2614" s="15" t="s">
        <v>5998</v>
      </c>
    </row>
    <row r="2615" customFormat="false" ht="15" hidden="false" customHeight="false" outlineLevel="0" collapsed="false">
      <c r="A2615" s="15" t="s">
        <v>4437</v>
      </c>
      <c r="B2615" s="15" t="s">
        <v>4438</v>
      </c>
      <c r="C2615" s="15" t="s">
        <v>5999</v>
      </c>
      <c r="D2615" s="34" t="n">
        <f aca="false">Activities!N1050</f>
        <v>2</v>
      </c>
      <c r="E2615" s="15" t="s">
        <v>5998</v>
      </c>
    </row>
    <row r="2616" customFormat="false" ht="15" hidden="false" customHeight="false" outlineLevel="0" collapsed="false">
      <c r="A2616" s="15" t="s">
        <v>4439</v>
      </c>
      <c r="B2616" s="15" t="s">
        <v>4441</v>
      </c>
      <c r="C2616" s="15" t="s">
        <v>5995</v>
      </c>
      <c r="D2616" s="34" t="n">
        <v>0</v>
      </c>
      <c r="E2616" s="15" t="s">
        <v>5996</v>
      </c>
    </row>
    <row r="2617" customFormat="false" ht="15" hidden="false" customHeight="false" outlineLevel="0" collapsed="false">
      <c r="A2617" s="15" t="s">
        <v>4428</v>
      </c>
      <c r="B2617" s="15" t="s">
        <v>4441</v>
      </c>
      <c r="C2617" s="15" t="s">
        <v>5997</v>
      </c>
      <c r="D2617" s="34" t="n">
        <v>0</v>
      </c>
      <c r="E2617" s="15" t="s">
        <v>6002</v>
      </c>
    </row>
    <row r="2618" customFormat="false" ht="15" hidden="false" customHeight="false" outlineLevel="0" collapsed="false">
      <c r="A2618" s="15" t="s">
        <v>4441</v>
      </c>
      <c r="B2618" s="15" t="s">
        <v>4443</v>
      </c>
      <c r="C2618" s="15" t="s">
        <v>5997</v>
      </c>
      <c r="D2618" s="34" t="n">
        <f aca="false">Activities!M1053</f>
        <v>1</v>
      </c>
      <c r="E2618" s="15" t="s">
        <v>5998</v>
      </c>
    </row>
    <row r="2619" customFormat="false" ht="15" hidden="false" customHeight="false" outlineLevel="0" collapsed="false">
      <c r="A2619" s="15" t="s">
        <v>4441</v>
      </c>
      <c r="B2619" s="15" t="s">
        <v>4443</v>
      </c>
      <c r="C2619" s="15" t="s">
        <v>5999</v>
      </c>
      <c r="D2619" s="34" t="n">
        <f aca="false">Activities!N1053</f>
        <v>2</v>
      </c>
      <c r="E2619" s="15" t="s">
        <v>5998</v>
      </c>
    </row>
    <row r="2620" customFormat="false" ht="15" hidden="false" customHeight="false" outlineLevel="0" collapsed="false">
      <c r="A2620" s="15" t="s">
        <v>4428</v>
      </c>
      <c r="B2620" s="15" t="s">
        <v>4443</v>
      </c>
      <c r="C2620" s="15" t="s">
        <v>5995</v>
      </c>
      <c r="D2620" s="34" t="n">
        <v>0</v>
      </c>
      <c r="E2620" s="15" t="s">
        <v>6011</v>
      </c>
    </row>
    <row r="2621" customFormat="false" ht="15" hidden="false" customHeight="false" outlineLevel="0" collapsed="false">
      <c r="A2621" s="15" t="s">
        <v>4443</v>
      </c>
      <c r="B2621" s="15" t="s">
        <v>4444</v>
      </c>
      <c r="C2621" s="15" t="s">
        <v>5997</v>
      </c>
      <c r="D2621" s="34" t="n">
        <f aca="false">Activities!M1054</f>
        <v>4</v>
      </c>
      <c r="E2621" s="15" t="s">
        <v>5998</v>
      </c>
    </row>
    <row r="2622" customFormat="false" ht="15" hidden="false" customHeight="false" outlineLevel="0" collapsed="false">
      <c r="A2622" s="15" t="s">
        <v>4443</v>
      </c>
      <c r="B2622" s="15" t="s">
        <v>4444</v>
      </c>
      <c r="C2622" s="15" t="s">
        <v>5999</v>
      </c>
      <c r="D2622" s="34" t="n">
        <f aca="false">Activities!N1054</f>
        <v>2</v>
      </c>
      <c r="E2622" s="15" t="s">
        <v>5998</v>
      </c>
    </row>
    <row r="2623" customFormat="false" ht="15" hidden="false" customHeight="false" outlineLevel="0" collapsed="false">
      <c r="A2623" s="15" t="s">
        <v>4429</v>
      </c>
      <c r="B2623" s="15" t="s">
        <v>4444</v>
      </c>
      <c r="C2623" s="15" t="s">
        <v>5995</v>
      </c>
      <c r="D2623" s="34" t="n">
        <v>0</v>
      </c>
      <c r="E2623" s="15" t="s">
        <v>6011</v>
      </c>
    </row>
    <row r="2624" customFormat="false" ht="15" hidden="false" customHeight="false" outlineLevel="0" collapsed="false">
      <c r="A2624" s="15" t="s">
        <v>4444</v>
      </c>
      <c r="B2624" s="15" t="s">
        <v>4445</v>
      </c>
      <c r="C2624" s="15" t="s">
        <v>5997</v>
      </c>
      <c r="D2624" s="34" t="n">
        <f aca="false">Activities!M1055</f>
        <v>2</v>
      </c>
      <c r="E2624" s="15" t="s">
        <v>5998</v>
      </c>
    </row>
    <row r="2625" customFormat="false" ht="15" hidden="false" customHeight="false" outlineLevel="0" collapsed="false">
      <c r="A2625" s="15" t="s">
        <v>4444</v>
      </c>
      <c r="B2625" s="15" t="s">
        <v>4445</v>
      </c>
      <c r="C2625" s="15" t="s">
        <v>5999</v>
      </c>
      <c r="D2625" s="34" t="n">
        <f aca="false">Activities!N1055</f>
        <v>2</v>
      </c>
      <c r="E2625" s="15" t="s">
        <v>5998</v>
      </c>
    </row>
    <row r="2626" customFormat="false" ht="15" hidden="false" customHeight="false" outlineLevel="0" collapsed="false">
      <c r="A2626" s="15" t="s">
        <v>4432</v>
      </c>
      <c r="B2626" s="15" t="s">
        <v>4445</v>
      </c>
      <c r="C2626" s="15" t="s">
        <v>5995</v>
      </c>
      <c r="D2626" s="34" t="n">
        <f aca="false">-Activities!K1055</f>
        <v>-11</v>
      </c>
      <c r="E2626" s="15" t="s">
        <v>6004</v>
      </c>
    </row>
    <row r="2627" customFormat="false" ht="15" hidden="false" customHeight="false" outlineLevel="0" collapsed="false">
      <c r="A2627" s="15" t="s">
        <v>4445</v>
      </c>
      <c r="B2627" s="15" t="s">
        <v>4447</v>
      </c>
      <c r="C2627" s="15" t="s">
        <v>5997</v>
      </c>
      <c r="D2627" s="34" t="n">
        <f aca="false">Activities!M1056</f>
        <v>10</v>
      </c>
      <c r="E2627" s="15" t="s">
        <v>5998</v>
      </c>
    </row>
    <row r="2628" customFormat="false" ht="15" hidden="false" customHeight="false" outlineLevel="0" collapsed="false">
      <c r="A2628" s="15" t="s">
        <v>4445</v>
      </c>
      <c r="B2628" s="15" t="s">
        <v>4447</v>
      </c>
      <c r="C2628" s="15" t="s">
        <v>5999</v>
      </c>
      <c r="D2628" s="34" t="n">
        <f aca="false">Activities!N1056</f>
        <v>2</v>
      </c>
      <c r="E2628" s="15" t="s">
        <v>5998</v>
      </c>
    </row>
    <row r="2629" customFormat="false" ht="15" hidden="false" customHeight="false" outlineLevel="0" collapsed="false">
      <c r="A2629" s="15" t="s">
        <v>4432</v>
      </c>
      <c r="B2629" s="15" t="s">
        <v>4447</v>
      </c>
      <c r="C2629" s="15" t="s">
        <v>5995</v>
      </c>
      <c r="D2629" s="34" t="n">
        <v>0</v>
      </c>
      <c r="E2629" s="15" t="s">
        <v>6011</v>
      </c>
    </row>
    <row r="2630" customFormat="false" ht="15" hidden="false" customHeight="false" outlineLevel="0" collapsed="false">
      <c r="A2630" s="15" t="s">
        <v>3365</v>
      </c>
      <c r="B2630" s="15" t="s">
        <v>4447</v>
      </c>
      <c r="C2630" s="15" t="s">
        <v>5995</v>
      </c>
      <c r="D2630" s="34" t="n">
        <v>0</v>
      </c>
      <c r="E2630" s="15" t="s">
        <v>6008</v>
      </c>
    </row>
    <row r="2631" customFormat="false" ht="15" hidden="false" customHeight="false" outlineLevel="0" collapsed="false">
      <c r="A2631" s="15" t="s">
        <v>3318</v>
      </c>
      <c r="B2631" s="15" t="s">
        <v>4447</v>
      </c>
      <c r="C2631" s="15" t="s">
        <v>5995</v>
      </c>
      <c r="D2631" s="34" t="n">
        <v>0</v>
      </c>
      <c r="E2631" s="15" t="s">
        <v>6008</v>
      </c>
    </row>
    <row r="2632" customFormat="false" ht="15" hidden="false" customHeight="false" outlineLevel="0" collapsed="false">
      <c r="A2632" s="15" t="s">
        <v>4447</v>
      </c>
      <c r="B2632" s="15" t="s">
        <v>4449</v>
      </c>
      <c r="C2632" s="15" t="s">
        <v>5997</v>
      </c>
      <c r="D2632" s="34" t="n">
        <f aca="false">Activities!M1057</f>
        <v>2</v>
      </c>
      <c r="E2632" s="15" t="s">
        <v>5998</v>
      </c>
    </row>
    <row r="2633" customFormat="false" ht="15" hidden="false" customHeight="false" outlineLevel="0" collapsed="false">
      <c r="A2633" s="15" t="s">
        <v>4447</v>
      </c>
      <c r="B2633" s="15" t="s">
        <v>4449</v>
      </c>
      <c r="C2633" s="15" t="s">
        <v>5999</v>
      </c>
      <c r="D2633" s="34" t="n">
        <f aca="false">Activities!N1057</f>
        <v>2</v>
      </c>
      <c r="E2633" s="15" t="s">
        <v>5998</v>
      </c>
    </row>
    <row r="2634" customFormat="false" ht="15" hidden="false" customHeight="false" outlineLevel="0" collapsed="false">
      <c r="A2634" s="15" t="s">
        <v>4434</v>
      </c>
      <c r="B2634" s="15" t="s">
        <v>4449</v>
      </c>
      <c r="C2634" s="15" t="s">
        <v>5995</v>
      </c>
      <c r="D2634" s="34" t="n">
        <v>0</v>
      </c>
      <c r="E2634" s="15" t="s">
        <v>6011</v>
      </c>
    </row>
    <row r="2635" customFormat="false" ht="15" hidden="false" customHeight="false" outlineLevel="0" collapsed="false">
      <c r="A2635" s="15" t="s">
        <v>4449</v>
      </c>
      <c r="B2635" s="15" t="s">
        <v>4450</v>
      </c>
      <c r="C2635" s="15" t="s">
        <v>5997</v>
      </c>
      <c r="D2635" s="34" t="n">
        <f aca="false">Activities!M1058</f>
        <v>4</v>
      </c>
      <c r="E2635" s="15" t="s">
        <v>5998</v>
      </c>
    </row>
    <row r="2636" customFormat="false" ht="15" hidden="false" customHeight="false" outlineLevel="0" collapsed="false">
      <c r="A2636" s="15" t="s">
        <v>4449</v>
      </c>
      <c r="B2636" s="15" t="s">
        <v>4450</v>
      </c>
      <c r="C2636" s="15" t="s">
        <v>5999</v>
      </c>
      <c r="D2636" s="34" t="n">
        <f aca="false">Activities!N1058</f>
        <v>2</v>
      </c>
      <c r="E2636" s="15" t="s">
        <v>5998</v>
      </c>
    </row>
    <row r="2637" customFormat="false" ht="15" hidden="false" customHeight="false" outlineLevel="0" collapsed="false">
      <c r="A2637" s="15" t="s">
        <v>4435</v>
      </c>
      <c r="B2637" s="15" t="s">
        <v>4450</v>
      </c>
      <c r="C2637" s="15" t="s">
        <v>5995</v>
      </c>
      <c r="D2637" s="34" t="n">
        <v>0</v>
      </c>
      <c r="E2637" s="15" t="s">
        <v>6011</v>
      </c>
    </row>
    <row r="2638" customFormat="false" ht="15" hidden="false" customHeight="false" outlineLevel="0" collapsed="false">
      <c r="A2638" s="15" t="s">
        <v>4450</v>
      </c>
      <c r="B2638" s="15" t="s">
        <v>4451</v>
      </c>
      <c r="C2638" s="15" t="s">
        <v>5997</v>
      </c>
      <c r="D2638" s="34" t="n">
        <f aca="false">Activities!M1059</f>
        <v>2</v>
      </c>
      <c r="E2638" s="15" t="s">
        <v>5998</v>
      </c>
    </row>
    <row r="2639" customFormat="false" ht="15" hidden="false" customHeight="false" outlineLevel="0" collapsed="false">
      <c r="A2639" s="15" t="s">
        <v>4450</v>
      </c>
      <c r="B2639" s="15" t="s">
        <v>4451</v>
      </c>
      <c r="C2639" s="15" t="s">
        <v>5999</v>
      </c>
      <c r="D2639" s="34" t="n">
        <f aca="false">Activities!N1059</f>
        <v>2</v>
      </c>
      <c r="E2639" s="15" t="s">
        <v>5998</v>
      </c>
    </row>
    <row r="2640" customFormat="false" ht="15" hidden="false" customHeight="false" outlineLevel="0" collapsed="false">
      <c r="A2640" s="15" t="s">
        <v>4451</v>
      </c>
      <c r="B2640" s="15" t="s">
        <v>4452</v>
      </c>
      <c r="C2640" s="15" t="s">
        <v>5997</v>
      </c>
      <c r="D2640" s="34" t="n">
        <f aca="false">Activities!M1060</f>
        <v>2</v>
      </c>
      <c r="E2640" s="15" t="s">
        <v>5998</v>
      </c>
    </row>
    <row r="2641" customFormat="false" ht="15" hidden="false" customHeight="false" outlineLevel="0" collapsed="false">
      <c r="A2641" s="15" t="s">
        <v>4451</v>
      </c>
      <c r="B2641" s="15" t="s">
        <v>4452</v>
      </c>
      <c r="C2641" s="15" t="s">
        <v>5999</v>
      </c>
      <c r="D2641" s="34" t="n">
        <f aca="false">Activities!N1060</f>
        <v>2</v>
      </c>
      <c r="E2641" s="15" t="s">
        <v>5998</v>
      </c>
    </row>
    <row r="2642" customFormat="false" ht="15" hidden="false" customHeight="false" outlineLevel="0" collapsed="false">
      <c r="A2642" s="15" t="s">
        <v>4437</v>
      </c>
      <c r="B2642" s="15" t="s">
        <v>4452</v>
      </c>
      <c r="C2642" s="15" t="s">
        <v>5995</v>
      </c>
      <c r="D2642" s="34" t="n">
        <v>0</v>
      </c>
      <c r="E2642" s="15" t="s">
        <v>6011</v>
      </c>
    </row>
    <row r="2643" customFormat="false" ht="15" hidden="false" customHeight="false" outlineLevel="0" collapsed="false">
      <c r="A2643" s="15" t="s">
        <v>4452</v>
      </c>
      <c r="B2643" s="15" t="s">
        <v>4453</v>
      </c>
      <c r="C2643" s="15" t="s">
        <v>5997</v>
      </c>
      <c r="D2643" s="34" t="n">
        <f aca="false">Activities!M1061</f>
        <v>2</v>
      </c>
      <c r="E2643" s="15" t="s">
        <v>5998</v>
      </c>
    </row>
    <row r="2644" customFormat="false" ht="15" hidden="false" customHeight="false" outlineLevel="0" collapsed="false">
      <c r="A2644" s="15" t="s">
        <v>4452</v>
      </c>
      <c r="B2644" s="15" t="s">
        <v>4453</v>
      </c>
      <c r="C2644" s="15" t="s">
        <v>5999</v>
      </c>
      <c r="D2644" s="34" t="n">
        <f aca="false">Activities!N1061</f>
        <v>2</v>
      </c>
      <c r="E2644" s="15" t="s">
        <v>5998</v>
      </c>
    </row>
    <row r="2645" customFormat="false" ht="15" hidden="false" customHeight="false" outlineLevel="0" collapsed="false">
      <c r="A2645" s="15" t="s">
        <v>4454</v>
      </c>
      <c r="B2645" s="15" t="s">
        <v>4456</v>
      </c>
      <c r="C2645" s="15" t="s">
        <v>5995</v>
      </c>
      <c r="D2645" s="34" t="n">
        <v>0</v>
      </c>
      <c r="E2645" s="15" t="s">
        <v>5996</v>
      </c>
    </row>
    <row r="2646" customFormat="false" ht="15" hidden="false" customHeight="false" outlineLevel="0" collapsed="false">
      <c r="A2646" s="15" t="s">
        <v>4443</v>
      </c>
      <c r="B2646" s="15" t="s">
        <v>4456</v>
      </c>
      <c r="C2646" s="15" t="s">
        <v>5997</v>
      </c>
      <c r="D2646" s="34" t="n">
        <v>0</v>
      </c>
      <c r="E2646" s="15" t="s">
        <v>6002</v>
      </c>
    </row>
    <row r="2647" customFormat="false" ht="15" hidden="false" customHeight="false" outlineLevel="0" collapsed="false">
      <c r="A2647" s="15" t="s">
        <v>4456</v>
      </c>
      <c r="B2647" s="15" t="s">
        <v>4458</v>
      </c>
      <c r="C2647" s="15" t="s">
        <v>5997</v>
      </c>
      <c r="D2647" s="34" t="n">
        <f aca="false">Activities!M1064</f>
        <v>1</v>
      </c>
      <c r="E2647" s="15" t="s">
        <v>5998</v>
      </c>
    </row>
    <row r="2648" customFormat="false" ht="15" hidden="false" customHeight="false" outlineLevel="0" collapsed="false">
      <c r="A2648" s="15" t="s">
        <v>4456</v>
      </c>
      <c r="B2648" s="15" t="s">
        <v>4458</v>
      </c>
      <c r="C2648" s="15" t="s">
        <v>5999</v>
      </c>
      <c r="D2648" s="34" t="n">
        <f aca="false">Activities!N1064</f>
        <v>2</v>
      </c>
      <c r="E2648" s="15" t="s">
        <v>5998</v>
      </c>
    </row>
    <row r="2649" customFormat="false" ht="15" hidden="false" customHeight="false" outlineLevel="0" collapsed="false">
      <c r="A2649" s="15" t="s">
        <v>4443</v>
      </c>
      <c r="B2649" s="15" t="s">
        <v>4458</v>
      </c>
      <c r="C2649" s="15" t="s">
        <v>5995</v>
      </c>
      <c r="D2649" s="34" t="n">
        <v>0</v>
      </c>
      <c r="E2649" s="15" t="s">
        <v>6011</v>
      </c>
    </row>
    <row r="2650" customFormat="false" ht="15" hidden="false" customHeight="false" outlineLevel="0" collapsed="false">
      <c r="A2650" s="15" t="s">
        <v>4458</v>
      </c>
      <c r="B2650" s="15" t="s">
        <v>4459</v>
      </c>
      <c r="C2650" s="15" t="s">
        <v>5997</v>
      </c>
      <c r="D2650" s="34" t="n">
        <f aca="false">Activities!M1065</f>
        <v>4</v>
      </c>
      <c r="E2650" s="15" t="s">
        <v>5998</v>
      </c>
    </row>
    <row r="2651" customFormat="false" ht="15" hidden="false" customHeight="false" outlineLevel="0" collapsed="false">
      <c r="A2651" s="15" t="s">
        <v>4458</v>
      </c>
      <c r="B2651" s="15" t="s">
        <v>4459</v>
      </c>
      <c r="C2651" s="15" t="s">
        <v>5999</v>
      </c>
      <c r="D2651" s="34" t="n">
        <f aca="false">Activities!N1065</f>
        <v>2</v>
      </c>
      <c r="E2651" s="15" t="s">
        <v>5998</v>
      </c>
    </row>
    <row r="2652" customFormat="false" ht="15" hidden="false" customHeight="false" outlineLevel="0" collapsed="false">
      <c r="A2652" s="15" t="s">
        <v>4444</v>
      </c>
      <c r="B2652" s="15" t="s">
        <v>4459</v>
      </c>
      <c r="C2652" s="15" t="s">
        <v>5995</v>
      </c>
      <c r="D2652" s="34" t="n">
        <v>0</v>
      </c>
      <c r="E2652" s="15" t="s">
        <v>6011</v>
      </c>
    </row>
    <row r="2653" customFormat="false" ht="15" hidden="false" customHeight="false" outlineLevel="0" collapsed="false">
      <c r="A2653" s="15" t="s">
        <v>4459</v>
      </c>
      <c r="B2653" s="15" t="s">
        <v>4460</v>
      </c>
      <c r="C2653" s="15" t="s">
        <v>5997</v>
      </c>
      <c r="D2653" s="34" t="n">
        <f aca="false">Activities!M1066</f>
        <v>2</v>
      </c>
      <c r="E2653" s="15" t="s">
        <v>5998</v>
      </c>
    </row>
    <row r="2654" customFormat="false" ht="15" hidden="false" customHeight="false" outlineLevel="0" collapsed="false">
      <c r="A2654" s="15" t="s">
        <v>4459</v>
      </c>
      <c r="B2654" s="15" t="s">
        <v>4460</v>
      </c>
      <c r="C2654" s="15" t="s">
        <v>5999</v>
      </c>
      <c r="D2654" s="34" t="n">
        <f aca="false">Activities!N1066</f>
        <v>2</v>
      </c>
      <c r="E2654" s="15" t="s">
        <v>5998</v>
      </c>
    </row>
    <row r="2655" customFormat="false" ht="15" hidden="false" customHeight="false" outlineLevel="0" collapsed="false">
      <c r="A2655" s="15" t="s">
        <v>4447</v>
      </c>
      <c r="B2655" s="15" t="s">
        <v>4460</v>
      </c>
      <c r="C2655" s="15" t="s">
        <v>5995</v>
      </c>
      <c r="D2655" s="34" t="n">
        <f aca="false">-Activities!K1066</f>
        <v>-11</v>
      </c>
      <c r="E2655" s="15" t="s">
        <v>6004</v>
      </c>
    </row>
    <row r="2656" customFormat="false" ht="15" hidden="false" customHeight="false" outlineLevel="0" collapsed="false">
      <c r="A2656" s="15" t="s">
        <v>4460</v>
      </c>
      <c r="B2656" s="15" t="s">
        <v>4462</v>
      </c>
      <c r="C2656" s="15" t="s">
        <v>5997</v>
      </c>
      <c r="D2656" s="34" t="n">
        <f aca="false">Activities!M1067</f>
        <v>10</v>
      </c>
      <c r="E2656" s="15" t="s">
        <v>5998</v>
      </c>
    </row>
    <row r="2657" customFormat="false" ht="15" hidden="false" customHeight="false" outlineLevel="0" collapsed="false">
      <c r="A2657" s="15" t="s">
        <v>4460</v>
      </c>
      <c r="B2657" s="15" t="s">
        <v>4462</v>
      </c>
      <c r="C2657" s="15" t="s">
        <v>5999</v>
      </c>
      <c r="D2657" s="34" t="n">
        <f aca="false">Activities!N1067</f>
        <v>2</v>
      </c>
      <c r="E2657" s="15" t="s">
        <v>5998</v>
      </c>
    </row>
    <row r="2658" customFormat="false" ht="15" hidden="false" customHeight="false" outlineLevel="0" collapsed="false">
      <c r="A2658" s="15" t="s">
        <v>4447</v>
      </c>
      <c r="B2658" s="15" t="s">
        <v>4462</v>
      </c>
      <c r="C2658" s="15" t="s">
        <v>5995</v>
      </c>
      <c r="D2658" s="34" t="n">
        <v>0</v>
      </c>
      <c r="E2658" s="15" t="s">
        <v>6011</v>
      </c>
    </row>
    <row r="2659" customFormat="false" ht="15" hidden="false" customHeight="false" outlineLevel="0" collapsed="false">
      <c r="A2659" s="15" t="s">
        <v>3365</v>
      </c>
      <c r="B2659" s="15" t="s">
        <v>4462</v>
      </c>
      <c r="C2659" s="15" t="s">
        <v>5995</v>
      </c>
      <c r="D2659" s="34" t="n">
        <v>0</v>
      </c>
      <c r="E2659" s="15" t="s">
        <v>6008</v>
      </c>
    </row>
    <row r="2660" customFormat="false" ht="15" hidden="false" customHeight="false" outlineLevel="0" collapsed="false">
      <c r="A2660" s="15" t="s">
        <v>3318</v>
      </c>
      <c r="B2660" s="15" t="s">
        <v>4462</v>
      </c>
      <c r="C2660" s="15" t="s">
        <v>5995</v>
      </c>
      <c r="D2660" s="34" t="n">
        <v>0</v>
      </c>
      <c r="E2660" s="15" t="s">
        <v>6008</v>
      </c>
    </row>
    <row r="2661" customFormat="false" ht="15" hidden="false" customHeight="false" outlineLevel="0" collapsed="false">
      <c r="A2661" s="15" t="s">
        <v>3303</v>
      </c>
      <c r="B2661" s="15" t="s">
        <v>4462</v>
      </c>
      <c r="C2661" s="15" t="s">
        <v>5995</v>
      </c>
      <c r="D2661" s="34" t="n">
        <v>0</v>
      </c>
      <c r="E2661" s="15" t="s">
        <v>6008</v>
      </c>
    </row>
    <row r="2662" customFormat="false" ht="15" hidden="false" customHeight="false" outlineLevel="0" collapsed="false">
      <c r="A2662" s="15" t="s">
        <v>4462</v>
      </c>
      <c r="B2662" s="15" t="s">
        <v>4464</v>
      </c>
      <c r="C2662" s="15" t="s">
        <v>5997</v>
      </c>
      <c r="D2662" s="34" t="n">
        <f aca="false">Activities!M1068</f>
        <v>1</v>
      </c>
      <c r="E2662" s="15" t="s">
        <v>5998</v>
      </c>
    </row>
    <row r="2663" customFormat="false" ht="15" hidden="false" customHeight="false" outlineLevel="0" collapsed="false">
      <c r="A2663" s="15" t="s">
        <v>4462</v>
      </c>
      <c r="B2663" s="15" t="s">
        <v>4464</v>
      </c>
      <c r="C2663" s="15" t="s">
        <v>5999</v>
      </c>
      <c r="D2663" s="34" t="n">
        <f aca="false">Activities!N1068</f>
        <v>2</v>
      </c>
      <c r="E2663" s="15" t="s">
        <v>5998</v>
      </c>
    </row>
    <row r="2664" customFormat="false" ht="15" hidden="false" customHeight="false" outlineLevel="0" collapsed="false">
      <c r="A2664" s="15" t="s">
        <v>4449</v>
      </c>
      <c r="B2664" s="15" t="s">
        <v>4464</v>
      </c>
      <c r="C2664" s="15" t="s">
        <v>5995</v>
      </c>
      <c r="D2664" s="34" t="n">
        <v>0</v>
      </c>
      <c r="E2664" s="15" t="s">
        <v>6011</v>
      </c>
    </row>
    <row r="2665" customFormat="false" ht="15" hidden="false" customHeight="false" outlineLevel="0" collapsed="false">
      <c r="A2665" s="15" t="s">
        <v>4464</v>
      </c>
      <c r="B2665" s="15" t="s">
        <v>4465</v>
      </c>
      <c r="C2665" s="15" t="s">
        <v>5997</v>
      </c>
      <c r="D2665" s="34" t="n">
        <f aca="false">Activities!M1069</f>
        <v>4</v>
      </c>
      <c r="E2665" s="15" t="s">
        <v>5998</v>
      </c>
    </row>
    <row r="2666" customFormat="false" ht="15" hidden="false" customHeight="false" outlineLevel="0" collapsed="false">
      <c r="A2666" s="15" t="s">
        <v>4464</v>
      </c>
      <c r="B2666" s="15" t="s">
        <v>4465</v>
      </c>
      <c r="C2666" s="15" t="s">
        <v>5999</v>
      </c>
      <c r="D2666" s="34" t="n">
        <f aca="false">Activities!N1069</f>
        <v>2</v>
      </c>
      <c r="E2666" s="15" t="s">
        <v>5998</v>
      </c>
    </row>
    <row r="2667" customFormat="false" ht="15" hidden="false" customHeight="false" outlineLevel="0" collapsed="false">
      <c r="A2667" s="15" t="s">
        <v>4450</v>
      </c>
      <c r="B2667" s="15" t="s">
        <v>4465</v>
      </c>
      <c r="C2667" s="15" t="s">
        <v>5995</v>
      </c>
      <c r="D2667" s="34" t="n">
        <v>0</v>
      </c>
      <c r="E2667" s="15" t="s">
        <v>6011</v>
      </c>
    </row>
    <row r="2668" customFormat="false" ht="15" hidden="false" customHeight="false" outlineLevel="0" collapsed="false">
      <c r="A2668" s="15" t="s">
        <v>4465</v>
      </c>
      <c r="B2668" s="15" t="s">
        <v>4466</v>
      </c>
      <c r="C2668" s="15" t="s">
        <v>5997</v>
      </c>
      <c r="D2668" s="34" t="n">
        <f aca="false">Activities!M1070</f>
        <v>2</v>
      </c>
      <c r="E2668" s="15" t="s">
        <v>5998</v>
      </c>
    </row>
    <row r="2669" customFormat="false" ht="15" hidden="false" customHeight="false" outlineLevel="0" collapsed="false">
      <c r="A2669" s="15" t="s">
        <v>4465</v>
      </c>
      <c r="B2669" s="15" t="s">
        <v>4466</v>
      </c>
      <c r="C2669" s="15" t="s">
        <v>5999</v>
      </c>
      <c r="D2669" s="34" t="n">
        <f aca="false">Activities!N1070</f>
        <v>2</v>
      </c>
      <c r="E2669" s="15" t="s">
        <v>5998</v>
      </c>
    </row>
    <row r="2670" customFormat="false" ht="15" hidden="false" customHeight="false" outlineLevel="0" collapsed="false">
      <c r="A2670" s="15" t="s">
        <v>4466</v>
      </c>
      <c r="B2670" s="15" t="s">
        <v>4467</v>
      </c>
      <c r="C2670" s="15" t="s">
        <v>5997</v>
      </c>
      <c r="D2670" s="34" t="n">
        <f aca="false">Activities!M1071</f>
        <v>2</v>
      </c>
      <c r="E2670" s="15" t="s">
        <v>5998</v>
      </c>
    </row>
    <row r="2671" customFormat="false" ht="15" hidden="false" customHeight="false" outlineLevel="0" collapsed="false">
      <c r="A2671" s="15" t="s">
        <v>4466</v>
      </c>
      <c r="B2671" s="15" t="s">
        <v>4467</v>
      </c>
      <c r="C2671" s="15" t="s">
        <v>5999</v>
      </c>
      <c r="D2671" s="34" t="n">
        <f aca="false">Activities!N1071</f>
        <v>2</v>
      </c>
      <c r="E2671" s="15" t="s">
        <v>5998</v>
      </c>
    </row>
    <row r="2672" customFormat="false" ht="15" hidden="false" customHeight="false" outlineLevel="0" collapsed="false">
      <c r="A2672" s="15" t="s">
        <v>4452</v>
      </c>
      <c r="B2672" s="15" t="s">
        <v>4467</v>
      </c>
      <c r="C2672" s="15" t="s">
        <v>5995</v>
      </c>
      <c r="D2672" s="34" t="n">
        <v>0</v>
      </c>
      <c r="E2672" s="15" t="s">
        <v>6011</v>
      </c>
    </row>
    <row r="2673" customFormat="false" ht="15" hidden="false" customHeight="false" outlineLevel="0" collapsed="false">
      <c r="A2673" s="15" t="s">
        <v>4467</v>
      </c>
      <c r="B2673" s="15" t="s">
        <v>4468</v>
      </c>
      <c r="C2673" s="15" t="s">
        <v>5997</v>
      </c>
      <c r="D2673" s="34" t="n">
        <f aca="false">Activities!M1072</f>
        <v>1</v>
      </c>
      <c r="E2673" s="15" t="s">
        <v>5998</v>
      </c>
    </row>
    <row r="2674" customFormat="false" ht="15" hidden="false" customHeight="false" outlineLevel="0" collapsed="false">
      <c r="A2674" s="15" t="s">
        <v>4467</v>
      </c>
      <c r="B2674" s="15" t="s">
        <v>4468</v>
      </c>
      <c r="C2674" s="15" t="s">
        <v>5999</v>
      </c>
      <c r="D2674" s="34" t="n">
        <f aca="false">Activities!N1072</f>
        <v>2</v>
      </c>
      <c r="E2674" s="15" t="s">
        <v>5998</v>
      </c>
    </row>
    <row r="2675" customFormat="false" ht="15" hidden="false" customHeight="false" outlineLevel="0" collapsed="false">
      <c r="A2675" s="15" t="s">
        <v>4469</v>
      </c>
      <c r="B2675" s="15" t="s">
        <v>4471</v>
      </c>
      <c r="C2675" s="15" t="s">
        <v>5995</v>
      </c>
      <c r="D2675" s="34" t="n">
        <v>0</v>
      </c>
      <c r="E2675" s="15" t="s">
        <v>5996</v>
      </c>
    </row>
    <row r="2676" customFormat="false" ht="15" hidden="false" customHeight="false" outlineLevel="0" collapsed="false">
      <c r="A2676" s="15" t="s">
        <v>4458</v>
      </c>
      <c r="B2676" s="15" t="s">
        <v>4471</v>
      </c>
      <c r="C2676" s="15" t="s">
        <v>5997</v>
      </c>
      <c r="D2676" s="34" t="n">
        <v>0</v>
      </c>
      <c r="E2676" s="15" t="s">
        <v>6002</v>
      </c>
    </row>
    <row r="2677" customFormat="false" ht="15" hidden="false" customHeight="false" outlineLevel="0" collapsed="false">
      <c r="A2677" s="15" t="s">
        <v>4471</v>
      </c>
      <c r="B2677" s="15" t="s">
        <v>4473</v>
      </c>
      <c r="C2677" s="15" t="s">
        <v>5997</v>
      </c>
      <c r="D2677" s="34" t="n">
        <f aca="false">Activities!M1075</f>
        <v>1</v>
      </c>
      <c r="E2677" s="15" t="s">
        <v>5998</v>
      </c>
    </row>
    <row r="2678" customFormat="false" ht="15" hidden="false" customHeight="false" outlineLevel="0" collapsed="false">
      <c r="A2678" s="15" t="s">
        <v>4471</v>
      </c>
      <c r="B2678" s="15" t="s">
        <v>4473</v>
      </c>
      <c r="C2678" s="15" t="s">
        <v>5999</v>
      </c>
      <c r="D2678" s="34" t="n">
        <f aca="false">Activities!N1075</f>
        <v>2</v>
      </c>
      <c r="E2678" s="15" t="s">
        <v>5998</v>
      </c>
    </row>
    <row r="2679" customFormat="false" ht="15" hidden="false" customHeight="false" outlineLevel="0" collapsed="false">
      <c r="A2679" s="15" t="s">
        <v>4458</v>
      </c>
      <c r="B2679" s="15" t="s">
        <v>4473</v>
      </c>
      <c r="C2679" s="15" t="s">
        <v>5995</v>
      </c>
      <c r="D2679" s="34" t="n">
        <v>0</v>
      </c>
      <c r="E2679" s="15" t="s">
        <v>6011</v>
      </c>
    </row>
    <row r="2680" customFormat="false" ht="15" hidden="false" customHeight="false" outlineLevel="0" collapsed="false">
      <c r="A2680" s="15" t="s">
        <v>4473</v>
      </c>
      <c r="B2680" s="15" t="s">
        <v>4474</v>
      </c>
      <c r="C2680" s="15" t="s">
        <v>5997</v>
      </c>
      <c r="D2680" s="34" t="n">
        <f aca="false">Activities!M1076</f>
        <v>4</v>
      </c>
      <c r="E2680" s="15" t="s">
        <v>5998</v>
      </c>
    </row>
    <row r="2681" customFormat="false" ht="15" hidden="false" customHeight="false" outlineLevel="0" collapsed="false">
      <c r="A2681" s="15" t="s">
        <v>4473</v>
      </c>
      <c r="B2681" s="15" t="s">
        <v>4474</v>
      </c>
      <c r="C2681" s="15" t="s">
        <v>5999</v>
      </c>
      <c r="D2681" s="34" t="n">
        <f aca="false">Activities!N1076</f>
        <v>0</v>
      </c>
      <c r="E2681" s="15" t="s">
        <v>5998</v>
      </c>
    </row>
    <row r="2682" customFormat="false" ht="15" hidden="false" customHeight="false" outlineLevel="0" collapsed="false">
      <c r="A2682" s="15" t="s">
        <v>4459</v>
      </c>
      <c r="B2682" s="15" t="s">
        <v>4474</v>
      </c>
      <c r="C2682" s="15" t="s">
        <v>5995</v>
      </c>
      <c r="D2682" s="34" t="n">
        <v>0</v>
      </c>
      <c r="E2682" s="15" t="s">
        <v>6011</v>
      </c>
    </row>
    <row r="2683" customFormat="false" ht="15" hidden="false" customHeight="false" outlineLevel="0" collapsed="false">
      <c r="A2683" s="15" t="s">
        <v>4474</v>
      </c>
      <c r="B2683" s="15" t="s">
        <v>4475</v>
      </c>
      <c r="C2683" s="15" t="s">
        <v>5997</v>
      </c>
      <c r="D2683" s="34" t="n">
        <f aca="false">Activities!M1077</f>
        <v>0</v>
      </c>
      <c r="E2683" s="15" t="s">
        <v>5998</v>
      </c>
    </row>
    <row r="2684" customFormat="false" ht="15" hidden="false" customHeight="false" outlineLevel="0" collapsed="false">
      <c r="A2684" s="15" t="s">
        <v>4474</v>
      </c>
      <c r="B2684" s="15" t="s">
        <v>4475</v>
      </c>
      <c r="C2684" s="15" t="s">
        <v>5999</v>
      </c>
      <c r="D2684" s="34" t="n">
        <f aca="false">Activities!N1077</f>
        <v>2</v>
      </c>
      <c r="E2684" s="15" t="s">
        <v>5998</v>
      </c>
    </row>
    <row r="2685" customFormat="false" ht="15" hidden="false" customHeight="false" outlineLevel="0" collapsed="false">
      <c r="A2685" s="15" t="s">
        <v>4462</v>
      </c>
      <c r="B2685" s="15" t="s">
        <v>4475</v>
      </c>
      <c r="C2685" s="15" t="s">
        <v>5995</v>
      </c>
      <c r="D2685" s="34" t="n">
        <f aca="false">-Activities!K1077</f>
        <v>-11</v>
      </c>
      <c r="E2685" s="15" t="s">
        <v>6004</v>
      </c>
    </row>
    <row r="2686" customFormat="false" ht="15" hidden="false" customHeight="false" outlineLevel="0" collapsed="false">
      <c r="A2686" s="15" t="s">
        <v>4475</v>
      </c>
      <c r="B2686" s="15" t="s">
        <v>4477</v>
      </c>
      <c r="C2686" s="15" t="s">
        <v>5997</v>
      </c>
      <c r="D2686" s="34" t="n">
        <f aca="false">Activities!M1078</f>
        <v>10</v>
      </c>
      <c r="E2686" s="15" t="s">
        <v>5998</v>
      </c>
    </row>
    <row r="2687" customFormat="false" ht="15" hidden="false" customHeight="false" outlineLevel="0" collapsed="false">
      <c r="A2687" s="15" t="s">
        <v>4475</v>
      </c>
      <c r="B2687" s="15" t="s">
        <v>4477</v>
      </c>
      <c r="C2687" s="15" t="s">
        <v>5999</v>
      </c>
      <c r="D2687" s="34" t="n">
        <f aca="false">Activities!N1078</f>
        <v>2</v>
      </c>
      <c r="E2687" s="15" t="s">
        <v>5998</v>
      </c>
    </row>
    <row r="2688" customFormat="false" ht="15" hidden="false" customHeight="false" outlineLevel="0" collapsed="false">
      <c r="A2688" s="15" t="s">
        <v>4462</v>
      </c>
      <c r="B2688" s="15" t="s">
        <v>4477</v>
      </c>
      <c r="C2688" s="15" t="s">
        <v>5995</v>
      </c>
      <c r="D2688" s="34" t="n">
        <v>0</v>
      </c>
      <c r="E2688" s="15" t="s">
        <v>6011</v>
      </c>
    </row>
    <row r="2689" customFormat="false" ht="15" hidden="false" customHeight="false" outlineLevel="0" collapsed="false">
      <c r="A2689" s="15" t="s">
        <v>4477</v>
      </c>
      <c r="B2689" s="15" t="s">
        <v>4478</v>
      </c>
      <c r="C2689" s="15" t="s">
        <v>5997</v>
      </c>
      <c r="D2689" s="34" t="n">
        <f aca="false">Activities!M1079</f>
        <v>2</v>
      </c>
      <c r="E2689" s="15" t="s">
        <v>5998</v>
      </c>
    </row>
    <row r="2690" customFormat="false" ht="15" hidden="false" customHeight="false" outlineLevel="0" collapsed="false">
      <c r="A2690" s="15" t="s">
        <v>4477</v>
      </c>
      <c r="B2690" s="15" t="s">
        <v>4478</v>
      </c>
      <c r="C2690" s="15" t="s">
        <v>5999</v>
      </c>
      <c r="D2690" s="34" t="n">
        <f aca="false">Activities!N1079</f>
        <v>2</v>
      </c>
      <c r="E2690" s="15" t="s">
        <v>5998</v>
      </c>
    </row>
    <row r="2691" customFormat="false" ht="15" hidden="false" customHeight="false" outlineLevel="0" collapsed="false">
      <c r="A2691" s="15" t="s">
        <v>4464</v>
      </c>
      <c r="B2691" s="15" t="s">
        <v>4478</v>
      </c>
      <c r="C2691" s="15" t="s">
        <v>5995</v>
      </c>
      <c r="D2691" s="34" t="n">
        <v>0</v>
      </c>
      <c r="E2691" s="15" t="s">
        <v>6011</v>
      </c>
    </row>
    <row r="2692" customFormat="false" ht="15" hidden="false" customHeight="false" outlineLevel="0" collapsed="false">
      <c r="A2692" s="15" t="s">
        <v>4478</v>
      </c>
      <c r="B2692" s="15" t="s">
        <v>4479</v>
      </c>
      <c r="C2692" s="15" t="s">
        <v>5997</v>
      </c>
      <c r="D2692" s="34" t="n">
        <f aca="false">Activities!M1080</f>
        <v>4</v>
      </c>
      <c r="E2692" s="15" t="s">
        <v>5998</v>
      </c>
    </row>
    <row r="2693" customFormat="false" ht="15" hidden="false" customHeight="false" outlineLevel="0" collapsed="false">
      <c r="A2693" s="15" t="s">
        <v>4478</v>
      </c>
      <c r="B2693" s="15" t="s">
        <v>4479</v>
      </c>
      <c r="C2693" s="15" t="s">
        <v>5999</v>
      </c>
      <c r="D2693" s="34" t="n">
        <f aca="false">Activities!N1080</f>
        <v>2</v>
      </c>
      <c r="E2693" s="15" t="s">
        <v>5998</v>
      </c>
    </row>
    <row r="2694" customFormat="false" ht="15" hidden="false" customHeight="false" outlineLevel="0" collapsed="false">
      <c r="A2694" s="15" t="s">
        <v>4465</v>
      </c>
      <c r="B2694" s="15" t="s">
        <v>4479</v>
      </c>
      <c r="C2694" s="15" t="s">
        <v>5995</v>
      </c>
      <c r="D2694" s="34" t="n">
        <v>0</v>
      </c>
      <c r="E2694" s="15" t="s">
        <v>6011</v>
      </c>
    </row>
    <row r="2695" customFormat="false" ht="15" hidden="false" customHeight="false" outlineLevel="0" collapsed="false">
      <c r="A2695" s="15" t="s">
        <v>4479</v>
      </c>
      <c r="B2695" s="15" t="s">
        <v>4480</v>
      </c>
      <c r="C2695" s="15" t="s">
        <v>5997</v>
      </c>
      <c r="D2695" s="34" t="n">
        <f aca="false">Activities!M1081</f>
        <v>2</v>
      </c>
      <c r="E2695" s="15" t="s">
        <v>5998</v>
      </c>
    </row>
    <row r="2696" customFormat="false" ht="15" hidden="false" customHeight="false" outlineLevel="0" collapsed="false">
      <c r="A2696" s="15" t="s">
        <v>4479</v>
      </c>
      <c r="B2696" s="15" t="s">
        <v>4480</v>
      </c>
      <c r="C2696" s="15" t="s">
        <v>5999</v>
      </c>
      <c r="D2696" s="34" t="n">
        <f aca="false">Activities!N1081</f>
        <v>2</v>
      </c>
      <c r="E2696" s="15" t="s">
        <v>5998</v>
      </c>
    </row>
    <row r="2697" customFormat="false" ht="15" hidden="false" customHeight="false" outlineLevel="0" collapsed="false">
      <c r="A2697" s="15" t="s">
        <v>4480</v>
      </c>
      <c r="B2697" s="15" t="s">
        <v>4481</v>
      </c>
      <c r="C2697" s="15" t="s">
        <v>5997</v>
      </c>
      <c r="D2697" s="34" t="n">
        <f aca="false">Activities!M1082</f>
        <v>2</v>
      </c>
      <c r="E2697" s="15" t="s">
        <v>5998</v>
      </c>
    </row>
    <row r="2698" customFormat="false" ht="15" hidden="false" customHeight="false" outlineLevel="0" collapsed="false">
      <c r="A2698" s="15" t="s">
        <v>4480</v>
      </c>
      <c r="B2698" s="15" t="s">
        <v>4481</v>
      </c>
      <c r="C2698" s="15" t="s">
        <v>5999</v>
      </c>
      <c r="D2698" s="34" t="n">
        <f aca="false">Activities!N1082</f>
        <v>2</v>
      </c>
      <c r="E2698" s="15" t="s">
        <v>5998</v>
      </c>
    </row>
    <row r="2699" customFormat="false" ht="15" hidden="false" customHeight="false" outlineLevel="0" collapsed="false">
      <c r="A2699" s="15" t="s">
        <v>4467</v>
      </c>
      <c r="B2699" s="15" t="s">
        <v>4481</v>
      </c>
      <c r="C2699" s="15" t="s">
        <v>5995</v>
      </c>
      <c r="D2699" s="34" t="n">
        <v>0</v>
      </c>
      <c r="E2699" s="15" t="s">
        <v>6011</v>
      </c>
    </row>
    <row r="2700" customFormat="false" ht="15" hidden="false" customHeight="false" outlineLevel="0" collapsed="false">
      <c r="A2700" s="15" t="s">
        <v>4481</v>
      </c>
      <c r="B2700" s="15" t="s">
        <v>4482</v>
      </c>
      <c r="C2700" s="15" t="s">
        <v>5997</v>
      </c>
      <c r="D2700" s="34" t="n">
        <f aca="false">Activities!M1083</f>
        <v>2</v>
      </c>
      <c r="E2700" s="15" t="s">
        <v>5998</v>
      </c>
    </row>
    <row r="2701" customFormat="false" ht="15" hidden="false" customHeight="false" outlineLevel="0" collapsed="false">
      <c r="A2701" s="15" t="s">
        <v>4481</v>
      </c>
      <c r="B2701" s="15" t="s">
        <v>4482</v>
      </c>
      <c r="C2701" s="15" t="s">
        <v>5999</v>
      </c>
      <c r="D2701" s="34" t="n">
        <f aca="false">Activities!N1083</f>
        <v>2</v>
      </c>
      <c r="E2701" s="15" t="s">
        <v>5998</v>
      </c>
    </row>
    <row r="2702" customFormat="false" ht="15" hidden="false" customHeight="false" outlineLevel="0" collapsed="false">
      <c r="A2702" s="15" t="s">
        <v>4483</v>
      </c>
      <c r="B2702" s="15" t="s">
        <v>4485</v>
      </c>
      <c r="C2702" s="15" t="s">
        <v>5995</v>
      </c>
      <c r="D2702" s="34" t="n">
        <v>0</v>
      </c>
      <c r="E2702" s="15" t="s">
        <v>5996</v>
      </c>
    </row>
    <row r="2703" customFormat="false" ht="15" hidden="false" customHeight="false" outlineLevel="0" collapsed="false">
      <c r="A2703" s="15" t="s">
        <v>4473</v>
      </c>
      <c r="B2703" s="15" t="s">
        <v>4485</v>
      </c>
      <c r="C2703" s="15" t="s">
        <v>5997</v>
      </c>
      <c r="D2703" s="34" t="n">
        <v>0</v>
      </c>
      <c r="E2703" s="15" t="s">
        <v>6000</v>
      </c>
    </row>
    <row r="2704" customFormat="false" ht="15" hidden="false" customHeight="false" outlineLevel="0" collapsed="false">
      <c r="A2704" s="15" t="s">
        <v>4485</v>
      </c>
      <c r="B2704" s="15" t="s">
        <v>4487</v>
      </c>
      <c r="C2704" s="15" t="s">
        <v>5997</v>
      </c>
      <c r="D2704" s="34" t="n">
        <f aca="false">Activities!M1086</f>
        <v>1</v>
      </c>
      <c r="E2704" s="15" t="s">
        <v>5998</v>
      </c>
    </row>
    <row r="2705" customFormat="false" ht="15" hidden="false" customHeight="false" outlineLevel="0" collapsed="false">
      <c r="A2705" s="15" t="s">
        <v>4485</v>
      </c>
      <c r="B2705" s="15" t="s">
        <v>4487</v>
      </c>
      <c r="C2705" s="15" t="s">
        <v>5999</v>
      </c>
      <c r="D2705" s="34" t="n">
        <f aca="false">Activities!N1086</f>
        <v>2</v>
      </c>
      <c r="E2705" s="15" t="s">
        <v>5998</v>
      </c>
    </row>
    <row r="2706" customFormat="false" ht="15" hidden="false" customHeight="false" outlineLevel="0" collapsed="false">
      <c r="A2706" s="15" t="s">
        <v>4487</v>
      </c>
      <c r="B2706" s="15" t="s">
        <v>4488</v>
      </c>
      <c r="C2706" s="15" t="s">
        <v>5997</v>
      </c>
      <c r="D2706" s="34" t="n">
        <f aca="false">Activities!M1087</f>
        <v>2</v>
      </c>
      <c r="E2706" s="15" t="s">
        <v>5998</v>
      </c>
    </row>
    <row r="2707" customFormat="false" ht="15" hidden="false" customHeight="false" outlineLevel="0" collapsed="false">
      <c r="A2707" s="15" t="s">
        <v>4487</v>
      </c>
      <c r="B2707" s="15" t="s">
        <v>4488</v>
      </c>
      <c r="C2707" s="15" t="s">
        <v>5999</v>
      </c>
      <c r="D2707" s="34" t="n">
        <f aca="false">Activities!N1087</f>
        <v>0</v>
      </c>
      <c r="E2707" s="15" t="s">
        <v>5998</v>
      </c>
    </row>
    <row r="2708" customFormat="false" ht="15" hidden="false" customHeight="false" outlineLevel="0" collapsed="false">
      <c r="A2708" s="15" t="s">
        <v>4488</v>
      </c>
      <c r="B2708" s="15" t="s">
        <v>4489</v>
      </c>
      <c r="C2708" s="15" t="s">
        <v>5997</v>
      </c>
      <c r="D2708" s="34" t="n">
        <f aca="false">Activities!M1088</f>
        <v>0</v>
      </c>
      <c r="E2708" s="15" t="s">
        <v>5998</v>
      </c>
    </row>
    <row r="2709" customFormat="false" ht="15" hidden="false" customHeight="false" outlineLevel="0" collapsed="false">
      <c r="A2709" s="15" t="s">
        <v>4488</v>
      </c>
      <c r="B2709" s="15" t="s">
        <v>4489</v>
      </c>
      <c r="C2709" s="15" t="s">
        <v>5999</v>
      </c>
      <c r="D2709" s="34" t="n">
        <f aca="false">Activities!N1088</f>
        <v>2</v>
      </c>
      <c r="E2709" s="15" t="s">
        <v>5998</v>
      </c>
    </row>
    <row r="2710" customFormat="false" ht="15" hidden="false" customHeight="false" outlineLevel="0" collapsed="false">
      <c r="A2710" s="15" t="s">
        <v>4489</v>
      </c>
      <c r="B2710" s="15" t="s">
        <v>4490</v>
      </c>
      <c r="C2710" s="15" t="s">
        <v>5997</v>
      </c>
      <c r="D2710" s="34" t="n">
        <f aca="false">Activities!M1089</f>
        <v>10</v>
      </c>
      <c r="E2710" s="15" t="s">
        <v>5998</v>
      </c>
    </row>
    <row r="2711" customFormat="false" ht="15" hidden="false" customHeight="false" outlineLevel="0" collapsed="false">
      <c r="A2711" s="15" t="s">
        <v>4489</v>
      </c>
      <c r="B2711" s="15" t="s">
        <v>4490</v>
      </c>
      <c r="C2711" s="15" t="s">
        <v>5999</v>
      </c>
      <c r="D2711" s="34" t="n">
        <f aca="false">Activities!N1089</f>
        <v>2</v>
      </c>
      <c r="E2711" s="15" t="s">
        <v>5998</v>
      </c>
    </row>
    <row r="2712" customFormat="false" ht="15" hidden="false" customHeight="false" outlineLevel="0" collapsed="false">
      <c r="A2712" s="15" t="s">
        <v>4490</v>
      </c>
      <c r="B2712" s="15" t="s">
        <v>4491</v>
      </c>
      <c r="C2712" s="15" t="s">
        <v>5997</v>
      </c>
      <c r="D2712" s="34" t="n">
        <f aca="false">Activities!M1090</f>
        <v>1</v>
      </c>
      <c r="E2712" s="15" t="s">
        <v>5998</v>
      </c>
    </row>
    <row r="2713" customFormat="false" ht="15" hidden="false" customHeight="false" outlineLevel="0" collapsed="false">
      <c r="A2713" s="15" t="s">
        <v>4490</v>
      </c>
      <c r="B2713" s="15" t="s">
        <v>4491</v>
      </c>
      <c r="C2713" s="15" t="s">
        <v>5999</v>
      </c>
      <c r="D2713" s="34" t="n">
        <f aca="false">Activities!N1090</f>
        <v>2</v>
      </c>
      <c r="E2713" s="15" t="s">
        <v>5998</v>
      </c>
    </row>
    <row r="2714" customFormat="false" ht="15" hidden="false" customHeight="false" outlineLevel="0" collapsed="false">
      <c r="A2714" s="15" t="s">
        <v>4491</v>
      </c>
      <c r="B2714" s="15" t="s">
        <v>4492</v>
      </c>
      <c r="C2714" s="15" t="s">
        <v>5997</v>
      </c>
      <c r="D2714" s="34" t="n">
        <f aca="false">Activities!M1091</f>
        <v>2</v>
      </c>
      <c r="E2714" s="15" t="s">
        <v>5998</v>
      </c>
    </row>
    <row r="2715" customFormat="false" ht="15" hidden="false" customHeight="false" outlineLevel="0" collapsed="false">
      <c r="A2715" s="15" t="s">
        <v>4491</v>
      </c>
      <c r="B2715" s="15" t="s">
        <v>4492</v>
      </c>
      <c r="C2715" s="15" t="s">
        <v>5999</v>
      </c>
      <c r="D2715" s="34" t="n">
        <f aca="false">Activities!N1091</f>
        <v>2</v>
      </c>
      <c r="E2715" s="15" t="s">
        <v>5998</v>
      </c>
    </row>
    <row r="2716" customFormat="false" ht="15" hidden="false" customHeight="false" outlineLevel="0" collapsed="false">
      <c r="A2716" s="15" t="s">
        <v>4479</v>
      </c>
      <c r="B2716" s="15" t="s">
        <v>4492</v>
      </c>
      <c r="C2716" s="15" t="s">
        <v>5995</v>
      </c>
      <c r="D2716" s="34" t="n">
        <v>0</v>
      </c>
      <c r="E2716" s="15" t="s">
        <v>6001</v>
      </c>
    </row>
    <row r="2717" customFormat="false" ht="15" hidden="false" customHeight="false" outlineLevel="0" collapsed="false">
      <c r="A2717" s="15" t="s">
        <v>4492</v>
      </c>
      <c r="B2717" s="15" t="s">
        <v>4494</v>
      </c>
      <c r="C2717" s="15" t="s">
        <v>5997</v>
      </c>
      <c r="D2717" s="34" t="n">
        <f aca="false">Activities!M1092</f>
        <v>2</v>
      </c>
      <c r="E2717" s="15" t="s">
        <v>5998</v>
      </c>
    </row>
    <row r="2718" customFormat="false" ht="15" hidden="false" customHeight="false" outlineLevel="0" collapsed="false">
      <c r="A2718" s="15" t="s">
        <v>4492</v>
      </c>
      <c r="B2718" s="15" t="s">
        <v>4494</v>
      </c>
      <c r="C2718" s="15" t="s">
        <v>5999</v>
      </c>
      <c r="D2718" s="34" t="n">
        <f aca="false">Activities!N1092</f>
        <v>2</v>
      </c>
      <c r="E2718" s="15" t="s">
        <v>5998</v>
      </c>
    </row>
    <row r="2719" customFormat="false" ht="15" hidden="false" customHeight="false" outlineLevel="0" collapsed="false">
      <c r="A2719" s="15" t="s">
        <v>4494</v>
      </c>
      <c r="B2719" s="15" t="s">
        <v>4495</v>
      </c>
      <c r="C2719" s="15" t="s">
        <v>5997</v>
      </c>
      <c r="D2719" s="34" t="n">
        <f aca="false">Activities!M1093</f>
        <v>2</v>
      </c>
      <c r="E2719" s="15" t="s">
        <v>5998</v>
      </c>
    </row>
    <row r="2720" customFormat="false" ht="15" hidden="false" customHeight="false" outlineLevel="0" collapsed="false">
      <c r="A2720" s="15" t="s">
        <v>4494</v>
      </c>
      <c r="B2720" s="15" t="s">
        <v>4495</v>
      </c>
      <c r="C2720" s="15" t="s">
        <v>5999</v>
      </c>
      <c r="D2720" s="34" t="n">
        <f aca="false">Activities!N1093</f>
        <v>2</v>
      </c>
      <c r="E2720" s="15" t="s">
        <v>5998</v>
      </c>
    </row>
    <row r="2721" customFormat="false" ht="15" hidden="false" customHeight="false" outlineLevel="0" collapsed="false">
      <c r="A2721" s="15" t="s">
        <v>4495</v>
      </c>
      <c r="B2721" s="15" t="s">
        <v>4496</v>
      </c>
      <c r="C2721" s="15" t="s">
        <v>5997</v>
      </c>
      <c r="D2721" s="34" t="n">
        <f aca="false">Activities!M1094</f>
        <v>1</v>
      </c>
      <c r="E2721" s="15" t="s">
        <v>5998</v>
      </c>
    </row>
    <row r="2722" customFormat="false" ht="15" hidden="false" customHeight="false" outlineLevel="0" collapsed="false">
      <c r="A2722" s="15" t="s">
        <v>4495</v>
      </c>
      <c r="B2722" s="15" t="s">
        <v>4496</v>
      </c>
      <c r="C2722" s="15" t="s">
        <v>5999</v>
      </c>
      <c r="D2722" s="34" t="n">
        <f aca="false">Activities!N1094</f>
        <v>2</v>
      </c>
      <c r="E2722" s="15" t="s">
        <v>5998</v>
      </c>
    </row>
    <row r="2723" customFormat="false" ht="15" hidden="false" customHeight="false" outlineLevel="0" collapsed="false">
      <c r="A2723" s="15" t="s">
        <v>4497</v>
      </c>
      <c r="B2723" s="15" t="s">
        <v>4499</v>
      </c>
      <c r="C2723" s="15" t="s">
        <v>5995</v>
      </c>
      <c r="D2723" s="34" t="n">
        <v>0</v>
      </c>
      <c r="E2723" s="15" t="s">
        <v>5996</v>
      </c>
    </row>
    <row r="2724" customFormat="false" ht="15" hidden="false" customHeight="false" outlineLevel="0" collapsed="false">
      <c r="A2724" s="15" t="s">
        <v>4473</v>
      </c>
      <c r="B2724" s="15" t="s">
        <v>4499</v>
      </c>
      <c r="C2724" s="15" t="s">
        <v>5997</v>
      </c>
      <c r="D2724" s="34" t="n">
        <v>0</v>
      </c>
      <c r="E2724" s="15" t="s">
        <v>6002</v>
      </c>
    </row>
    <row r="2725" customFormat="false" ht="15" hidden="false" customHeight="false" outlineLevel="0" collapsed="false">
      <c r="A2725" s="15" t="s">
        <v>4499</v>
      </c>
      <c r="B2725" s="15" t="s">
        <v>4501</v>
      </c>
      <c r="C2725" s="15" t="s">
        <v>5997</v>
      </c>
      <c r="D2725" s="34" t="n">
        <f aca="false">Activities!M1097</f>
        <v>1</v>
      </c>
      <c r="E2725" s="15" t="s">
        <v>5998</v>
      </c>
    </row>
    <row r="2726" customFormat="false" ht="15" hidden="false" customHeight="false" outlineLevel="0" collapsed="false">
      <c r="A2726" s="15" t="s">
        <v>4499</v>
      </c>
      <c r="B2726" s="15" t="s">
        <v>4501</v>
      </c>
      <c r="C2726" s="15" t="s">
        <v>5999</v>
      </c>
      <c r="D2726" s="34" t="n">
        <f aca="false">Activities!N1097</f>
        <v>2</v>
      </c>
      <c r="E2726" s="15" t="s">
        <v>5998</v>
      </c>
    </row>
    <row r="2727" customFormat="false" ht="15" hidden="false" customHeight="false" outlineLevel="0" collapsed="false">
      <c r="A2727" s="15" t="s">
        <v>4473</v>
      </c>
      <c r="B2727" s="15" t="s">
        <v>4501</v>
      </c>
      <c r="C2727" s="15" t="s">
        <v>5995</v>
      </c>
      <c r="D2727" s="34" t="n">
        <v>0</v>
      </c>
      <c r="E2727" s="15" t="s">
        <v>6011</v>
      </c>
    </row>
    <row r="2728" customFormat="false" ht="15" hidden="false" customHeight="false" outlineLevel="0" collapsed="false">
      <c r="A2728" s="15" t="s">
        <v>4501</v>
      </c>
      <c r="B2728" s="15" t="s">
        <v>4502</v>
      </c>
      <c r="C2728" s="15" t="s">
        <v>5997</v>
      </c>
      <c r="D2728" s="34" t="n">
        <f aca="false">Activities!M1098</f>
        <v>1</v>
      </c>
      <c r="E2728" s="15" t="s">
        <v>5998</v>
      </c>
    </row>
    <row r="2729" customFormat="false" ht="15" hidden="false" customHeight="false" outlineLevel="0" collapsed="false">
      <c r="A2729" s="15" t="s">
        <v>4501</v>
      </c>
      <c r="B2729" s="15" t="s">
        <v>4502</v>
      </c>
      <c r="C2729" s="15" t="s">
        <v>5999</v>
      </c>
      <c r="D2729" s="34" t="n">
        <f aca="false">Activities!N1098</f>
        <v>0</v>
      </c>
      <c r="E2729" s="15" t="s">
        <v>5998</v>
      </c>
    </row>
    <row r="2730" customFormat="false" ht="15" hidden="false" customHeight="false" outlineLevel="0" collapsed="false">
      <c r="A2730" s="15" t="s">
        <v>4474</v>
      </c>
      <c r="B2730" s="15" t="s">
        <v>4502</v>
      </c>
      <c r="C2730" s="15" t="s">
        <v>5995</v>
      </c>
      <c r="D2730" s="34" t="n">
        <v>0</v>
      </c>
      <c r="E2730" s="15" t="s">
        <v>6011</v>
      </c>
    </row>
    <row r="2731" customFormat="false" ht="15" hidden="false" customHeight="false" outlineLevel="0" collapsed="false">
      <c r="A2731" s="15" t="s">
        <v>4502</v>
      </c>
      <c r="B2731" s="15" t="s">
        <v>4503</v>
      </c>
      <c r="C2731" s="15" t="s">
        <v>5997</v>
      </c>
      <c r="D2731" s="34" t="n">
        <f aca="false">Activities!M1099</f>
        <v>0</v>
      </c>
      <c r="E2731" s="15" t="s">
        <v>5998</v>
      </c>
    </row>
    <row r="2732" customFormat="false" ht="15" hidden="false" customHeight="false" outlineLevel="0" collapsed="false">
      <c r="A2732" s="15" t="s">
        <v>4502</v>
      </c>
      <c r="B2732" s="15" t="s">
        <v>4503</v>
      </c>
      <c r="C2732" s="15" t="s">
        <v>5999</v>
      </c>
      <c r="D2732" s="34" t="n">
        <f aca="false">Activities!N1099</f>
        <v>2</v>
      </c>
      <c r="E2732" s="15" t="s">
        <v>5998</v>
      </c>
    </row>
    <row r="2733" customFormat="false" ht="15" hidden="false" customHeight="false" outlineLevel="0" collapsed="false">
      <c r="A2733" s="15" t="s">
        <v>4477</v>
      </c>
      <c r="B2733" s="15" t="s">
        <v>4503</v>
      </c>
      <c r="C2733" s="15" t="s">
        <v>5995</v>
      </c>
      <c r="D2733" s="34" t="n">
        <f aca="false">-Activities!K1099</f>
        <v>-10</v>
      </c>
      <c r="E2733" s="15" t="s">
        <v>6004</v>
      </c>
    </row>
    <row r="2734" customFormat="false" ht="15" hidden="false" customHeight="false" outlineLevel="0" collapsed="false">
      <c r="A2734" s="15" t="s">
        <v>4503</v>
      </c>
      <c r="B2734" s="15" t="s">
        <v>4505</v>
      </c>
      <c r="C2734" s="15" t="s">
        <v>5997</v>
      </c>
      <c r="D2734" s="34" t="n">
        <f aca="false">Activities!M1100</f>
        <v>10</v>
      </c>
      <c r="E2734" s="15" t="s">
        <v>5998</v>
      </c>
    </row>
    <row r="2735" customFormat="false" ht="15" hidden="false" customHeight="false" outlineLevel="0" collapsed="false">
      <c r="A2735" s="15" t="s">
        <v>4503</v>
      </c>
      <c r="B2735" s="15" t="s">
        <v>4505</v>
      </c>
      <c r="C2735" s="15" t="s">
        <v>5999</v>
      </c>
      <c r="D2735" s="34" t="n">
        <f aca="false">Activities!N1100</f>
        <v>2</v>
      </c>
      <c r="E2735" s="15" t="s">
        <v>5998</v>
      </c>
    </row>
    <row r="2736" customFormat="false" ht="15" hidden="false" customHeight="false" outlineLevel="0" collapsed="false">
      <c r="A2736" s="15" t="s">
        <v>4477</v>
      </c>
      <c r="B2736" s="15" t="s">
        <v>4505</v>
      </c>
      <c r="C2736" s="15" t="s">
        <v>5995</v>
      </c>
      <c r="D2736" s="34" t="n">
        <v>0</v>
      </c>
      <c r="E2736" s="15" t="s">
        <v>6011</v>
      </c>
    </row>
    <row r="2737" customFormat="false" ht="15" hidden="false" customHeight="false" outlineLevel="0" collapsed="false">
      <c r="A2737" s="15" t="s">
        <v>3365</v>
      </c>
      <c r="B2737" s="15" t="s">
        <v>4505</v>
      </c>
      <c r="C2737" s="15" t="s">
        <v>5995</v>
      </c>
      <c r="D2737" s="34" t="n">
        <v>0</v>
      </c>
      <c r="E2737" s="15" t="s">
        <v>6008</v>
      </c>
    </row>
    <row r="2738" customFormat="false" ht="15" hidden="false" customHeight="false" outlineLevel="0" collapsed="false">
      <c r="A2738" s="15" t="s">
        <v>3318</v>
      </c>
      <c r="B2738" s="15" t="s">
        <v>4505</v>
      </c>
      <c r="C2738" s="15" t="s">
        <v>5995</v>
      </c>
      <c r="D2738" s="34" t="n">
        <v>0</v>
      </c>
      <c r="E2738" s="15" t="s">
        <v>6008</v>
      </c>
    </row>
    <row r="2739" customFormat="false" ht="15" hidden="false" customHeight="false" outlineLevel="0" collapsed="false">
      <c r="A2739" s="15" t="s">
        <v>4505</v>
      </c>
      <c r="B2739" s="15" t="s">
        <v>4506</v>
      </c>
      <c r="C2739" s="15" t="s">
        <v>5997</v>
      </c>
      <c r="D2739" s="34" t="n">
        <f aca="false">Activities!M1101</f>
        <v>1</v>
      </c>
      <c r="E2739" s="15" t="s">
        <v>5998</v>
      </c>
    </row>
    <row r="2740" customFormat="false" ht="15" hidden="false" customHeight="false" outlineLevel="0" collapsed="false">
      <c r="A2740" s="15" t="s">
        <v>4505</v>
      </c>
      <c r="B2740" s="15" t="s">
        <v>4506</v>
      </c>
      <c r="C2740" s="15" t="s">
        <v>5999</v>
      </c>
      <c r="D2740" s="34" t="n">
        <f aca="false">Activities!N1101</f>
        <v>2</v>
      </c>
      <c r="E2740" s="15" t="s">
        <v>5998</v>
      </c>
    </row>
    <row r="2741" customFormat="false" ht="15" hidden="false" customHeight="false" outlineLevel="0" collapsed="false">
      <c r="A2741" s="15" t="s">
        <v>4478</v>
      </c>
      <c r="B2741" s="15" t="s">
        <v>4506</v>
      </c>
      <c r="C2741" s="15" t="s">
        <v>5995</v>
      </c>
      <c r="D2741" s="34" t="n">
        <v>0</v>
      </c>
      <c r="E2741" s="15" t="s">
        <v>6011</v>
      </c>
    </row>
    <row r="2742" customFormat="false" ht="15" hidden="false" customHeight="false" outlineLevel="0" collapsed="false">
      <c r="A2742" s="15" t="s">
        <v>4506</v>
      </c>
      <c r="B2742" s="15" t="s">
        <v>4507</v>
      </c>
      <c r="C2742" s="15" t="s">
        <v>5997</v>
      </c>
      <c r="D2742" s="34" t="n">
        <f aca="false">Activities!M1102</f>
        <v>2</v>
      </c>
      <c r="E2742" s="15" t="s">
        <v>5998</v>
      </c>
    </row>
    <row r="2743" customFormat="false" ht="15" hidden="false" customHeight="false" outlineLevel="0" collapsed="false">
      <c r="A2743" s="15" t="s">
        <v>4506</v>
      </c>
      <c r="B2743" s="15" t="s">
        <v>4507</v>
      </c>
      <c r="C2743" s="15" t="s">
        <v>5999</v>
      </c>
      <c r="D2743" s="34" t="n">
        <f aca="false">Activities!N1102</f>
        <v>2</v>
      </c>
      <c r="E2743" s="15" t="s">
        <v>5998</v>
      </c>
    </row>
    <row r="2744" customFormat="false" ht="15" hidden="false" customHeight="false" outlineLevel="0" collapsed="false">
      <c r="A2744" s="15" t="s">
        <v>4479</v>
      </c>
      <c r="B2744" s="15" t="s">
        <v>4507</v>
      </c>
      <c r="C2744" s="15" t="s">
        <v>5995</v>
      </c>
      <c r="D2744" s="34" t="n">
        <v>0</v>
      </c>
      <c r="E2744" s="15" t="s">
        <v>6011</v>
      </c>
    </row>
    <row r="2745" customFormat="false" ht="15" hidden="false" customHeight="false" outlineLevel="0" collapsed="false">
      <c r="A2745" s="15" t="s">
        <v>4507</v>
      </c>
      <c r="B2745" s="15" t="s">
        <v>4508</v>
      </c>
      <c r="C2745" s="15" t="s">
        <v>5997</v>
      </c>
      <c r="D2745" s="34" t="n">
        <f aca="false">Activities!M1103</f>
        <v>1</v>
      </c>
      <c r="E2745" s="15" t="s">
        <v>5998</v>
      </c>
    </row>
    <row r="2746" customFormat="false" ht="15" hidden="false" customHeight="false" outlineLevel="0" collapsed="false">
      <c r="A2746" s="15" t="s">
        <v>4507</v>
      </c>
      <c r="B2746" s="15" t="s">
        <v>4508</v>
      </c>
      <c r="C2746" s="15" t="s">
        <v>5999</v>
      </c>
      <c r="D2746" s="34" t="n">
        <f aca="false">Activities!N1103</f>
        <v>2</v>
      </c>
      <c r="E2746" s="15" t="s">
        <v>5998</v>
      </c>
    </row>
    <row r="2747" customFormat="false" ht="15" hidden="false" customHeight="false" outlineLevel="0" collapsed="false">
      <c r="A2747" s="15" t="s">
        <v>4508</v>
      </c>
      <c r="B2747" s="15" t="s">
        <v>4509</v>
      </c>
      <c r="C2747" s="15" t="s">
        <v>5997</v>
      </c>
      <c r="D2747" s="34" t="n">
        <f aca="false">Activities!M1104</f>
        <v>2</v>
      </c>
      <c r="E2747" s="15" t="s">
        <v>5998</v>
      </c>
    </row>
    <row r="2748" customFormat="false" ht="15" hidden="false" customHeight="false" outlineLevel="0" collapsed="false">
      <c r="A2748" s="15" t="s">
        <v>4508</v>
      </c>
      <c r="B2748" s="15" t="s">
        <v>4509</v>
      </c>
      <c r="C2748" s="15" t="s">
        <v>5999</v>
      </c>
      <c r="D2748" s="34" t="n">
        <f aca="false">Activities!N1104</f>
        <v>2</v>
      </c>
      <c r="E2748" s="15" t="s">
        <v>5998</v>
      </c>
    </row>
    <row r="2749" customFormat="false" ht="15" hidden="false" customHeight="false" outlineLevel="0" collapsed="false">
      <c r="A2749" s="15" t="s">
        <v>4481</v>
      </c>
      <c r="B2749" s="15" t="s">
        <v>4509</v>
      </c>
      <c r="C2749" s="15" t="s">
        <v>5995</v>
      </c>
      <c r="D2749" s="34" t="n">
        <v>0</v>
      </c>
      <c r="E2749" s="15" t="s">
        <v>6011</v>
      </c>
    </row>
    <row r="2750" customFormat="false" ht="15" hidden="false" customHeight="false" outlineLevel="0" collapsed="false">
      <c r="A2750" s="15" t="s">
        <v>4509</v>
      </c>
      <c r="B2750" s="15" t="s">
        <v>4510</v>
      </c>
      <c r="C2750" s="15" t="s">
        <v>5997</v>
      </c>
      <c r="D2750" s="34" t="n">
        <f aca="false">Activities!M1105</f>
        <v>1</v>
      </c>
      <c r="E2750" s="15" t="s">
        <v>5998</v>
      </c>
    </row>
    <row r="2751" customFormat="false" ht="15" hidden="false" customHeight="false" outlineLevel="0" collapsed="false">
      <c r="A2751" s="15" t="s">
        <v>4509</v>
      </c>
      <c r="B2751" s="15" t="s">
        <v>4510</v>
      </c>
      <c r="C2751" s="15" t="s">
        <v>5999</v>
      </c>
      <c r="D2751" s="34" t="n">
        <f aca="false">Activities!N1105</f>
        <v>2</v>
      </c>
      <c r="E2751" s="15" t="s">
        <v>5998</v>
      </c>
    </row>
    <row r="2752" customFormat="false" ht="15" hidden="false" customHeight="false" outlineLevel="0" collapsed="false">
      <c r="A2752" s="15" t="s">
        <v>4511</v>
      </c>
      <c r="B2752" s="15" t="s">
        <v>4513</v>
      </c>
      <c r="C2752" s="15" t="s">
        <v>5995</v>
      </c>
      <c r="D2752" s="34" t="n">
        <v>0</v>
      </c>
      <c r="E2752" s="15" t="s">
        <v>5996</v>
      </c>
    </row>
    <row r="2753" customFormat="false" ht="15" hidden="false" customHeight="false" outlineLevel="0" collapsed="false">
      <c r="A2753" s="15" t="s">
        <v>4501</v>
      </c>
      <c r="B2753" s="15" t="s">
        <v>4513</v>
      </c>
      <c r="C2753" s="15" t="s">
        <v>5997</v>
      </c>
      <c r="D2753" s="34" t="n">
        <v>0</v>
      </c>
      <c r="E2753" s="15" t="s">
        <v>6000</v>
      </c>
    </row>
    <row r="2754" customFormat="false" ht="15" hidden="false" customHeight="false" outlineLevel="0" collapsed="false">
      <c r="A2754" s="15" t="s">
        <v>4513</v>
      </c>
      <c r="B2754" s="15" t="s">
        <v>4515</v>
      </c>
      <c r="C2754" s="15" t="s">
        <v>5997</v>
      </c>
      <c r="D2754" s="34" t="n">
        <f aca="false">Activities!M1108</f>
        <v>1</v>
      </c>
      <c r="E2754" s="15" t="s">
        <v>5998</v>
      </c>
    </row>
    <row r="2755" customFormat="false" ht="15" hidden="false" customHeight="false" outlineLevel="0" collapsed="false">
      <c r="A2755" s="15" t="s">
        <v>4513</v>
      </c>
      <c r="B2755" s="15" t="s">
        <v>4515</v>
      </c>
      <c r="C2755" s="15" t="s">
        <v>5999</v>
      </c>
      <c r="D2755" s="34" t="n">
        <f aca="false">Activities!N1108</f>
        <v>2</v>
      </c>
      <c r="E2755" s="15" t="s">
        <v>5998</v>
      </c>
    </row>
    <row r="2756" customFormat="false" ht="15" hidden="false" customHeight="false" outlineLevel="0" collapsed="false">
      <c r="A2756" s="15" t="s">
        <v>4515</v>
      </c>
      <c r="B2756" s="15" t="s">
        <v>4516</v>
      </c>
      <c r="C2756" s="15" t="s">
        <v>5997</v>
      </c>
      <c r="D2756" s="34" t="n">
        <f aca="false">Activities!M1109</f>
        <v>1</v>
      </c>
      <c r="E2756" s="15" t="s">
        <v>5998</v>
      </c>
    </row>
    <row r="2757" customFormat="false" ht="15" hidden="false" customHeight="false" outlineLevel="0" collapsed="false">
      <c r="A2757" s="15" t="s">
        <v>4515</v>
      </c>
      <c r="B2757" s="15" t="s">
        <v>4516</v>
      </c>
      <c r="C2757" s="15" t="s">
        <v>5999</v>
      </c>
      <c r="D2757" s="34" t="n">
        <f aca="false">Activities!N1109</f>
        <v>0</v>
      </c>
      <c r="E2757" s="15" t="s">
        <v>5998</v>
      </c>
    </row>
    <row r="2758" customFormat="false" ht="15" hidden="false" customHeight="false" outlineLevel="0" collapsed="false">
      <c r="A2758" s="15" t="s">
        <v>4516</v>
      </c>
      <c r="B2758" s="15" t="s">
        <v>4517</v>
      </c>
      <c r="C2758" s="15" t="s">
        <v>5997</v>
      </c>
      <c r="D2758" s="34" t="n">
        <f aca="false">Activities!M1110</f>
        <v>0</v>
      </c>
      <c r="E2758" s="15" t="s">
        <v>5998</v>
      </c>
    </row>
    <row r="2759" customFormat="false" ht="15" hidden="false" customHeight="false" outlineLevel="0" collapsed="false">
      <c r="A2759" s="15" t="s">
        <v>4516</v>
      </c>
      <c r="B2759" s="15" t="s">
        <v>4517</v>
      </c>
      <c r="C2759" s="15" t="s">
        <v>5999</v>
      </c>
      <c r="D2759" s="34" t="n">
        <f aca="false">Activities!N1110</f>
        <v>2</v>
      </c>
      <c r="E2759" s="15" t="s">
        <v>5998</v>
      </c>
    </row>
    <row r="2760" customFormat="false" ht="15" hidden="false" customHeight="false" outlineLevel="0" collapsed="false">
      <c r="A2760" s="15" t="s">
        <v>4517</v>
      </c>
      <c r="B2760" s="15" t="s">
        <v>4518</v>
      </c>
      <c r="C2760" s="15" t="s">
        <v>5997</v>
      </c>
      <c r="D2760" s="34" t="n">
        <f aca="false">Activities!M1111</f>
        <v>10</v>
      </c>
      <c r="E2760" s="15" t="s">
        <v>5998</v>
      </c>
    </row>
    <row r="2761" customFormat="false" ht="15" hidden="false" customHeight="false" outlineLevel="0" collapsed="false">
      <c r="A2761" s="15" t="s">
        <v>4517</v>
      </c>
      <c r="B2761" s="15" t="s">
        <v>4518</v>
      </c>
      <c r="C2761" s="15" t="s">
        <v>5999</v>
      </c>
      <c r="D2761" s="34" t="n">
        <f aca="false">Activities!N1111</f>
        <v>2</v>
      </c>
      <c r="E2761" s="15" t="s">
        <v>5998</v>
      </c>
    </row>
    <row r="2762" customFormat="false" ht="15" hidden="false" customHeight="false" outlineLevel="0" collapsed="false">
      <c r="A2762" s="15" t="s">
        <v>3318</v>
      </c>
      <c r="B2762" s="15" t="s">
        <v>4518</v>
      </c>
      <c r="C2762" s="15" t="s">
        <v>5995</v>
      </c>
      <c r="D2762" s="34" t="n">
        <v>0</v>
      </c>
      <c r="E2762" s="15" t="s">
        <v>6008</v>
      </c>
    </row>
    <row r="2763" customFormat="false" ht="15" hidden="false" customHeight="false" outlineLevel="0" collapsed="false">
      <c r="A2763" s="15" t="s">
        <v>4518</v>
      </c>
      <c r="B2763" s="15" t="s">
        <v>4520</v>
      </c>
      <c r="C2763" s="15" t="s">
        <v>5997</v>
      </c>
      <c r="D2763" s="34" t="n">
        <f aca="false">Activities!M1112</f>
        <v>1</v>
      </c>
      <c r="E2763" s="15" t="s">
        <v>5998</v>
      </c>
    </row>
    <row r="2764" customFormat="false" ht="15" hidden="false" customHeight="false" outlineLevel="0" collapsed="false">
      <c r="A2764" s="15" t="s">
        <v>4518</v>
      </c>
      <c r="B2764" s="15" t="s">
        <v>4520</v>
      </c>
      <c r="C2764" s="15" t="s">
        <v>5999</v>
      </c>
      <c r="D2764" s="34" t="n">
        <f aca="false">Activities!N1112</f>
        <v>2</v>
      </c>
      <c r="E2764" s="15" t="s">
        <v>5998</v>
      </c>
    </row>
    <row r="2765" customFormat="false" ht="15" hidden="false" customHeight="false" outlineLevel="0" collapsed="false">
      <c r="A2765" s="15" t="s">
        <v>4520</v>
      </c>
      <c r="B2765" s="15" t="s">
        <v>4521</v>
      </c>
      <c r="C2765" s="15" t="s">
        <v>5997</v>
      </c>
      <c r="D2765" s="34" t="n">
        <f aca="false">Activities!M1113</f>
        <v>2</v>
      </c>
      <c r="E2765" s="15" t="s">
        <v>5998</v>
      </c>
    </row>
    <row r="2766" customFormat="false" ht="15" hidden="false" customHeight="false" outlineLevel="0" collapsed="false">
      <c r="A2766" s="15" t="s">
        <v>4520</v>
      </c>
      <c r="B2766" s="15" t="s">
        <v>4521</v>
      </c>
      <c r="C2766" s="15" t="s">
        <v>5999</v>
      </c>
      <c r="D2766" s="34" t="n">
        <f aca="false">Activities!N1113</f>
        <v>2</v>
      </c>
      <c r="E2766" s="15" t="s">
        <v>5998</v>
      </c>
    </row>
    <row r="2767" customFormat="false" ht="15" hidden="false" customHeight="false" outlineLevel="0" collapsed="false">
      <c r="A2767" s="15" t="s">
        <v>4507</v>
      </c>
      <c r="B2767" s="15" t="s">
        <v>4521</v>
      </c>
      <c r="C2767" s="15" t="s">
        <v>5995</v>
      </c>
      <c r="D2767" s="34" t="n">
        <v>0</v>
      </c>
      <c r="E2767" s="15" t="s">
        <v>6001</v>
      </c>
    </row>
    <row r="2768" customFormat="false" ht="15" hidden="false" customHeight="false" outlineLevel="0" collapsed="false">
      <c r="A2768" s="15" t="s">
        <v>4521</v>
      </c>
      <c r="B2768" s="15" t="s">
        <v>4523</v>
      </c>
      <c r="C2768" s="15" t="s">
        <v>5997</v>
      </c>
      <c r="D2768" s="34" t="n">
        <f aca="false">Activities!M1114</f>
        <v>2</v>
      </c>
      <c r="E2768" s="15" t="s">
        <v>5998</v>
      </c>
    </row>
    <row r="2769" customFormat="false" ht="15" hidden="false" customHeight="false" outlineLevel="0" collapsed="false">
      <c r="A2769" s="15" t="s">
        <v>4521</v>
      </c>
      <c r="B2769" s="15" t="s">
        <v>4523</v>
      </c>
      <c r="C2769" s="15" t="s">
        <v>5999</v>
      </c>
      <c r="D2769" s="34" t="n">
        <f aca="false">Activities!N1114</f>
        <v>2</v>
      </c>
      <c r="E2769" s="15" t="s">
        <v>5998</v>
      </c>
    </row>
    <row r="2770" customFormat="false" ht="15" hidden="false" customHeight="false" outlineLevel="0" collapsed="false">
      <c r="A2770" s="15" t="s">
        <v>4523</v>
      </c>
      <c r="B2770" s="15" t="s">
        <v>4524</v>
      </c>
      <c r="C2770" s="15" t="s">
        <v>5997</v>
      </c>
      <c r="D2770" s="34" t="n">
        <f aca="false">Activities!M1115</f>
        <v>2</v>
      </c>
      <c r="E2770" s="15" t="s">
        <v>5998</v>
      </c>
    </row>
    <row r="2771" customFormat="false" ht="15" hidden="false" customHeight="false" outlineLevel="0" collapsed="false">
      <c r="A2771" s="15" t="s">
        <v>4523</v>
      </c>
      <c r="B2771" s="15" t="s">
        <v>4524</v>
      </c>
      <c r="C2771" s="15" t="s">
        <v>5999</v>
      </c>
      <c r="D2771" s="34" t="n">
        <f aca="false">Activities!N1115</f>
        <v>2</v>
      </c>
      <c r="E2771" s="15" t="s">
        <v>5998</v>
      </c>
    </row>
    <row r="2772" customFormat="false" ht="15" hidden="false" customHeight="false" outlineLevel="0" collapsed="false">
      <c r="A2772" s="15" t="s">
        <v>4524</v>
      </c>
      <c r="B2772" s="15" t="s">
        <v>4525</v>
      </c>
      <c r="C2772" s="15" t="s">
        <v>5997</v>
      </c>
      <c r="D2772" s="34" t="n">
        <f aca="false">Activities!M1116</f>
        <v>1</v>
      </c>
      <c r="E2772" s="15" t="s">
        <v>5998</v>
      </c>
    </row>
    <row r="2773" customFormat="false" ht="15" hidden="false" customHeight="false" outlineLevel="0" collapsed="false">
      <c r="A2773" s="15" t="s">
        <v>4524</v>
      </c>
      <c r="B2773" s="15" t="s">
        <v>4525</v>
      </c>
      <c r="C2773" s="15" t="s">
        <v>5999</v>
      </c>
      <c r="D2773" s="34" t="n">
        <f aca="false">Activities!N1116</f>
        <v>2</v>
      </c>
      <c r="E2773" s="15" t="s">
        <v>5998</v>
      </c>
    </row>
    <row r="2774" customFormat="false" ht="15" hidden="false" customHeight="false" outlineLevel="0" collapsed="false">
      <c r="A2774" s="15" t="s">
        <v>4526</v>
      </c>
      <c r="B2774" s="15" t="s">
        <v>4528</v>
      </c>
      <c r="C2774" s="15" t="s">
        <v>5995</v>
      </c>
      <c r="D2774" s="34" t="n">
        <v>0</v>
      </c>
      <c r="E2774" s="15" t="s">
        <v>5996</v>
      </c>
    </row>
    <row r="2775" customFormat="false" ht="15" hidden="false" customHeight="false" outlineLevel="0" collapsed="false">
      <c r="A2775" s="15" t="s">
        <v>4398</v>
      </c>
      <c r="B2775" s="15" t="s">
        <v>4528</v>
      </c>
      <c r="C2775" s="15" t="s">
        <v>5997</v>
      </c>
      <c r="D2775" s="34" t="n">
        <v>0</v>
      </c>
      <c r="E2775" s="15" t="s">
        <v>6000</v>
      </c>
    </row>
    <row r="2776" customFormat="false" ht="15" hidden="false" customHeight="false" outlineLevel="0" collapsed="false">
      <c r="A2776" s="15" t="s">
        <v>4528</v>
      </c>
      <c r="B2776" s="15" t="s">
        <v>4530</v>
      </c>
      <c r="C2776" s="15" t="s">
        <v>5997</v>
      </c>
      <c r="D2776" s="34" t="n">
        <f aca="false">Activities!M1119</f>
        <v>1</v>
      </c>
      <c r="E2776" s="15" t="s">
        <v>5998</v>
      </c>
    </row>
    <row r="2777" customFormat="false" ht="15" hidden="false" customHeight="false" outlineLevel="0" collapsed="false">
      <c r="A2777" s="15" t="s">
        <v>4528</v>
      </c>
      <c r="B2777" s="15" t="s">
        <v>4530</v>
      </c>
      <c r="C2777" s="15" t="s">
        <v>5999</v>
      </c>
      <c r="D2777" s="34" t="n">
        <f aca="false">Activities!N1119</f>
        <v>2</v>
      </c>
      <c r="E2777" s="15" t="s">
        <v>5998</v>
      </c>
    </row>
    <row r="2778" customFormat="false" ht="15" hidden="false" customHeight="false" outlineLevel="0" collapsed="false">
      <c r="A2778" s="15" t="s">
        <v>4530</v>
      </c>
      <c r="B2778" s="15" t="s">
        <v>4531</v>
      </c>
      <c r="C2778" s="15" t="s">
        <v>5997</v>
      </c>
      <c r="D2778" s="34" t="n">
        <f aca="false">Activities!M1120</f>
        <v>1</v>
      </c>
      <c r="E2778" s="15" t="s">
        <v>5998</v>
      </c>
    </row>
    <row r="2779" customFormat="false" ht="15" hidden="false" customHeight="false" outlineLevel="0" collapsed="false">
      <c r="A2779" s="15" t="s">
        <v>4530</v>
      </c>
      <c r="B2779" s="15" t="s">
        <v>4531</v>
      </c>
      <c r="C2779" s="15" t="s">
        <v>5999</v>
      </c>
      <c r="D2779" s="34" t="n">
        <f aca="false">Activities!N1120</f>
        <v>0</v>
      </c>
      <c r="E2779" s="15" t="s">
        <v>5998</v>
      </c>
    </row>
    <row r="2780" customFormat="false" ht="15" hidden="false" customHeight="false" outlineLevel="0" collapsed="false">
      <c r="A2780" s="15" t="s">
        <v>4531</v>
      </c>
      <c r="B2780" s="15" t="s">
        <v>4532</v>
      </c>
      <c r="C2780" s="15" t="s">
        <v>5997</v>
      </c>
      <c r="D2780" s="34" t="n">
        <f aca="false">Activities!M1121</f>
        <v>0</v>
      </c>
      <c r="E2780" s="15" t="s">
        <v>5998</v>
      </c>
    </row>
    <row r="2781" customFormat="false" ht="15" hidden="false" customHeight="false" outlineLevel="0" collapsed="false">
      <c r="A2781" s="15" t="s">
        <v>4531</v>
      </c>
      <c r="B2781" s="15" t="s">
        <v>4532</v>
      </c>
      <c r="C2781" s="15" t="s">
        <v>5999</v>
      </c>
      <c r="D2781" s="34" t="n">
        <f aca="false">Activities!N1121</f>
        <v>2</v>
      </c>
      <c r="E2781" s="15" t="s">
        <v>5998</v>
      </c>
    </row>
    <row r="2782" customFormat="false" ht="15" hidden="false" customHeight="false" outlineLevel="0" collapsed="false">
      <c r="A2782" s="15" t="s">
        <v>4532</v>
      </c>
      <c r="B2782" s="15" t="s">
        <v>4533</v>
      </c>
      <c r="C2782" s="15" t="s">
        <v>5997</v>
      </c>
      <c r="D2782" s="34" t="n">
        <f aca="false">Activities!M1122</f>
        <v>10</v>
      </c>
      <c r="E2782" s="15" t="s">
        <v>5998</v>
      </c>
    </row>
    <row r="2783" customFormat="false" ht="15" hidden="false" customHeight="false" outlineLevel="0" collapsed="false">
      <c r="A2783" s="15" t="s">
        <v>4532</v>
      </c>
      <c r="B2783" s="15" t="s">
        <v>4533</v>
      </c>
      <c r="C2783" s="15" t="s">
        <v>5999</v>
      </c>
      <c r="D2783" s="34" t="n">
        <f aca="false">Activities!N1122</f>
        <v>2</v>
      </c>
      <c r="E2783" s="15" t="s">
        <v>5998</v>
      </c>
    </row>
    <row r="2784" customFormat="false" ht="15" hidden="false" customHeight="false" outlineLevel="0" collapsed="false">
      <c r="A2784" s="15" t="s">
        <v>5594</v>
      </c>
      <c r="B2784" s="15" t="s">
        <v>4533</v>
      </c>
      <c r="C2784" s="15" t="s">
        <v>5995</v>
      </c>
      <c r="D2784" s="34" t="n">
        <v>0</v>
      </c>
      <c r="E2784" s="15" t="s">
        <v>6008</v>
      </c>
    </row>
    <row r="2785" customFormat="false" ht="15" hidden="false" customHeight="false" outlineLevel="0" collapsed="false">
      <c r="A2785" s="15" t="s">
        <v>4533</v>
      </c>
      <c r="B2785" s="15" t="s">
        <v>4534</v>
      </c>
      <c r="C2785" s="15" t="s">
        <v>5997</v>
      </c>
      <c r="D2785" s="34" t="n">
        <f aca="false">Activities!M1123</f>
        <v>1</v>
      </c>
      <c r="E2785" s="15" t="s">
        <v>5998</v>
      </c>
    </row>
    <row r="2786" customFormat="false" ht="15" hidden="false" customHeight="false" outlineLevel="0" collapsed="false">
      <c r="A2786" s="15" t="s">
        <v>4533</v>
      </c>
      <c r="B2786" s="15" t="s">
        <v>4534</v>
      </c>
      <c r="C2786" s="15" t="s">
        <v>5999</v>
      </c>
      <c r="D2786" s="34" t="n">
        <f aca="false">Activities!N1123</f>
        <v>2</v>
      </c>
      <c r="E2786" s="15" t="s">
        <v>5998</v>
      </c>
    </row>
    <row r="2787" customFormat="false" ht="15" hidden="false" customHeight="false" outlineLevel="0" collapsed="false">
      <c r="A2787" s="15" t="s">
        <v>4534</v>
      </c>
      <c r="B2787" s="15" t="s">
        <v>4535</v>
      </c>
      <c r="C2787" s="15" t="s">
        <v>5997</v>
      </c>
      <c r="D2787" s="34" t="n">
        <f aca="false">Activities!M1124</f>
        <v>2</v>
      </c>
      <c r="E2787" s="15" t="s">
        <v>5998</v>
      </c>
    </row>
    <row r="2788" customFormat="false" ht="15" hidden="false" customHeight="false" outlineLevel="0" collapsed="false">
      <c r="A2788" s="15" t="s">
        <v>4534</v>
      </c>
      <c r="B2788" s="15" t="s">
        <v>4535</v>
      </c>
      <c r="C2788" s="15" t="s">
        <v>5999</v>
      </c>
      <c r="D2788" s="34" t="n">
        <f aca="false">Activities!N1124</f>
        <v>2</v>
      </c>
      <c r="E2788" s="15" t="s">
        <v>5998</v>
      </c>
    </row>
    <row r="2789" customFormat="false" ht="15" hidden="false" customHeight="false" outlineLevel="0" collapsed="false">
      <c r="A2789" s="15" t="s">
        <v>4405</v>
      </c>
      <c r="B2789" s="15" t="s">
        <v>4535</v>
      </c>
      <c r="C2789" s="15" t="s">
        <v>5995</v>
      </c>
      <c r="D2789" s="34" t="n">
        <v>0</v>
      </c>
      <c r="E2789" s="15" t="s">
        <v>6001</v>
      </c>
    </row>
    <row r="2790" customFormat="false" ht="15" hidden="false" customHeight="false" outlineLevel="0" collapsed="false">
      <c r="A2790" s="15" t="s">
        <v>4535</v>
      </c>
      <c r="B2790" s="15" t="s">
        <v>4537</v>
      </c>
      <c r="C2790" s="15" t="s">
        <v>5997</v>
      </c>
      <c r="D2790" s="34" t="n">
        <f aca="false">Activities!M1125</f>
        <v>2</v>
      </c>
      <c r="E2790" s="15" t="s">
        <v>5998</v>
      </c>
    </row>
    <row r="2791" customFormat="false" ht="15" hidden="false" customHeight="false" outlineLevel="0" collapsed="false">
      <c r="A2791" s="15" t="s">
        <v>4535</v>
      </c>
      <c r="B2791" s="15" t="s">
        <v>4537</v>
      </c>
      <c r="C2791" s="15" t="s">
        <v>5999</v>
      </c>
      <c r="D2791" s="34" t="n">
        <f aca="false">Activities!N1125</f>
        <v>2</v>
      </c>
      <c r="E2791" s="15" t="s">
        <v>5998</v>
      </c>
    </row>
    <row r="2792" customFormat="false" ht="15" hidden="false" customHeight="false" outlineLevel="0" collapsed="false">
      <c r="A2792" s="15" t="s">
        <v>4537</v>
      </c>
      <c r="B2792" s="15" t="s">
        <v>4538</v>
      </c>
      <c r="C2792" s="15" t="s">
        <v>5997</v>
      </c>
      <c r="D2792" s="34" t="n">
        <f aca="false">Activities!M1126</f>
        <v>2</v>
      </c>
      <c r="E2792" s="15" t="s">
        <v>5998</v>
      </c>
    </row>
    <row r="2793" customFormat="false" ht="15" hidden="false" customHeight="false" outlineLevel="0" collapsed="false">
      <c r="A2793" s="15" t="s">
        <v>4537</v>
      </c>
      <c r="B2793" s="15" t="s">
        <v>4538</v>
      </c>
      <c r="C2793" s="15" t="s">
        <v>5999</v>
      </c>
      <c r="D2793" s="34" t="n">
        <f aca="false">Activities!N1126</f>
        <v>2</v>
      </c>
      <c r="E2793" s="15" t="s">
        <v>5998</v>
      </c>
    </row>
    <row r="2794" customFormat="false" ht="15" hidden="false" customHeight="false" outlineLevel="0" collapsed="false">
      <c r="A2794" s="15" t="s">
        <v>4538</v>
      </c>
      <c r="B2794" s="15" t="s">
        <v>4539</v>
      </c>
      <c r="C2794" s="15" t="s">
        <v>5997</v>
      </c>
      <c r="D2794" s="34" t="n">
        <f aca="false">Activities!M1127</f>
        <v>1</v>
      </c>
      <c r="E2794" s="15" t="s">
        <v>5998</v>
      </c>
    </row>
    <row r="2795" customFormat="false" ht="15" hidden="false" customHeight="false" outlineLevel="0" collapsed="false">
      <c r="A2795" s="15" t="s">
        <v>4538</v>
      </c>
      <c r="B2795" s="15" t="s">
        <v>4539</v>
      </c>
      <c r="C2795" s="15" t="s">
        <v>5999</v>
      </c>
      <c r="D2795" s="34" t="n">
        <f aca="false">Activities!N1127</f>
        <v>2</v>
      </c>
      <c r="E2795" s="15" t="s">
        <v>5998</v>
      </c>
    </row>
    <row r="2796" customFormat="false" ht="15" hidden="false" customHeight="false" outlineLevel="0" collapsed="false">
      <c r="A2796" s="15" t="s">
        <v>4540</v>
      </c>
      <c r="B2796" s="15" t="s">
        <v>4542</v>
      </c>
      <c r="C2796" s="15" t="s">
        <v>5995</v>
      </c>
      <c r="D2796" s="34" t="n">
        <v>0</v>
      </c>
      <c r="E2796" s="15" t="s">
        <v>5996</v>
      </c>
    </row>
    <row r="2797" customFormat="false" ht="15" hidden="false" customHeight="false" outlineLevel="0" collapsed="false">
      <c r="A2797" s="15" t="s">
        <v>4382</v>
      </c>
      <c r="B2797" s="15" t="s">
        <v>4542</v>
      </c>
      <c r="C2797" s="15" t="s">
        <v>5997</v>
      </c>
      <c r="D2797" s="34" t="n">
        <v>0</v>
      </c>
      <c r="E2797" s="15" t="s">
        <v>6000</v>
      </c>
    </row>
    <row r="2798" customFormat="false" ht="15" hidden="false" customHeight="false" outlineLevel="0" collapsed="false">
      <c r="A2798" s="15" t="s">
        <v>4542</v>
      </c>
      <c r="B2798" s="15" t="s">
        <v>4544</v>
      </c>
      <c r="C2798" s="15" t="s">
        <v>5997</v>
      </c>
      <c r="D2798" s="34" t="n">
        <f aca="false">Activities!M1130</f>
        <v>1</v>
      </c>
      <c r="E2798" s="15" t="s">
        <v>5998</v>
      </c>
    </row>
    <row r="2799" customFormat="false" ht="15" hidden="false" customHeight="false" outlineLevel="0" collapsed="false">
      <c r="A2799" s="15" t="s">
        <v>4542</v>
      </c>
      <c r="B2799" s="15" t="s">
        <v>4544</v>
      </c>
      <c r="C2799" s="15" t="s">
        <v>5999</v>
      </c>
      <c r="D2799" s="34" t="n">
        <f aca="false">Activities!N1130</f>
        <v>2</v>
      </c>
      <c r="E2799" s="15" t="s">
        <v>5998</v>
      </c>
    </row>
    <row r="2800" customFormat="false" ht="15" hidden="false" customHeight="false" outlineLevel="0" collapsed="false">
      <c r="A2800" s="15" t="s">
        <v>4544</v>
      </c>
      <c r="B2800" s="15" t="s">
        <v>4545</v>
      </c>
      <c r="C2800" s="15" t="s">
        <v>5997</v>
      </c>
      <c r="D2800" s="34" t="n">
        <f aca="false">Activities!M1131</f>
        <v>1</v>
      </c>
      <c r="E2800" s="15" t="s">
        <v>5998</v>
      </c>
    </row>
    <row r="2801" customFormat="false" ht="15" hidden="false" customHeight="false" outlineLevel="0" collapsed="false">
      <c r="A2801" s="15" t="s">
        <v>4544</v>
      </c>
      <c r="B2801" s="15" t="s">
        <v>4545</v>
      </c>
      <c r="C2801" s="15" t="s">
        <v>5999</v>
      </c>
      <c r="D2801" s="34" t="n">
        <f aca="false">Activities!N1131</f>
        <v>0</v>
      </c>
      <c r="E2801" s="15" t="s">
        <v>5998</v>
      </c>
    </row>
    <row r="2802" customFormat="false" ht="15" hidden="false" customHeight="false" outlineLevel="0" collapsed="false">
      <c r="A2802" s="15" t="s">
        <v>4545</v>
      </c>
      <c r="B2802" s="15" t="s">
        <v>4546</v>
      </c>
      <c r="C2802" s="15" t="s">
        <v>5997</v>
      </c>
      <c r="D2802" s="34" t="n">
        <f aca="false">Activities!M1132</f>
        <v>0</v>
      </c>
      <c r="E2802" s="15" t="s">
        <v>5998</v>
      </c>
    </row>
    <row r="2803" customFormat="false" ht="15" hidden="false" customHeight="false" outlineLevel="0" collapsed="false">
      <c r="A2803" s="15" t="s">
        <v>4545</v>
      </c>
      <c r="B2803" s="15" t="s">
        <v>4546</v>
      </c>
      <c r="C2803" s="15" t="s">
        <v>5999</v>
      </c>
      <c r="D2803" s="34" t="n">
        <f aca="false">Activities!N1132</f>
        <v>2</v>
      </c>
      <c r="E2803" s="15" t="s">
        <v>5998</v>
      </c>
    </row>
    <row r="2804" customFormat="false" ht="15" hidden="false" customHeight="false" outlineLevel="0" collapsed="false">
      <c r="A2804" s="15" t="s">
        <v>4546</v>
      </c>
      <c r="B2804" s="15" t="s">
        <v>4547</v>
      </c>
      <c r="C2804" s="15" t="s">
        <v>5997</v>
      </c>
      <c r="D2804" s="34" t="n">
        <f aca="false">Activities!M1133</f>
        <v>10</v>
      </c>
      <c r="E2804" s="15" t="s">
        <v>5998</v>
      </c>
    </row>
    <row r="2805" customFormat="false" ht="15" hidden="false" customHeight="false" outlineLevel="0" collapsed="false">
      <c r="A2805" s="15" t="s">
        <v>4546</v>
      </c>
      <c r="B2805" s="15" t="s">
        <v>4547</v>
      </c>
      <c r="C2805" s="15" t="s">
        <v>5999</v>
      </c>
      <c r="D2805" s="34" t="n">
        <f aca="false">Activities!N1133</f>
        <v>2</v>
      </c>
      <c r="E2805" s="15" t="s">
        <v>5998</v>
      </c>
    </row>
    <row r="2806" customFormat="false" ht="15" hidden="false" customHeight="false" outlineLevel="0" collapsed="false">
      <c r="A2806" s="15" t="s">
        <v>5082</v>
      </c>
      <c r="B2806" s="15" t="s">
        <v>4547</v>
      </c>
      <c r="C2806" s="15" t="s">
        <v>5995</v>
      </c>
      <c r="D2806" s="34" t="n">
        <v>0</v>
      </c>
      <c r="E2806" s="15" t="s">
        <v>6008</v>
      </c>
    </row>
    <row r="2807" customFormat="false" ht="15" hidden="false" customHeight="false" outlineLevel="0" collapsed="false">
      <c r="A2807" s="15" t="s">
        <v>4547</v>
      </c>
      <c r="B2807" s="15" t="s">
        <v>4549</v>
      </c>
      <c r="C2807" s="15" t="s">
        <v>5997</v>
      </c>
      <c r="D2807" s="34" t="n">
        <f aca="false">Activities!M1134</f>
        <v>1</v>
      </c>
      <c r="E2807" s="15" t="s">
        <v>5998</v>
      </c>
    </row>
    <row r="2808" customFormat="false" ht="15" hidden="false" customHeight="false" outlineLevel="0" collapsed="false">
      <c r="A2808" s="15" t="s">
        <v>4547</v>
      </c>
      <c r="B2808" s="15" t="s">
        <v>4549</v>
      </c>
      <c r="C2808" s="15" t="s">
        <v>5999</v>
      </c>
      <c r="D2808" s="34" t="n">
        <f aca="false">Activities!N1134</f>
        <v>2</v>
      </c>
      <c r="E2808" s="15" t="s">
        <v>5998</v>
      </c>
    </row>
    <row r="2809" customFormat="false" ht="15" hidden="false" customHeight="false" outlineLevel="0" collapsed="false">
      <c r="A2809" s="15" t="s">
        <v>4549</v>
      </c>
      <c r="B2809" s="15" t="s">
        <v>4550</v>
      </c>
      <c r="C2809" s="15" t="s">
        <v>5997</v>
      </c>
      <c r="D2809" s="34" t="n">
        <f aca="false">Activities!M1135</f>
        <v>2</v>
      </c>
      <c r="E2809" s="15" t="s">
        <v>5998</v>
      </c>
    </row>
    <row r="2810" customFormat="false" ht="15" hidden="false" customHeight="false" outlineLevel="0" collapsed="false">
      <c r="A2810" s="15" t="s">
        <v>4549</v>
      </c>
      <c r="B2810" s="15" t="s">
        <v>4550</v>
      </c>
      <c r="C2810" s="15" t="s">
        <v>5999</v>
      </c>
      <c r="D2810" s="34" t="n">
        <f aca="false">Activities!N1135</f>
        <v>2</v>
      </c>
      <c r="E2810" s="15" t="s">
        <v>5998</v>
      </c>
    </row>
    <row r="2811" customFormat="false" ht="15" hidden="false" customHeight="false" outlineLevel="0" collapsed="false">
      <c r="A2811" s="15" t="s">
        <v>4389</v>
      </c>
      <c r="B2811" s="15" t="s">
        <v>4550</v>
      </c>
      <c r="C2811" s="15" t="s">
        <v>5995</v>
      </c>
      <c r="D2811" s="34" t="n">
        <v>0</v>
      </c>
      <c r="E2811" s="15" t="s">
        <v>6001</v>
      </c>
    </row>
    <row r="2812" customFormat="false" ht="15" hidden="false" customHeight="false" outlineLevel="0" collapsed="false">
      <c r="A2812" s="15" t="s">
        <v>4550</v>
      </c>
      <c r="B2812" s="15" t="s">
        <v>4552</v>
      </c>
      <c r="C2812" s="15" t="s">
        <v>5997</v>
      </c>
      <c r="D2812" s="34" t="n">
        <f aca="false">Activities!M1136</f>
        <v>2</v>
      </c>
      <c r="E2812" s="15" t="s">
        <v>5998</v>
      </c>
    </row>
    <row r="2813" customFormat="false" ht="15" hidden="false" customHeight="false" outlineLevel="0" collapsed="false">
      <c r="A2813" s="15" t="s">
        <v>4550</v>
      </c>
      <c r="B2813" s="15" t="s">
        <v>4552</v>
      </c>
      <c r="C2813" s="15" t="s">
        <v>5999</v>
      </c>
      <c r="D2813" s="34" t="n">
        <f aca="false">Activities!N1136</f>
        <v>2</v>
      </c>
      <c r="E2813" s="15" t="s">
        <v>5998</v>
      </c>
    </row>
    <row r="2814" customFormat="false" ht="15" hidden="false" customHeight="false" outlineLevel="0" collapsed="false">
      <c r="A2814" s="15" t="s">
        <v>4552</v>
      </c>
      <c r="B2814" s="15" t="s">
        <v>4553</v>
      </c>
      <c r="C2814" s="15" t="s">
        <v>5997</v>
      </c>
      <c r="D2814" s="34" t="n">
        <f aca="false">Activities!M1137</f>
        <v>2</v>
      </c>
      <c r="E2814" s="15" t="s">
        <v>5998</v>
      </c>
    </row>
    <row r="2815" customFormat="false" ht="15" hidden="false" customHeight="false" outlineLevel="0" collapsed="false">
      <c r="A2815" s="15" t="s">
        <v>4552</v>
      </c>
      <c r="B2815" s="15" t="s">
        <v>4553</v>
      </c>
      <c r="C2815" s="15" t="s">
        <v>5999</v>
      </c>
      <c r="D2815" s="34" t="n">
        <f aca="false">Activities!N1137</f>
        <v>2</v>
      </c>
      <c r="E2815" s="15" t="s">
        <v>5998</v>
      </c>
    </row>
    <row r="2816" customFormat="false" ht="15" hidden="false" customHeight="false" outlineLevel="0" collapsed="false">
      <c r="A2816" s="15" t="s">
        <v>4553</v>
      </c>
      <c r="B2816" s="15" t="s">
        <v>4554</v>
      </c>
      <c r="C2816" s="15" t="s">
        <v>5997</v>
      </c>
      <c r="D2816" s="34" t="n">
        <f aca="false">Activities!M1138</f>
        <v>1</v>
      </c>
      <c r="E2816" s="15" t="s">
        <v>5998</v>
      </c>
    </row>
    <row r="2817" customFormat="false" ht="15" hidden="false" customHeight="false" outlineLevel="0" collapsed="false">
      <c r="A2817" s="15" t="s">
        <v>4553</v>
      </c>
      <c r="B2817" s="15" t="s">
        <v>4554</v>
      </c>
      <c r="C2817" s="15" t="s">
        <v>5999</v>
      </c>
      <c r="D2817" s="34" t="n">
        <f aca="false">Activities!N1138</f>
        <v>2</v>
      </c>
      <c r="E2817" s="15" t="s">
        <v>5998</v>
      </c>
    </row>
    <row r="2818" customFormat="false" ht="15" hidden="false" customHeight="false" outlineLevel="0" collapsed="false">
      <c r="A2818" s="15" t="s">
        <v>4555</v>
      </c>
      <c r="B2818" s="15" t="s">
        <v>4557</v>
      </c>
      <c r="C2818" s="15" t="s">
        <v>5995</v>
      </c>
      <c r="D2818" s="34" t="n">
        <v>0</v>
      </c>
      <c r="E2818" s="15" t="s">
        <v>5996</v>
      </c>
    </row>
    <row r="2819" customFormat="false" ht="15" hidden="false" customHeight="false" outlineLevel="0" collapsed="false">
      <c r="A2819" s="15" t="s">
        <v>4557</v>
      </c>
      <c r="B2819" s="15" t="s">
        <v>4558</v>
      </c>
      <c r="C2819" s="15" t="s">
        <v>5997</v>
      </c>
      <c r="D2819" s="34" t="n">
        <f aca="false">Activities!M1141</f>
        <v>1</v>
      </c>
      <c r="E2819" s="15" t="s">
        <v>5998</v>
      </c>
    </row>
    <row r="2820" customFormat="false" ht="15" hidden="false" customHeight="false" outlineLevel="0" collapsed="false">
      <c r="A2820" s="15" t="s">
        <v>4557</v>
      </c>
      <c r="B2820" s="15" t="s">
        <v>4558</v>
      </c>
      <c r="C2820" s="15" t="s">
        <v>5999</v>
      </c>
      <c r="D2820" s="34" t="n">
        <f aca="false">Activities!N1141</f>
        <v>2</v>
      </c>
      <c r="E2820" s="15" t="s">
        <v>5998</v>
      </c>
    </row>
    <row r="2821" customFormat="false" ht="15" hidden="false" customHeight="false" outlineLevel="0" collapsed="false">
      <c r="A2821" s="15" t="s">
        <v>4558</v>
      </c>
      <c r="B2821" s="15" t="s">
        <v>4559</v>
      </c>
      <c r="C2821" s="15" t="s">
        <v>5997</v>
      </c>
      <c r="D2821" s="34" t="n">
        <f aca="false">Activities!M1142</f>
        <v>2</v>
      </c>
      <c r="E2821" s="15" t="s">
        <v>5998</v>
      </c>
    </row>
    <row r="2822" customFormat="false" ht="15" hidden="false" customHeight="false" outlineLevel="0" collapsed="false">
      <c r="A2822" s="15" t="s">
        <v>4558</v>
      </c>
      <c r="B2822" s="15" t="s">
        <v>4559</v>
      </c>
      <c r="C2822" s="15" t="s">
        <v>5999</v>
      </c>
      <c r="D2822" s="34" t="n">
        <f aca="false">Activities!N1142</f>
        <v>2</v>
      </c>
      <c r="E2822" s="15" t="s">
        <v>5998</v>
      </c>
    </row>
    <row r="2823" customFormat="false" ht="15" hidden="false" customHeight="false" outlineLevel="0" collapsed="false">
      <c r="A2823" s="15" t="s">
        <v>4559</v>
      </c>
      <c r="B2823" s="15" t="s">
        <v>4560</v>
      </c>
      <c r="C2823" s="15" t="s">
        <v>5997</v>
      </c>
      <c r="D2823" s="34" t="n">
        <f aca="false">Activities!M1143</f>
        <v>2</v>
      </c>
      <c r="E2823" s="15" t="s">
        <v>5998</v>
      </c>
    </row>
    <row r="2824" customFormat="false" ht="15" hidden="false" customHeight="false" outlineLevel="0" collapsed="false">
      <c r="A2824" s="15" t="s">
        <v>4559</v>
      </c>
      <c r="B2824" s="15" t="s">
        <v>4560</v>
      </c>
      <c r="C2824" s="15" t="s">
        <v>5999</v>
      </c>
      <c r="D2824" s="34" t="n">
        <f aca="false">Activities!N1143</f>
        <v>2</v>
      </c>
      <c r="E2824" s="15" t="s">
        <v>5998</v>
      </c>
    </row>
    <row r="2825" customFormat="false" ht="15" hidden="false" customHeight="false" outlineLevel="0" collapsed="false">
      <c r="A2825" s="15" t="s">
        <v>4560</v>
      </c>
      <c r="B2825" s="15" t="s">
        <v>4561</v>
      </c>
      <c r="C2825" s="15" t="s">
        <v>5997</v>
      </c>
      <c r="D2825" s="34" t="n">
        <f aca="false">Activities!M1144</f>
        <v>10</v>
      </c>
      <c r="E2825" s="15" t="s">
        <v>5998</v>
      </c>
    </row>
    <row r="2826" customFormat="false" ht="15" hidden="false" customHeight="false" outlineLevel="0" collapsed="false">
      <c r="A2826" s="15" t="s">
        <v>4560</v>
      </c>
      <c r="B2826" s="15" t="s">
        <v>4561</v>
      </c>
      <c r="C2826" s="15" t="s">
        <v>5999</v>
      </c>
      <c r="D2826" s="34" t="n">
        <f aca="false">Activities!N1144</f>
        <v>2</v>
      </c>
      <c r="E2826" s="15" t="s">
        <v>5998</v>
      </c>
    </row>
    <row r="2827" customFormat="false" ht="15" hidden="false" customHeight="false" outlineLevel="0" collapsed="false">
      <c r="A2827" s="15" t="s">
        <v>4561</v>
      </c>
      <c r="B2827" s="15" t="s">
        <v>4562</v>
      </c>
      <c r="C2827" s="15" t="s">
        <v>5997</v>
      </c>
      <c r="D2827" s="34" t="n">
        <f aca="false">Activities!M1145</f>
        <v>1</v>
      </c>
      <c r="E2827" s="15" t="s">
        <v>5998</v>
      </c>
    </row>
    <row r="2828" customFormat="false" ht="15" hidden="false" customHeight="false" outlineLevel="0" collapsed="false">
      <c r="A2828" s="15" t="s">
        <v>4561</v>
      </c>
      <c r="B2828" s="15" t="s">
        <v>4562</v>
      </c>
      <c r="C2828" s="15" t="s">
        <v>5999</v>
      </c>
      <c r="D2828" s="34" t="n">
        <f aca="false">Activities!N1145</f>
        <v>2</v>
      </c>
      <c r="E2828" s="15" t="s">
        <v>5998</v>
      </c>
    </row>
    <row r="2829" customFormat="false" ht="15" hidden="false" customHeight="false" outlineLevel="0" collapsed="false">
      <c r="A2829" s="15" t="s">
        <v>4562</v>
      </c>
      <c r="B2829" s="15" t="s">
        <v>4563</v>
      </c>
      <c r="C2829" s="15" t="s">
        <v>5997</v>
      </c>
      <c r="D2829" s="34" t="n">
        <f aca="false">Activities!M1146</f>
        <v>3</v>
      </c>
      <c r="E2829" s="15" t="s">
        <v>5998</v>
      </c>
    </row>
    <row r="2830" customFormat="false" ht="15" hidden="false" customHeight="false" outlineLevel="0" collapsed="false">
      <c r="A2830" s="15" t="s">
        <v>4562</v>
      </c>
      <c r="B2830" s="15" t="s">
        <v>4563</v>
      </c>
      <c r="C2830" s="15" t="s">
        <v>5999</v>
      </c>
      <c r="D2830" s="34" t="n">
        <f aca="false">Activities!N1146</f>
        <v>2</v>
      </c>
      <c r="E2830" s="15" t="s">
        <v>5998</v>
      </c>
    </row>
    <row r="2831" customFormat="false" ht="15" hidden="false" customHeight="false" outlineLevel="0" collapsed="false">
      <c r="A2831" s="15" t="s">
        <v>4563</v>
      </c>
      <c r="B2831" s="15" t="s">
        <v>4564</v>
      </c>
      <c r="C2831" s="15" t="s">
        <v>5997</v>
      </c>
      <c r="D2831" s="34" t="n">
        <f aca="false">Activities!M1147</f>
        <v>2</v>
      </c>
      <c r="E2831" s="15" t="s">
        <v>5998</v>
      </c>
    </row>
    <row r="2832" customFormat="false" ht="15" hidden="false" customHeight="false" outlineLevel="0" collapsed="false">
      <c r="A2832" s="15" t="s">
        <v>4563</v>
      </c>
      <c r="B2832" s="15" t="s">
        <v>4564</v>
      </c>
      <c r="C2832" s="15" t="s">
        <v>5999</v>
      </c>
      <c r="D2832" s="34" t="n">
        <f aca="false">Activities!N1147</f>
        <v>2</v>
      </c>
      <c r="E2832" s="15" t="s">
        <v>5998</v>
      </c>
    </row>
    <row r="2833" customFormat="false" ht="15" hidden="false" customHeight="false" outlineLevel="0" collapsed="false">
      <c r="A2833" s="15" t="s">
        <v>4564</v>
      </c>
      <c r="B2833" s="15" t="s">
        <v>4565</v>
      </c>
      <c r="C2833" s="15" t="s">
        <v>5997</v>
      </c>
      <c r="D2833" s="34" t="n">
        <f aca="false">Activities!M1148</f>
        <v>2</v>
      </c>
      <c r="E2833" s="15" t="s">
        <v>5998</v>
      </c>
    </row>
    <row r="2834" customFormat="false" ht="15" hidden="false" customHeight="false" outlineLevel="0" collapsed="false">
      <c r="A2834" s="15" t="s">
        <v>4564</v>
      </c>
      <c r="B2834" s="15" t="s">
        <v>4565</v>
      </c>
      <c r="C2834" s="15" t="s">
        <v>5999</v>
      </c>
      <c r="D2834" s="34" t="n">
        <f aca="false">Activities!N1148</f>
        <v>2</v>
      </c>
      <c r="E2834" s="15" t="s">
        <v>5998</v>
      </c>
    </row>
    <row r="2835" customFormat="false" ht="15" hidden="false" customHeight="false" outlineLevel="0" collapsed="false">
      <c r="A2835" s="15" t="s">
        <v>4579</v>
      </c>
      <c r="B2835" s="15" t="s">
        <v>4565</v>
      </c>
      <c r="C2835" s="15" t="s">
        <v>5995</v>
      </c>
      <c r="D2835" s="34" t="n">
        <v>0</v>
      </c>
      <c r="E2835" s="15" t="s">
        <v>6005</v>
      </c>
    </row>
    <row r="2836" customFormat="false" ht="15" hidden="false" customHeight="false" outlineLevel="0" collapsed="false">
      <c r="A2836" s="15" t="s">
        <v>4565</v>
      </c>
      <c r="B2836" s="15" t="s">
        <v>4567</v>
      </c>
      <c r="C2836" s="15" t="s">
        <v>5997</v>
      </c>
      <c r="D2836" s="34" t="n">
        <f aca="false">Activities!M1149</f>
        <v>1</v>
      </c>
      <c r="E2836" s="15" t="s">
        <v>5998</v>
      </c>
    </row>
    <row r="2837" customFormat="false" ht="15" hidden="false" customHeight="false" outlineLevel="0" collapsed="false">
      <c r="A2837" s="15" t="s">
        <v>4565</v>
      </c>
      <c r="B2837" s="15" t="s">
        <v>4567</v>
      </c>
      <c r="C2837" s="15" t="s">
        <v>5999</v>
      </c>
      <c r="D2837" s="34" t="n">
        <f aca="false">Activities!N1149</f>
        <v>2</v>
      </c>
      <c r="E2837" s="15" t="s">
        <v>5998</v>
      </c>
    </row>
    <row r="2838" customFormat="false" ht="15" hidden="false" customHeight="false" outlineLevel="0" collapsed="false">
      <c r="A2838" s="15" t="s">
        <v>4568</v>
      </c>
      <c r="B2838" s="15" t="s">
        <v>4570</v>
      </c>
      <c r="C2838" s="15" t="s">
        <v>5995</v>
      </c>
      <c r="D2838" s="34" t="n">
        <v>0</v>
      </c>
      <c r="E2838" s="15" t="s">
        <v>5996</v>
      </c>
    </row>
    <row r="2839" customFormat="false" ht="15" hidden="false" customHeight="false" outlineLevel="0" collapsed="false">
      <c r="A2839" s="15" t="s">
        <v>4558</v>
      </c>
      <c r="B2839" s="15" t="s">
        <v>4570</v>
      </c>
      <c r="C2839" s="15" t="s">
        <v>5997</v>
      </c>
      <c r="D2839" s="34" t="n">
        <v>0</v>
      </c>
      <c r="E2839" s="15" t="s">
        <v>6002</v>
      </c>
    </row>
    <row r="2840" customFormat="false" ht="15" hidden="false" customHeight="false" outlineLevel="0" collapsed="false">
      <c r="A2840" s="15" t="s">
        <v>4570</v>
      </c>
      <c r="B2840" s="15" t="s">
        <v>4572</v>
      </c>
      <c r="C2840" s="15" t="s">
        <v>5997</v>
      </c>
      <c r="D2840" s="34" t="n">
        <f aca="false">Activities!M1152</f>
        <v>1</v>
      </c>
      <c r="E2840" s="15" t="s">
        <v>5998</v>
      </c>
    </row>
    <row r="2841" customFormat="false" ht="15" hidden="false" customHeight="false" outlineLevel="0" collapsed="false">
      <c r="A2841" s="15" t="s">
        <v>4570</v>
      </c>
      <c r="B2841" s="15" t="s">
        <v>4572</v>
      </c>
      <c r="C2841" s="15" t="s">
        <v>5999</v>
      </c>
      <c r="D2841" s="34" t="n">
        <f aca="false">Activities!N1152</f>
        <v>2</v>
      </c>
      <c r="E2841" s="15" t="s">
        <v>5998</v>
      </c>
    </row>
    <row r="2842" customFormat="false" ht="15" hidden="false" customHeight="false" outlineLevel="0" collapsed="false">
      <c r="A2842" s="15" t="s">
        <v>4558</v>
      </c>
      <c r="B2842" s="15" t="s">
        <v>4572</v>
      </c>
      <c r="C2842" s="15" t="s">
        <v>5995</v>
      </c>
      <c r="D2842" s="34" t="n">
        <v>0</v>
      </c>
      <c r="E2842" s="15" t="s">
        <v>6012</v>
      </c>
    </row>
    <row r="2843" customFormat="false" ht="15" hidden="false" customHeight="false" outlineLevel="0" collapsed="false">
      <c r="A2843" s="15" t="s">
        <v>4572</v>
      </c>
      <c r="B2843" s="15" t="s">
        <v>4573</v>
      </c>
      <c r="C2843" s="15" t="s">
        <v>5997</v>
      </c>
      <c r="D2843" s="34" t="n">
        <f aca="false">Activities!M1153</f>
        <v>3</v>
      </c>
      <c r="E2843" s="15" t="s">
        <v>5998</v>
      </c>
    </row>
    <row r="2844" customFormat="false" ht="15" hidden="false" customHeight="false" outlineLevel="0" collapsed="false">
      <c r="A2844" s="15" t="s">
        <v>4572</v>
      </c>
      <c r="B2844" s="15" t="s">
        <v>4573</v>
      </c>
      <c r="C2844" s="15" t="s">
        <v>5999</v>
      </c>
      <c r="D2844" s="34" t="n">
        <f aca="false">Activities!N1153</f>
        <v>2</v>
      </c>
      <c r="E2844" s="15" t="s">
        <v>5998</v>
      </c>
    </row>
    <row r="2845" customFormat="false" ht="15" hidden="false" customHeight="false" outlineLevel="0" collapsed="false">
      <c r="A2845" s="15" t="s">
        <v>4559</v>
      </c>
      <c r="B2845" s="15" t="s">
        <v>4573</v>
      </c>
      <c r="C2845" s="15" t="s">
        <v>5995</v>
      </c>
      <c r="D2845" s="34" t="n">
        <v>0</v>
      </c>
      <c r="E2845" s="15" t="s">
        <v>6012</v>
      </c>
    </row>
    <row r="2846" customFormat="false" ht="15" hidden="false" customHeight="false" outlineLevel="0" collapsed="false">
      <c r="A2846" s="15" t="s">
        <v>4573</v>
      </c>
      <c r="B2846" s="15" t="s">
        <v>4574</v>
      </c>
      <c r="C2846" s="15" t="s">
        <v>5997</v>
      </c>
      <c r="D2846" s="34" t="n">
        <f aca="false">Activities!M1154</f>
        <v>2</v>
      </c>
      <c r="E2846" s="15" t="s">
        <v>5998</v>
      </c>
    </row>
    <row r="2847" customFormat="false" ht="15" hidden="false" customHeight="false" outlineLevel="0" collapsed="false">
      <c r="A2847" s="15" t="s">
        <v>4573</v>
      </c>
      <c r="B2847" s="15" t="s">
        <v>4574</v>
      </c>
      <c r="C2847" s="15" t="s">
        <v>5999</v>
      </c>
      <c r="D2847" s="34" t="n">
        <f aca="false">Activities!N1154</f>
        <v>2</v>
      </c>
      <c r="E2847" s="15" t="s">
        <v>5998</v>
      </c>
    </row>
    <row r="2848" customFormat="false" ht="15" hidden="false" customHeight="false" outlineLevel="0" collapsed="false">
      <c r="A2848" s="15" t="s">
        <v>4561</v>
      </c>
      <c r="B2848" s="15" t="s">
        <v>4574</v>
      </c>
      <c r="C2848" s="15" t="s">
        <v>5995</v>
      </c>
      <c r="D2848" s="34" t="n">
        <f aca="false">-Activities!K1154</f>
        <v>-11</v>
      </c>
      <c r="E2848" s="15" t="s">
        <v>6004</v>
      </c>
    </row>
    <row r="2849" customFormat="false" ht="15" hidden="false" customHeight="false" outlineLevel="0" collapsed="false">
      <c r="A2849" s="15" t="s">
        <v>4574</v>
      </c>
      <c r="B2849" s="15" t="s">
        <v>4576</v>
      </c>
      <c r="C2849" s="15" t="s">
        <v>5997</v>
      </c>
      <c r="D2849" s="34" t="n">
        <f aca="false">Activities!M1155</f>
        <v>10</v>
      </c>
      <c r="E2849" s="15" t="s">
        <v>5998</v>
      </c>
    </row>
    <row r="2850" customFormat="false" ht="15" hidden="false" customHeight="false" outlineLevel="0" collapsed="false">
      <c r="A2850" s="15" t="s">
        <v>4574</v>
      </c>
      <c r="B2850" s="15" t="s">
        <v>4576</v>
      </c>
      <c r="C2850" s="15" t="s">
        <v>5999</v>
      </c>
      <c r="D2850" s="34" t="n">
        <f aca="false">Activities!N1155</f>
        <v>2</v>
      </c>
      <c r="E2850" s="15" t="s">
        <v>5998</v>
      </c>
    </row>
    <row r="2851" customFormat="false" ht="15" hidden="false" customHeight="false" outlineLevel="0" collapsed="false">
      <c r="A2851" s="15" t="s">
        <v>4561</v>
      </c>
      <c r="B2851" s="15" t="s">
        <v>4576</v>
      </c>
      <c r="C2851" s="15" t="s">
        <v>5995</v>
      </c>
      <c r="D2851" s="34" t="n">
        <v>0</v>
      </c>
      <c r="E2851" s="15" t="s">
        <v>6012</v>
      </c>
    </row>
    <row r="2852" customFormat="false" ht="15" hidden="false" customHeight="false" outlineLevel="0" collapsed="false">
      <c r="A2852" s="15" t="s">
        <v>4561</v>
      </c>
      <c r="B2852" s="15" t="s">
        <v>4576</v>
      </c>
      <c r="C2852" s="15" t="s">
        <v>5997</v>
      </c>
      <c r="D2852" s="34" t="n">
        <v>0</v>
      </c>
      <c r="E2852" s="15" t="s">
        <v>6006</v>
      </c>
    </row>
    <row r="2853" customFormat="false" ht="15" hidden="false" customHeight="false" outlineLevel="0" collapsed="false">
      <c r="A2853" s="15" t="s">
        <v>4576</v>
      </c>
      <c r="B2853" s="15" t="s">
        <v>4578</v>
      </c>
      <c r="C2853" s="15" t="s">
        <v>5997</v>
      </c>
      <c r="D2853" s="34" t="n">
        <f aca="false">Activities!M1156</f>
        <v>1</v>
      </c>
      <c r="E2853" s="15" t="s">
        <v>5998</v>
      </c>
    </row>
    <row r="2854" customFormat="false" ht="15" hidden="false" customHeight="false" outlineLevel="0" collapsed="false">
      <c r="A2854" s="15" t="s">
        <v>4576</v>
      </c>
      <c r="B2854" s="15" t="s">
        <v>4578</v>
      </c>
      <c r="C2854" s="15" t="s">
        <v>5999</v>
      </c>
      <c r="D2854" s="34" t="n">
        <f aca="false">Activities!N1156</f>
        <v>2</v>
      </c>
      <c r="E2854" s="15" t="s">
        <v>5998</v>
      </c>
    </row>
    <row r="2855" customFormat="false" ht="15" hidden="false" customHeight="false" outlineLevel="0" collapsed="false">
      <c r="A2855" s="15" t="s">
        <v>4562</v>
      </c>
      <c r="B2855" s="15" t="s">
        <v>4578</v>
      </c>
      <c r="C2855" s="15" t="s">
        <v>5995</v>
      </c>
      <c r="D2855" s="34" t="n">
        <v>0</v>
      </c>
      <c r="E2855" s="15" t="s">
        <v>6012</v>
      </c>
    </row>
    <row r="2856" customFormat="false" ht="15" hidden="false" customHeight="false" outlineLevel="0" collapsed="false">
      <c r="A2856" s="15" t="s">
        <v>4578</v>
      </c>
      <c r="B2856" s="15" t="s">
        <v>4579</v>
      </c>
      <c r="C2856" s="15" t="s">
        <v>5997</v>
      </c>
      <c r="D2856" s="34" t="n">
        <f aca="false">Activities!M1157</f>
        <v>3</v>
      </c>
      <c r="E2856" s="15" t="s">
        <v>5998</v>
      </c>
    </row>
    <row r="2857" customFormat="false" ht="15" hidden="false" customHeight="false" outlineLevel="0" collapsed="false">
      <c r="A2857" s="15" t="s">
        <v>4578</v>
      </c>
      <c r="B2857" s="15" t="s">
        <v>4579</v>
      </c>
      <c r="C2857" s="15" t="s">
        <v>5999</v>
      </c>
      <c r="D2857" s="34" t="n">
        <f aca="false">Activities!N1157</f>
        <v>2</v>
      </c>
      <c r="E2857" s="15" t="s">
        <v>5998</v>
      </c>
    </row>
    <row r="2858" customFormat="false" ht="15" hidden="false" customHeight="false" outlineLevel="0" collapsed="false">
      <c r="A2858" s="15" t="s">
        <v>4563</v>
      </c>
      <c r="B2858" s="15" t="s">
        <v>4579</v>
      </c>
      <c r="C2858" s="15" t="s">
        <v>5995</v>
      </c>
      <c r="D2858" s="34" t="n">
        <v>0</v>
      </c>
      <c r="E2858" s="15" t="s">
        <v>6012</v>
      </c>
    </row>
    <row r="2859" customFormat="false" ht="15" hidden="false" customHeight="false" outlineLevel="0" collapsed="false">
      <c r="A2859" s="15" t="s">
        <v>4579</v>
      </c>
      <c r="B2859" s="15" t="s">
        <v>4580</v>
      </c>
      <c r="C2859" s="15" t="s">
        <v>5997</v>
      </c>
      <c r="D2859" s="34" t="n">
        <f aca="false">Activities!M1158</f>
        <v>1</v>
      </c>
      <c r="E2859" s="15" t="s">
        <v>5998</v>
      </c>
    </row>
    <row r="2860" customFormat="false" ht="15" hidden="false" customHeight="false" outlineLevel="0" collapsed="false">
      <c r="A2860" s="15" t="s">
        <v>4579</v>
      </c>
      <c r="B2860" s="15" t="s">
        <v>4580</v>
      </c>
      <c r="C2860" s="15" t="s">
        <v>5999</v>
      </c>
      <c r="D2860" s="34" t="n">
        <f aca="false">Activities!N1158</f>
        <v>2</v>
      </c>
      <c r="E2860" s="15" t="s">
        <v>5998</v>
      </c>
    </row>
    <row r="2861" customFormat="false" ht="15" hidden="false" customHeight="false" outlineLevel="0" collapsed="false">
      <c r="A2861" s="15" t="s">
        <v>4580</v>
      </c>
      <c r="B2861" s="15" t="s">
        <v>4581</v>
      </c>
      <c r="C2861" s="15" t="s">
        <v>5997</v>
      </c>
      <c r="D2861" s="34" t="n">
        <f aca="false">Activities!M1159</f>
        <v>2</v>
      </c>
      <c r="E2861" s="15" t="s">
        <v>5998</v>
      </c>
    </row>
    <row r="2862" customFormat="false" ht="15" hidden="false" customHeight="false" outlineLevel="0" collapsed="false">
      <c r="A2862" s="15" t="s">
        <v>4580</v>
      </c>
      <c r="B2862" s="15" t="s">
        <v>4581</v>
      </c>
      <c r="C2862" s="15" t="s">
        <v>5999</v>
      </c>
      <c r="D2862" s="34" t="n">
        <f aca="false">Activities!N1159</f>
        <v>2</v>
      </c>
      <c r="E2862" s="15" t="s">
        <v>5998</v>
      </c>
    </row>
    <row r="2863" customFormat="false" ht="15" hidden="false" customHeight="false" outlineLevel="0" collapsed="false">
      <c r="A2863" s="15" t="s">
        <v>4565</v>
      </c>
      <c r="B2863" s="15" t="s">
        <v>4581</v>
      </c>
      <c r="C2863" s="15" t="s">
        <v>5995</v>
      </c>
      <c r="D2863" s="34" t="n">
        <v>0</v>
      </c>
      <c r="E2863" s="15" t="s">
        <v>6012</v>
      </c>
    </row>
    <row r="2864" customFormat="false" ht="15" hidden="false" customHeight="false" outlineLevel="0" collapsed="false">
      <c r="A2864" s="15" t="s">
        <v>4563</v>
      </c>
      <c r="B2864" s="15" t="s">
        <v>4581</v>
      </c>
      <c r="C2864" s="15" t="s">
        <v>5995</v>
      </c>
      <c r="D2864" s="34" t="n">
        <v>0</v>
      </c>
      <c r="E2864" s="15" t="s">
        <v>6005</v>
      </c>
    </row>
    <row r="2865" customFormat="false" ht="15" hidden="false" customHeight="false" outlineLevel="0" collapsed="false">
      <c r="A2865" s="15" t="s">
        <v>4581</v>
      </c>
      <c r="B2865" s="15" t="s">
        <v>4583</v>
      </c>
      <c r="C2865" s="15" t="s">
        <v>5997</v>
      </c>
      <c r="D2865" s="34" t="n">
        <f aca="false">Activities!M1160</f>
        <v>1</v>
      </c>
      <c r="E2865" s="15" t="s">
        <v>5998</v>
      </c>
    </row>
    <row r="2866" customFormat="false" ht="15" hidden="false" customHeight="false" outlineLevel="0" collapsed="false">
      <c r="A2866" s="15" t="s">
        <v>4581</v>
      </c>
      <c r="B2866" s="15" t="s">
        <v>4583</v>
      </c>
      <c r="C2866" s="15" t="s">
        <v>5999</v>
      </c>
      <c r="D2866" s="34" t="n">
        <f aca="false">Activities!N1160</f>
        <v>2</v>
      </c>
      <c r="E2866" s="15" t="s">
        <v>5998</v>
      </c>
    </row>
    <row r="2867" customFormat="false" ht="15" hidden="false" customHeight="false" outlineLevel="0" collapsed="false">
      <c r="A2867" s="15" t="s">
        <v>4584</v>
      </c>
      <c r="B2867" s="15" t="s">
        <v>4586</v>
      </c>
      <c r="C2867" s="15" t="s">
        <v>5995</v>
      </c>
      <c r="D2867" s="34" t="n">
        <v>0</v>
      </c>
      <c r="E2867" s="15" t="s">
        <v>5996</v>
      </c>
    </row>
    <row r="2868" customFormat="false" ht="15" hidden="false" customHeight="false" outlineLevel="0" collapsed="false">
      <c r="A2868" s="15" t="s">
        <v>4572</v>
      </c>
      <c r="B2868" s="15" t="s">
        <v>4586</v>
      </c>
      <c r="C2868" s="15" t="s">
        <v>5997</v>
      </c>
      <c r="D2868" s="34" t="n">
        <v>0</v>
      </c>
      <c r="E2868" s="15" t="s">
        <v>6002</v>
      </c>
    </row>
    <row r="2869" customFormat="false" ht="15" hidden="false" customHeight="false" outlineLevel="0" collapsed="false">
      <c r="A2869" s="15" t="s">
        <v>4586</v>
      </c>
      <c r="B2869" s="15" t="s">
        <v>4588</v>
      </c>
      <c r="C2869" s="15" t="s">
        <v>5997</v>
      </c>
      <c r="D2869" s="34" t="n">
        <f aca="false">Activities!M1163</f>
        <v>1</v>
      </c>
      <c r="E2869" s="15" t="s">
        <v>5998</v>
      </c>
    </row>
    <row r="2870" customFormat="false" ht="15" hidden="false" customHeight="false" outlineLevel="0" collapsed="false">
      <c r="A2870" s="15" t="s">
        <v>4586</v>
      </c>
      <c r="B2870" s="15" t="s">
        <v>4588</v>
      </c>
      <c r="C2870" s="15" t="s">
        <v>5999</v>
      </c>
      <c r="D2870" s="34" t="n">
        <f aca="false">Activities!N1163</f>
        <v>2</v>
      </c>
      <c r="E2870" s="15" t="s">
        <v>5998</v>
      </c>
    </row>
    <row r="2871" customFormat="false" ht="15" hidden="false" customHeight="false" outlineLevel="0" collapsed="false">
      <c r="A2871" s="15" t="s">
        <v>4572</v>
      </c>
      <c r="B2871" s="15" t="s">
        <v>4588</v>
      </c>
      <c r="C2871" s="15" t="s">
        <v>5995</v>
      </c>
      <c r="D2871" s="34" t="n">
        <v>0</v>
      </c>
      <c r="E2871" s="15" t="s">
        <v>6012</v>
      </c>
    </row>
    <row r="2872" customFormat="false" ht="15" hidden="false" customHeight="false" outlineLevel="0" collapsed="false">
      <c r="A2872" s="15" t="s">
        <v>4588</v>
      </c>
      <c r="B2872" s="15" t="s">
        <v>4589</v>
      </c>
      <c r="C2872" s="15" t="s">
        <v>5997</v>
      </c>
      <c r="D2872" s="34" t="n">
        <f aca="false">Activities!M1164</f>
        <v>3</v>
      </c>
      <c r="E2872" s="15" t="s">
        <v>5998</v>
      </c>
    </row>
    <row r="2873" customFormat="false" ht="15" hidden="false" customHeight="false" outlineLevel="0" collapsed="false">
      <c r="A2873" s="15" t="s">
        <v>4588</v>
      </c>
      <c r="B2873" s="15" t="s">
        <v>4589</v>
      </c>
      <c r="C2873" s="15" t="s">
        <v>5999</v>
      </c>
      <c r="D2873" s="34" t="n">
        <f aca="false">Activities!N1164</f>
        <v>2</v>
      </c>
      <c r="E2873" s="15" t="s">
        <v>5998</v>
      </c>
    </row>
    <row r="2874" customFormat="false" ht="15" hidden="false" customHeight="false" outlineLevel="0" collapsed="false">
      <c r="A2874" s="15" t="s">
        <v>4573</v>
      </c>
      <c r="B2874" s="15" t="s">
        <v>4589</v>
      </c>
      <c r="C2874" s="15" t="s">
        <v>5995</v>
      </c>
      <c r="D2874" s="34" t="n">
        <v>0</v>
      </c>
      <c r="E2874" s="15" t="s">
        <v>6012</v>
      </c>
    </row>
    <row r="2875" customFormat="false" ht="15" hidden="false" customHeight="false" outlineLevel="0" collapsed="false">
      <c r="A2875" s="15" t="s">
        <v>4589</v>
      </c>
      <c r="B2875" s="15" t="s">
        <v>4590</v>
      </c>
      <c r="C2875" s="15" t="s">
        <v>5997</v>
      </c>
      <c r="D2875" s="34" t="n">
        <f aca="false">Activities!M1165</f>
        <v>2</v>
      </c>
      <c r="E2875" s="15" t="s">
        <v>5998</v>
      </c>
    </row>
    <row r="2876" customFormat="false" ht="15" hidden="false" customHeight="false" outlineLevel="0" collapsed="false">
      <c r="A2876" s="15" t="s">
        <v>4589</v>
      </c>
      <c r="B2876" s="15" t="s">
        <v>4590</v>
      </c>
      <c r="C2876" s="15" t="s">
        <v>5999</v>
      </c>
      <c r="D2876" s="34" t="n">
        <f aca="false">Activities!N1165</f>
        <v>2</v>
      </c>
      <c r="E2876" s="15" t="s">
        <v>5998</v>
      </c>
    </row>
    <row r="2877" customFormat="false" ht="15" hidden="false" customHeight="false" outlineLevel="0" collapsed="false">
      <c r="A2877" s="15" t="s">
        <v>4576</v>
      </c>
      <c r="B2877" s="15" t="s">
        <v>4590</v>
      </c>
      <c r="C2877" s="15" t="s">
        <v>5995</v>
      </c>
      <c r="D2877" s="34" t="n">
        <f aca="false">-Activities!K1165</f>
        <v>-11</v>
      </c>
      <c r="E2877" s="15" t="s">
        <v>6004</v>
      </c>
    </row>
    <row r="2878" customFormat="false" ht="15" hidden="false" customHeight="false" outlineLevel="0" collapsed="false">
      <c r="A2878" s="15" t="s">
        <v>4590</v>
      </c>
      <c r="B2878" s="15" t="s">
        <v>4592</v>
      </c>
      <c r="C2878" s="15" t="s">
        <v>5997</v>
      </c>
      <c r="D2878" s="34" t="n">
        <f aca="false">Activities!M1166</f>
        <v>10</v>
      </c>
      <c r="E2878" s="15" t="s">
        <v>5998</v>
      </c>
    </row>
    <row r="2879" customFormat="false" ht="15" hidden="false" customHeight="false" outlineLevel="0" collapsed="false">
      <c r="A2879" s="15" t="s">
        <v>4590</v>
      </c>
      <c r="B2879" s="15" t="s">
        <v>4592</v>
      </c>
      <c r="C2879" s="15" t="s">
        <v>5999</v>
      </c>
      <c r="D2879" s="34" t="n">
        <f aca="false">Activities!N1166</f>
        <v>2</v>
      </c>
      <c r="E2879" s="15" t="s">
        <v>5998</v>
      </c>
    </row>
    <row r="2880" customFormat="false" ht="15" hidden="false" customHeight="false" outlineLevel="0" collapsed="false">
      <c r="A2880" s="15" t="s">
        <v>4576</v>
      </c>
      <c r="B2880" s="15" t="s">
        <v>4592</v>
      </c>
      <c r="C2880" s="15" t="s">
        <v>5995</v>
      </c>
      <c r="D2880" s="34" t="n">
        <v>0</v>
      </c>
      <c r="E2880" s="15" t="s">
        <v>6012</v>
      </c>
    </row>
    <row r="2881" customFormat="false" ht="15" hidden="false" customHeight="false" outlineLevel="0" collapsed="false">
      <c r="A2881" s="15" t="s">
        <v>4592</v>
      </c>
      <c r="B2881" s="15" t="s">
        <v>4593</v>
      </c>
      <c r="C2881" s="15" t="s">
        <v>5997</v>
      </c>
      <c r="D2881" s="34" t="n">
        <f aca="false">Activities!M1167</f>
        <v>2</v>
      </c>
      <c r="E2881" s="15" t="s">
        <v>5998</v>
      </c>
    </row>
    <row r="2882" customFormat="false" ht="15" hidden="false" customHeight="false" outlineLevel="0" collapsed="false">
      <c r="A2882" s="15" t="s">
        <v>4592</v>
      </c>
      <c r="B2882" s="15" t="s">
        <v>4593</v>
      </c>
      <c r="C2882" s="15" t="s">
        <v>5999</v>
      </c>
      <c r="D2882" s="34" t="n">
        <f aca="false">Activities!N1167</f>
        <v>2</v>
      </c>
      <c r="E2882" s="15" t="s">
        <v>5998</v>
      </c>
    </row>
    <row r="2883" customFormat="false" ht="15" hidden="false" customHeight="false" outlineLevel="0" collapsed="false">
      <c r="A2883" s="15" t="s">
        <v>4578</v>
      </c>
      <c r="B2883" s="15" t="s">
        <v>4593</v>
      </c>
      <c r="C2883" s="15" t="s">
        <v>5995</v>
      </c>
      <c r="D2883" s="34" t="n">
        <v>0</v>
      </c>
      <c r="E2883" s="15" t="s">
        <v>6012</v>
      </c>
    </row>
    <row r="2884" customFormat="false" ht="15" hidden="false" customHeight="false" outlineLevel="0" collapsed="false">
      <c r="A2884" s="15" t="s">
        <v>4593</v>
      </c>
      <c r="B2884" s="15" t="s">
        <v>4594</v>
      </c>
      <c r="C2884" s="15" t="s">
        <v>5997</v>
      </c>
      <c r="D2884" s="34" t="n">
        <f aca="false">Activities!M1168</f>
        <v>3</v>
      </c>
      <c r="E2884" s="15" t="s">
        <v>5998</v>
      </c>
    </row>
    <row r="2885" customFormat="false" ht="15" hidden="false" customHeight="false" outlineLevel="0" collapsed="false">
      <c r="A2885" s="15" t="s">
        <v>4593</v>
      </c>
      <c r="B2885" s="15" t="s">
        <v>4594</v>
      </c>
      <c r="C2885" s="15" t="s">
        <v>5999</v>
      </c>
      <c r="D2885" s="34" t="n">
        <f aca="false">Activities!N1168</f>
        <v>2</v>
      </c>
      <c r="E2885" s="15" t="s">
        <v>5998</v>
      </c>
    </row>
    <row r="2886" customFormat="false" ht="15" hidden="false" customHeight="false" outlineLevel="0" collapsed="false">
      <c r="A2886" s="15" t="s">
        <v>4579</v>
      </c>
      <c r="B2886" s="15" t="s">
        <v>4594</v>
      </c>
      <c r="C2886" s="15" t="s">
        <v>5995</v>
      </c>
      <c r="D2886" s="34" t="n">
        <v>0</v>
      </c>
      <c r="E2886" s="15" t="s">
        <v>6012</v>
      </c>
    </row>
    <row r="2887" customFormat="false" ht="15" hidden="false" customHeight="false" outlineLevel="0" collapsed="false">
      <c r="A2887" s="15" t="s">
        <v>4594</v>
      </c>
      <c r="B2887" s="15" t="s">
        <v>4595</v>
      </c>
      <c r="C2887" s="15" t="s">
        <v>5997</v>
      </c>
      <c r="D2887" s="34" t="n">
        <f aca="false">Activities!M1169</f>
        <v>2</v>
      </c>
      <c r="E2887" s="15" t="s">
        <v>5998</v>
      </c>
    </row>
    <row r="2888" customFormat="false" ht="15" hidden="false" customHeight="false" outlineLevel="0" collapsed="false">
      <c r="A2888" s="15" t="s">
        <v>4594</v>
      </c>
      <c r="B2888" s="15" t="s">
        <v>4595</v>
      </c>
      <c r="C2888" s="15" t="s">
        <v>5999</v>
      </c>
      <c r="D2888" s="34" t="n">
        <f aca="false">Activities!N1169</f>
        <v>2</v>
      </c>
      <c r="E2888" s="15" t="s">
        <v>5998</v>
      </c>
    </row>
    <row r="2889" customFormat="false" ht="15" hidden="false" customHeight="false" outlineLevel="0" collapsed="false">
      <c r="A2889" s="15" t="s">
        <v>4595</v>
      </c>
      <c r="B2889" s="15" t="s">
        <v>4596</v>
      </c>
      <c r="C2889" s="15" t="s">
        <v>5997</v>
      </c>
      <c r="D2889" s="34" t="n">
        <f aca="false">Activities!M1170</f>
        <v>2</v>
      </c>
      <c r="E2889" s="15" t="s">
        <v>5998</v>
      </c>
    </row>
    <row r="2890" customFormat="false" ht="15" hidden="false" customHeight="false" outlineLevel="0" collapsed="false">
      <c r="A2890" s="15" t="s">
        <v>4595</v>
      </c>
      <c r="B2890" s="15" t="s">
        <v>4596</v>
      </c>
      <c r="C2890" s="15" t="s">
        <v>5999</v>
      </c>
      <c r="D2890" s="34" t="n">
        <f aca="false">Activities!N1170</f>
        <v>2</v>
      </c>
      <c r="E2890" s="15" t="s">
        <v>5998</v>
      </c>
    </row>
    <row r="2891" customFormat="false" ht="15" hidden="false" customHeight="false" outlineLevel="0" collapsed="false">
      <c r="A2891" s="15" t="s">
        <v>4581</v>
      </c>
      <c r="B2891" s="15" t="s">
        <v>4596</v>
      </c>
      <c r="C2891" s="15" t="s">
        <v>5995</v>
      </c>
      <c r="D2891" s="34" t="n">
        <v>0</v>
      </c>
      <c r="E2891" s="15" t="s">
        <v>6012</v>
      </c>
    </row>
    <row r="2892" customFormat="false" ht="15" hidden="false" customHeight="false" outlineLevel="0" collapsed="false">
      <c r="A2892" s="15" t="s">
        <v>4596</v>
      </c>
      <c r="B2892" s="15" t="s">
        <v>4597</v>
      </c>
      <c r="C2892" s="15" t="s">
        <v>5997</v>
      </c>
      <c r="D2892" s="34" t="n">
        <f aca="false">Activities!M1171</f>
        <v>2</v>
      </c>
      <c r="E2892" s="15" t="s">
        <v>5998</v>
      </c>
    </row>
    <row r="2893" customFormat="false" ht="15" hidden="false" customHeight="false" outlineLevel="0" collapsed="false">
      <c r="A2893" s="15" t="s">
        <v>4596</v>
      </c>
      <c r="B2893" s="15" t="s">
        <v>4597</v>
      </c>
      <c r="C2893" s="15" t="s">
        <v>5999</v>
      </c>
      <c r="D2893" s="34" t="n">
        <f aca="false">Activities!N1171</f>
        <v>2</v>
      </c>
      <c r="E2893" s="15" t="s">
        <v>5998</v>
      </c>
    </row>
    <row r="2894" customFormat="false" ht="15" hidden="false" customHeight="false" outlineLevel="0" collapsed="false">
      <c r="A2894" s="15" t="s">
        <v>4598</v>
      </c>
      <c r="B2894" s="15" t="s">
        <v>4600</v>
      </c>
      <c r="C2894" s="15" t="s">
        <v>5995</v>
      </c>
      <c r="D2894" s="34" t="n">
        <v>0</v>
      </c>
      <c r="E2894" s="15" t="s">
        <v>5996</v>
      </c>
    </row>
    <row r="2895" customFormat="false" ht="15" hidden="false" customHeight="false" outlineLevel="0" collapsed="false">
      <c r="A2895" s="15" t="s">
        <v>4588</v>
      </c>
      <c r="B2895" s="15" t="s">
        <v>4600</v>
      </c>
      <c r="C2895" s="15" t="s">
        <v>5997</v>
      </c>
      <c r="D2895" s="34" t="n">
        <v>0</v>
      </c>
      <c r="E2895" s="15" t="s">
        <v>6002</v>
      </c>
    </row>
    <row r="2896" customFormat="false" ht="15" hidden="false" customHeight="false" outlineLevel="0" collapsed="false">
      <c r="A2896" s="15" t="s">
        <v>4600</v>
      </c>
      <c r="B2896" s="15" t="s">
        <v>4602</v>
      </c>
      <c r="C2896" s="15" t="s">
        <v>5997</v>
      </c>
      <c r="D2896" s="34" t="n">
        <f aca="false">Activities!M1174</f>
        <v>1</v>
      </c>
      <c r="E2896" s="15" t="s">
        <v>5998</v>
      </c>
    </row>
    <row r="2897" customFormat="false" ht="15" hidden="false" customHeight="false" outlineLevel="0" collapsed="false">
      <c r="A2897" s="15" t="s">
        <v>4600</v>
      </c>
      <c r="B2897" s="15" t="s">
        <v>4602</v>
      </c>
      <c r="C2897" s="15" t="s">
        <v>5999</v>
      </c>
      <c r="D2897" s="34" t="n">
        <f aca="false">Activities!N1174</f>
        <v>2</v>
      </c>
      <c r="E2897" s="15" t="s">
        <v>5998</v>
      </c>
    </row>
    <row r="2898" customFormat="false" ht="15" hidden="false" customHeight="false" outlineLevel="0" collapsed="false">
      <c r="A2898" s="15" t="s">
        <v>4588</v>
      </c>
      <c r="B2898" s="15" t="s">
        <v>4602</v>
      </c>
      <c r="C2898" s="15" t="s">
        <v>5995</v>
      </c>
      <c r="D2898" s="34" t="n">
        <v>0</v>
      </c>
      <c r="E2898" s="15" t="s">
        <v>6012</v>
      </c>
    </row>
    <row r="2899" customFormat="false" ht="15" hidden="false" customHeight="false" outlineLevel="0" collapsed="false">
      <c r="A2899" s="15" t="s">
        <v>4602</v>
      </c>
      <c r="B2899" s="15" t="s">
        <v>4603</v>
      </c>
      <c r="C2899" s="15" t="s">
        <v>5997</v>
      </c>
      <c r="D2899" s="34" t="n">
        <f aca="false">Activities!M1175</f>
        <v>3</v>
      </c>
      <c r="E2899" s="15" t="s">
        <v>5998</v>
      </c>
    </row>
    <row r="2900" customFormat="false" ht="15" hidden="false" customHeight="false" outlineLevel="0" collapsed="false">
      <c r="A2900" s="15" t="s">
        <v>4602</v>
      </c>
      <c r="B2900" s="15" t="s">
        <v>4603</v>
      </c>
      <c r="C2900" s="15" t="s">
        <v>5999</v>
      </c>
      <c r="D2900" s="34" t="n">
        <f aca="false">Activities!N1175</f>
        <v>2</v>
      </c>
      <c r="E2900" s="15" t="s">
        <v>5998</v>
      </c>
    </row>
    <row r="2901" customFormat="false" ht="15" hidden="false" customHeight="false" outlineLevel="0" collapsed="false">
      <c r="A2901" s="15" t="s">
        <v>4589</v>
      </c>
      <c r="B2901" s="15" t="s">
        <v>4603</v>
      </c>
      <c r="C2901" s="15" t="s">
        <v>5995</v>
      </c>
      <c r="D2901" s="34" t="n">
        <v>0</v>
      </c>
      <c r="E2901" s="15" t="s">
        <v>6012</v>
      </c>
    </row>
    <row r="2902" customFormat="false" ht="15" hidden="false" customHeight="false" outlineLevel="0" collapsed="false">
      <c r="A2902" s="15" t="s">
        <v>4603</v>
      </c>
      <c r="B2902" s="15" t="s">
        <v>4604</v>
      </c>
      <c r="C2902" s="15" t="s">
        <v>5997</v>
      </c>
      <c r="D2902" s="34" t="n">
        <f aca="false">Activities!M1176</f>
        <v>2</v>
      </c>
      <c r="E2902" s="15" t="s">
        <v>5998</v>
      </c>
    </row>
    <row r="2903" customFormat="false" ht="15" hidden="false" customHeight="false" outlineLevel="0" collapsed="false">
      <c r="A2903" s="15" t="s">
        <v>4603</v>
      </c>
      <c r="B2903" s="15" t="s">
        <v>4604</v>
      </c>
      <c r="C2903" s="15" t="s">
        <v>5999</v>
      </c>
      <c r="D2903" s="34" t="n">
        <f aca="false">Activities!N1176</f>
        <v>2</v>
      </c>
      <c r="E2903" s="15" t="s">
        <v>5998</v>
      </c>
    </row>
    <row r="2904" customFormat="false" ht="15" hidden="false" customHeight="false" outlineLevel="0" collapsed="false">
      <c r="A2904" s="15" t="s">
        <v>4592</v>
      </c>
      <c r="B2904" s="15" t="s">
        <v>4604</v>
      </c>
      <c r="C2904" s="15" t="s">
        <v>5995</v>
      </c>
      <c r="D2904" s="34" t="n">
        <f aca="false">-Activities!K1176</f>
        <v>-11</v>
      </c>
      <c r="E2904" s="15" t="s">
        <v>6004</v>
      </c>
    </row>
    <row r="2905" customFormat="false" ht="15" hidden="false" customHeight="false" outlineLevel="0" collapsed="false">
      <c r="A2905" s="15" t="s">
        <v>4604</v>
      </c>
      <c r="B2905" s="15" t="s">
        <v>4606</v>
      </c>
      <c r="C2905" s="15" t="s">
        <v>5997</v>
      </c>
      <c r="D2905" s="34" t="n">
        <f aca="false">Activities!M1177</f>
        <v>10</v>
      </c>
      <c r="E2905" s="15" t="s">
        <v>5998</v>
      </c>
    </row>
    <row r="2906" customFormat="false" ht="15" hidden="false" customHeight="false" outlineLevel="0" collapsed="false">
      <c r="A2906" s="15" t="s">
        <v>4604</v>
      </c>
      <c r="B2906" s="15" t="s">
        <v>4606</v>
      </c>
      <c r="C2906" s="15" t="s">
        <v>5999</v>
      </c>
      <c r="D2906" s="34" t="n">
        <f aca="false">Activities!N1177</f>
        <v>2</v>
      </c>
      <c r="E2906" s="15" t="s">
        <v>5998</v>
      </c>
    </row>
    <row r="2907" customFormat="false" ht="15" hidden="false" customHeight="false" outlineLevel="0" collapsed="false">
      <c r="A2907" s="15" t="s">
        <v>4592</v>
      </c>
      <c r="B2907" s="15" t="s">
        <v>4606</v>
      </c>
      <c r="C2907" s="15" t="s">
        <v>5995</v>
      </c>
      <c r="D2907" s="34" t="n">
        <v>0</v>
      </c>
      <c r="E2907" s="15" t="s">
        <v>6012</v>
      </c>
    </row>
    <row r="2908" customFormat="false" ht="15" hidden="false" customHeight="false" outlineLevel="0" collapsed="false">
      <c r="A2908" s="15" t="s">
        <v>4606</v>
      </c>
      <c r="B2908" s="15" t="s">
        <v>4607</v>
      </c>
      <c r="C2908" s="15" t="s">
        <v>5997</v>
      </c>
      <c r="D2908" s="34" t="n">
        <f aca="false">Activities!M1178</f>
        <v>2</v>
      </c>
      <c r="E2908" s="15" t="s">
        <v>5998</v>
      </c>
    </row>
    <row r="2909" customFormat="false" ht="15" hidden="false" customHeight="false" outlineLevel="0" collapsed="false">
      <c r="A2909" s="15" t="s">
        <v>4606</v>
      </c>
      <c r="B2909" s="15" t="s">
        <v>4607</v>
      </c>
      <c r="C2909" s="15" t="s">
        <v>5999</v>
      </c>
      <c r="D2909" s="34" t="n">
        <f aca="false">Activities!N1178</f>
        <v>2</v>
      </c>
      <c r="E2909" s="15" t="s">
        <v>5998</v>
      </c>
    </row>
    <row r="2910" customFormat="false" ht="15" hidden="false" customHeight="false" outlineLevel="0" collapsed="false">
      <c r="A2910" s="15" t="s">
        <v>4593</v>
      </c>
      <c r="B2910" s="15" t="s">
        <v>4607</v>
      </c>
      <c r="C2910" s="15" t="s">
        <v>5995</v>
      </c>
      <c r="D2910" s="34" t="n">
        <v>0</v>
      </c>
      <c r="E2910" s="15" t="s">
        <v>6012</v>
      </c>
    </row>
    <row r="2911" customFormat="false" ht="15" hidden="false" customHeight="false" outlineLevel="0" collapsed="false">
      <c r="A2911" s="15" t="s">
        <v>4607</v>
      </c>
      <c r="B2911" s="15" t="s">
        <v>4608</v>
      </c>
      <c r="C2911" s="15" t="s">
        <v>5997</v>
      </c>
      <c r="D2911" s="34" t="n">
        <f aca="false">Activities!M1179</f>
        <v>3</v>
      </c>
      <c r="E2911" s="15" t="s">
        <v>5998</v>
      </c>
    </row>
    <row r="2912" customFormat="false" ht="15" hidden="false" customHeight="false" outlineLevel="0" collapsed="false">
      <c r="A2912" s="15" t="s">
        <v>4607</v>
      </c>
      <c r="B2912" s="15" t="s">
        <v>4608</v>
      </c>
      <c r="C2912" s="15" t="s">
        <v>5999</v>
      </c>
      <c r="D2912" s="34" t="n">
        <f aca="false">Activities!N1179</f>
        <v>2</v>
      </c>
      <c r="E2912" s="15" t="s">
        <v>5998</v>
      </c>
    </row>
    <row r="2913" customFormat="false" ht="15" hidden="false" customHeight="false" outlineLevel="0" collapsed="false">
      <c r="A2913" s="15" t="s">
        <v>4594</v>
      </c>
      <c r="B2913" s="15" t="s">
        <v>4608</v>
      </c>
      <c r="C2913" s="15" t="s">
        <v>5995</v>
      </c>
      <c r="D2913" s="34" t="n">
        <v>0</v>
      </c>
      <c r="E2913" s="15" t="s">
        <v>6012</v>
      </c>
    </row>
    <row r="2914" customFormat="false" ht="15" hidden="false" customHeight="false" outlineLevel="0" collapsed="false">
      <c r="A2914" s="15" t="s">
        <v>4608</v>
      </c>
      <c r="B2914" s="15" t="s">
        <v>4609</v>
      </c>
      <c r="C2914" s="15" t="s">
        <v>5997</v>
      </c>
      <c r="D2914" s="34" t="n">
        <f aca="false">Activities!M1180</f>
        <v>2</v>
      </c>
      <c r="E2914" s="15" t="s">
        <v>5998</v>
      </c>
    </row>
    <row r="2915" customFormat="false" ht="15" hidden="false" customHeight="false" outlineLevel="0" collapsed="false">
      <c r="A2915" s="15" t="s">
        <v>4608</v>
      </c>
      <c r="B2915" s="15" t="s">
        <v>4609</v>
      </c>
      <c r="C2915" s="15" t="s">
        <v>5999</v>
      </c>
      <c r="D2915" s="34" t="n">
        <f aca="false">Activities!N1180</f>
        <v>2</v>
      </c>
      <c r="E2915" s="15" t="s">
        <v>5998</v>
      </c>
    </row>
    <row r="2916" customFormat="false" ht="15" hidden="false" customHeight="false" outlineLevel="0" collapsed="false">
      <c r="A2916" s="15" t="s">
        <v>4609</v>
      </c>
      <c r="B2916" s="15" t="s">
        <v>4610</v>
      </c>
      <c r="C2916" s="15" t="s">
        <v>5997</v>
      </c>
      <c r="D2916" s="34" t="n">
        <f aca="false">Activities!M1181</f>
        <v>2</v>
      </c>
      <c r="E2916" s="15" t="s">
        <v>5998</v>
      </c>
    </row>
    <row r="2917" customFormat="false" ht="15" hidden="false" customHeight="false" outlineLevel="0" collapsed="false">
      <c r="A2917" s="15" t="s">
        <v>4609</v>
      </c>
      <c r="B2917" s="15" t="s">
        <v>4610</v>
      </c>
      <c r="C2917" s="15" t="s">
        <v>5999</v>
      </c>
      <c r="D2917" s="34" t="n">
        <f aca="false">Activities!N1181</f>
        <v>2</v>
      </c>
      <c r="E2917" s="15" t="s">
        <v>5998</v>
      </c>
    </row>
    <row r="2918" customFormat="false" ht="15" hidden="false" customHeight="false" outlineLevel="0" collapsed="false">
      <c r="A2918" s="15" t="s">
        <v>4596</v>
      </c>
      <c r="B2918" s="15" t="s">
        <v>4610</v>
      </c>
      <c r="C2918" s="15" t="s">
        <v>5995</v>
      </c>
      <c r="D2918" s="34" t="n">
        <v>0</v>
      </c>
      <c r="E2918" s="15" t="s">
        <v>6012</v>
      </c>
    </row>
    <row r="2919" customFormat="false" ht="15" hidden="false" customHeight="false" outlineLevel="0" collapsed="false">
      <c r="A2919" s="15" t="s">
        <v>4610</v>
      </c>
      <c r="B2919" s="15" t="s">
        <v>4611</v>
      </c>
      <c r="C2919" s="15" t="s">
        <v>5997</v>
      </c>
      <c r="D2919" s="34" t="n">
        <f aca="false">Activities!M1182</f>
        <v>2</v>
      </c>
      <c r="E2919" s="15" t="s">
        <v>5998</v>
      </c>
    </row>
    <row r="2920" customFormat="false" ht="15" hidden="false" customHeight="false" outlineLevel="0" collapsed="false">
      <c r="A2920" s="15" t="s">
        <v>4610</v>
      </c>
      <c r="B2920" s="15" t="s">
        <v>4611</v>
      </c>
      <c r="C2920" s="15" t="s">
        <v>5999</v>
      </c>
      <c r="D2920" s="34" t="n">
        <f aca="false">Activities!N1182</f>
        <v>2</v>
      </c>
      <c r="E2920" s="15" t="s">
        <v>5998</v>
      </c>
    </row>
    <row r="2921" customFormat="false" ht="15" hidden="false" customHeight="false" outlineLevel="0" collapsed="false">
      <c r="A2921" s="15" t="s">
        <v>4612</v>
      </c>
      <c r="B2921" s="15" t="s">
        <v>4614</v>
      </c>
      <c r="C2921" s="15" t="s">
        <v>5995</v>
      </c>
      <c r="D2921" s="34" t="n">
        <v>0</v>
      </c>
      <c r="E2921" s="15" t="s">
        <v>5996</v>
      </c>
    </row>
    <row r="2922" customFormat="false" ht="15" hidden="false" customHeight="false" outlineLevel="0" collapsed="false">
      <c r="A2922" s="15" t="s">
        <v>4602</v>
      </c>
      <c r="B2922" s="15" t="s">
        <v>4614</v>
      </c>
      <c r="C2922" s="15" t="s">
        <v>5997</v>
      </c>
      <c r="D2922" s="34" t="n">
        <v>0</v>
      </c>
      <c r="E2922" s="15" t="s">
        <v>6002</v>
      </c>
    </row>
    <row r="2923" customFormat="false" ht="15" hidden="false" customHeight="false" outlineLevel="0" collapsed="false">
      <c r="A2923" s="15" t="s">
        <v>4614</v>
      </c>
      <c r="B2923" s="15" t="s">
        <v>4616</v>
      </c>
      <c r="C2923" s="15" t="s">
        <v>5997</v>
      </c>
      <c r="D2923" s="34" t="n">
        <f aca="false">Activities!M1185</f>
        <v>1</v>
      </c>
      <c r="E2923" s="15" t="s">
        <v>5998</v>
      </c>
    </row>
    <row r="2924" customFormat="false" ht="15" hidden="false" customHeight="false" outlineLevel="0" collapsed="false">
      <c r="A2924" s="15" t="s">
        <v>4614</v>
      </c>
      <c r="B2924" s="15" t="s">
        <v>4616</v>
      </c>
      <c r="C2924" s="15" t="s">
        <v>5999</v>
      </c>
      <c r="D2924" s="34" t="n">
        <f aca="false">Activities!N1185</f>
        <v>2</v>
      </c>
      <c r="E2924" s="15" t="s">
        <v>5998</v>
      </c>
    </row>
    <row r="2925" customFormat="false" ht="15" hidden="false" customHeight="false" outlineLevel="0" collapsed="false">
      <c r="A2925" s="15" t="s">
        <v>4602</v>
      </c>
      <c r="B2925" s="15" t="s">
        <v>4616</v>
      </c>
      <c r="C2925" s="15" t="s">
        <v>5995</v>
      </c>
      <c r="D2925" s="34" t="n">
        <v>0</v>
      </c>
      <c r="E2925" s="15" t="s">
        <v>6012</v>
      </c>
    </row>
    <row r="2926" customFormat="false" ht="15" hidden="false" customHeight="false" outlineLevel="0" collapsed="false">
      <c r="A2926" s="15" t="s">
        <v>4616</v>
      </c>
      <c r="B2926" s="15" t="s">
        <v>4617</v>
      </c>
      <c r="C2926" s="15" t="s">
        <v>5997</v>
      </c>
      <c r="D2926" s="34" t="n">
        <f aca="false">Activities!M1186</f>
        <v>2</v>
      </c>
      <c r="E2926" s="15" t="s">
        <v>5998</v>
      </c>
    </row>
    <row r="2927" customFormat="false" ht="15" hidden="false" customHeight="false" outlineLevel="0" collapsed="false">
      <c r="A2927" s="15" t="s">
        <v>4616</v>
      </c>
      <c r="B2927" s="15" t="s">
        <v>4617</v>
      </c>
      <c r="C2927" s="15" t="s">
        <v>5999</v>
      </c>
      <c r="D2927" s="34" t="n">
        <f aca="false">Activities!N1186</f>
        <v>2</v>
      </c>
      <c r="E2927" s="15" t="s">
        <v>5998</v>
      </c>
    </row>
    <row r="2928" customFormat="false" ht="15" hidden="false" customHeight="false" outlineLevel="0" collapsed="false">
      <c r="A2928" s="15" t="s">
        <v>4603</v>
      </c>
      <c r="B2928" s="15" t="s">
        <v>4617</v>
      </c>
      <c r="C2928" s="15" t="s">
        <v>5995</v>
      </c>
      <c r="D2928" s="34" t="n">
        <v>0</v>
      </c>
      <c r="E2928" s="15" t="s">
        <v>6012</v>
      </c>
    </row>
    <row r="2929" customFormat="false" ht="15" hidden="false" customHeight="false" outlineLevel="0" collapsed="false">
      <c r="A2929" s="15" t="s">
        <v>4617</v>
      </c>
      <c r="B2929" s="15" t="s">
        <v>4618</v>
      </c>
      <c r="C2929" s="15" t="s">
        <v>5997</v>
      </c>
      <c r="D2929" s="34" t="n">
        <f aca="false">Activities!M1187</f>
        <v>1</v>
      </c>
      <c r="E2929" s="15" t="s">
        <v>5998</v>
      </c>
    </row>
    <row r="2930" customFormat="false" ht="15" hidden="false" customHeight="false" outlineLevel="0" collapsed="false">
      <c r="A2930" s="15" t="s">
        <v>4617</v>
      </c>
      <c r="B2930" s="15" t="s">
        <v>4618</v>
      </c>
      <c r="C2930" s="15" t="s">
        <v>5999</v>
      </c>
      <c r="D2930" s="34" t="n">
        <f aca="false">Activities!N1187</f>
        <v>2</v>
      </c>
      <c r="E2930" s="15" t="s">
        <v>5998</v>
      </c>
    </row>
    <row r="2931" customFormat="false" ht="15" hidden="false" customHeight="false" outlineLevel="0" collapsed="false">
      <c r="A2931" s="15" t="s">
        <v>4606</v>
      </c>
      <c r="B2931" s="15" t="s">
        <v>4618</v>
      </c>
      <c r="C2931" s="15" t="s">
        <v>5995</v>
      </c>
      <c r="D2931" s="34" t="n">
        <f aca="false">-Activities!K1187</f>
        <v>-10</v>
      </c>
      <c r="E2931" s="15" t="s">
        <v>6004</v>
      </c>
    </row>
    <row r="2932" customFormat="false" ht="15" hidden="false" customHeight="false" outlineLevel="0" collapsed="false">
      <c r="A2932" s="15" t="s">
        <v>4618</v>
      </c>
      <c r="B2932" s="15" t="s">
        <v>4620</v>
      </c>
      <c r="C2932" s="15" t="s">
        <v>5997</v>
      </c>
      <c r="D2932" s="34" t="n">
        <f aca="false">Activities!M1188</f>
        <v>10</v>
      </c>
      <c r="E2932" s="15" t="s">
        <v>5998</v>
      </c>
    </row>
    <row r="2933" customFormat="false" ht="15" hidden="false" customHeight="false" outlineLevel="0" collapsed="false">
      <c r="A2933" s="15" t="s">
        <v>4618</v>
      </c>
      <c r="B2933" s="15" t="s">
        <v>4620</v>
      </c>
      <c r="C2933" s="15" t="s">
        <v>5999</v>
      </c>
      <c r="D2933" s="34" t="n">
        <f aca="false">Activities!N1188</f>
        <v>2</v>
      </c>
      <c r="E2933" s="15" t="s">
        <v>5998</v>
      </c>
    </row>
    <row r="2934" customFormat="false" ht="15" hidden="false" customHeight="false" outlineLevel="0" collapsed="false">
      <c r="A2934" s="15" t="s">
        <v>4606</v>
      </c>
      <c r="B2934" s="15" t="s">
        <v>4620</v>
      </c>
      <c r="C2934" s="15" t="s">
        <v>5995</v>
      </c>
      <c r="D2934" s="34" t="n">
        <v>0</v>
      </c>
      <c r="E2934" s="15" t="s">
        <v>6012</v>
      </c>
    </row>
    <row r="2935" customFormat="false" ht="15" hidden="false" customHeight="false" outlineLevel="0" collapsed="false">
      <c r="A2935" s="15" t="s">
        <v>4620</v>
      </c>
      <c r="B2935" s="15" t="s">
        <v>4621</v>
      </c>
      <c r="C2935" s="15" t="s">
        <v>5997</v>
      </c>
      <c r="D2935" s="34" t="n">
        <f aca="false">Activities!M1189</f>
        <v>2</v>
      </c>
      <c r="E2935" s="15" t="s">
        <v>5998</v>
      </c>
    </row>
    <row r="2936" customFormat="false" ht="15" hidden="false" customHeight="false" outlineLevel="0" collapsed="false">
      <c r="A2936" s="15" t="s">
        <v>4620</v>
      </c>
      <c r="B2936" s="15" t="s">
        <v>4621</v>
      </c>
      <c r="C2936" s="15" t="s">
        <v>5999</v>
      </c>
      <c r="D2936" s="34" t="n">
        <f aca="false">Activities!N1189</f>
        <v>2</v>
      </c>
      <c r="E2936" s="15" t="s">
        <v>5998</v>
      </c>
    </row>
    <row r="2937" customFormat="false" ht="15" hidden="false" customHeight="false" outlineLevel="0" collapsed="false">
      <c r="A2937" s="15" t="s">
        <v>4607</v>
      </c>
      <c r="B2937" s="15" t="s">
        <v>4621</v>
      </c>
      <c r="C2937" s="15" t="s">
        <v>5995</v>
      </c>
      <c r="D2937" s="34" t="n">
        <v>0</v>
      </c>
      <c r="E2937" s="15" t="s">
        <v>6012</v>
      </c>
    </row>
    <row r="2938" customFormat="false" ht="15" hidden="false" customHeight="false" outlineLevel="0" collapsed="false">
      <c r="A2938" s="15" t="s">
        <v>4621</v>
      </c>
      <c r="B2938" s="15" t="s">
        <v>4622</v>
      </c>
      <c r="C2938" s="15" t="s">
        <v>5997</v>
      </c>
      <c r="D2938" s="34" t="n">
        <f aca="false">Activities!M1190</f>
        <v>2</v>
      </c>
      <c r="E2938" s="15" t="s">
        <v>5998</v>
      </c>
    </row>
    <row r="2939" customFormat="false" ht="15" hidden="false" customHeight="false" outlineLevel="0" collapsed="false">
      <c r="A2939" s="15" t="s">
        <v>4621</v>
      </c>
      <c r="B2939" s="15" t="s">
        <v>4622</v>
      </c>
      <c r="C2939" s="15" t="s">
        <v>5999</v>
      </c>
      <c r="D2939" s="34" t="n">
        <f aca="false">Activities!N1190</f>
        <v>2</v>
      </c>
      <c r="E2939" s="15" t="s">
        <v>5998</v>
      </c>
    </row>
    <row r="2940" customFormat="false" ht="15" hidden="false" customHeight="false" outlineLevel="0" collapsed="false">
      <c r="A2940" s="15" t="s">
        <v>4608</v>
      </c>
      <c r="B2940" s="15" t="s">
        <v>4622</v>
      </c>
      <c r="C2940" s="15" t="s">
        <v>5995</v>
      </c>
      <c r="D2940" s="34" t="n">
        <v>0</v>
      </c>
      <c r="E2940" s="15" t="s">
        <v>6012</v>
      </c>
    </row>
    <row r="2941" customFormat="false" ht="15" hidden="false" customHeight="false" outlineLevel="0" collapsed="false">
      <c r="A2941" s="15" t="s">
        <v>4622</v>
      </c>
      <c r="B2941" s="15" t="s">
        <v>4623</v>
      </c>
      <c r="C2941" s="15" t="s">
        <v>5997</v>
      </c>
      <c r="D2941" s="34" t="n">
        <f aca="false">Activities!M1191</f>
        <v>1</v>
      </c>
      <c r="E2941" s="15" t="s">
        <v>5998</v>
      </c>
    </row>
    <row r="2942" customFormat="false" ht="15" hidden="false" customHeight="false" outlineLevel="0" collapsed="false">
      <c r="A2942" s="15" t="s">
        <v>4622</v>
      </c>
      <c r="B2942" s="15" t="s">
        <v>4623</v>
      </c>
      <c r="C2942" s="15" t="s">
        <v>5999</v>
      </c>
      <c r="D2942" s="34" t="n">
        <f aca="false">Activities!N1191</f>
        <v>2</v>
      </c>
      <c r="E2942" s="15" t="s">
        <v>5998</v>
      </c>
    </row>
    <row r="2943" customFormat="false" ht="15" hidden="false" customHeight="false" outlineLevel="0" collapsed="false">
      <c r="A2943" s="15" t="s">
        <v>4623</v>
      </c>
      <c r="B2943" s="15" t="s">
        <v>4624</v>
      </c>
      <c r="C2943" s="15" t="s">
        <v>5997</v>
      </c>
      <c r="D2943" s="34" t="n">
        <f aca="false">Activities!M1192</f>
        <v>2</v>
      </c>
      <c r="E2943" s="15" t="s">
        <v>5998</v>
      </c>
    </row>
    <row r="2944" customFormat="false" ht="15" hidden="false" customHeight="false" outlineLevel="0" collapsed="false">
      <c r="A2944" s="15" t="s">
        <v>4623</v>
      </c>
      <c r="B2944" s="15" t="s">
        <v>4624</v>
      </c>
      <c r="C2944" s="15" t="s">
        <v>5999</v>
      </c>
      <c r="D2944" s="34" t="n">
        <f aca="false">Activities!N1192</f>
        <v>2</v>
      </c>
      <c r="E2944" s="15" t="s">
        <v>5998</v>
      </c>
    </row>
    <row r="2945" customFormat="false" ht="15" hidden="false" customHeight="false" outlineLevel="0" collapsed="false">
      <c r="A2945" s="15" t="s">
        <v>4610</v>
      </c>
      <c r="B2945" s="15" t="s">
        <v>4624</v>
      </c>
      <c r="C2945" s="15" t="s">
        <v>5995</v>
      </c>
      <c r="D2945" s="34" t="n">
        <v>0</v>
      </c>
      <c r="E2945" s="15" t="s">
        <v>6012</v>
      </c>
    </row>
    <row r="2946" customFormat="false" ht="15" hidden="false" customHeight="false" outlineLevel="0" collapsed="false">
      <c r="A2946" s="15" t="s">
        <v>4624</v>
      </c>
      <c r="B2946" s="15" t="s">
        <v>4625</v>
      </c>
      <c r="C2946" s="15" t="s">
        <v>5997</v>
      </c>
      <c r="D2946" s="34" t="n">
        <f aca="false">Activities!M1193</f>
        <v>1</v>
      </c>
      <c r="E2946" s="15" t="s">
        <v>5998</v>
      </c>
    </row>
    <row r="2947" customFormat="false" ht="15" hidden="false" customHeight="false" outlineLevel="0" collapsed="false">
      <c r="A2947" s="15" t="s">
        <v>4624</v>
      </c>
      <c r="B2947" s="15" t="s">
        <v>4625</v>
      </c>
      <c r="C2947" s="15" t="s">
        <v>5999</v>
      </c>
      <c r="D2947" s="34" t="n">
        <f aca="false">Activities!N1193</f>
        <v>2</v>
      </c>
      <c r="E2947" s="15" t="s">
        <v>5998</v>
      </c>
    </row>
    <row r="2948" customFormat="false" ht="15" hidden="false" customHeight="false" outlineLevel="0" collapsed="false">
      <c r="A2948" s="15" t="s">
        <v>4626</v>
      </c>
      <c r="B2948" s="15" t="s">
        <v>4628</v>
      </c>
      <c r="C2948" s="15" t="s">
        <v>5995</v>
      </c>
      <c r="D2948" s="34" t="n">
        <v>0</v>
      </c>
      <c r="E2948" s="15" t="s">
        <v>5996</v>
      </c>
    </row>
    <row r="2949" customFormat="false" ht="15" hidden="false" customHeight="false" outlineLevel="0" collapsed="false">
      <c r="A2949" s="15" t="s">
        <v>4616</v>
      </c>
      <c r="B2949" s="15" t="s">
        <v>4628</v>
      </c>
      <c r="C2949" s="15" t="s">
        <v>5997</v>
      </c>
      <c r="D2949" s="34" t="n">
        <v>0</v>
      </c>
      <c r="E2949" s="15" t="s">
        <v>6002</v>
      </c>
    </row>
    <row r="2950" customFormat="false" ht="15" hidden="false" customHeight="false" outlineLevel="0" collapsed="false">
      <c r="A2950" s="15" t="s">
        <v>4628</v>
      </c>
      <c r="B2950" s="15" t="s">
        <v>4630</v>
      </c>
      <c r="C2950" s="15" t="s">
        <v>5997</v>
      </c>
      <c r="D2950" s="34" t="n">
        <f aca="false">Activities!M1196</f>
        <v>1</v>
      </c>
      <c r="E2950" s="15" t="s">
        <v>5998</v>
      </c>
    </row>
    <row r="2951" customFormat="false" ht="15" hidden="false" customHeight="false" outlineLevel="0" collapsed="false">
      <c r="A2951" s="15" t="s">
        <v>4628</v>
      </c>
      <c r="B2951" s="15" t="s">
        <v>4630</v>
      </c>
      <c r="C2951" s="15" t="s">
        <v>5999</v>
      </c>
      <c r="D2951" s="34" t="n">
        <f aca="false">Activities!N1196</f>
        <v>2</v>
      </c>
      <c r="E2951" s="15" t="s">
        <v>5998</v>
      </c>
    </row>
    <row r="2952" customFormat="false" ht="15" hidden="false" customHeight="false" outlineLevel="0" collapsed="false">
      <c r="A2952" s="15" t="s">
        <v>4616</v>
      </c>
      <c r="B2952" s="15" t="s">
        <v>4630</v>
      </c>
      <c r="C2952" s="15" t="s">
        <v>5995</v>
      </c>
      <c r="D2952" s="34" t="n">
        <v>0</v>
      </c>
      <c r="E2952" s="15" t="s">
        <v>6012</v>
      </c>
    </row>
    <row r="2953" customFormat="false" ht="15" hidden="false" customHeight="false" outlineLevel="0" collapsed="false">
      <c r="A2953" s="15" t="s">
        <v>4630</v>
      </c>
      <c r="B2953" s="15" t="s">
        <v>4631</v>
      </c>
      <c r="C2953" s="15" t="s">
        <v>5997</v>
      </c>
      <c r="D2953" s="34" t="n">
        <f aca="false">Activities!M1197</f>
        <v>2</v>
      </c>
      <c r="E2953" s="15" t="s">
        <v>5998</v>
      </c>
    </row>
    <row r="2954" customFormat="false" ht="15" hidden="false" customHeight="false" outlineLevel="0" collapsed="false">
      <c r="A2954" s="15" t="s">
        <v>4630</v>
      </c>
      <c r="B2954" s="15" t="s">
        <v>4631</v>
      </c>
      <c r="C2954" s="15" t="s">
        <v>5999</v>
      </c>
      <c r="D2954" s="34" t="n">
        <f aca="false">Activities!N1197</f>
        <v>2</v>
      </c>
      <c r="E2954" s="15" t="s">
        <v>5998</v>
      </c>
    </row>
    <row r="2955" customFormat="false" ht="15" hidden="false" customHeight="false" outlineLevel="0" collapsed="false">
      <c r="A2955" s="15" t="s">
        <v>4617</v>
      </c>
      <c r="B2955" s="15" t="s">
        <v>4631</v>
      </c>
      <c r="C2955" s="15" t="s">
        <v>5995</v>
      </c>
      <c r="D2955" s="34" t="n">
        <v>0</v>
      </c>
      <c r="E2955" s="15" t="s">
        <v>6012</v>
      </c>
    </row>
    <row r="2956" customFormat="false" ht="15" hidden="false" customHeight="false" outlineLevel="0" collapsed="false">
      <c r="A2956" s="15" t="s">
        <v>4631</v>
      </c>
      <c r="B2956" s="15" t="s">
        <v>4632</v>
      </c>
      <c r="C2956" s="15" t="s">
        <v>5997</v>
      </c>
      <c r="D2956" s="34" t="n">
        <f aca="false">Activities!M1198</f>
        <v>1</v>
      </c>
      <c r="E2956" s="15" t="s">
        <v>5998</v>
      </c>
    </row>
    <row r="2957" customFormat="false" ht="15" hidden="false" customHeight="false" outlineLevel="0" collapsed="false">
      <c r="A2957" s="15" t="s">
        <v>4631</v>
      </c>
      <c r="B2957" s="15" t="s">
        <v>4632</v>
      </c>
      <c r="C2957" s="15" t="s">
        <v>5999</v>
      </c>
      <c r="D2957" s="34" t="n">
        <f aca="false">Activities!N1198</f>
        <v>2</v>
      </c>
      <c r="E2957" s="15" t="s">
        <v>5998</v>
      </c>
    </row>
    <row r="2958" customFormat="false" ht="15" hidden="false" customHeight="false" outlineLevel="0" collapsed="false">
      <c r="A2958" s="15" t="s">
        <v>4620</v>
      </c>
      <c r="B2958" s="15" t="s">
        <v>4632</v>
      </c>
      <c r="C2958" s="15" t="s">
        <v>5995</v>
      </c>
      <c r="D2958" s="34" t="n">
        <f aca="false">-Activities!K1198</f>
        <v>-10</v>
      </c>
      <c r="E2958" s="15" t="s">
        <v>6004</v>
      </c>
    </row>
    <row r="2959" customFormat="false" ht="15" hidden="false" customHeight="false" outlineLevel="0" collapsed="false">
      <c r="A2959" s="15" t="s">
        <v>4632</v>
      </c>
      <c r="B2959" s="15" t="s">
        <v>4634</v>
      </c>
      <c r="C2959" s="15" t="s">
        <v>5997</v>
      </c>
      <c r="D2959" s="34" t="n">
        <f aca="false">Activities!M1199</f>
        <v>10</v>
      </c>
      <c r="E2959" s="15" t="s">
        <v>5998</v>
      </c>
    </row>
    <row r="2960" customFormat="false" ht="15" hidden="false" customHeight="false" outlineLevel="0" collapsed="false">
      <c r="A2960" s="15" t="s">
        <v>4632</v>
      </c>
      <c r="B2960" s="15" t="s">
        <v>4634</v>
      </c>
      <c r="C2960" s="15" t="s">
        <v>5999</v>
      </c>
      <c r="D2960" s="34" t="n">
        <f aca="false">Activities!N1199</f>
        <v>2</v>
      </c>
      <c r="E2960" s="15" t="s">
        <v>5998</v>
      </c>
    </row>
    <row r="2961" customFormat="false" ht="15" hidden="false" customHeight="false" outlineLevel="0" collapsed="false">
      <c r="A2961" s="15" t="s">
        <v>4620</v>
      </c>
      <c r="B2961" s="15" t="s">
        <v>4634</v>
      </c>
      <c r="C2961" s="15" t="s">
        <v>5995</v>
      </c>
      <c r="D2961" s="34" t="n">
        <v>0</v>
      </c>
      <c r="E2961" s="15" t="s">
        <v>6012</v>
      </c>
    </row>
    <row r="2962" customFormat="false" ht="15" hidden="false" customHeight="false" outlineLevel="0" collapsed="false">
      <c r="A2962" s="15" t="s">
        <v>4634</v>
      </c>
      <c r="B2962" s="15" t="s">
        <v>4635</v>
      </c>
      <c r="C2962" s="15" t="s">
        <v>5997</v>
      </c>
      <c r="D2962" s="34" t="n">
        <f aca="false">Activities!M1200</f>
        <v>2</v>
      </c>
      <c r="E2962" s="15" t="s">
        <v>5998</v>
      </c>
    </row>
    <row r="2963" customFormat="false" ht="15" hidden="false" customHeight="false" outlineLevel="0" collapsed="false">
      <c r="A2963" s="15" t="s">
        <v>4634</v>
      </c>
      <c r="B2963" s="15" t="s">
        <v>4635</v>
      </c>
      <c r="C2963" s="15" t="s">
        <v>5999</v>
      </c>
      <c r="D2963" s="34" t="n">
        <f aca="false">Activities!N1200</f>
        <v>2</v>
      </c>
      <c r="E2963" s="15" t="s">
        <v>5998</v>
      </c>
    </row>
    <row r="2964" customFormat="false" ht="15" hidden="false" customHeight="false" outlineLevel="0" collapsed="false">
      <c r="A2964" s="15" t="s">
        <v>4621</v>
      </c>
      <c r="B2964" s="15" t="s">
        <v>4635</v>
      </c>
      <c r="C2964" s="15" t="s">
        <v>5995</v>
      </c>
      <c r="D2964" s="34" t="n">
        <v>0</v>
      </c>
      <c r="E2964" s="15" t="s">
        <v>6012</v>
      </c>
    </row>
    <row r="2965" customFormat="false" ht="15" hidden="false" customHeight="false" outlineLevel="0" collapsed="false">
      <c r="A2965" s="15" t="s">
        <v>4635</v>
      </c>
      <c r="B2965" s="15" t="s">
        <v>4636</v>
      </c>
      <c r="C2965" s="15" t="s">
        <v>5997</v>
      </c>
      <c r="D2965" s="34" t="n">
        <f aca="false">Activities!M1201</f>
        <v>2</v>
      </c>
      <c r="E2965" s="15" t="s">
        <v>5998</v>
      </c>
    </row>
    <row r="2966" customFormat="false" ht="15" hidden="false" customHeight="false" outlineLevel="0" collapsed="false">
      <c r="A2966" s="15" t="s">
        <v>4635</v>
      </c>
      <c r="B2966" s="15" t="s">
        <v>4636</v>
      </c>
      <c r="C2966" s="15" t="s">
        <v>5999</v>
      </c>
      <c r="D2966" s="34" t="n">
        <f aca="false">Activities!N1201</f>
        <v>2</v>
      </c>
      <c r="E2966" s="15" t="s">
        <v>5998</v>
      </c>
    </row>
    <row r="2967" customFormat="false" ht="15" hidden="false" customHeight="false" outlineLevel="0" collapsed="false">
      <c r="A2967" s="15" t="s">
        <v>4622</v>
      </c>
      <c r="B2967" s="15" t="s">
        <v>4636</v>
      </c>
      <c r="C2967" s="15" t="s">
        <v>5995</v>
      </c>
      <c r="D2967" s="34" t="n">
        <v>0</v>
      </c>
      <c r="E2967" s="15" t="s">
        <v>6012</v>
      </c>
    </row>
    <row r="2968" customFormat="false" ht="15" hidden="false" customHeight="false" outlineLevel="0" collapsed="false">
      <c r="A2968" s="15" t="s">
        <v>4636</v>
      </c>
      <c r="B2968" s="15" t="s">
        <v>4637</v>
      </c>
      <c r="C2968" s="15" t="s">
        <v>5997</v>
      </c>
      <c r="D2968" s="34" t="n">
        <f aca="false">Activities!M1202</f>
        <v>1</v>
      </c>
      <c r="E2968" s="15" t="s">
        <v>5998</v>
      </c>
    </row>
    <row r="2969" customFormat="false" ht="15" hidden="false" customHeight="false" outlineLevel="0" collapsed="false">
      <c r="A2969" s="15" t="s">
        <v>4636</v>
      </c>
      <c r="B2969" s="15" t="s">
        <v>4637</v>
      </c>
      <c r="C2969" s="15" t="s">
        <v>5999</v>
      </c>
      <c r="D2969" s="34" t="n">
        <f aca="false">Activities!N1202</f>
        <v>2</v>
      </c>
      <c r="E2969" s="15" t="s">
        <v>5998</v>
      </c>
    </row>
    <row r="2970" customFormat="false" ht="15" hidden="false" customHeight="false" outlineLevel="0" collapsed="false">
      <c r="A2970" s="15" t="s">
        <v>4637</v>
      </c>
      <c r="B2970" s="15" t="s">
        <v>4638</v>
      </c>
      <c r="C2970" s="15" t="s">
        <v>5997</v>
      </c>
      <c r="D2970" s="34" t="n">
        <f aca="false">Activities!M1203</f>
        <v>2</v>
      </c>
      <c r="E2970" s="15" t="s">
        <v>5998</v>
      </c>
    </row>
    <row r="2971" customFormat="false" ht="15" hidden="false" customHeight="false" outlineLevel="0" collapsed="false">
      <c r="A2971" s="15" t="s">
        <v>4637</v>
      </c>
      <c r="B2971" s="15" t="s">
        <v>4638</v>
      </c>
      <c r="C2971" s="15" t="s">
        <v>5999</v>
      </c>
      <c r="D2971" s="34" t="n">
        <f aca="false">Activities!N1203</f>
        <v>2</v>
      </c>
      <c r="E2971" s="15" t="s">
        <v>5998</v>
      </c>
    </row>
    <row r="2972" customFormat="false" ht="15" hidden="false" customHeight="false" outlineLevel="0" collapsed="false">
      <c r="A2972" s="15" t="s">
        <v>4624</v>
      </c>
      <c r="B2972" s="15" t="s">
        <v>4638</v>
      </c>
      <c r="C2972" s="15" t="s">
        <v>5995</v>
      </c>
      <c r="D2972" s="34" t="n">
        <v>0</v>
      </c>
      <c r="E2972" s="15" t="s">
        <v>6012</v>
      </c>
    </row>
    <row r="2973" customFormat="false" ht="15" hidden="false" customHeight="false" outlineLevel="0" collapsed="false">
      <c r="A2973" s="15" t="s">
        <v>4638</v>
      </c>
      <c r="B2973" s="15" t="s">
        <v>4639</v>
      </c>
      <c r="C2973" s="15" t="s">
        <v>5997</v>
      </c>
      <c r="D2973" s="34" t="n">
        <f aca="false">Activities!M1204</f>
        <v>1</v>
      </c>
      <c r="E2973" s="15" t="s">
        <v>5998</v>
      </c>
    </row>
    <row r="2974" customFormat="false" ht="15" hidden="false" customHeight="false" outlineLevel="0" collapsed="false">
      <c r="A2974" s="15" t="s">
        <v>4638</v>
      </c>
      <c r="B2974" s="15" t="s">
        <v>4639</v>
      </c>
      <c r="C2974" s="15" t="s">
        <v>5999</v>
      </c>
      <c r="D2974" s="34" t="n">
        <f aca="false">Activities!N1204</f>
        <v>2</v>
      </c>
      <c r="E2974" s="15" t="s">
        <v>5998</v>
      </c>
    </row>
    <row r="2975" customFormat="false" ht="15" hidden="false" customHeight="false" outlineLevel="0" collapsed="false">
      <c r="A2975" s="15" t="s">
        <v>4640</v>
      </c>
      <c r="B2975" s="15" t="s">
        <v>4642</v>
      </c>
      <c r="C2975" s="15" t="s">
        <v>5995</v>
      </c>
      <c r="D2975" s="34" t="n">
        <v>0</v>
      </c>
      <c r="E2975" s="15" t="s">
        <v>5996</v>
      </c>
    </row>
    <row r="2976" customFormat="false" ht="15" hidden="false" customHeight="false" outlineLevel="0" collapsed="false">
      <c r="A2976" s="15" t="s">
        <v>4630</v>
      </c>
      <c r="B2976" s="15" t="s">
        <v>4642</v>
      </c>
      <c r="C2976" s="15" t="s">
        <v>5997</v>
      </c>
      <c r="D2976" s="34" t="n">
        <v>0</v>
      </c>
      <c r="E2976" s="15" t="s">
        <v>6002</v>
      </c>
    </row>
    <row r="2977" customFormat="false" ht="15" hidden="false" customHeight="false" outlineLevel="0" collapsed="false">
      <c r="A2977" s="15" t="s">
        <v>4642</v>
      </c>
      <c r="B2977" s="15" t="s">
        <v>4644</v>
      </c>
      <c r="C2977" s="15" t="s">
        <v>5997</v>
      </c>
      <c r="D2977" s="34" t="n">
        <f aca="false">Activities!M1207</f>
        <v>1</v>
      </c>
      <c r="E2977" s="15" t="s">
        <v>5998</v>
      </c>
    </row>
    <row r="2978" customFormat="false" ht="15" hidden="false" customHeight="false" outlineLevel="0" collapsed="false">
      <c r="A2978" s="15" t="s">
        <v>4642</v>
      </c>
      <c r="B2978" s="15" t="s">
        <v>4644</v>
      </c>
      <c r="C2978" s="15" t="s">
        <v>5999</v>
      </c>
      <c r="D2978" s="34" t="n">
        <f aca="false">Activities!N1207</f>
        <v>2</v>
      </c>
      <c r="E2978" s="15" t="s">
        <v>5998</v>
      </c>
    </row>
    <row r="2979" customFormat="false" ht="15" hidden="false" customHeight="false" outlineLevel="0" collapsed="false">
      <c r="A2979" s="15" t="s">
        <v>4630</v>
      </c>
      <c r="B2979" s="15" t="s">
        <v>4644</v>
      </c>
      <c r="C2979" s="15" t="s">
        <v>5995</v>
      </c>
      <c r="D2979" s="34" t="n">
        <v>0</v>
      </c>
      <c r="E2979" s="15" t="s">
        <v>6012</v>
      </c>
    </row>
    <row r="2980" customFormat="false" ht="15" hidden="false" customHeight="false" outlineLevel="0" collapsed="false">
      <c r="A2980" s="15" t="s">
        <v>4644</v>
      </c>
      <c r="B2980" s="15" t="s">
        <v>4645</v>
      </c>
      <c r="C2980" s="15" t="s">
        <v>5997</v>
      </c>
      <c r="D2980" s="34" t="n">
        <f aca="false">Activities!M1208</f>
        <v>3</v>
      </c>
      <c r="E2980" s="15" t="s">
        <v>5998</v>
      </c>
    </row>
    <row r="2981" customFormat="false" ht="15" hidden="false" customHeight="false" outlineLevel="0" collapsed="false">
      <c r="A2981" s="15" t="s">
        <v>4644</v>
      </c>
      <c r="B2981" s="15" t="s">
        <v>4645</v>
      </c>
      <c r="C2981" s="15" t="s">
        <v>5999</v>
      </c>
      <c r="D2981" s="34" t="n">
        <f aca="false">Activities!N1208</f>
        <v>0</v>
      </c>
      <c r="E2981" s="15" t="s">
        <v>5998</v>
      </c>
    </row>
    <row r="2982" customFormat="false" ht="15" hidden="false" customHeight="false" outlineLevel="0" collapsed="false">
      <c r="A2982" s="15" t="s">
        <v>4631</v>
      </c>
      <c r="B2982" s="15" t="s">
        <v>4645</v>
      </c>
      <c r="C2982" s="15" t="s">
        <v>5995</v>
      </c>
      <c r="D2982" s="34" t="n">
        <v>0</v>
      </c>
      <c r="E2982" s="15" t="s">
        <v>6012</v>
      </c>
    </row>
    <row r="2983" customFormat="false" ht="15" hidden="false" customHeight="false" outlineLevel="0" collapsed="false">
      <c r="A2983" s="15" t="s">
        <v>4645</v>
      </c>
      <c r="B2983" s="15" t="s">
        <v>4646</v>
      </c>
      <c r="C2983" s="15" t="s">
        <v>5997</v>
      </c>
      <c r="D2983" s="34" t="n">
        <f aca="false">Activities!M1209</f>
        <v>0</v>
      </c>
      <c r="E2983" s="15" t="s">
        <v>5998</v>
      </c>
    </row>
    <row r="2984" customFormat="false" ht="15" hidden="false" customHeight="false" outlineLevel="0" collapsed="false">
      <c r="A2984" s="15" t="s">
        <v>4645</v>
      </c>
      <c r="B2984" s="15" t="s">
        <v>4646</v>
      </c>
      <c r="C2984" s="15" t="s">
        <v>5999</v>
      </c>
      <c r="D2984" s="34" t="n">
        <f aca="false">Activities!N1209</f>
        <v>2</v>
      </c>
      <c r="E2984" s="15" t="s">
        <v>5998</v>
      </c>
    </row>
    <row r="2985" customFormat="false" ht="15" hidden="false" customHeight="false" outlineLevel="0" collapsed="false">
      <c r="A2985" s="15" t="s">
        <v>4634</v>
      </c>
      <c r="B2985" s="15" t="s">
        <v>4646</v>
      </c>
      <c r="C2985" s="15" t="s">
        <v>5995</v>
      </c>
      <c r="D2985" s="34" t="n">
        <f aca="false">-Activities!K1209</f>
        <v>-12</v>
      </c>
      <c r="E2985" s="15" t="s">
        <v>6004</v>
      </c>
    </row>
    <row r="2986" customFormat="false" ht="15" hidden="false" customHeight="false" outlineLevel="0" collapsed="false">
      <c r="A2986" s="15" t="s">
        <v>4646</v>
      </c>
      <c r="B2986" s="15" t="s">
        <v>4648</v>
      </c>
      <c r="C2986" s="15" t="s">
        <v>5997</v>
      </c>
      <c r="D2986" s="34" t="n">
        <f aca="false">Activities!M1210</f>
        <v>10</v>
      </c>
      <c r="E2986" s="15" t="s">
        <v>5998</v>
      </c>
    </row>
    <row r="2987" customFormat="false" ht="15" hidden="false" customHeight="false" outlineLevel="0" collapsed="false">
      <c r="A2987" s="15" t="s">
        <v>4646</v>
      </c>
      <c r="B2987" s="15" t="s">
        <v>4648</v>
      </c>
      <c r="C2987" s="15" t="s">
        <v>5999</v>
      </c>
      <c r="D2987" s="34" t="n">
        <f aca="false">Activities!N1210</f>
        <v>2</v>
      </c>
      <c r="E2987" s="15" t="s">
        <v>5998</v>
      </c>
    </row>
    <row r="2988" customFormat="false" ht="15" hidden="false" customHeight="false" outlineLevel="0" collapsed="false">
      <c r="A2988" s="15" t="s">
        <v>4634</v>
      </c>
      <c r="B2988" s="15" t="s">
        <v>4648</v>
      </c>
      <c r="C2988" s="15" t="s">
        <v>5995</v>
      </c>
      <c r="D2988" s="34" t="n">
        <v>0</v>
      </c>
      <c r="E2988" s="15" t="s">
        <v>6012</v>
      </c>
    </row>
    <row r="2989" customFormat="false" ht="15" hidden="false" customHeight="false" outlineLevel="0" collapsed="false">
      <c r="A2989" s="15" t="s">
        <v>4648</v>
      </c>
      <c r="B2989" s="15" t="s">
        <v>4649</v>
      </c>
      <c r="C2989" s="15" t="s">
        <v>5997</v>
      </c>
      <c r="D2989" s="34" t="n">
        <f aca="false">Activities!M1211</f>
        <v>1</v>
      </c>
      <c r="E2989" s="15" t="s">
        <v>5998</v>
      </c>
    </row>
    <row r="2990" customFormat="false" ht="15" hidden="false" customHeight="false" outlineLevel="0" collapsed="false">
      <c r="A2990" s="15" t="s">
        <v>4648</v>
      </c>
      <c r="B2990" s="15" t="s">
        <v>4649</v>
      </c>
      <c r="C2990" s="15" t="s">
        <v>5999</v>
      </c>
      <c r="D2990" s="34" t="n">
        <f aca="false">Activities!N1211</f>
        <v>2</v>
      </c>
      <c r="E2990" s="15" t="s">
        <v>5998</v>
      </c>
    </row>
    <row r="2991" customFormat="false" ht="15" hidden="false" customHeight="false" outlineLevel="0" collapsed="false">
      <c r="A2991" s="15" t="s">
        <v>4635</v>
      </c>
      <c r="B2991" s="15" t="s">
        <v>4649</v>
      </c>
      <c r="C2991" s="15" t="s">
        <v>5995</v>
      </c>
      <c r="D2991" s="34" t="n">
        <v>0</v>
      </c>
      <c r="E2991" s="15" t="s">
        <v>6012</v>
      </c>
    </row>
    <row r="2992" customFormat="false" ht="15" hidden="false" customHeight="false" outlineLevel="0" collapsed="false">
      <c r="A2992" s="15" t="s">
        <v>4649</v>
      </c>
      <c r="B2992" s="15" t="s">
        <v>4650</v>
      </c>
      <c r="C2992" s="15" t="s">
        <v>5997</v>
      </c>
      <c r="D2992" s="34" t="n">
        <f aca="false">Activities!M1212</f>
        <v>4</v>
      </c>
      <c r="E2992" s="15" t="s">
        <v>5998</v>
      </c>
    </row>
    <row r="2993" customFormat="false" ht="15" hidden="false" customHeight="false" outlineLevel="0" collapsed="false">
      <c r="A2993" s="15" t="s">
        <v>4649</v>
      </c>
      <c r="B2993" s="15" t="s">
        <v>4650</v>
      </c>
      <c r="C2993" s="15" t="s">
        <v>5999</v>
      </c>
      <c r="D2993" s="34" t="n">
        <f aca="false">Activities!N1212</f>
        <v>2</v>
      </c>
      <c r="E2993" s="15" t="s">
        <v>5998</v>
      </c>
    </row>
    <row r="2994" customFormat="false" ht="15" hidden="false" customHeight="false" outlineLevel="0" collapsed="false">
      <c r="A2994" s="15" t="s">
        <v>4636</v>
      </c>
      <c r="B2994" s="15" t="s">
        <v>4650</v>
      </c>
      <c r="C2994" s="15" t="s">
        <v>5995</v>
      </c>
      <c r="D2994" s="34" t="n">
        <v>0</v>
      </c>
      <c r="E2994" s="15" t="s">
        <v>6012</v>
      </c>
    </row>
    <row r="2995" customFormat="false" ht="15" hidden="false" customHeight="false" outlineLevel="0" collapsed="false">
      <c r="A2995" s="15" t="s">
        <v>4650</v>
      </c>
      <c r="B2995" s="15" t="s">
        <v>4651</v>
      </c>
      <c r="C2995" s="15" t="s">
        <v>5997</v>
      </c>
      <c r="D2995" s="34" t="n">
        <f aca="false">Activities!M1213</f>
        <v>2</v>
      </c>
      <c r="E2995" s="15" t="s">
        <v>5998</v>
      </c>
    </row>
    <row r="2996" customFormat="false" ht="15" hidden="false" customHeight="false" outlineLevel="0" collapsed="false">
      <c r="A2996" s="15" t="s">
        <v>4650</v>
      </c>
      <c r="B2996" s="15" t="s">
        <v>4651</v>
      </c>
      <c r="C2996" s="15" t="s">
        <v>5999</v>
      </c>
      <c r="D2996" s="34" t="n">
        <f aca="false">Activities!N1213</f>
        <v>2</v>
      </c>
      <c r="E2996" s="15" t="s">
        <v>5998</v>
      </c>
    </row>
    <row r="2997" customFormat="false" ht="15" hidden="false" customHeight="false" outlineLevel="0" collapsed="false">
      <c r="A2997" s="15" t="s">
        <v>4651</v>
      </c>
      <c r="B2997" s="15" t="s">
        <v>4652</v>
      </c>
      <c r="C2997" s="15" t="s">
        <v>5997</v>
      </c>
      <c r="D2997" s="34" t="n">
        <f aca="false">Activities!M1214</f>
        <v>2</v>
      </c>
      <c r="E2997" s="15" t="s">
        <v>5998</v>
      </c>
    </row>
    <row r="2998" customFormat="false" ht="15" hidden="false" customHeight="false" outlineLevel="0" collapsed="false">
      <c r="A2998" s="15" t="s">
        <v>4651</v>
      </c>
      <c r="B2998" s="15" t="s">
        <v>4652</v>
      </c>
      <c r="C2998" s="15" t="s">
        <v>5999</v>
      </c>
      <c r="D2998" s="34" t="n">
        <f aca="false">Activities!N1214</f>
        <v>2</v>
      </c>
      <c r="E2998" s="15" t="s">
        <v>5998</v>
      </c>
    </row>
    <row r="2999" customFormat="false" ht="15" hidden="false" customHeight="false" outlineLevel="0" collapsed="false">
      <c r="A2999" s="15" t="s">
        <v>4638</v>
      </c>
      <c r="B2999" s="15" t="s">
        <v>4652</v>
      </c>
      <c r="C2999" s="15" t="s">
        <v>5995</v>
      </c>
      <c r="D2999" s="34" t="n">
        <v>0</v>
      </c>
      <c r="E2999" s="15" t="s">
        <v>6012</v>
      </c>
    </row>
    <row r="3000" customFormat="false" ht="15" hidden="false" customHeight="false" outlineLevel="0" collapsed="false">
      <c r="A3000" s="15" t="s">
        <v>4652</v>
      </c>
      <c r="B3000" s="15" t="s">
        <v>4653</v>
      </c>
      <c r="C3000" s="15" t="s">
        <v>5997</v>
      </c>
      <c r="D3000" s="34" t="n">
        <f aca="false">Activities!M1215</f>
        <v>1</v>
      </c>
      <c r="E3000" s="15" t="s">
        <v>5998</v>
      </c>
    </row>
    <row r="3001" customFormat="false" ht="15" hidden="false" customHeight="false" outlineLevel="0" collapsed="false">
      <c r="A3001" s="15" t="s">
        <v>4652</v>
      </c>
      <c r="B3001" s="15" t="s">
        <v>4653</v>
      </c>
      <c r="C3001" s="15" t="s">
        <v>5999</v>
      </c>
      <c r="D3001" s="34" t="n">
        <f aca="false">Activities!N1215</f>
        <v>2</v>
      </c>
      <c r="E3001" s="15" t="s">
        <v>5998</v>
      </c>
    </row>
    <row r="3002" customFormat="false" ht="15" hidden="false" customHeight="false" outlineLevel="0" collapsed="false">
      <c r="A3002" s="15" t="s">
        <v>4654</v>
      </c>
      <c r="B3002" s="15" t="s">
        <v>4656</v>
      </c>
      <c r="C3002" s="15" t="s">
        <v>5995</v>
      </c>
      <c r="D3002" s="34" t="n">
        <v>0</v>
      </c>
      <c r="E3002" s="15" t="s">
        <v>5996</v>
      </c>
    </row>
    <row r="3003" customFormat="false" ht="15" hidden="false" customHeight="false" outlineLevel="0" collapsed="false">
      <c r="A3003" s="15" t="s">
        <v>4644</v>
      </c>
      <c r="B3003" s="15" t="s">
        <v>4656</v>
      </c>
      <c r="C3003" s="15" t="s">
        <v>5997</v>
      </c>
      <c r="D3003" s="34" t="n">
        <v>0</v>
      </c>
      <c r="E3003" s="15" t="s">
        <v>6000</v>
      </c>
    </row>
    <row r="3004" customFormat="false" ht="15" hidden="false" customHeight="false" outlineLevel="0" collapsed="false">
      <c r="A3004" s="15" t="s">
        <v>4656</v>
      </c>
      <c r="B3004" s="15" t="s">
        <v>4658</v>
      </c>
      <c r="C3004" s="15" t="s">
        <v>5997</v>
      </c>
      <c r="D3004" s="34" t="n">
        <f aca="false">Activities!M1218</f>
        <v>1</v>
      </c>
      <c r="E3004" s="15" t="s">
        <v>5998</v>
      </c>
    </row>
    <row r="3005" customFormat="false" ht="15" hidden="false" customHeight="false" outlineLevel="0" collapsed="false">
      <c r="A3005" s="15" t="s">
        <v>4656</v>
      </c>
      <c r="B3005" s="15" t="s">
        <v>4658</v>
      </c>
      <c r="C3005" s="15" t="s">
        <v>5999</v>
      </c>
      <c r="D3005" s="34" t="n">
        <f aca="false">Activities!N1218</f>
        <v>2</v>
      </c>
      <c r="E3005" s="15" t="s">
        <v>5998</v>
      </c>
    </row>
    <row r="3006" customFormat="false" ht="15" hidden="false" customHeight="false" outlineLevel="0" collapsed="false">
      <c r="A3006" s="15" t="s">
        <v>4658</v>
      </c>
      <c r="B3006" s="15" t="s">
        <v>4659</v>
      </c>
      <c r="C3006" s="15" t="s">
        <v>5997</v>
      </c>
      <c r="D3006" s="34" t="n">
        <f aca="false">Activities!M1219</f>
        <v>1</v>
      </c>
      <c r="E3006" s="15" t="s">
        <v>5998</v>
      </c>
    </row>
    <row r="3007" customFormat="false" ht="15" hidden="false" customHeight="false" outlineLevel="0" collapsed="false">
      <c r="A3007" s="15" t="s">
        <v>4658</v>
      </c>
      <c r="B3007" s="15" t="s">
        <v>4659</v>
      </c>
      <c r="C3007" s="15" t="s">
        <v>5999</v>
      </c>
      <c r="D3007" s="34" t="n">
        <f aca="false">Activities!N1219</f>
        <v>0</v>
      </c>
      <c r="E3007" s="15" t="s">
        <v>5998</v>
      </c>
    </row>
    <row r="3008" customFormat="false" ht="15" hidden="false" customHeight="false" outlineLevel="0" collapsed="false">
      <c r="A3008" s="15" t="s">
        <v>4659</v>
      </c>
      <c r="B3008" s="15" t="s">
        <v>4660</v>
      </c>
      <c r="C3008" s="15" t="s">
        <v>5997</v>
      </c>
      <c r="D3008" s="34" t="n">
        <f aca="false">Activities!M1220</f>
        <v>0</v>
      </c>
      <c r="E3008" s="15" t="s">
        <v>5998</v>
      </c>
    </row>
    <row r="3009" customFormat="false" ht="15" hidden="false" customHeight="false" outlineLevel="0" collapsed="false">
      <c r="A3009" s="15" t="s">
        <v>4659</v>
      </c>
      <c r="B3009" s="15" t="s">
        <v>4660</v>
      </c>
      <c r="C3009" s="15" t="s">
        <v>5999</v>
      </c>
      <c r="D3009" s="34" t="n">
        <f aca="false">Activities!N1220</f>
        <v>2</v>
      </c>
      <c r="E3009" s="15" t="s">
        <v>5998</v>
      </c>
    </row>
    <row r="3010" customFormat="false" ht="15" hidden="false" customHeight="false" outlineLevel="0" collapsed="false">
      <c r="A3010" s="15" t="s">
        <v>4660</v>
      </c>
      <c r="B3010" s="15" t="s">
        <v>4661</v>
      </c>
      <c r="C3010" s="15" t="s">
        <v>5997</v>
      </c>
      <c r="D3010" s="34" t="n">
        <f aca="false">Activities!M1221</f>
        <v>10</v>
      </c>
      <c r="E3010" s="15" t="s">
        <v>5998</v>
      </c>
    </row>
    <row r="3011" customFormat="false" ht="15" hidden="false" customHeight="false" outlineLevel="0" collapsed="false">
      <c r="A3011" s="15" t="s">
        <v>4660</v>
      </c>
      <c r="B3011" s="15" t="s">
        <v>4661</v>
      </c>
      <c r="C3011" s="15" t="s">
        <v>5999</v>
      </c>
      <c r="D3011" s="34" t="n">
        <f aca="false">Activities!N1221</f>
        <v>2</v>
      </c>
      <c r="E3011" s="15" t="s">
        <v>5998</v>
      </c>
    </row>
    <row r="3012" customFormat="false" ht="15" hidden="false" customHeight="false" outlineLevel="0" collapsed="false">
      <c r="A3012" s="15" t="s">
        <v>4661</v>
      </c>
      <c r="B3012" s="15" t="s">
        <v>4662</v>
      </c>
      <c r="C3012" s="15" t="s">
        <v>5997</v>
      </c>
      <c r="D3012" s="34" t="n">
        <f aca="false">Activities!M1222</f>
        <v>1</v>
      </c>
      <c r="E3012" s="15" t="s">
        <v>5998</v>
      </c>
    </row>
    <row r="3013" customFormat="false" ht="15" hidden="false" customHeight="false" outlineLevel="0" collapsed="false">
      <c r="A3013" s="15" t="s">
        <v>4661</v>
      </c>
      <c r="B3013" s="15" t="s">
        <v>4662</v>
      </c>
      <c r="C3013" s="15" t="s">
        <v>5999</v>
      </c>
      <c r="D3013" s="34" t="n">
        <f aca="false">Activities!N1222</f>
        <v>2</v>
      </c>
      <c r="E3013" s="15" t="s">
        <v>5998</v>
      </c>
    </row>
    <row r="3014" customFormat="false" ht="15" hidden="false" customHeight="false" outlineLevel="0" collapsed="false">
      <c r="A3014" s="15" t="s">
        <v>4662</v>
      </c>
      <c r="B3014" s="15" t="s">
        <v>4663</v>
      </c>
      <c r="C3014" s="15" t="s">
        <v>5997</v>
      </c>
      <c r="D3014" s="34" t="n">
        <f aca="false">Activities!M1223</f>
        <v>2</v>
      </c>
      <c r="E3014" s="15" t="s">
        <v>5998</v>
      </c>
    </row>
    <row r="3015" customFormat="false" ht="15" hidden="false" customHeight="false" outlineLevel="0" collapsed="false">
      <c r="A3015" s="15" t="s">
        <v>4662</v>
      </c>
      <c r="B3015" s="15" t="s">
        <v>4663</v>
      </c>
      <c r="C3015" s="15" t="s">
        <v>5999</v>
      </c>
      <c r="D3015" s="34" t="n">
        <f aca="false">Activities!N1223</f>
        <v>2</v>
      </c>
      <c r="E3015" s="15" t="s">
        <v>5998</v>
      </c>
    </row>
    <row r="3016" customFormat="false" ht="15" hidden="false" customHeight="false" outlineLevel="0" collapsed="false">
      <c r="A3016" s="15" t="s">
        <v>4650</v>
      </c>
      <c r="B3016" s="15" t="s">
        <v>4663</v>
      </c>
      <c r="C3016" s="15" t="s">
        <v>5995</v>
      </c>
      <c r="D3016" s="34" t="n">
        <v>0</v>
      </c>
      <c r="E3016" s="15" t="s">
        <v>6001</v>
      </c>
    </row>
    <row r="3017" customFormat="false" ht="15" hidden="false" customHeight="false" outlineLevel="0" collapsed="false">
      <c r="A3017" s="15" t="s">
        <v>4663</v>
      </c>
      <c r="B3017" s="15" t="s">
        <v>4665</v>
      </c>
      <c r="C3017" s="15" t="s">
        <v>5997</v>
      </c>
      <c r="D3017" s="34" t="n">
        <f aca="false">Activities!M1224</f>
        <v>2</v>
      </c>
      <c r="E3017" s="15" t="s">
        <v>5998</v>
      </c>
    </row>
    <row r="3018" customFormat="false" ht="15" hidden="false" customHeight="false" outlineLevel="0" collapsed="false">
      <c r="A3018" s="15" t="s">
        <v>4663</v>
      </c>
      <c r="B3018" s="15" t="s">
        <v>4665</v>
      </c>
      <c r="C3018" s="15" t="s">
        <v>5999</v>
      </c>
      <c r="D3018" s="34" t="n">
        <f aca="false">Activities!N1224</f>
        <v>2</v>
      </c>
      <c r="E3018" s="15" t="s">
        <v>5998</v>
      </c>
    </row>
    <row r="3019" customFormat="false" ht="15" hidden="false" customHeight="false" outlineLevel="0" collapsed="false">
      <c r="A3019" s="15" t="s">
        <v>4665</v>
      </c>
      <c r="B3019" s="15" t="s">
        <v>4666</v>
      </c>
      <c r="C3019" s="15" t="s">
        <v>5997</v>
      </c>
      <c r="D3019" s="34" t="n">
        <f aca="false">Activities!M1225</f>
        <v>2</v>
      </c>
      <c r="E3019" s="15" t="s">
        <v>5998</v>
      </c>
    </row>
    <row r="3020" customFormat="false" ht="15" hidden="false" customHeight="false" outlineLevel="0" collapsed="false">
      <c r="A3020" s="15" t="s">
        <v>4665</v>
      </c>
      <c r="B3020" s="15" t="s">
        <v>4666</v>
      </c>
      <c r="C3020" s="15" t="s">
        <v>5999</v>
      </c>
      <c r="D3020" s="34" t="n">
        <f aca="false">Activities!N1225</f>
        <v>2</v>
      </c>
      <c r="E3020" s="15" t="s">
        <v>5998</v>
      </c>
    </row>
    <row r="3021" customFormat="false" ht="15" hidden="false" customHeight="false" outlineLevel="0" collapsed="false">
      <c r="A3021" s="15" t="s">
        <v>4666</v>
      </c>
      <c r="B3021" s="15" t="s">
        <v>4667</v>
      </c>
      <c r="C3021" s="15" t="s">
        <v>5997</v>
      </c>
      <c r="D3021" s="34" t="n">
        <f aca="false">Activities!M1226</f>
        <v>1</v>
      </c>
      <c r="E3021" s="15" t="s">
        <v>5998</v>
      </c>
    </row>
    <row r="3022" customFormat="false" ht="15" hidden="false" customHeight="false" outlineLevel="0" collapsed="false">
      <c r="A3022" s="15" t="s">
        <v>4666</v>
      </c>
      <c r="B3022" s="15" t="s">
        <v>4667</v>
      </c>
      <c r="C3022" s="15" t="s">
        <v>5999</v>
      </c>
      <c r="D3022" s="34" t="n">
        <f aca="false">Activities!N1226</f>
        <v>2</v>
      </c>
      <c r="E3022" s="15" t="s">
        <v>5998</v>
      </c>
    </row>
    <row r="3023" customFormat="false" ht="15" hidden="false" customHeight="false" outlineLevel="0" collapsed="false">
      <c r="A3023" s="15" t="s">
        <v>4668</v>
      </c>
      <c r="B3023" s="15" t="s">
        <v>4670</v>
      </c>
      <c r="C3023" s="15" t="s">
        <v>5995</v>
      </c>
      <c r="D3023" s="34" t="n">
        <v>0</v>
      </c>
      <c r="E3023" s="15" t="s">
        <v>5996</v>
      </c>
    </row>
    <row r="3024" customFormat="false" ht="15" hidden="false" customHeight="false" outlineLevel="0" collapsed="false">
      <c r="A3024" s="15" t="s">
        <v>4644</v>
      </c>
      <c r="B3024" s="15" t="s">
        <v>4670</v>
      </c>
      <c r="C3024" s="15" t="s">
        <v>5997</v>
      </c>
      <c r="D3024" s="34" t="n">
        <v>0</v>
      </c>
      <c r="E3024" s="15" t="s">
        <v>6002</v>
      </c>
    </row>
    <row r="3025" customFormat="false" ht="15" hidden="false" customHeight="false" outlineLevel="0" collapsed="false">
      <c r="A3025" s="15" t="s">
        <v>4670</v>
      </c>
      <c r="B3025" s="15" t="s">
        <v>4672</v>
      </c>
      <c r="C3025" s="15" t="s">
        <v>5997</v>
      </c>
      <c r="D3025" s="34" t="n">
        <f aca="false">Activities!M1229</f>
        <v>1</v>
      </c>
      <c r="E3025" s="15" t="s">
        <v>5998</v>
      </c>
    </row>
    <row r="3026" customFormat="false" ht="15" hidden="false" customHeight="false" outlineLevel="0" collapsed="false">
      <c r="A3026" s="15" t="s">
        <v>4670</v>
      </c>
      <c r="B3026" s="15" t="s">
        <v>4672</v>
      </c>
      <c r="C3026" s="15" t="s">
        <v>5999</v>
      </c>
      <c r="D3026" s="34" t="n">
        <f aca="false">Activities!N1229</f>
        <v>2</v>
      </c>
      <c r="E3026" s="15" t="s">
        <v>5998</v>
      </c>
    </row>
    <row r="3027" customFormat="false" ht="15" hidden="false" customHeight="false" outlineLevel="0" collapsed="false">
      <c r="A3027" s="15" t="s">
        <v>4644</v>
      </c>
      <c r="B3027" s="15" t="s">
        <v>4672</v>
      </c>
      <c r="C3027" s="15" t="s">
        <v>5995</v>
      </c>
      <c r="D3027" s="34" t="n">
        <v>0</v>
      </c>
      <c r="E3027" s="15" t="s">
        <v>6012</v>
      </c>
    </row>
    <row r="3028" customFormat="false" ht="15" hidden="false" customHeight="false" outlineLevel="0" collapsed="false">
      <c r="A3028" s="15" t="s">
        <v>4672</v>
      </c>
      <c r="B3028" s="15" t="s">
        <v>4673</v>
      </c>
      <c r="C3028" s="15" t="s">
        <v>5997</v>
      </c>
      <c r="D3028" s="34" t="n">
        <f aca="false">Activities!M1230</f>
        <v>2</v>
      </c>
      <c r="E3028" s="15" t="s">
        <v>5998</v>
      </c>
    </row>
    <row r="3029" customFormat="false" ht="15" hidden="false" customHeight="false" outlineLevel="0" collapsed="false">
      <c r="A3029" s="15" t="s">
        <v>4672</v>
      </c>
      <c r="B3029" s="15" t="s">
        <v>4673</v>
      </c>
      <c r="C3029" s="15" t="s">
        <v>5999</v>
      </c>
      <c r="D3029" s="34" t="n">
        <f aca="false">Activities!N1230</f>
        <v>0</v>
      </c>
      <c r="E3029" s="15" t="s">
        <v>5998</v>
      </c>
    </row>
    <row r="3030" customFormat="false" ht="15" hidden="false" customHeight="false" outlineLevel="0" collapsed="false">
      <c r="A3030" s="15" t="s">
        <v>4645</v>
      </c>
      <c r="B3030" s="15" t="s">
        <v>4673</v>
      </c>
      <c r="C3030" s="15" t="s">
        <v>5995</v>
      </c>
      <c r="D3030" s="34" t="n">
        <v>0</v>
      </c>
      <c r="E3030" s="15" t="s">
        <v>6012</v>
      </c>
    </row>
    <row r="3031" customFormat="false" ht="15" hidden="false" customHeight="false" outlineLevel="0" collapsed="false">
      <c r="A3031" s="15" t="s">
        <v>4673</v>
      </c>
      <c r="B3031" s="15" t="s">
        <v>4674</v>
      </c>
      <c r="C3031" s="15" t="s">
        <v>5997</v>
      </c>
      <c r="D3031" s="34" t="n">
        <f aca="false">Activities!M1231</f>
        <v>0</v>
      </c>
      <c r="E3031" s="15" t="s">
        <v>5998</v>
      </c>
    </row>
    <row r="3032" customFormat="false" ht="15" hidden="false" customHeight="false" outlineLevel="0" collapsed="false">
      <c r="A3032" s="15" t="s">
        <v>4673</v>
      </c>
      <c r="B3032" s="15" t="s">
        <v>4674</v>
      </c>
      <c r="C3032" s="15" t="s">
        <v>5999</v>
      </c>
      <c r="D3032" s="34" t="n">
        <f aca="false">Activities!N1231</f>
        <v>2</v>
      </c>
      <c r="E3032" s="15" t="s">
        <v>5998</v>
      </c>
    </row>
    <row r="3033" customFormat="false" ht="15" hidden="false" customHeight="false" outlineLevel="0" collapsed="false">
      <c r="A3033" s="15" t="s">
        <v>4648</v>
      </c>
      <c r="B3033" s="15" t="s">
        <v>4674</v>
      </c>
      <c r="C3033" s="15" t="s">
        <v>5995</v>
      </c>
      <c r="D3033" s="34" t="n">
        <f aca="false">-Activities!K1231</f>
        <v>-11</v>
      </c>
      <c r="E3033" s="15" t="s">
        <v>6004</v>
      </c>
    </row>
    <row r="3034" customFormat="false" ht="15" hidden="false" customHeight="false" outlineLevel="0" collapsed="false">
      <c r="A3034" s="15" t="s">
        <v>4674</v>
      </c>
      <c r="B3034" s="15" t="s">
        <v>4676</v>
      </c>
      <c r="C3034" s="15" t="s">
        <v>5997</v>
      </c>
      <c r="D3034" s="34" t="n">
        <f aca="false">Activities!M1232</f>
        <v>10</v>
      </c>
      <c r="E3034" s="15" t="s">
        <v>5998</v>
      </c>
    </row>
    <row r="3035" customFormat="false" ht="15" hidden="false" customHeight="false" outlineLevel="0" collapsed="false">
      <c r="A3035" s="15" t="s">
        <v>4674</v>
      </c>
      <c r="B3035" s="15" t="s">
        <v>4676</v>
      </c>
      <c r="C3035" s="15" t="s">
        <v>5999</v>
      </c>
      <c r="D3035" s="34" t="n">
        <f aca="false">Activities!N1232</f>
        <v>2</v>
      </c>
      <c r="E3035" s="15" t="s">
        <v>5998</v>
      </c>
    </row>
    <row r="3036" customFormat="false" ht="15" hidden="false" customHeight="false" outlineLevel="0" collapsed="false">
      <c r="A3036" s="15" t="s">
        <v>4648</v>
      </c>
      <c r="B3036" s="15" t="s">
        <v>4676</v>
      </c>
      <c r="C3036" s="15" t="s">
        <v>5995</v>
      </c>
      <c r="D3036" s="34" t="n">
        <v>0</v>
      </c>
      <c r="E3036" s="15" t="s">
        <v>6012</v>
      </c>
    </row>
    <row r="3037" customFormat="false" ht="15" hidden="false" customHeight="false" outlineLevel="0" collapsed="false">
      <c r="A3037" s="15" t="s">
        <v>4330</v>
      </c>
      <c r="B3037" s="15" t="s">
        <v>4676</v>
      </c>
      <c r="C3037" s="15" t="s">
        <v>5995</v>
      </c>
      <c r="D3037" s="34" t="n">
        <v>0</v>
      </c>
      <c r="E3037" s="15" t="s">
        <v>6008</v>
      </c>
    </row>
    <row r="3038" customFormat="false" ht="15" hidden="false" customHeight="false" outlineLevel="0" collapsed="false">
      <c r="A3038" s="15" t="s">
        <v>4565</v>
      </c>
      <c r="B3038" s="15" t="s">
        <v>4676</v>
      </c>
      <c r="C3038" s="15" t="s">
        <v>5995</v>
      </c>
      <c r="D3038" s="34" t="n">
        <v>0</v>
      </c>
      <c r="E3038" s="15" t="s">
        <v>6008</v>
      </c>
    </row>
    <row r="3039" customFormat="false" ht="15" hidden="false" customHeight="false" outlineLevel="0" collapsed="false">
      <c r="A3039" s="15" t="s">
        <v>4267</v>
      </c>
      <c r="B3039" s="15" t="s">
        <v>4676</v>
      </c>
      <c r="C3039" s="15" t="s">
        <v>5995</v>
      </c>
      <c r="D3039" s="34" t="n">
        <v>0</v>
      </c>
      <c r="E3039" s="15" t="s">
        <v>6008</v>
      </c>
    </row>
    <row r="3040" customFormat="false" ht="15" hidden="false" customHeight="false" outlineLevel="0" collapsed="false">
      <c r="A3040" s="15" t="s">
        <v>4676</v>
      </c>
      <c r="B3040" s="15" t="s">
        <v>4678</v>
      </c>
      <c r="C3040" s="15" t="s">
        <v>5997</v>
      </c>
      <c r="D3040" s="34" t="n">
        <f aca="false">Activities!M1233</f>
        <v>1</v>
      </c>
      <c r="E3040" s="15" t="s">
        <v>5998</v>
      </c>
    </row>
    <row r="3041" customFormat="false" ht="15" hidden="false" customHeight="false" outlineLevel="0" collapsed="false">
      <c r="A3041" s="15" t="s">
        <v>4676</v>
      </c>
      <c r="B3041" s="15" t="s">
        <v>4678</v>
      </c>
      <c r="C3041" s="15" t="s">
        <v>5999</v>
      </c>
      <c r="D3041" s="34" t="n">
        <f aca="false">Activities!N1233</f>
        <v>2</v>
      </c>
      <c r="E3041" s="15" t="s">
        <v>5998</v>
      </c>
    </row>
    <row r="3042" customFormat="false" ht="15" hidden="false" customHeight="false" outlineLevel="0" collapsed="false">
      <c r="A3042" s="15" t="s">
        <v>4649</v>
      </c>
      <c r="B3042" s="15" t="s">
        <v>4678</v>
      </c>
      <c r="C3042" s="15" t="s">
        <v>5995</v>
      </c>
      <c r="D3042" s="34" t="n">
        <v>0</v>
      </c>
      <c r="E3042" s="15" t="s">
        <v>6012</v>
      </c>
    </row>
    <row r="3043" customFormat="false" ht="15" hidden="false" customHeight="false" outlineLevel="0" collapsed="false">
      <c r="A3043" s="15" t="s">
        <v>4678</v>
      </c>
      <c r="B3043" s="15" t="s">
        <v>4679</v>
      </c>
      <c r="C3043" s="15" t="s">
        <v>5997</v>
      </c>
      <c r="D3043" s="34" t="n">
        <f aca="false">Activities!M1234</f>
        <v>3</v>
      </c>
      <c r="E3043" s="15" t="s">
        <v>5998</v>
      </c>
    </row>
    <row r="3044" customFormat="false" ht="15" hidden="false" customHeight="false" outlineLevel="0" collapsed="false">
      <c r="A3044" s="15" t="s">
        <v>4678</v>
      </c>
      <c r="B3044" s="15" t="s">
        <v>4679</v>
      </c>
      <c r="C3044" s="15" t="s">
        <v>5999</v>
      </c>
      <c r="D3044" s="34" t="n">
        <f aca="false">Activities!N1234</f>
        <v>2</v>
      </c>
      <c r="E3044" s="15" t="s">
        <v>5998</v>
      </c>
    </row>
    <row r="3045" customFormat="false" ht="15" hidden="false" customHeight="false" outlineLevel="0" collapsed="false">
      <c r="A3045" s="15" t="s">
        <v>4650</v>
      </c>
      <c r="B3045" s="15" t="s">
        <v>4679</v>
      </c>
      <c r="C3045" s="15" t="s">
        <v>5995</v>
      </c>
      <c r="D3045" s="34" t="n">
        <v>0</v>
      </c>
      <c r="E3045" s="15" t="s">
        <v>6012</v>
      </c>
    </row>
    <row r="3046" customFormat="false" ht="15" hidden="false" customHeight="false" outlineLevel="0" collapsed="false">
      <c r="A3046" s="15" t="s">
        <v>4679</v>
      </c>
      <c r="B3046" s="15" t="s">
        <v>4680</v>
      </c>
      <c r="C3046" s="15" t="s">
        <v>5997</v>
      </c>
      <c r="D3046" s="34" t="n">
        <f aca="false">Activities!M1235</f>
        <v>1</v>
      </c>
      <c r="E3046" s="15" t="s">
        <v>5998</v>
      </c>
    </row>
    <row r="3047" customFormat="false" ht="15" hidden="false" customHeight="false" outlineLevel="0" collapsed="false">
      <c r="A3047" s="15" t="s">
        <v>4679</v>
      </c>
      <c r="B3047" s="15" t="s">
        <v>4680</v>
      </c>
      <c r="C3047" s="15" t="s">
        <v>5999</v>
      </c>
      <c r="D3047" s="34" t="n">
        <f aca="false">Activities!N1235</f>
        <v>2</v>
      </c>
      <c r="E3047" s="15" t="s">
        <v>5998</v>
      </c>
    </row>
    <row r="3048" customFormat="false" ht="15" hidden="false" customHeight="false" outlineLevel="0" collapsed="false">
      <c r="A3048" s="15" t="s">
        <v>4680</v>
      </c>
      <c r="B3048" s="15" t="s">
        <v>4681</v>
      </c>
      <c r="C3048" s="15" t="s">
        <v>5997</v>
      </c>
      <c r="D3048" s="34" t="n">
        <f aca="false">Activities!M1236</f>
        <v>2</v>
      </c>
      <c r="E3048" s="15" t="s">
        <v>5998</v>
      </c>
    </row>
    <row r="3049" customFormat="false" ht="15" hidden="false" customHeight="false" outlineLevel="0" collapsed="false">
      <c r="A3049" s="15" t="s">
        <v>4680</v>
      </c>
      <c r="B3049" s="15" t="s">
        <v>4681</v>
      </c>
      <c r="C3049" s="15" t="s">
        <v>5999</v>
      </c>
      <c r="D3049" s="34" t="n">
        <f aca="false">Activities!N1236</f>
        <v>2</v>
      </c>
      <c r="E3049" s="15" t="s">
        <v>5998</v>
      </c>
    </row>
    <row r="3050" customFormat="false" ht="15" hidden="false" customHeight="false" outlineLevel="0" collapsed="false">
      <c r="A3050" s="15" t="s">
        <v>4652</v>
      </c>
      <c r="B3050" s="15" t="s">
        <v>4681</v>
      </c>
      <c r="C3050" s="15" t="s">
        <v>5995</v>
      </c>
      <c r="D3050" s="34" t="n">
        <v>0</v>
      </c>
      <c r="E3050" s="15" t="s">
        <v>6012</v>
      </c>
    </row>
    <row r="3051" customFormat="false" ht="15" hidden="false" customHeight="false" outlineLevel="0" collapsed="false">
      <c r="A3051" s="15" t="s">
        <v>4681</v>
      </c>
      <c r="B3051" s="15" t="s">
        <v>4682</v>
      </c>
      <c r="C3051" s="15" t="s">
        <v>5997</v>
      </c>
      <c r="D3051" s="34" t="n">
        <f aca="false">Activities!M1237</f>
        <v>1</v>
      </c>
      <c r="E3051" s="15" t="s">
        <v>5998</v>
      </c>
    </row>
    <row r="3052" customFormat="false" ht="15" hidden="false" customHeight="false" outlineLevel="0" collapsed="false">
      <c r="A3052" s="15" t="s">
        <v>4681</v>
      </c>
      <c r="B3052" s="15" t="s">
        <v>4682</v>
      </c>
      <c r="C3052" s="15" t="s">
        <v>5999</v>
      </c>
      <c r="D3052" s="34" t="n">
        <f aca="false">Activities!N1237</f>
        <v>2</v>
      </c>
      <c r="E3052" s="15" t="s">
        <v>5998</v>
      </c>
    </row>
    <row r="3053" customFormat="false" ht="15" hidden="false" customHeight="false" outlineLevel="0" collapsed="false">
      <c r="A3053" s="15" t="s">
        <v>4683</v>
      </c>
      <c r="B3053" s="15" t="s">
        <v>4685</v>
      </c>
      <c r="C3053" s="15" t="s">
        <v>5995</v>
      </c>
      <c r="D3053" s="34" t="n">
        <v>0</v>
      </c>
      <c r="E3053" s="15" t="s">
        <v>5996</v>
      </c>
    </row>
    <row r="3054" customFormat="false" ht="15" hidden="false" customHeight="false" outlineLevel="0" collapsed="false">
      <c r="A3054" s="15" t="s">
        <v>4672</v>
      </c>
      <c r="B3054" s="15" t="s">
        <v>4685</v>
      </c>
      <c r="C3054" s="15" t="s">
        <v>5997</v>
      </c>
      <c r="D3054" s="34" t="n">
        <v>0</v>
      </c>
      <c r="E3054" s="15" t="s">
        <v>6002</v>
      </c>
    </row>
    <row r="3055" customFormat="false" ht="15" hidden="false" customHeight="false" outlineLevel="0" collapsed="false">
      <c r="A3055" s="15" t="s">
        <v>4685</v>
      </c>
      <c r="B3055" s="15" t="s">
        <v>4687</v>
      </c>
      <c r="C3055" s="15" t="s">
        <v>5997</v>
      </c>
      <c r="D3055" s="34" t="n">
        <f aca="false">Activities!M1240</f>
        <v>1</v>
      </c>
      <c r="E3055" s="15" t="s">
        <v>5998</v>
      </c>
    </row>
    <row r="3056" customFormat="false" ht="15" hidden="false" customHeight="false" outlineLevel="0" collapsed="false">
      <c r="A3056" s="15" t="s">
        <v>4685</v>
      </c>
      <c r="B3056" s="15" t="s">
        <v>4687</v>
      </c>
      <c r="C3056" s="15" t="s">
        <v>5999</v>
      </c>
      <c r="D3056" s="34" t="n">
        <f aca="false">Activities!N1240</f>
        <v>2</v>
      </c>
      <c r="E3056" s="15" t="s">
        <v>5998</v>
      </c>
    </row>
    <row r="3057" customFormat="false" ht="15" hidden="false" customHeight="false" outlineLevel="0" collapsed="false">
      <c r="A3057" s="15" t="s">
        <v>4672</v>
      </c>
      <c r="B3057" s="15" t="s">
        <v>4687</v>
      </c>
      <c r="C3057" s="15" t="s">
        <v>5995</v>
      </c>
      <c r="D3057" s="34" t="n">
        <v>0</v>
      </c>
      <c r="E3057" s="15" t="s">
        <v>6012</v>
      </c>
    </row>
    <row r="3058" customFormat="false" ht="15" hidden="false" customHeight="false" outlineLevel="0" collapsed="false">
      <c r="A3058" s="15" t="s">
        <v>4687</v>
      </c>
      <c r="B3058" s="15" t="s">
        <v>4688</v>
      </c>
      <c r="C3058" s="15" t="s">
        <v>5997</v>
      </c>
      <c r="D3058" s="34" t="n">
        <f aca="false">Activities!M1241</f>
        <v>1</v>
      </c>
      <c r="E3058" s="15" t="s">
        <v>5998</v>
      </c>
    </row>
    <row r="3059" customFormat="false" ht="15" hidden="false" customHeight="false" outlineLevel="0" collapsed="false">
      <c r="A3059" s="15" t="s">
        <v>4687</v>
      </c>
      <c r="B3059" s="15" t="s">
        <v>4688</v>
      </c>
      <c r="C3059" s="15" t="s">
        <v>5999</v>
      </c>
      <c r="D3059" s="34" t="n">
        <f aca="false">Activities!N1241</f>
        <v>0</v>
      </c>
      <c r="E3059" s="15" t="s">
        <v>5998</v>
      </c>
    </row>
    <row r="3060" customFormat="false" ht="15" hidden="false" customHeight="false" outlineLevel="0" collapsed="false">
      <c r="A3060" s="15" t="s">
        <v>4673</v>
      </c>
      <c r="B3060" s="15" t="s">
        <v>4688</v>
      </c>
      <c r="C3060" s="15" t="s">
        <v>5995</v>
      </c>
      <c r="D3060" s="34" t="n">
        <v>0</v>
      </c>
      <c r="E3060" s="15" t="s">
        <v>6012</v>
      </c>
    </row>
    <row r="3061" customFormat="false" ht="15" hidden="false" customHeight="false" outlineLevel="0" collapsed="false">
      <c r="A3061" s="15" t="s">
        <v>4688</v>
      </c>
      <c r="B3061" s="15" t="s">
        <v>4689</v>
      </c>
      <c r="C3061" s="15" t="s">
        <v>5997</v>
      </c>
      <c r="D3061" s="34" t="n">
        <f aca="false">Activities!M1242</f>
        <v>0</v>
      </c>
      <c r="E3061" s="15" t="s">
        <v>5998</v>
      </c>
    </row>
    <row r="3062" customFormat="false" ht="15" hidden="false" customHeight="false" outlineLevel="0" collapsed="false">
      <c r="A3062" s="15" t="s">
        <v>4688</v>
      </c>
      <c r="B3062" s="15" t="s">
        <v>4689</v>
      </c>
      <c r="C3062" s="15" t="s">
        <v>5999</v>
      </c>
      <c r="D3062" s="34" t="n">
        <f aca="false">Activities!N1242</f>
        <v>2</v>
      </c>
      <c r="E3062" s="15" t="s">
        <v>5998</v>
      </c>
    </row>
    <row r="3063" customFormat="false" ht="15" hidden="false" customHeight="false" outlineLevel="0" collapsed="false">
      <c r="A3063" s="15" t="s">
        <v>4676</v>
      </c>
      <c r="B3063" s="15" t="s">
        <v>4689</v>
      </c>
      <c r="C3063" s="15" t="s">
        <v>5995</v>
      </c>
      <c r="D3063" s="34" t="n">
        <f aca="false">-Activities!K1242</f>
        <v>-10</v>
      </c>
      <c r="E3063" s="15" t="s">
        <v>6004</v>
      </c>
    </row>
    <row r="3064" customFormat="false" ht="15" hidden="false" customHeight="false" outlineLevel="0" collapsed="false">
      <c r="A3064" s="15" t="s">
        <v>4689</v>
      </c>
      <c r="B3064" s="15" t="s">
        <v>4691</v>
      </c>
      <c r="C3064" s="15" t="s">
        <v>5997</v>
      </c>
      <c r="D3064" s="34" t="n">
        <f aca="false">Activities!M1243</f>
        <v>10</v>
      </c>
      <c r="E3064" s="15" t="s">
        <v>5998</v>
      </c>
    </row>
    <row r="3065" customFormat="false" ht="15" hidden="false" customHeight="false" outlineLevel="0" collapsed="false">
      <c r="A3065" s="15" t="s">
        <v>4689</v>
      </c>
      <c r="B3065" s="15" t="s">
        <v>4691</v>
      </c>
      <c r="C3065" s="15" t="s">
        <v>5999</v>
      </c>
      <c r="D3065" s="34" t="n">
        <f aca="false">Activities!N1243</f>
        <v>2</v>
      </c>
      <c r="E3065" s="15" t="s">
        <v>5998</v>
      </c>
    </row>
    <row r="3066" customFormat="false" ht="15" hidden="false" customHeight="false" outlineLevel="0" collapsed="false">
      <c r="A3066" s="15" t="s">
        <v>4676</v>
      </c>
      <c r="B3066" s="15" t="s">
        <v>4691</v>
      </c>
      <c r="C3066" s="15" t="s">
        <v>5995</v>
      </c>
      <c r="D3066" s="34" t="n">
        <v>0</v>
      </c>
      <c r="E3066" s="15" t="s">
        <v>6012</v>
      </c>
    </row>
    <row r="3067" customFormat="false" ht="15" hidden="false" customHeight="false" outlineLevel="0" collapsed="false">
      <c r="A3067" s="15" t="s">
        <v>4298</v>
      </c>
      <c r="B3067" s="15" t="s">
        <v>4691</v>
      </c>
      <c r="C3067" s="15" t="s">
        <v>5995</v>
      </c>
      <c r="D3067" s="34" t="n">
        <v>0</v>
      </c>
      <c r="E3067" s="15" t="s">
        <v>6008</v>
      </c>
    </row>
    <row r="3068" customFormat="false" ht="15" hidden="false" customHeight="false" outlineLevel="0" collapsed="false">
      <c r="A3068" s="15" t="s">
        <v>4330</v>
      </c>
      <c r="B3068" s="15" t="s">
        <v>4691</v>
      </c>
      <c r="C3068" s="15" t="s">
        <v>5995</v>
      </c>
      <c r="D3068" s="34" t="n">
        <v>0</v>
      </c>
      <c r="E3068" s="15" t="s">
        <v>6008</v>
      </c>
    </row>
    <row r="3069" customFormat="false" ht="15" hidden="false" customHeight="false" outlineLevel="0" collapsed="false">
      <c r="A3069" s="15" t="s">
        <v>4596</v>
      </c>
      <c r="B3069" s="15" t="s">
        <v>4691</v>
      </c>
      <c r="C3069" s="15" t="s">
        <v>5995</v>
      </c>
      <c r="D3069" s="34" t="n">
        <v>0</v>
      </c>
      <c r="E3069" s="15" t="s">
        <v>6008</v>
      </c>
    </row>
    <row r="3070" customFormat="false" ht="15" hidden="false" customHeight="false" outlineLevel="0" collapsed="false">
      <c r="A3070" s="15" t="s">
        <v>4238</v>
      </c>
      <c r="B3070" s="15" t="s">
        <v>4691</v>
      </c>
      <c r="C3070" s="15" t="s">
        <v>5995</v>
      </c>
      <c r="D3070" s="34" t="n">
        <v>0</v>
      </c>
      <c r="E3070" s="15" t="s">
        <v>6008</v>
      </c>
    </row>
    <row r="3071" customFormat="false" ht="15" hidden="false" customHeight="false" outlineLevel="0" collapsed="false">
      <c r="A3071" s="15" t="s">
        <v>4691</v>
      </c>
      <c r="B3071" s="15" t="s">
        <v>4693</v>
      </c>
      <c r="C3071" s="15" t="s">
        <v>5997</v>
      </c>
      <c r="D3071" s="34" t="n">
        <f aca="false">Activities!M1244</f>
        <v>1</v>
      </c>
      <c r="E3071" s="15" t="s">
        <v>5998</v>
      </c>
    </row>
    <row r="3072" customFormat="false" ht="15" hidden="false" customHeight="false" outlineLevel="0" collapsed="false">
      <c r="A3072" s="15" t="s">
        <v>4691</v>
      </c>
      <c r="B3072" s="15" t="s">
        <v>4693</v>
      </c>
      <c r="C3072" s="15" t="s">
        <v>5999</v>
      </c>
      <c r="D3072" s="34" t="n">
        <f aca="false">Activities!N1244</f>
        <v>2</v>
      </c>
      <c r="E3072" s="15" t="s">
        <v>5998</v>
      </c>
    </row>
    <row r="3073" customFormat="false" ht="15" hidden="false" customHeight="false" outlineLevel="0" collapsed="false">
      <c r="A3073" s="15" t="s">
        <v>4678</v>
      </c>
      <c r="B3073" s="15" t="s">
        <v>4693</v>
      </c>
      <c r="C3073" s="15" t="s">
        <v>5995</v>
      </c>
      <c r="D3073" s="34" t="n">
        <v>0</v>
      </c>
      <c r="E3073" s="15" t="s">
        <v>6012</v>
      </c>
    </row>
    <row r="3074" customFormat="false" ht="15" hidden="false" customHeight="false" outlineLevel="0" collapsed="false">
      <c r="A3074" s="15" t="s">
        <v>4693</v>
      </c>
      <c r="B3074" s="15" t="s">
        <v>4694</v>
      </c>
      <c r="C3074" s="15" t="s">
        <v>5997</v>
      </c>
      <c r="D3074" s="34" t="n">
        <f aca="false">Activities!M1245</f>
        <v>2</v>
      </c>
      <c r="E3074" s="15" t="s">
        <v>5998</v>
      </c>
    </row>
    <row r="3075" customFormat="false" ht="15" hidden="false" customHeight="false" outlineLevel="0" collapsed="false">
      <c r="A3075" s="15" t="s">
        <v>4693</v>
      </c>
      <c r="B3075" s="15" t="s">
        <v>4694</v>
      </c>
      <c r="C3075" s="15" t="s">
        <v>5999</v>
      </c>
      <c r="D3075" s="34" t="n">
        <f aca="false">Activities!N1245</f>
        <v>2</v>
      </c>
      <c r="E3075" s="15" t="s">
        <v>5998</v>
      </c>
    </row>
    <row r="3076" customFormat="false" ht="15" hidden="false" customHeight="false" outlineLevel="0" collapsed="false">
      <c r="A3076" s="15" t="s">
        <v>4679</v>
      </c>
      <c r="B3076" s="15" t="s">
        <v>4694</v>
      </c>
      <c r="C3076" s="15" t="s">
        <v>5995</v>
      </c>
      <c r="D3076" s="34" t="n">
        <v>0</v>
      </c>
      <c r="E3076" s="15" t="s">
        <v>6012</v>
      </c>
    </row>
    <row r="3077" customFormat="false" ht="15" hidden="false" customHeight="false" outlineLevel="0" collapsed="false">
      <c r="A3077" s="15" t="s">
        <v>4694</v>
      </c>
      <c r="B3077" s="15" t="s">
        <v>4695</v>
      </c>
      <c r="C3077" s="15" t="s">
        <v>5997</v>
      </c>
      <c r="D3077" s="34" t="n">
        <f aca="false">Activities!M1246</f>
        <v>1</v>
      </c>
      <c r="E3077" s="15" t="s">
        <v>5998</v>
      </c>
    </row>
    <row r="3078" customFormat="false" ht="15" hidden="false" customHeight="false" outlineLevel="0" collapsed="false">
      <c r="A3078" s="15" t="s">
        <v>4694</v>
      </c>
      <c r="B3078" s="15" t="s">
        <v>4695</v>
      </c>
      <c r="C3078" s="15" t="s">
        <v>5999</v>
      </c>
      <c r="D3078" s="34" t="n">
        <f aca="false">Activities!N1246</f>
        <v>2</v>
      </c>
      <c r="E3078" s="15" t="s">
        <v>5998</v>
      </c>
    </row>
    <row r="3079" customFormat="false" ht="15" hidden="false" customHeight="false" outlineLevel="0" collapsed="false">
      <c r="A3079" s="15" t="s">
        <v>4695</v>
      </c>
      <c r="B3079" s="15" t="s">
        <v>4696</v>
      </c>
      <c r="C3079" s="15" t="s">
        <v>5997</v>
      </c>
      <c r="D3079" s="34" t="n">
        <f aca="false">Activities!M1247</f>
        <v>2</v>
      </c>
      <c r="E3079" s="15" t="s">
        <v>5998</v>
      </c>
    </row>
    <row r="3080" customFormat="false" ht="15" hidden="false" customHeight="false" outlineLevel="0" collapsed="false">
      <c r="A3080" s="15" t="s">
        <v>4695</v>
      </c>
      <c r="B3080" s="15" t="s">
        <v>4696</v>
      </c>
      <c r="C3080" s="15" t="s">
        <v>5999</v>
      </c>
      <c r="D3080" s="34" t="n">
        <f aca="false">Activities!N1247</f>
        <v>2</v>
      </c>
      <c r="E3080" s="15" t="s">
        <v>5998</v>
      </c>
    </row>
    <row r="3081" customFormat="false" ht="15" hidden="false" customHeight="false" outlineLevel="0" collapsed="false">
      <c r="A3081" s="15" t="s">
        <v>4681</v>
      </c>
      <c r="B3081" s="15" t="s">
        <v>4696</v>
      </c>
      <c r="C3081" s="15" t="s">
        <v>5995</v>
      </c>
      <c r="D3081" s="34" t="n">
        <v>0</v>
      </c>
      <c r="E3081" s="15" t="s">
        <v>6012</v>
      </c>
    </row>
    <row r="3082" customFormat="false" ht="15" hidden="false" customHeight="false" outlineLevel="0" collapsed="false">
      <c r="A3082" s="15" t="s">
        <v>4696</v>
      </c>
      <c r="B3082" s="15" t="s">
        <v>4697</v>
      </c>
      <c r="C3082" s="15" t="s">
        <v>5997</v>
      </c>
      <c r="D3082" s="34" t="n">
        <f aca="false">Activities!M1248</f>
        <v>1</v>
      </c>
      <c r="E3082" s="15" t="s">
        <v>5998</v>
      </c>
    </row>
    <row r="3083" customFormat="false" ht="15" hidden="false" customHeight="false" outlineLevel="0" collapsed="false">
      <c r="A3083" s="15" t="s">
        <v>4696</v>
      </c>
      <c r="B3083" s="15" t="s">
        <v>4697</v>
      </c>
      <c r="C3083" s="15" t="s">
        <v>5999</v>
      </c>
      <c r="D3083" s="34" t="n">
        <f aca="false">Activities!N1248</f>
        <v>2</v>
      </c>
      <c r="E3083" s="15" t="s">
        <v>5998</v>
      </c>
    </row>
    <row r="3084" customFormat="false" ht="15" hidden="false" customHeight="false" outlineLevel="0" collapsed="false">
      <c r="A3084" s="15" t="s">
        <v>4698</v>
      </c>
      <c r="B3084" s="15" t="s">
        <v>4700</v>
      </c>
      <c r="C3084" s="15" t="s">
        <v>5995</v>
      </c>
      <c r="D3084" s="34" t="n">
        <v>0</v>
      </c>
      <c r="E3084" s="15" t="s">
        <v>5996</v>
      </c>
    </row>
    <row r="3085" customFormat="false" ht="15" hidden="false" customHeight="false" outlineLevel="0" collapsed="false">
      <c r="A3085" s="15" t="s">
        <v>4687</v>
      </c>
      <c r="B3085" s="15" t="s">
        <v>4700</v>
      </c>
      <c r="C3085" s="15" t="s">
        <v>5997</v>
      </c>
      <c r="D3085" s="34" t="n">
        <v>0</v>
      </c>
      <c r="E3085" s="15" t="s">
        <v>6002</v>
      </c>
    </row>
    <row r="3086" customFormat="false" ht="15" hidden="false" customHeight="false" outlineLevel="0" collapsed="false">
      <c r="A3086" s="15" t="s">
        <v>4700</v>
      </c>
      <c r="B3086" s="15" t="s">
        <v>4702</v>
      </c>
      <c r="C3086" s="15" t="s">
        <v>5997</v>
      </c>
      <c r="D3086" s="34" t="n">
        <f aca="false">Activities!M1251</f>
        <v>1</v>
      </c>
      <c r="E3086" s="15" t="s">
        <v>5998</v>
      </c>
    </row>
    <row r="3087" customFormat="false" ht="15" hidden="false" customHeight="false" outlineLevel="0" collapsed="false">
      <c r="A3087" s="15" t="s">
        <v>4700</v>
      </c>
      <c r="B3087" s="15" t="s">
        <v>4702</v>
      </c>
      <c r="C3087" s="15" t="s">
        <v>5999</v>
      </c>
      <c r="D3087" s="34" t="n">
        <f aca="false">Activities!N1251</f>
        <v>2</v>
      </c>
      <c r="E3087" s="15" t="s">
        <v>5998</v>
      </c>
    </row>
    <row r="3088" customFormat="false" ht="15" hidden="false" customHeight="false" outlineLevel="0" collapsed="false">
      <c r="A3088" s="15" t="s">
        <v>4687</v>
      </c>
      <c r="B3088" s="15" t="s">
        <v>4702</v>
      </c>
      <c r="C3088" s="15" t="s">
        <v>5995</v>
      </c>
      <c r="D3088" s="34" t="n">
        <v>0</v>
      </c>
      <c r="E3088" s="15" t="s">
        <v>6012</v>
      </c>
    </row>
    <row r="3089" customFormat="false" ht="15" hidden="false" customHeight="false" outlineLevel="0" collapsed="false">
      <c r="A3089" s="15" t="s">
        <v>4702</v>
      </c>
      <c r="B3089" s="15" t="s">
        <v>4703</v>
      </c>
      <c r="C3089" s="15" t="s">
        <v>5997</v>
      </c>
      <c r="D3089" s="34" t="n">
        <f aca="false">Activities!M1252</f>
        <v>2</v>
      </c>
      <c r="E3089" s="15" t="s">
        <v>5998</v>
      </c>
    </row>
    <row r="3090" customFormat="false" ht="15" hidden="false" customHeight="false" outlineLevel="0" collapsed="false">
      <c r="A3090" s="15" t="s">
        <v>4702</v>
      </c>
      <c r="B3090" s="15" t="s">
        <v>4703</v>
      </c>
      <c r="C3090" s="15" t="s">
        <v>5999</v>
      </c>
      <c r="D3090" s="34" t="n">
        <f aca="false">Activities!N1252</f>
        <v>2</v>
      </c>
      <c r="E3090" s="15" t="s">
        <v>5998</v>
      </c>
    </row>
    <row r="3091" customFormat="false" ht="15" hidden="false" customHeight="false" outlineLevel="0" collapsed="false">
      <c r="A3091" s="15" t="s">
        <v>4688</v>
      </c>
      <c r="B3091" s="15" t="s">
        <v>4703</v>
      </c>
      <c r="C3091" s="15" t="s">
        <v>5995</v>
      </c>
      <c r="D3091" s="34" t="n">
        <v>0</v>
      </c>
      <c r="E3091" s="15" t="s">
        <v>6012</v>
      </c>
    </row>
    <row r="3092" customFormat="false" ht="15" hidden="false" customHeight="false" outlineLevel="0" collapsed="false">
      <c r="A3092" s="15" t="s">
        <v>4703</v>
      </c>
      <c r="B3092" s="15" t="s">
        <v>4704</v>
      </c>
      <c r="C3092" s="15" t="s">
        <v>5997</v>
      </c>
      <c r="D3092" s="34" t="n">
        <f aca="false">Activities!M1253</f>
        <v>1</v>
      </c>
      <c r="E3092" s="15" t="s">
        <v>5998</v>
      </c>
    </row>
    <row r="3093" customFormat="false" ht="15" hidden="false" customHeight="false" outlineLevel="0" collapsed="false">
      <c r="A3093" s="15" t="s">
        <v>4703</v>
      </c>
      <c r="B3093" s="15" t="s">
        <v>4704</v>
      </c>
      <c r="C3093" s="15" t="s">
        <v>5999</v>
      </c>
      <c r="D3093" s="34" t="n">
        <f aca="false">Activities!N1253</f>
        <v>2</v>
      </c>
      <c r="E3093" s="15" t="s">
        <v>5998</v>
      </c>
    </row>
    <row r="3094" customFormat="false" ht="15" hidden="false" customHeight="false" outlineLevel="0" collapsed="false">
      <c r="A3094" s="15" t="s">
        <v>4691</v>
      </c>
      <c r="B3094" s="15" t="s">
        <v>4704</v>
      </c>
      <c r="C3094" s="15" t="s">
        <v>5995</v>
      </c>
      <c r="D3094" s="34" t="n">
        <f aca="false">-Activities!K1253</f>
        <v>-11</v>
      </c>
      <c r="E3094" s="15" t="s">
        <v>6004</v>
      </c>
    </row>
    <row r="3095" customFormat="false" ht="15" hidden="false" customHeight="false" outlineLevel="0" collapsed="false">
      <c r="A3095" s="15" t="s">
        <v>4704</v>
      </c>
      <c r="B3095" s="15" t="s">
        <v>4706</v>
      </c>
      <c r="C3095" s="15" t="s">
        <v>5997</v>
      </c>
      <c r="D3095" s="34" t="n">
        <f aca="false">Activities!M1254</f>
        <v>10</v>
      </c>
      <c r="E3095" s="15" t="s">
        <v>5998</v>
      </c>
    </row>
    <row r="3096" customFormat="false" ht="15" hidden="false" customHeight="false" outlineLevel="0" collapsed="false">
      <c r="A3096" s="15" t="s">
        <v>4704</v>
      </c>
      <c r="B3096" s="15" t="s">
        <v>4706</v>
      </c>
      <c r="C3096" s="15" t="s">
        <v>5999</v>
      </c>
      <c r="D3096" s="34" t="n">
        <f aca="false">Activities!N1254</f>
        <v>2</v>
      </c>
      <c r="E3096" s="15" t="s">
        <v>5998</v>
      </c>
    </row>
    <row r="3097" customFormat="false" ht="15" hidden="false" customHeight="false" outlineLevel="0" collapsed="false">
      <c r="A3097" s="15" t="s">
        <v>4691</v>
      </c>
      <c r="B3097" s="15" t="s">
        <v>4706</v>
      </c>
      <c r="C3097" s="15" t="s">
        <v>5995</v>
      </c>
      <c r="D3097" s="34" t="n">
        <v>0</v>
      </c>
      <c r="E3097" s="15" t="s">
        <v>6012</v>
      </c>
    </row>
    <row r="3098" customFormat="false" ht="15" hidden="false" customHeight="false" outlineLevel="0" collapsed="false">
      <c r="A3098" s="15" t="s">
        <v>4298</v>
      </c>
      <c r="B3098" s="15" t="s">
        <v>4706</v>
      </c>
      <c r="C3098" s="15" t="s">
        <v>5995</v>
      </c>
      <c r="D3098" s="34" t="n">
        <v>0</v>
      </c>
      <c r="E3098" s="15" t="s">
        <v>6008</v>
      </c>
    </row>
    <row r="3099" customFormat="false" ht="15" hidden="false" customHeight="false" outlineLevel="0" collapsed="false">
      <c r="A3099" s="15" t="s">
        <v>4610</v>
      </c>
      <c r="B3099" s="15" t="s">
        <v>4706</v>
      </c>
      <c r="C3099" s="15" t="s">
        <v>5995</v>
      </c>
      <c r="D3099" s="34" t="n">
        <v>0</v>
      </c>
      <c r="E3099" s="15" t="s">
        <v>6008</v>
      </c>
    </row>
    <row r="3100" customFormat="false" ht="15" hidden="false" customHeight="false" outlineLevel="0" collapsed="false">
      <c r="A3100" s="15" t="s">
        <v>4596</v>
      </c>
      <c r="B3100" s="15" t="s">
        <v>4706</v>
      </c>
      <c r="C3100" s="15" t="s">
        <v>5995</v>
      </c>
      <c r="D3100" s="34" t="n">
        <v>0</v>
      </c>
      <c r="E3100" s="15" t="s">
        <v>6008</v>
      </c>
    </row>
    <row r="3101" customFormat="false" ht="15" hidden="false" customHeight="false" outlineLevel="0" collapsed="false">
      <c r="A3101" s="15" t="s">
        <v>4238</v>
      </c>
      <c r="B3101" s="15" t="s">
        <v>4706</v>
      </c>
      <c r="C3101" s="15" t="s">
        <v>5995</v>
      </c>
      <c r="D3101" s="34" t="n">
        <v>0</v>
      </c>
      <c r="E3101" s="15" t="s">
        <v>6008</v>
      </c>
    </row>
    <row r="3102" customFormat="false" ht="15" hidden="false" customHeight="false" outlineLevel="0" collapsed="false">
      <c r="A3102" s="15" t="s">
        <v>4706</v>
      </c>
      <c r="B3102" s="15" t="s">
        <v>4708</v>
      </c>
      <c r="C3102" s="15" t="s">
        <v>5997</v>
      </c>
      <c r="D3102" s="34" t="n">
        <f aca="false">Activities!M1255</f>
        <v>1</v>
      </c>
      <c r="E3102" s="15" t="s">
        <v>5998</v>
      </c>
    </row>
    <row r="3103" customFormat="false" ht="15" hidden="false" customHeight="false" outlineLevel="0" collapsed="false">
      <c r="A3103" s="15" t="s">
        <v>4706</v>
      </c>
      <c r="B3103" s="15" t="s">
        <v>4708</v>
      </c>
      <c r="C3103" s="15" t="s">
        <v>5999</v>
      </c>
      <c r="D3103" s="34" t="n">
        <f aca="false">Activities!N1255</f>
        <v>2</v>
      </c>
      <c r="E3103" s="15" t="s">
        <v>5998</v>
      </c>
    </row>
    <row r="3104" customFormat="false" ht="15" hidden="false" customHeight="false" outlineLevel="0" collapsed="false">
      <c r="A3104" s="15" t="s">
        <v>4693</v>
      </c>
      <c r="B3104" s="15" t="s">
        <v>4708</v>
      </c>
      <c r="C3104" s="15" t="s">
        <v>5995</v>
      </c>
      <c r="D3104" s="34" t="n">
        <v>0</v>
      </c>
      <c r="E3104" s="15" t="s">
        <v>6012</v>
      </c>
    </row>
    <row r="3105" customFormat="false" ht="15" hidden="false" customHeight="false" outlineLevel="0" collapsed="false">
      <c r="A3105" s="15" t="s">
        <v>4708</v>
      </c>
      <c r="B3105" s="15" t="s">
        <v>4709</v>
      </c>
      <c r="C3105" s="15" t="s">
        <v>5997</v>
      </c>
      <c r="D3105" s="34" t="n">
        <f aca="false">Activities!M1256</f>
        <v>3</v>
      </c>
      <c r="E3105" s="15" t="s">
        <v>5998</v>
      </c>
    </row>
    <row r="3106" customFormat="false" ht="15" hidden="false" customHeight="false" outlineLevel="0" collapsed="false">
      <c r="A3106" s="15" t="s">
        <v>4708</v>
      </c>
      <c r="B3106" s="15" t="s">
        <v>4709</v>
      </c>
      <c r="C3106" s="15" t="s">
        <v>5999</v>
      </c>
      <c r="D3106" s="34" t="n">
        <f aca="false">Activities!N1256</f>
        <v>2</v>
      </c>
      <c r="E3106" s="15" t="s">
        <v>5998</v>
      </c>
    </row>
    <row r="3107" customFormat="false" ht="15" hidden="false" customHeight="false" outlineLevel="0" collapsed="false">
      <c r="A3107" s="15" t="s">
        <v>4694</v>
      </c>
      <c r="B3107" s="15" t="s">
        <v>4709</v>
      </c>
      <c r="C3107" s="15" t="s">
        <v>5995</v>
      </c>
      <c r="D3107" s="34" t="n">
        <v>0</v>
      </c>
      <c r="E3107" s="15" t="s">
        <v>6012</v>
      </c>
    </row>
    <row r="3108" customFormat="false" ht="15" hidden="false" customHeight="false" outlineLevel="0" collapsed="false">
      <c r="A3108" s="15" t="s">
        <v>4709</v>
      </c>
      <c r="B3108" s="15" t="s">
        <v>4710</v>
      </c>
      <c r="C3108" s="15" t="s">
        <v>5997</v>
      </c>
      <c r="D3108" s="34" t="n">
        <f aca="false">Activities!M1257</f>
        <v>3</v>
      </c>
      <c r="E3108" s="15" t="s">
        <v>5998</v>
      </c>
    </row>
    <row r="3109" customFormat="false" ht="15" hidden="false" customHeight="false" outlineLevel="0" collapsed="false">
      <c r="A3109" s="15" t="s">
        <v>4709</v>
      </c>
      <c r="B3109" s="15" t="s">
        <v>4710</v>
      </c>
      <c r="C3109" s="15" t="s">
        <v>5999</v>
      </c>
      <c r="D3109" s="34" t="n">
        <f aca="false">Activities!N1257</f>
        <v>2</v>
      </c>
      <c r="E3109" s="15" t="s">
        <v>5998</v>
      </c>
    </row>
    <row r="3110" customFormat="false" ht="15" hidden="false" customHeight="false" outlineLevel="0" collapsed="false">
      <c r="A3110" s="15" t="s">
        <v>4710</v>
      </c>
      <c r="B3110" s="15" t="s">
        <v>4711</v>
      </c>
      <c r="C3110" s="15" t="s">
        <v>5997</v>
      </c>
      <c r="D3110" s="34" t="n">
        <f aca="false">Activities!M1258</f>
        <v>2</v>
      </c>
      <c r="E3110" s="15" t="s">
        <v>5998</v>
      </c>
    </row>
    <row r="3111" customFormat="false" ht="15" hidden="false" customHeight="false" outlineLevel="0" collapsed="false">
      <c r="A3111" s="15" t="s">
        <v>4710</v>
      </c>
      <c r="B3111" s="15" t="s">
        <v>4711</v>
      </c>
      <c r="C3111" s="15" t="s">
        <v>5999</v>
      </c>
      <c r="D3111" s="34" t="n">
        <f aca="false">Activities!N1258</f>
        <v>2</v>
      </c>
      <c r="E3111" s="15" t="s">
        <v>5998</v>
      </c>
    </row>
    <row r="3112" customFormat="false" ht="15" hidden="false" customHeight="false" outlineLevel="0" collapsed="false">
      <c r="A3112" s="15" t="s">
        <v>4696</v>
      </c>
      <c r="B3112" s="15" t="s">
        <v>4711</v>
      </c>
      <c r="C3112" s="15" t="s">
        <v>5995</v>
      </c>
      <c r="D3112" s="34" t="n">
        <v>0</v>
      </c>
      <c r="E3112" s="15" t="s">
        <v>6012</v>
      </c>
    </row>
    <row r="3113" customFormat="false" ht="15" hidden="false" customHeight="false" outlineLevel="0" collapsed="false">
      <c r="A3113" s="15" t="s">
        <v>4711</v>
      </c>
      <c r="B3113" s="15" t="s">
        <v>4712</v>
      </c>
      <c r="C3113" s="15" t="s">
        <v>5997</v>
      </c>
      <c r="D3113" s="34" t="n">
        <f aca="false">Activities!M1259</f>
        <v>1</v>
      </c>
      <c r="E3113" s="15" t="s">
        <v>5998</v>
      </c>
    </row>
    <row r="3114" customFormat="false" ht="15" hidden="false" customHeight="false" outlineLevel="0" collapsed="false">
      <c r="A3114" s="15" t="s">
        <v>4711</v>
      </c>
      <c r="B3114" s="15" t="s">
        <v>4712</v>
      </c>
      <c r="C3114" s="15" t="s">
        <v>5999</v>
      </c>
      <c r="D3114" s="34" t="n">
        <f aca="false">Activities!N1259</f>
        <v>2</v>
      </c>
      <c r="E3114" s="15" t="s">
        <v>5998</v>
      </c>
    </row>
    <row r="3115" customFormat="false" ht="15" hidden="false" customHeight="false" outlineLevel="0" collapsed="false">
      <c r="A3115" s="15" t="s">
        <v>4713</v>
      </c>
      <c r="B3115" s="15" t="s">
        <v>4715</v>
      </c>
      <c r="C3115" s="15" t="s">
        <v>5995</v>
      </c>
      <c r="D3115" s="34" t="n">
        <v>0</v>
      </c>
      <c r="E3115" s="15" t="s">
        <v>5996</v>
      </c>
    </row>
    <row r="3116" customFormat="false" ht="15" hidden="false" customHeight="false" outlineLevel="0" collapsed="false">
      <c r="A3116" s="15" t="s">
        <v>4702</v>
      </c>
      <c r="B3116" s="15" t="s">
        <v>4715</v>
      </c>
      <c r="C3116" s="15" t="s">
        <v>5997</v>
      </c>
      <c r="D3116" s="34" t="n">
        <v>0</v>
      </c>
      <c r="E3116" s="15" t="s">
        <v>6002</v>
      </c>
    </row>
    <row r="3117" customFormat="false" ht="15" hidden="false" customHeight="false" outlineLevel="0" collapsed="false">
      <c r="A3117" s="15" t="s">
        <v>4715</v>
      </c>
      <c r="B3117" s="15" t="s">
        <v>4717</v>
      </c>
      <c r="C3117" s="15" t="s">
        <v>5997</v>
      </c>
      <c r="D3117" s="34" t="n">
        <f aca="false">Activities!M1262</f>
        <v>1</v>
      </c>
      <c r="E3117" s="15" t="s">
        <v>5998</v>
      </c>
    </row>
    <row r="3118" customFormat="false" ht="15" hidden="false" customHeight="false" outlineLevel="0" collapsed="false">
      <c r="A3118" s="15" t="s">
        <v>4715</v>
      </c>
      <c r="B3118" s="15" t="s">
        <v>4717</v>
      </c>
      <c r="C3118" s="15" t="s">
        <v>5999</v>
      </c>
      <c r="D3118" s="34" t="n">
        <f aca="false">Activities!N1262</f>
        <v>2</v>
      </c>
      <c r="E3118" s="15" t="s">
        <v>5998</v>
      </c>
    </row>
    <row r="3119" customFormat="false" ht="15" hidden="false" customHeight="false" outlineLevel="0" collapsed="false">
      <c r="A3119" s="15" t="s">
        <v>4702</v>
      </c>
      <c r="B3119" s="15" t="s">
        <v>4717</v>
      </c>
      <c r="C3119" s="15" t="s">
        <v>5995</v>
      </c>
      <c r="D3119" s="34" t="n">
        <v>0</v>
      </c>
      <c r="E3119" s="15" t="s">
        <v>6012</v>
      </c>
    </row>
    <row r="3120" customFormat="false" ht="15" hidden="false" customHeight="false" outlineLevel="0" collapsed="false">
      <c r="A3120" s="15" t="s">
        <v>4717</v>
      </c>
      <c r="B3120" s="15" t="s">
        <v>4718</v>
      </c>
      <c r="C3120" s="15" t="s">
        <v>5997</v>
      </c>
      <c r="D3120" s="34" t="n">
        <f aca="false">Activities!M1263</f>
        <v>2</v>
      </c>
      <c r="E3120" s="15" t="s">
        <v>5998</v>
      </c>
    </row>
    <row r="3121" customFormat="false" ht="15" hidden="false" customHeight="false" outlineLevel="0" collapsed="false">
      <c r="A3121" s="15" t="s">
        <v>4717</v>
      </c>
      <c r="B3121" s="15" t="s">
        <v>4718</v>
      </c>
      <c r="C3121" s="15" t="s">
        <v>5999</v>
      </c>
      <c r="D3121" s="34" t="n">
        <f aca="false">Activities!N1263</f>
        <v>2</v>
      </c>
      <c r="E3121" s="15" t="s">
        <v>5998</v>
      </c>
    </row>
    <row r="3122" customFormat="false" ht="15" hidden="false" customHeight="false" outlineLevel="0" collapsed="false">
      <c r="A3122" s="15" t="s">
        <v>4703</v>
      </c>
      <c r="B3122" s="15" t="s">
        <v>4718</v>
      </c>
      <c r="C3122" s="15" t="s">
        <v>5995</v>
      </c>
      <c r="D3122" s="34" t="n">
        <v>0</v>
      </c>
      <c r="E3122" s="15" t="s">
        <v>6012</v>
      </c>
    </row>
    <row r="3123" customFormat="false" ht="15" hidden="false" customHeight="false" outlineLevel="0" collapsed="false">
      <c r="A3123" s="15" t="s">
        <v>4718</v>
      </c>
      <c r="B3123" s="15" t="s">
        <v>4719</v>
      </c>
      <c r="C3123" s="15" t="s">
        <v>5997</v>
      </c>
      <c r="D3123" s="34" t="n">
        <f aca="false">Activities!M1264</f>
        <v>2</v>
      </c>
      <c r="E3123" s="15" t="s">
        <v>5998</v>
      </c>
    </row>
    <row r="3124" customFormat="false" ht="15" hidden="false" customHeight="false" outlineLevel="0" collapsed="false">
      <c r="A3124" s="15" t="s">
        <v>4718</v>
      </c>
      <c r="B3124" s="15" t="s">
        <v>4719</v>
      </c>
      <c r="C3124" s="15" t="s">
        <v>5999</v>
      </c>
      <c r="D3124" s="34" t="n">
        <f aca="false">Activities!N1264</f>
        <v>2</v>
      </c>
      <c r="E3124" s="15" t="s">
        <v>5998</v>
      </c>
    </row>
    <row r="3125" customFormat="false" ht="15" hidden="false" customHeight="false" outlineLevel="0" collapsed="false">
      <c r="A3125" s="15" t="s">
        <v>4706</v>
      </c>
      <c r="B3125" s="15" t="s">
        <v>4719</v>
      </c>
      <c r="C3125" s="15" t="s">
        <v>5995</v>
      </c>
      <c r="D3125" s="34" t="n">
        <f aca="false">-Activities!K1264</f>
        <v>-10</v>
      </c>
      <c r="E3125" s="15" t="s">
        <v>6004</v>
      </c>
    </row>
    <row r="3126" customFormat="false" ht="15" hidden="false" customHeight="false" outlineLevel="0" collapsed="false">
      <c r="A3126" s="15" t="s">
        <v>4719</v>
      </c>
      <c r="B3126" s="15" t="s">
        <v>4721</v>
      </c>
      <c r="C3126" s="15" t="s">
        <v>5997</v>
      </c>
      <c r="D3126" s="34" t="n">
        <f aca="false">Activities!M1265</f>
        <v>10</v>
      </c>
      <c r="E3126" s="15" t="s">
        <v>5998</v>
      </c>
    </row>
    <row r="3127" customFormat="false" ht="15" hidden="false" customHeight="false" outlineLevel="0" collapsed="false">
      <c r="A3127" s="15" t="s">
        <v>4719</v>
      </c>
      <c r="B3127" s="15" t="s">
        <v>4721</v>
      </c>
      <c r="C3127" s="15" t="s">
        <v>5999</v>
      </c>
      <c r="D3127" s="34" t="n">
        <f aca="false">Activities!N1265</f>
        <v>2</v>
      </c>
      <c r="E3127" s="15" t="s">
        <v>5998</v>
      </c>
    </row>
    <row r="3128" customFormat="false" ht="15" hidden="false" customHeight="false" outlineLevel="0" collapsed="false">
      <c r="A3128" s="15" t="s">
        <v>4706</v>
      </c>
      <c r="B3128" s="15" t="s">
        <v>4721</v>
      </c>
      <c r="C3128" s="15" t="s">
        <v>5995</v>
      </c>
      <c r="D3128" s="34" t="n">
        <v>0</v>
      </c>
      <c r="E3128" s="15" t="s">
        <v>6012</v>
      </c>
    </row>
    <row r="3129" customFormat="false" ht="15" hidden="false" customHeight="false" outlineLevel="0" collapsed="false">
      <c r="A3129" s="15" t="s">
        <v>4721</v>
      </c>
      <c r="B3129" s="15" t="s">
        <v>4722</v>
      </c>
      <c r="C3129" s="15" t="s">
        <v>5997</v>
      </c>
      <c r="D3129" s="34" t="n">
        <f aca="false">Activities!M1266</f>
        <v>1</v>
      </c>
      <c r="E3129" s="15" t="s">
        <v>5998</v>
      </c>
    </row>
    <row r="3130" customFormat="false" ht="15" hidden="false" customHeight="false" outlineLevel="0" collapsed="false">
      <c r="A3130" s="15" t="s">
        <v>4721</v>
      </c>
      <c r="B3130" s="15" t="s">
        <v>4722</v>
      </c>
      <c r="C3130" s="15" t="s">
        <v>5999</v>
      </c>
      <c r="D3130" s="34" t="n">
        <f aca="false">Activities!N1266</f>
        <v>2</v>
      </c>
      <c r="E3130" s="15" t="s">
        <v>5998</v>
      </c>
    </row>
    <row r="3131" customFormat="false" ht="15" hidden="false" customHeight="false" outlineLevel="0" collapsed="false">
      <c r="A3131" s="15" t="s">
        <v>4708</v>
      </c>
      <c r="B3131" s="15" t="s">
        <v>4722</v>
      </c>
      <c r="C3131" s="15" t="s">
        <v>5995</v>
      </c>
      <c r="D3131" s="34" t="n">
        <v>0</v>
      </c>
      <c r="E3131" s="15" t="s">
        <v>6012</v>
      </c>
    </row>
    <row r="3132" customFormat="false" ht="15" hidden="false" customHeight="false" outlineLevel="0" collapsed="false">
      <c r="A3132" s="15" t="s">
        <v>4722</v>
      </c>
      <c r="B3132" s="15" t="s">
        <v>4723</v>
      </c>
      <c r="C3132" s="15" t="s">
        <v>5997</v>
      </c>
      <c r="D3132" s="34" t="n">
        <f aca="false">Activities!M1267</f>
        <v>3</v>
      </c>
      <c r="E3132" s="15" t="s">
        <v>5998</v>
      </c>
    </row>
    <row r="3133" customFormat="false" ht="15" hidden="false" customHeight="false" outlineLevel="0" collapsed="false">
      <c r="A3133" s="15" t="s">
        <v>4722</v>
      </c>
      <c r="B3133" s="15" t="s">
        <v>4723</v>
      </c>
      <c r="C3133" s="15" t="s">
        <v>5999</v>
      </c>
      <c r="D3133" s="34" t="n">
        <f aca="false">Activities!N1267</f>
        <v>2</v>
      </c>
      <c r="E3133" s="15" t="s">
        <v>5998</v>
      </c>
    </row>
    <row r="3134" customFormat="false" ht="15" hidden="false" customHeight="false" outlineLevel="0" collapsed="false">
      <c r="A3134" s="15" t="s">
        <v>4709</v>
      </c>
      <c r="B3134" s="15" t="s">
        <v>4723</v>
      </c>
      <c r="C3134" s="15" t="s">
        <v>5995</v>
      </c>
      <c r="D3134" s="34" t="n">
        <v>0</v>
      </c>
      <c r="E3134" s="15" t="s">
        <v>6012</v>
      </c>
    </row>
    <row r="3135" customFormat="false" ht="15" hidden="false" customHeight="false" outlineLevel="0" collapsed="false">
      <c r="A3135" s="15" t="s">
        <v>4723</v>
      </c>
      <c r="B3135" s="15" t="s">
        <v>4724</v>
      </c>
      <c r="C3135" s="15" t="s">
        <v>5997</v>
      </c>
      <c r="D3135" s="34" t="n">
        <f aca="false">Activities!M1268</f>
        <v>2</v>
      </c>
      <c r="E3135" s="15" t="s">
        <v>5998</v>
      </c>
    </row>
    <row r="3136" customFormat="false" ht="15" hidden="false" customHeight="false" outlineLevel="0" collapsed="false">
      <c r="A3136" s="15" t="s">
        <v>4723</v>
      </c>
      <c r="B3136" s="15" t="s">
        <v>4724</v>
      </c>
      <c r="C3136" s="15" t="s">
        <v>5999</v>
      </c>
      <c r="D3136" s="34" t="n">
        <f aca="false">Activities!N1268</f>
        <v>2</v>
      </c>
      <c r="E3136" s="15" t="s">
        <v>5998</v>
      </c>
    </row>
    <row r="3137" customFormat="false" ht="15" hidden="false" customHeight="false" outlineLevel="0" collapsed="false">
      <c r="A3137" s="15" t="s">
        <v>4724</v>
      </c>
      <c r="B3137" s="15" t="s">
        <v>4725</v>
      </c>
      <c r="C3137" s="15" t="s">
        <v>5997</v>
      </c>
      <c r="D3137" s="34" t="n">
        <f aca="false">Activities!M1269</f>
        <v>2</v>
      </c>
      <c r="E3137" s="15" t="s">
        <v>5998</v>
      </c>
    </row>
    <row r="3138" customFormat="false" ht="15" hidden="false" customHeight="false" outlineLevel="0" collapsed="false">
      <c r="A3138" s="15" t="s">
        <v>4724</v>
      </c>
      <c r="B3138" s="15" t="s">
        <v>4725</v>
      </c>
      <c r="C3138" s="15" t="s">
        <v>5999</v>
      </c>
      <c r="D3138" s="34" t="n">
        <f aca="false">Activities!N1269</f>
        <v>2</v>
      </c>
      <c r="E3138" s="15" t="s">
        <v>5998</v>
      </c>
    </row>
    <row r="3139" customFormat="false" ht="15" hidden="false" customHeight="false" outlineLevel="0" collapsed="false">
      <c r="A3139" s="15" t="s">
        <v>4711</v>
      </c>
      <c r="B3139" s="15" t="s">
        <v>4725</v>
      </c>
      <c r="C3139" s="15" t="s">
        <v>5995</v>
      </c>
      <c r="D3139" s="34" t="n">
        <v>0</v>
      </c>
      <c r="E3139" s="15" t="s">
        <v>6012</v>
      </c>
    </row>
    <row r="3140" customFormat="false" ht="15" hidden="false" customHeight="false" outlineLevel="0" collapsed="false">
      <c r="A3140" s="15" t="s">
        <v>4725</v>
      </c>
      <c r="B3140" s="15" t="s">
        <v>4726</v>
      </c>
      <c r="C3140" s="15" t="s">
        <v>5997</v>
      </c>
      <c r="D3140" s="34" t="n">
        <f aca="false">Activities!M1270</f>
        <v>1</v>
      </c>
      <c r="E3140" s="15" t="s">
        <v>5998</v>
      </c>
    </row>
    <row r="3141" customFormat="false" ht="15" hidden="false" customHeight="false" outlineLevel="0" collapsed="false">
      <c r="A3141" s="15" t="s">
        <v>4725</v>
      </c>
      <c r="B3141" s="15" t="s">
        <v>4726</v>
      </c>
      <c r="C3141" s="15" t="s">
        <v>5999</v>
      </c>
      <c r="D3141" s="34" t="n">
        <f aca="false">Activities!N1270</f>
        <v>2</v>
      </c>
      <c r="E3141" s="15" t="s">
        <v>5998</v>
      </c>
    </row>
    <row r="3142" customFormat="false" ht="15" hidden="false" customHeight="false" outlineLevel="0" collapsed="false">
      <c r="A3142" s="15" t="s">
        <v>4727</v>
      </c>
      <c r="B3142" s="15" t="s">
        <v>4729</v>
      </c>
      <c r="C3142" s="15" t="s">
        <v>5995</v>
      </c>
      <c r="D3142" s="34" t="n">
        <v>0</v>
      </c>
      <c r="E3142" s="15" t="s">
        <v>5996</v>
      </c>
    </row>
    <row r="3143" customFormat="false" ht="15" hidden="false" customHeight="false" outlineLevel="0" collapsed="false">
      <c r="A3143" s="15" t="s">
        <v>4717</v>
      </c>
      <c r="B3143" s="15" t="s">
        <v>4729</v>
      </c>
      <c r="C3143" s="15" t="s">
        <v>5997</v>
      </c>
      <c r="D3143" s="34" t="n">
        <v>0</v>
      </c>
      <c r="E3143" s="15" t="s">
        <v>6002</v>
      </c>
    </row>
    <row r="3144" customFormat="false" ht="15" hidden="false" customHeight="false" outlineLevel="0" collapsed="false">
      <c r="A3144" s="15" t="s">
        <v>4729</v>
      </c>
      <c r="B3144" s="15" t="s">
        <v>4731</v>
      </c>
      <c r="C3144" s="15" t="s">
        <v>5997</v>
      </c>
      <c r="D3144" s="34" t="n">
        <f aca="false">Activities!M1273</f>
        <v>1</v>
      </c>
      <c r="E3144" s="15" t="s">
        <v>5998</v>
      </c>
    </row>
    <row r="3145" customFormat="false" ht="15" hidden="false" customHeight="false" outlineLevel="0" collapsed="false">
      <c r="A3145" s="15" t="s">
        <v>4729</v>
      </c>
      <c r="B3145" s="15" t="s">
        <v>4731</v>
      </c>
      <c r="C3145" s="15" t="s">
        <v>5999</v>
      </c>
      <c r="D3145" s="34" t="n">
        <f aca="false">Activities!N1273</f>
        <v>2</v>
      </c>
      <c r="E3145" s="15" t="s">
        <v>5998</v>
      </c>
    </row>
    <row r="3146" customFormat="false" ht="15" hidden="false" customHeight="false" outlineLevel="0" collapsed="false">
      <c r="A3146" s="15" t="s">
        <v>4717</v>
      </c>
      <c r="B3146" s="15" t="s">
        <v>4731</v>
      </c>
      <c r="C3146" s="15" t="s">
        <v>5995</v>
      </c>
      <c r="D3146" s="34" t="n">
        <v>0</v>
      </c>
      <c r="E3146" s="15" t="s">
        <v>6012</v>
      </c>
    </row>
    <row r="3147" customFormat="false" ht="15" hidden="false" customHeight="false" outlineLevel="0" collapsed="false">
      <c r="A3147" s="15" t="s">
        <v>4731</v>
      </c>
      <c r="B3147" s="15" t="s">
        <v>4732</v>
      </c>
      <c r="C3147" s="15" t="s">
        <v>5997</v>
      </c>
      <c r="D3147" s="34" t="n">
        <f aca="false">Activities!M1274</f>
        <v>1</v>
      </c>
      <c r="E3147" s="15" t="s">
        <v>5998</v>
      </c>
    </row>
    <row r="3148" customFormat="false" ht="15" hidden="false" customHeight="false" outlineLevel="0" collapsed="false">
      <c r="A3148" s="15" t="s">
        <v>4731</v>
      </c>
      <c r="B3148" s="15" t="s">
        <v>4732</v>
      </c>
      <c r="C3148" s="15" t="s">
        <v>5999</v>
      </c>
      <c r="D3148" s="34" t="n">
        <f aca="false">Activities!N1274</f>
        <v>2</v>
      </c>
      <c r="E3148" s="15" t="s">
        <v>5998</v>
      </c>
    </row>
    <row r="3149" customFormat="false" ht="15" hidden="false" customHeight="false" outlineLevel="0" collapsed="false">
      <c r="A3149" s="15" t="s">
        <v>4718</v>
      </c>
      <c r="B3149" s="15" t="s">
        <v>4732</v>
      </c>
      <c r="C3149" s="15" t="s">
        <v>5995</v>
      </c>
      <c r="D3149" s="34" t="n">
        <v>0</v>
      </c>
      <c r="E3149" s="15" t="s">
        <v>6012</v>
      </c>
    </row>
    <row r="3150" customFormat="false" ht="15" hidden="false" customHeight="false" outlineLevel="0" collapsed="false">
      <c r="A3150" s="15" t="s">
        <v>4732</v>
      </c>
      <c r="B3150" s="15" t="s">
        <v>4733</v>
      </c>
      <c r="C3150" s="15" t="s">
        <v>5997</v>
      </c>
      <c r="D3150" s="34" t="n">
        <f aca="false">Activities!M1275</f>
        <v>1</v>
      </c>
      <c r="E3150" s="15" t="s">
        <v>5998</v>
      </c>
    </row>
    <row r="3151" customFormat="false" ht="15" hidden="false" customHeight="false" outlineLevel="0" collapsed="false">
      <c r="A3151" s="15" t="s">
        <v>4732</v>
      </c>
      <c r="B3151" s="15" t="s">
        <v>4733</v>
      </c>
      <c r="C3151" s="15" t="s">
        <v>5999</v>
      </c>
      <c r="D3151" s="34" t="n">
        <f aca="false">Activities!N1275</f>
        <v>2</v>
      </c>
      <c r="E3151" s="15" t="s">
        <v>5998</v>
      </c>
    </row>
    <row r="3152" customFormat="false" ht="15" hidden="false" customHeight="false" outlineLevel="0" collapsed="false">
      <c r="A3152" s="15" t="s">
        <v>4721</v>
      </c>
      <c r="B3152" s="15" t="s">
        <v>4733</v>
      </c>
      <c r="C3152" s="15" t="s">
        <v>5995</v>
      </c>
      <c r="D3152" s="34" t="n">
        <f aca="false">-Activities!K1275</f>
        <v>-10</v>
      </c>
      <c r="E3152" s="15" t="s">
        <v>6004</v>
      </c>
    </row>
    <row r="3153" customFormat="false" ht="15" hidden="false" customHeight="false" outlineLevel="0" collapsed="false">
      <c r="A3153" s="15" t="s">
        <v>4733</v>
      </c>
      <c r="B3153" s="15" t="s">
        <v>4735</v>
      </c>
      <c r="C3153" s="15" t="s">
        <v>5997</v>
      </c>
      <c r="D3153" s="34" t="n">
        <f aca="false">Activities!M1276</f>
        <v>10</v>
      </c>
      <c r="E3153" s="15" t="s">
        <v>5998</v>
      </c>
    </row>
    <row r="3154" customFormat="false" ht="15" hidden="false" customHeight="false" outlineLevel="0" collapsed="false">
      <c r="A3154" s="15" t="s">
        <v>4733</v>
      </c>
      <c r="B3154" s="15" t="s">
        <v>4735</v>
      </c>
      <c r="C3154" s="15" t="s">
        <v>5999</v>
      </c>
      <c r="D3154" s="34" t="n">
        <f aca="false">Activities!N1276</f>
        <v>2</v>
      </c>
      <c r="E3154" s="15" t="s">
        <v>5998</v>
      </c>
    </row>
    <row r="3155" customFormat="false" ht="15" hidden="false" customHeight="false" outlineLevel="0" collapsed="false">
      <c r="A3155" s="15" t="s">
        <v>4721</v>
      </c>
      <c r="B3155" s="15" t="s">
        <v>4735</v>
      </c>
      <c r="C3155" s="15" t="s">
        <v>5995</v>
      </c>
      <c r="D3155" s="34" t="n">
        <v>0</v>
      </c>
      <c r="E3155" s="15" t="s">
        <v>6012</v>
      </c>
    </row>
    <row r="3156" customFormat="false" ht="15" hidden="false" customHeight="false" outlineLevel="0" collapsed="false">
      <c r="A3156" s="15" t="s">
        <v>4624</v>
      </c>
      <c r="B3156" s="15" t="s">
        <v>4735</v>
      </c>
      <c r="C3156" s="15" t="s">
        <v>5995</v>
      </c>
      <c r="D3156" s="34" t="n">
        <v>0</v>
      </c>
      <c r="E3156" s="15" t="s">
        <v>6008</v>
      </c>
    </row>
    <row r="3157" customFormat="false" ht="15" hidden="false" customHeight="false" outlineLevel="0" collapsed="false">
      <c r="A3157" s="15" t="s">
        <v>4610</v>
      </c>
      <c r="B3157" s="15" t="s">
        <v>4735</v>
      </c>
      <c r="C3157" s="15" t="s">
        <v>5995</v>
      </c>
      <c r="D3157" s="34" t="n">
        <v>0</v>
      </c>
      <c r="E3157" s="15" t="s">
        <v>6008</v>
      </c>
    </row>
    <row r="3158" customFormat="false" ht="15" hidden="false" customHeight="false" outlineLevel="0" collapsed="false">
      <c r="A3158" s="15" t="s">
        <v>4735</v>
      </c>
      <c r="B3158" s="15" t="s">
        <v>4737</v>
      </c>
      <c r="C3158" s="15" t="s">
        <v>5997</v>
      </c>
      <c r="D3158" s="34" t="n">
        <f aca="false">Activities!M1277</f>
        <v>1</v>
      </c>
      <c r="E3158" s="15" t="s">
        <v>5998</v>
      </c>
    </row>
    <row r="3159" customFormat="false" ht="15" hidden="false" customHeight="false" outlineLevel="0" collapsed="false">
      <c r="A3159" s="15" t="s">
        <v>4735</v>
      </c>
      <c r="B3159" s="15" t="s">
        <v>4737</v>
      </c>
      <c r="C3159" s="15" t="s">
        <v>5999</v>
      </c>
      <c r="D3159" s="34" t="n">
        <f aca="false">Activities!N1277</f>
        <v>2</v>
      </c>
      <c r="E3159" s="15" t="s">
        <v>5998</v>
      </c>
    </row>
    <row r="3160" customFormat="false" ht="15" hidden="false" customHeight="false" outlineLevel="0" collapsed="false">
      <c r="A3160" s="15" t="s">
        <v>4722</v>
      </c>
      <c r="B3160" s="15" t="s">
        <v>4737</v>
      </c>
      <c r="C3160" s="15" t="s">
        <v>5995</v>
      </c>
      <c r="D3160" s="34" t="n">
        <v>0</v>
      </c>
      <c r="E3160" s="15" t="s">
        <v>6012</v>
      </c>
    </row>
    <row r="3161" customFormat="false" ht="15" hidden="false" customHeight="false" outlineLevel="0" collapsed="false">
      <c r="A3161" s="15" t="s">
        <v>4737</v>
      </c>
      <c r="B3161" s="15" t="s">
        <v>4738</v>
      </c>
      <c r="C3161" s="15" t="s">
        <v>5997</v>
      </c>
      <c r="D3161" s="34" t="n">
        <f aca="false">Activities!M1278</f>
        <v>2</v>
      </c>
      <c r="E3161" s="15" t="s">
        <v>5998</v>
      </c>
    </row>
    <row r="3162" customFormat="false" ht="15" hidden="false" customHeight="false" outlineLevel="0" collapsed="false">
      <c r="A3162" s="15" t="s">
        <v>4737</v>
      </c>
      <c r="B3162" s="15" t="s">
        <v>4738</v>
      </c>
      <c r="C3162" s="15" t="s">
        <v>5999</v>
      </c>
      <c r="D3162" s="34" t="n">
        <f aca="false">Activities!N1278</f>
        <v>2</v>
      </c>
      <c r="E3162" s="15" t="s">
        <v>5998</v>
      </c>
    </row>
    <row r="3163" customFormat="false" ht="15" hidden="false" customHeight="false" outlineLevel="0" collapsed="false">
      <c r="A3163" s="15" t="s">
        <v>4723</v>
      </c>
      <c r="B3163" s="15" t="s">
        <v>4738</v>
      </c>
      <c r="C3163" s="15" t="s">
        <v>5995</v>
      </c>
      <c r="D3163" s="34" t="n">
        <v>0</v>
      </c>
      <c r="E3163" s="15" t="s">
        <v>6012</v>
      </c>
    </row>
    <row r="3164" customFormat="false" ht="15" hidden="false" customHeight="false" outlineLevel="0" collapsed="false">
      <c r="A3164" s="15" t="s">
        <v>4738</v>
      </c>
      <c r="B3164" s="15" t="s">
        <v>4739</v>
      </c>
      <c r="C3164" s="15" t="s">
        <v>5997</v>
      </c>
      <c r="D3164" s="34" t="n">
        <f aca="false">Activities!M1279</f>
        <v>1</v>
      </c>
      <c r="E3164" s="15" t="s">
        <v>5998</v>
      </c>
    </row>
    <row r="3165" customFormat="false" ht="15" hidden="false" customHeight="false" outlineLevel="0" collapsed="false">
      <c r="A3165" s="15" t="s">
        <v>4738</v>
      </c>
      <c r="B3165" s="15" t="s">
        <v>4739</v>
      </c>
      <c r="C3165" s="15" t="s">
        <v>5999</v>
      </c>
      <c r="D3165" s="34" t="n">
        <f aca="false">Activities!N1279</f>
        <v>2</v>
      </c>
      <c r="E3165" s="15" t="s">
        <v>5998</v>
      </c>
    </row>
    <row r="3166" customFormat="false" ht="15" hidden="false" customHeight="false" outlineLevel="0" collapsed="false">
      <c r="A3166" s="15" t="s">
        <v>4739</v>
      </c>
      <c r="B3166" s="15" t="s">
        <v>4740</v>
      </c>
      <c r="C3166" s="15" t="s">
        <v>5997</v>
      </c>
      <c r="D3166" s="34" t="n">
        <f aca="false">Activities!M1280</f>
        <v>2</v>
      </c>
      <c r="E3166" s="15" t="s">
        <v>5998</v>
      </c>
    </row>
    <row r="3167" customFormat="false" ht="15" hidden="false" customHeight="false" outlineLevel="0" collapsed="false">
      <c r="A3167" s="15" t="s">
        <v>4739</v>
      </c>
      <c r="B3167" s="15" t="s">
        <v>4740</v>
      </c>
      <c r="C3167" s="15" t="s">
        <v>5999</v>
      </c>
      <c r="D3167" s="34" t="n">
        <f aca="false">Activities!N1280</f>
        <v>2</v>
      </c>
      <c r="E3167" s="15" t="s">
        <v>5998</v>
      </c>
    </row>
    <row r="3168" customFormat="false" ht="15" hidden="false" customHeight="false" outlineLevel="0" collapsed="false">
      <c r="A3168" s="15" t="s">
        <v>4725</v>
      </c>
      <c r="B3168" s="15" t="s">
        <v>4740</v>
      </c>
      <c r="C3168" s="15" t="s">
        <v>5995</v>
      </c>
      <c r="D3168" s="34" t="n">
        <v>0</v>
      </c>
      <c r="E3168" s="15" t="s">
        <v>6012</v>
      </c>
    </row>
    <row r="3169" customFormat="false" ht="15" hidden="false" customHeight="false" outlineLevel="0" collapsed="false">
      <c r="A3169" s="15" t="s">
        <v>4740</v>
      </c>
      <c r="B3169" s="15" t="s">
        <v>4741</v>
      </c>
      <c r="C3169" s="15" t="s">
        <v>5997</v>
      </c>
      <c r="D3169" s="34" t="n">
        <f aca="false">Activities!M1281</f>
        <v>1</v>
      </c>
      <c r="E3169" s="15" t="s">
        <v>5998</v>
      </c>
    </row>
    <row r="3170" customFormat="false" ht="15" hidden="false" customHeight="false" outlineLevel="0" collapsed="false">
      <c r="A3170" s="15" t="s">
        <v>4740</v>
      </c>
      <c r="B3170" s="15" t="s">
        <v>4741</v>
      </c>
      <c r="C3170" s="15" t="s">
        <v>5999</v>
      </c>
      <c r="D3170" s="34" t="n">
        <f aca="false">Activities!N1281</f>
        <v>2</v>
      </c>
      <c r="E3170" s="15" t="s">
        <v>5998</v>
      </c>
    </row>
    <row r="3171" customFormat="false" ht="15" hidden="false" customHeight="false" outlineLevel="0" collapsed="false">
      <c r="A3171" s="15" t="s">
        <v>4742</v>
      </c>
      <c r="B3171" s="15" t="s">
        <v>4744</v>
      </c>
      <c r="C3171" s="15" t="s">
        <v>5995</v>
      </c>
      <c r="D3171" s="34" t="n">
        <v>0</v>
      </c>
      <c r="E3171" s="15" t="s">
        <v>5996</v>
      </c>
    </row>
    <row r="3172" customFormat="false" ht="15" hidden="false" customHeight="false" outlineLevel="0" collapsed="false">
      <c r="A3172" s="15" t="s">
        <v>4731</v>
      </c>
      <c r="B3172" s="15" t="s">
        <v>4744</v>
      </c>
      <c r="C3172" s="15" t="s">
        <v>5997</v>
      </c>
      <c r="D3172" s="34" t="n">
        <v>0</v>
      </c>
      <c r="E3172" s="15" t="s">
        <v>6002</v>
      </c>
    </row>
    <row r="3173" customFormat="false" ht="15" hidden="false" customHeight="false" outlineLevel="0" collapsed="false">
      <c r="A3173" s="15" t="s">
        <v>4744</v>
      </c>
      <c r="B3173" s="15" t="s">
        <v>4746</v>
      </c>
      <c r="C3173" s="15" t="s">
        <v>5997</v>
      </c>
      <c r="D3173" s="34" t="n">
        <f aca="false">Activities!M1284</f>
        <v>1</v>
      </c>
      <c r="E3173" s="15" t="s">
        <v>5998</v>
      </c>
    </row>
    <row r="3174" customFormat="false" ht="15" hidden="false" customHeight="false" outlineLevel="0" collapsed="false">
      <c r="A3174" s="15" t="s">
        <v>4744</v>
      </c>
      <c r="B3174" s="15" t="s">
        <v>4746</v>
      </c>
      <c r="C3174" s="15" t="s">
        <v>5999</v>
      </c>
      <c r="D3174" s="34" t="n">
        <f aca="false">Activities!N1284</f>
        <v>2</v>
      </c>
      <c r="E3174" s="15" t="s">
        <v>5998</v>
      </c>
    </row>
    <row r="3175" customFormat="false" ht="15" hidden="false" customHeight="false" outlineLevel="0" collapsed="false">
      <c r="A3175" s="15" t="s">
        <v>4731</v>
      </c>
      <c r="B3175" s="15" t="s">
        <v>4746</v>
      </c>
      <c r="C3175" s="15" t="s">
        <v>5995</v>
      </c>
      <c r="D3175" s="34" t="n">
        <v>0</v>
      </c>
      <c r="E3175" s="15" t="s">
        <v>6012</v>
      </c>
    </row>
    <row r="3176" customFormat="false" ht="15" hidden="false" customHeight="false" outlineLevel="0" collapsed="false">
      <c r="A3176" s="15" t="s">
        <v>4746</v>
      </c>
      <c r="B3176" s="15" t="s">
        <v>4747</v>
      </c>
      <c r="C3176" s="15" t="s">
        <v>5997</v>
      </c>
      <c r="D3176" s="34" t="n">
        <f aca="false">Activities!M1285</f>
        <v>5</v>
      </c>
      <c r="E3176" s="15" t="s">
        <v>5998</v>
      </c>
    </row>
    <row r="3177" customFormat="false" ht="15" hidden="false" customHeight="false" outlineLevel="0" collapsed="false">
      <c r="A3177" s="15" t="s">
        <v>4746</v>
      </c>
      <c r="B3177" s="15" t="s">
        <v>4747</v>
      </c>
      <c r="C3177" s="15" t="s">
        <v>5999</v>
      </c>
      <c r="D3177" s="34" t="n">
        <f aca="false">Activities!N1285</f>
        <v>2</v>
      </c>
      <c r="E3177" s="15" t="s">
        <v>5998</v>
      </c>
    </row>
    <row r="3178" customFormat="false" ht="15" hidden="false" customHeight="false" outlineLevel="0" collapsed="false">
      <c r="A3178" s="15" t="s">
        <v>4732</v>
      </c>
      <c r="B3178" s="15" t="s">
        <v>4747</v>
      </c>
      <c r="C3178" s="15" t="s">
        <v>5995</v>
      </c>
      <c r="D3178" s="34" t="n">
        <v>0</v>
      </c>
      <c r="E3178" s="15" t="s">
        <v>6012</v>
      </c>
    </row>
    <row r="3179" customFormat="false" ht="15" hidden="false" customHeight="false" outlineLevel="0" collapsed="false">
      <c r="A3179" s="15" t="s">
        <v>4747</v>
      </c>
      <c r="B3179" s="15" t="s">
        <v>4748</v>
      </c>
      <c r="C3179" s="15" t="s">
        <v>5997</v>
      </c>
      <c r="D3179" s="34" t="n">
        <f aca="false">Activities!M1286</f>
        <v>3</v>
      </c>
      <c r="E3179" s="15" t="s">
        <v>5998</v>
      </c>
    </row>
    <row r="3180" customFormat="false" ht="15" hidden="false" customHeight="false" outlineLevel="0" collapsed="false">
      <c r="A3180" s="15" t="s">
        <v>4747</v>
      </c>
      <c r="B3180" s="15" t="s">
        <v>4748</v>
      </c>
      <c r="C3180" s="15" t="s">
        <v>5999</v>
      </c>
      <c r="D3180" s="34" t="n">
        <f aca="false">Activities!N1286</f>
        <v>2</v>
      </c>
      <c r="E3180" s="15" t="s">
        <v>5998</v>
      </c>
    </row>
    <row r="3181" customFormat="false" ht="15" hidden="false" customHeight="false" outlineLevel="0" collapsed="false">
      <c r="A3181" s="15" t="s">
        <v>4735</v>
      </c>
      <c r="B3181" s="15" t="s">
        <v>4748</v>
      </c>
      <c r="C3181" s="15" t="s">
        <v>5995</v>
      </c>
      <c r="D3181" s="34" t="n">
        <f aca="false">-Activities!K1286</f>
        <v>-11</v>
      </c>
      <c r="E3181" s="15" t="s">
        <v>6004</v>
      </c>
    </row>
    <row r="3182" customFormat="false" ht="15" hidden="false" customHeight="false" outlineLevel="0" collapsed="false">
      <c r="A3182" s="15" t="s">
        <v>4748</v>
      </c>
      <c r="B3182" s="15" t="s">
        <v>4750</v>
      </c>
      <c r="C3182" s="15" t="s">
        <v>5997</v>
      </c>
      <c r="D3182" s="34" t="n">
        <f aca="false">Activities!M1287</f>
        <v>10</v>
      </c>
      <c r="E3182" s="15" t="s">
        <v>5998</v>
      </c>
    </row>
    <row r="3183" customFormat="false" ht="15" hidden="false" customHeight="false" outlineLevel="0" collapsed="false">
      <c r="A3183" s="15" t="s">
        <v>4748</v>
      </c>
      <c r="B3183" s="15" t="s">
        <v>4750</v>
      </c>
      <c r="C3183" s="15" t="s">
        <v>5999</v>
      </c>
      <c r="D3183" s="34" t="n">
        <f aca="false">Activities!N1287</f>
        <v>2</v>
      </c>
      <c r="E3183" s="15" t="s">
        <v>5998</v>
      </c>
    </row>
    <row r="3184" customFormat="false" ht="15" hidden="false" customHeight="false" outlineLevel="0" collapsed="false">
      <c r="A3184" s="15" t="s">
        <v>4735</v>
      </c>
      <c r="B3184" s="15" t="s">
        <v>4750</v>
      </c>
      <c r="C3184" s="15" t="s">
        <v>5995</v>
      </c>
      <c r="D3184" s="34" t="n">
        <v>0</v>
      </c>
      <c r="E3184" s="15" t="s">
        <v>6012</v>
      </c>
    </row>
    <row r="3185" customFormat="false" ht="15" hidden="false" customHeight="false" outlineLevel="0" collapsed="false">
      <c r="A3185" s="15" t="s">
        <v>4750</v>
      </c>
      <c r="B3185" s="15" t="s">
        <v>4751</v>
      </c>
      <c r="C3185" s="15" t="s">
        <v>5997</v>
      </c>
      <c r="D3185" s="34" t="n">
        <f aca="false">Activities!M1288</f>
        <v>2</v>
      </c>
      <c r="E3185" s="15" t="s">
        <v>5998</v>
      </c>
    </row>
    <row r="3186" customFormat="false" ht="15" hidden="false" customHeight="false" outlineLevel="0" collapsed="false">
      <c r="A3186" s="15" t="s">
        <v>4750</v>
      </c>
      <c r="B3186" s="15" t="s">
        <v>4751</v>
      </c>
      <c r="C3186" s="15" t="s">
        <v>5999</v>
      </c>
      <c r="D3186" s="34" t="n">
        <f aca="false">Activities!N1288</f>
        <v>2</v>
      </c>
      <c r="E3186" s="15" t="s">
        <v>5998</v>
      </c>
    </row>
    <row r="3187" customFormat="false" ht="15" hidden="false" customHeight="false" outlineLevel="0" collapsed="false">
      <c r="A3187" s="15" t="s">
        <v>4737</v>
      </c>
      <c r="B3187" s="15" t="s">
        <v>4751</v>
      </c>
      <c r="C3187" s="15" t="s">
        <v>5995</v>
      </c>
      <c r="D3187" s="34" t="n">
        <v>0</v>
      </c>
      <c r="E3187" s="15" t="s">
        <v>6012</v>
      </c>
    </row>
    <row r="3188" customFormat="false" ht="15" hidden="false" customHeight="false" outlineLevel="0" collapsed="false">
      <c r="A3188" s="15" t="s">
        <v>4751</v>
      </c>
      <c r="B3188" s="15" t="s">
        <v>4752</v>
      </c>
      <c r="C3188" s="15" t="s">
        <v>5997</v>
      </c>
      <c r="D3188" s="34" t="n">
        <f aca="false">Activities!M1289</f>
        <v>4</v>
      </c>
      <c r="E3188" s="15" t="s">
        <v>5998</v>
      </c>
    </row>
    <row r="3189" customFormat="false" ht="15" hidden="false" customHeight="false" outlineLevel="0" collapsed="false">
      <c r="A3189" s="15" t="s">
        <v>4751</v>
      </c>
      <c r="B3189" s="15" t="s">
        <v>4752</v>
      </c>
      <c r="C3189" s="15" t="s">
        <v>5999</v>
      </c>
      <c r="D3189" s="34" t="n">
        <f aca="false">Activities!N1289</f>
        <v>2</v>
      </c>
      <c r="E3189" s="15" t="s">
        <v>5998</v>
      </c>
    </row>
    <row r="3190" customFormat="false" ht="15" hidden="false" customHeight="false" outlineLevel="0" collapsed="false">
      <c r="A3190" s="15" t="s">
        <v>4738</v>
      </c>
      <c r="B3190" s="15" t="s">
        <v>4752</v>
      </c>
      <c r="C3190" s="15" t="s">
        <v>5995</v>
      </c>
      <c r="D3190" s="34" t="n">
        <v>0</v>
      </c>
      <c r="E3190" s="15" t="s">
        <v>6012</v>
      </c>
    </row>
    <row r="3191" customFormat="false" ht="15" hidden="false" customHeight="false" outlineLevel="0" collapsed="false">
      <c r="A3191" s="15" t="s">
        <v>4752</v>
      </c>
      <c r="B3191" s="15" t="s">
        <v>4753</v>
      </c>
      <c r="C3191" s="15" t="s">
        <v>5997</v>
      </c>
      <c r="D3191" s="34" t="n">
        <f aca="false">Activities!M1290</f>
        <v>3</v>
      </c>
      <c r="E3191" s="15" t="s">
        <v>5998</v>
      </c>
    </row>
    <row r="3192" customFormat="false" ht="15" hidden="false" customHeight="false" outlineLevel="0" collapsed="false">
      <c r="A3192" s="15" t="s">
        <v>4752</v>
      </c>
      <c r="B3192" s="15" t="s">
        <v>4753</v>
      </c>
      <c r="C3192" s="15" t="s">
        <v>5999</v>
      </c>
      <c r="D3192" s="34" t="n">
        <f aca="false">Activities!N1290</f>
        <v>2</v>
      </c>
      <c r="E3192" s="15" t="s">
        <v>5998</v>
      </c>
    </row>
    <row r="3193" customFormat="false" ht="15" hidden="false" customHeight="false" outlineLevel="0" collapsed="false">
      <c r="A3193" s="15" t="s">
        <v>4753</v>
      </c>
      <c r="B3193" s="15" t="s">
        <v>4754</v>
      </c>
      <c r="C3193" s="15" t="s">
        <v>5997</v>
      </c>
      <c r="D3193" s="34" t="n">
        <f aca="false">Activities!M1291</f>
        <v>2</v>
      </c>
      <c r="E3193" s="15" t="s">
        <v>5998</v>
      </c>
    </row>
    <row r="3194" customFormat="false" ht="15" hidden="false" customHeight="false" outlineLevel="0" collapsed="false">
      <c r="A3194" s="15" t="s">
        <v>4753</v>
      </c>
      <c r="B3194" s="15" t="s">
        <v>4754</v>
      </c>
      <c r="C3194" s="15" t="s">
        <v>5999</v>
      </c>
      <c r="D3194" s="34" t="n">
        <f aca="false">Activities!N1291</f>
        <v>2</v>
      </c>
      <c r="E3194" s="15" t="s">
        <v>5998</v>
      </c>
    </row>
    <row r="3195" customFormat="false" ht="15" hidden="false" customHeight="false" outlineLevel="0" collapsed="false">
      <c r="A3195" s="15" t="s">
        <v>4740</v>
      </c>
      <c r="B3195" s="15" t="s">
        <v>4754</v>
      </c>
      <c r="C3195" s="15" t="s">
        <v>5995</v>
      </c>
      <c r="D3195" s="34" t="n">
        <v>0</v>
      </c>
      <c r="E3195" s="15" t="s">
        <v>6012</v>
      </c>
    </row>
    <row r="3196" customFormat="false" ht="15" hidden="false" customHeight="false" outlineLevel="0" collapsed="false">
      <c r="A3196" s="15" t="s">
        <v>4754</v>
      </c>
      <c r="B3196" s="15" t="s">
        <v>4755</v>
      </c>
      <c r="C3196" s="15" t="s">
        <v>5997</v>
      </c>
      <c r="D3196" s="34" t="n">
        <f aca="false">Activities!M1292</f>
        <v>1</v>
      </c>
      <c r="E3196" s="15" t="s">
        <v>5998</v>
      </c>
    </row>
    <row r="3197" customFormat="false" ht="15" hidden="false" customHeight="false" outlineLevel="0" collapsed="false">
      <c r="A3197" s="15" t="s">
        <v>4754</v>
      </c>
      <c r="B3197" s="15" t="s">
        <v>4755</v>
      </c>
      <c r="C3197" s="15" t="s">
        <v>5999</v>
      </c>
      <c r="D3197" s="34" t="n">
        <f aca="false">Activities!N1292</f>
        <v>2</v>
      </c>
      <c r="E3197" s="15" t="s">
        <v>5998</v>
      </c>
    </row>
    <row r="3198" customFormat="false" ht="15" hidden="false" customHeight="false" outlineLevel="0" collapsed="false">
      <c r="A3198" s="15" t="s">
        <v>4756</v>
      </c>
      <c r="B3198" s="15" t="s">
        <v>4758</v>
      </c>
      <c r="C3198" s="15" t="s">
        <v>5995</v>
      </c>
      <c r="D3198" s="34" t="n">
        <v>0</v>
      </c>
      <c r="E3198" s="15" t="s">
        <v>5996</v>
      </c>
    </row>
    <row r="3199" customFormat="false" ht="15" hidden="false" customHeight="false" outlineLevel="0" collapsed="false">
      <c r="A3199" s="15" t="s">
        <v>4746</v>
      </c>
      <c r="B3199" s="15" t="s">
        <v>4758</v>
      </c>
      <c r="C3199" s="15" t="s">
        <v>5997</v>
      </c>
      <c r="D3199" s="34" t="n">
        <v>0</v>
      </c>
      <c r="E3199" s="15" t="s">
        <v>6002</v>
      </c>
    </row>
    <row r="3200" customFormat="false" ht="15" hidden="false" customHeight="false" outlineLevel="0" collapsed="false">
      <c r="A3200" s="15" t="s">
        <v>4758</v>
      </c>
      <c r="B3200" s="15" t="s">
        <v>4760</v>
      </c>
      <c r="C3200" s="15" t="s">
        <v>5997</v>
      </c>
      <c r="D3200" s="34" t="n">
        <f aca="false">Activities!M1295</f>
        <v>1</v>
      </c>
      <c r="E3200" s="15" t="s">
        <v>5998</v>
      </c>
    </row>
    <row r="3201" customFormat="false" ht="15" hidden="false" customHeight="false" outlineLevel="0" collapsed="false">
      <c r="A3201" s="15" t="s">
        <v>4758</v>
      </c>
      <c r="B3201" s="15" t="s">
        <v>4760</v>
      </c>
      <c r="C3201" s="15" t="s">
        <v>5999</v>
      </c>
      <c r="D3201" s="34" t="n">
        <f aca="false">Activities!N1295</f>
        <v>2</v>
      </c>
      <c r="E3201" s="15" t="s">
        <v>5998</v>
      </c>
    </row>
    <row r="3202" customFormat="false" ht="15" hidden="false" customHeight="false" outlineLevel="0" collapsed="false">
      <c r="A3202" s="15" t="s">
        <v>4746</v>
      </c>
      <c r="B3202" s="15" t="s">
        <v>4760</v>
      </c>
      <c r="C3202" s="15" t="s">
        <v>5995</v>
      </c>
      <c r="D3202" s="34" t="n">
        <v>0</v>
      </c>
      <c r="E3202" s="15" t="s">
        <v>6012</v>
      </c>
    </row>
    <row r="3203" customFormat="false" ht="15" hidden="false" customHeight="false" outlineLevel="0" collapsed="false">
      <c r="A3203" s="15" t="s">
        <v>4760</v>
      </c>
      <c r="B3203" s="15" t="s">
        <v>4761</v>
      </c>
      <c r="C3203" s="15" t="s">
        <v>5997</v>
      </c>
      <c r="D3203" s="34" t="n">
        <f aca="false">Activities!M1296</f>
        <v>3</v>
      </c>
      <c r="E3203" s="15" t="s">
        <v>5998</v>
      </c>
    </row>
    <row r="3204" customFormat="false" ht="15" hidden="false" customHeight="false" outlineLevel="0" collapsed="false">
      <c r="A3204" s="15" t="s">
        <v>4760</v>
      </c>
      <c r="B3204" s="15" t="s">
        <v>4761</v>
      </c>
      <c r="C3204" s="15" t="s">
        <v>5999</v>
      </c>
      <c r="D3204" s="34" t="n">
        <f aca="false">Activities!N1296</f>
        <v>2</v>
      </c>
      <c r="E3204" s="15" t="s">
        <v>5998</v>
      </c>
    </row>
    <row r="3205" customFormat="false" ht="15" hidden="false" customHeight="false" outlineLevel="0" collapsed="false">
      <c r="A3205" s="15" t="s">
        <v>4747</v>
      </c>
      <c r="B3205" s="15" t="s">
        <v>4761</v>
      </c>
      <c r="C3205" s="15" t="s">
        <v>5995</v>
      </c>
      <c r="D3205" s="34" t="n">
        <v>0</v>
      </c>
      <c r="E3205" s="15" t="s">
        <v>6012</v>
      </c>
    </row>
    <row r="3206" customFormat="false" ht="15" hidden="false" customHeight="false" outlineLevel="0" collapsed="false">
      <c r="A3206" s="15" t="s">
        <v>4761</v>
      </c>
      <c r="B3206" s="15" t="s">
        <v>4762</v>
      </c>
      <c r="C3206" s="15" t="s">
        <v>5997</v>
      </c>
      <c r="D3206" s="34" t="n">
        <f aca="false">Activities!M1297</f>
        <v>2</v>
      </c>
      <c r="E3206" s="15" t="s">
        <v>5998</v>
      </c>
    </row>
    <row r="3207" customFormat="false" ht="15" hidden="false" customHeight="false" outlineLevel="0" collapsed="false">
      <c r="A3207" s="15" t="s">
        <v>4761</v>
      </c>
      <c r="B3207" s="15" t="s">
        <v>4762</v>
      </c>
      <c r="C3207" s="15" t="s">
        <v>5999</v>
      </c>
      <c r="D3207" s="34" t="n">
        <f aca="false">Activities!N1297</f>
        <v>2</v>
      </c>
      <c r="E3207" s="15" t="s">
        <v>5998</v>
      </c>
    </row>
    <row r="3208" customFormat="false" ht="15" hidden="false" customHeight="false" outlineLevel="0" collapsed="false">
      <c r="A3208" s="15" t="s">
        <v>4750</v>
      </c>
      <c r="B3208" s="15" t="s">
        <v>4762</v>
      </c>
      <c r="C3208" s="15" t="s">
        <v>5995</v>
      </c>
      <c r="D3208" s="34" t="n">
        <f aca="false">-Activities!K1297</f>
        <v>-11</v>
      </c>
      <c r="E3208" s="15" t="s">
        <v>6004</v>
      </c>
    </row>
    <row r="3209" customFormat="false" ht="15" hidden="false" customHeight="false" outlineLevel="0" collapsed="false">
      <c r="A3209" s="15" t="s">
        <v>4762</v>
      </c>
      <c r="B3209" s="15" t="s">
        <v>4764</v>
      </c>
      <c r="C3209" s="15" t="s">
        <v>5997</v>
      </c>
      <c r="D3209" s="34" t="n">
        <f aca="false">Activities!M1298</f>
        <v>10</v>
      </c>
      <c r="E3209" s="15" t="s">
        <v>5998</v>
      </c>
    </row>
    <row r="3210" customFormat="false" ht="15" hidden="false" customHeight="false" outlineLevel="0" collapsed="false">
      <c r="A3210" s="15" t="s">
        <v>4762</v>
      </c>
      <c r="B3210" s="15" t="s">
        <v>4764</v>
      </c>
      <c r="C3210" s="15" t="s">
        <v>5999</v>
      </c>
      <c r="D3210" s="34" t="n">
        <f aca="false">Activities!N1298</f>
        <v>2</v>
      </c>
      <c r="E3210" s="15" t="s">
        <v>5998</v>
      </c>
    </row>
    <row r="3211" customFormat="false" ht="15" hidden="false" customHeight="false" outlineLevel="0" collapsed="false">
      <c r="A3211" s="15" t="s">
        <v>4750</v>
      </c>
      <c r="B3211" s="15" t="s">
        <v>4764</v>
      </c>
      <c r="C3211" s="15" t="s">
        <v>5995</v>
      </c>
      <c r="D3211" s="34" t="n">
        <v>0</v>
      </c>
      <c r="E3211" s="15" t="s">
        <v>6012</v>
      </c>
    </row>
    <row r="3212" customFormat="false" ht="15" hidden="false" customHeight="false" outlineLevel="0" collapsed="false">
      <c r="A3212" s="15" t="s">
        <v>4764</v>
      </c>
      <c r="B3212" s="15" t="s">
        <v>4765</v>
      </c>
      <c r="C3212" s="15" t="s">
        <v>5997</v>
      </c>
      <c r="D3212" s="34" t="n">
        <f aca="false">Activities!M1299</f>
        <v>2</v>
      </c>
      <c r="E3212" s="15" t="s">
        <v>5998</v>
      </c>
    </row>
    <row r="3213" customFormat="false" ht="15" hidden="false" customHeight="false" outlineLevel="0" collapsed="false">
      <c r="A3213" s="15" t="s">
        <v>4764</v>
      </c>
      <c r="B3213" s="15" t="s">
        <v>4765</v>
      </c>
      <c r="C3213" s="15" t="s">
        <v>5999</v>
      </c>
      <c r="D3213" s="34" t="n">
        <f aca="false">Activities!N1299</f>
        <v>2</v>
      </c>
      <c r="E3213" s="15" t="s">
        <v>5998</v>
      </c>
    </row>
    <row r="3214" customFormat="false" ht="15" hidden="false" customHeight="false" outlineLevel="0" collapsed="false">
      <c r="A3214" s="15" t="s">
        <v>4751</v>
      </c>
      <c r="B3214" s="15" t="s">
        <v>4765</v>
      </c>
      <c r="C3214" s="15" t="s">
        <v>5995</v>
      </c>
      <c r="D3214" s="34" t="n">
        <v>0</v>
      </c>
      <c r="E3214" s="15" t="s">
        <v>6012</v>
      </c>
    </row>
    <row r="3215" customFormat="false" ht="15" hidden="false" customHeight="false" outlineLevel="0" collapsed="false">
      <c r="A3215" s="15" t="s">
        <v>4765</v>
      </c>
      <c r="B3215" s="15" t="s">
        <v>4766</v>
      </c>
      <c r="C3215" s="15" t="s">
        <v>5997</v>
      </c>
      <c r="D3215" s="34" t="n">
        <f aca="false">Activities!M1300</f>
        <v>3</v>
      </c>
      <c r="E3215" s="15" t="s">
        <v>5998</v>
      </c>
    </row>
    <row r="3216" customFormat="false" ht="15" hidden="false" customHeight="false" outlineLevel="0" collapsed="false">
      <c r="A3216" s="15" t="s">
        <v>4765</v>
      </c>
      <c r="B3216" s="15" t="s">
        <v>4766</v>
      </c>
      <c r="C3216" s="15" t="s">
        <v>5999</v>
      </c>
      <c r="D3216" s="34" t="n">
        <f aca="false">Activities!N1300</f>
        <v>2</v>
      </c>
      <c r="E3216" s="15" t="s">
        <v>5998</v>
      </c>
    </row>
    <row r="3217" customFormat="false" ht="15" hidden="false" customHeight="false" outlineLevel="0" collapsed="false">
      <c r="A3217" s="15" t="s">
        <v>4752</v>
      </c>
      <c r="B3217" s="15" t="s">
        <v>4766</v>
      </c>
      <c r="C3217" s="15" t="s">
        <v>5995</v>
      </c>
      <c r="D3217" s="34" t="n">
        <v>0</v>
      </c>
      <c r="E3217" s="15" t="s">
        <v>6012</v>
      </c>
    </row>
    <row r="3218" customFormat="false" ht="15" hidden="false" customHeight="false" outlineLevel="0" collapsed="false">
      <c r="A3218" s="15" t="s">
        <v>4766</v>
      </c>
      <c r="B3218" s="15" t="s">
        <v>4767</v>
      </c>
      <c r="C3218" s="15" t="s">
        <v>5997</v>
      </c>
      <c r="D3218" s="34" t="n">
        <f aca="false">Activities!M1301</f>
        <v>2</v>
      </c>
      <c r="E3218" s="15" t="s">
        <v>5998</v>
      </c>
    </row>
    <row r="3219" customFormat="false" ht="15" hidden="false" customHeight="false" outlineLevel="0" collapsed="false">
      <c r="A3219" s="15" t="s">
        <v>4766</v>
      </c>
      <c r="B3219" s="15" t="s">
        <v>4767</v>
      </c>
      <c r="C3219" s="15" t="s">
        <v>5999</v>
      </c>
      <c r="D3219" s="34" t="n">
        <f aca="false">Activities!N1301</f>
        <v>2</v>
      </c>
      <c r="E3219" s="15" t="s">
        <v>5998</v>
      </c>
    </row>
    <row r="3220" customFormat="false" ht="15" hidden="false" customHeight="false" outlineLevel="0" collapsed="false">
      <c r="A3220" s="15" t="s">
        <v>4767</v>
      </c>
      <c r="B3220" s="15" t="s">
        <v>4768</v>
      </c>
      <c r="C3220" s="15" t="s">
        <v>5997</v>
      </c>
      <c r="D3220" s="34" t="n">
        <f aca="false">Activities!M1302</f>
        <v>2</v>
      </c>
      <c r="E3220" s="15" t="s">
        <v>5998</v>
      </c>
    </row>
    <row r="3221" customFormat="false" ht="15" hidden="false" customHeight="false" outlineLevel="0" collapsed="false">
      <c r="A3221" s="15" t="s">
        <v>4767</v>
      </c>
      <c r="B3221" s="15" t="s">
        <v>4768</v>
      </c>
      <c r="C3221" s="15" t="s">
        <v>5999</v>
      </c>
      <c r="D3221" s="34" t="n">
        <f aca="false">Activities!N1302</f>
        <v>2</v>
      </c>
      <c r="E3221" s="15" t="s">
        <v>5998</v>
      </c>
    </row>
    <row r="3222" customFormat="false" ht="15" hidden="false" customHeight="false" outlineLevel="0" collapsed="false">
      <c r="A3222" s="15" t="s">
        <v>4754</v>
      </c>
      <c r="B3222" s="15" t="s">
        <v>4768</v>
      </c>
      <c r="C3222" s="15" t="s">
        <v>5995</v>
      </c>
      <c r="D3222" s="34" t="n">
        <v>0</v>
      </c>
      <c r="E3222" s="15" t="s">
        <v>6012</v>
      </c>
    </row>
    <row r="3223" customFormat="false" ht="15" hidden="false" customHeight="false" outlineLevel="0" collapsed="false">
      <c r="A3223" s="15" t="s">
        <v>4768</v>
      </c>
      <c r="B3223" s="15" t="s">
        <v>4769</v>
      </c>
      <c r="C3223" s="15" t="s">
        <v>5997</v>
      </c>
      <c r="D3223" s="34" t="n">
        <f aca="false">Activities!M1303</f>
        <v>1</v>
      </c>
      <c r="E3223" s="15" t="s">
        <v>5998</v>
      </c>
    </row>
    <row r="3224" customFormat="false" ht="15" hidden="false" customHeight="false" outlineLevel="0" collapsed="false">
      <c r="A3224" s="15" t="s">
        <v>4768</v>
      </c>
      <c r="B3224" s="15" t="s">
        <v>4769</v>
      </c>
      <c r="C3224" s="15" t="s">
        <v>5999</v>
      </c>
      <c r="D3224" s="34" t="n">
        <f aca="false">Activities!N1303</f>
        <v>2</v>
      </c>
      <c r="E3224" s="15" t="s">
        <v>5998</v>
      </c>
    </row>
    <row r="3225" customFormat="false" ht="15" hidden="false" customHeight="false" outlineLevel="0" collapsed="false">
      <c r="A3225" s="15" t="s">
        <v>4770</v>
      </c>
      <c r="B3225" s="15" t="s">
        <v>4772</v>
      </c>
      <c r="C3225" s="15" t="s">
        <v>5995</v>
      </c>
      <c r="D3225" s="34" t="n">
        <v>0</v>
      </c>
      <c r="E3225" s="15" t="s">
        <v>5996</v>
      </c>
    </row>
    <row r="3226" customFormat="false" ht="15" hidden="false" customHeight="false" outlineLevel="0" collapsed="false">
      <c r="A3226" s="15" t="s">
        <v>4760</v>
      </c>
      <c r="B3226" s="15" t="s">
        <v>4772</v>
      </c>
      <c r="C3226" s="15" t="s">
        <v>5997</v>
      </c>
      <c r="D3226" s="34" t="n">
        <v>0</v>
      </c>
      <c r="E3226" s="15" t="s">
        <v>6002</v>
      </c>
    </row>
    <row r="3227" customFormat="false" ht="15" hidden="false" customHeight="false" outlineLevel="0" collapsed="false">
      <c r="A3227" s="15" t="s">
        <v>4772</v>
      </c>
      <c r="B3227" s="15" t="s">
        <v>4774</v>
      </c>
      <c r="C3227" s="15" t="s">
        <v>5997</v>
      </c>
      <c r="D3227" s="34" t="n">
        <f aca="false">Activities!M1306</f>
        <v>1</v>
      </c>
      <c r="E3227" s="15" t="s">
        <v>5998</v>
      </c>
    </row>
    <row r="3228" customFormat="false" ht="15" hidden="false" customHeight="false" outlineLevel="0" collapsed="false">
      <c r="A3228" s="15" t="s">
        <v>4772</v>
      </c>
      <c r="B3228" s="15" t="s">
        <v>4774</v>
      </c>
      <c r="C3228" s="15" t="s">
        <v>5999</v>
      </c>
      <c r="D3228" s="34" t="n">
        <f aca="false">Activities!N1306</f>
        <v>2</v>
      </c>
      <c r="E3228" s="15" t="s">
        <v>5998</v>
      </c>
    </row>
    <row r="3229" customFormat="false" ht="15" hidden="false" customHeight="false" outlineLevel="0" collapsed="false">
      <c r="A3229" s="15" t="s">
        <v>4760</v>
      </c>
      <c r="B3229" s="15" t="s">
        <v>4774</v>
      </c>
      <c r="C3229" s="15" t="s">
        <v>5995</v>
      </c>
      <c r="D3229" s="34" t="n">
        <v>0</v>
      </c>
      <c r="E3229" s="15" t="s">
        <v>6012</v>
      </c>
    </row>
    <row r="3230" customFormat="false" ht="15" hidden="false" customHeight="false" outlineLevel="0" collapsed="false">
      <c r="A3230" s="15" t="s">
        <v>4774</v>
      </c>
      <c r="B3230" s="15" t="s">
        <v>4775</v>
      </c>
      <c r="C3230" s="15" t="s">
        <v>5997</v>
      </c>
      <c r="D3230" s="34" t="n">
        <f aca="false">Activities!M1307</f>
        <v>4</v>
      </c>
      <c r="E3230" s="15" t="s">
        <v>5998</v>
      </c>
    </row>
    <row r="3231" customFormat="false" ht="15" hidden="false" customHeight="false" outlineLevel="0" collapsed="false">
      <c r="A3231" s="15" t="s">
        <v>4774</v>
      </c>
      <c r="B3231" s="15" t="s">
        <v>4775</v>
      </c>
      <c r="C3231" s="15" t="s">
        <v>5999</v>
      </c>
      <c r="D3231" s="34" t="n">
        <f aca="false">Activities!N1307</f>
        <v>2</v>
      </c>
      <c r="E3231" s="15" t="s">
        <v>5998</v>
      </c>
    </row>
    <row r="3232" customFormat="false" ht="15" hidden="false" customHeight="false" outlineLevel="0" collapsed="false">
      <c r="A3232" s="15" t="s">
        <v>4761</v>
      </c>
      <c r="B3232" s="15" t="s">
        <v>4775</v>
      </c>
      <c r="C3232" s="15" t="s">
        <v>5995</v>
      </c>
      <c r="D3232" s="34" t="n">
        <v>0</v>
      </c>
      <c r="E3232" s="15" t="s">
        <v>6012</v>
      </c>
    </row>
    <row r="3233" customFormat="false" ht="15" hidden="false" customHeight="false" outlineLevel="0" collapsed="false">
      <c r="A3233" s="15" t="s">
        <v>4775</v>
      </c>
      <c r="B3233" s="15" t="s">
        <v>4776</v>
      </c>
      <c r="C3233" s="15" t="s">
        <v>5997</v>
      </c>
      <c r="D3233" s="34" t="n">
        <f aca="false">Activities!M1308</f>
        <v>3</v>
      </c>
      <c r="E3233" s="15" t="s">
        <v>5998</v>
      </c>
    </row>
    <row r="3234" customFormat="false" ht="15" hidden="false" customHeight="false" outlineLevel="0" collapsed="false">
      <c r="A3234" s="15" t="s">
        <v>4775</v>
      </c>
      <c r="B3234" s="15" t="s">
        <v>4776</v>
      </c>
      <c r="C3234" s="15" t="s">
        <v>5999</v>
      </c>
      <c r="D3234" s="34" t="n">
        <f aca="false">Activities!N1308</f>
        <v>2</v>
      </c>
      <c r="E3234" s="15" t="s">
        <v>5998</v>
      </c>
    </row>
    <row r="3235" customFormat="false" ht="15" hidden="false" customHeight="false" outlineLevel="0" collapsed="false">
      <c r="A3235" s="15" t="s">
        <v>4764</v>
      </c>
      <c r="B3235" s="15" t="s">
        <v>4776</v>
      </c>
      <c r="C3235" s="15" t="s">
        <v>5995</v>
      </c>
      <c r="D3235" s="34" t="n">
        <f aca="false">-Activities!K1308</f>
        <v>-11</v>
      </c>
      <c r="E3235" s="15" t="s">
        <v>6004</v>
      </c>
    </row>
    <row r="3236" customFormat="false" ht="15" hidden="false" customHeight="false" outlineLevel="0" collapsed="false">
      <c r="A3236" s="15" t="s">
        <v>4776</v>
      </c>
      <c r="B3236" s="15" t="s">
        <v>4778</v>
      </c>
      <c r="C3236" s="15" t="s">
        <v>5997</v>
      </c>
      <c r="D3236" s="34" t="n">
        <f aca="false">Activities!M1309</f>
        <v>10</v>
      </c>
      <c r="E3236" s="15" t="s">
        <v>5998</v>
      </c>
    </row>
    <row r="3237" customFormat="false" ht="15" hidden="false" customHeight="false" outlineLevel="0" collapsed="false">
      <c r="A3237" s="15" t="s">
        <v>4776</v>
      </c>
      <c r="B3237" s="15" t="s">
        <v>4778</v>
      </c>
      <c r="C3237" s="15" t="s">
        <v>5999</v>
      </c>
      <c r="D3237" s="34" t="n">
        <f aca="false">Activities!N1309</f>
        <v>2</v>
      </c>
      <c r="E3237" s="15" t="s">
        <v>5998</v>
      </c>
    </row>
    <row r="3238" customFormat="false" ht="15" hidden="false" customHeight="false" outlineLevel="0" collapsed="false">
      <c r="A3238" s="15" t="s">
        <v>4764</v>
      </c>
      <c r="B3238" s="15" t="s">
        <v>4778</v>
      </c>
      <c r="C3238" s="15" t="s">
        <v>5995</v>
      </c>
      <c r="D3238" s="34" t="n">
        <v>0</v>
      </c>
      <c r="E3238" s="15" t="s">
        <v>6012</v>
      </c>
    </row>
    <row r="3239" customFormat="false" ht="15" hidden="false" customHeight="false" outlineLevel="0" collapsed="false">
      <c r="A3239" s="15" t="s">
        <v>4778</v>
      </c>
      <c r="B3239" s="15" t="s">
        <v>4779</v>
      </c>
      <c r="C3239" s="15" t="s">
        <v>5997</v>
      </c>
      <c r="D3239" s="34" t="n">
        <f aca="false">Activities!M1310</f>
        <v>2</v>
      </c>
      <c r="E3239" s="15" t="s">
        <v>5998</v>
      </c>
    </row>
    <row r="3240" customFormat="false" ht="15" hidden="false" customHeight="false" outlineLevel="0" collapsed="false">
      <c r="A3240" s="15" t="s">
        <v>4778</v>
      </c>
      <c r="B3240" s="15" t="s">
        <v>4779</v>
      </c>
      <c r="C3240" s="15" t="s">
        <v>5999</v>
      </c>
      <c r="D3240" s="34" t="n">
        <f aca="false">Activities!N1310</f>
        <v>2</v>
      </c>
      <c r="E3240" s="15" t="s">
        <v>5998</v>
      </c>
    </row>
    <row r="3241" customFormat="false" ht="15" hidden="false" customHeight="false" outlineLevel="0" collapsed="false">
      <c r="A3241" s="15" t="s">
        <v>4765</v>
      </c>
      <c r="B3241" s="15" t="s">
        <v>4779</v>
      </c>
      <c r="C3241" s="15" t="s">
        <v>5995</v>
      </c>
      <c r="D3241" s="34" t="n">
        <v>0</v>
      </c>
      <c r="E3241" s="15" t="s">
        <v>6012</v>
      </c>
    </row>
    <row r="3242" customFormat="false" ht="15" hidden="false" customHeight="false" outlineLevel="0" collapsed="false">
      <c r="A3242" s="15" t="s">
        <v>4779</v>
      </c>
      <c r="B3242" s="15" t="s">
        <v>4780</v>
      </c>
      <c r="C3242" s="15" t="s">
        <v>5997</v>
      </c>
      <c r="D3242" s="34" t="n">
        <f aca="false">Activities!M1311</f>
        <v>4</v>
      </c>
      <c r="E3242" s="15" t="s">
        <v>5998</v>
      </c>
    </row>
    <row r="3243" customFormat="false" ht="15" hidden="false" customHeight="false" outlineLevel="0" collapsed="false">
      <c r="A3243" s="15" t="s">
        <v>4779</v>
      </c>
      <c r="B3243" s="15" t="s">
        <v>4780</v>
      </c>
      <c r="C3243" s="15" t="s">
        <v>5999</v>
      </c>
      <c r="D3243" s="34" t="n">
        <f aca="false">Activities!N1311</f>
        <v>2</v>
      </c>
      <c r="E3243" s="15" t="s">
        <v>5998</v>
      </c>
    </row>
    <row r="3244" customFormat="false" ht="15" hidden="false" customHeight="false" outlineLevel="0" collapsed="false">
      <c r="A3244" s="15" t="s">
        <v>4766</v>
      </c>
      <c r="B3244" s="15" t="s">
        <v>4780</v>
      </c>
      <c r="C3244" s="15" t="s">
        <v>5995</v>
      </c>
      <c r="D3244" s="34" t="n">
        <v>0</v>
      </c>
      <c r="E3244" s="15" t="s">
        <v>6012</v>
      </c>
    </row>
    <row r="3245" customFormat="false" ht="15" hidden="false" customHeight="false" outlineLevel="0" collapsed="false">
      <c r="A3245" s="15" t="s">
        <v>4780</v>
      </c>
      <c r="B3245" s="15" t="s">
        <v>4781</v>
      </c>
      <c r="C3245" s="15" t="s">
        <v>5997</v>
      </c>
      <c r="D3245" s="34" t="n">
        <f aca="false">Activities!M1312</f>
        <v>2</v>
      </c>
      <c r="E3245" s="15" t="s">
        <v>5998</v>
      </c>
    </row>
    <row r="3246" customFormat="false" ht="15" hidden="false" customHeight="false" outlineLevel="0" collapsed="false">
      <c r="A3246" s="15" t="s">
        <v>4780</v>
      </c>
      <c r="B3246" s="15" t="s">
        <v>4781</v>
      </c>
      <c r="C3246" s="15" t="s">
        <v>5999</v>
      </c>
      <c r="D3246" s="34" t="n">
        <f aca="false">Activities!N1312</f>
        <v>2</v>
      </c>
      <c r="E3246" s="15" t="s">
        <v>5998</v>
      </c>
    </row>
    <row r="3247" customFormat="false" ht="15" hidden="false" customHeight="false" outlineLevel="0" collapsed="false">
      <c r="A3247" s="15" t="s">
        <v>4781</v>
      </c>
      <c r="B3247" s="15" t="s">
        <v>4782</v>
      </c>
      <c r="C3247" s="15" t="s">
        <v>5997</v>
      </c>
      <c r="D3247" s="34" t="n">
        <f aca="false">Activities!M1313</f>
        <v>2</v>
      </c>
      <c r="E3247" s="15" t="s">
        <v>5998</v>
      </c>
    </row>
    <row r="3248" customFormat="false" ht="15" hidden="false" customHeight="false" outlineLevel="0" collapsed="false">
      <c r="A3248" s="15" t="s">
        <v>4781</v>
      </c>
      <c r="B3248" s="15" t="s">
        <v>4782</v>
      </c>
      <c r="C3248" s="15" t="s">
        <v>5999</v>
      </c>
      <c r="D3248" s="34" t="n">
        <f aca="false">Activities!N1313</f>
        <v>2</v>
      </c>
      <c r="E3248" s="15" t="s">
        <v>5998</v>
      </c>
    </row>
    <row r="3249" customFormat="false" ht="15" hidden="false" customHeight="false" outlineLevel="0" collapsed="false">
      <c r="A3249" s="15" t="s">
        <v>4768</v>
      </c>
      <c r="B3249" s="15" t="s">
        <v>4782</v>
      </c>
      <c r="C3249" s="15" t="s">
        <v>5995</v>
      </c>
      <c r="D3249" s="34" t="n">
        <v>0</v>
      </c>
      <c r="E3249" s="15" t="s">
        <v>6012</v>
      </c>
    </row>
    <row r="3250" customFormat="false" ht="15" hidden="false" customHeight="false" outlineLevel="0" collapsed="false">
      <c r="A3250" s="15" t="s">
        <v>4782</v>
      </c>
      <c r="B3250" s="15" t="s">
        <v>4783</v>
      </c>
      <c r="C3250" s="15" t="s">
        <v>5997</v>
      </c>
      <c r="D3250" s="34" t="n">
        <f aca="false">Activities!M1314</f>
        <v>2</v>
      </c>
      <c r="E3250" s="15" t="s">
        <v>5998</v>
      </c>
    </row>
    <row r="3251" customFormat="false" ht="15" hidden="false" customHeight="false" outlineLevel="0" collapsed="false">
      <c r="A3251" s="15" t="s">
        <v>4782</v>
      </c>
      <c r="B3251" s="15" t="s">
        <v>4783</v>
      </c>
      <c r="C3251" s="15" t="s">
        <v>5999</v>
      </c>
      <c r="D3251" s="34" t="n">
        <f aca="false">Activities!N1314</f>
        <v>2</v>
      </c>
      <c r="E3251" s="15" t="s">
        <v>5998</v>
      </c>
    </row>
    <row r="3252" customFormat="false" ht="15" hidden="false" customHeight="false" outlineLevel="0" collapsed="false">
      <c r="A3252" s="15" t="s">
        <v>4784</v>
      </c>
      <c r="B3252" s="15" t="s">
        <v>4786</v>
      </c>
      <c r="C3252" s="15" t="s">
        <v>5995</v>
      </c>
      <c r="D3252" s="34" t="n">
        <v>0</v>
      </c>
      <c r="E3252" s="15" t="s">
        <v>5996</v>
      </c>
    </row>
    <row r="3253" customFormat="false" ht="15" hidden="false" customHeight="false" outlineLevel="0" collapsed="false">
      <c r="A3253" s="15" t="s">
        <v>4774</v>
      </c>
      <c r="B3253" s="15" t="s">
        <v>4786</v>
      </c>
      <c r="C3253" s="15" t="s">
        <v>5997</v>
      </c>
      <c r="D3253" s="34" t="n">
        <v>0</v>
      </c>
      <c r="E3253" s="15" t="s">
        <v>6002</v>
      </c>
    </row>
    <row r="3254" customFormat="false" ht="15" hidden="false" customHeight="false" outlineLevel="0" collapsed="false">
      <c r="A3254" s="15" t="s">
        <v>4786</v>
      </c>
      <c r="B3254" s="15" t="s">
        <v>4788</v>
      </c>
      <c r="C3254" s="15" t="s">
        <v>5997</v>
      </c>
      <c r="D3254" s="34" t="n">
        <f aca="false">Activities!M1317</f>
        <v>1</v>
      </c>
      <c r="E3254" s="15" t="s">
        <v>5998</v>
      </c>
    </row>
    <row r="3255" customFormat="false" ht="15" hidden="false" customHeight="false" outlineLevel="0" collapsed="false">
      <c r="A3255" s="15" t="s">
        <v>4786</v>
      </c>
      <c r="B3255" s="15" t="s">
        <v>4788</v>
      </c>
      <c r="C3255" s="15" t="s">
        <v>5999</v>
      </c>
      <c r="D3255" s="34" t="n">
        <f aca="false">Activities!N1317</f>
        <v>2</v>
      </c>
      <c r="E3255" s="15" t="s">
        <v>5998</v>
      </c>
    </row>
    <row r="3256" customFormat="false" ht="15" hidden="false" customHeight="false" outlineLevel="0" collapsed="false">
      <c r="A3256" s="15" t="s">
        <v>4774</v>
      </c>
      <c r="B3256" s="15" t="s">
        <v>4788</v>
      </c>
      <c r="C3256" s="15" t="s">
        <v>5995</v>
      </c>
      <c r="D3256" s="34" t="n">
        <v>0</v>
      </c>
      <c r="E3256" s="15" t="s">
        <v>6012</v>
      </c>
    </row>
    <row r="3257" customFormat="false" ht="15" hidden="false" customHeight="false" outlineLevel="0" collapsed="false">
      <c r="A3257" s="15" t="s">
        <v>4788</v>
      </c>
      <c r="B3257" s="15" t="s">
        <v>4789</v>
      </c>
      <c r="C3257" s="15" t="s">
        <v>5997</v>
      </c>
      <c r="D3257" s="34" t="n">
        <f aca="false">Activities!M1318</f>
        <v>3</v>
      </c>
      <c r="E3257" s="15" t="s">
        <v>5998</v>
      </c>
    </row>
    <row r="3258" customFormat="false" ht="15" hidden="false" customHeight="false" outlineLevel="0" collapsed="false">
      <c r="A3258" s="15" t="s">
        <v>4788</v>
      </c>
      <c r="B3258" s="15" t="s">
        <v>4789</v>
      </c>
      <c r="C3258" s="15" t="s">
        <v>5999</v>
      </c>
      <c r="D3258" s="34" t="n">
        <f aca="false">Activities!N1318</f>
        <v>2</v>
      </c>
      <c r="E3258" s="15" t="s">
        <v>5998</v>
      </c>
    </row>
    <row r="3259" customFormat="false" ht="15" hidden="false" customHeight="false" outlineLevel="0" collapsed="false">
      <c r="A3259" s="15" t="s">
        <v>4775</v>
      </c>
      <c r="B3259" s="15" t="s">
        <v>4789</v>
      </c>
      <c r="C3259" s="15" t="s">
        <v>5995</v>
      </c>
      <c r="D3259" s="34" t="n">
        <v>0</v>
      </c>
      <c r="E3259" s="15" t="s">
        <v>6012</v>
      </c>
    </row>
    <row r="3260" customFormat="false" ht="15" hidden="false" customHeight="false" outlineLevel="0" collapsed="false">
      <c r="A3260" s="15" t="s">
        <v>4789</v>
      </c>
      <c r="B3260" s="15" t="s">
        <v>4790</v>
      </c>
      <c r="C3260" s="15" t="s">
        <v>5997</v>
      </c>
      <c r="D3260" s="34" t="n">
        <f aca="false">Activities!M1319</f>
        <v>2</v>
      </c>
      <c r="E3260" s="15" t="s">
        <v>5998</v>
      </c>
    </row>
    <row r="3261" customFormat="false" ht="15" hidden="false" customHeight="false" outlineLevel="0" collapsed="false">
      <c r="A3261" s="15" t="s">
        <v>4789</v>
      </c>
      <c r="B3261" s="15" t="s">
        <v>4790</v>
      </c>
      <c r="C3261" s="15" t="s">
        <v>5999</v>
      </c>
      <c r="D3261" s="34" t="n">
        <f aca="false">Activities!N1319</f>
        <v>2</v>
      </c>
      <c r="E3261" s="15" t="s">
        <v>5998</v>
      </c>
    </row>
    <row r="3262" customFormat="false" ht="15" hidden="false" customHeight="false" outlineLevel="0" collapsed="false">
      <c r="A3262" s="15" t="s">
        <v>4778</v>
      </c>
      <c r="B3262" s="15" t="s">
        <v>4790</v>
      </c>
      <c r="C3262" s="15" t="s">
        <v>5995</v>
      </c>
      <c r="D3262" s="34" t="n">
        <f aca="false">-Activities!K1319</f>
        <v>-11</v>
      </c>
      <c r="E3262" s="15" t="s">
        <v>6004</v>
      </c>
    </row>
    <row r="3263" customFormat="false" ht="15" hidden="false" customHeight="false" outlineLevel="0" collapsed="false">
      <c r="A3263" s="15" t="s">
        <v>4790</v>
      </c>
      <c r="B3263" s="15" t="s">
        <v>4792</v>
      </c>
      <c r="C3263" s="15" t="s">
        <v>5997</v>
      </c>
      <c r="D3263" s="34" t="n">
        <f aca="false">Activities!M1320</f>
        <v>10</v>
      </c>
      <c r="E3263" s="15" t="s">
        <v>5998</v>
      </c>
    </row>
    <row r="3264" customFormat="false" ht="15" hidden="false" customHeight="false" outlineLevel="0" collapsed="false">
      <c r="A3264" s="15" t="s">
        <v>4790</v>
      </c>
      <c r="B3264" s="15" t="s">
        <v>4792</v>
      </c>
      <c r="C3264" s="15" t="s">
        <v>5999</v>
      </c>
      <c r="D3264" s="34" t="n">
        <f aca="false">Activities!N1320</f>
        <v>2</v>
      </c>
      <c r="E3264" s="15" t="s">
        <v>5998</v>
      </c>
    </row>
    <row r="3265" customFormat="false" ht="15" hidden="false" customHeight="false" outlineLevel="0" collapsed="false">
      <c r="A3265" s="15" t="s">
        <v>4778</v>
      </c>
      <c r="B3265" s="15" t="s">
        <v>4792</v>
      </c>
      <c r="C3265" s="15" t="s">
        <v>5995</v>
      </c>
      <c r="D3265" s="34" t="n">
        <v>0</v>
      </c>
      <c r="E3265" s="15" t="s">
        <v>6012</v>
      </c>
    </row>
    <row r="3266" customFormat="false" ht="15" hidden="false" customHeight="false" outlineLevel="0" collapsed="false">
      <c r="A3266" s="15" t="s">
        <v>4792</v>
      </c>
      <c r="B3266" s="15" t="s">
        <v>4793</v>
      </c>
      <c r="C3266" s="15" t="s">
        <v>5997</v>
      </c>
      <c r="D3266" s="34" t="n">
        <f aca="false">Activities!M1321</f>
        <v>2</v>
      </c>
      <c r="E3266" s="15" t="s">
        <v>5998</v>
      </c>
    </row>
    <row r="3267" customFormat="false" ht="15" hidden="false" customHeight="false" outlineLevel="0" collapsed="false">
      <c r="A3267" s="15" t="s">
        <v>4792</v>
      </c>
      <c r="B3267" s="15" t="s">
        <v>4793</v>
      </c>
      <c r="C3267" s="15" t="s">
        <v>5999</v>
      </c>
      <c r="D3267" s="34" t="n">
        <f aca="false">Activities!N1321</f>
        <v>2</v>
      </c>
      <c r="E3267" s="15" t="s">
        <v>5998</v>
      </c>
    </row>
    <row r="3268" customFormat="false" ht="15" hidden="false" customHeight="false" outlineLevel="0" collapsed="false">
      <c r="A3268" s="15" t="s">
        <v>4779</v>
      </c>
      <c r="B3268" s="15" t="s">
        <v>4793</v>
      </c>
      <c r="C3268" s="15" t="s">
        <v>5995</v>
      </c>
      <c r="D3268" s="34" t="n">
        <v>0</v>
      </c>
      <c r="E3268" s="15" t="s">
        <v>6012</v>
      </c>
    </row>
    <row r="3269" customFormat="false" ht="15" hidden="false" customHeight="false" outlineLevel="0" collapsed="false">
      <c r="A3269" s="15" t="s">
        <v>4793</v>
      </c>
      <c r="B3269" s="15" t="s">
        <v>4794</v>
      </c>
      <c r="C3269" s="15" t="s">
        <v>5997</v>
      </c>
      <c r="D3269" s="34" t="n">
        <f aca="false">Activities!M1322</f>
        <v>3</v>
      </c>
      <c r="E3269" s="15" t="s">
        <v>5998</v>
      </c>
    </row>
    <row r="3270" customFormat="false" ht="15" hidden="false" customHeight="false" outlineLevel="0" collapsed="false">
      <c r="A3270" s="15" t="s">
        <v>4793</v>
      </c>
      <c r="B3270" s="15" t="s">
        <v>4794</v>
      </c>
      <c r="C3270" s="15" t="s">
        <v>5999</v>
      </c>
      <c r="D3270" s="34" t="n">
        <f aca="false">Activities!N1322</f>
        <v>2</v>
      </c>
      <c r="E3270" s="15" t="s">
        <v>5998</v>
      </c>
    </row>
    <row r="3271" customFormat="false" ht="15" hidden="false" customHeight="false" outlineLevel="0" collapsed="false">
      <c r="A3271" s="15" t="s">
        <v>4780</v>
      </c>
      <c r="B3271" s="15" t="s">
        <v>4794</v>
      </c>
      <c r="C3271" s="15" t="s">
        <v>5995</v>
      </c>
      <c r="D3271" s="34" t="n">
        <v>0</v>
      </c>
      <c r="E3271" s="15" t="s">
        <v>6012</v>
      </c>
    </row>
    <row r="3272" customFormat="false" ht="15" hidden="false" customHeight="false" outlineLevel="0" collapsed="false">
      <c r="A3272" s="15" t="s">
        <v>4794</v>
      </c>
      <c r="B3272" s="15" t="s">
        <v>4795</v>
      </c>
      <c r="C3272" s="15" t="s">
        <v>5997</v>
      </c>
      <c r="D3272" s="34" t="n">
        <f aca="false">Activities!M1323</f>
        <v>1</v>
      </c>
      <c r="E3272" s="15" t="s">
        <v>5998</v>
      </c>
    </row>
    <row r="3273" customFormat="false" ht="15" hidden="false" customHeight="false" outlineLevel="0" collapsed="false">
      <c r="A3273" s="15" t="s">
        <v>4794</v>
      </c>
      <c r="B3273" s="15" t="s">
        <v>4795</v>
      </c>
      <c r="C3273" s="15" t="s">
        <v>5999</v>
      </c>
      <c r="D3273" s="34" t="n">
        <f aca="false">Activities!N1323</f>
        <v>2</v>
      </c>
      <c r="E3273" s="15" t="s">
        <v>5998</v>
      </c>
    </row>
    <row r="3274" customFormat="false" ht="15" hidden="false" customHeight="false" outlineLevel="0" collapsed="false">
      <c r="A3274" s="15" t="s">
        <v>4795</v>
      </c>
      <c r="B3274" s="15" t="s">
        <v>4796</v>
      </c>
      <c r="C3274" s="15" t="s">
        <v>5997</v>
      </c>
      <c r="D3274" s="34" t="n">
        <f aca="false">Activities!M1324</f>
        <v>2</v>
      </c>
      <c r="E3274" s="15" t="s">
        <v>5998</v>
      </c>
    </row>
    <row r="3275" customFormat="false" ht="15" hidden="false" customHeight="false" outlineLevel="0" collapsed="false">
      <c r="A3275" s="15" t="s">
        <v>4795</v>
      </c>
      <c r="B3275" s="15" t="s">
        <v>4796</v>
      </c>
      <c r="C3275" s="15" t="s">
        <v>5999</v>
      </c>
      <c r="D3275" s="34" t="n">
        <f aca="false">Activities!N1324</f>
        <v>2</v>
      </c>
      <c r="E3275" s="15" t="s">
        <v>5998</v>
      </c>
    </row>
    <row r="3276" customFormat="false" ht="15" hidden="false" customHeight="false" outlineLevel="0" collapsed="false">
      <c r="A3276" s="15" t="s">
        <v>4782</v>
      </c>
      <c r="B3276" s="15" t="s">
        <v>4796</v>
      </c>
      <c r="C3276" s="15" t="s">
        <v>5995</v>
      </c>
      <c r="D3276" s="34" t="n">
        <v>0</v>
      </c>
      <c r="E3276" s="15" t="s">
        <v>6012</v>
      </c>
    </row>
    <row r="3277" customFormat="false" ht="15" hidden="false" customHeight="false" outlineLevel="0" collapsed="false">
      <c r="A3277" s="15" t="s">
        <v>4822</v>
      </c>
      <c r="B3277" s="15" t="s">
        <v>4796</v>
      </c>
      <c r="C3277" s="15" t="s">
        <v>5995</v>
      </c>
      <c r="D3277" s="34" t="n">
        <v>0</v>
      </c>
      <c r="E3277" s="15" t="s">
        <v>6005</v>
      </c>
    </row>
    <row r="3278" customFormat="false" ht="15" hidden="false" customHeight="false" outlineLevel="0" collapsed="false">
      <c r="A3278" s="15" t="s">
        <v>4796</v>
      </c>
      <c r="B3278" s="15" t="s">
        <v>4798</v>
      </c>
      <c r="C3278" s="15" t="s">
        <v>5997</v>
      </c>
      <c r="D3278" s="34" t="n">
        <f aca="false">Activities!M1325</f>
        <v>1</v>
      </c>
      <c r="E3278" s="15" t="s">
        <v>5998</v>
      </c>
    </row>
    <row r="3279" customFormat="false" ht="15" hidden="false" customHeight="false" outlineLevel="0" collapsed="false">
      <c r="A3279" s="15" t="s">
        <v>4796</v>
      </c>
      <c r="B3279" s="15" t="s">
        <v>4798</v>
      </c>
      <c r="C3279" s="15" t="s">
        <v>5999</v>
      </c>
      <c r="D3279" s="34" t="n">
        <f aca="false">Activities!N1325</f>
        <v>2</v>
      </c>
      <c r="E3279" s="15" t="s">
        <v>5998</v>
      </c>
    </row>
    <row r="3280" customFormat="false" ht="15" hidden="false" customHeight="false" outlineLevel="0" collapsed="false">
      <c r="A3280" s="15" t="s">
        <v>4799</v>
      </c>
      <c r="B3280" s="15" t="s">
        <v>4801</v>
      </c>
      <c r="C3280" s="15" t="s">
        <v>5995</v>
      </c>
      <c r="D3280" s="34" t="n">
        <v>0</v>
      </c>
      <c r="E3280" s="15" t="s">
        <v>5996</v>
      </c>
    </row>
    <row r="3281" customFormat="false" ht="15" hidden="false" customHeight="false" outlineLevel="0" collapsed="false">
      <c r="A3281" s="15" t="s">
        <v>4788</v>
      </c>
      <c r="B3281" s="15" t="s">
        <v>4801</v>
      </c>
      <c r="C3281" s="15" t="s">
        <v>5997</v>
      </c>
      <c r="D3281" s="34" t="n">
        <v>0</v>
      </c>
      <c r="E3281" s="15" t="s">
        <v>6000</v>
      </c>
    </row>
    <row r="3282" customFormat="false" ht="15" hidden="false" customHeight="false" outlineLevel="0" collapsed="false">
      <c r="A3282" s="15" t="s">
        <v>4801</v>
      </c>
      <c r="B3282" s="15" t="s">
        <v>4803</v>
      </c>
      <c r="C3282" s="15" t="s">
        <v>5997</v>
      </c>
      <c r="D3282" s="34" t="n">
        <f aca="false">Activities!M1328</f>
        <v>1</v>
      </c>
      <c r="E3282" s="15" t="s">
        <v>5998</v>
      </c>
    </row>
    <row r="3283" customFormat="false" ht="15" hidden="false" customHeight="false" outlineLevel="0" collapsed="false">
      <c r="A3283" s="15" t="s">
        <v>4801</v>
      </c>
      <c r="B3283" s="15" t="s">
        <v>4803</v>
      </c>
      <c r="C3283" s="15" t="s">
        <v>5999</v>
      </c>
      <c r="D3283" s="34" t="n">
        <f aca="false">Activities!N1328</f>
        <v>2</v>
      </c>
      <c r="E3283" s="15" t="s">
        <v>5998</v>
      </c>
    </row>
    <row r="3284" customFormat="false" ht="15" hidden="false" customHeight="false" outlineLevel="0" collapsed="false">
      <c r="A3284" s="15" t="s">
        <v>4803</v>
      </c>
      <c r="B3284" s="15" t="s">
        <v>4804</v>
      </c>
      <c r="C3284" s="15" t="s">
        <v>5997</v>
      </c>
      <c r="D3284" s="34" t="n">
        <f aca="false">Activities!M1329</f>
        <v>1</v>
      </c>
      <c r="E3284" s="15" t="s">
        <v>5998</v>
      </c>
    </row>
    <row r="3285" customFormat="false" ht="15" hidden="false" customHeight="false" outlineLevel="0" collapsed="false">
      <c r="A3285" s="15" t="s">
        <v>4803</v>
      </c>
      <c r="B3285" s="15" t="s">
        <v>4804</v>
      </c>
      <c r="C3285" s="15" t="s">
        <v>5999</v>
      </c>
      <c r="D3285" s="34" t="n">
        <f aca="false">Activities!N1329</f>
        <v>2</v>
      </c>
      <c r="E3285" s="15" t="s">
        <v>5998</v>
      </c>
    </row>
    <row r="3286" customFormat="false" ht="15" hidden="false" customHeight="false" outlineLevel="0" collapsed="false">
      <c r="A3286" s="15" t="s">
        <v>4804</v>
      </c>
      <c r="B3286" s="15" t="s">
        <v>4805</v>
      </c>
      <c r="C3286" s="15" t="s">
        <v>5997</v>
      </c>
      <c r="D3286" s="34" t="n">
        <f aca="false">Activities!M1330</f>
        <v>1</v>
      </c>
      <c r="E3286" s="15" t="s">
        <v>5998</v>
      </c>
    </row>
    <row r="3287" customFormat="false" ht="15" hidden="false" customHeight="false" outlineLevel="0" collapsed="false">
      <c r="A3287" s="15" t="s">
        <v>4804</v>
      </c>
      <c r="B3287" s="15" t="s">
        <v>4805</v>
      </c>
      <c r="C3287" s="15" t="s">
        <v>5999</v>
      </c>
      <c r="D3287" s="34" t="n">
        <f aca="false">Activities!N1330</f>
        <v>2</v>
      </c>
      <c r="E3287" s="15" t="s">
        <v>5998</v>
      </c>
    </row>
    <row r="3288" customFormat="false" ht="15" hidden="false" customHeight="false" outlineLevel="0" collapsed="false">
      <c r="A3288" s="15" t="s">
        <v>4805</v>
      </c>
      <c r="B3288" s="15" t="s">
        <v>4806</v>
      </c>
      <c r="C3288" s="15" t="s">
        <v>5997</v>
      </c>
      <c r="D3288" s="34" t="n">
        <f aca="false">Activities!M1331</f>
        <v>10</v>
      </c>
      <c r="E3288" s="15" t="s">
        <v>5998</v>
      </c>
    </row>
    <row r="3289" customFormat="false" ht="15" hidden="false" customHeight="false" outlineLevel="0" collapsed="false">
      <c r="A3289" s="15" t="s">
        <v>4805</v>
      </c>
      <c r="B3289" s="15" t="s">
        <v>4806</v>
      </c>
      <c r="C3289" s="15" t="s">
        <v>5999</v>
      </c>
      <c r="D3289" s="34" t="n">
        <f aca="false">Activities!N1331</f>
        <v>2</v>
      </c>
      <c r="E3289" s="15" t="s">
        <v>5998</v>
      </c>
    </row>
    <row r="3290" customFormat="false" ht="15" hidden="false" customHeight="false" outlineLevel="0" collapsed="false">
      <c r="A3290" s="15" t="s">
        <v>4806</v>
      </c>
      <c r="B3290" s="15" t="s">
        <v>4807</v>
      </c>
      <c r="C3290" s="15" t="s">
        <v>5997</v>
      </c>
      <c r="D3290" s="34" t="n">
        <f aca="false">Activities!M1332</f>
        <v>1</v>
      </c>
      <c r="E3290" s="15" t="s">
        <v>5998</v>
      </c>
    </row>
    <row r="3291" customFormat="false" ht="15" hidden="false" customHeight="false" outlineLevel="0" collapsed="false">
      <c r="A3291" s="15" t="s">
        <v>4806</v>
      </c>
      <c r="B3291" s="15" t="s">
        <v>4807</v>
      </c>
      <c r="C3291" s="15" t="s">
        <v>5999</v>
      </c>
      <c r="D3291" s="34" t="n">
        <f aca="false">Activities!N1332</f>
        <v>2</v>
      </c>
      <c r="E3291" s="15" t="s">
        <v>5998</v>
      </c>
    </row>
    <row r="3292" customFormat="false" ht="15" hidden="false" customHeight="false" outlineLevel="0" collapsed="false">
      <c r="A3292" s="15" t="s">
        <v>4807</v>
      </c>
      <c r="B3292" s="15" t="s">
        <v>4808</v>
      </c>
      <c r="C3292" s="15" t="s">
        <v>5997</v>
      </c>
      <c r="D3292" s="34" t="n">
        <f aca="false">Activities!M1333</f>
        <v>2</v>
      </c>
      <c r="E3292" s="15" t="s">
        <v>5998</v>
      </c>
    </row>
    <row r="3293" customFormat="false" ht="15" hidden="false" customHeight="false" outlineLevel="0" collapsed="false">
      <c r="A3293" s="15" t="s">
        <v>4807</v>
      </c>
      <c r="B3293" s="15" t="s">
        <v>4808</v>
      </c>
      <c r="C3293" s="15" t="s">
        <v>5999</v>
      </c>
      <c r="D3293" s="34" t="n">
        <f aca="false">Activities!N1333</f>
        <v>2</v>
      </c>
      <c r="E3293" s="15" t="s">
        <v>5998</v>
      </c>
    </row>
    <row r="3294" customFormat="false" ht="15" hidden="false" customHeight="false" outlineLevel="0" collapsed="false">
      <c r="A3294" s="15" t="s">
        <v>4794</v>
      </c>
      <c r="B3294" s="15" t="s">
        <v>4808</v>
      </c>
      <c r="C3294" s="15" t="s">
        <v>5995</v>
      </c>
      <c r="D3294" s="34" t="n">
        <v>0</v>
      </c>
      <c r="E3294" s="15" t="s">
        <v>6001</v>
      </c>
    </row>
    <row r="3295" customFormat="false" ht="15" hidden="false" customHeight="false" outlineLevel="0" collapsed="false">
      <c r="A3295" s="15" t="s">
        <v>4808</v>
      </c>
      <c r="B3295" s="15" t="s">
        <v>4810</v>
      </c>
      <c r="C3295" s="15" t="s">
        <v>5997</v>
      </c>
      <c r="D3295" s="34" t="n">
        <f aca="false">Activities!M1334</f>
        <v>2</v>
      </c>
      <c r="E3295" s="15" t="s">
        <v>5998</v>
      </c>
    </row>
    <row r="3296" customFormat="false" ht="15" hidden="false" customHeight="false" outlineLevel="0" collapsed="false">
      <c r="A3296" s="15" t="s">
        <v>4808</v>
      </c>
      <c r="B3296" s="15" t="s">
        <v>4810</v>
      </c>
      <c r="C3296" s="15" t="s">
        <v>5999</v>
      </c>
      <c r="D3296" s="34" t="n">
        <f aca="false">Activities!N1334</f>
        <v>2</v>
      </c>
      <c r="E3296" s="15" t="s">
        <v>5998</v>
      </c>
    </row>
    <row r="3297" customFormat="false" ht="15" hidden="false" customHeight="false" outlineLevel="0" collapsed="false">
      <c r="A3297" s="15" t="s">
        <v>4810</v>
      </c>
      <c r="B3297" s="15" t="s">
        <v>4811</v>
      </c>
      <c r="C3297" s="15" t="s">
        <v>5997</v>
      </c>
      <c r="D3297" s="34" t="n">
        <f aca="false">Activities!M1335</f>
        <v>2</v>
      </c>
      <c r="E3297" s="15" t="s">
        <v>5998</v>
      </c>
    </row>
    <row r="3298" customFormat="false" ht="15" hidden="false" customHeight="false" outlineLevel="0" collapsed="false">
      <c r="A3298" s="15" t="s">
        <v>4810</v>
      </c>
      <c r="B3298" s="15" t="s">
        <v>4811</v>
      </c>
      <c r="C3298" s="15" t="s">
        <v>5999</v>
      </c>
      <c r="D3298" s="34" t="n">
        <f aca="false">Activities!N1335</f>
        <v>2</v>
      </c>
      <c r="E3298" s="15" t="s">
        <v>5998</v>
      </c>
    </row>
    <row r="3299" customFormat="false" ht="15" hidden="false" customHeight="false" outlineLevel="0" collapsed="false">
      <c r="A3299" s="15" t="s">
        <v>4822</v>
      </c>
      <c r="B3299" s="15" t="s">
        <v>4811</v>
      </c>
      <c r="C3299" s="15" t="s">
        <v>5995</v>
      </c>
      <c r="D3299" s="34" t="n">
        <v>0</v>
      </c>
      <c r="E3299" s="15" t="s">
        <v>6005</v>
      </c>
    </row>
    <row r="3300" customFormat="false" ht="15" hidden="false" customHeight="false" outlineLevel="0" collapsed="false">
      <c r="A3300" s="15" t="s">
        <v>4811</v>
      </c>
      <c r="B3300" s="15" t="s">
        <v>4812</v>
      </c>
      <c r="C3300" s="15" t="s">
        <v>5997</v>
      </c>
      <c r="D3300" s="34" t="n">
        <f aca="false">Activities!M1336</f>
        <v>1</v>
      </c>
      <c r="E3300" s="15" t="s">
        <v>5998</v>
      </c>
    </row>
    <row r="3301" customFormat="false" ht="15" hidden="false" customHeight="false" outlineLevel="0" collapsed="false">
      <c r="A3301" s="15" t="s">
        <v>4811</v>
      </c>
      <c r="B3301" s="15" t="s">
        <v>4812</v>
      </c>
      <c r="C3301" s="15" t="s">
        <v>5999</v>
      </c>
      <c r="D3301" s="34" t="n">
        <f aca="false">Activities!N1336</f>
        <v>2</v>
      </c>
      <c r="E3301" s="15" t="s">
        <v>5998</v>
      </c>
    </row>
    <row r="3302" customFormat="false" ht="15" hidden="false" customHeight="false" outlineLevel="0" collapsed="false">
      <c r="A3302" s="15" t="s">
        <v>4813</v>
      </c>
      <c r="B3302" s="15" t="s">
        <v>4815</v>
      </c>
      <c r="C3302" s="15" t="s">
        <v>5995</v>
      </c>
      <c r="D3302" s="34" t="n">
        <v>0</v>
      </c>
      <c r="E3302" s="15" t="s">
        <v>5996</v>
      </c>
    </row>
    <row r="3303" customFormat="false" ht="15" hidden="false" customHeight="false" outlineLevel="0" collapsed="false">
      <c r="A3303" s="15" t="s">
        <v>4815</v>
      </c>
      <c r="B3303" s="15" t="s">
        <v>4816</v>
      </c>
      <c r="C3303" s="15" t="s">
        <v>5997</v>
      </c>
      <c r="D3303" s="34" t="n">
        <f aca="false">Activities!M1339</f>
        <v>1</v>
      </c>
      <c r="E3303" s="15" t="s">
        <v>5998</v>
      </c>
    </row>
    <row r="3304" customFormat="false" ht="15" hidden="false" customHeight="false" outlineLevel="0" collapsed="false">
      <c r="A3304" s="15" t="s">
        <v>4815</v>
      </c>
      <c r="B3304" s="15" t="s">
        <v>4816</v>
      </c>
      <c r="C3304" s="15" t="s">
        <v>5999</v>
      </c>
      <c r="D3304" s="34" t="n">
        <f aca="false">Activities!N1339</f>
        <v>2</v>
      </c>
      <c r="E3304" s="15" t="s">
        <v>5998</v>
      </c>
    </row>
    <row r="3305" customFormat="false" ht="15" hidden="false" customHeight="false" outlineLevel="0" collapsed="false">
      <c r="A3305" s="15" t="s">
        <v>4816</v>
      </c>
      <c r="B3305" s="15" t="s">
        <v>4817</v>
      </c>
      <c r="C3305" s="15" t="s">
        <v>5997</v>
      </c>
      <c r="D3305" s="34" t="n">
        <f aca="false">Activities!M1340</f>
        <v>3</v>
      </c>
      <c r="E3305" s="15" t="s">
        <v>5998</v>
      </c>
    </row>
    <row r="3306" customFormat="false" ht="15" hidden="false" customHeight="false" outlineLevel="0" collapsed="false">
      <c r="A3306" s="15" t="s">
        <v>4816</v>
      </c>
      <c r="B3306" s="15" t="s">
        <v>4817</v>
      </c>
      <c r="C3306" s="15" t="s">
        <v>5999</v>
      </c>
      <c r="D3306" s="34" t="n">
        <f aca="false">Activities!N1340</f>
        <v>2</v>
      </c>
      <c r="E3306" s="15" t="s">
        <v>5998</v>
      </c>
    </row>
    <row r="3307" customFormat="false" ht="15" hidden="false" customHeight="false" outlineLevel="0" collapsed="false">
      <c r="A3307" s="15" t="s">
        <v>4817</v>
      </c>
      <c r="B3307" s="15" t="s">
        <v>4818</v>
      </c>
      <c r="C3307" s="15" t="s">
        <v>5997</v>
      </c>
      <c r="D3307" s="34" t="n">
        <f aca="false">Activities!M1341</f>
        <v>2</v>
      </c>
      <c r="E3307" s="15" t="s">
        <v>5998</v>
      </c>
    </row>
    <row r="3308" customFormat="false" ht="15" hidden="false" customHeight="false" outlineLevel="0" collapsed="false">
      <c r="A3308" s="15" t="s">
        <v>4817</v>
      </c>
      <c r="B3308" s="15" t="s">
        <v>4818</v>
      </c>
      <c r="C3308" s="15" t="s">
        <v>5999</v>
      </c>
      <c r="D3308" s="34" t="n">
        <f aca="false">Activities!N1341</f>
        <v>2</v>
      </c>
      <c r="E3308" s="15" t="s">
        <v>5998</v>
      </c>
    </row>
    <row r="3309" customFormat="false" ht="15" hidden="false" customHeight="false" outlineLevel="0" collapsed="false">
      <c r="A3309" s="15" t="s">
        <v>4818</v>
      </c>
      <c r="B3309" s="15" t="s">
        <v>4819</v>
      </c>
      <c r="C3309" s="15" t="s">
        <v>5997</v>
      </c>
      <c r="D3309" s="34" t="n">
        <f aca="false">Activities!M1342</f>
        <v>10</v>
      </c>
      <c r="E3309" s="15" t="s">
        <v>5998</v>
      </c>
    </row>
    <row r="3310" customFormat="false" ht="15" hidden="false" customHeight="false" outlineLevel="0" collapsed="false">
      <c r="A3310" s="15" t="s">
        <v>4818</v>
      </c>
      <c r="B3310" s="15" t="s">
        <v>4819</v>
      </c>
      <c r="C3310" s="15" t="s">
        <v>5999</v>
      </c>
      <c r="D3310" s="34" t="n">
        <f aca="false">Activities!N1342</f>
        <v>2</v>
      </c>
      <c r="E3310" s="15" t="s">
        <v>5998</v>
      </c>
    </row>
    <row r="3311" customFormat="false" ht="15" hidden="false" customHeight="false" outlineLevel="0" collapsed="false">
      <c r="A3311" s="15" t="s">
        <v>3487</v>
      </c>
      <c r="B3311" s="15" t="s">
        <v>4819</v>
      </c>
      <c r="C3311" s="15" t="s">
        <v>5995</v>
      </c>
      <c r="D3311" s="34" t="n">
        <v>0</v>
      </c>
      <c r="E3311" s="15" t="s">
        <v>6008</v>
      </c>
    </row>
    <row r="3312" customFormat="false" ht="15" hidden="false" customHeight="false" outlineLevel="0" collapsed="false">
      <c r="A3312" s="15" t="s">
        <v>4806</v>
      </c>
      <c r="B3312" s="15" t="s">
        <v>4819</v>
      </c>
      <c r="C3312" s="15" t="s">
        <v>5997</v>
      </c>
      <c r="D3312" s="34" t="n">
        <v>0</v>
      </c>
      <c r="E3312" s="15" t="s">
        <v>6006</v>
      </c>
    </row>
    <row r="3313" customFormat="false" ht="15" hidden="false" customHeight="false" outlineLevel="0" collapsed="false">
      <c r="A3313" s="15" t="s">
        <v>4792</v>
      </c>
      <c r="B3313" s="15" t="s">
        <v>4819</v>
      </c>
      <c r="C3313" s="15" t="s">
        <v>5997</v>
      </c>
      <c r="D3313" s="34" t="n">
        <v>0</v>
      </c>
      <c r="E3313" s="15" t="s">
        <v>6006</v>
      </c>
    </row>
    <row r="3314" customFormat="false" ht="15" hidden="false" customHeight="false" outlineLevel="0" collapsed="false">
      <c r="A3314" s="15" t="s">
        <v>4819</v>
      </c>
      <c r="B3314" s="15" t="s">
        <v>4821</v>
      </c>
      <c r="C3314" s="15" t="s">
        <v>5997</v>
      </c>
      <c r="D3314" s="34" t="n">
        <f aca="false">Activities!M1343</f>
        <v>1</v>
      </c>
      <c r="E3314" s="15" t="s">
        <v>5998</v>
      </c>
    </row>
    <row r="3315" customFormat="false" ht="15" hidden="false" customHeight="false" outlineLevel="0" collapsed="false">
      <c r="A3315" s="15" t="s">
        <v>4819</v>
      </c>
      <c r="B3315" s="15" t="s">
        <v>4821</v>
      </c>
      <c r="C3315" s="15" t="s">
        <v>5999</v>
      </c>
      <c r="D3315" s="34" t="n">
        <f aca="false">Activities!N1343</f>
        <v>2</v>
      </c>
      <c r="E3315" s="15" t="s">
        <v>5998</v>
      </c>
    </row>
    <row r="3316" customFormat="false" ht="15" hidden="false" customHeight="false" outlineLevel="0" collapsed="false">
      <c r="A3316" s="15" t="s">
        <v>4821</v>
      </c>
      <c r="B3316" s="15" t="s">
        <v>4822</v>
      </c>
      <c r="C3316" s="15" t="s">
        <v>5997</v>
      </c>
      <c r="D3316" s="34" t="n">
        <f aca="false">Activities!M1344</f>
        <v>3</v>
      </c>
      <c r="E3316" s="15" t="s">
        <v>5998</v>
      </c>
    </row>
    <row r="3317" customFormat="false" ht="15" hidden="false" customHeight="false" outlineLevel="0" collapsed="false">
      <c r="A3317" s="15" t="s">
        <v>4821</v>
      </c>
      <c r="B3317" s="15" t="s">
        <v>4822</v>
      </c>
      <c r="C3317" s="15" t="s">
        <v>5999</v>
      </c>
      <c r="D3317" s="34" t="n">
        <f aca="false">Activities!N1344</f>
        <v>2</v>
      </c>
      <c r="E3317" s="15" t="s">
        <v>5998</v>
      </c>
    </row>
    <row r="3318" customFormat="false" ht="15" hidden="false" customHeight="false" outlineLevel="0" collapsed="false">
      <c r="A3318" s="15" t="s">
        <v>4822</v>
      </c>
      <c r="B3318" s="15" t="s">
        <v>4823</v>
      </c>
      <c r="C3318" s="15" t="s">
        <v>5997</v>
      </c>
      <c r="D3318" s="34" t="n">
        <f aca="false">Activities!M1345</f>
        <v>4</v>
      </c>
      <c r="E3318" s="15" t="s">
        <v>5998</v>
      </c>
    </row>
    <row r="3319" customFormat="false" ht="15" hidden="false" customHeight="false" outlineLevel="0" collapsed="false">
      <c r="A3319" s="15" t="s">
        <v>4822</v>
      </c>
      <c r="B3319" s="15" t="s">
        <v>4823</v>
      </c>
      <c r="C3319" s="15" t="s">
        <v>5999</v>
      </c>
      <c r="D3319" s="34" t="n">
        <f aca="false">Activities!N1345</f>
        <v>2</v>
      </c>
      <c r="E3319" s="15" t="s">
        <v>5998</v>
      </c>
    </row>
    <row r="3320" customFormat="false" ht="15" hidden="false" customHeight="false" outlineLevel="0" collapsed="false">
      <c r="A3320" s="15" t="s">
        <v>4823</v>
      </c>
      <c r="B3320" s="15" t="s">
        <v>4824</v>
      </c>
      <c r="C3320" s="15" t="s">
        <v>5997</v>
      </c>
      <c r="D3320" s="34" t="n">
        <f aca="false">Activities!M1346</f>
        <v>2</v>
      </c>
      <c r="E3320" s="15" t="s">
        <v>5998</v>
      </c>
    </row>
    <row r="3321" customFormat="false" ht="15" hidden="false" customHeight="false" outlineLevel="0" collapsed="false">
      <c r="A3321" s="15" t="s">
        <v>4823</v>
      </c>
      <c r="B3321" s="15" t="s">
        <v>4824</v>
      </c>
      <c r="C3321" s="15" t="s">
        <v>5999</v>
      </c>
      <c r="D3321" s="34" t="n">
        <f aca="false">Activities!N1346</f>
        <v>2</v>
      </c>
      <c r="E3321" s="15" t="s">
        <v>5998</v>
      </c>
    </row>
    <row r="3322" customFormat="false" ht="15" hidden="false" customHeight="false" outlineLevel="0" collapsed="false">
      <c r="A3322" s="15" t="s">
        <v>4808</v>
      </c>
      <c r="B3322" s="15" t="s">
        <v>4824</v>
      </c>
      <c r="C3322" s="15" t="s">
        <v>5995</v>
      </c>
      <c r="D3322" s="34" t="n">
        <v>0</v>
      </c>
      <c r="E3322" s="15" t="s">
        <v>6005</v>
      </c>
    </row>
    <row r="3323" customFormat="false" ht="15" hidden="false" customHeight="false" outlineLevel="0" collapsed="false">
      <c r="A3323" s="15" t="s">
        <v>4794</v>
      </c>
      <c r="B3323" s="15" t="s">
        <v>4824</v>
      </c>
      <c r="C3323" s="15" t="s">
        <v>5995</v>
      </c>
      <c r="D3323" s="34" t="n">
        <v>0</v>
      </c>
      <c r="E3323" s="15" t="s">
        <v>6005</v>
      </c>
    </row>
    <row r="3324" customFormat="false" ht="15" hidden="false" customHeight="false" outlineLevel="0" collapsed="false">
      <c r="A3324" s="15" t="s">
        <v>4824</v>
      </c>
      <c r="B3324" s="15" t="s">
        <v>4826</v>
      </c>
      <c r="C3324" s="15" t="s">
        <v>5997</v>
      </c>
      <c r="D3324" s="34" t="n">
        <f aca="false">Activities!M1347</f>
        <v>1</v>
      </c>
      <c r="E3324" s="15" t="s">
        <v>5998</v>
      </c>
    </row>
    <row r="3325" customFormat="false" ht="15" hidden="false" customHeight="false" outlineLevel="0" collapsed="false">
      <c r="A3325" s="15" t="s">
        <v>4824</v>
      </c>
      <c r="B3325" s="15" t="s">
        <v>4826</v>
      </c>
      <c r="C3325" s="15" t="s">
        <v>5999</v>
      </c>
      <c r="D3325" s="34" t="n">
        <f aca="false">Activities!N1347</f>
        <v>2</v>
      </c>
      <c r="E3325" s="15" t="s">
        <v>5998</v>
      </c>
    </row>
    <row r="3326" customFormat="false" ht="15" hidden="false" customHeight="false" outlineLevel="0" collapsed="false">
      <c r="A3326" s="15" t="s">
        <v>4827</v>
      </c>
      <c r="B3326" s="15" t="s">
        <v>4829</v>
      </c>
      <c r="C3326" s="15" t="s">
        <v>5995</v>
      </c>
      <c r="D3326" s="34" t="n">
        <v>0</v>
      </c>
      <c r="E3326" s="15" t="s">
        <v>5996</v>
      </c>
    </row>
    <row r="3327" customFormat="false" ht="15" hidden="false" customHeight="false" outlineLevel="0" collapsed="false">
      <c r="A3327" s="15" t="s">
        <v>4788</v>
      </c>
      <c r="B3327" s="15" t="s">
        <v>4829</v>
      </c>
      <c r="C3327" s="15" t="s">
        <v>5997</v>
      </c>
      <c r="D3327" s="34" t="n">
        <v>0</v>
      </c>
      <c r="E3327" s="15" t="s">
        <v>6002</v>
      </c>
    </row>
    <row r="3328" customFormat="false" ht="15" hidden="false" customHeight="false" outlineLevel="0" collapsed="false">
      <c r="A3328" s="15" t="s">
        <v>4829</v>
      </c>
      <c r="B3328" s="15" t="s">
        <v>4831</v>
      </c>
      <c r="C3328" s="15" t="s">
        <v>5997</v>
      </c>
      <c r="D3328" s="34" t="n">
        <f aca="false">Activities!M1350</f>
        <v>1</v>
      </c>
      <c r="E3328" s="15" t="s">
        <v>5998</v>
      </c>
    </row>
    <row r="3329" customFormat="false" ht="15" hidden="false" customHeight="false" outlineLevel="0" collapsed="false">
      <c r="A3329" s="15" t="s">
        <v>4829</v>
      </c>
      <c r="B3329" s="15" t="s">
        <v>4831</v>
      </c>
      <c r="C3329" s="15" t="s">
        <v>5999</v>
      </c>
      <c r="D3329" s="34" t="n">
        <f aca="false">Activities!N1350</f>
        <v>2</v>
      </c>
      <c r="E3329" s="15" t="s">
        <v>5998</v>
      </c>
    </row>
    <row r="3330" customFormat="false" ht="15" hidden="false" customHeight="false" outlineLevel="0" collapsed="false">
      <c r="A3330" s="15" t="s">
        <v>4788</v>
      </c>
      <c r="B3330" s="15" t="s">
        <v>4831</v>
      </c>
      <c r="C3330" s="15" t="s">
        <v>5995</v>
      </c>
      <c r="D3330" s="34" t="n">
        <v>0</v>
      </c>
      <c r="E3330" s="15" t="s">
        <v>6012</v>
      </c>
    </row>
    <row r="3331" customFormat="false" ht="15" hidden="false" customHeight="false" outlineLevel="0" collapsed="false">
      <c r="A3331" s="15" t="s">
        <v>4831</v>
      </c>
      <c r="B3331" s="15" t="s">
        <v>4832</v>
      </c>
      <c r="C3331" s="15" t="s">
        <v>5997</v>
      </c>
      <c r="D3331" s="34" t="n">
        <f aca="false">Activities!M1351</f>
        <v>3</v>
      </c>
      <c r="E3331" s="15" t="s">
        <v>5998</v>
      </c>
    </row>
    <row r="3332" customFormat="false" ht="15" hidden="false" customHeight="false" outlineLevel="0" collapsed="false">
      <c r="A3332" s="15" t="s">
        <v>4831</v>
      </c>
      <c r="B3332" s="15" t="s">
        <v>4832</v>
      </c>
      <c r="C3332" s="15" t="s">
        <v>5999</v>
      </c>
      <c r="D3332" s="34" t="n">
        <f aca="false">Activities!N1351</f>
        <v>2</v>
      </c>
      <c r="E3332" s="15" t="s">
        <v>5998</v>
      </c>
    </row>
    <row r="3333" customFormat="false" ht="15" hidden="false" customHeight="false" outlineLevel="0" collapsed="false">
      <c r="A3333" s="15" t="s">
        <v>4789</v>
      </c>
      <c r="B3333" s="15" t="s">
        <v>4832</v>
      </c>
      <c r="C3333" s="15" t="s">
        <v>5995</v>
      </c>
      <c r="D3333" s="34" t="n">
        <v>0</v>
      </c>
      <c r="E3333" s="15" t="s">
        <v>6012</v>
      </c>
    </row>
    <row r="3334" customFormat="false" ht="15" hidden="false" customHeight="false" outlineLevel="0" collapsed="false">
      <c r="A3334" s="15" t="s">
        <v>4832</v>
      </c>
      <c r="B3334" s="15" t="s">
        <v>4833</v>
      </c>
      <c r="C3334" s="15" t="s">
        <v>5997</v>
      </c>
      <c r="D3334" s="34" t="n">
        <f aca="false">Activities!M1352</f>
        <v>2</v>
      </c>
      <c r="E3334" s="15" t="s">
        <v>5998</v>
      </c>
    </row>
    <row r="3335" customFormat="false" ht="15" hidden="false" customHeight="false" outlineLevel="0" collapsed="false">
      <c r="A3335" s="15" t="s">
        <v>4832</v>
      </c>
      <c r="B3335" s="15" t="s">
        <v>4833</v>
      </c>
      <c r="C3335" s="15" t="s">
        <v>5999</v>
      </c>
      <c r="D3335" s="34" t="n">
        <f aca="false">Activities!N1352</f>
        <v>2</v>
      </c>
      <c r="E3335" s="15" t="s">
        <v>5998</v>
      </c>
    </row>
    <row r="3336" customFormat="false" ht="15" hidden="false" customHeight="false" outlineLevel="0" collapsed="false">
      <c r="A3336" s="15" t="s">
        <v>4792</v>
      </c>
      <c r="B3336" s="15" t="s">
        <v>4833</v>
      </c>
      <c r="C3336" s="15" t="s">
        <v>5995</v>
      </c>
      <c r="D3336" s="34" t="n">
        <f aca="false">-Activities!K1352</f>
        <v>-11</v>
      </c>
      <c r="E3336" s="15" t="s">
        <v>6004</v>
      </c>
    </row>
    <row r="3337" customFormat="false" ht="15" hidden="false" customHeight="false" outlineLevel="0" collapsed="false">
      <c r="A3337" s="15" t="s">
        <v>4833</v>
      </c>
      <c r="B3337" s="15" t="s">
        <v>4835</v>
      </c>
      <c r="C3337" s="15" t="s">
        <v>5997</v>
      </c>
      <c r="D3337" s="34" t="n">
        <f aca="false">Activities!M1353</f>
        <v>10</v>
      </c>
      <c r="E3337" s="15" t="s">
        <v>5998</v>
      </c>
    </row>
    <row r="3338" customFormat="false" ht="15" hidden="false" customHeight="false" outlineLevel="0" collapsed="false">
      <c r="A3338" s="15" t="s">
        <v>4833</v>
      </c>
      <c r="B3338" s="15" t="s">
        <v>4835</v>
      </c>
      <c r="C3338" s="15" t="s">
        <v>5999</v>
      </c>
      <c r="D3338" s="34" t="n">
        <f aca="false">Activities!N1353</f>
        <v>2</v>
      </c>
      <c r="E3338" s="15" t="s">
        <v>5998</v>
      </c>
    </row>
    <row r="3339" customFormat="false" ht="15" hidden="false" customHeight="false" outlineLevel="0" collapsed="false">
      <c r="A3339" s="15" t="s">
        <v>4792</v>
      </c>
      <c r="B3339" s="15" t="s">
        <v>4835</v>
      </c>
      <c r="C3339" s="15" t="s">
        <v>5995</v>
      </c>
      <c r="D3339" s="34" t="n">
        <v>0</v>
      </c>
      <c r="E3339" s="15" t="s">
        <v>6012</v>
      </c>
    </row>
    <row r="3340" customFormat="false" ht="15" hidden="false" customHeight="false" outlineLevel="0" collapsed="false">
      <c r="A3340" s="15" t="s">
        <v>4835</v>
      </c>
      <c r="B3340" s="15" t="s">
        <v>4836</v>
      </c>
      <c r="C3340" s="15" t="s">
        <v>5997</v>
      </c>
      <c r="D3340" s="34" t="n">
        <f aca="false">Activities!M1354</f>
        <v>2</v>
      </c>
      <c r="E3340" s="15" t="s">
        <v>5998</v>
      </c>
    </row>
    <row r="3341" customFormat="false" ht="15" hidden="false" customHeight="false" outlineLevel="0" collapsed="false">
      <c r="A3341" s="15" t="s">
        <v>4835</v>
      </c>
      <c r="B3341" s="15" t="s">
        <v>4836</v>
      </c>
      <c r="C3341" s="15" t="s">
        <v>5999</v>
      </c>
      <c r="D3341" s="34" t="n">
        <f aca="false">Activities!N1354</f>
        <v>2</v>
      </c>
      <c r="E3341" s="15" t="s">
        <v>5998</v>
      </c>
    </row>
    <row r="3342" customFormat="false" ht="15" hidden="false" customHeight="false" outlineLevel="0" collapsed="false">
      <c r="A3342" s="15" t="s">
        <v>4793</v>
      </c>
      <c r="B3342" s="15" t="s">
        <v>4836</v>
      </c>
      <c r="C3342" s="15" t="s">
        <v>5995</v>
      </c>
      <c r="D3342" s="34" t="n">
        <v>0</v>
      </c>
      <c r="E3342" s="15" t="s">
        <v>6012</v>
      </c>
    </row>
    <row r="3343" customFormat="false" ht="15" hidden="false" customHeight="false" outlineLevel="0" collapsed="false">
      <c r="A3343" s="15" t="s">
        <v>4836</v>
      </c>
      <c r="B3343" s="15" t="s">
        <v>4837</v>
      </c>
      <c r="C3343" s="15" t="s">
        <v>5997</v>
      </c>
      <c r="D3343" s="34" t="n">
        <f aca="false">Activities!M1355</f>
        <v>3</v>
      </c>
      <c r="E3343" s="15" t="s">
        <v>5998</v>
      </c>
    </row>
    <row r="3344" customFormat="false" ht="15" hidden="false" customHeight="false" outlineLevel="0" collapsed="false">
      <c r="A3344" s="15" t="s">
        <v>4836</v>
      </c>
      <c r="B3344" s="15" t="s">
        <v>4837</v>
      </c>
      <c r="C3344" s="15" t="s">
        <v>5999</v>
      </c>
      <c r="D3344" s="34" t="n">
        <f aca="false">Activities!N1355</f>
        <v>2</v>
      </c>
      <c r="E3344" s="15" t="s">
        <v>5998</v>
      </c>
    </row>
    <row r="3345" customFormat="false" ht="15" hidden="false" customHeight="false" outlineLevel="0" collapsed="false">
      <c r="A3345" s="15" t="s">
        <v>4794</v>
      </c>
      <c r="B3345" s="15" t="s">
        <v>4837</v>
      </c>
      <c r="C3345" s="15" t="s">
        <v>5995</v>
      </c>
      <c r="D3345" s="34" t="n">
        <v>0</v>
      </c>
      <c r="E3345" s="15" t="s">
        <v>6012</v>
      </c>
    </row>
    <row r="3346" customFormat="false" ht="15" hidden="false" customHeight="false" outlineLevel="0" collapsed="false">
      <c r="A3346" s="15" t="s">
        <v>4837</v>
      </c>
      <c r="B3346" s="15" t="s">
        <v>4838</v>
      </c>
      <c r="C3346" s="15" t="s">
        <v>5997</v>
      </c>
      <c r="D3346" s="34" t="n">
        <f aca="false">Activities!M1356</f>
        <v>1</v>
      </c>
      <c r="E3346" s="15" t="s">
        <v>5998</v>
      </c>
    </row>
    <row r="3347" customFormat="false" ht="15" hidden="false" customHeight="false" outlineLevel="0" collapsed="false">
      <c r="A3347" s="15" t="s">
        <v>4837</v>
      </c>
      <c r="B3347" s="15" t="s">
        <v>4838</v>
      </c>
      <c r="C3347" s="15" t="s">
        <v>5999</v>
      </c>
      <c r="D3347" s="34" t="n">
        <f aca="false">Activities!N1356</f>
        <v>2</v>
      </c>
      <c r="E3347" s="15" t="s">
        <v>5998</v>
      </c>
    </row>
    <row r="3348" customFormat="false" ht="15" hidden="false" customHeight="false" outlineLevel="0" collapsed="false">
      <c r="A3348" s="15" t="s">
        <v>4838</v>
      </c>
      <c r="B3348" s="15" t="s">
        <v>4839</v>
      </c>
      <c r="C3348" s="15" t="s">
        <v>5997</v>
      </c>
      <c r="D3348" s="34" t="n">
        <f aca="false">Activities!M1357</f>
        <v>2</v>
      </c>
      <c r="E3348" s="15" t="s">
        <v>5998</v>
      </c>
    </row>
    <row r="3349" customFormat="false" ht="15" hidden="false" customHeight="false" outlineLevel="0" collapsed="false">
      <c r="A3349" s="15" t="s">
        <v>4838</v>
      </c>
      <c r="B3349" s="15" t="s">
        <v>4839</v>
      </c>
      <c r="C3349" s="15" t="s">
        <v>5999</v>
      </c>
      <c r="D3349" s="34" t="n">
        <f aca="false">Activities!N1357</f>
        <v>2</v>
      </c>
      <c r="E3349" s="15" t="s">
        <v>5998</v>
      </c>
    </row>
    <row r="3350" customFormat="false" ht="15" hidden="false" customHeight="false" outlineLevel="0" collapsed="false">
      <c r="A3350" s="15" t="s">
        <v>4796</v>
      </c>
      <c r="B3350" s="15" t="s">
        <v>4839</v>
      </c>
      <c r="C3350" s="15" t="s">
        <v>5995</v>
      </c>
      <c r="D3350" s="34" t="n">
        <v>0</v>
      </c>
      <c r="E3350" s="15" t="s">
        <v>6012</v>
      </c>
    </row>
    <row r="3351" customFormat="false" ht="15" hidden="false" customHeight="false" outlineLevel="0" collapsed="false">
      <c r="A3351" s="15" t="s">
        <v>4865</v>
      </c>
      <c r="B3351" s="15" t="s">
        <v>4839</v>
      </c>
      <c r="C3351" s="15" t="s">
        <v>5995</v>
      </c>
      <c r="D3351" s="34" t="n">
        <v>0</v>
      </c>
      <c r="E3351" s="15" t="s">
        <v>6005</v>
      </c>
    </row>
    <row r="3352" customFormat="false" ht="15" hidden="false" customHeight="false" outlineLevel="0" collapsed="false">
      <c r="A3352" s="15" t="s">
        <v>4839</v>
      </c>
      <c r="B3352" s="15" t="s">
        <v>4841</v>
      </c>
      <c r="C3352" s="15" t="s">
        <v>5997</v>
      </c>
      <c r="D3352" s="34" t="n">
        <f aca="false">Activities!M1358</f>
        <v>1</v>
      </c>
      <c r="E3352" s="15" t="s">
        <v>5998</v>
      </c>
    </row>
    <row r="3353" customFormat="false" ht="15" hidden="false" customHeight="false" outlineLevel="0" collapsed="false">
      <c r="A3353" s="15" t="s">
        <v>4839</v>
      </c>
      <c r="B3353" s="15" t="s">
        <v>4841</v>
      </c>
      <c r="C3353" s="15" t="s">
        <v>5999</v>
      </c>
      <c r="D3353" s="34" t="n">
        <f aca="false">Activities!N1358</f>
        <v>2</v>
      </c>
      <c r="E3353" s="15" t="s">
        <v>5998</v>
      </c>
    </row>
    <row r="3354" customFormat="false" ht="15" hidden="false" customHeight="false" outlineLevel="0" collapsed="false">
      <c r="A3354" s="15" t="s">
        <v>4842</v>
      </c>
      <c r="B3354" s="15" t="s">
        <v>4844</v>
      </c>
      <c r="C3354" s="15" t="s">
        <v>5995</v>
      </c>
      <c r="D3354" s="34" t="n">
        <v>0</v>
      </c>
      <c r="E3354" s="15" t="s">
        <v>5996</v>
      </c>
    </row>
    <row r="3355" customFormat="false" ht="15" hidden="false" customHeight="false" outlineLevel="0" collapsed="false">
      <c r="A3355" s="15" t="s">
        <v>4831</v>
      </c>
      <c r="B3355" s="15" t="s">
        <v>4844</v>
      </c>
      <c r="C3355" s="15" t="s">
        <v>5997</v>
      </c>
      <c r="D3355" s="34" t="n">
        <v>0</v>
      </c>
      <c r="E3355" s="15" t="s">
        <v>6000</v>
      </c>
    </row>
    <row r="3356" customFormat="false" ht="15" hidden="false" customHeight="false" outlineLevel="0" collapsed="false">
      <c r="A3356" s="15" t="s">
        <v>4844</v>
      </c>
      <c r="B3356" s="15" t="s">
        <v>4846</v>
      </c>
      <c r="C3356" s="15" t="s">
        <v>5997</v>
      </c>
      <c r="D3356" s="34" t="n">
        <f aca="false">Activities!M1361</f>
        <v>1</v>
      </c>
      <c r="E3356" s="15" t="s">
        <v>5998</v>
      </c>
    </row>
    <row r="3357" customFormat="false" ht="15" hidden="false" customHeight="false" outlineLevel="0" collapsed="false">
      <c r="A3357" s="15" t="s">
        <v>4844</v>
      </c>
      <c r="B3357" s="15" t="s">
        <v>4846</v>
      </c>
      <c r="C3357" s="15" t="s">
        <v>5999</v>
      </c>
      <c r="D3357" s="34" t="n">
        <f aca="false">Activities!N1361</f>
        <v>2</v>
      </c>
      <c r="E3357" s="15" t="s">
        <v>5998</v>
      </c>
    </row>
    <row r="3358" customFormat="false" ht="15" hidden="false" customHeight="false" outlineLevel="0" collapsed="false">
      <c r="A3358" s="15" t="s">
        <v>4846</v>
      </c>
      <c r="B3358" s="15" t="s">
        <v>4847</v>
      </c>
      <c r="C3358" s="15" t="s">
        <v>5997</v>
      </c>
      <c r="D3358" s="34" t="n">
        <f aca="false">Activities!M1362</f>
        <v>1</v>
      </c>
      <c r="E3358" s="15" t="s">
        <v>5998</v>
      </c>
    </row>
    <row r="3359" customFormat="false" ht="15" hidden="false" customHeight="false" outlineLevel="0" collapsed="false">
      <c r="A3359" s="15" t="s">
        <v>4846</v>
      </c>
      <c r="B3359" s="15" t="s">
        <v>4847</v>
      </c>
      <c r="C3359" s="15" t="s">
        <v>5999</v>
      </c>
      <c r="D3359" s="34" t="n">
        <f aca="false">Activities!N1362</f>
        <v>2</v>
      </c>
      <c r="E3359" s="15" t="s">
        <v>5998</v>
      </c>
    </row>
    <row r="3360" customFormat="false" ht="15" hidden="false" customHeight="false" outlineLevel="0" collapsed="false">
      <c r="A3360" s="15" t="s">
        <v>4847</v>
      </c>
      <c r="B3360" s="15" t="s">
        <v>4848</v>
      </c>
      <c r="C3360" s="15" t="s">
        <v>5997</v>
      </c>
      <c r="D3360" s="34" t="n">
        <f aca="false">Activities!M1363</f>
        <v>1</v>
      </c>
      <c r="E3360" s="15" t="s">
        <v>5998</v>
      </c>
    </row>
    <row r="3361" customFormat="false" ht="15" hidden="false" customHeight="false" outlineLevel="0" collapsed="false">
      <c r="A3361" s="15" t="s">
        <v>4847</v>
      </c>
      <c r="B3361" s="15" t="s">
        <v>4848</v>
      </c>
      <c r="C3361" s="15" t="s">
        <v>5999</v>
      </c>
      <c r="D3361" s="34" t="n">
        <f aca="false">Activities!N1363</f>
        <v>2</v>
      </c>
      <c r="E3361" s="15" t="s">
        <v>5998</v>
      </c>
    </row>
    <row r="3362" customFormat="false" ht="15" hidden="false" customHeight="false" outlineLevel="0" collapsed="false">
      <c r="A3362" s="15" t="s">
        <v>4848</v>
      </c>
      <c r="B3362" s="15" t="s">
        <v>4849</v>
      </c>
      <c r="C3362" s="15" t="s">
        <v>5997</v>
      </c>
      <c r="D3362" s="34" t="n">
        <f aca="false">Activities!M1364</f>
        <v>10</v>
      </c>
      <c r="E3362" s="15" t="s">
        <v>5998</v>
      </c>
    </row>
    <row r="3363" customFormat="false" ht="15" hidden="false" customHeight="false" outlineLevel="0" collapsed="false">
      <c r="A3363" s="15" t="s">
        <v>4848</v>
      </c>
      <c r="B3363" s="15" t="s">
        <v>4849</v>
      </c>
      <c r="C3363" s="15" t="s">
        <v>5999</v>
      </c>
      <c r="D3363" s="34" t="n">
        <f aca="false">Activities!N1364</f>
        <v>2</v>
      </c>
      <c r="E3363" s="15" t="s">
        <v>5998</v>
      </c>
    </row>
    <row r="3364" customFormat="false" ht="15" hidden="false" customHeight="false" outlineLevel="0" collapsed="false">
      <c r="A3364" s="15" t="s">
        <v>4849</v>
      </c>
      <c r="B3364" s="15" t="s">
        <v>4850</v>
      </c>
      <c r="C3364" s="15" t="s">
        <v>5997</v>
      </c>
      <c r="D3364" s="34" t="n">
        <f aca="false">Activities!M1365</f>
        <v>1</v>
      </c>
      <c r="E3364" s="15" t="s">
        <v>5998</v>
      </c>
    </row>
    <row r="3365" customFormat="false" ht="15" hidden="false" customHeight="false" outlineLevel="0" collapsed="false">
      <c r="A3365" s="15" t="s">
        <v>4849</v>
      </c>
      <c r="B3365" s="15" t="s">
        <v>4850</v>
      </c>
      <c r="C3365" s="15" t="s">
        <v>5999</v>
      </c>
      <c r="D3365" s="34" t="n">
        <f aca="false">Activities!N1365</f>
        <v>2</v>
      </c>
      <c r="E3365" s="15" t="s">
        <v>5998</v>
      </c>
    </row>
    <row r="3366" customFormat="false" ht="15" hidden="false" customHeight="false" outlineLevel="0" collapsed="false">
      <c r="A3366" s="15" t="s">
        <v>4850</v>
      </c>
      <c r="B3366" s="15" t="s">
        <v>4851</v>
      </c>
      <c r="C3366" s="15" t="s">
        <v>5997</v>
      </c>
      <c r="D3366" s="34" t="n">
        <f aca="false">Activities!M1366</f>
        <v>2</v>
      </c>
      <c r="E3366" s="15" t="s">
        <v>5998</v>
      </c>
    </row>
    <row r="3367" customFormat="false" ht="15" hidden="false" customHeight="false" outlineLevel="0" collapsed="false">
      <c r="A3367" s="15" t="s">
        <v>4850</v>
      </c>
      <c r="B3367" s="15" t="s">
        <v>4851</v>
      </c>
      <c r="C3367" s="15" t="s">
        <v>5999</v>
      </c>
      <c r="D3367" s="34" t="n">
        <f aca="false">Activities!N1366</f>
        <v>2</v>
      </c>
      <c r="E3367" s="15" t="s">
        <v>5998</v>
      </c>
    </row>
    <row r="3368" customFormat="false" ht="15" hidden="false" customHeight="false" outlineLevel="0" collapsed="false">
      <c r="A3368" s="15" t="s">
        <v>4837</v>
      </c>
      <c r="B3368" s="15" t="s">
        <v>4851</v>
      </c>
      <c r="C3368" s="15" t="s">
        <v>5995</v>
      </c>
      <c r="D3368" s="34" t="n">
        <v>0</v>
      </c>
      <c r="E3368" s="15" t="s">
        <v>6001</v>
      </c>
    </row>
    <row r="3369" customFormat="false" ht="15" hidden="false" customHeight="false" outlineLevel="0" collapsed="false">
      <c r="A3369" s="15" t="s">
        <v>4851</v>
      </c>
      <c r="B3369" s="15" t="s">
        <v>4853</v>
      </c>
      <c r="C3369" s="15" t="s">
        <v>5997</v>
      </c>
      <c r="D3369" s="34" t="n">
        <f aca="false">Activities!M1367</f>
        <v>2</v>
      </c>
      <c r="E3369" s="15" t="s">
        <v>5998</v>
      </c>
    </row>
    <row r="3370" customFormat="false" ht="15" hidden="false" customHeight="false" outlineLevel="0" collapsed="false">
      <c r="A3370" s="15" t="s">
        <v>4851</v>
      </c>
      <c r="B3370" s="15" t="s">
        <v>4853</v>
      </c>
      <c r="C3370" s="15" t="s">
        <v>5999</v>
      </c>
      <c r="D3370" s="34" t="n">
        <f aca="false">Activities!N1367</f>
        <v>2</v>
      </c>
      <c r="E3370" s="15" t="s">
        <v>5998</v>
      </c>
    </row>
    <row r="3371" customFormat="false" ht="15" hidden="false" customHeight="false" outlineLevel="0" collapsed="false">
      <c r="A3371" s="15" t="s">
        <v>4853</v>
      </c>
      <c r="B3371" s="15" t="s">
        <v>4854</v>
      </c>
      <c r="C3371" s="15" t="s">
        <v>5997</v>
      </c>
      <c r="D3371" s="34" t="n">
        <f aca="false">Activities!M1368</f>
        <v>2</v>
      </c>
      <c r="E3371" s="15" t="s">
        <v>5998</v>
      </c>
    </row>
    <row r="3372" customFormat="false" ht="15" hidden="false" customHeight="false" outlineLevel="0" collapsed="false">
      <c r="A3372" s="15" t="s">
        <v>4853</v>
      </c>
      <c r="B3372" s="15" t="s">
        <v>4854</v>
      </c>
      <c r="C3372" s="15" t="s">
        <v>5999</v>
      </c>
      <c r="D3372" s="34" t="n">
        <f aca="false">Activities!N1368</f>
        <v>2</v>
      </c>
      <c r="E3372" s="15" t="s">
        <v>5998</v>
      </c>
    </row>
    <row r="3373" customFormat="false" ht="15" hidden="false" customHeight="false" outlineLevel="0" collapsed="false">
      <c r="A3373" s="15" t="s">
        <v>4865</v>
      </c>
      <c r="B3373" s="15" t="s">
        <v>4854</v>
      </c>
      <c r="C3373" s="15" t="s">
        <v>5995</v>
      </c>
      <c r="D3373" s="34" t="n">
        <v>0</v>
      </c>
      <c r="E3373" s="15" t="s">
        <v>6005</v>
      </c>
    </row>
    <row r="3374" customFormat="false" ht="15" hidden="false" customHeight="false" outlineLevel="0" collapsed="false">
      <c r="A3374" s="15" t="s">
        <v>4854</v>
      </c>
      <c r="B3374" s="15" t="s">
        <v>4855</v>
      </c>
      <c r="C3374" s="15" t="s">
        <v>5997</v>
      </c>
      <c r="D3374" s="34" t="n">
        <f aca="false">Activities!M1369</f>
        <v>1</v>
      </c>
      <c r="E3374" s="15" t="s">
        <v>5998</v>
      </c>
    </row>
    <row r="3375" customFormat="false" ht="15" hidden="false" customHeight="false" outlineLevel="0" collapsed="false">
      <c r="A3375" s="15" t="s">
        <v>4854</v>
      </c>
      <c r="B3375" s="15" t="s">
        <v>4855</v>
      </c>
      <c r="C3375" s="15" t="s">
        <v>5999</v>
      </c>
      <c r="D3375" s="34" t="n">
        <f aca="false">Activities!N1369</f>
        <v>2</v>
      </c>
      <c r="E3375" s="15" t="s">
        <v>5998</v>
      </c>
    </row>
    <row r="3376" customFormat="false" ht="15" hidden="false" customHeight="false" outlineLevel="0" collapsed="false">
      <c r="A3376" s="15" t="s">
        <v>4856</v>
      </c>
      <c r="B3376" s="15" t="s">
        <v>4858</v>
      </c>
      <c r="C3376" s="15" t="s">
        <v>5995</v>
      </c>
      <c r="D3376" s="34" t="n">
        <v>0</v>
      </c>
      <c r="E3376" s="15" t="s">
        <v>5996</v>
      </c>
    </row>
    <row r="3377" customFormat="false" ht="15" hidden="false" customHeight="false" outlineLevel="0" collapsed="false">
      <c r="A3377" s="15" t="s">
        <v>4858</v>
      </c>
      <c r="B3377" s="15" t="s">
        <v>4859</v>
      </c>
      <c r="C3377" s="15" t="s">
        <v>5997</v>
      </c>
      <c r="D3377" s="34" t="n">
        <f aca="false">Activities!M1372</f>
        <v>1</v>
      </c>
      <c r="E3377" s="15" t="s">
        <v>5998</v>
      </c>
    </row>
    <row r="3378" customFormat="false" ht="15" hidden="false" customHeight="false" outlineLevel="0" collapsed="false">
      <c r="A3378" s="15" t="s">
        <v>4858</v>
      </c>
      <c r="B3378" s="15" t="s">
        <v>4859</v>
      </c>
      <c r="C3378" s="15" t="s">
        <v>5999</v>
      </c>
      <c r="D3378" s="34" t="n">
        <f aca="false">Activities!N1372</f>
        <v>2</v>
      </c>
      <c r="E3378" s="15" t="s">
        <v>5998</v>
      </c>
    </row>
    <row r="3379" customFormat="false" ht="15" hidden="false" customHeight="false" outlineLevel="0" collapsed="false">
      <c r="A3379" s="15" t="s">
        <v>4859</v>
      </c>
      <c r="B3379" s="15" t="s">
        <v>4860</v>
      </c>
      <c r="C3379" s="15" t="s">
        <v>5997</v>
      </c>
      <c r="D3379" s="34" t="n">
        <f aca="false">Activities!M1373</f>
        <v>3</v>
      </c>
      <c r="E3379" s="15" t="s">
        <v>5998</v>
      </c>
    </row>
    <row r="3380" customFormat="false" ht="15" hidden="false" customHeight="false" outlineLevel="0" collapsed="false">
      <c r="A3380" s="15" t="s">
        <v>4859</v>
      </c>
      <c r="B3380" s="15" t="s">
        <v>4860</v>
      </c>
      <c r="C3380" s="15" t="s">
        <v>5999</v>
      </c>
      <c r="D3380" s="34" t="n">
        <f aca="false">Activities!N1373</f>
        <v>0</v>
      </c>
      <c r="E3380" s="15" t="s">
        <v>5998</v>
      </c>
    </row>
    <row r="3381" customFormat="false" ht="15" hidden="false" customHeight="false" outlineLevel="0" collapsed="false">
      <c r="A3381" s="15" t="s">
        <v>4860</v>
      </c>
      <c r="B3381" s="15" t="s">
        <v>4861</v>
      </c>
      <c r="C3381" s="15" t="s">
        <v>5997</v>
      </c>
      <c r="D3381" s="34" t="n">
        <f aca="false">Activities!M1374</f>
        <v>0</v>
      </c>
      <c r="E3381" s="15" t="s">
        <v>5998</v>
      </c>
    </row>
    <row r="3382" customFormat="false" ht="15" hidden="false" customHeight="false" outlineLevel="0" collapsed="false">
      <c r="A3382" s="15" t="s">
        <v>4860</v>
      </c>
      <c r="B3382" s="15" t="s">
        <v>4861</v>
      </c>
      <c r="C3382" s="15" t="s">
        <v>5999</v>
      </c>
      <c r="D3382" s="34" t="n">
        <f aca="false">Activities!N1374</f>
        <v>2</v>
      </c>
      <c r="E3382" s="15" t="s">
        <v>5998</v>
      </c>
    </row>
    <row r="3383" customFormat="false" ht="15" hidden="false" customHeight="false" outlineLevel="0" collapsed="false">
      <c r="A3383" s="15" t="s">
        <v>4861</v>
      </c>
      <c r="B3383" s="15" t="s">
        <v>4862</v>
      </c>
      <c r="C3383" s="15" t="s">
        <v>5997</v>
      </c>
      <c r="D3383" s="34" t="n">
        <f aca="false">Activities!M1375</f>
        <v>10</v>
      </c>
      <c r="E3383" s="15" t="s">
        <v>5998</v>
      </c>
    </row>
    <row r="3384" customFormat="false" ht="15" hidden="false" customHeight="false" outlineLevel="0" collapsed="false">
      <c r="A3384" s="15" t="s">
        <v>4861</v>
      </c>
      <c r="B3384" s="15" t="s">
        <v>4862</v>
      </c>
      <c r="C3384" s="15" t="s">
        <v>5999</v>
      </c>
      <c r="D3384" s="34" t="n">
        <f aca="false">Activities!N1375</f>
        <v>2</v>
      </c>
      <c r="E3384" s="15" t="s">
        <v>5998</v>
      </c>
    </row>
    <row r="3385" customFormat="false" ht="15" hidden="false" customHeight="false" outlineLevel="0" collapsed="false">
      <c r="A3385" s="15" t="s">
        <v>4849</v>
      </c>
      <c r="B3385" s="15" t="s">
        <v>4862</v>
      </c>
      <c r="C3385" s="15" t="s">
        <v>5997</v>
      </c>
      <c r="D3385" s="34" t="n">
        <v>0</v>
      </c>
      <c r="E3385" s="15" t="s">
        <v>6006</v>
      </c>
    </row>
    <row r="3386" customFormat="false" ht="15" hidden="false" customHeight="false" outlineLevel="0" collapsed="false">
      <c r="A3386" s="15" t="s">
        <v>4835</v>
      </c>
      <c r="B3386" s="15" t="s">
        <v>4862</v>
      </c>
      <c r="C3386" s="15" t="s">
        <v>5997</v>
      </c>
      <c r="D3386" s="34" t="n">
        <v>0</v>
      </c>
      <c r="E3386" s="15" t="s">
        <v>6006</v>
      </c>
    </row>
    <row r="3387" customFormat="false" ht="15" hidden="false" customHeight="false" outlineLevel="0" collapsed="false">
      <c r="A3387" s="15" t="s">
        <v>4862</v>
      </c>
      <c r="B3387" s="15" t="s">
        <v>4864</v>
      </c>
      <c r="C3387" s="15" t="s">
        <v>5997</v>
      </c>
      <c r="D3387" s="34" t="n">
        <f aca="false">Activities!M1376</f>
        <v>2</v>
      </c>
      <c r="E3387" s="15" t="s">
        <v>5998</v>
      </c>
    </row>
    <row r="3388" customFormat="false" ht="15" hidden="false" customHeight="false" outlineLevel="0" collapsed="false">
      <c r="A3388" s="15" t="s">
        <v>4862</v>
      </c>
      <c r="B3388" s="15" t="s">
        <v>4864</v>
      </c>
      <c r="C3388" s="15" t="s">
        <v>5999</v>
      </c>
      <c r="D3388" s="34" t="n">
        <f aca="false">Activities!N1376</f>
        <v>2</v>
      </c>
      <c r="E3388" s="15" t="s">
        <v>5998</v>
      </c>
    </row>
    <row r="3389" customFormat="false" ht="15" hidden="false" customHeight="false" outlineLevel="0" collapsed="false">
      <c r="A3389" s="15" t="s">
        <v>4864</v>
      </c>
      <c r="B3389" s="15" t="s">
        <v>4865</v>
      </c>
      <c r="C3389" s="15" t="s">
        <v>5997</v>
      </c>
      <c r="D3389" s="34" t="n">
        <f aca="false">Activities!M1377</f>
        <v>3</v>
      </c>
      <c r="E3389" s="15" t="s">
        <v>5998</v>
      </c>
    </row>
    <row r="3390" customFormat="false" ht="15" hidden="false" customHeight="false" outlineLevel="0" collapsed="false">
      <c r="A3390" s="15" t="s">
        <v>4864</v>
      </c>
      <c r="B3390" s="15" t="s">
        <v>4865</v>
      </c>
      <c r="C3390" s="15" t="s">
        <v>5999</v>
      </c>
      <c r="D3390" s="34" t="n">
        <f aca="false">Activities!N1377</f>
        <v>2</v>
      </c>
      <c r="E3390" s="15" t="s">
        <v>5998</v>
      </c>
    </row>
    <row r="3391" customFormat="false" ht="15" hidden="false" customHeight="false" outlineLevel="0" collapsed="false">
      <c r="A3391" s="15" t="s">
        <v>4865</v>
      </c>
      <c r="B3391" s="15" t="s">
        <v>4866</v>
      </c>
      <c r="C3391" s="15" t="s">
        <v>5997</v>
      </c>
      <c r="D3391" s="34" t="n">
        <f aca="false">Activities!M1378</f>
        <v>3</v>
      </c>
      <c r="E3391" s="15" t="s">
        <v>5998</v>
      </c>
    </row>
    <row r="3392" customFormat="false" ht="15" hidden="false" customHeight="false" outlineLevel="0" collapsed="false">
      <c r="A3392" s="15" t="s">
        <v>4865</v>
      </c>
      <c r="B3392" s="15" t="s">
        <v>4866</v>
      </c>
      <c r="C3392" s="15" t="s">
        <v>5999</v>
      </c>
      <c r="D3392" s="34" t="n">
        <f aca="false">Activities!N1378</f>
        <v>2</v>
      </c>
      <c r="E3392" s="15" t="s">
        <v>5998</v>
      </c>
    </row>
    <row r="3393" customFormat="false" ht="15" hidden="false" customHeight="false" outlineLevel="0" collapsed="false">
      <c r="A3393" s="15" t="s">
        <v>4866</v>
      </c>
      <c r="B3393" s="15" t="s">
        <v>4867</v>
      </c>
      <c r="C3393" s="15" t="s">
        <v>5997</v>
      </c>
      <c r="D3393" s="34" t="n">
        <f aca="false">Activities!M1379</f>
        <v>2</v>
      </c>
      <c r="E3393" s="15" t="s">
        <v>5998</v>
      </c>
    </row>
    <row r="3394" customFormat="false" ht="15" hidden="false" customHeight="false" outlineLevel="0" collapsed="false">
      <c r="A3394" s="15" t="s">
        <v>4866</v>
      </c>
      <c r="B3394" s="15" t="s">
        <v>4867</v>
      </c>
      <c r="C3394" s="15" t="s">
        <v>5999</v>
      </c>
      <c r="D3394" s="34" t="n">
        <f aca="false">Activities!N1379</f>
        <v>2</v>
      </c>
      <c r="E3394" s="15" t="s">
        <v>5998</v>
      </c>
    </row>
    <row r="3395" customFormat="false" ht="15" hidden="false" customHeight="false" outlineLevel="0" collapsed="false">
      <c r="A3395" s="15" t="s">
        <v>4851</v>
      </c>
      <c r="B3395" s="15" t="s">
        <v>4867</v>
      </c>
      <c r="C3395" s="15" t="s">
        <v>5995</v>
      </c>
      <c r="D3395" s="34" t="n">
        <v>0</v>
      </c>
      <c r="E3395" s="15" t="s">
        <v>6005</v>
      </c>
    </row>
    <row r="3396" customFormat="false" ht="15" hidden="false" customHeight="false" outlineLevel="0" collapsed="false">
      <c r="A3396" s="15" t="s">
        <v>4837</v>
      </c>
      <c r="B3396" s="15" t="s">
        <v>4867</v>
      </c>
      <c r="C3396" s="15" t="s">
        <v>5995</v>
      </c>
      <c r="D3396" s="34" t="n">
        <v>0</v>
      </c>
      <c r="E3396" s="15" t="s">
        <v>6005</v>
      </c>
    </row>
    <row r="3397" customFormat="false" ht="15" hidden="false" customHeight="false" outlineLevel="0" collapsed="false">
      <c r="A3397" s="15" t="s">
        <v>4867</v>
      </c>
      <c r="B3397" s="15" t="s">
        <v>4869</v>
      </c>
      <c r="C3397" s="15" t="s">
        <v>5997</v>
      </c>
      <c r="D3397" s="34" t="n">
        <f aca="false">Activities!M1380</f>
        <v>2</v>
      </c>
      <c r="E3397" s="15" t="s">
        <v>5998</v>
      </c>
    </row>
    <row r="3398" customFormat="false" ht="15" hidden="false" customHeight="false" outlineLevel="0" collapsed="false">
      <c r="A3398" s="15" t="s">
        <v>4867</v>
      </c>
      <c r="B3398" s="15" t="s">
        <v>4869</v>
      </c>
      <c r="C3398" s="15" t="s">
        <v>5999</v>
      </c>
      <c r="D3398" s="34" t="n">
        <f aca="false">Activities!N1380</f>
        <v>2</v>
      </c>
      <c r="E3398" s="15" t="s">
        <v>5998</v>
      </c>
    </row>
    <row r="3399" customFormat="false" ht="15" hidden="false" customHeight="false" outlineLevel="0" collapsed="false">
      <c r="A3399" s="15" t="s">
        <v>4870</v>
      </c>
      <c r="B3399" s="15" t="s">
        <v>4872</v>
      </c>
      <c r="C3399" s="15" t="s">
        <v>5995</v>
      </c>
      <c r="D3399" s="34" t="n">
        <v>0</v>
      </c>
      <c r="E3399" s="15" t="s">
        <v>5996</v>
      </c>
    </row>
    <row r="3400" customFormat="false" ht="15" hidden="false" customHeight="false" outlineLevel="0" collapsed="false">
      <c r="A3400" s="15" t="s">
        <v>4831</v>
      </c>
      <c r="B3400" s="15" t="s">
        <v>4872</v>
      </c>
      <c r="C3400" s="15" t="s">
        <v>5997</v>
      </c>
      <c r="D3400" s="34" t="n">
        <v>0</v>
      </c>
      <c r="E3400" s="15" t="s">
        <v>6002</v>
      </c>
    </row>
    <row r="3401" customFormat="false" ht="15" hidden="false" customHeight="false" outlineLevel="0" collapsed="false">
      <c r="A3401" s="15" t="s">
        <v>4872</v>
      </c>
      <c r="B3401" s="15" t="s">
        <v>4874</v>
      </c>
      <c r="C3401" s="15" t="s">
        <v>5997</v>
      </c>
      <c r="D3401" s="34" t="n">
        <f aca="false">Activities!M1383</f>
        <v>1</v>
      </c>
      <c r="E3401" s="15" t="s">
        <v>5998</v>
      </c>
    </row>
    <row r="3402" customFormat="false" ht="15" hidden="false" customHeight="false" outlineLevel="0" collapsed="false">
      <c r="A3402" s="15" t="s">
        <v>4872</v>
      </c>
      <c r="B3402" s="15" t="s">
        <v>4874</v>
      </c>
      <c r="C3402" s="15" t="s">
        <v>5999</v>
      </c>
      <c r="D3402" s="34" t="n">
        <f aca="false">Activities!N1383</f>
        <v>2</v>
      </c>
      <c r="E3402" s="15" t="s">
        <v>5998</v>
      </c>
    </row>
    <row r="3403" customFormat="false" ht="15" hidden="false" customHeight="false" outlineLevel="0" collapsed="false">
      <c r="A3403" s="15" t="s">
        <v>4831</v>
      </c>
      <c r="B3403" s="15" t="s">
        <v>4874</v>
      </c>
      <c r="C3403" s="15" t="s">
        <v>5995</v>
      </c>
      <c r="D3403" s="34" t="n">
        <v>0</v>
      </c>
      <c r="E3403" s="15" t="s">
        <v>6012</v>
      </c>
    </row>
    <row r="3404" customFormat="false" ht="15" hidden="false" customHeight="false" outlineLevel="0" collapsed="false">
      <c r="A3404" s="15" t="s">
        <v>4874</v>
      </c>
      <c r="B3404" s="15" t="s">
        <v>4875</v>
      </c>
      <c r="C3404" s="15" t="s">
        <v>5997</v>
      </c>
      <c r="D3404" s="34" t="n">
        <f aca="false">Activities!M1384</f>
        <v>2</v>
      </c>
      <c r="E3404" s="15" t="s">
        <v>5998</v>
      </c>
    </row>
    <row r="3405" customFormat="false" ht="15" hidden="false" customHeight="false" outlineLevel="0" collapsed="false">
      <c r="A3405" s="15" t="s">
        <v>4874</v>
      </c>
      <c r="B3405" s="15" t="s">
        <v>4875</v>
      </c>
      <c r="C3405" s="15" t="s">
        <v>5999</v>
      </c>
      <c r="D3405" s="34" t="n">
        <f aca="false">Activities!N1384</f>
        <v>2</v>
      </c>
      <c r="E3405" s="15" t="s">
        <v>5998</v>
      </c>
    </row>
    <row r="3406" customFormat="false" ht="15" hidden="false" customHeight="false" outlineLevel="0" collapsed="false">
      <c r="A3406" s="15" t="s">
        <v>4832</v>
      </c>
      <c r="B3406" s="15" t="s">
        <v>4875</v>
      </c>
      <c r="C3406" s="15" t="s">
        <v>5995</v>
      </c>
      <c r="D3406" s="34" t="n">
        <v>0</v>
      </c>
      <c r="E3406" s="15" t="s">
        <v>6012</v>
      </c>
    </row>
    <row r="3407" customFormat="false" ht="15" hidden="false" customHeight="false" outlineLevel="0" collapsed="false">
      <c r="A3407" s="15" t="s">
        <v>4875</v>
      </c>
      <c r="B3407" s="15" t="s">
        <v>4876</v>
      </c>
      <c r="C3407" s="15" t="s">
        <v>5997</v>
      </c>
      <c r="D3407" s="34" t="n">
        <f aca="false">Activities!M1385</f>
        <v>2</v>
      </c>
      <c r="E3407" s="15" t="s">
        <v>5998</v>
      </c>
    </row>
    <row r="3408" customFormat="false" ht="15" hidden="false" customHeight="false" outlineLevel="0" collapsed="false">
      <c r="A3408" s="15" t="s">
        <v>4875</v>
      </c>
      <c r="B3408" s="15" t="s">
        <v>4876</v>
      </c>
      <c r="C3408" s="15" t="s">
        <v>5999</v>
      </c>
      <c r="D3408" s="34" t="n">
        <f aca="false">Activities!N1385</f>
        <v>2</v>
      </c>
      <c r="E3408" s="15" t="s">
        <v>5998</v>
      </c>
    </row>
    <row r="3409" customFormat="false" ht="15" hidden="false" customHeight="false" outlineLevel="0" collapsed="false">
      <c r="A3409" s="15" t="s">
        <v>4835</v>
      </c>
      <c r="B3409" s="15" t="s">
        <v>4876</v>
      </c>
      <c r="C3409" s="15" t="s">
        <v>5995</v>
      </c>
      <c r="D3409" s="34" t="n">
        <f aca="false">-Activities!K1385</f>
        <v>-10</v>
      </c>
      <c r="E3409" s="15" t="s">
        <v>6004</v>
      </c>
    </row>
    <row r="3410" customFormat="false" ht="15" hidden="false" customHeight="false" outlineLevel="0" collapsed="false">
      <c r="A3410" s="15" t="s">
        <v>4876</v>
      </c>
      <c r="B3410" s="15" t="s">
        <v>4878</v>
      </c>
      <c r="C3410" s="15" t="s">
        <v>5997</v>
      </c>
      <c r="D3410" s="34" t="n">
        <f aca="false">Activities!M1386</f>
        <v>10</v>
      </c>
      <c r="E3410" s="15" t="s">
        <v>5998</v>
      </c>
    </row>
    <row r="3411" customFormat="false" ht="15" hidden="false" customHeight="false" outlineLevel="0" collapsed="false">
      <c r="A3411" s="15" t="s">
        <v>4876</v>
      </c>
      <c r="B3411" s="15" t="s">
        <v>4878</v>
      </c>
      <c r="C3411" s="15" t="s">
        <v>5999</v>
      </c>
      <c r="D3411" s="34" t="n">
        <f aca="false">Activities!N1386</f>
        <v>2</v>
      </c>
      <c r="E3411" s="15" t="s">
        <v>5998</v>
      </c>
    </row>
    <row r="3412" customFormat="false" ht="15" hidden="false" customHeight="false" outlineLevel="0" collapsed="false">
      <c r="A3412" s="15" t="s">
        <v>4835</v>
      </c>
      <c r="B3412" s="15" t="s">
        <v>4878</v>
      </c>
      <c r="C3412" s="15" t="s">
        <v>5995</v>
      </c>
      <c r="D3412" s="34" t="n">
        <v>0</v>
      </c>
      <c r="E3412" s="15" t="s">
        <v>6012</v>
      </c>
    </row>
    <row r="3413" customFormat="false" ht="15" hidden="false" customHeight="false" outlineLevel="0" collapsed="false">
      <c r="A3413" s="15" t="s">
        <v>4878</v>
      </c>
      <c r="B3413" s="15" t="s">
        <v>4879</v>
      </c>
      <c r="C3413" s="15" t="s">
        <v>5997</v>
      </c>
      <c r="D3413" s="34" t="n">
        <f aca="false">Activities!M1387</f>
        <v>1</v>
      </c>
      <c r="E3413" s="15" t="s">
        <v>5998</v>
      </c>
    </row>
    <row r="3414" customFormat="false" ht="15" hidden="false" customHeight="false" outlineLevel="0" collapsed="false">
      <c r="A3414" s="15" t="s">
        <v>4878</v>
      </c>
      <c r="B3414" s="15" t="s">
        <v>4879</v>
      </c>
      <c r="C3414" s="15" t="s">
        <v>5999</v>
      </c>
      <c r="D3414" s="34" t="n">
        <f aca="false">Activities!N1387</f>
        <v>2</v>
      </c>
      <c r="E3414" s="15" t="s">
        <v>5998</v>
      </c>
    </row>
    <row r="3415" customFormat="false" ht="15" hidden="false" customHeight="false" outlineLevel="0" collapsed="false">
      <c r="A3415" s="15" t="s">
        <v>4836</v>
      </c>
      <c r="B3415" s="15" t="s">
        <v>4879</v>
      </c>
      <c r="C3415" s="15" t="s">
        <v>5995</v>
      </c>
      <c r="D3415" s="34" t="n">
        <v>0</v>
      </c>
      <c r="E3415" s="15" t="s">
        <v>6012</v>
      </c>
    </row>
    <row r="3416" customFormat="false" ht="15" hidden="false" customHeight="false" outlineLevel="0" collapsed="false">
      <c r="A3416" s="15" t="s">
        <v>4879</v>
      </c>
      <c r="B3416" s="15" t="s">
        <v>4880</v>
      </c>
      <c r="C3416" s="15" t="s">
        <v>5997</v>
      </c>
      <c r="D3416" s="34" t="n">
        <f aca="false">Activities!M1388</f>
        <v>3</v>
      </c>
      <c r="E3416" s="15" t="s">
        <v>5998</v>
      </c>
    </row>
    <row r="3417" customFormat="false" ht="15" hidden="false" customHeight="false" outlineLevel="0" collapsed="false">
      <c r="A3417" s="15" t="s">
        <v>4879</v>
      </c>
      <c r="B3417" s="15" t="s">
        <v>4880</v>
      </c>
      <c r="C3417" s="15" t="s">
        <v>5999</v>
      </c>
      <c r="D3417" s="34" t="n">
        <f aca="false">Activities!N1388</f>
        <v>2</v>
      </c>
      <c r="E3417" s="15" t="s">
        <v>5998</v>
      </c>
    </row>
    <row r="3418" customFormat="false" ht="15" hidden="false" customHeight="false" outlineLevel="0" collapsed="false">
      <c r="A3418" s="15" t="s">
        <v>4837</v>
      </c>
      <c r="B3418" s="15" t="s">
        <v>4880</v>
      </c>
      <c r="C3418" s="15" t="s">
        <v>5995</v>
      </c>
      <c r="D3418" s="34" t="n">
        <v>0</v>
      </c>
      <c r="E3418" s="15" t="s">
        <v>6012</v>
      </c>
    </row>
    <row r="3419" customFormat="false" ht="15" hidden="false" customHeight="false" outlineLevel="0" collapsed="false">
      <c r="A3419" s="15" t="s">
        <v>4880</v>
      </c>
      <c r="B3419" s="15" t="s">
        <v>4881</v>
      </c>
      <c r="C3419" s="15" t="s">
        <v>5997</v>
      </c>
      <c r="D3419" s="34" t="n">
        <f aca="false">Activities!M1389</f>
        <v>1</v>
      </c>
      <c r="E3419" s="15" t="s">
        <v>5998</v>
      </c>
    </row>
    <row r="3420" customFormat="false" ht="15" hidden="false" customHeight="false" outlineLevel="0" collapsed="false">
      <c r="A3420" s="15" t="s">
        <v>4880</v>
      </c>
      <c r="B3420" s="15" t="s">
        <v>4881</v>
      </c>
      <c r="C3420" s="15" t="s">
        <v>5999</v>
      </c>
      <c r="D3420" s="34" t="n">
        <f aca="false">Activities!N1389</f>
        <v>2</v>
      </c>
      <c r="E3420" s="15" t="s">
        <v>5998</v>
      </c>
    </row>
    <row r="3421" customFormat="false" ht="15" hidden="false" customHeight="false" outlineLevel="0" collapsed="false">
      <c r="A3421" s="15" t="s">
        <v>4881</v>
      </c>
      <c r="B3421" s="15" t="s">
        <v>4882</v>
      </c>
      <c r="C3421" s="15" t="s">
        <v>5997</v>
      </c>
      <c r="D3421" s="34" t="n">
        <f aca="false">Activities!M1390</f>
        <v>2</v>
      </c>
      <c r="E3421" s="15" t="s">
        <v>5998</v>
      </c>
    </row>
    <row r="3422" customFormat="false" ht="15" hidden="false" customHeight="false" outlineLevel="0" collapsed="false">
      <c r="A3422" s="15" t="s">
        <v>4881</v>
      </c>
      <c r="B3422" s="15" t="s">
        <v>4882</v>
      </c>
      <c r="C3422" s="15" t="s">
        <v>5999</v>
      </c>
      <c r="D3422" s="34" t="n">
        <f aca="false">Activities!N1390</f>
        <v>2</v>
      </c>
      <c r="E3422" s="15" t="s">
        <v>5998</v>
      </c>
    </row>
    <row r="3423" customFormat="false" ht="15" hidden="false" customHeight="false" outlineLevel="0" collapsed="false">
      <c r="A3423" s="15" t="s">
        <v>4839</v>
      </c>
      <c r="B3423" s="15" t="s">
        <v>4882</v>
      </c>
      <c r="C3423" s="15" t="s">
        <v>5995</v>
      </c>
      <c r="D3423" s="34" t="n">
        <v>0</v>
      </c>
      <c r="E3423" s="15" t="s">
        <v>6012</v>
      </c>
    </row>
    <row r="3424" customFormat="false" ht="15" hidden="false" customHeight="false" outlineLevel="0" collapsed="false">
      <c r="A3424" s="15" t="s">
        <v>4908</v>
      </c>
      <c r="B3424" s="15" t="s">
        <v>4882</v>
      </c>
      <c r="C3424" s="15" t="s">
        <v>5995</v>
      </c>
      <c r="D3424" s="34" t="n">
        <v>0</v>
      </c>
      <c r="E3424" s="15" t="s">
        <v>6005</v>
      </c>
    </row>
    <row r="3425" customFormat="false" ht="15" hidden="false" customHeight="false" outlineLevel="0" collapsed="false">
      <c r="A3425" s="15" t="s">
        <v>4882</v>
      </c>
      <c r="B3425" s="15" t="s">
        <v>4884</v>
      </c>
      <c r="C3425" s="15" t="s">
        <v>5997</v>
      </c>
      <c r="D3425" s="34" t="n">
        <f aca="false">Activities!M1391</f>
        <v>1</v>
      </c>
      <c r="E3425" s="15" t="s">
        <v>5998</v>
      </c>
    </row>
    <row r="3426" customFormat="false" ht="15" hidden="false" customHeight="false" outlineLevel="0" collapsed="false">
      <c r="A3426" s="15" t="s">
        <v>4882</v>
      </c>
      <c r="B3426" s="15" t="s">
        <v>4884</v>
      </c>
      <c r="C3426" s="15" t="s">
        <v>5999</v>
      </c>
      <c r="D3426" s="34" t="n">
        <f aca="false">Activities!N1391</f>
        <v>2</v>
      </c>
      <c r="E3426" s="15" t="s">
        <v>5998</v>
      </c>
    </row>
    <row r="3427" customFormat="false" ht="15" hidden="false" customHeight="false" outlineLevel="0" collapsed="false">
      <c r="A3427" s="15" t="s">
        <v>4885</v>
      </c>
      <c r="B3427" s="15" t="s">
        <v>4887</v>
      </c>
      <c r="C3427" s="15" t="s">
        <v>5995</v>
      </c>
      <c r="D3427" s="34" t="n">
        <v>0</v>
      </c>
      <c r="E3427" s="15" t="s">
        <v>5996</v>
      </c>
    </row>
    <row r="3428" customFormat="false" ht="15" hidden="false" customHeight="false" outlineLevel="0" collapsed="false">
      <c r="A3428" s="15" t="s">
        <v>4874</v>
      </c>
      <c r="B3428" s="15" t="s">
        <v>4887</v>
      </c>
      <c r="C3428" s="15" t="s">
        <v>5997</v>
      </c>
      <c r="D3428" s="34" t="n">
        <v>0</v>
      </c>
      <c r="E3428" s="15" t="s">
        <v>6000</v>
      </c>
    </row>
    <row r="3429" customFormat="false" ht="15" hidden="false" customHeight="false" outlineLevel="0" collapsed="false">
      <c r="A3429" s="15" t="s">
        <v>4887</v>
      </c>
      <c r="B3429" s="15" t="s">
        <v>4889</v>
      </c>
      <c r="C3429" s="15" t="s">
        <v>5997</v>
      </c>
      <c r="D3429" s="34" t="n">
        <f aca="false">Activities!M1394</f>
        <v>1</v>
      </c>
      <c r="E3429" s="15" t="s">
        <v>5998</v>
      </c>
    </row>
    <row r="3430" customFormat="false" ht="15" hidden="false" customHeight="false" outlineLevel="0" collapsed="false">
      <c r="A3430" s="15" t="s">
        <v>4887</v>
      </c>
      <c r="B3430" s="15" t="s">
        <v>4889</v>
      </c>
      <c r="C3430" s="15" t="s">
        <v>5999</v>
      </c>
      <c r="D3430" s="34" t="n">
        <f aca="false">Activities!N1394</f>
        <v>2</v>
      </c>
      <c r="E3430" s="15" t="s">
        <v>5998</v>
      </c>
    </row>
    <row r="3431" customFormat="false" ht="15" hidden="false" customHeight="false" outlineLevel="0" collapsed="false">
      <c r="A3431" s="15" t="s">
        <v>4889</v>
      </c>
      <c r="B3431" s="15" t="s">
        <v>4890</v>
      </c>
      <c r="C3431" s="15" t="s">
        <v>5997</v>
      </c>
      <c r="D3431" s="34" t="n">
        <f aca="false">Activities!M1395</f>
        <v>1</v>
      </c>
      <c r="E3431" s="15" t="s">
        <v>5998</v>
      </c>
    </row>
    <row r="3432" customFormat="false" ht="15" hidden="false" customHeight="false" outlineLevel="0" collapsed="false">
      <c r="A3432" s="15" t="s">
        <v>4889</v>
      </c>
      <c r="B3432" s="15" t="s">
        <v>4890</v>
      </c>
      <c r="C3432" s="15" t="s">
        <v>5999</v>
      </c>
      <c r="D3432" s="34" t="n">
        <f aca="false">Activities!N1395</f>
        <v>2</v>
      </c>
      <c r="E3432" s="15" t="s">
        <v>5998</v>
      </c>
    </row>
    <row r="3433" customFormat="false" ht="15" hidden="false" customHeight="false" outlineLevel="0" collapsed="false">
      <c r="A3433" s="15" t="s">
        <v>4890</v>
      </c>
      <c r="B3433" s="15" t="s">
        <v>4891</v>
      </c>
      <c r="C3433" s="15" t="s">
        <v>5997</v>
      </c>
      <c r="D3433" s="34" t="n">
        <f aca="false">Activities!M1396</f>
        <v>1</v>
      </c>
      <c r="E3433" s="15" t="s">
        <v>5998</v>
      </c>
    </row>
    <row r="3434" customFormat="false" ht="15" hidden="false" customHeight="false" outlineLevel="0" collapsed="false">
      <c r="A3434" s="15" t="s">
        <v>4890</v>
      </c>
      <c r="B3434" s="15" t="s">
        <v>4891</v>
      </c>
      <c r="C3434" s="15" t="s">
        <v>5999</v>
      </c>
      <c r="D3434" s="34" t="n">
        <f aca="false">Activities!N1396</f>
        <v>2</v>
      </c>
      <c r="E3434" s="15" t="s">
        <v>5998</v>
      </c>
    </row>
    <row r="3435" customFormat="false" ht="15" hidden="false" customHeight="false" outlineLevel="0" collapsed="false">
      <c r="A3435" s="15" t="s">
        <v>4891</v>
      </c>
      <c r="B3435" s="15" t="s">
        <v>4892</v>
      </c>
      <c r="C3435" s="15" t="s">
        <v>5997</v>
      </c>
      <c r="D3435" s="34" t="n">
        <f aca="false">Activities!M1397</f>
        <v>10</v>
      </c>
      <c r="E3435" s="15" t="s">
        <v>5998</v>
      </c>
    </row>
    <row r="3436" customFormat="false" ht="15" hidden="false" customHeight="false" outlineLevel="0" collapsed="false">
      <c r="A3436" s="15" t="s">
        <v>4891</v>
      </c>
      <c r="B3436" s="15" t="s">
        <v>4892</v>
      </c>
      <c r="C3436" s="15" t="s">
        <v>5999</v>
      </c>
      <c r="D3436" s="34" t="n">
        <f aca="false">Activities!N1397</f>
        <v>2</v>
      </c>
      <c r="E3436" s="15" t="s">
        <v>5998</v>
      </c>
    </row>
    <row r="3437" customFormat="false" ht="15" hidden="false" customHeight="false" outlineLevel="0" collapsed="false">
      <c r="A3437" s="15" t="s">
        <v>4892</v>
      </c>
      <c r="B3437" s="15" t="s">
        <v>4893</v>
      </c>
      <c r="C3437" s="15" t="s">
        <v>5997</v>
      </c>
      <c r="D3437" s="34" t="n">
        <f aca="false">Activities!M1398</f>
        <v>1</v>
      </c>
      <c r="E3437" s="15" t="s">
        <v>5998</v>
      </c>
    </row>
    <row r="3438" customFormat="false" ht="15" hidden="false" customHeight="false" outlineLevel="0" collapsed="false">
      <c r="A3438" s="15" t="s">
        <v>4892</v>
      </c>
      <c r="B3438" s="15" t="s">
        <v>4893</v>
      </c>
      <c r="C3438" s="15" t="s">
        <v>5999</v>
      </c>
      <c r="D3438" s="34" t="n">
        <f aca="false">Activities!N1398</f>
        <v>2</v>
      </c>
      <c r="E3438" s="15" t="s">
        <v>5998</v>
      </c>
    </row>
    <row r="3439" customFormat="false" ht="15" hidden="false" customHeight="false" outlineLevel="0" collapsed="false">
      <c r="A3439" s="15" t="s">
        <v>4893</v>
      </c>
      <c r="B3439" s="15" t="s">
        <v>4894</v>
      </c>
      <c r="C3439" s="15" t="s">
        <v>5997</v>
      </c>
      <c r="D3439" s="34" t="n">
        <f aca="false">Activities!M1399</f>
        <v>2</v>
      </c>
      <c r="E3439" s="15" t="s">
        <v>5998</v>
      </c>
    </row>
    <row r="3440" customFormat="false" ht="15" hidden="false" customHeight="false" outlineLevel="0" collapsed="false">
      <c r="A3440" s="15" t="s">
        <v>4893</v>
      </c>
      <c r="B3440" s="15" t="s">
        <v>4894</v>
      </c>
      <c r="C3440" s="15" t="s">
        <v>5999</v>
      </c>
      <c r="D3440" s="34" t="n">
        <f aca="false">Activities!N1399</f>
        <v>2</v>
      </c>
      <c r="E3440" s="15" t="s">
        <v>5998</v>
      </c>
    </row>
    <row r="3441" customFormat="false" ht="15" hidden="false" customHeight="false" outlineLevel="0" collapsed="false">
      <c r="A3441" s="15" t="s">
        <v>4880</v>
      </c>
      <c r="B3441" s="15" t="s">
        <v>4894</v>
      </c>
      <c r="C3441" s="15" t="s">
        <v>5995</v>
      </c>
      <c r="D3441" s="34" t="n">
        <v>0</v>
      </c>
      <c r="E3441" s="15" t="s">
        <v>6001</v>
      </c>
    </row>
    <row r="3442" customFormat="false" ht="15" hidden="false" customHeight="false" outlineLevel="0" collapsed="false">
      <c r="A3442" s="15" t="s">
        <v>4894</v>
      </c>
      <c r="B3442" s="15" t="s">
        <v>4896</v>
      </c>
      <c r="C3442" s="15" t="s">
        <v>5997</v>
      </c>
      <c r="D3442" s="34" t="n">
        <f aca="false">Activities!M1400</f>
        <v>2</v>
      </c>
      <c r="E3442" s="15" t="s">
        <v>5998</v>
      </c>
    </row>
    <row r="3443" customFormat="false" ht="15" hidden="false" customHeight="false" outlineLevel="0" collapsed="false">
      <c r="A3443" s="15" t="s">
        <v>4894</v>
      </c>
      <c r="B3443" s="15" t="s">
        <v>4896</v>
      </c>
      <c r="C3443" s="15" t="s">
        <v>5999</v>
      </c>
      <c r="D3443" s="34" t="n">
        <f aca="false">Activities!N1400</f>
        <v>2</v>
      </c>
      <c r="E3443" s="15" t="s">
        <v>5998</v>
      </c>
    </row>
    <row r="3444" customFormat="false" ht="15" hidden="false" customHeight="false" outlineLevel="0" collapsed="false">
      <c r="A3444" s="15" t="s">
        <v>4896</v>
      </c>
      <c r="B3444" s="15" t="s">
        <v>4897</v>
      </c>
      <c r="C3444" s="15" t="s">
        <v>5997</v>
      </c>
      <c r="D3444" s="34" t="n">
        <f aca="false">Activities!M1401</f>
        <v>2</v>
      </c>
      <c r="E3444" s="15" t="s">
        <v>5998</v>
      </c>
    </row>
    <row r="3445" customFormat="false" ht="15" hidden="false" customHeight="false" outlineLevel="0" collapsed="false">
      <c r="A3445" s="15" t="s">
        <v>4896</v>
      </c>
      <c r="B3445" s="15" t="s">
        <v>4897</v>
      </c>
      <c r="C3445" s="15" t="s">
        <v>5999</v>
      </c>
      <c r="D3445" s="34" t="n">
        <f aca="false">Activities!N1401</f>
        <v>2</v>
      </c>
      <c r="E3445" s="15" t="s">
        <v>5998</v>
      </c>
    </row>
    <row r="3446" customFormat="false" ht="15" hidden="false" customHeight="false" outlineLevel="0" collapsed="false">
      <c r="A3446" s="15" t="s">
        <v>4908</v>
      </c>
      <c r="B3446" s="15" t="s">
        <v>4897</v>
      </c>
      <c r="C3446" s="15" t="s">
        <v>5995</v>
      </c>
      <c r="D3446" s="34" t="n">
        <v>0</v>
      </c>
      <c r="E3446" s="15" t="s">
        <v>6005</v>
      </c>
    </row>
    <row r="3447" customFormat="false" ht="15" hidden="false" customHeight="false" outlineLevel="0" collapsed="false">
      <c r="A3447" s="15" t="s">
        <v>4897</v>
      </c>
      <c r="B3447" s="15" t="s">
        <v>4898</v>
      </c>
      <c r="C3447" s="15" t="s">
        <v>5997</v>
      </c>
      <c r="D3447" s="34" t="n">
        <f aca="false">Activities!M1402</f>
        <v>1</v>
      </c>
      <c r="E3447" s="15" t="s">
        <v>5998</v>
      </c>
    </row>
    <row r="3448" customFormat="false" ht="15" hidden="false" customHeight="false" outlineLevel="0" collapsed="false">
      <c r="A3448" s="15" t="s">
        <v>4897</v>
      </c>
      <c r="B3448" s="15" t="s">
        <v>4898</v>
      </c>
      <c r="C3448" s="15" t="s">
        <v>5999</v>
      </c>
      <c r="D3448" s="34" t="n">
        <f aca="false">Activities!N1402</f>
        <v>2</v>
      </c>
      <c r="E3448" s="15" t="s">
        <v>5998</v>
      </c>
    </row>
    <row r="3449" customFormat="false" ht="15" hidden="false" customHeight="false" outlineLevel="0" collapsed="false">
      <c r="A3449" s="15" t="s">
        <v>4899</v>
      </c>
      <c r="B3449" s="15" t="s">
        <v>4901</v>
      </c>
      <c r="C3449" s="15" t="s">
        <v>5995</v>
      </c>
      <c r="D3449" s="34" t="n">
        <v>0</v>
      </c>
      <c r="E3449" s="15" t="s">
        <v>5996</v>
      </c>
    </row>
    <row r="3450" customFormat="false" ht="15" hidden="false" customHeight="false" outlineLevel="0" collapsed="false">
      <c r="A3450" s="15" t="s">
        <v>4901</v>
      </c>
      <c r="B3450" s="15" t="s">
        <v>4902</v>
      </c>
      <c r="C3450" s="15" t="s">
        <v>5997</v>
      </c>
      <c r="D3450" s="34" t="n">
        <f aca="false">Activities!M1405</f>
        <v>1</v>
      </c>
      <c r="E3450" s="15" t="s">
        <v>5998</v>
      </c>
    </row>
    <row r="3451" customFormat="false" ht="15" hidden="false" customHeight="false" outlineLevel="0" collapsed="false">
      <c r="A3451" s="15" t="s">
        <v>4901</v>
      </c>
      <c r="B3451" s="15" t="s">
        <v>4902</v>
      </c>
      <c r="C3451" s="15" t="s">
        <v>5999</v>
      </c>
      <c r="D3451" s="34" t="n">
        <f aca="false">Activities!N1405</f>
        <v>2</v>
      </c>
      <c r="E3451" s="15" t="s">
        <v>5998</v>
      </c>
    </row>
    <row r="3452" customFormat="false" ht="15" hidden="false" customHeight="false" outlineLevel="0" collapsed="false">
      <c r="A3452" s="15" t="s">
        <v>4902</v>
      </c>
      <c r="B3452" s="15" t="s">
        <v>4903</v>
      </c>
      <c r="C3452" s="15" t="s">
        <v>5997</v>
      </c>
      <c r="D3452" s="34" t="n">
        <f aca="false">Activities!M1406</f>
        <v>3</v>
      </c>
      <c r="E3452" s="15" t="s">
        <v>5998</v>
      </c>
    </row>
    <row r="3453" customFormat="false" ht="15" hidden="false" customHeight="false" outlineLevel="0" collapsed="false">
      <c r="A3453" s="15" t="s">
        <v>4902</v>
      </c>
      <c r="B3453" s="15" t="s">
        <v>4903</v>
      </c>
      <c r="C3453" s="15" t="s">
        <v>5999</v>
      </c>
      <c r="D3453" s="34" t="n">
        <f aca="false">Activities!N1406</f>
        <v>2</v>
      </c>
      <c r="E3453" s="15" t="s">
        <v>5998</v>
      </c>
    </row>
    <row r="3454" customFormat="false" ht="15" hidden="false" customHeight="false" outlineLevel="0" collapsed="false">
      <c r="A3454" s="15" t="s">
        <v>4903</v>
      </c>
      <c r="B3454" s="15" t="s">
        <v>4904</v>
      </c>
      <c r="C3454" s="15" t="s">
        <v>5997</v>
      </c>
      <c r="D3454" s="34" t="n">
        <f aca="false">Activities!M1407</f>
        <v>2</v>
      </c>
      <c r="E3454" s="15" t="s">
        <v>5998</v>
      </c>
    </row>
    <row r="3455" customFormat="false" ht="15" hidden="false" customHeight="false" outlineLevel="0" collapsed="false">
      <c r="A3455" s="15" t="s">
        <v>4903</v>
      </c>
      <c r="B3455" s="15" t="s">
        <v>4904</v>
      </c>
      <c r="C3455" s="15" t="s">
        <v>5999</v>
      </c>
      <c r="D3455" s="34" t="n">
        <f aca="false">Activities!N1407</f>
        <v>2</v>
      </c>
      <c r="E3455" s="15" t="s">
        <v>5998</v>
      </c>
    </row>
    <row r="3456" customFormat="false" ht="15" hidden="false" customHeight="false" outlineLevel="0" collapsed="false">
      <c r="A3456" s="15" t="s">
        <v>4904</v>
      </c>
      <c r="B3456" s="15" t="s">
        <v>4905</v>
      </c>
      <c r="C3456" s="15" t="s">
        <v>5997</v>
      </c>
      <c r="D3456" s="34" t="n">
        <f aca="false">Activities!M1408</f>
        <v>10</v>
      </c>
      <c r="E3456" s="15" t="s">
        <v>5998</v>
      </c>
    </row>
    <row r="3457" customFormat="false" ht="15" hidden="false" customHeight="false" outlineLevel="0" collapsed="false">
      <c r="A3457" s="15" t="s">
        <v>4904</v>
      </c>
      <c r="B3457" s="15" t="s">
        <v>4905</v>
      </c>
      <c r="C3457" s="15" t="s">
        <v>5999</v>
      </c>
      <c r="D3457" s="34" t="n">
        <f aca="false">Activities!N1408</f>
        <v>2</v>
      </c>
      <c r="E3457" s="15" t="s">
        <v>5998</v>
      </c>
    </row>
    <row r="3458" customFormat="false" ht="15" hidden="false" customHeight="false" outlineLevel="0" collapsed="false">
      <c r="A3458" s="15" t="s">
        <v>4754</v>
      </c>
      <c r="B3458" s="15" t="s">
        <v>4905</v>
      </c>
      <c r="C3458" s="15" t="s">
        <v>5995</v>
      </c>
      <c r="D3458" s="34" t="n">
        <v>0</v>
      </c>
      <c r="E3458" s="15" t="s">
        <v>6008</v>
      </c>
    </row>
    <row r="3459" customFormat="false" ht="15" hidden="false" customHeight="false" outlineLevel="0" collapsed="false">
      <c r="A3459" s="15" t="s">
        <v>4892</v>
      </c>
      <c r="B3459" s="15" t="s">
        <v>4905</v>
      </c>
      <c r="C3459" s="15" t="s">
        <v>5997</v>
      </c>
      <c r="D3459" s="34" t="n">
        <v>0</v>
      </c>
      <c r="E3459" s="15" t="s">
        <v>6006</v>
      </c>
    </row>
    <row r="3460" customFormat="false" ht="15" hidden="false" customHeight="false" outlineLevel="0" collapsed="false">
      <c r="A3460" s="15" t="s">
        <v>4878</v>
      </c>
      <c r="B3460" s="15" t="s">
        <v>4905</v>
      </c>
      <c r="C3460" s="15" t="s">
        <v>5997</v>
      </c>
      <c r="D3460" s="34" t="n">
        <v>0</v>
      </c>
      <c r="E3460" s="15" t="s">
        <v>6006</v>
      </c>
    </row>
    <row r="3461" customFormat="false" ht="15" hidden="false" customHeight="false" outlineLevel="0" collapsed="false">
      <c r="A3461" s="15" t="s">
        <v>4905</v>
      </c>
      <c r="B3461" s="15" t="s">
        <v>4907</v>
      </c>
      <c r="C3461" s="15" t="s">
        <v>5997</v>
      </c>
      <c r="D3461" s="34" t="n">
        <f aca="false">Activities!M1409</f>
        <v>1</v>
      </c>
      <c r="E3461" s="15" t="s">
        <v>5998</v>
      </c>
    </row>
    <row r="3462" customFormat="false" ht="15" hidden="false" customHeight="false" outlineLevel="0" collapsed="false">
      <c r="A3462" s="15" t="s">
        <v>4905</v>
      </c>
      <c r="B3462" s="15" t="s">
        <v>4907</v>
      </c>
      <c r="C3462" s="15" t="s">
        <v>5999</v>
      </c>
      <c r="D3462" s="34" t="n">
        <f aca="false">Activities!N1409</f>
        <v>2</v>
      </c>
      <c r="E3462" s="15" t="s">
        <v>5998</v>
      </c>
    </row>
    <row r="3463" customFormat="false" ht="15" hidden="false" customHeight="false" outlineLevel="0" collapsed="false">
      <c r="A3463" s="15" t="s">
        <v>4907</v>
      </c>
      <c r="B3463" s="15" t="s">
        <v>4908</v>
      </c>
      <c r="C3463" s="15" t="s">
        <v>5997</v>
      </c>
      <c r="D3463" s="34" t="n">
        <f aca="false">Activities!M1410</f>
        <v>3</v>
      </c>
      <c r="E3463" s="15" t="s">
        <v>5998</v>
      </c>
    </row>
    <row r="3464" customFormat="false" ht="15" hidden="false" customHeight="false" outlineLevel="0" collapsed="false">
      <c r="A3464" s="15" t="s">
        <v>4907</v>
      </c>
      <c r="B3464" s="15" t="s">
        <v>4908</v>
      </c>
      <c r="C3464" s="15" t="s">
        <v>5999</v>
      </c>
      <c r="D3464" s="34" t="n">
        <f aca="false">Activities!N1410</f>
        <v>2</v>
      </c>
      <c r="E3464" s="15" t="s">
        <v>5998</v>
      </c>
    </row>
    <row r="3465" customFormat="false" ht="15" hidden="false" customHeight="false" outlineLevel="0" collapsed="false">
      <c r="A3465" s="15" t="s">
        <v>4908</v>
      </c>
      <c r="B3465" s="15" t="s">
        <v>4909</v>
      </c>
      <c r="C3465" s="15" t="s">
        <v>5997</v>
      </c>
      <c r="D3465" s="34" t="n">
        <f aca="false">Activities!M1411</f>
        <v>3</v>
      </c>
      <c r="E3465" s="15" t="s">
        <v>5998</v>
      </c>
    </row>
    <row r="3466" customFormat="false" ht="15" hidden="false" customHeight="false" outlineLevel="0" collapsed="false">
      <c r="A3466" s="15" t="s">
        <v>4908</v>
      </c>
      <c r="B3466" s="15" t="s">
        <v>4909</v>
      </c>
      <c r="C3466" s="15" t="s">
        <v>5999</v>
      </c>
      <c r="D3466" s="34" t="n">
        <f aca="false">Activities!N1411</f>
        <v>2</v>
      </c>
      <c r="E3466" s="15" t="s">
        <v>5998</v>
      </c>
    </row>
    <row r="3467" customFormat="false" ht="15" hidden="false" customHeight="false" outlineLevel="0" collapsed="false">
      <c r="A3467" s="15" t="s">
        <v>4909</v>
      </c>
      <c r="B3467" s="15" t="s">
        <v>4910</v>
      </c>
      <c r="C3467" s="15" t="s">
        <v>5997</v>
      </c>
      <c r="D3467" s="34" t="n">
        <f aca="false">Activities!M1412</f>
        <v>2</v>
      </c>
      <c r="E3467" s="15" t="s">
        <v>5998</v>
      </c>
    </row>
    <row r="3468" customFormat="false" ht="15" hidden="false" customHeight="false" outlineLevel="0" collapsed="false">
      <c r="A3468" s="15" t="s">
        <v>4909</v>
      </c>
      <c r="B3468" s="15" t="s">
        <v>4910</v>
      </c>
      <c r="C3468" s="15" t="s">
        <v>5999</v>
      </c>
      <c r="D3468" s="34" t="n">
        <f aca="false">Activities!N1412</f>
        <v>2</v>
      </c>
      <c r="E3468" s="15" t="s">
        <v>5998</v>
      </c>
    </row>
    <row r="3469" customFormat="false" ht="15" hidden="false" customHeight="false" outlineLevel="0" collapsed="false">
      <c r="A3469" s="15" t="s">
        <v>4894</v>
      </c>
      <c r="B3469" s="15" t="s">
        <v>4910</v>
      </c>
      <c r="C3469" s="15" t="s">
        <v>5995</v>
      </c>
      <c r="D3469" s="34" t="n">
        <v>0</v>
      </c>
      <c r="E3469" s="15" t="s">
        <v>6005</v>
      </c>
    </row>
    <row r="3470" customFormat="false" ht="15" hidden="false" customHeight="false" outlineLevel="0" collapsed="false">
      <c r="A3470" s="15" t="s">
        <v>4880</v>
      </c>
      <c r="B3470" s="15" t="s">
        <v>4910</v>
      </c>
      <c r="C3470" s="15" t="s">
        <v>5995</v>
      </c>
      <c r="D3470" s="34" t="n">
        <v>0</v>
      </c>
      <c r="E3470" s="15" t="s">
        <v>6005</v>
      </c>
    </row>
    <row r="3471" customFormat="false" ht="15" hidden="false" customHeight="false" outlineLevel="0" collapsed="false">
      <c r="A3471" s="15" t="s">
        <v>4910</v>
      </c>
      <c r="B3471" s="15" t="s">
        <v>4912</v>
      </c>
      <c r="C3471" s="15" t="s">
        <v>5997</v>
      </c>
      <c r="D3471" s="34" t="n">
        <f aca="false">Activities!M1413</f>
        <v>1</v>
      </c>
      <c r="E3471" s="15" t="s">
        <v>5998</v>
      </c>
    </row>
    <row r="3472" customFormat="false" ht="15" hidden="false" customHeight="false" outlineLevel="0" collapsed="false">
      <c r="A3472" s="15" t="s">
        <v>4910</v>
      </c>
      <c r="B3472" s="15" t="s">
        <v>4912</v>
      </c>
      <c r="C3472" s="15" t="s">
        <v>5999</v>
      </c>
      <c r="D3472" s="34" t="n">
        <f aca="false">Activities!N1413</f>
        <v>2</v>
      </c>
      <c r="E3472" s="15" t="s">
        <v>5998</v>
      </c>
    </row>
    <row r="3473" customFormat="false" ht="15" hidden="false" customHeight="false" outlineLevel="0" collapsed="false">
      <c r="A3473" s="15" t="s">
        <v>4913</v>
      </c>
      <c r="B3473" s="15" t="s">
        <v>4915</v>
      </c>
      <c r="C3473" s="15" t="s">
        <v>5995</v>
      </c>
      <c r="D3473" s="34" t="n">
        <v>0</v>
      </c>
      <c r="E3473" s="15" t="s">
        <v>5996</v>
      </c>
    </row>
    <row r="3474" customFormat="false" ht="15" hidden="false" customHeight="false" outlineLevel="0" collapsed="false">
      <c r="A3474" s="15" t="s">
        <v>4874</v>
      </c>
      <c r="B3474" s="15" t="s">
        <v>4915</v>
      </c>
      <c r="C3474" s="15" t="s">
        <v>5997</v>
      </c>
      <c r="D3474" s="34" t="n">
        <v>0</v>
      </c>
      <c r="E3474" s="15" t="s">
        <v>6002</v>
      </c>
    </row>
    <row r="3475" customFormat="false" ht="15" hidden="false" customHeight="false" outlineLevel="0" collapsed="false">
      <c r="A3475" s="15" t="s">
        <v>4915</v>
      </c>
      <c r="B3475" s="15" t="s">
        <v>4917</v>
      </c>
      <c r="C3475" s="15" t="s">
        <v>5997</v>
      </c>
      <c r="D3475" s="34" t="n">
        <f aca="false">Activities!M1416</f>
        <v>1</v>
      </c>
      <c r="E3475" s="15" t="s">
        <v>5998</v>
      </c>
    </row>
    <row r="3476" customFormat="false" ht="15" hidden="false" customHeight="false" outlineLevel="0" collapsed="false">
      <c r="A3476" s="15" t="s">
        <v>4915</v>
      </c>
      <c r="B3476" s="15" t="s">
        <v>4917</v>
      </c>
      <c r="C3476" s="15" t="s">
        <v>5999</v>
      </c>
      <c r="D3476" s="34" t="n">
        <f aca="false">Activities!N1416</f>
        <v>2</v>
      </c>
      <c r="E3476" s="15" t="s">
        <v>5998</v>
      </c>
    </row>
    <row r="3477" customFormat="false" ht="15" hidden="false" customHeight="false" outlineLevel="0" collapsed="false">
      <c r="A3477" s="15" t="s">
        <v>4874</v>
      </c>
      <c r="B3477" s="15" t="s">
        <v>4917</v>
      </c>
      <c r="C3477" s="15" t="s">
        <v>5995</v>
      </c>
      <c r="D3477" s="34" t="n">
        <v>0</v>
      </c>
      <c r="E3477" s="15" t="s">
        <v>6012</v>
      </c>
    </row>
    <row r="3478" customFormat="false" ht="15" hidden="false" customHeight="false" outlineLevel="0" collapsed="false">
      <c r="A3478" s="15" t="s">
        <v>4917</v>
      </c>
      <c r="B3478" s="15" t="s">
        <v>4918</v>
      </c>
      <c r="C3478" s="15" t="s">
        <v>5997</v>
      </c>
      <c r="D3478" s="34" t="n">
        <f aca="false">Activities!M1417</f>
        <v>2</v>
      </c>
      <c r="E3478" s="15" t="s">
        <v>5998</v>
      </c>
    </row>
    <row r="3479" customFormat="false" ht="15" hidden="false" customHeight="false" outlineLevel="0" collapsed="false">
      <c r="A3479" s="15" t="s">
        <v>4917</v>
      </c>
      <c r="B3479" s="15" t="s">
        <v>4918</v>
      </c>
      <c r="C3479" s="15" t="s">
        <v>5999</v>
      </c>
      <c r="D3479" s="34" t="n">
        <f aca="false">Activities!N1417</f>
        <v>2</v>
      </c>
      <c r="E3479" s="15" t="s">
        <v>5998</v>
      </c>
    </row>
    <row r="3480" customFormat="false" ht="15" hidden="false" customHeight="false" outlineLevel="0" collapsed="false">
      <c r="A3480" s="15" t="s">
        <v>4875</v>
      </c>
      <c r="B3480" s="15" t="s">
        <v>4918</v>
      </c>
      <c r="C3480" s="15" t="s">
        <v>5995</v>
      </c>
      <c r="D3480" s="34" t="n">
        <v>0</v>
      </c>
      <c r="E3480" s="15" t="s">
        <v>6012</v>
      </c>
    </row>
    <row r="3481" customFormat="false" ht="15" hidden="false" customHeight="false" outlineLevel="0" collapsed="false">
      <c r="A3481" s="15" t="s">
        <v>4918</v>
      </c>
      <c r="B3481" s="15" t="s">
        <v>4919</v>
      </c>
      <c r="C3481" s="15" t="s">
        <v>5997</v>
      </c>
      <c r="D3481" s="34" t="n">
        <f aca="false">Activities!M1418</f>
        <v>1</v>
      </c>
      <c r="E3481" s="15" t="s">
        <v>5998</v>
      </c>
    </row>
    <row r="3482" customFormat="false" ht="15" hidden="false" customHeight="false" outlineLevel="0" collapsed="false">
      <c r="A3482" s="15" t="s">
        <v>4918</v>
      </c>
      <c r="B3482" s="15" t="s">
        <v>4919</v>
      </c>
      <c r="C3482" s="15" t="s">
        <v>5999</v>
      </c>
      <c r="D3482" s="34" t="n">
        <f aca="false">Activities!N1418</f>
        <v>2</v>
      </c>
      <c r="E3482" s="15" t="s">
        <v>5998</v>
      </c>
    </row>
    <row r="3483" customFormat="false" ht="15" hidden="false" customHeight="false" outlineLevel="0" collapsed="false">
      <c r="A3483" s="15" t="s">
        <v>4878</v>
      </c>
      <c r="B3483" s="15" t="s">
        <v>4919</v>
      </c>
      <c r="C3483" s="15" t="s">
        <v>5995</v>
      </c>
      <c r="D3483" s="34" t="n">
        <f aca="false">-Activities!K1418</f>
        <v>-10</v>
      </c>
      <c r="E3483" s="15" t="s">
        <v>6004</v>
      </c>
    </row>
    <row r="3484" customFormat="false" ht="15" hidden="false" customHeight="false" outlineLevel="0" collapsed="false">
      <c r="A3484" s="15" t="s">
        <v>4919</v>
      </c>
      <c r="B3484" s="15" t="s">
        <v>4921</v>
      </c>
      <c r="C3484" s="15" t="s">
        <v>5997</v>
      </c>
      <c r="D3484" s="34" t="n">
        <f aca="false">Activities!M1419</f>
        <v>10</v>
      </c>
      <c r="E3484" s="15" t="s">
        <v>5998</v>
      </c>
    </row>
    <row r="3485" customFormat="false" ht="15" hidden="false" customHeight="false" outlineLevel="0" collapsed="false">
      <c r="A3485" s="15" t="s">
        <v>4919</v>
      </c>
      <c r="B3485" s="15" t="s">
        <v>4921</v>
      </c>
      <c r="C3485" s="15" t="s">
        <v>5999</v>
      </c>
      <c r="D3485" s="34" t="n">
        <f aca="false">Activities!N1419</f>
        <v>2</v>
      </c>
      <c r="E3485" s="15" t="s">
        <v>5998</v>
      </c>
    </row>
    <row r="3486" customFormat="false" ht="15" hidden="false" customHeight="false" outlineLevel="0" collapsed="false">
      <c r="A3486" s="15" t="s">
        <v>4878</v>
      </c>
      <c r="B3486" s="15" t="s">
        <v>4921</v>
      </c>
      <c r="C3486" s="15" t="s">
        <v>5995</v>
      </c>
      <c r="D3486" s="34" t="n">
        <v>0</v>
      </c>
      <c r="E3486" s="15" t="s">
        <v>6012</v>
      </c>
    </row>
    <row r="3487" customFormat="false" ht="15" hidden="false" customHeight="false" outlineLevel="0" collapsed="false">
      <c r="A3487" s="15" t="s">
        <v>4921</v>
      </c>
      <c r="B3487" s="15" t="s">
        <v>4922</v>
      </c>
      <c r="C3487" s="15" t="s">
        <v>5997</v>
      </c>
      <c r="D3487" s="34" t="n">
        <f aca="false">Activities!M1420</f>
        <v>1</v>
      </c>
      <c r="E3487" s="15" t="s">
        <v>5998</v>
      </c>
    </row>
    <row r="3488" customFormat="false" ht="15" hidden="false" customHeight="false" outlineLevel="0" collapsed="false">
      <c r="A3488" s="15" t="s">
        <v>4921</v>
      </c>
      <c r="B3488" s="15" t="s">
        <v>4922</v>
      </c>
      <c r="C3488" s="15" t="s">
        <v>5999</v>
      </c>
      <c r="D3488" s="34" t="n">
        <f aca="false">Activities!N1420</f>
        <v>2</v>
      </c>
      <c r="E3488" s="15" t="s">
        <v>5998</v>
      </c>
    </row>
    <row r="3489" customFormat="false" ht="15" hidden="false" customHeight="false" outlineLevel="0" collapsed="false">
      <c r="A3489" s="15" t="s">
        <v>4879</v>
      </c>
      <c r="B3489" s="15" t="s">
        <v>4922</v>
      </c>
      <c r="C3489" s="15" t="s">
        <v>5995</v>
      </c>
      <c r="D3489" s="34" t="n">
        <v>0</v>
      </c>
      <c r="E3489" s="15" t="s">
        <v>6012</v>
      </c>
    </row>
    <row r="3490" customFormat="false" ht="15" hidden="false" customHeight="false" outlineLevel="0" collapsed="false">
      <c r="A3490" s="15" t="s">
        <v>4922</v>
      </c>
      <c r="B3490" s="15" t="s">
        <v>4923</v>
      </c>
      <c r="C3490" s="15" t="s">
        <v>5997</v>
      </c>
      <c r="D3490" s="34" t="n">
        <f aca="false">Activities!M1421</f>
        <v>2</v>
      </c>
      <c r="E3490" s="15" t="s">
        <v>5998</v>
      </c>
    </row>
    <row r="3491" customFormat="false" ht="15" hidden="false" customHeight="false" outlineLevel="0" collapsed="false">
      <c r="A3491" s="15" t="s">
        <v>4922</v>
      </c>
      <c r="B3491" s="15" t="s">
        <v>4923</v>
      </c>
      <c r="C3491" s="15" t="s">
        <v>5999</v>
      </c>
      <c r="D3491" s="34" t="n">
        <f aca="false">Activities!N1421</f>
        <v>2</v>
      </c>
      <c r="E3491" s="15" t="s">
        <v>5998</v>
      </c>
    </row>
    <row r="3492" customFormat="false" ht="15" hidden="false" customHeight="false" outlineLevel="0" collapsed="false">
      <c r="A3492" s="15" t="s">
        <v>4880</v>
      </c>
      <c r="B3492" s="15" t="s">
        <v>4923</v>
      </c>
      <c r="C3492" s="15" t="s">
        <v>5995</v>
      </c>
      <c r="D3492" s="34" t="n">
        <v>0</v>
      </c>
      <c r="E3492" s="15" t="s">
        <v>6012</v>
      </c>
    </row>
    <row r="3493" customFormat="false" ht="15" hidden="false" customHeight="false" outlineLevel="0" collapsed="false">
      <c r="A3493" s="15" t="s">
        <v>4923</v>
      </c>
      <c r="B3493" s="15" t="s">
        <v>4924</v>
      </c>
      <c r="C3493" s="15" t="s">
        <v>5997</v>
      </c>
      <c r="D3493" s="34" t="n">
        <f aca="false">Activities!M1422</f>
        <v>1</v>
      </c>
      <c r="E3493" s="15" t="s">
        <v>5998</v>
      </c>
    </row>
    <row r="3494" customFormat="false" ht="15" hidden="false" customHeight="false" outlineLevel="0" collapsed="false">
      <c r="A3494" s="15" t="s">
        <v>4923</v>
      </c>
      <c r="B3494" s="15" t="s">
        <v>4924</v>
      </c>
      <c r="C3494" s="15" t="s">
        <v>5999</v>
      </c>
      <c r="D3494" s="34" t="n">
        <f aca="false">Activities!N1422</f>
        <v>2</v>
      </c>
      <c r="E3494" s="15" t="s">
        <v>5998</v>
      </c>
    </row>
    <row r="3495" customFormat="false" ht="15" hidden="false" customHeight="false" outlineLevel="0" collapsed="false">
      <c r="A3495" s="15" t="s">
        <v>4924</v>
      </c>
      <c r="B3495" s="15" t="s">
        <v>4925</v>
      </c>
      <c r="C3495" s="15" t="s">
        <v>5997</v>
      </c>
      <c r="D3495" s="34" t="n">
        <f aca="false">Activities!M1423</f>
        <v>2</v>
      </c>
      <c r="E3495" s="15" t="s">
        <v>5998</v>
      </c>
    </row>
    <row r="3496" customFormat="false" ht="15" hidden="false" customHeight="false" outlineLevel="0" collapsed="false">
      <c r="A3496" s="15" t="s">
        <v>4924</v>
      </c>
      <c r="B3496" s="15" t="s">
        <v>4925</v>
      </c>
      <c r="C3496" s="15" t="s">
        <v>5999</v>
      </c>
      <c r="D3496" s="34" t="n">
        <f aca="false">Activities!N1423</f>
        <v>2</v>
      </c>
      <c r="E3496" s="15" t="s">
        <v>5998</v>
      </c>
    </row>
    <row r="3497" customFormat="false" ht="15" hidden="false" customHeight="false" outlineLevel="0" collapsed="false">
      <c r="A3497" s="15" t="s">
        <v>4882</v>
      </c>
      <c r="B3497" s="15" t="s">
        <v>4925</v>
      </c>
      <c r="C3497" s="15" t="s">
        <v>5995</v>
      </c>
      <c r="D3497" s="34" t="n">
        <v>0</v>
      </c>
      <c r="E3497" s="15" t="s">
        <v>6012</v>
      </c>
    </row>
    <row r="3498" customFormat="false" ht="15" hidden="false" customHeight="false" outlineLevel="0" collapsed="false">
      <c r="A3498" s="15" t="s">
        <v>4925</v>
      </c>
      <c r="B3498" s="15" t="s">
        <v>4926</v>
      </c>
      <c r="C3498" s="15" t="s">
        <v>5997</v>
      </c>
      <c r="D3498" s="34" t="n">
        <f aca="false">Activities!M1424</f>
        <v>1</v>
      </c>
      <c r="E3498" s="15" t="s">
        <v>5998</v>
      </c>
    </row>
    <row r="3499" customFormat="false" ht="15" hidden="false" customHeight="false" outlineLevel="0" collapsed="false">
      <c r="A3499" s="15" t="s">
        <v>4925</v>
      </c>
      <c r="B3499" s="15" t="s">
        <v>4926</v>
      </c>
      <c r="C3499" s="15" t="s">
        <v>5999</v>
      </c>
      <c r="D3499" s="34" t="n">
        <f aca="false">Activities!N1424</f>
        <v>2</v>
      </c>
      <c r="E3499" s="15" t="s">
        <v>5998</v>
      </c>
    </row>
    <row r="3500" customFormat="false" ht="15" hidden="false" customHeight="false" outlineLevel="0" collapsed="false">
      <c r="A3500" s="15" t="s">
        <v>4927</v>
      </c>
      <c r="B3500" s="15" t="s">
        <v>4929</v>
      </c>
      <c r="C3500" s="15" t="s">
        <v>5995</v>
      </c>
      <c r="D3500" s="34" t="n">
        <v>0</v>
      </c>
      <c r="E3500" s="15" t="s">
        <v>5996</v>
      </c>
    </row>
    <row r="3501" customFormat="false" ht="15" hidden="false" customHeight="false" outlineLevel="0" collapsed="false">
      <c r="A3501" s="15" t="s">
        <v>4917</v>
      </c>
      <c r="B3501" s="15" t="s">
        <v>4929</v>
      </c>
      <c r="C3501" s="15" t="s">
        <v>5997</v>
      </c>
      <c r="D3501" s="34" t="n">
        <v>0</v>
      </c>
      <c r="E3501" s="15" t="s">
        <v>6002</v>
      </c>
    </row>
    <row r="3502" customFormat="false" ht="15" hidden="false" customHeight="false" outlineLevel="0" collapsed="false">
      <c r="A3502" s="15" t="s">
        <v>4929</v>
      </c>
      <c r="B3502" s="15" t="s">
        <v>4931</v>
      </c>
      <c r="C3502" s="15" t="s">
        <v>5997</v>
      </c>
      <c r="D3502" s="34" t="n">
        <f aca="false">Activities!M1427</f>
        <v>1</v>
      </c>
      <c r="E3502" s="15" t="s">
        <v>5998</v>
      </c>
    </row>
    <row r="3503" customFormat="false" ht="15" hidden="false" customHeight="false" outlineLevel="0" collapsed="false">
      <c r="A3503" s="15" t="s">
        <v>4929</v>
      </c>
      <c r="B3503" s="15" t="s">
        <v>4931</v>
      </c>
      <c r="C3503" s="15" t="s">
        <v>5999</v>
      </c>
      <c r="D3503" s="34" t="n">
        <f aca="false">Activities!N1427</f>
        <v>2</v>
      </c>
      <c r="E3503" s="15" t="s">
        <v>5998</v>
      </c>
    </row>
    <row r="3504" customFormat="false" ht="15" hidden="false" customHeight="false" outlineLevel="0" collapsed="false">
      <c r="A3504" s="15" t="s">
        <v>4917</v>
      </c>
      <c r="B3504" s="15" t="s">
        <v>4931</v>
      </c>
      <c r="C3504" s="15" t="s">
        <v>5995</v>
      </c>
      <c r="D3504" s="34" t="n">
        <v>0</v>
      </c>
      <c r="E3504" s="15" t="s">
        <v>6012</v>
      </c>
    </row>
    <row r="3505" customFormat="false" ht="15" hidden="false" customHeight="false" outlineLevel="0" collapsed="false">
      <c r="A3505" s="15" t="s">
        <v>4931</v>
      </c>
      <c r="B3505" s="15" t="s">
        <v>4932</v>
      </c>
      <c r="C3505" s="15" t="s">
        <v>5997</v>
      </c>
      <c r="D3505" s="34" t="n">
        <f aca="false">Activities!M1428</f>
        <v>3</v>
      </c>
      <c r="E3505" s="15" t="s">
        <v>5998</v>
      </c>
    </row>
    <row r="3506" customFormat="false" ht="15" hidden="false" customHeight="false" outlineLevel="0" collapsed="false">
      <c r="A3506" s="15" t="s">
        <v>4931</v>
      </c>
      <c r="B3506" s="15" t="s">
        <v>4932</v>
      </c>
      <c r="C3506" s="15" t="s">
        <v>5999</v>
      </c>
      <c r="D3506" s="34" t="n">
        <f aca="false">Activities!N1428</f>
        <v>2</v>
      </c>
      <c r="E3506" s="15" t="s">
        <v>5998</v>
      </c>
    </row>
    <row r="3507" customFormat="false" ht="15" hidden="false" customHeight="false" outlineLevel="0" collapsed="false">
      <c r="A3507" s="15" t="s">
        <v>4918</v>
      </c>
      <c r="B3507" s="15" t="s">
        <v>4932</v>
      </c>
      <c r="C3507" s="15" t="s">
        <v>5995</v>
      </c>
      <c r="D3507" s="34" t="n">
        <v>0</v>
      </c>
      <c r="E3507" s="15" t="s">
        <v>6012</v>
      </c>
    </row>
    <row r="3508" customFormat="false" ht="15" hidden="false" customHeight="false" outlineLevel="0" collapsed="false">
      <c r="A3508" s="15" t="s">
        <v>4932</v>
      </c>
      <c r="B3508" s="15" t="s">
        <v>4933</v>
      </c>
      <c r="C3508" s="15" t="s">
        <v>5997</v>
      </c>
      <c r="D3508" s="34" t="n">
        <f aca="false">Activities!M1429</f>
        <v>2</v>
      </c>
      <c r="E3508" s="15" t="s">
        <v>5998</v>
      </c>
    </row>
    <row r="3509" customFormat="false" ht="15" hidden="false" customHeight="false" outlineLevel="0" collapsed="false">
      <c r="A3509" s="15" t="s">
        <v>4932</v>
      </c>
      <c r="B3509" s="15" t="s">
        <v>4933</v>
      </c>
      <c r="C3509" s="15" t="s">
        <v>5999</v>
      </c>
      <c r="D3509" s="34" t="n">
        <f aca="false">Activities!N1429</f>
        <v>2</v>
      </c>
      <c r="E3509" s="15" t="s">
        <v>5998</v>
      </c>
    </row>
    <row r="3510" customFormat="false" ht="15" hidden="false" customHeight="false" outlineLevel="0" collapsed="false">
      <c r="A3510" s="15" t="s">
        <v>4921</v>
      </c>
      <c r="B3510" s="15" t="s">
        <v>4933</v>
      </c>
      <c r="C3510" s="15" t="s">
        <v>5995</v>
      </c>
      <c r="D3510" s="34" t="n">
        <f aca="false">-Activities!K1429</f>
        <v>-10</v>
      </c>
      <c r="E3510" s="15" t="s">
        <v>6004</v>
      </c>
    </row>
    <row r="3511" customFormat="false" ht="15" hidden="false" customHeight="false" outlineLevel="0" collapsed="false">
      <c r="A3511" s="15" t="s">
        <v>4933</v>
      </c>
      <c r="B3511" s="15" t="s">
        <v>4935</v>
      </c>
      <c r="C3511" s="15" t="s">
        <v>5997</v>
      </c>
      <c r="D3511" s="34" t="n">
        <f aca="false">Activities!M1430</f>
        <v>10</v>
      </c>
      <c r="E3511" s="15" t="s">
        <v>5998</v>
      </c>
    </row>
    <row r="3512" customFormat="false" ht="15" hidden="false" customHeight="false" outlineLevel="0" collapsed="false">
      <c r="A3512" s="15" t="s">
        <v>4933</v>
      </c>
      <c r="B3512" s="15" t="s">
        <v>4935</v>
      </c>
      <c r="C3512" s="15" t="s">
        <v>5999</v>
      </c>
      <c r="D3512" s="34" t="n">
        <f aca="false">Activities!N1430</f>
        <v>2</v>
      </c>
      <c r="E3512" s="15" t="s">
        <v>5998</v>
      </c>
    </row>
    <row r="3513" customFormat="false" ht="15" hidden="false" customHeight="false" outlineLevel="0" collapsed="false">
      <c r="A3513" s="15" t="s">
        <v>4921</v>
      </c>
      <c r="B3513" s="15" t="s">
        <v>4935</v>
      </c>
      <c r="C3513" s="15" t="s">
        <v>5995</v>
      </c>
      <c r="D3513" s="34" t="n">
        <v>0</v>
      </c>
      <c r="E3513" s="15" t="s">
        <v>6012</v>
      </c>
    </row>
    <row r="3514" customFormat="false" ht="15" hidden="false" customHeight="false" outlineLevel="0" collapsed="false">
      <c r="A3514" s="15" t="s">
        <v>4935</v>
      </c>
      <c r="B3514" s="15" t="s">
        <v>4936</v>
      </c>
      <c r="C3514" s="15" t="s">
        <v>5997</v>
      </c>
      <c r="D3514" s="34" t="n">
        <f aca="false">Activities!M1431</f>
        <v>1</v>
      </c>
      <c r="E3514" s="15" t="s">
        <v>5998</v>
      </c>
    </row>
    <row r="3515" customFormat="false" ht="15" hidden="false" customHeight="false" outlineLevel="0" collapsed="false">
      <c r="A3515" s="15" t="s">
        <v>4935</v>
      </c>
      <c r="B3515" s="15" t="s">
        <v>4936</v>
      </c>
      <c r="C3515" s="15" t="s">
        <v>5999</v>
      </c>
      <c r="D3515" s="34" t="n">
        <f aca="false">Activities!N1431</f>
        <v>2</v>
      </c>
      <c r="E3515" s="15" t="s">
        <v>5998</v>
      </c>
    </row>
    <row r="3516" customFormat="false" ht="15" hidden="false" customHeight="false" outlineLevel="0" collapsed="false">
      <c r="A3516" s="15" t="s">
        <v>4922</v>
      </c>
      <c r="B3516" s="15" t="s">
        <v>4936</v>
      </c>
      <c r="C3516" s="15" t="s">
        <v>5995</v>
      </c>
      <c r="D3516" s="34" t="n">
        <v>0</v>
      </c>
      <c r="E3516" s="15" t="s">
        <v>6012</v>
      </c>
    </row>
    <row r="3517" customFormat="false" ht="15" hidden="false" customHeight="false" outlineLevel="0" collapsed="false">
      <c r="A3517" s="15" t="s">
        <v>4936</v>
      </c>
      <c r="B3517" s="15" t="s">
        <v>4937</v>
      </c>
      <c r="C3517" s="15" t="s">
        <v>5997</v>
      </c>
      <c r="D3517" s="34" t="n">
        <f aca="false">Activities!M1432</f>
        <v>3</v>
      </c>
      <c r="E3517" s="15" t="s">
        <v>5998</v>
      </c>
    </row>
    <row r="3518" customFormat="false" ht="15" hidden="false" customHeight="false" outlineLevel="0" collapsed="false">
      <c r="A3518" s="15" t="s">
        <v>4936</v>
      </c>
      <c r="B3518" s="15" t="s">
        <v>4937</v>
      </c>
      <c r="C3518" s="15" t="s">
        <v>5999</v>
      </c>
      <c r="D3518" s="34" t="n">
        <f aca="false">Activities!N1432</f>
        <v>2</v>
      </c>
      <c r="E3518" s="15" t="s">
        <v>5998</v>
      </c>
    </row>
    <row r="3519" customFormat="false" ht="15" hidden="false" customHeight="false" outlineLevel="0" collapsed="false">
      <c r="A3519" s="15" t="s">
        <v>4923</v>
      </c>
      <c r="B3519" s="15" t="s">
        <v>4937</v>
      </c>
      <c r="C3519" s="15" t="s">
        <v>5995</v>
      </c>
      <c r="D3519" s="34" t="n">
        <v>0</v>
      </c>
      <c r="E3519" s="15" t="s">
        <v>6012</v>
      </c>
    </row>
    <row r="3520" customFormat="false" ht="15" hidden="false" customHeight="false" outlineLevel="0" collapsed="false">
      <c r="A3520" s="15" t="s">
        <v>4937</v>
      </c>
      <c r="B3520" s="15" t="s">
        <v>4938</v>
      </c>
      <c r="C3520" s="15" t="s">
        <v>5997</v>
      </c>
      <c r="D3520" s="34" t="n">
        <f aca="false">Activities!M1433</f>
        <v>1</v>
      </c>
      <c r="E3520" s="15" t="s">
        <v>5998</v>
      </c>
    </row>
    <row r="3521" customFormat="false" ht="15" hidden="false" customHeight="false" outlineLevel="0" collapsed="false">
      <c r="A3521" s="15" t="s">
        <v>4937</v>
      </c>
      <c r="B3521" s="15" t="s">
        <v>4938</v>
      </c>
      <c r="C3521" s="15" t="s">
        <v>5999</v>
      </c>
      <c r="D3521" s="34" t="n">
        <f aca="false">Activities!N1433</f>
        <v>2</v>
      </c>
      <c r="E3521" s="15" t="s">
        <v>5998</v>
      </c>
    </row>
    <row r="3522" customFormat="false" ht="15" hidden="false" customHeight="false" outlineLevel="0" collapsed="false">
      <c r="A3522" s="15" t="s">
        <v>4938</v>
      </c>
      <c r="B3522" s="15" t="s">
        <v>4939</v>
      </c>
      <c r="C3522" s="15" t="s">
        <v>5997</v>
      </c>
      <c r="D3522" s="34" t="n">
        <f aca="false">Activities!M1434</f>
        <v>2</v>
      </c>
      <c r="E3522" s="15" t="s">
        <v>5998</v>
      </c>
    </row>
    <row r="3523" customFormat="false" ht="15" hidden="false" customHeight="false" outlineLevel="0" collapsed="false">
      <c r="A3523" s="15" t="s">
        <v>4938</v>
      </c>
      <c r="B3523" s="15" t="s">
        <v>4939</v>
      </c>
      <c r="C3523" s="15" t="s">
        <v>5999</v>
      </c>
      <c r="D3523" s="34" t="n">
        <f aca="false">Activities!N1434</f>
        <v>2</v>
      </c>
      <c r="E3523" s="15" t="s">
        <v>5998</v>
      </c>
    </row>
    <row r="3524" customFormat="false" ht="15" hidden="false" customHeight="false" outlineLevel="0" collapsed="false">
      <c r="A3524" s="15" t="s">
        <v>4925</v>
      </c>
      <c r="B3524" s="15" t="s">
        <v>4939</v>
      </c>
      <c r="C3524" s="15" t="s">
        <v>5995</v>
      </c>
      <c r="D3524" s="34" t="n">
        <v>0</v>
      </c>
      <c r="E3524" s="15" t="s">
        <v>6012</v>
      </c>
    </row>
    <row r="3525" customFormat="false" ht="15" hidden="false" customHeight="false" outlineLevel="0" collapsed="false">
      <c r="A3525" s="15" t="s">
        <v>4939</v>
      </c>
      <c r="B3525" s="15" t="s">
        <v>4940</v>
      </c>
      <c r="C3525" s="15" t="s">
        <v>5997</v>
      </c>
      <c r="D3525" s="34" t="n">
        <f aca="false">Activities!M1435</f>
        <v>1</v>
      </c>
      <c r="E3525" s="15" t="s">
        <v>5998</v>
      </c>
    </row>
    <row r="3526" customFormat="false" ht="15" hidden="false" customHeight="false" outlineLevel="0" collapsed="false">
      <c r="A3526" s="15" t="s">
        <v>4939</v>
      </c>
      <c r="B3526" s="15" t="s">
        <v>4940</v>
      </c>
      <c r="C3526" s="15" t="s">
        <v>5999</v>
      </c>
      <c r="D3526" s="34" t="n">
        <f aca="false">Activities!N1435</f>
        <v>2</v>
      </c>
      <c r="E3526" s="15" t="s">
        <v>5998</v>
      </c>
    </row>
    <row r="3527" customFormat="false" ht="15" hidden="false" customHeight="false" outlineLevel="0" collapsed="false">
      <c r="A3527" s="15" t="s">
        <v>4941</v>
      </c>
      <c r="B3527" s="15" t="s">
        <v>4943</v>
      </c>
      <c r="C3527" s="15" t="s">
        <v>5995</v>
      </c>
      <c r="D3527" s="34" t="n">
        <v>0</v>
      </c>
      <c r="E3527" s="15" t="s">
        <v>5996</v>
      </c>
    </row>
    <row r="3528" customFormat="false" ht="15" hidden="false" customHeight="false" outlineLevel="0" collapsed="false">
      <c r="A3528" s="15" t="s">
        <v>4931</v>
      </c>
      <c r="B3528" s="15" t="s">
        <v>4943</v>
      </c>
      <c r="C3528" s="15" t="s">
        <v>5997</v>
      </c>
      <c r="D3528" s="34" t="n">
        <v>0</v>
      </c>
      <c r="E3528" s="15" t="s">
        <v>6002</v>
      </c>
    </row>
    <row r="3529" customFormat="false" ht="15" hidden="false" customHeight="false" outlineLevel="0" collapsed="false">
      <c r="A3529" s="15" t="s">
        <v>4943</v>
      </c>
      <c r="B3529" s="15" t="s">
        <v>4945</v>
      </c>
      <c r="C3529" s="15" t="s">
        <v>5997</v>
      </c>
      <c r="D3529" s="34" t="n">
        <f aca="false">Activities!M1438</f>
        <v>1</v>
      </c>
      <c r="E3529" s="15" t="s">
        <v>5998</v>
      </c>
    </row>
    <row r="3530" customFormat="false" ht="15" hidden="false" customHeight="false" outlineLevel="0" collapsed="false">
      <c r="A3530" s="15" t="s">
        <v>4943</v>
      </c>
      <c r="B3530" s="15" t="s">
        <v>4945</v>
      </c>
      <c r="C3530" s="15" t="s">
        <v>5999</v>
      </c>
      <c r="D3530" s="34" t="n">
        <f aca="false">Activities!N1438</f>
        <v>2</v>
      </c>
      <c r="E3530" s="15" t="s">
        <v>5998</v>
      </c>
    </row>
    <row r="3531" customFormat="false" ht="15" hidden="false" customHeight="false" outlineLevel="0" collapsed="false">
      <c r="A3531" s="15" t="s">
        <v>4931</v>
      </c>
      <c r="B3531" s="15" t="s">
        <v>4945</v>
      </c>
      <c r="C3531" s="15" t="s">
        <v>5995</v>
      </c>
      <c r="D3531" s="34" t="n">
        <v>0</v>
      </c>
      <c r="E3531" s="15" t="s">
        <v>6012</v>
      </c>
    </row>
    <row r="3532" customFormat="false" ht="15" hidden="false" customHeight="false" outlineLevel="0" collapsed="false">
      <c r="A3532" s="15" t="s">
        <v>4945</v>
      </c>
      <c r="B3532" s="15" t="s">
        <v>4946</v>
      </c>
      <c r="C3532" s="15" t="s">
        <v>5997</v>
      </c>
      <c r="D3532" s="34" t="n">
        <f aca="false">Activities!M1439</f>
        <v>2</v>
      </c>
      <c r="E3532" s="15" t="s">
        <v>5998</v>
      </c>
    </row>
    <row r="3533" customFormat="false" ht="15" hidden="false" customHeight="false" outlineLevel="0" collapsed="false">
      <c r="A3533" s="15" t="s">
        <v>4945</v>
      </c>
      <c r="B3533" s="15" t="s">
        <v>4946</v>
      </c>
      <c r="C3533" s="15" t="s">
        <v>5999</v>
      </c>
      <c r="D3533" s="34" t="n">
        <f aca="false">Activities!N1439</f>
        <v>2</v>
      </c>
      <c r="E3533" s="15" t="s">
        <v>5998</v>
      </c>
    </row>
    <row r="3534" customFormat="false" ht="15" hidden="false" customHeight="false" outlineLevel="0" collapsed="false">
      <c r="A3534" s="15" t="s">
        <v>4932</v>
      </c>
      <c r="B3534" s="15" t="s">
        <v>4946</v>
      </c>
      <c r="C3534" s="15" t="s">
        <v>5995</v>
      </c>
      <c r="D3534" s="34" t="n">
        <v>0</v>
      </c>
      <c r="E3534" s="15" t="s">
        <v>6012</v>
      </c>
    </row>
    <row r="3535" customFormat="false" ht="15" hidden="false" customHeight="false" outlineLevel="0" collapsed="false">
      <c r="A3535" s="15" t="s">
        <v>4946</v>
      </c>
      <c r="B3535" s="15" t="s">
        <v>4947</v>
      </c>
      <c r="C3535" s="15" t="s">
        <v>5997</v>
      </c>
      <c r="D3535" s="34" t="n">
        <f aca="false">Activities!M1440</f>
        <v>2</v>
      </c>
      <c r="E3535" s="15" t="s">
        <v>5998</v>
      </c>
    </row>
    <row r="3536" customFormat="false" ht="15" hidden="false" customHeight="false" outlineLevel="0" collapsed="false">
      <c r="A3536" s="15" t="s">
        <v>4946</v>
      </c>
      <c r="B3536" s="15" t="s">
        <v>4947</v>
      </c>
      <c r="C3536" s="15" t="s">
        <v>5999</v>
      </c>
      <c r="D3536" s="34" t="n">
        <f aca="false">Activities!N1440</f>
        <v>2</v>
      </c>
      <c r="E3536" s="15" t="s">
        <v>5998</v>
      </c>
    </row>
    <row r="3537" customFormat="false" ht="15" hidden="false" customHeight="false" outlineLevel="0" collapsed="false">
      <c r="A3537" s="15" t="s">
        <v>4935</v>
      </c>
      <c r="B3537" s="15" t="s">
        <v>4947</v>
      </c>
      <c r="C3537" s="15" t="s">
        <v>5995</v>
      </c>
      <c r="D3537" s="34" t="n">
        <f aca="false">-Activities!K1440</f>
        <v>-10</v>
      </c>
      <c r="E3537" s="15" t="s">
        <v>6004</v>
      </c>
    </row>
    <row r="3538" customFormat="false" ht="15" hidden="false" customHeight="false" outlineLevel="0" collapsed="false">
      <c r="A3538" s="15" t="s">
        <v>4947</v>
      </c>
      <c r="B3538" s="15" t="s">
        <v>4949</v>
      </c>
      <c r="C3538" s="15" t="s">
        <v>5997</v>
      </c>
      <c r="D3538" s="34" t="n">
        <f aca="false">Activities!M1441</f>
        <v>10</v>
      </c>
      <c r="E3538" s="15" t="s">
        <v>5998</v>
      </c>
    </row>
    <row r="3539" customFormat="false" ht="15" hidden="false" customHeight="false" outlineLevel="0" collapsed="false">
      <c r="A3539" s="15" t="s">
        <v>4947</v>
      </c>
      <c r="B3539" s="15" t="s">
        <v>4949</v>
      </c>
      <c r="C3539" s="15" t="s">
        <v>5999</v>
      </c>
      <c r="D3539" s="34" t="n">
        <f aca="false">Activities!N1441</f>
        <v>2</v>
      </c>
      <c r="E3539" s="15" t="s">
        <v>5998</v>
      </c>
    </row>
    <row r="3540" customFormat="false" ht="15" hidden="false" customHeight="false" outlineLevel="0" collapsed="false">
      <c r="A3540" s="15" t="s">
        <v>4935</v>
      </c>
      <c r="B3540" s="15" t="s">
        <v>4949</v>
      </c>
      <c r="C3540" s="15" t="s">
        <v>5995</v>
      </c>
      <c r="D3540" s="34" t="n">
        <v>0</v>
      </c>
      <c r="E3540" s="15" t="s">
        <v>6012</v>
      </c>
    </row>
    <row r="3541" customFormat="false" ht="15" hidden="false" customHeight="false" outlineLevel="0" collapsed="false">
      <c r="A3541" s="15" t="s">
        <v>4949</v>
      </c>
      <c r="B3541" s="15" t="s">
        <v>4950</v>
      </c>
      <c r="C3541" s="15" t="s">
        <v>5997</v>
      </c>
      <c r="D3541" s="34" t="n">
        <f aca="false">Activities!M1442</f>
        <v>1</v>
      </c>
      <c r="E3541" s="15" t="s">
        <v>5998</v>
      </c>
    </row>
    <row r="3542" customFormat="false" ht="15" hidden="false" customHeight="false" outlineLevel="0" collapsed="false">
      <c r="A3542" s="15" t="s">
        <v>4949</v>
      </c>
      <c r="B3542" s="15" t="s">
        <v>4950</v>
      </c>
      <c r="C3542" s="15" t="s">
        <v>5999</v>
      </c>
      <c r="D3542" s="34" t="n">
        <f aca="false">Activities!N1442</f>
        <v>2</v>
      </c>
      <c r="E3542" s="15" t="s">
        <v>5998</v>
      </c>
    </row>
    <row r="3543" customFormat="false" ht="15" hidden="false" customHeight="false" outlineLevel="0" collapsed="false">
      <c r="A3543" s="15" t="s">
        <v>4936</v>
      </c>
      <c r="B3543" s="15" t="s">
        <v>4950</v>
      </c>
      <c r="C3543" s="15" t="s">
        <v>5995</v>
      </c>
      <c r="D3543" s="34" t="n">
        <v>0</v>
      </c>
      <c r="E3543" s="15" t="s">
        <v>6012</v>
      </c>
    </row>
    <row r="3544" customFormat="false" ht="15" hidden="false" customHeight="false" outlineLevel="0" collapsed="false">
      <c r="A3544" s="15" t="s">
        <v>4950</v>
      </c>
      <c r="B3544" s="15" t="s">
        <v>4951</v>
      </c>
      <c r="C3544" s="15" t="s">
        <v>5997</v>
      </c>
      <c r="D3544" s="34" t="n">
        <f aca="false">Activities!M1443</f>
        <v>3</v>
      </c>
      <c r="E3544" s="15" t="s">
        <v>5998</v>
      </c>
    </row>
    <row r="3545" customFormat="false" ht="15" hidden="false" customHeight="false" outlineLevel="0" collapsed="false">
      <c r="A3545" s="15" t="s">
        <v>4950</v>
      </c>
      <c r="B3545" s="15" t="s">
        <v>4951</v>
      </c>
      <c r="C3545" s="15" t="s">
        <v>5999</v>
      </c>
      <c r="D3545" s="34" t="n">
        <f aca="false">Activities!N1443</f>
        <v>2</v>
      </c>
      <c r="E3545" s="15" t="s">
        <v>5998</v>
      </c>
    </row>
    <row r="3546" customFormat="false" ht="15" hidden="false" customHeight="false" outlineLevel="0" collapsed="false">
      <c r="A3546" s="15" t="s">
        <v>4937</v>
      </c>
      <c r="B3546" s="15" t="s">
        <v>4951</v>
      </c>
      <c r="C3546" s="15" t="s">
        <v>5995</v>
      </c>
      <c r="D3546" s="34" t="n">
        <v>0</v>
      </c>
      <c r="E3546" s="15" t="s">
        <v>6012</v>
      </c>
    </row>
    <row r="3547" customFormat="false" ht="15" hidden="false" customHeight="false" outlineLevel="0" collapsed="false">
      <c r="A3547" s="15" t="s">
        <v>4951</v>
      </c>
      <c r="B3547" s="15" t="s">
        <v>4952</v>
      </c>
      <c r="C3547" s="15" t="s">
        <v>5997</v>
      </c>
      <c r="D3547" s="34" t="n">
        <f aca="false">Activities!M1444</f>
        <v>2</v>
      </c>
      <c r="E3547" s="15" t="s">
        <v>5998</v>
      </c>
    </row>
    <row r="3548" customFormat="false" ht="15" hidden="false" customHeight="false" outlineLevel="0" collapsed="false">
      <c r="A3548" s="15" t="s">
        <v>4951</v>
      </c>
      <c r="B3548" s="15" t="s">
        <v>4952</v>
      </c>
      <c r="C3548" s="15" t="s">
        <v>5999</v>
      </c>
      <c r="D3548" s="34" t="n">
        <f aca="false">Activities!N1444</f>
        <v>2</v>
      </c>
      <c r="E3548" s="15" t="s">
        <v>5998</v>
      </c>
    </row>
    <row r="3549" customFormat="false" ht="15" hidden="false" customHeight="false" outlineLevel="0" collapsed="false">
      <c r="A3549" s="15" t="s">
        <v>4952</v>
      </c>
      <c r="B3549" s="15" t="s">
        <v>4953</v>
      </c>
      <c r="C3549" s="15" t="s">
        <v>5997</v>
      </c>
      <c r="D3549" s="34" t="n">
        <f aca="false">Activities!M1445</f>
        <v>2</v>
      </c>
      <c r="E3549" s="15" t="s">
        <v>5998</v>
      </c>
    </row>
    <row r="3550" customFormat="false" ht="15" hidden="false" customHeight="false" outlineLevel="0" collapsed="false">
      <c r="A3550" s="15" t="s">
        <v>4952</v>
      </c>
      <c r="B3550" s="15" t="s">
        <v>4953</v>
      </c>
      <c r="C3550" s="15" t="s">
        <v>5999</v>
      </c>
      <c r="D3550" s="34" t="n">
        <f aca="false">Activities!N1445</f>
        <v>2</v>
      </c>
      <c r="E3550" s="15" t="s">
        <v>5998</v>
      </c>
    </row>
    <row r="3551" customFormat="false" ht="15" hidden="false" customHeight="false" outlineLevel="0" collapsed="false">
      <c r="A3551" s="15" t="s">
        <v>4939</v>
      </c>
      <c r="B3551" s="15" t="s">
        <v>4953</v>
      </c>
      <c r="C3551" s="15" t="s">
        <v>5995</v>
      </c>
      <c r="D3551" s="34" t="n">
        <v>0</v>
      </c>
      <c r="E3551" s="15" t="s">
        <v>6012</v>
      </c>
    </row>
    <row r="3552" customFormat="false" ht="15" hidden="false" customHeight="false" outlineLevel="0" collapsed="false">
      <c r="A3552" s="15" t="s">
        <v>4953</v>
      </c>
      <c r="B3552" s="15" t="s">
        <v>4954</v>
      </c>
      <c r="C3552" s="15" t="s">
        <v>5997</v>
      </c>
      <c r="D3552" s="34" t="n">
        <f aca="false">Activities!M1446</f>
        <v>1</v>
      </c>
      <c r="E3552" s="15" t="s">
        <v>5998</v>
      </c>
    </row>
    <row r="3553" customFormat="false" ht="15" hidden="false" customHeight="false" outlineLevel="0" collapsed="false">
      <c r="A3553" s="15" t="s">
        <v>4953</v>
      </c>
      <c r="B3553" s="15" t="s">
        <v>4954</v>
      </c>
      <c r="C3553" s="15" t="s">
        <v>5999</v>
      </c>
      <c r="D3553" s="34" t="n">
        <f aca="false">Activities!N1446</f>
        <v>2</v>
      </c>
      <c r="E3553" s="15" t="s">
        <v>5998</v>
      </c>
    </row>
    <row r="3554" customFormat="false" ht="15" hidden="false" customHeight="false" outlineLevel="0" collapsed="false">
      <c r="A3554" s="15" t="s">
        <v>4955</v>
      </c>
      <c r="B3554" s="15" t="s">
        <v>4957</v>
      </c>
      <c r="C3554" s="15" t="s">
        <v>5995</v>
      </c>
      <c r="D3554" s="34" t="n">
        <v>0</v>
      </c>
      <c r="E3554" s="15" t="s">
        <v>5996</v>
      </c>
    </row>
    <row r="3555" customFormat="false" ht="15" hidden="false" customHeight="false" outlineLevel="0" collapsed="false">
      <c r="A3555" s="15" t="s">
        <v>4945</v>
      </c>
      <c r="B3555" s="15" t="s">
        <v>4957</v>
      </c>
      <c r="C3555" s="15" t="s">
        <v>5997</v>
      </c>
      <c r="D3555" s="34" t="n">
        <v>0</v>
      </c>
      <c r="E3555" s="15" t="s">
        <v>6002</v>
      </c>
    </row>
    <row r="3556" customFormat="false" ht="15" hidden="false" customHeight="false" outlineLevel="0" collapsed="false">
      <c r="A3556" s="15" t="s">
        <v>4957</v>
      </c>
      <c r="B3556" s="15" t="s">
        <v>4959</v>
      </c>
      <c r="C3556" s="15" t="s">
        <v>5997</v>
      </c>
      <c r="D3556" s="34" t="n">
        <f aca="false">Activities!M1449</f>
        <v>1</v>
      </c>
      <c r="E3556" s="15" t="s">
        <v>5998</v>
      </c>
    </row>
    <row r="3557" customFormat="false" ht="15" hidden="false" customHeight="false" outlineLevel="0" collapsed="false">
      <c r="A3557" s="15" t="s">
        <v>4957</v>
      </c>
      <c r="B3557" s="15" t="s">
        <v>4959</v>
      </c>
      <c r="C3557" s="15" t="s">
        <v>5999</v>
      </c>
      <c r="D3557" s="34" t="n">
        <f aca="false">Activities!N1449</f>
        <v>2</v>
      </c>
      <c r="E3557" s="15" t="s">
        <v>5998</v>
      </c>
    </row>
    <row r="3558" customFormat="false" ht="15" hidden="false" customHeight="false" outlineLevel="0" collapsed="false">
      <c r="A3558" s="15" t="s">
        <v>4945</v>
      </c>
      <c r="B3558" s="15" t="s">
        <v>4959</v>
      </c>
      <c r="C3558" s="15" t="s">
        <v>5995</v>
      </c>
      <c r="D3558" s="34" t="n">
        <v>0</v>
      </c>
      <c r="E3558" s="15" t="s">
        <v>6012</v>
      </c>
    </row>
    <row r="3559" customFormat="false" ht="15" hidden="false" customHeight="false" outlineLevel="0" collapsed="false">
      <c r="A3559" s="15" t="s">
        <v>4959</v>
      </c>
      <c r="B3559" s="15" t="s">
        <v>4960</v>
      </c>
      <c r="C3559" s="15" t="s">
        <v>5997</v>
      </c>
      <c r="D3559" s="34" t="n">
        <f aca="false">Activities!M1450</f>
        <v>3</v>
      </c>
      <c r="E3559" s="15" t="s">
        <v>5998</v>
      </c>
    </row>
    <row r="3560" customFormat="false" ht="15" hidden="false" customHeight="false" outlineLevel="0" collapsed="false">
      <c r="A3560" s="15" t="s">
        <v>4959</v>
      </c>
      <c r="B3560" s="15" t="s">
        <v>4960</v>
      </c>
      <c r="C3560" s="15" t="s">
        <v>5999</v>
      </c>
      <c r="D3560" s="34" t="n">
        <f aca="false">Activities!N1450</f>
        <v>2</v>
      </c>
      <c r="E3560" s="15" t="s">
        <v>5998</v>
      </c>
    </row>
    <row r="3561" customFormat="false" ht="15" hidden="false" customHeight="false" outlineLevel="0" collapsed="false">
      <c r="A3561" s="15" t="s">
        <v>4946</v>
      </c>
      <c r="B3561" s="15" t="s">
        <v>4960</v>
      </c>
      <c r="C3561" s="15" t="s">
        <v>5995</v>
      </c>
      <c r="D3561" s="34" t="n">
        <v>0</v>
      </c>
      <c r="E3561" s="15" t="s">
        <v>6012</v>
      </c>
    </row>
    <row r="3562" customFormat="false" ht="15" hidden="false" customHeight="false" outlineLevel="0" collapsed="false">
      <c r="A3562" s="15" t="s">
        <v>4960</v>
      </c>
      <c r="B3562" s="15" t="s">
        <v>4961</v>
      </c>
      <c r="C3562" s="15" t="s">
        <v>5997</v>
      </c>
      <c r="D3562" s="34" t="n">
        <f aca="false">Activities!M1451</f>
        <v>2</v>
      </c>
      <c r="E3562" s="15" t="s">
        <v>5998</v>
      </c>
    </row>
    <row r="3563" customFormat="false" ht="15" hidden="false" customHeight="false" outlineLevel="0" collapsed="false">
      <c r="A3563" s="15" t="s">
        <v>4960</v>
      </c>
      <c r="B3563" s="15" t="s">
        <v>4961</v>
      </c>
      <c r="C3563" s="15" t="s">
        <v>5999</v>
      </c>
      <c r="D3563" s="34" t="n">
        <f aca="false">Activities!N1451</f>
        <v>2</v>
      </c>
      <c r="E3563" s="15" t="s">
        <v>5998</v>
      </c>
    </row>
    <row r="3564" customFormat="false" ht="15" hidden="false" customHeight="false" outlineLevel="0" collapsed="false">
      <c r="A3564" s="15" t="s">
        <v>4949</v>
      </c>
      <c r="B3564" s="15" t="s">
        <v>4961</v>
      </c>
      <c r="C3564" s="15" t="s">
        <v>5995</v>
      </c>
      <c r="D3564" s="34" t="n">
        <f aca="false">-Activities!K1451</f>
        <v>-11</v>
      </c>
      <c r="E3564" s="15" t="s">
        <v>6004</v>
      </c>
    </row>
    <row r="3565" customFormat="false" ht="15" hidden="false" customHeight="false" outlineLevel="0" collapsed="false">
      <c r="A3565" s="15" t="s">
        <v>4961</v>
      </c>
      <c r="B3565" s="15" t="s">
        <v>4963</v>
      </c>
      <c r="C3565" s="15" t="s">
        <v>5997</v>
      </c>
      <c r="D3565" s="34" t="n">
        <f aca="false">Activities!M1452</f>
        <v>10</v>
      </c>
      <c r="E3565" s="15" t="s">
        <v>5998</v>
      </c>
    </row>
    <row r="3566" customFormat="false" ht="15" hidden="false" customHeight="false" outlineLevel="0" collapsed="false">
      <c r="A3566" s="15" t="s">
        <v>4961</v>
      </c>
      <c r="B3566" s="15" t="s">
        <v>4963</v>
      </c>
      <c r="C3566" s="15" t="s">
        <v>5999</v>
      </c>
      <c r="D3566" s="34" t="n">
        <f aca="false">Activities!N1452</f>
        <v>2</v>
      </c>
      <c r="E3566" s="15" t="s">
        <v>5998</v>
      </c>
    </row>
    <row r="3567" customFormat="false" ht="15" hidden="false" customHeight="false" outlineLevel="0" collapsed="false">
      <c r="A3567" s="15" t="s">
        <v>4949</v>
      </c>
      <c r="B3567" s="15" t="s">
        <v>4963</v>
      </c>
      <c r="C3567" s="15" t="s">
        <v>5995</v>
      </c>
      <c r="D3567" s="34" t="n">
        <v>0</v>
      </c>
      <c r="E3567" s="15" t="s">
        <v>6012</v>
      </c>
    </row>
    <row r="3568" customFormat="false" ht="15" hidden="false" customHeight="false" outlineLevel="0" collapsed="false">
      <c r="A3568" s="15" t="s">
        <v>4963</v>
      </c>
      <c r="B3568" s="15" t="s">
        <v>4964</v>
      </c>
      <c r="C3568" s="15" t="s">
        <v>5997</v>
      </c>
      <c r="D3568" s="34" t="n">
        <f aca="false">Activities!M1453</f>
        <v>2</v>
      </c>
      <c r="E3568" s="15" t="s">
        <v>5998</v>
      </c>
    </row>
    <row r="3569" customFormat="false" ht="15" hidden="false" customHeight="false" outlineLevel="0" collapsed="false">
      <c r="A3569" s="15" t="s">
        <v>4963</v>
      </c>
      <c r="B3569" s="15" t="s">
        <v>4964</v>
      </c>
      <c r="C3569" s="15" t="s">
        <v>5999</v>
      </c>
      <c r="D3569" s="34" t="n">
        <f aca="false">Activities!N1453</f>
        <v>2</v>
      </c>
      <c r="E3569" s="15" t="s">
        <v>5998</v>
      </c>
    </row>
    <row r="3570" customFormat="false" ht="15" hidden="false" customHeight="false" outlineLevel="0" collapsed="false">
      <c r="A3570" s="15" t="s">
        <v>4950</v>
      </c>
      <c r="B3570" s="15" t="s">
        <v>4964</v>
      </c>
      <c r="C3570" s="15" t="s">
        <v>5995</v>
      </c>
      <c r="D3570" s="34" t="n">
        <v>0</v>
      </c>
      <c r="E3570" s="15" t="s">
        <v>6012</v>
      </c>
    </row>
    <row r="3571" customFormat="false" ht="15" hidden="false" customHeight="false" outlineLevel="0" collapsed="false">
      <c r="A3571" s="15" t="s">
        <v>4964</v>
      </c>
      <c r="B3571" s="15" t="s">
        <v>4965</v>
      </c>
      <c r="C3571" s="15" t="s">
        <v>5997</v>
      </c>
      <c r="D3571" s="34" t="n">
        <f aca="false">Activities!M1454</f>
        <v>3</v>
      </c>
      <c r="E3571" s="15" t="s">
        <v>5998</v>
      </c>
    </row>
    <row r="3572" customFormat="false" ht="15" hidden="false" customHeight="false" outlineLevel="0" collapsed="false">
      <c r="A3572" s="15" t="s">
        <v>4964</v>
      </c>
      <c r="B3572" s="15" t="s">
        <v>4965</v>
      </c>
      <c r="C3572" s="15" t="s">
        <v>5999</v>
      </c>
      <c r="D3572" s="34" t="n">
        <f aca="false">Activities!N1454</f>
        <v>2</v>
      </c>
      <c r="E3572" s="15" t="s">
        <v>5998</v>
      </c>
    </row>
    <row r="3573" customFormat="false" ht="15" hidden="false" customHeight="false" outlineLevel="0" collapsed="false">
      <c r="A3573" s="15" t="s">
        <v>4951</v>
      </c>
      <c r="B3573" s="15" t="s">
        <v>4965</v>
      </c>
      <c r="C3573" s="15" t="s">
        <v>5995</v>
      </c>
      <c r="D3573" s="34" t="n">
        <v>0</v>
      </c>
      <c r="E3573" s="15" t="s">
        <v>6012</v>
      </c>
    </row>
    <row r="3574" customFormat="false" ht="15" hidden="false" customHeight="false" outlineLevel="0" collapsed="false">
      <c r="A3574" s="15" t="s">
        <v>4965</v>
      </c>
      <c r="B3574" s="15" t="s">
        <v>4966</v>
      </c>
      <c r="C3574" s="15" t="s">
        <v>5997</v>
      </c>
      <c r="D3574" s="34" t="n">
        <f aca="false">Activities!M1455</f>
        <v>2</v>
      </c>
      <c r="E3574" s="15" t="s">
        <v>5998</v>
      </c>
    </row>
    <row r="3575" customFormat="false" ht="15" hidden="false" customHeight="false" outlineLevel="0" collapsed="false">
      <c r="A3575" s="15" t="s">
        <v>4965</v>
      </c>
      <c r="B3575" s="15" t="s">
        <v>4966</v>
      </c>
      <c r="C3575" s="15" t="s">
        <v>5999</v>
      </c>
      <c r="D3575" s="34" t="n">
        <f aca="false">Activities!N1455</f>
        <v>2</v>
      </c>
      <c r="E3575" s="15" t="s">
        <v>5998</v>
      </c>
    </row>
    <row r="3576" customFormat="false" ht="15" hidden="false" customHeight="false" outlineLevel="0" collapsed="false">
      <c r="A3576" s="15" t="s">
        <v>4966</v>
      </c>
      <c r="B3576" s="15" t="s">
        <v>4967</v>
      </c>
      <c r="C3576" s="15" t="s">
        <v>5997</v>
      </c>
      <c r="D3576" s="34" t="n">
        <f aca="false">Activities!M1456</f>
        <v>2</v>
      </c>
      <c r="E3576" s="15" t="s">
        <v>5998</v>
      </c>
    </row>
    <row r="3577" customFormat="false" ht="15" hidden="false" customHeight="false" outlineLevel="0" collapsed="false">
      <c r="A3577" s="15" t="s">
        <v>4966</v>
      </c>
      <c r="B3577" s="15" t="s">
        <v>4967</v>
      </c>
      <c r="C3577" s="15" t="s">
        <v>5999</v>
      </c>
      <c r="D3577" s="34" t="n">
        <f aca="false">Activities!N1456</f>
        <v>2</v>
      </c>
      <c r="E3577" s="15" t="s">
        <v>5998</v>
      </c>
    </row>
    <row r="3578" customFormat="false" ht="15" hidden="false" customHeight="false" outlineLevel="0" collapsed="false">
      <c r="A3578" s="15" t="s">
        <v>4953</v>
      </c>
      <c r="B3578" s="15" t="s">
        <v>4967</v>
      </c>
      <c r="C3578" s="15" t="s">
        <v>5995</v>
      </c>
      <c r="D3578" s="34" t="n">
        <v>0</v>
      </c>
      <c r="E3578" s="15" t="s">
        <v>6012</v>
      </c>
    </row>
    <row r="3579" customFormat="false" ht="15" hidden="false" customHeight="false" outlineLevel="0" collapsed="false">
      <c r="A3579" s="15" t="s">
        <v>4993</v>
      </c>
      <c r="B3579" s="15" t="s">
        <v>4967</v>
      </c>
      <c r="C3579" s="15" t="s">
        <v>5995</v>
      </c>
      <c r="D3579" s="34" t="n">
        <v>0</v>
      </c>
      <c r="E3579" s="15" t="s">
        <v>6005</v>
      </c>
    </row>
    <row r="3580" customFormat="false" ht="15" hidden="false" customHeight="false" outlineLevel="0" collapsed="false">
      <c r="A3580" s="15" t="s">
        <v>4967</v>
      </c>
      <c r="B3580" s="15" t="s">
        <v>4969</v>
      </c>
      <c r="C3580" s="15" t="s">
        <v>5997</v>
      </c>
      <c r="D3580" s="34" t="n">
        <f aca="false">Activities!M1457</f>
        <v>1</v>
      </c>
      <c r="E3580" s="15" t="s">
        <v>5998</v>
      </c>
    </row>
    <row r="3581" customFormat="false" ht="15" hidden="false" customHeight="false" outlineLevel="0" collapsed="false">
      <c r="A3581" s="15" t="s">
        <v>4967</v>
      </c>
      <c r="B3581" s="15" t="s">
        <v>4969</v>
      </c>
      <c r="C3581" s="15" t="s">
        <v>5999</v>
      </c>
      <c r="D3581" s="34" t="n">
        <f aca="false">Activities!N1457</f>
        <v>2</v>
      </c>
      <c r="E3581" s="15" t="s">
        <v>5998</v>
      </c>
    </row>
    <row r="3582" customFormat="false" ht="15" hidden="false" customHeight="false" outlineLevel="0" collapsed="false">
      <c r="A3582" s="15" t="s">
        <v>4970</v>
      </c>
      <c r="B3582" s="15" t="s">
        <v>4972</v>
      </c>
      <c r="C3582" s="15" t="s">
        <v>5995</v>
      </c>
      <c r="D3582" s="34" t="n">
        <v>0</v>
      </c>
      <c r="E3582" s="15" t="s">
        <v>5996</v>
      </c>
    </row>
    <row r="3583" customFormat="false" ht="15" hidden="false" customHeight="false" outlineLevel="0" collapsed="false">
      <c r="A3583" s="15" t="s">
        <v>4959</v>
      </c>
      <c r="B3583" s="15" t="s">
        <v>4972</v>
      </c>
      <c r="C3583" s="15" t="s">
        <v>5997</v>
      </c>
      <c r="D3583" s="34" t="n">
        <v>0</v>
      </c>
      <c r="E3583" s="15" t="s">
        <v>6000</v>
      </c>
    </row>
    <row r="3584" customFormat="false" ht="15" hidden="false" customHeight="false" outlineLevel="0" collapsed="false">
      <c r="A3584" s="15" t="s">
        <v>4972</v>
      </c>
      <c r="B3584" s="15" t="s">
        <v>4974</v>
      </c>
      <c r="C3584" s="15" t="s">
        <v>5997</v>
      </c>
      <c r="D3584" s="34" t="n">
        <f aca="false">Activities!M1460</f>
        <v>1</v>
      </c>
      <c r="E3584" s="15" t="s">
        <v>5998</v>
      </c>
    </row>
    <row r="3585" customFormat="false" ht="15" hidden="false" customHeight="false" outlineLevel="0" collapsed="false">
      <c r="A3585" s="15" t="s">
        <v>4972</v>
      </c>
      <c r="B3585" s="15" t="s">
        <v>4974</v>
      </c>
      <c r="C3585" s="15" t="s">
        <v>5999</v>
      </c>
      <c r="D3585" s="34" t="n">
        <f aca="false">Activities!N1460</f>
        <v>2</v>
      </c>
      <c r="E3585" s="15" t="s">
        <v>5998</v>
      </c>
    </row>
    <row r="3586" customFormat="false" ht="15" hidden="false" customHeight="false" outlineLevel="0" collapsed="false">
      <c r="A3586" s="15" t="s">
        <v>4974</v>
      </c>
      <c r="B3586" s="15" t="s">
        <v>4975</v>
      </c>
      <c r="C3586" s="15" t="s">
        <v>5997</v>
      </c>
      <c r="D3586" s="34" t="n">
        <f aca="false">Activities!M1461</f>
        <v>1</v>
      </c>
      <c r="E3586" s="15" t="s">
        <v>5998</v>
      </c>
    </row>
    <row r="3587" customFormat="false" ht="15" hidden="false" customHeight="false" outlineLevel="0" collapsed="false">
      <c r="A3587" s="15" t="s">
        <v>4974</v>
      </c>
      <c r="B3587" s="15" t="s">
        <v>4975</v>
      </c>
      <c r="C3587" s="15" t="s">
        <v>5999</v>
      </c>
      <c r="D3587" s="34" t="n">
        <f aca="false">Activities!N1461</f>
        <v>2</v>
      </c>
      <c r="E3587" s="15" t="s">
        <v>5998</v>
      </c>
    </row>
    <row r="3588" customFormat="false" ht="15" hidden="false" customHeight="false" outlineLevel="0" collapsed="false">
      <c r="A3588" s="15" t="s">
        <v>4975</v>
      </c>
      <c r="B3588" s="15" t="s">
        <v>4976</v>
      </c>
      <c r="C3588" s="15" t="s">
        <v>5997</v>
      </c>
      <c r="D3588" s="34" t="n">
        <f aca="false">Activities!M1462</f>
        <v>1</v>
      </c>
      <c r="E3588" s="15" t="s">
        <v>5998</v>
      </c>
    </row>
    <row r="3589" customFormat="false" ht="15" hidden="false" customHeight="false" outlineLevel="0" collapsed="false">
      <c r="A3589" s="15" t="s">
        <v>4975</v>
      </c>
      <c r="B3589" s="15" t="s">
        <v>4976</v>
      </c>
      <c r="C3589" s="15" t="s">
        <v>5999</v>
      </c>
      <c r="D3589" s="34" t="n">
        <f aca="false">Activities!N1462</f>
        <v>2</v>
      </c>
      <c r="E3589" s="15" t="s">
        <v>5998</v>
      </c>
    </row>
    <row r="3590" customFormat="false" ht="15" hidden="false" customHeight="false" outlineLevel="0" collapsed="false">
      <c r="A3590" s="15" t="s">
        <v>4976</v>
      </c>
      <c r="B3590" s="15" t="s">
        <v>4977</v>
      </c>
      <c r="C3590" s="15" t="s">
        <v>5997</v>
      </c>
      <c r="D3590" s="34" t="n">
        <f aca="false">Activities!M1463</f>
        <v>10</v>
      </c>
      <c r="E3590" s="15" t="s">
        <v>5998</v>
      </c>
    </row>
    <row r="3591" customFormat="false" ht="15" hidden="false" customHeight="false" outlineLevel="0" collapsed="false">
      <c r="A3591" s="15" t="s">
        <v>4976</v>
      </c>
      <c r="B3591" s="15" t="s">
        <v>4977</v>
      </c>
      <c r="C3591" s="15" t="s">
        <v>5999</v>
      </c>
      <c r="D3591" s="34" t="n">
        <f aca="false">Activities!N1463</f>
        <v>2</v>
      </c>
      <c r="E3591" s="15" t="s">
        <v>5998</v>
      </c>
    </row>
    <row r="3592" customFormat="false" ht="15" hidden="false" customHeight="false" outlineLevel="0" collapsed="false">
      <c r="A3592" s="15" t="s">
        <v>4977</v>
      </c>
      <c r="B3592" s="15" t="s">
        <v>4978</v>
      </c>
      <c r="C3592" s="15" t="s">
        <v>5997</v>
      </c>
      <c r="D3592" s="34" t="n">
        <f aca="false">Activities!M1464</f>
        <v>1</v>
      </c>
      <c r="E3592" s="15" t="s">
        <v>5998</v>
      </c>
    </row>
    <row r="3593" customFormat="false" ht="15" hidden="false" customHeight="false" outlineLevel="0" collapsed="false">
      <c r="A3593" s="15" t="s">
        <v>4977</v>
      </c>
      <c r="B3593" s="15" t="s">
        <v>4978</v>
      </c>
      <c r="C3593" s="15" t="s">
        <v>5999</v>
      </c>
      <c r="D3593" s="34" t="n">
        <f aca="false">Activities!N1464</f>
        <v>2</v>
      </c>
      <c r="E3593" s="15" t="s">
        <v>5998</v>
      </c>
    </row>
    <row r="3594" customFormat="false" ht="15" hidden="false" customHeight="false" outlineLevel="0" collapsed="false">
      <c r="A3594" s="15" t="s">
        <v>4978</v>
      </c>
      <c r="B3594" s="15" t="s">
        <v>4979</v>
      </c>
      <c r="C3594" s="15" t="s">
        <v>5997</v>
      </c>
      <c r="D3594" s="34" t="n">
        <f aca="false">Activities!M1465</f>
        <v>2</v>
      </c>
      <c r="E3594" s="15" t="s">
        <v>5998</v>
      </c>
    </row>
    <row r="3595" customFormat="false" ht="15" hidden="false" customHeight="false" outlineLevel="0" collapsed="false">
      <c r="A3595" s="15" t="s">
        <v>4978</v>
      </c>
      <c r="B3595" s="15" t="s">
        <v>4979</v>
      </c>
      <c r="C3595" s="15" t="s">
        <v>5999</v>
      </c>
      <c r="D3595" s="34" t="n">
        <f aca="false">Activities!N1465</f>
        <v>2</v>
      </c>
      <c r="E3595" s="15" t="s">
        <v>5998</v>
      </c>
    </row>
    <row r="3596" customFormat="false" ht="15" hidden="false" customHeight="false" outlineLevel="0" collapsed="false">
      <c r="A3596" s="15" t="s">
        <v>4965</v>
      </c>
      <c r="B3596" s="15" t="s">
        <v>4979</v>
      </c>
      <c r="C3596" s="15" t="s">
        <v>5995</v>
      </c>
      <c r="D3596" s="34" t="n">
        <v>0</v>
      </c>
      <c r="E3596" s="15" t="s">
        <v>6001</v>
      </c>
    </row>
    <row r="3597" customFormat="false" ht="15" hidden="false" customHeight="false" outlineLevel="0" collapsed="false">
      <c r="A3597" s="15" t="s">
        <v>4979</v>
      </c>
      <c r="B3597" s="15" t="s">
        <v>4981</v>
      </c>
      <c r="C3597" s="15" t="s">
        <v>5997</v>
      </c>
      <c r="D3597" s="34" t="n">
        <f aca="false">Activities!M1466</f>
        <v>2</v>
      </c>
      <c r="E3597" s="15" t="s">
        <v>5998</v>
      </c>
    </row>
    <row r="3598" customFormat="false" ht="15" hidden="false" customHeight="false" outlineLevel="0" collapsed="false">
      <c r="A3598" s="15" t="s">
        <v>4979</v>
      </c>
      <c r="B3598" s="15" t="s">
        <v>4981</v>
      </c>
      <c r="C3598" s="15" t="s">
        <v>5999</v>
      </c>
      <c r="D3598" s="34" t="n">
        <f aca="false">Activities!N1466</f>
        <v>2</v>
      </c>
      <c r="E3598" s="15" t="s">
        <v>5998</v>
      </c>
    </row>
    <row r="3599" customFormat="false" ht="15" hidden="false" customHeight="false" outlineLevel="0" collapsed="false">
      <c r="A3599" s="15" t="s">
        <v>4981</v>
      </c>
      <c r="B3599" s="15" t="s">
        <v>4982</v>
      </c>
      <c r="C3599" s="15" t="s">
        <v>5997</v>
      </c>
      <c r="D3599" s="34" t="n">
        <f aca="false">Activities!M1467</f>
        <v>2</v>
      </c>
      <c r="E3599" s="15" t="s">
        <v>5998</v>
      </c>
    </row>
    <row r="3600" customFormat="false" ht="15" hidden="false" customHeight="false" outlineLevel="0" collapsed="false">
      <c r="A3600" s="15" t="s">
        <v>4981</v>
      </c>
      <c r="B3600" s="15" t="s">
        <v>4982</v>
      </c>
      <c r="C3600" s="15" t="s">
        <v>5999</v>
      </c>
      <c r="D3600" s="34" t="n">
        <f aca="false">Activities!N1467</f>
        <v>2</v>
      </c>
      <c r="E3600" s="15" t="s">
        <v>5998</v>
      </c>
    </row>
    <row r="3601" customFormat="false" ht="15" hidden="false" customHeight="false" outlineLevel="0" collapsed="false">
      <c r="A3601" s="15" t="s">
        <v>4993</v>
      </c>
      <c r="B3601" s="15" t="s">
        <v>4982</v>
      </c>
      <c r="C3601" s="15" t="s">
        <v>5995</v>
      </c>
      <c r="D3601" s="34" t="n">
        <v>0</v>
      </c>
      <c r="E3601" s="15" t="s">
        <v>6005</v>
      </c>
    </row>
    <row r="3602" customFormat="false" ht="15" hidden="false" customHeight="false" outlineLevel="0" collapsed="false">
      <c r="A3602" s="15" t="s">
        <v>4982</v>
      </c>
      <c r="B3602" s="15" t="s">
        <v>4983</v>
      </c>
      <c r="C3602" s="15" t="s">
        <v>5997</v>
      </c>
      <c r="D3602" s="34" t="n">
        <f aca="false">Activities!M1468</f>
        <v>1</v>
      </c>
      <c r="E3602" s="15" t="s">
        <v>5998</v>
      </c>
    </row>
    <row r="3603" customFormat="false" ht="15" hidden="false" customHeight="false" outlineLevel="0" collapsed="false">
      <c r="A3603" s="15" t="s">
        <v>4982</v>
      </c>
      <c r="B3603" s="15" t="s">
        <v>4983</v>
      </c>
      <c r="C3603" s="15" t="s">
        <v>5999</v>
      </c>
      <c r="D3603" s="34" t="n">
        <f aca="false">Activities!N1468</f>
        <v>2</v>
      </c>
      <c r="E3603" s="15" t="s">
        <v>5998</v>
      </c>
    </row>
    <row r="3604" customFormat="false" ht="15" hidden="false" customHeight="false" outlineLevel="0" collapsed="false">
      <c r="A3604" s="15" t="s">
        <v>4984</v>
      </c>
      <c r="B3604" s="15" t="s">
        <v>4986</v>
      </c>
      <c r="C3604" s="15" t="s">
        <v>5995</v>
      </c>
      <c r="D3604" s="34" t="n">
        <v>0</v>
      </c>
      <c r="E3604" s="15" t="s">
        <v>5996</v>
      </c>
    </row>
    <row r="3605" customFormat="false" ht="15" hidden="false" customHeight="false" outlineLevel="0" collapsed="false">
      <c r="A3605" s="15" t="s">
        <v>4986</v>
      </c>
      <c r="B3605" s="15" t="s">
        <v>4987</v>
      </c>
      <c r="C3605" s="15" t="s">
        <v>5997</v>
      </c>
      <c r="D3605" s="34" t="n">
        <f aca="false">Activities!M1471</f>
        <v>1</v>
      </c>
      <c r="E3605" s="15" t="s">
        <v>5998</v>
      </c>
    </row>
    <row r="3606" customFormat="false" ht="15" hidden="false" customHeight="false" outlineLevel="0" collapsed="false">
      <c r="A3606" s="15" t="s">
        <v>4986</v>
      </c>
      <c r="B3606" s="15" t="s">
        <v>4987</v>
      </c>
      <c r="C3606" s="15" t="s">
        <v>5999</v>
      </c>
      <c r="D3606" s="34" t="n">
        <f aca="false">Activities!N1471</f>
        <v>2</v>
      </c>
      <c r="E3606" s="15" t="s">
        <v>5998</v>
      </c>
    </row>
    <row r="3607" customFormat="false" ht="15" hidden="false" customHeight="false" outlineLevel="0" collapsed="false">
      <c r="A3607" s="15" t="s">
        <v>4987</v>
      </c>
      <c r="B3607" s="15" t="s">
        <v>4988</v>
      </c>
      <c r="C3607" s="15" t="s">
        <v>5997</v>
      </c>
      <c r="D3607" s="34" t="n">
        <f aca="false">Activities!M1472</f>
        <v>3</v>
      </c>
      <c r="E3607" s="15" t="s">
        <v>5998</v>
      </c>
    </row>
    <row r="3608" customFormat="false" ht="15" hidden="false" customHeight="false" outlineLevel="0" collapsed="false">
      <c r="A3608" s="15" t="s">
        <v>4987</v>
      </c>
      <c r="B3608" s="15" t="s">
        <v>4988</v>
      </c>
      <c r="C3608" s="15" t="s">
        <v>5999</v>
      </c>
      <c r="D3608" s="34" t="n">
        <f aca="false">Activities!N1472</f>
        <v>0</v>
      </c>
      <c r="E3608" s="15" t="s">
        <v>5998</v>
      </c>
    </row>
    <row r="3609" customFormat="false" ht="15" hidden="false" customHeight="false" outlineLevel="0" collapsed="false">
      <c r="A3609" s="15" t="s">
        <v>4988</v>
      </c>
      <c r="B3609" s="15" t="s">
        <v>4989</v>
      </c>
      <c r="C3609" s="15" t="s">
        <v>5997</v>
      </c>
      <c r="D3609" s="34" t="n">
        <f aca="false">Activities!M1473</f>
        <v>0</v>
      </c>
      <c r="E3609" s="15" t="s">
        <v>5998</v>
      </c>
    </row>
    <row r="3610" customFormat="false" ht="15" hidden="false" customHeight="false" outlineLevel="0" collapsed="false">
      <c r="A3610" s="15" t="s">
        <v>4988</v>
      </c>
      <c r="B3610" s="15" t="s">
        <v>4989</v>
      </c>
      <c r="C3610" s="15" t="s">
        <v>5999</v>
      </c>
      <c r="D3610" s="34" t="n">
        <f aca="false">Activities!N1473</f>
        <v>2</v>
      </c>
      <c r="E3610" s="15" t="s">
        <v>5998</v>
      </c>
    </row>
    <row r="3611" customFormat="false" ht="15" hidden="false" customHeight="false" outlineLevel="0" collapsed="false">
      <c r="A3611" s="15" t="s">
        <v>4989</v>
      </c>
      <c r="B3611" s="15" t="s">
        <v>4990</v>
      </c>
      <c r="C3611" s="15" t="s">
        <v>5997</v>
      </c>
      <c r="D3611" s="34" t="n">
        <f aca="false">Activities!M1474</f>
        <v>10</v>
      </c>
      <c r="E3611" s="15" t="s">
        <v>5998</v>
      </c>
    </row>
    <row r="3612" customFormat="false" ht="15" hidden="false" customHeight="false" outlineLevel="0" collapsed="false">
      <c r="A3612" s="15" t="s">
        <v>4989</v>
      </c>
      <c r="B3612" s="15" t="s">
        <v>4990</v>
      </c>
      <c r="C3612" s="15" t="s">
        <v>5999</v>
      </c>
      <c r="D3612" s="34" t="n">
        <f aca="false">Activities!N1474</f>
        <v>2</v>
      </c>
      <c r="E3612" s="15" t="s">
        <v>5998</v>
      </c>
    </row>
    <row r="3613" customFormat="false" ht="15" hidden="false" customHeight="false" outlineLevel="0" collapsed="false">
      <c r="A3613" s="15" t="s">
        <v>5333</v>
      </c>
      <c r="B3613" s="15" t="s">
        <v>4990</v>
      </c>
      <c r="C3613" s="15" t="s">
        <v>5995</v>
      </c>
      <c r="D3613" s="34" t="n">
        <v>0</v>
      </c>
      <c r="E3613" s="15" t="s">
        <v>6008</v>
      </c>
    </row>
    <row r="3614" customFormat="false" ht="15" hidden="false" customHeight="false" outlineLevel="0" collapsed="false">
      <c r="A3614" s="15" t="s">
        <v>5319</v>
      </c>
      <c r="B3614" s="15" t="s">
        <v>4990</v>
      </c>
      <c r="C3614" s="15" t="s">
        <v>5995</v>
      </c>
      <c r="D3614" s="34" t="n">
        <v>0</v>
      </c>
      <c r="E3614" s="15" t="s">
        <v>6008</v>
      </c>
    </row>
    <row r="3615" customFormat="false" ht="15" hidden="false" customHeight="false" outlineLevel="0" collapsed="false">
      <c r="A3615" s="15" t="s">
        <v>4977</v>
      </c>
      <c r="B3615" s="15" t="s">
        <v>4990</v>
      </c>
      <c r="C3615" s="15" t="s">
        <v>5997</v>
      </c>
      <c r="D3615" s="34" t="n">
        <v>0</v>
      </c>
      <c r="E3615" s="15" t="s">
        <v>6006</v>
      </c>
    </row>
    <row r="3616" customFormat="false" ht="15" hidden="false" customHeight="false" outlineLevel="0" collapsed="false">
      <c r="A3616" s="15" t="s">
        <v>4963</v>
      </c>
      <c r="B3616" s="15" t="s">
        <v>4990</v>
      </c>
      <c r="C3616" s="15" t="s">
        <v>5997</v>
      </c>
      <c r="D3616" s="34" t="n">
        <v>0</v>
      </c>
      <c r="E3616" s="15" t="s">
        <v>6006</v>
      </c>
    </row>
    <row r="3617" customFormat="false" ht="15" hidden="false" customHeight="false" outlineLevel="0" collapsed="false">
      <c r="A3617" s="15" t="s">
        <v>4990</v>
      </c>
      <c r="B3617" s="15" t="s">
        <v>4992</v>
      </c>
      <c r="C3617" s="15" t="s">
        <v>5997</v>
      </c>
      <c r="D3617" s="34" t="n">
        <f aca="false">Activities!M1475</f>
        <v>2</v>
      </c>
      <c r="E3617" s="15" t="s">
        <v>5998</v>
      </c>
    </row>
    <row r="3618" customFormat="false" ht="15" hidden="false" customHeight="false" outlineLevel="0" collapsed="false">
      <c r="A3618" s="15" t="s">
        <v>4990</v>
      </c>
      <c r="B3618" s="15" t="s">
        <v>4992</v>
      </c>
      <c r="C3618" s="15" t="s">
        <v>5999</v>
      </c>
      <c r="D3618" s="34" t="n">
        <f aca="false">Activities!N1475</f>
        <v>2</v>
      </c>
      <c r="E3618" s="15" t="s">
        <v>5998</v>
      </c>
    </row>
    <row r="3619" customFormat="false" ht="15" hidden="false" customHeight="false" outlineLevel="0" collapsed="false">
      <c r="A3619" s="15" t="s">
        <v>4992</v>
      </c>
      <c r="B3619" s="15" t="s">
        <v>4993</v>
      </c>
      <c r="C3619" s="15" t="s">
        <v>5997</v>
      </c>
      <c r="D3619" s="34" t="n">
        <f aca="false">Activities!M1476</f>
        <v>3</v>
      </c>
      <c r="E3619" s="15" t="s">
        <v>5998</v>
      </c>
    </row>
    <row r="3620" customFormat="false" ht="15" hidden="false" customHeight="false" outlineLevel="0" collapsed="false">
      <c r="A3620" s="15" t="s">
        <v>4992</v>
      </c>
      <c r="B3620" s="15" t="s">
        <v>4993</v>
      </c>
      <c r="C3620" s="15" t="s">
        <v>5999</v>
      </c>
      <c r="D3620" s="34" t="n">
        <f aca="false">Activities!N1476</f>
        <v>2</v>
      </c>
      <c r="E3620" s="15" t="s">
        <v>5998</v>
      </c>
    </row>
    <row r="3621" customFormat="false" ht="15" hidden="false" customHeight="false" outlineLevel="0" collapsed="false">
      <c r="A3621" s="15" t="s">
        <v>4993</v>
      </c>
      <c r="B3621" s="15" t="s">
        <v>4994</v>
      </c>
      <c r="C3621" s="15" t="s">
        <v>5997</v>
      </c>
      <c r="D3621" s="34" t="n">
        <f aca="false">Activities!M1477</f>
        <v>4</v>
      </c>
      <c r="E3621" s="15" t="s">
        <v>5998</v>
      </c>
    </row>
    <row r="3622" customFormat="false" ht="15" hidden="false" customHeight="false" outlineLevel="0" collapsed="false">
      <c r="A3622" s="15" t="s">
        <v>4993</v>
      </c>
      <c r="B3622" s="15" t="s">
        <v>4994</v>
      </c>
      <c r="C3622" s="15" t="s">
        <v>5999</v>
      </c>
      <c r="D3622" s="34" t="n">
        <f aca="false">Activities!N1477</f>
        <v>2</v>
      </c>
      <c r="E3622" s="15" t="s">
        <v>5998</v>
      </c>
    </row>
    <row r="3623" customFormat="false" ht="15" hidden="false" customHeight="false" outlineLevel="0" collapsed="false">
      <c r="A3623" s="15" t="s">
        <v>4994</v>
      </c>
      <c r="B3623" s="15" t="s">
        <v>4995</v>
      </c>
      <c r="C3623" s="15" t="s">
        <v>5997</v>
      </c>
      <c r="D3623" s="34" t="n">
        <f aca="false">Activities!M1478</f>
        <v>2</v>
      </c>
      <c r="E3623" s="15" t="s">
        <v>5998</v>
      </c>
    </row>
    <row r="3624" customFormat="false" ht="15" hidden="false" customHeight="false" outlineLevel="0" collapsed="false">
      <c r="A3624" s="15" t="s">
        <v>4994</v>
      </c>
      <c r="B3624" s="15" t="s">
        <v>4995</v>
      </c>
      <c r="C3624" s="15" t="s">
        <v>5999</v>
      </c>
      <c r="D3624" s="34" t="n">
        <f aca="false">Activities!N1478</f>
        <v>2</v>
      </c>
      <c r="E3624" s="15" t="s">
        <v>5998</v>
      </c>
    </row>
    <row r="3625" customFormat="false" ht="15" hidden="false" customHeight="false" outlineLevel="0" collapsed="false">
      <c r="A3625" s="15" t="s">
        <v>4979</v>
      </c>
      <c r="B3625" s="15" t="s">
        <v>4995</v>
      </c>
      <c r="C3625" s="15" t="s">
        <v>5995</v>
      </c>
      <c r="D3625" s="34" t="n">
        <v>0</v>
      </c>
      <c r="E3625" s="15" t="s">
        <v>6005</v>
      </c>
    </row>
    <row r="3626" customFormat="false" ht="15" hidden="false" customHeight="false" outlineLevel="0" collapsed="false">
      <c r="A3626" s="15" t="s">
        <v>4965</v>
      </c>
      <c r="B3626" s="15" t="s">
        <v>4995</v>
      </c>
      <c r="C3626" s="15" t="s">
        <v>5995</v>
      </c>
      <c r="D3626" s="34" t="n">
        <v>0</v>
      </c>
      <c r="E3626" s="15" t="s">
        <v>6005</v>
      </c>
    </row>
    <row r="3627" customFormat="false" ht="15" hidden="false" customHeight="false" outlineLevel="0" collapsed="false">
      <c r="A3627" s="15" t="s">
        <v>4995</v>
      </c>
      <c r="B3627" s="15" t="s">
        <v>4997</v>
      </c>
      <c r="C3627" s="15" t="s">
        <v>5997</v>
      </c>
      <c r="D3627" s="34" t="n">
        <f aca="false">Activities!M1479</f>
        <v>2</v>
      </c>
      <c r="E3627" s="15" t="s">
        <v>5998</v>
      </c>
    </row>
    <row r="3628" customFormat="false" ht="15" hidden="false" customHeight="false" outlineLevel="0" collapsed="false">
      <c r="A3628" s="15" t="s">
        <v>4995</v>
      </c>
      <c r="B3628" s="15" t="s">
        <v>4997</v>
      </c>
      <c r="C3628" s="15" t="s">
        <v>5999</v>
      </c>
      <c r="D3628" s="34" t="n">
        <f aca="false">Activities!N1479</f>
        <v>2</v>
      </c>
      <c r="E3628" s="15" t="s">
        <v>5998</v>
      </c>
    </row>
    <row r="3629" customFormat="false" ht="15" hidden="false" customHeight="false" outlineLevel="0" collapsed="false">
      <c r="A3629" s="15" t="s">
        <v>4998</v>
      </c>
      <c r="B3629" s="15" t="s">
        <v>5000</v>
      </c>
      <c r="C3629" s="15" t="s">
        <v>5995</v>
      </c>
      <c r="D3629" s="34" t="n">
        <v>0</v>
      </c>
      <c r="E3629" s="15" t="s">
        <v>5996</v>
      </c>
    </row>
    <row r="3630" customFormat="false" ht="15" hidden="false" customHeight="false" outlineLevel="0" collapsed="false">
      <c r="A3630" s="15" t="s">
        <v>4959</v>
      </c>
      <c r="B3630" s="15" t="s">
        <v>5000</v>
      </c>
      <c r="C3630" s="15" t="s">
        <v>5997</v>
      </c>
      <c r="D3630" s="34" t="n">
        <v>0</v>
      </c>
      <c r="E3630" s="15" t="s">
        <v>6002</v>
      </c>
    </row>
    <row r="3631" customFormat="false" ht="15" hidden="false" customHeight="false" outlineLevel="0" collapsed="false">
      <c r="A3631" s="15" t="s">
        <v>5000</v>
      </c>
      <c r="B3631" s="15" t="s">
        <v>5002</v>
      </c>
      <c r="C3631" s="15" t="s">
        <v>5997</v>
      </c>
      <c r="D3631" s="34" t="n">
        <f aca="false">Activities!M1482</f>
        <v>1</v>
      </c>
      <c r="E3631" s="15" t="s">
        <v>5998</v>
      </c>
    </row>
    <row r="3632" customFormat="false" ht="15" hidden="false" customHeight="false" outlineLevel="0" collapsed="false">
      <c r="A3632" s="15" t="s">
        <v>5000</v>
      </c>
      <c r="B3632" s="15" t="s">
        <v>5002</v>
      </c>
      <c r="C3632" s="15" t="s">
        <v>5999</v>
      </c>
      <c r="D3632" s="34" t="n">
        <f aca="false">Activities!N1482</f>
        <v>2</v>
      </c>
      <c r="E3632" s="15" t="s">
        <v>5998</v>
      </c>
    </row>
    <row r="3633" customFormat="false" ht="15" hidden="false" customHeight="false" outlineLevel="0" collapsed="false">
      <c r="A3633" s="15" t="s">
        <v>4959</v>
      </c>
      <c r="B3633" s="15" t="s">
        <v>5002</v>
      </c>
      <c r="C3633" s="15" t="s">
        <v>5995</v>
      </c>
      <c r="D3633" s="34" t="n">
        <v>0</v>
      </c>
      <c r="E3633" s="15" t="s">
        <v>6012</v>
      </c>
    </row>
    <row r="3634" customFormat="false" ht="15" hidden="false" customHeight="false" outlineLevel="0" collapsed="false">
      <c r="A3634" s="15" t="s">
        <v>5002</v>
      </c>
      <c r="B3634" s="15" t="s">
        <v>5003</v>
      </c>
      <c r="C3634" s="15" t="s">
        <v>5997</v>
      </c>
      <c r="D3634" s="34" t="n">
        <f aca="false">Activities!M1483</f>
        <v>3</v>
      </c>
      <c r="E3634" s="15" t="s">
        <v>5998</v>
      </c>
    </row>
    <row r="3635" customFormat="false" ht="15" hidden="false" customHeight="false" outlineLevel="0" collapsed="false">
      <c r="A3635" s="15" t="s">
        <v>5002</v>
      </c>
      <c r="B3635" s="15" t="s">
        <v>5003</v>
      </c>
      <c r="C3635" s="15" t="s">
        <v>5999</v>
      </c>
      <c r="D3635" s="34" t="n">
        <f aca="false">Activities!N1483</f>
        <v>2</v>
      </c>
      <c r="E3635" s="15" t="s">
        <v>5998</v>
      </c>
    </row>
    <row r="3636" customFormat="false" ht="15" hidden="false" customHeight="false" outlineLevel="0" collapsed="false">
      <c r="A3636" s="15" t="s">
        <v>4960</v>
      </c>
      <c r="B3636" s="15" t="s">
        <v>5003</v>
      </c>
      <c r="C3636" s="15" t="s">
        <v>5995</v>
      </c>
      <c r="D3636" s="34" t="n">
        <v>0</v>
      </c>
      <c r="E3636" s="15" t="s">
        <v>6012</v>
      </c>
    </row>
    <row r="3637" customFormat="false" ht="15" hidden="false" customHeight="false" outlineLevel="0" collapsed="false">
      <c r="A3637" s="15" t="s">
        <v>5003</v>
      </c>
      <c r="B3637" s="15" t="s">
        <v>5004</v>
      </c>
      <c r="C3637" s="15" t="s">
        <v>5997</v>
      </c>
      <c r="D3637" s="34" t="n">
        <f aca="false">Activities!M1484</f>
        <v>2</v>
      </c>
      <c r="E3637" s="15" t="s">
        <v>5998</v>
      </c>
    </row>
    <row r="3638" customFormat="false" ht="15" hidden="false" customHeight="false" outlineLevel="0" collapsed="false">
      <c r="A3638" s="15" t="s">
        <v>5003</v>
      </c>
      <c r="B3638" s="15" t="s">
        <v>5004</v>
      </c>
      <c r="C3638" s="15" t="s">
        <v>5999</v>
      </c>
      <c r="D3638" s="34" t="n">
        <f aca="false">Activities!N1484</f>
        <v>2</v>
      </c>
      <c r="E3638" s="15" t="s">
        <v>5998</v>
      </c>
    </row>
    <row r="3639" customFormat="false" ht="15" hidden="false" customHeight="false" outlineLevel="0" collapsed="false">
      <c r="A3639" s="15" t="s">
        <v>4963</v>
      </c>
      <c r="B3639" s="15" t="s">
        <v>5004</v>
      </c>
      <c r="C3639" s="15" t="s">
        <v>5995</v>
      </c>
      <c r="D3639" s="34" t="n">
        <f aca="false">-Activities!K1484</f>
        <v>-10</v>
      </c>
      <c r="E3639" s="15" t="s">
        <v>6004</v>
      </c>
    </row>
    <row r="3640" customFormat="false" ht="15" hidden="false" customHeight="false" outlineLevel="0" collapsed="false">
      <c r="A3640" s="15" t="s">
        <v>5004</v>
      </c>
      <c r="B3640" s="15" t="s">
        <v>5006</v>
      </c>
      <c r="C3640" s="15" t="s">
        <v>5997</v>
      </c>
      <c r="D3640" s="34" t="n">
        <f aca="false">Activities!M1485</f>
        <v>10</v>
      </c>
      <c r="E3640" s="15" t="s">
        <v>5998</v>
      </c>
    </row>
    <row r="3641" customFormat="false" ht="15" hidden="false" customHeight="false" outlineLevel="0" collapsed="false">
      <c r="A3641" s="15" t="s">
        <v>5004</v>
      </c>
      <c r="B3641" s="15" t="s">
        <v>5006</v>
      </c>
      <c r="C3641" s="15" t="s">
        <v>5999</v>
      </c>
      <c r="D3641" s="34" t="n">
        <f aca="false">Activities!N1485</f>
        <v>2</v>
      </c>
      <c r="E3641" s="15" t="s">
        <v>5998</v>
      </c>
    </row>
    <row r="3642" customFormat="false" ht="15" hidden="false" customHeight="false" outlineLevel="0" collapsed="false">
      <c r="A3642" s="15" t="s">
        <v>4963</v>
      </c>
      <c r="B3642" s="15" t="s">
        <v>5006</v>
      </c>
      <c r="C3642" s="15" t="s">
        <v>5995</v>
      </c>
      <c r="D3642" s="34" t="n">
        <v>0</v>
      </c>
      <c r="E3642" s="15" t="s">
        <v>6012</v>
      </c>
    </row>
    <row r="3643" customFormat="false" ht="15" hidden="false" customHeight="false" outlineLevel="0" collapsed="false">
      <c r="A3643" s="15" t="s">
        <v>5006</v>
      </c>
      <c r="B3643" s="15" t="s">
        <v>5007</v>
      </c>
      <c r="C3643" s="15" t="s">
        <v>5997</v>
      </c>
      <c r="D3643" s="34" t="n">
        <f aca="false">Activities!M1486</f>
        <v>1</v>
      </c>
      <c r="E3643" s="15" t="s">
        <v>5998</v>
      </c>
    </row>
    <row r="3644" customFormat="false" ht="15" hidden="false" customHeight="false" outlineLevel="0" collapsed="false">
      <c r="A3644" s="15" t="s">
        <v>5006</v>
      </c>
      <c r="B3644" s="15" t="s">
        <v>5007</v>
      </c>
      <c r="C3644" s="15" t="s">
        <v>5999</v>
      </c>
      <c r="D3644" s="34" t="n">
        <f aca="false">Activities!N1486</f>
        <v>2</v>
      </c>
      <c r="E3644" s="15" t="s">
        <v>5998</v>
      </c>
    </row>
    <row r="3645" customFormat="false" ht="15" hidden="false" customHeight="false" outlineLevel="0" collapsed="false">
      <c r="A3645" s="15" t="s">
        <v>4964</v>
      </c>
      <c r="B3645" s="15" t="s">
        <v>5007</v>
      </c>
      <c r="C3645" s="15" t="s">
        <v>5995</v>
      </c>
      <c r="D3645" s="34" t="n">
        <v>0</v>
      </c>
      <c r="E3645" s="15" t="s">
        <v>6012</v>
      </c>
    </row>
    <row r="3646" customFormat="false" ht="15" hidden="false" customHeight="false" outlineLevel="0" collapsed="false">
      <c r="A3646" s="15" t="s">
        <v>5007</v>
      </c>
      <c r="B3646" s="15" t="s">
        <v>5008</v>
      </c>
      <c r="C3646" s="15" t="s">
        <v>5997</v>
      </c>
      <c r="D3646" s="34" t="n">
        <f aca="false">Activities!M1487</f>
        <v>3</v>
      </c>
      <c r="E3646" s="15" t="s">
        <v>5998</v>
      </c>
    </row>
    <row r="3647" customFormat="false" ht="15" hidden="false" customHeight="false" outlineLevel="0" collapsed="false">
      <c r="A3647" s="15" t="s">
        <v>5007</v>
      </c>
      <c r="B3647" s="15" t="s">
        <v>5008</v>
      </c>
      <c r="C3647" s="15" t="s">
        <v>5999</v>
      </c>
      <c r="D3647" s="34" t="n">
        <f aca="false">Activities!N1487</f>
        <v>2</v>
      </c>
      <c r="E3647" s="15" t="s">
        <v>5998</v>
      </c>
    </row>
    <row r="3648" customFormat="false" ht="15" hidden="false" customHeight="false" outlineLevel="0" collapsed="false">
      <c r="A3648" s="15" t="s">
        <v>4965</v>
      </c>
      <c r="B3648" s="15" t="s">
        <v>5008</v>
      </c>
      <c r="C3648" s="15" t="s">
        <v>5995</v>
      </c>
      <c r="D3648" s="34" t="n">
        <v>0</v>
      </c>
      <c r="E3648" s="15" t="s">
        <v>6012</v>
      </c>
    </row>
    <row r="3649" customFormat="false" ht="15" hidden="false" customHeight="false" outlineLevel="0" collapsed="false">
      <c r="A3649" s="15" t="s">
        <v>5008</v>
      </c>
      <c r="B3649" s="15" t="s">
        <v>5009</v>
      </c>
      <c r="C3649" s="15" t="s">
        <v>5997</v>
      </c>
      <c r="D3649" s="34" t="n">
        <f aca="false">Activities!M1488</f>
        <v>2</v>
      </c>
      <c r="E3649" s="15" t="s">
        <v>5998</v>
      </c>
    </row>
    <row r="3650" customFormat="false" ht="15" hidden="false" customHeight="false" outlineLevel="0" collapsed="false">
      <c r="A3650" s="15" t="s">
        <v>5008</v>
      </c>
      <c r="B3650" s="15" t="s">
        <v>5009</v>
      </c>
      <c r="C3650" s="15" t="s">
        <v>5999</v>
      </c>
      <c r="D3650" s="34" t="n">
        <f aca="false">Activities!N1488</f>
        <v>2</v>
      </c>
      <c r="E3650" s="15" t="s">
        <v>5998</v>
      </c>
    </row>
    <row r="3651" customFormat="false" ht="15" hidden="false" customHeight="false" outlineLevel="0" collapsed="false">
      <c r="A3651" s="15" t="s">
        <v>5009</v>
      </c>
      <c r="B3651" s="15" t="s">
        <v>5010</v>
      </c>
      <c r="C3651" s="15" t="s">
        <v>5997</v>
      </c>
      <c r="D3651" s="34" t="n">
        <f aca="false">Activities!M1489</f>
        <v>2</v>
      </c>
      <c r="E3651" s="15" t="s">
        <v>5998</v>
      </c>
    </row>
    <row r="3652" customFormat="false" ht="15" hidden="false" customHeight="false" outlineLevel="0" collapsed="false">
      <c r="A3652" s="15" t="s">
        <v>5009</v>
      </c>
      <c r="B3652" s="15" t="s">
        <v>5010</v>
      </c>
      <c r="C3652" s="15" t="s">
        <v>5999</v>
      </c>
      <c r="D3652" s="34" t="n">
        <f aca="false">Activities!N1489</f>
        <v>2</v>
      </c>
      <c r="E3652" s="15" t="s">
        <v>5998</v>
      </c>
    </row>
    <row r="3653" customFormat="false" ht="15" hidden="false" customHeight="false" outlineLevel="0" collapsed="false">
      <c r="A3653" s="15" t="s">
        <v>4967</v>
      </c>
      <c r="B3653" s="15" t="s">
        <v>5010</v>
      </c>
      <c r="C3653" s="15" t="s">
        <v>5995</v>
      </c>
      <c r="D3653" s="34" t="n">
        <v>0</v>
      </c>
      <c r="E3653" s="15" t="s">
        <v>6012</v>
      </c>
    </row>
    <row r="3654" customFormat="false" ht="15" hidden="false" customHeight="false" outlineLevel="0" collapsed="false">
      <c r="A3654" s="15" t="s">
        <v>5036</v>
      </c>
      <c r="B3654" s="15" t="s">
        <v>5010</v>
      </c>
      <c r="C3654" s="15" t="s">
        <v>5995</v>
      </c>
      <c r="D3654" s="34" t="n">
        <v>0</v>
      </c>
      <c r="E3654" s="15" t="s">
        <v>6005</v>
      </c>
    </row>
    <row r="3655" customFormat="false" ht="15" hidden="false" customHeight="false" outlineLevel="0" collapsed="false">
      <c r="A3655" s="15" t="s">
        <v>5010</v>
      </c>
      <c r="B3655" s="15" t="s">
        <v>5012</v>
      </c>
      <c r="C3655" s="15" t="s">
        <v>5997</v>
      </c>
      <c r="D3655" s="34" t="n">
        <f aca="false">Activities!M1490</f>
        <v>1</v>
      </c>
      <c r="E3655" s="15" t="s">
        <v>5998</v>
      </c>
    </row>
    <row r="3656" customFormat="false" ht="15" hidden="false" customHeight="false" outlineLevel="0" collapsed="false">
      <c r="A3656" s="15" t="s">
        <v>5010</v>
      </c>
      <c r="B3656" s="15" t="s">
        <v>5012</v>
      </c>
      <c r="C3656" s="15" t="s">
        <v>5999</v>
      </c>
      <c r="D3656" s="34" t="n">
        <f aca="false">Activities!N1490</f>
        <v>2</v>
      </c>
      <c r="E3656" s="15" t="s">
        <v>5998</v>
      </c>
    </row>
    <row r="3657" customFormat="false" ht="15" hidden="false" customHeight="false" outlineLevel="0" collapsed="false">
      <c r="A3657" s="15" t="s">
        <v>5013</v>
      </c>
      <c r="B3657" s="15" t="s">
        <v>5015</v>
      </c>
      <c r="C3657" s="15" t="s">
        <v>5995</v>
      </c>
      <c r="D3657" s="34" t="n">
        <v>0</v>
      </c>
      <c r="E3657" s="15" t="s">
        <v>5996</v>
      </c>
    </row>
    <row r="3658" customFormat="false" ht="15" hidden="false" customHeight="false" outlineLevel="0" collapsed="false">
      <c r="A3658" s="15" t="s">
        <v>5002</v>
      </c>
      <c r="B3658" s="15" t="s">
        <v>5015</v>
      </c>
      <c r="C3658" s="15" t="s">
        <v>5997</v>
      </c>
      <c r="D3658" s="34" t="n">
        <v>0</v>
      </c>
      <c r="E3658" s="15" t="s">
        <v>6000</v>
      </c>
    </row>
    <row r="3659" customFormat="false" ht="15" hidden="false" customHeight="false" outlineLevel="0" collapsed="false">
      <c r="A3659" s="15" t="s">
        <v>5015</v>
      </c>
      <c r="B3659" s="15" t="s">
        <v>5017</v>
      </c>
      <c r="C3659" s="15" t="s">
        <v>5997</v>
      </c>
      <c r="D3659" s="34" t="n">
        <f aca="false">Activities!M1493</f>
        <v>1</v>
      </c>
      <c r="E3659" s="15" t="s">
        <v>5998</v>
      </c>
    </row>
    <row r="3660" customFormat="false" ht="15" hidden="false" customHeight="false" outlineLevel="0" collapsed="false">
      <c r="A3660" s="15" t="s">
        <v>5015</v>
      </c>
      <c r="B3660" s="15" t="s">
        <v>5017</v>
      </c>
      <c r="C3660" s="15" t="s">
        <v>5999</v>
      </c>
      <c r="D3660" s="34" t="n">
        <f aca="false">Activities!N1493</f>
        <v>2</v>
      </c>
      <c r="E3660" s="15" t="s">
        <v>5998</v>
      </c>
    </row>
    <row r="3661" customFormat="false" ht="15" hidden="false" customHeight="false" outlineLevel="0" collapsed="false">
      <c r="A3661" s="15" t="s">
        <v>5017</v>
      </c>
      <c r="B3661" s="15" t="s">
        <v>5018</v>
      </c>
      <c r="C3661" s="15" t="s">
        <v>5997</v>
      </c>
      <c r="D3661" s="34" t="n">
        <f aca="false">Activities!M1494</f>
        <v>1</v>
      </c>
      <c r="E3661" s="15" t="s">
        <v>5998</v>
      </c>
    </row>
    <row r="3662" customFormat="false" ht="15" hidden="false" customHeight="false" outlineLevel="0" collapsed="false">
      <c r="A3662" s="15" t="s">
        <v>5017</v>
      </c>
      <c r="B3662" s="15" t="s">
        <v>5018</v>
      </c>
      <c r="C3662" s="15" t="s">
        <v>5999</v>
      </c>
      <c r="D3662" s="34" t="n">
        <f aca="false">Activities!N1494</f>
        <v>2</v>
      </c>
      <c r="E3662" s="15" t="s">
        <v>5998</v>
      </c>
    </row>
    <row r="3663" customFormat="false" ht="15" hidden="false" customHeight="false" outlineLevel="0" collapsed="false">
      <c r="A3663" s="15" t="s">
        <v>5018</v>
      </c>
      <c r="B3663" s="15" t="s">
        <v>5019</v>
      </c>
      <c r="C3663" s="15" t="s">
        <v>5997</v>
      </c>
      <c r="D3663" s="34" t="n">
        <f aca="false">Activities!M1495</f>
        <v>1</v>
      </c>
      <c r="E3663" s="15" t="s">
        <v>5998</v>
      </c>
    </row>
    <row r="3664" customFormat="false" ht="15" hidden="false" customHeight="false" outlineLevel="0" collapsed="false">
      <c r="A3664" s="15" t="s">
        <v>5018</v>
      </c>
      <c r="B3664" s="15" t="s">
        <v>5019</v>
      </c>
      <c r="C3664" s="15" t="s">
        <v>5999</v>
      </c>
      <c r="D3664" s="34" t="n">
        <f aca="false">Activities!N1495</f>
        <v>2</v>
      </c>
      <c r="E3664" s="15" t="s">
        <v>5998</v>
      </c>
    </row>
    <row r="3665" customFormat="false" ht="15" hidden="false" customHeight="false" outlineLevel="0" collapsed="false">
      <c r="A3665" s="15" t="s">
        <v>5019</v>
      </c>
      <c r="B3665" s="15" t="s">
        <v>5020</v>
      </c>
      <c r="C3665" s="15" t="s">
        <v>5997</v>
      </c>
      <c r="D3665" s="34" t="n">
        <f aca="false">Activities!M1496</f>
        <v>10</v>
      </c>
      <c r="E3665" s="15" t="s">
        <v>5998</v>
      </c>
    </row>
    <row r="3666" customFormat="false" ht="15" hidden="false" customHeight="false" outlineLevel="0" collapsed="false">
      <c r="A3666" s="15" t="s">
        <v>5019</v>
      </c>
      <c r="B3666" s="15" t="s">
        <v>5020</v>
      </c>
      <c r="C3666" s="15" t="s">
        <v>5999</v>
      </c>
      <c r="D3666" s="34" t="n">
        <f aca="false">Activities!N1496</f>
        <v>2</v>
      </c>
      <c r="E3666" s="15" t="s">
        <v>5998</v>
      </c>
    </row>
    <row r="3667" customFormat="false" ht="15" hidden="false" customHeight="false" outlineLevel="0" collapsed="false">
      <c r="A3667" s="15" t="s">
        <v>5020</v>
      </c>
      <c r="B3667" s="15" t="s">
        <v>5021</v>
      </c>
      <c r="C3667" s="15" t="s">
        <v>5997</v>
      </c>
      <c r="D3667" s="34" t="n">
        <f aca="false">Activities!M1497</f>
        <v>1</v>
      </c>
      <c r="E3667" s="15" t="s">
        <v>5998</v>
      </c>
    </row>
    <row r="3668" customFormat="false" ht="15" hidden="false" customHeight="false" outlineLevel="0" collapsed="false">
      <c r="A3668" s="15" t="s">
        <v>5020</v>
      </c>
      <c r="B3668" s="15" t="s">
        <v>5021</v>
      </c>
      <c r="C3668" s="15" t="s">
        <v>5999</v>
      </c>
      <c r="D3668" s="34" t="n">
        <f aca="false">Activities!N1497</f>
        <v>2</v>
      </c>
      <c r="E3668" s="15" t="s">
        <v>5998</v>
      </c>
    </row>
    <row r="3669" customFormat="false" ht="15" hidden="false" customHeight="false" outlineLevel="0" collapsed="false">
      <c r="A3669" s="15" t="s">
        <v>5021</v>
      </c>
      <c r="B3669" s="15" t="s">
        <v>5022</v>
      </c>
      <c r="C3669" s="15" t="s">
        <v>5997</v>
      </c>
      <c r="D3669" s="34" t="n">
        <f aca="false">Activities!M1498</f>
        <v>2</v>
      </c>
      <c r="E3669" s="15" t="s">
        <v>5998</v>
      </c>
    </row>
    <row r="3670" customFormat="false" ht="15" hidden="false" customHeight="false" outlineLevel="0" collapsed="false">
      <c r="A3670" s="15" t="s">
        <v>5021</v>
      </c>
      <c r="B3670" s="15" t="s">
        <v>5022</v>
      </c>
      <c r="C3670" s="15" t="s">
        <v>5999</v>
      </c>
      <c r="D3670" s="34" t="n">
        <f aca="false">Activities!N1498</f>
        <v>2</v>
      </c>
      <c r="E3670" s="15" t="s">
        <v>5998</v>
      </c>
    </row>
    <row r="3671" customFormat="false" ht="15" hidden="false" customHeight="false" outlineLevel="0" collapsed="false">
      <c r="A3671" s="15" t="s">
        <v>5008</v>
      </c>
      <c r="B3671" s="15" t="s">
        <v>5022</v>
      </c>
      <c r="C3671" s="15" t="s">
        <v>5995</v>
      </c>
      <c r="D3671" s="34" t="n">
        <v>0</v>
      </c>
      <c r="E3671" s="15" t="s">
        <v>6001</v>
      </c>
    </row>
    <row r="3672" customFormat="false" ht="15" hidden="false" customHeight="false" outlineLevel="0" collapsed="false">
      <c r="A3672" s="15" t="s">
        <v>5022</v>
      </c>
      <c r="B3672" s="15" t="s">
        <v>5024</v>
      </c>
      <c r="C3672" s="15" t="s">
        <v>5997</v>
      </c>
      <c r="D3672" s="34" t="n">
        <f aca="false">Activities!M1499</f>
        <v>2</v>
      </c>
      <c r="E3672" s="15" t="s">
        <v>5998</v>
      </c>
    </row>
    <row r="3673" customFormat="false" ht="15" hidden="false" customHeight="false" outlineLevel="0" collapsed="false">
      <c r="A3673" s="15" t="s">
        <v>5022</v>
      </c>
      <c r="B3673" s="15" t="s">
        <v>5024</v>
      </c>
      <c r="C3673" s="15" t="s">
        <v>5999</v>
      </c>
      <c r="D3673" s="34" t="n">
        <f aca="false">Activities!N1499</f>
        <v>2</v>
      </c>
      <c r="E3673" s="15" t="s">
        <v>5998</v>
      </c>
    </row>
    <row r="3674" customFormat="false" ht="15" hidden="false" customHeight="false" outlineLevel="0" collapsed="false">
      <c r="A3674" s="15" t="s">
        <v>5024</v>
      </c>
      <c r="B3674" s="15" t="s">
        <v>5025</v>
      </c>
      <c r="C3674" s="15" t="s">
        <v>5997</v>
      </c>
      <c r="D3674" s="34" t="n">
        <f aca="false">Activities!M1500</f>
        <v>2</v>
      </c>
      <c r="E3674" s="15" t="s">
        <v>5998</v>
      </c>
    </row>
    <row r="3675" customFormat="false" ht="15" hidden="false" customHeight="false" outlineLevel="0" collapsed="false">
      <c r="A3675" s="15" t="s">
        <v>5024</v>
      </c>
      <c r="B3675" s="15" t="s">
        <v>5025</v>
      </c>
      <c r="C3675" s="15" t="s">
        <v>5999</v>
      </c>
      <c r="D3675" s="34" t="n">
        <f aca="false">Activities!N1500</f>
        <v>2</v>
      </c>
      <c r="E3675" s="15" t="s">
        <v>5998</v>
      </c>
    </row>
    <row r="3676" customFormat="false" ht="15" hidden="false" customHeight="false" outlineLevel="0" collapsed="false">
      <c r="A3676" s="15" t="s">
        <v>5036</v>
      </c>
      <c r="B3676" s="15" t="s">
        <v>5025</v>
      </c>
      <c r="C3676" s="15" t="s">
        <v>5995</v>
      </c>
      <c r="D3676" s="34" t="n">
        <v>0</v>
      </c>
      <c r="E3676" s="15" t="s">
        <v>6005</v>
      </c>
    </row>
    <row r="3677" customFormat="false" ht="15" hidden="false" customHeight="false" outlineLevel="0" collapsed="false">
      <c r="A3677" s="15" t="s">
        <v>5025</v>
      </c>
      <c r="B3677" s="15" t="s">
        <v>5026</v>
      </c>
      <c r="C3677" s="15" t="s">
        <v>5997</v>
      </c>
      <c r="D3677" s="34" t="n">
        <f aca="false">Activities!M1501</f>
        <v>1</v>
      </c>
      <c r="E3677" s="15" t="s">
        <v>5998</v>
      </c>
    </row>
    <row r="3678" customFormat="false" ht="15" hidden="false" customHeight="false" outlineLevel="0" collapsed="false">
      <c r="A3678" s="15" t="s">
        <v>5025</v>
      </c>
      <c r="B3678" s="15" t="s">
        <v>5026</v>
      </c>
      <c r="C3678" s="15" t="s">
        <v>5999</v>
      </c>
      <c r="D3678" s="34" t="n">
        <f aca="false">Activities!N1501</f>
        <v>2</v>
      </c>
      <c r="E3678" s="15" t="s">
        <v>5998</v>
      </c>
    </row>
    <row r="3679" customFormat="false" ht="15" hidden="false" customHeight="false" outlineLevel="0" collapsed="false">
      <c r="A3679" s="15" t="s">
        <v>5027</v>
      </c>
      <c r="B3679" s="15" t="s">
        <v>5029</v>
      </c>
      <c r="C3679" s="15" t="s">
        <v>5995</v>
      </c>
      <c r="D3679" s="34" t="n">
        <v>0</v>
      </c>
      <c r="E3679" s="15" t="s">
        <v>5996</v>
      </c>
    </row>
    <row r="3680" customFormat="false" ht="15" hidden="false" customHeight="false" outlineLevel="0" collapsed="false">
      <c r="A3680" s="15" t="s">
        <v>5029</v>
      </c>
      <c r="B3680" s="15" t="s">
        <v>5030</v>
      </c>
      <c r="C3680" s="15" t="s">
        <v>5997</v>
      </c>
      <c r="D3680" s="34" t="n">
        <f aca="false">Activities!M1504</f>
        <v>1</v>
      </c>
      <c r="E3680" s="15" t="s">
        <v>5998</v>
      </c>
    </row>
    <row r="3681" customFormat="false" ht="15" hidden="false" customHeight="false" outlineLevel="0" collapsed="false">
      <c r="A3681" s="15" t="s">
        <v>5029</v>
      </c>
      <c r="B3681" s="15" t="s">
        <v>5030</v>
      </c>
      <c r="C3681" s="15" t="s">
        <v>5999</v>
      </c>
      <c r="D3681" s="34" t="n">
        <f aca="false">Activities!N1504</f>
        <v>2</v>
      </c>
      <c r="E3681" s="15" t="s">
        <v>5998</v>
      </c>
    </row>
    <row r="3682" customFormat="false" ht="15" hidden="false" customHeight="false" outlineLevel="0" collapsed="false">
      <c r="A3682" s="15" t="s">
        <v>5030</v>
      </c>
      <c r="B3682" s="15" t="s">
        <v>5031</v>
      </c>
      <c r="C3682" s="15" t="s">
        <v>5997</v>
      </c>
      <c r="D3682" s="34" t="n">
        <f aca="false">Activities!M1505</f>
        <v>3</v>
      </c>
      <c r="E3682" s="15" t="s">
        <v>5998</v>
      </c>
    </row>
    <row r="3683" customFormat="false" ht="15" hidden="false" customHeight="false" outlineLevel="0" collapsed="false">
      <c r="A3683" s="15" t="s">
        <v>5030</v>
      </c>
      <c r="B3683" s="15" t="s">
        <v>5031</v>
      </c>
      <c r="C3683" s="15" t="s">
        <v>5999</v>
      </c>
      <c r="D3683" s="34" t="n">
        <f aca="false">Activities!N1505</f>
        <v>0</v>
      </c>
      <c r="E3683" s="15" t="s">
        <v>5998</v>
      </c>
    </row>
    <row r="3684" customFormat="false" ht="15" hidden="false" customHeight="false" outlineLevel="0" collapsed="false">
      <c r="A3684" s="15" t="s">
        <v>5031</v>
      </c>
      <c r="B3684" s="15" t="s">
        <v>5032</v>
      </c>
      <c r="C3684" s="15" t="s">
        <v>5997</v>
      </c>
      <c r="D3684" s="34" t="n">
        <f aca="false">Activities!M1506</f>
        <v>0</v>
      </c>
      <c r="E3684" s="15" t="s">
        <v>5998</v>
      </c>
    </row>
    <row r="3685" customFormat="false" ht="15" hidden="false" customHeight="false" outlineLevel="0" collapsed="false">
      <c r="A3685" s="15" t="s">
        <v>5031</v>
      </c>
      <c r="B3685" s="15" t="s">
        <v>5032</v>
      </c>
      <c r="C3685" s="15" t="s">
        <v>5999</v>
      </c>
      <c r="D3685" s="34" t="n">
        <f aca="false">Activities!N1506</f>
        <v>2</v>
      </c>
      <c r="E3685" s="15" t="s">
        <v>5998</v>
      </c>
    </row>
    <row r="3686" customFormat="false" ht="15" hidden="false" customHeight="false" outlineLevel="0" collapsed="false">
      <c r="A3686" s="15" t="s">
        <v>5032</v>
      </c>
      <c r="B3686" s="15" t="s">
        <v>5033</v>
      </c>
      <c r="C3686" s="15" t="s">
        <v>5997</v>
      </c>
      <c r="D3686" s="34" t="n">
        <f aca="false">Activities!M1507</f>
        <v>10</v>
      </c>
      <c r="E3686" s="15" t="s">
        <v>5998</v>
      </c>
    </row>
    <row r="3687" customFormat="false" ht="15" hidden="false" customHeight="false" outlineLevel="0" collapsed="false">
      <c r="A3687" s="15" t="s">
        <v>5032</v>
      </c>
      <c r="B3687" s="15" t="s">
        <v>5033</v>
      </c>
      <c r="C3687" s="15" t="s">
        <v>5999</v>
      </c>
      <c r="D3687" s="34" t="n">
        <f aca="false">Activities!N1507</f>
        <v>2</v>
      </c>
      <c r="E3687" s="15" t="s">
        <v>5998</v>
      </c>
    </row>
    <row r="3688" customFormat="false" ht="15" hidden="false" customHeight="false" outlineLevel="0" collapsed="false">
      <c r="A3688" s="15" t="s">
        <v>5305</v>
      </c>
      <c r="B3688" s="15" t="s">
        <v>5033</v>
      </c>
      <c r="C3688" s="15" t="s">
        <v>5995</v>
      </c>
      <c r="D3688" s="34" t="n">
        <v>0</v>
      </c>
      <c r="E3688" s="15" t="s">
        <v>6008</v>
      </c>
    </row>
    <row r="3689" customFormat="false" ht="15" hidden="false" customHeight="false" outlineLevel="0" collapsed="false">
      <c r="A3689" s="15" t="s">
        <v>5020</v>
      </c>
      <c r="B3689" s="15" t="s">
        <v>5033</v>
      </c>
      <c r="C3689" s="15" t="s">
        <v>5997</v>
      </c>
      <c r="D3689" s="34" t="n">
        <v>0</v>
      </c>
      <c r="E3689" s="15" t="s">
        <v>6006</v>
      </c>
    </row>
    <row r="3690" customFormat="false" ht="15" hidden="false" customHeight="false" outlineLevel="0" collapsed="false">
      <c r="A3690" s="15" t="s">
        <v>5006</v>
      </c>
      <c r="B3690" s="15" t="s">
        <v>5033</v>
      </c>
      <c r="C3690" s="15" t="s">
        <v>5997</v>
      </c>
      <c r="D3690" s="34" t="n">
        <v>0</v>
      </c>
      <c r="E3690" s="15" t="s">
        <v>6006</v>
      </c>
    </row>
    <row r="3691" customFormat="false" ht="15" hidden="false" customHeight="false" outlineLevel="0" collapsed="false">
      <c r="A3691" s="15" t="s">
        <v>5033</v>
      </c>
      <c r="B3691" s="15" t="s">
        <v>5035</v>
      </c>
      <c r="C3691" s="15" t="s">
        <v>5997</v>
      </c>
      <c r="D3691" s="34" t="n">
        <f aca="false">Activities!M1508</f>
        <v>2</v>
      </c>
      <c r="E3691" s="15" t="s">
        <v>5998</v>
      </c>
    </row>
    <row r="3692" customFormat="false" ht="15" hidden="false" customHeight="false" outlineLevel="0" collapsed="false">
      <c r="A3692" s="15" t="s">
        <v>5033</v>
      </c>
      <c r="B3692" s="15" t="s">
        <v>5035</v>
      </c>
      <c r="C3692" s="15" t="s">
        <v>5999</v>
      </c>
      <c r="D3692" s="34" t="n">
        <f aca="false">Activities!N1508</f>
        <v>2</v>
      </c>
      <c r="E3692" s="15" t="s">
        <v>5998</v>
      </c>
    </row>
    <row r="3693" customFormat="false" ht="15" hidden="false" customHeight="false" outlineLevel="0" collapsed="false">
      <c r="A3693" s="15" t="s">
        <v>5035</v>
      </c>
      <c r="B3693" s="15" t="s">
        <v>5036</v>
      </c>
      <c r="C3693" s="15" t="s">
        <v>5997</v>
      </c>
      <c r="D3693" s="34" t="n">
        <f aca="false">Activities!M1509</f>
        <v>3</v>
      </c>
      <c r="E3693" s="15" t="s">
        <v>5998</v>
      </c>
    </row>
    <row r="3694" customFormat="false" ht="15" hidden="false" customHeight="false" outlineLevel="0" collapsed="false">
      <c r="A3694" s="15" t="s">
        <v>5035</v>
      </c>
      <c r="B3694" s="15" t="s">
        <v>5036</v>
      </c>
      <c r="C3694" s="15" t="s">
        <v>5999</v>
      </c>
      <c r="D3694" s="34" t="n">
        <f aca="false">Activities!N1509</f>
        <v>2</v>
      </c>
      <c r="E3694" s="15" t="s">
        <v>5998</v>
      </c>
    </row>
    <row r="3695" customFormat="false" ht="15" hidden="false" customHeight="false" outlineLevel="0" collapsed="false">
      <c r="A3695" s="15" t="s">
        <v>5036</v>
      </c>
      <c r="B3695" s="15" t="s">
        <v>5037</v>
      </c>
      <c r="C3695" s="15" t="s">
        <v>5997</v>
      </c>
      <c r="D3695" s="34" t="n">
        <f aca="false">Activities!M1510</f>
        <v>4</v>
      </c>
      <c r="E3695" s="15" t="s">
        <v>5998</v>
      </c>
    </row>
    <row r="3696" customFormat="false" ht="15" hidden="false" customHeight="false" outlineLevel="0" collapsed="false">
      <c r="A3696" s="15" t="s">
        <v>5036</v>
      </c>
      <c r="B3696" s="15" t="s">
        <v>5037</v>
      </c>
      <c r="C3696" s="15" t="s">
        <v>5999</v>
      </c>
      <c r="D3696" s="34" t="n">
        <f aca="false">Activities!N1510</f>
        <v>2</v>
      </c>
      <c r="E3696" s="15" t="s">
        <v>5998</v>
      </c>
    </row>
    <row r="3697" customFormat="false" ht="15" hidden="false" customHeight="false" outlineLevel="0" collapsed="false">
      <c r="A3697" s="15" t="s">
        <v>5037</v>
      </c>
      <c r="B3697" s="15" t="s">
        <v>5038</v>
      </c>
      <c r="C3697" s="15" t="s">
        <v>5997</v>
      </c>
      <c r="D3697" s="34" t="n">
        <f aca="false">Activities!M1511</f>
        <v>2</v>
      </c>
      <c r="E3697" s="15" t="s">
        <v>5998</v>
      </c>
    </row>
    <row r="3698" customFormat="false" ht="15" hidden="false" customHeight="false" outlineLevel="0" collapsed="false">
      <c r="A3698" s="15" t="s">
        <v>5037</v>
      </c>
      <c r="B3698" s="15" t="s">
        <v>5038</v>
      </c>
      <c r="C3698" s="15" t="s">
        <v>5999</v>
      </c>
      <c r="D3698" s="34" t="n">
        <f aca="false">Activities!N1511</f>
        <v>2</v>
      </c>
      <c r="E3698" s="15" t="s">
        <v>5998</v>
      </c>
    </row>
    <row r="3699" customFormat="false" ht="15" hidden="false" customHeight="false" outlineLevel="0" collapsed="false">
      <c r="A3699" s="15" t="s">
        <v>5022</v>
      </c>
      <c r="B3699" s="15" t="s">
        <v>5038</v>
      </c>
      <c r="C3699" s="15" t="s">
        <v>5995</v>
      </c>
      <c r="D3699" s="34" t="n">
        <v>0</v>
      </c>
      <c r="E3699" s="15" t="s">
        <v>6005</v>
      </c>
    </row>
    <row r="3700" customFormat="false" ht="15" hidden="false" customHeight="false" outlineLevel="0" collapsed="false">
      <c r="A3700" s="15" t="s">
        <v>5008</v>
      </c>
      <c r="B3700" s="15" t="s">
        <v>5038</v>
      </c>
      <c r="C3700" s="15" t="s">
        <v>5995</v>
      </c>
      <c r="D3700" s="34" t="n">
        <v>0</v>
      </c>
      <c r="E3700" s="15" t="s">
        <v>6005</v>
      </c>
    </row>
    <row r="3701" customFormat="false" ht="15" hidden="false" customHeight="false" outlineLevel="0" collapsed="false">
      <c r="A3701" s="15" t="s">
        <v>5038</v>
      </c>
      <c r="B3701" s="15" t="s">
        <v>5040</v>
      </c>
      <c r="C3701" s="15" t="s">
        <v>5997</v>
      </c>
      <c r="D3701" s="34" t="n">
        <f aca="false">Activities!M1512</f>
        <v>2</v>
      </c>
      <c r="E3701" s="15" t="s">
        <v>5998</v>
      </c>
    </row>
    <row r="3702" customFormat="false" ht="15" hidden="false" customHeight="false" outlineLevel="0" collapsed="false">
      <c r="A3702" s="15" t="s">
        <v>5038</v>
      </c>
      <c r="B3702" s="15" t="s">
        <v>5040</v>
      </c>
      <c r="C3702" s="15" t="s">
        <v>5999</v>
      </c>
      <c r="D3702" s="34" t="n">
        <f aca="false">Activities!N1512</f>
        <v>2</v>
      </c>
      <c r="E3702" s="15" t="s">
        <v>5998</v>
      </c>
    </row>
    <row r="3703" customFormat="false" ht="15" hidden="false" customHeight="false" outlineLevel="0" collapsed="false">
      <c r="A3703" s="15" t="s">
        <v>5041</v>
      </c>
      <c r="B3703" s="15" t="s">
        <v>5043</v>
      </c>
      <c r="C3703" s="15" t="s">
        <v>5995</v>
      </c>
      <c r="D3703" s="34" t="n">
        <v>0</v>
      </c>
      <c r="E3703" s="15" t="s">
        <v>5996</v>
      </c>
    </row>
    <row r="3704" customFormat="false" ht="15" hidden="false" customHeight="false" outlineLevel="0" collapsed="false">
      <c r="A3704" s="15" t="s">
        <v>5043</v>
      </c>
      <c r="B3704" s="15" t="s">
        <v>5044</v>
      </c>
      <c r="C3704" s="15" t="s">
        <v>5997</v>
      </c>
      <c r="D3704" s="34" t="n">
        <f aca="false">Activities!M1515</f>
        <v>1</v>
      </c>
      <c r="E3704" s="15" t="s">
        <v>5998</v>
      </c>
    </row>
    <row r="3705" customFormat="false" ht="15" hidden="false" customHeight="false" outlineLevel="0" collapsed="false">
      <c r="A3705" s="15" t="s">
        <v>5043</v>
      </c>
      <c r="B3705" s="15" t="s">
        <v>5044</v>
      </c>
      <c r="C3705" s="15" t="s">
        <v>5999</v>
      </c>
      <c r="D3705" s="34" t="n">
        <f aca="false">Activities!N1515</f>
        <v>2</v>
      </c>
      <c r="E3705" s="15" t="s">
        <v>5998</v>
      </c>
    </row>
    <row r="3706" customFormat="false" ht="15" hidden="false" customHeight="false" outlineLevel="0" collapsed="false">
      <c r="A3706" s="15" t="s">
        <v>5044</v>
      </c>
      <c r="B3706" s="15" t="s">
        <v>5045</v>
      </c>
      <c r="C3706" s="15" t="s">
        <v>5997</v>
      </c>
      <c r="D3706" s="34" t="n">
        <f aca="false">Activities!M1516</f>
        <v>3</v>
      </c>
      <c r="E3706" s="15" t="s">
        <v>5998</v>
      </c>
    </row>
    <row r="3707" customFormat="false" ht="15" hidden="false" customHeight="false" outlineLevel="0" collapsed="false">
      <c r="A3707" s="15" t="s">
        <v>5044</v>
      </c>
      <c r="B3707" s="15" t="s">
        <v>5045</v>
      </c>
      <c r="C3707" s="15" t="s">
        <v>5999</v>
      </c>
      <c r="D3707" s="34" t="n">
        <f aca="false">Activities!N1516</f>
        <v>2</v>
      </c>
      <c r="E3707" s="15" t="s">
        <v>5998</v>
      </c>
    </row>
    <row r="3708" customFormat="false" ht="15" hidden="false" customHeight="false" outlineLevel="0" collapsed="false">
      <c r="A3708" s="15" t="s">
        <v>5045</v>
      </c>
      <c r="B3708" s="15" t="s">
        <v>5046</v>
      </c>
      <c r="C3708" s="15" t="s">
        <v>5997</v>
      </c>
      <c r="D3708" s="34" t="n">
        <f aca="false">Activities!M1517</f>
        <v>2</v>
      </c>
      <c r="E3708" s="15" t="s">
        <v>5998</v>
      </c>
    </row>
    <row r="3709" customFormat="false" ht="15" hidden="false" customHeight="false" outlineLevel="0" collapsed="false">
      <c r="A3709" s="15" t="s">
        <v>5045</v>
      </c>
      <c r="B3709" s="15" t="s">
        <v>5046</v>
      </c>
      <c r="C3709" s="15" t="s">
        <v>5999</v>
      </c>
      <c r="D3709" s="34" t="n">
        <f aca="false">Activities!N1517</f>
        <v>2</v>
      </c>
      <c r="E3709" s="15" t="s">
        <v>5998</v>
      </c>
    </row>
    <row r="3710" customFormat="false" ht="15" hidden="false" customHeight="false" outlineLevel="0" collapsed="false">
      <c r="A3710" s="15" t="s">
        <v>5046</v>
      </c>
      <c r="B3710" s="15" t="s">
        <v>5047</v>
      </c>
      <c r="C3710" s="15" t="s">
        <v>5997</v>
      </c>
      <c r="D3710" s="34" t="n">
        <f aca="false">Activities!M1518</f>
        <v>10</v>
      </c>
      <c r="E3710" s="15" t="s">
        <v>5998</v>
      </c>
    </row>
    <row r="3711" customFormat="false" ht="15" hidden="false" customHeight="false" outlineLevel="0" collapsed="false">
      <c r="A3711" s="15" t="s">
        <v>5046</v>
      </c>
      <c r="B3711" s="15" t="s">
        <v>5047</v>
      </c>
      <c r="C3711" s="15" t="s">
        <v>5999</v>
      </c>
      <c r="D3711" s="34" t="n">
        <f aca="false">Activities!N1518</f>
        <v>2</v>
      </c>
      <c r="E3711" s="15" t="s">
        <v>5998</v>
      </c>
    </row>
    <row r="3712" customFormat="false" ht="15" hidden="false" customHeight="false" outlineLevel="0" collapsed="false">
      <c r="A3712" s="15" t="s">
        <v>5047</v>
      </c>
      <c r="B3712" s="15" t="s">
        <v>5048</v>
      </c>
      <c r="C3712" s="15" t="s">
        <v>5997</v>
      </c>
      <c r="D3712" s="34" t="n">
        <f aca="false">Activities!M1519</f>
        <v>2</v>
      </c>
      <c r="E3712" s="15" t="s">
        <v>5998</v>
      </c>
    </row>
    <row r="3713" customFormat="false" ht="15" hidden="false" customHeight="false" outlineLevel="0" collapsed="false">
      <c r="A3713" s="15" t="s">
        <v>5047</v>
      </c>
      <c r="B3713" s="15" t="s">
        <v>5048</v>
      </c>
      <c r="C3713" s="15" t="s">
        <v>5999</v>
      </c>
      <c r="D3713" s="34" t="n">
        <f aca="false">Activities!N1519</f>
        <v>2</v>
      </c>
      <c r="E3713" s="15" t="s">
        <v>5998</v>
      </c>
    </row>
    <row r="3714" customFormat="false" ht="15" hidden="false" customHeight="false" outlineLevel="0" collapsed="false">
      <c r="A3714" s="15" t="s">
        <v>5048</v>
      </c>
      <c r="B3714" s="15" t="s">
        <v>5049</v>
      </c>
      <c r="C3714" s="15" t="s">
        <v>5997</v>
      </c>
      <c r="D3714" s="34" t="n">
        <f aca="false">Activities!M1520</f>
        <v>3</v>
      </c>
      <c r="E3714" s="15" t="s">
        <v>5998</v>
      </c>
    </row>
    <row r="3715" customFormat="false" ht="15" hidden="false" customHeight="false" outlineLevel="0" collapsed="false">
      <c r="A3715" s="15" t="s">
        <v>5048</v>
      </c>
      <c r="B3715" s="15" t="s">
        <v>5049</v>
      </c>
      <c r="C3715" s="15" t="s">
        <v>5999</v>
      </c>
      <c r="D3715" s="34" t="n">
        <f aca="false">Activities!N1520</f>
        <v>2</v>
      </c>
      <c r="E3715" s="15" t="s">
        <v>5998</v>
      </c>
    </row>
    <row r="3716" customFormat="false" ht="15" hidden="false" customHeight="false" outlineLevel="0" collapsed="false">
      <c r="A3716" s="15" t="s">
        <v>5049</v>
      </c>
      <c r="B3716" s="15" t="s">
        <v>5050</v>
      </c>
      <c r="C3716" s="15" t="s">
        <v>5997</v>
      </c>
      <c r="D3716" s="34" t="n">
        <f aca="false">Activities!M1521</f>
        <v>2</v>
      </c>
      <c r="E3716" s="15" t="s">
        <v>5998</v>
      </c>
    </row>
    <row r="3717" customFormat="false" ht="15" hidden="false" customHeight="false" outlineLevel="0" collapsed="false">
      <c r="A3717" s="15" t="s">
        <v>5049</v>
      </c>
      <c r="B3717" s="15" t="s">
        <v>5050</v>
      </c>
      <c r="C3717" s="15" t="s">
        <v>5999</v>
      </c>
      <c r="D3717" s="34" t="n">
        <f aca="false">Activities!N1521</f>
        <v>2</v>
      </c>
      <c r="E3717" s="15" t="s">
        <v>5998</v>
      </c>
    </row>
    <row r="3718" customFormat="false" ht="15" hidden="false" customHeight="false" outlineLevel="0" collapsed="false">
      <c r="A3718" s="15" t="s">
        <v>5050</v>
      </c>
      <c r="B3718" s="15" t="s">
        <v>5051</v>
      </c>
      <c r="C3718" s="15" t="s">
        <v>5997</v>
      </c>
      <c r="D3718" s="34" t="n">
        <f aca="false">Activities!M1522</f>
        <v>2</v>
      </c>
      <c r="E3718" s="15" t="s">
        <v>5998</v>
      </c>
    </row>
    <row r="3719" customFormat="false" ht="15" hidden="false" customHeight="false" outlineLevel="0" collapsed="false">
      <c r="A3719" s="15" t="s">
        <v>5050</v>
      </c>
      <c r="B3719" s="15" t="s">
        <v>5051</v>
      </c>
      <c r="C3719" s="15" t="s">
        <v>5999</v>
      </c>
      <c r="D3719" s="34" t="n">
        <f aca="false">Activities!N1522</f>
        <v>2</v>
      </c>
      <c r="E3719" s="15" t="s">
        <v>5998</v>
      </c>
    </row>
    <row r="3720" customFormat="false" ht="15" hidden="false" customHeight="false" outlineLevel="0" collapsed="false">
      <c r="A3720" s="15" t="s">
        <v>5065</v>
      </c>
      <c r="B3720" s="15" t="s">
        <v>5051</v>
      </c>
      <c r="C3720" s="15" t="s">
        <v>5995</v>
      </c>
      <c r="D3720" s="34" t="n">
        <v>0</v>
      </c>
      <c r="E3720" s="15" t="s">
        <v>6005</v>
      </c>
    </row>
    <row r="3721" customFormat="false" ht="15" hidden="false" customHeight="false" outlineLevel="0" collapsed="false">
      <c r="A3721" s="15" t="s">
        <v>5051</v>
      </c>
      <c r="B3721" s="15" t="s">
        <v>5053</v>
      </c>
      <c r="C3721" s="15" t="s">
        <v>5997</v>
      </c>
      <c r="D3721" s="34" t="n">
        <f aca="false">Activities!M1523</f>
        <v>2</v>
      </c>
      <c r="E3721" s="15" t="s">
        <v>5998</v>
      </c>
    </row>
    <row r="3722" customFormat="false" ht="15" hidden="false" customHeight="false" outlineLevel="0" collapsed="false">
      <c r="A3722" s="15" t="s">
        <v>5051</v>
      </c>
      <c r="B3722" s="15" t="s">
        <v>5053</v>
      </c>
      <c r="C3722" s="15" t="s">
        <v>5999</v>
      </c>
      <c r="D3722" s="34" t="n">
        <f aca="false">Activities!N1523</f>
        <v>2</v>
      </c>
      <c r="E3722" s="15" t="s">
        <v>5998</v>
      </c>
    </row>
    <row r="3723" customFormat="false" ht="15" hidden="false" customHeight="false" outlineLevel="0" collapsed="false">
      <c r="A3723" s="15" t="s">
        <v>5054</v>
      </c>
      <c r="B3723" s="15" t="s">
        <v>5056</v>
      </c>
      <c r="C3723" s="15" t="s">
        <v>5995</v>
      </c>
      <c r="D3723" s="34" t="n">
        <v>0</v>
      </c>
      <c r="E3723" s="15" t="s">
        <v>5996</v>
      </c>
    </row>
    <row r="3724" customFormat="false" ht="15" hidden="false" customHeight="false" outlineLevel="0" collapsed="false">
      <c r="A3724" s="15" t="s">
        <v>5044</v>
      </c>
      <c r="B3724" s="15" t="s">
        <v>5056</v>
      </c>
      <c r="C3724" s="15" t="s">
        <v>5997</v>
      </c>
      <c r="D3724" s="34" t="n">
        <v>0</v>
      </c>
      <c r="E3724" s="15" t="s">
        <v>6002</v>
      </c>
    </row>
    <row r="3725" customFormat="false" ht="15" hidden="false" customHeight="false" outlineLevel="0" collapsed="false">
      <c r="A3725" s="15" t="s">
        <v>5056</v>
      </c>
      <c r="B3725" s="15" t="s">
        <v>5058</v>
      </c>
      <c r="C3725" s="15" t="s">
        <v>5997</v>
      </c>
      <c r="D3725" s="34" t="n">
        <f aca="false">Activities!M1526</f>
        <v>1</v>
      </c>
      <c r="E3725" s="15" t="s">
        <v>5998</v>
      </c>
    </row>
    <row r="3726" customFormat="false" ht="15" hidden="false" customHeight="false" outlineLevel="0" collapsed="false">
      <c r="A3726" s="15" t="s">
        <v>5056</v>
      </c>
      <c r="B3726" s="15" t="s">
        <v>5058</v>
      </c>
      <c r="C3726" s="15" t="s">
        <v>5999</v>
      </c>
      <c r="D3726" s="34" t="n">
        <f aca="false">Activities!N1526</f>
        <v>2</v>
      </c>
      <c r="E3726" s="15" t="s">
        <v>5998</v>
      </c>
    </row>
    <row r="3727" customFormat="false" ht="15" hidden="false" customHeight="false" outlineLevel="0" collapsed="false">
      <c r="A3727" s="15" t="s">
        <v>5044</v>
      </c>
      <c r="B3727" s="15" t="s">
        <v>5058</v>
      </c>
      <c r="C3727" s="15" t="s">
        <v>5995</v>
      </c>
      <c r="D3727" s="34" t="n">
        <v>0</v>
      </c>
      <c r="E3727" s="15" t="s">
        <v>6013</v>
      </c>
    </row>
    <row r="3728" customFormat="false" ht="15" hidden="false" customHeight="false" outlineLevel="0" collapsed="false">
      <c r="A3728" s="15" t="s">
        <v>5058</v>
      </c>
      <c r="B3728" s="15" t="s">
        <v>5059</v>
      </c>
      <c r="C3728" s="15" t="s">
        <v>5997</v>
      </c>
      <c r="D3728" s="34" t="n">
        <f aca="false">Activities!M1527</f>
        <v>2</v>
      </c>
      <c r="E3728" s="15" t="s">
        <v>5998</v>
      </c>
    </row>
    <row r="3729" customFormat="false" ht="15" hidden="false" customHeight="false" outlineLevel="0" collapsed="false">
      <c r="A3729" s="15" t="s">
        <v>5058</v>
      </c>
      <c r="B3729" s="15" t="s">
        <v>5059</v>
      </c>
      <c r="C3729" s="15" t="s">
        <v>5999</v>
      </c>
      <c r="D3729" s="34" t="n">
        <f aca="false">Activities!N1527</f>
        <v>2</v>
      </c>
      <c r="E3729" s="15" t="s">
        <v>5998</v>
      </c>
    </row>
    <row r="3730" customFormat="false" ht="15" hidden="false" customHeight="false" outlineLevel="0" collapsed="false">
      <c r="A3730" s="15" t="s">
        <v>5045</v>
      </c>
      <c r="B3730" s="15" t="s">
        <v>5059</v>
      </c>
      <c r="C3730" s="15" t="s">
        <v>5995</v>
      </c>
      <c r="D3730" s="34" t="n">
        <v>0</v>
      </c>
      <c r="E3730" s="15" t="s">
        <v>6013</v>
      </c>
    </row>
    <row r="3731" customFormat="false" ht="15" hidden="false" customHeight="false" outlineLevel="0" collapsed="false">
      <c r="A3731" s="15" t="s">
        <v>5059</v>
      </c>
      <c r="B3731" s="15" t="s">
        <v>5060</v>
      </c>
      <c r="C3731" s="15" t="s">
        <v>5997</v>
      </c>
      <c r="D3731" s="34" t="n">
        <f aca="false">Activities!M1528</f>
        <v>3</v>
      </c>
      <c r="E3731" s="15" t="s">
        <v>5998</v>
      </c>
    </row>
    <row r="3732" customFormat="false" ht="15" hidden="false" customHeight="false" outlineLevel="0" collapsed="false">
      <c r="A3732" s="15" t="s">
        <v>5059</v>
      </c>
      <c r="B3732" s="15" t="s">
        <v>5060</v>
      </c>
      <c r="C3732" s="15" t="s">
        <v>5999</v>
      </c>
      <c r="D3732" s="34" t="n">
        <f aca="false">Activities!N1528</f>
        <v>2</v>
      </c>
      <c r="E3732" s="15" t="s">
        <v>5998</v>
      </c>
    </row>
    <row r="3733" customFormat="false" ht="15" hidden="false" customHeight="false" outlineLevel="0" collapsed="false">
      <c r="A3733" s="15" t="s">
        <v>5047</v>
      </c>
      <c r="B3733" s="15" t="s">
        <v>5060</v>
      </c>
      <c r="C3733" s="15" t="s">
        <v>5995</v>
      </c>
      <c r="D3733" s="34" t="n">
        <f aca="false">-Activities!K1528</f>
        <v>-11</v>
      </c>
      <c r="E3733" s="15" t="s">
        <v>6004</v>
      </c>
    </row>
    <row r="3734" customFormat="false" ht="15" hidden="false" customHeight="false" outlineLevel="0" collapsed="false">
      <c r="A3734" s="15" t="s">
        <v>5060</v>
      </c>
      <c r="B3734" s="15" t="s">
        <v>5062</v>
      </c>
      <c r="C3734" s="15" t="s">
        <v>5997</v>
      </c>
      <c r="D3734" s="34" t="n">
        <f aca="false">Activities!M1529</f>
        <v>10</v>
      </c>
      <c r="E3734" s="15" t="s">
        <v>5998</v>
      </c>
    </row>
    <row r="3735" customFormat="false" ht="15" hidden="false" customHeight="false" outlineLevel="0" collapsed="false">
      <c r="A3735" s="15" t="s">
        <v>5060</v>
      </c>
      <c r="B3735" s="15" t="s">
        <v>5062</v>
      </c>
      <c r="C3735" s="15" t="s">
        <v>5999</v>
      </c>
      <c r="D3735" s="34" t="n">
        <f aca="false">Activities!N1529</f>
        <v>2</v>
      </c>
      <c r="E3735" s="15" t="s">
        <v>5998</v>
      </c>
    </row>
    <row r="3736" customFormat="false" ht="15" hidden="false" customHeight="false" outlineLevel="0" collapsed="false">
      <c r="A3736" s="15" t="s">
        <v>5047</v>
      </c>
      <c r="B3736" s="15" t="s">
        <v>5062</v>
      </c>
      <c r="C3736" s="15" t="s">
        <v>5995</v>
      </c>
      <c r="D3736" s="34" t="n">
        <v>0</v>
      </c>
      <c r="E3736" s="15" t="s">
        <v>6013</v>
      </c>
    </row>
    <row r="3737" customFormat="false" ht="15" hidden="false" customHeight="false" outlineLevel="0" collapsed="false">
      <c r="A3737" s="15" t="s">
        <v>5047</v>
      </c>
      <c r="B3737" s="15" t="s">
        <v>5062</v>
      </c>
      <c r="C3737" s="15" t="s">
        <v>5997</v>
      </c>
      <c r="D3737" s="34" t="n">
        <v>0</v>
      </c>
      <c r="E3737" s="15" t="s">
        <v>6006</v>
      </c>
    </row>
    <row r="3738" customFormat="false" ht="15" hidden="false" customHeight="false" outlineLevel="0" collapsed="false">
      <c r="A3738" s="15" t="s">
        <v>5062</v>
      </c>
      <c r="B3738" s="15" t="s">
        <v>5064</v>
      </c>
      <c r="C3738" s="15" t="s">
        <v>5997</v>
      </c>
      <c r="D3738" s="34" t="n">
        <f aca="false">Activities!M1530</f>
        <v>2</v>
      </c>
      <c r="E3738" s="15" t="s">
        <v>5998</v>
      </c>
    </row>
    <row r="3739" customFormat="false" ht="15" hidden="false" customHeight="false" outlineLevel="0" collapsed="false">
      <c r="A3739" s="15" t="s">
        <v>5062</v>
      </c>
      <c r="B3739" s="15" t="s">
        <v>5064</v>
      </c>
      <c r="C3739" s="15" t="s">
        <v>5999</v>
      </c>
      <c r="D3739" s="34" t="n">
        <f aca="false">Activities!N1530</f>
        <v>2</v>
      </c>
      <c r="E3739" s="15" t="s">
        <v>5998</v>
      </c>
    </row>
    <row r="3740" customFormat="false" ht="15" hidden="false" customHeight="false" outlineLevel="0" collapsed="false">
      <c r="A3740" s="15" t="s">
        <v>5048</v>
      </c>
      <c r="B3740" s="15" t="s">
        <v>5064</v>
      </c>
      <c r="C3740" s="15" t="s">
        <v>5995</v>
      </c>
      <c r="D3740" s="34" t="n">
        <v>0</v>
      </c>
      <c r="E3740" s="15" t="s">
        <v>6013</v>
      </c>
    </row>
    <row r="3741" customFormat="false" ht="15" hidden="false" customHeight="false" outlineLevel="0" collapsed="false">
      <c r="A3741" s="15" t="s">
        <v>5064</v>
      </c>
      <c r="B3741" s="15" t="s">
        <v>5065</v>
      </c>
      <c r="C3741" s="15" t="s">
        <v>5997</v>
      </c>
      <c r="D3741" s="34" t="n">
        <f aca="false">Activities!M1531</f>
        <v>4</v>
      </c>
      <c r="E3741" s="15" t="s">
        <v>5998</v>
      </c>
    </row>
    <row r="3742" customFormat="false" ht="15" hidden="false" customHeight="false" outlineLevel="0" collapsed="false">
      <c r="A3742" s="15" t="s">
        <v>5064</v>
      </c>
      <c r="B3742" s="15" t="s">
        <v>5065</v>
      </c>
      <c r="C3742" s="15" t="s">
        <v>5999</v>
      </c>
      <c r="D3742" s="34" t="n">
        <f aca="false">Activities!N1531</f>
        <v>2</v>
      </c>
      <c r="E3742" s="15" t="s">
        <v>5998</v>
      </c>
    </row>
    <row r="3743" customFormat="false" ht="15" hidden="false" customHeight="false" outlineLevel="0" collapsed="false">
      <c r="A3743" s="15" t="s">
        <v>5049</v>
      </c>
      <c r="B3743" s="15" t="s">
        <v>5065</v>
      </c>
      <c r="C3743" s="15" t="s">
        <v>5995</v>
      </c>
      <c r="D3743" s="34" t="n">
        <v>0</v>
      </c>
      <c r="E3743" s="15" t="s">
        <v>6013</v>
      </c>
    </row>
    <row r="3744" customFormat="false" ht="15" hidden="false" customHeight="false" outlineLevel="0" collapsed="false">
      <c r="A3744" s="15" t="s">
        <v>5065</v>
      </c>
      <c r="B3744" s="15" t="s">
        <v>5066</v>
      </c>
      <c r="C3744" s="15" t="s">
        <v>5997</v>
      </c>
      <c r="D3744" s="34" t="n">
        <f aca="false">Activities!M1532</f>
        <v>2</v>
      </c>
      <c r="E3744" s="15" t="s">
        <v>5998</v>
      </c>
    </row>
    <row r="3745" customFormat="false" ht="15" hidden="false" customHeight="false" outlineLevel="0" collapsed="false">
      <c r="A3745" s="15" t="s">
        <v>5065</v>
      </c>
      <c r="B3745" s="15" t="s">
        <v>5066</v>
      </c>
      <c r="C3745" s="15" t="s">
        <v>5999</v>
      </c>
      <c r="D3745" s="34" t="n">
        <f aca="false">Activities!N1532</f>
        <v>2</v>
      </c>
      <c r="E3745" s="15" t="s">
        <v>5998</v>
      </c>
    </row>
    <row r="3746" customFormat="false" ht="15" hidden="false" customHeight="false" outlineLevel="0" collapsed="false">
      <c r="A3746" s="15" t="s">
        <v>5066</v>
      </c>
      <c r="B3746" s="15" t="s">
        <v>5067</v>
      </c>
      <c r="C3746" s="15" t="s">
        <v>5997</v>
      </c>
      <c r="D3746" s="34" t="n">
        <f aca="false">Activities!M1533</f>
        <v>2</v>
      </c>
      <c r="E3746" s="15" t="s">
        <v>5998</v>
      </c>
    </row>
    <row r="3747" customFormat="false" ht="15" hidden="false" customHeight="false" outlineLevel="0" collapsed="false">
      <c r="A3747" s="15" t="s">
        <v>5066</v>
      </c>
      <c r="B3747" s="15" t="s">
        <v>5067</v>
      </c>
      <c r="C3747" s="15" t="s">
        <v>5999</v>
      </c>
      <c r="D3747" s="34" t="n">
        <f aca="false">Activities!N1533</f>
        <v>2</v>
      </c>
      <c r="E3747" s="15" t="s">
        <v>5998</v>
      </c>
    </row>
    <row r="3748" customFormat="false" ht="15" hidden="false" customHeight="false" outlineLevel="0" collapsed="false">
      <c r="A3748" s="15" t="s">
        <v>5051</v>
      </c>
      <c r="B3748" s="15" t="s">
        <v>5067</v>
      </c>
      <c r="C3748" s="15" t="s">
        <v>5995</v>
      </c>
      <c r="D3748" s="34" t="n">
        <v>0</v>
      </c>
      <c r="E3748" s="15" t="s">
        <v>6013</v>
      </c>
    </row>
    <row r="3749" customFormat="false" ht="15" hidden="false" customHeight="false" outlineLevel="0" collapsed="false">
      <c r="A3749" s="15" t="s">
        <v>5049</v>
      </c>
      <c r="B3749" s="15" t="s">
        <v>5067</v>
      </c>
      <c r="C3749" s="15" t="s">
        <v>5995</v>
      </c>
      <c r="D3749" s="34" t="n">
        <v>0</v>
      </c>
      <c r="E3749" s="15" t="s">
        <v>6005</v>
      </c>
    </row>
    <row r="3750" customFormat="false" ht="15" hidden="false" customHeight="false" outlineLevel="0" collapsed="false">
      <c r="A3750" s="15" t="s">
        <v>5067</v>
      </c>
      <c r="B3750" s="15" t="s">
        <v>5069</v>
      </c>
      <c r="C3750" s="15" t="s">
        <v>5997</v>
      </c>
      <c r="D3750" s="34" t="n">
        <f aca="false">Activities!M1534</f>
        <v>1</v>
      </c>
      <c r="E3750" s="15" t="s">
        <v>5998</v>
      </c>
    </row>
    <row r="3751" customFormat="false" ht="15" hidden="false" customHeight="false" outlineLevel="0" collapsed="false">
      <c r="A3751" s="15" t="s">
        <v>5067</v>
      </c>
      <c r="B3751" s="15" t="s">
        <v>5069</v>
      </c>
      <c r="C3751" s="15" t="s">
        <v>5999</v>
      </c>
      <c r="D3751" s="34" t="n">
        <f aca="false">Activities!N1534</f>
        <v>2</v>
      </c>
      <c r="E3751" s="15" t="s">
        <v>5998</v>
      </c>
    </row>
    <row r="3752" customFormat="false" ht="15" hidden="false" customHeight="false" outlineLevel="0" collapsed="false">
      <c r="A3752" s="15" t="s">
        <v>5070</v>
      </c>
      <c r="B3752" s="15" t="s">
        <v>5072</v>
      </c>
      <c r="C3752" s="15" t="s">
        <v>5995</v>
      </c>
      <c r="D3752" s="34" t="n">
        <v>0</v>
      </c>
      <c r="E3752" s="15" t="s">
        <v>5996</v>
      </c>
    </row>
    <row r="3753" customFormat="false" ht="15" hidden="false" customHeight="false" outlineLevel="0" collapsed="false">
      <c r="A3753" s="15" t="s">
        <v>5058</v>
      </c>
      <c r="B3753" s="15" t="s">
        <v>5072</v>
      </c>
      <c r="C3753" s="15" t="s">
        <v>5997</v>
      </c>
      <c r="D3753" s="34" t="n">
        <v>0</v>
      </c>
      <c r="E3753" s="15" t="s">
        <v>6002</v>
      </c>
    </row>
    <row r="3754" customFormat="false" ht="15" hidden="false" customHeight="false" outlineLevel="0" collapsed="false">
      <c r="A3754" s="15" t="s">
        <v>5072</v>
      </c>
      <c r="B3754" s="15" t="s">
        <v>5074</v>
      </c>
      <c r="C3754" s="15" t="s">
        <v>5997</v>
      </c>
      <c r="D3754" s="34" t="n">
        <f aca="false">Activities!M1537</f>
        <v>1</v>
      </c>
      <c r="E3754" s="15" t="s">
        <v>5998</v>
      </c>
    </row>
    <row r="3755" customFormat="false" ht="15" hidden="false" customHeight="false" outlineLevel="0" collapsed="false">
      <c r="A3755" s="15" t="s">
        <v>5072</v>
      </c>
      <c r="B3755" s="15" t="s">
        <v>5074</v>
      </c>
      <c r="C3755" s="15" t="s">
        <v>5999</v>
      </c>
      <c r="D3755" s="34" t="n">
        <f aca="false">Activities!N1537</f>
        <v>2</v>
      </c>
      <c r="E3755" s="15" t="s">
        <v>5998</v>
      </c>
    </row>
    <row r="3756" customFormat="false" ht="15" hidden="false" customHeight="false" outlineLevel="0" collapsed="false">
      <c r="A3756" s="15" t="s">
        <v>5058</v>
      </c>
      <c r="B3756" s="15" t="s">
        <v>5074</v>
      </c>
      <c r="C3756" s="15" t="s">
        <v>5995</v>
      </c>
      <c r="D3756" s="34" t="n">
        <v>0</v>
      </c>
      <c r="E3756" s="15" t="s">
        <v>6013</v>
      </c>
    </row>
    <row r="3757" customFormat="false" ht="15" hidden="false" customHeight="false" outlineLevel="0" collapsed="false">
      <c r="A3757" s="15" t="s">
        <v>5074</v>
      </c>
      <c r="B3757" s="15" t="s">
        <v>5075</v>
      </c>
      <c r="C3757" s="15" t="s">
        <v>5997</v>
      </c>
      <c r="D3757" s="34" t="n">
        <f aca="false">Activities!M1538</f>
        <v>2</v>
      </c>
      <c r="E3757" s="15" t="s">
        <v>5998</v>
      </c>
    </row>
    <row r="3758" customFormat="false" ht="15" hidden="false" customHeight="false" outlineLevel="0" collapsed="false">
      <c r="A3758" s="15" t="s">
        <v>5074</v>
      </c>
      <c r="B3758" s="15" t="s">
        <v>5075</v>
      </c>
      <c r="C3758" s="15" t="s">
        <v>5999</v>
      </c>
      <c r="D3758" s="34" t="n">
        <f aca="false">Activities!N1538</f>
        <v>2</v>
      </c>
      <c r="E3758" s="15" t="s">
        <v>5998</v>
      </c>
    </row>
    <row r="3759" customFormat="false" ht="15" hidden="false" customHeight="false" outlineLevel="0" collapsed="false">
      <c r="A3759" s="15" t="s">
        <v>5059</v>
      </c>
      <c r="B3759" s="15" t="s">
        <v>5075</v>
      </c>
      <c r="C3759" s="15" t="s">
        <v>5995</v>
      </c>
      <c r="D3759" s="34" t="n">
        <v>0</v>
      </c>
      <c r="E3759" s="15" t="s">
        <v>6013</v>
      </c>
    </row>
    <row r="3760" customFormat="false" ht="15" hidden="false" customHeight="false" outlineLevel="0" collapsed="false">
      <c r="A3760" s="15" t="s">
        <v>5075</v>
      </c>
      <c r="B3760" s="15" t="s">
        <v>5076</v>
      </c>
      <c r="C3760" s="15" t="s">
        <v>5997</v>
      </c>
      <c r="D3760" s="34" t="n">
        <f aca="false">Activities!M1539</f>
        <v>2</v>
      </c>
      <c r="E3760" s="15" t="s">
        <v>5998</v>
      </c>
    </row>
    <row r="3761" customFormat="false" ht="15" hidden="false" customHeight="false" outlineLevel="0" collapsed="false">
      <c r="A3761" s="15" t="s">
        <v>5075</v>
      </c>
      <c r="B3761" s="15" t="s">
        <v>5076</v>
      </c>
      <c r="C3761" s="15" t="s">
        <v>5999</v>
      </c>
      <c r="D3761" s="34" t="n">
        <f aca="false">Activities!N1539</f>
        <v>2</v>
      </c>
      <c r="E3761" s="15" t="s">
        <v>5998</v>
      </c>
    </row>
    <row r="3762" customFormat="false" ht="15" hidden="false" customHeight="false" outlineLevel="0" collapsed="false">
      <c r="A3762" s="15" t="s">
        <v>5062</v>
      </c>
      <c r="B3762" s="15" t="s">
        <v>5076</v>
      </c>
      <c r="C3762" s="15" t="s">
        <v>5995</v>
      </c>
      <c r="D3762" s="34" t="n">
        <f aca="false">-Activities!K1539</f>
        <v>-10</v>
      </c>
      <c r="E3762" s="15" t="s">
        <v>6004</v>
      </c>
    </row>
    <row r="3763" customFormat="false" ht="15" hidden="false" customHeight="false" outlineLevel="0" collapsed="false">
      <c r="A3763" s="15" t="s">
        <v>5076</v>
      </c>
      <c r="B3763" s="15" t="s">
        <v>5078</v>
      </c>
      <c r="C3763" s="15" t="s">
        <v>5997</v>
      </c>
      <c r="D3763" s="34" t="n">
        <f aca="false">Activities!M1540</f>
        <v>10</v>
      </c>
      <c r="E3763" s="15" t="s">
        <v>5998</v>
      </c>
    </row>
    <row r="3764" customFormat="false" ht="15" hidden="false" customHeight="false" outlineLevel="0" collapsed="false">
      <c r="A3764" s="15" t="s">
        <v>5076</v>
      </c>
      <c r="B3764" s="15" t="s">
        <v>5078</v>
      </c>
      <c r="C3764" s="15" t="s">
        <v>5999</v>
      </c>
      <c r="D3764" s="34" t="n">
        <f aca="false">Activities!N1540</f>
        <v>2</v>
      </c>
      <c r="E3764" s="15" t="s">
        <v>5998</v>
      </c>
    </row>
    <row r="3765" customFormat="false" ht="15" hidden="false" customHeight="false" outlineLevel="0" collapsed="false">
      <c r="A3765" s="15" t="s">
        <v>5062</v>
      </c>
      <c r="B3765" s="15" t="s">
        <v>5078</v>
      </c>
      <c r="C3765" s="15" t="s">
        <v>5995</v>
      </c>
      <c r="D3765" s="34" t="n">
        <v>0</v>
      </c>
      <c r="E3765" s="15" t="s">
        <v>6013</v>
      </c>
    </row>
    <row r="3766" customFormat="false" ht="15" hidden="false" customHeight="false" outlineLevel="0" collapsed="false">
      <c r="A3766" s="15" t="s">
        <v>5078</v>
      </c>
      <c r="B3766" s="15" t="s">
        <v>5079</v>
      </c>
      <c r="C3766" s="15" t="s">
        <v>5997</v>
      </c>
      <c r="D3766" s="34" t="n">
        <f aca="false">Activities!M1541</f>
        <v>2</v>
      </c>
      <c r="E3766" s="15" t="s">
        <v>5998</v>
      </c>
    </row>
    <row r="3767" customFormat="false" ht="15" hidden="false" customHeight="false" outlineLevel="0" collapsed="false">
      <c r="A3767" s="15" t="s">
        <v>5078</v>
      </c>
      <c r="B3767" s="15" t="s">
        <v>5079</v>
      </c>
      <c r="C3767" s="15" t="s">
        <v>5999</v>
      </c>
      <c r="D3767" s="34" t="n">
        <f aca="false">Activities!N1541</f>
        <v>2</v>
      </c>
      <c r="E3767" s="15" t="s">
        <v>5998</v>
      </c>
    </row>
    <row r="3768" customFormat="false" ht="15" hidden="false" customHeight="false" outlineLevel="0" collapsed="false">
      <c r="A3768" s="15" t="s">
        <v>5064</v>
      </c>
      <c r="B3768" s="15" t="s">
        <v>5079</v>
      </c>
      <c r="C3768" s="15" t="s">
        <v>5995</v>
      </c>
      <c r="D3768" s="34" t="n">
        <v>0</v>
      </c>
      <c r="E3768" s="15" t="s">
        <v>6013</v>
      </c>
    </row>
    <row r="3769" customFormat="false" ht="15" hidden="false" customHeight="false" outlineLevel="0" collapsed="false">
      <c r="A3769" s="15" t="s">
        <v>5079</v>
      </c>
      <c r="B3769" s="15" t="s">
        <v>5080</v>
      </c>
      <c r="C3769" s="15" t="s">
        <v>5997</v>
      </c>
      <c r="D3769" s="34" t="n">
        <f aca="false">Activities!M1542</f>
        <v>3</v>
      </c>
      <c r="E3769" s="15" t="s">
        <v>5998</v>
      </c>
    </row>
    <row r="3770" customFormat="false" ht="15" hidden="false" customHeight="false" outlineLevel="0" collapsed="false">
      <c r="A3770" s="15" t="s">
        <v>5079</v>
      </c>
      <c r="B3770" s="15" t="s">
        <v>5080</v>
      </c>
      <c r="C3770" s="15" t="s">
        <v>5999</v>
      </c>
      <c r="D3770" s="34" t="n">
        <f aca="false">Activities!N1542</f>
        <v>2</v>
      </c>
      <c r="E3770" s="15" t="s">
        <v>5998</v>
      </c>
    </row>
    <row r="3771" customFormat="false" ht="15" hidden="false" customHeight="false" outlineLevel="0" collapsed="false">
      <c r="A3771" s="15" t="s">
        <v>5065</v>
      </c>
      <c r="B3771" s="15" t="s">
        <v>5080</v>
      </c>
      <c r="C3771" s="15" t="s">
        <v>5995</v>
      </c>
      <c r="D3771" s="34" t="n">
        <v>0</v>
      </c>
      <c r="E3771" s="15" t="s">
        <v>6013</v>
      </c>
    </row>
    <row r="3772" customFormat="false" ht="15" hidden="false" customHeight="false" outlineLevel="0" collapsed="false">
      <c r="A3772" s="15" t="s">
        <v>5080</v>
      </c>
      <c r="B3772" s="15" t="s">
        <v>5081</v>
      </c>
      <c r="C3772" s="15" t="s">
        <v>5997</v>
      </c>
      <c r="D3772" s="34" t="n">
        <f aca="false">Activities!M1543</f>
        <v>2</v>
      </c>
      <c r="E3772" s="15" t="s">
        <v>5998</v>
      </c>
    </row>
    <row r="3773" customFormat="false" ht="15" hidden="false" customHeight="false" outlineLevel="0" collapsed="false">
      <c r="A3773" s="15" t="s">
        <v>5080</v>
      </c>
      <c r="B3773" s="15" t="s">
        <v>5081</v>
      </c>
      <c r="C3773" s="15" t="s">
        <v>5999</v>
      </c>
      <c r="D3773" s="34" t="n">
        <f aca="false">Activities!N1543</f>
        <v>2</v>
      </c>
      <c r="E3773" s="15" t="s">
        <v>5998</v>
      </c>
    </row>
    <row r="3774" customFormat="false" ht="15" hidden="false" customHeight="false" outlineLevel="0" collapsed="false">
      <c r="A3774" s="15" t="s">
        <v>5081</v>
      </c>
      <c r="B3774" s="15" t="s">
        <v>5082</v>
      </c>
      <c r="C3774" s="15" t="s">
        <v>5997</v>
      </c>
      <c r="D3774" s="34" t="n">
        <f aca="false">Activities!M1544</f>
        <v>2</v>
      </c>
      <c r="E3774" s="15" t="s">
        <v>5998</v>
      </c>
    </row>
    <row r="3775" customFormat="false" ht="15" hidden="false" customHeight="false" outlineLevel="0" collapsed="false">
      <c r="A3775" s="15" t="s">
        <v>5081</v>
      </c>
      <c r="B3775" s="15" t="s">
        <v>5082</v>
      </c>
      <c r="C3775" s="15" t="s">
        <v>5999</v>
      </c>
      <c r="D3775" s="34" t="n">
        <f aca="false">Activities!N1544</f>
        <v>2</v>
      </c>
      <c r="E3775" s="15" t="s">
        <v>5998</v>
      </c>
    </row>
    <row r="3776" customFormat="false" ht="15" hidden="false" customHeight="false" outlineLevel="0" collapsed="false">
      <c r="A3776" s="15" t="s">
        <v>5067</v>
      </c>
      <c r="B3776" s="15" t="s">
        <v>5082</v>
      </c>
      <c r="C3776" s="15" t="s">
        <v>5995</v>
      </c>
      <c r="D3776" s="34" t="n">
        <v>0</v>
      </c>
      <c r="E3776" s="15" t="s">
        <v>6013</v>
      </c>
    </row>
    <row r="3777" customFormat="false" ht="15" hidden="false" customHeight="false" outlineLevel="0" collapsed="false">
      <c r="A3777" s="15" t="s">
        <v>5082</v>
      </c>
      <c r="B3777" s="15" t="s">
        <v>5083</v>
      </c>
      <c r="C3777" s="15" t="s">
        <v>5997</v>
      </c>
      <c r="D3777" s="34" t="n">
        <f aca="false">Activities!M1545</f>
        <v>1</v>
      </c>
      <c r="E3777" s="15" t="s">
        <v>5998</v>
      </c>
    </row>
    <row r="3778" customFormat="false" ht="15" hidden="false" customHeight="false" outlineLevel="0" collapsed="false">
      <c r="A3778" s="15" t="s">
        <v>5082</v>
      </c>
      <c r="B3778" s="15" t="s">
        <v>5083</v>
      </c>
      <c r="C3778" s="15" t="s">
        <v>5999</v>
      </c>
      <c r="D3778" s="34" t="n">
        <f aca="false">Activities!N1545</f>
        <v>2</v>
      </c>
      <c r="E3778" s="15" t="s">
        <v>5998</v>
      </c>
    </row>
    <row r="3779" customFormat="false" ht="15" hidden="false" customHeight="false" outlineLevel="0" collapsed="false">
      <c r="A3779" s="15" t="s">
        <v>5084</v>
      </c>
      <c r="B3779" s="15" t="s">
        <v>5086</v>
      </c>
      <c r="C3779" s="15" t="s">
        <v>5995</v>
      </c>
      <c r="D3779" s="34" t="n">
        <v>0</v>
      </c>
      <c r="E3779" s="15" t="s">
        <v>5996</v>
      </c>
    </row>
    <row r="3780" customFormat="false" ht="15" hidden="false" customHeight="false" outlineLevel="0" collapsed="false">
      <c r="A3780" s="15" t="s">
        <v>5074</v>
      </c>
      <c r="B3780" s="15" t="s">
        <v>5086</v>
      </c>
      <c r="C3780" s="15" t="s">
        <v>5997</v>
      </c>
      <c r="D3780" s="34" t="n">
        <v>0</v>
      </c>
      <c r="E3780" s="15" t="s">
        <v>6002</v>
      </c>
    </row>
    <row r="3781" customFormat="false" ht="15" hidden="false" customHeight="false" outlineLevel="0" collapsed="false">
      <c r="A3781" s="15" t="s">
        <v>5086</v>
      </c>
      <c r="B3781" s="15" t="s">
        <v>5088</v>
      </c>
      <c r="C3781" s="15" t="s">
        <v>5997</v>
      </c>
      <c r="D3781" s="34" t="n">
        <f aca="false">Activities!M1548</f>
        <v>1</v>
      </c>
      <c r="E3781" s="15" t="s">
        <v>5998</v>
      </c>
    </row>
    <row r="3782" customFormat="false" ht="15" hidden="false" customHeight="false" outlineLevel="0" collapsed="false">
      <c r="A3782" s="15" t="s">
        <v>5086</v>
      </c>
      <c r="B3782" s="15" t="s">
        <v>5088</v>
      </c>
      <c r="C3782" s="15" t="s">
        <v>5999</v>
      </c>
      <c r="D3782" s="34" t="n">
        <f aca="false">Activities!N1548</f>
        <v>2</v>
      </c>
      <c r="E3782" s="15" t="s">
        <v>5998</v>
      </c>
    </row>
    <row r="3783" customFormat="false" ht="15" hidden="false" customHeight="false" outlineLevel="0" collapsed="false">
      <c r="A3783" s="15" t="s">
        <v>5074</v>
      </c>
      <c r="B3783" s="15" t="s">
        <v>5088</v>
      </c>
      <c r="C3783" s="15" t="s">
        <v>5995</v>
      </c>
      <c r="D3783" s="34" t="n">
        <v>0</v>
      </c>
      <c r="E3783" s="15" t="s">
        <v>6013</v>
      </c>
    </row>
    <row r="3784" customFormat="false" ht="15" hidden="false" customHeight="false" outlineLevel="0" collapsed="false">
      <c r="A3784" s="15" t="s">
        <v>5088</v>
      </c>
      <c r="B3784" s="15" t="s">
        <v>5089</v>
      </c>
      <c r="C3784" s="15" t="s">
        <v>5997</v>
      </c>
      <c r="D3784" s="34" t="n">
        <f aca="false">Activities!M1549</f>
        <v>3</v>
      </c>
      <c r="E3784" s="15" t="s">
        <v>5998</v>
      </c>
    </row>
    <row r="3785" customFormat="false" ht="15" hidden="false" customHeight="false" outlineLevel="0" collapsed="false">
      <c r="A3785" s="15" t="s">
        <v>5088</v>
      </c>
      <c r="B3785" s="15" t="s">
        <v>5089</v>
      </c>
      <c r="C3785" s="15" t="s">
        <v>5999</v>
      </c>
      <c r="D3785" s="34" t="n">
        <f aca="false">Activities!N1549</f>
        <v>2</v>
      </c>
      <c r="E3785" s="15" t="s">
        <v>5998</v>
      </c>
    </row>
    <row r="3786" customFormat="false" ht="15" hidden="false" customHeight="false" outlineLevel="0" collapsed="false">
      <c r="A3786" s="15" t="s">
        <v>5075</v>
      </c>
      <c r="B3786" s="15" t="s">
        <v>5089</v>
      </c>
      <c r="C3786" s="15" t="s">
        <v>5995</v>
      </c>
      <c r="D3786" s="34" t="n">
        <v>0</v>
      </c>
      <c r="E3786" s="15" t="s">
        <v>6013</v>
      </c>
    </row>
    <row r="3787" customFormat="false" ht="15" hidden="false" customHeight="false" outlineLevel="0" collapsed="false">
      <c r="A3787" s="15" t="s">
        <v>5089</v>
      </c>
      <c r="B3787" s="15" t="s">
        <v>5090</v>
      </c>
      <c r="C3787" s="15" t="s">
        <v>5997</v>
      </c>
      <c r="D3787" s="34" t="n">
        <f aca="false">Activities!M1550</f>
        <v>2</v>
      </c>
      <c r="E3787" s="15" t="s">
        <v>5998</v>
      </c>
    </row>
    <row r="3788" customFormat="false" ht="15" hidden="false" customHeight="false" outlineLevel="0" collapsed="false">
      <c r="A3788" s="15" t="s">
        <v>5089</v>
      </c>
      <c r="B3788" s="15" t="s">
        <v>5090</v>
      </c>
      <c r="C3788" s="15" t="s">
        <v>5999</v>
      </c>
      <c r="D3788" s="34" t="n">
        <f aca="false">Activities!N1550</f>
        <v>2</v>
      </c>
      <c r="E3788" s="15" t="s">
        <v>5998</v>
      </c>
    </row>
    <row r="3789" customFormat="false" ht="15" hidden="false" customHeight="false" outlineLevel="0" collapsed="false">
      <c r="A3789" s="15" t="s">
        <v>5078</v>
      </c>
      <c r="B3789" s="15" t="s">
        <v>5090</v>
      </c>
      <c r="C3789" s="15" t="s">
        <v>5995</v>
      </c>
      <c r="D3789" s="34" t="n">
        <f aca="false">-Activities!K1550</f>
        <v>-10</v>
      </c>
      <c r="E3789" s="15" t="s">
        <v>6004</v>
      </c>
    </row>
    <row r="3790" customFormat="false" ht="15" hidden="false" customHeight="false" outlineLevel="0" collapsed="false">
      <c r="A3790" s="15" t="s">
        <v>5090</v>
      </c>
      <c r="B3790" s="15" t="s">
        <v>5092</v>
      </c>
      <c r="C3790" s="15" t="s">
        <v>5997</v>
      </c>
      <c r="D3790" s="34" t="n">
        <f aca="false">Activities!M1551</f>
        <v>10</v>
      </c>
      <c r="E3790" s="15" t="s">
        <v>5998</v>
      </c>
    </row>
    <row r="3791" customFormat="false" ht="15" hidden="false" customHeight="false" outlineLevel="0" collapsed="false">
      <c r="A3791" s="15" t="s">
        <v>5090</v>
      </c>
      <c r="B3791" s="15" t="s">
        <v>5092</v>
      </c>
      <c r="C3791" s="15" t="s">
        <v>5999</v>
      </c>
      <c r="D3791" s="34" t="n">
        <f aca="false">Activities!N1551</f>
        <v>2</v>
      </c>
      <c r="E3791" s="15" t="s">
        <v>5998</v>
      </c>
    </row>
    <row r="3792" customFormat="false" ht="15" hidden="false" customHeight="false" outlineLevel="0" collapsed="false">
      <c r="A3792" s="15" t="s">
        <v>5078</v>
      </c>
      <c r="B3792" s="15" t="s">
        <v>5092</v>
      </c>
      <c r="C3792" s="15" t="s">
        <v>5995</v>
      </c>
      <c r="D3792" s="34" t="n">
        <v>0</v>
      </c>
      <c r="E3792" s="15" t="s">
        <v>6013</v>
      </c>
    </row>
    <row r="3793" customFormat="false" ht="15" hidden="false" customHeight="false" outlineLevel="0" collapsed="false">
      <c r="A3793" s="15" t="s">
        <v>5092</v>
      </c>
      <c r="B3793" s="15" t="s">
        <v>5093</v>
      </c>
      <c r="C3793" s="15" t="s">
        <v>5997</v>
      </c>
      <c r="D3793" s="34" t="n">
        <f aca="false">Activities!M1552</f>
        <v>2</v>
      </c>
      <c r="E3793" s="15" t="s">
        <v>5998</v>
      </c>
    </row>
    <row r="3794" customFormat="false" ht="15" hidden="false" customHeight="false" outlineLevel="0" collapsed="false">
      <c r="A3794" s="15" t="s">
        <v>5092</v>
      </c>
      <c r="B3794" s="15" t="s">
        <v>5093</v>
      </c>
      <c r="C3794" s="15" t="s">
        <v>5999</v>
      </c>
      <c r="D3794" s="34" t="n">
        <f aca="false">Activities!N1552</f>
        <v>2</v>
      </c>
      <c r="E3794" s="15" t="s">
        <v>5998</v>
      </c>
    </row>
    <row r="3795" customFormat="false" ht="15" hidden="false" customHeight="false" outlineLevel="0" collapsed="false">
      <c r="A3795" s="15" t="s">
        <v>5079</v>
      </c>
      <c r="B3795" s="15" t="s">
        <v>5093</v>
      </c>
      <c r="C3795" s="15" t="s">
        <v>5995</v>
      </c>
      <c r="D3795" s="34" t="n">
        <v>0</v>
      </c>
      <c r="E3795" s="15" t="s">
        <v>6013</v>
      </c>
    </row>
    <row r="3796" customFormat="false" ht="15" hidden="false" customHeight="false" outlineLevel="0" collapsed="false">
      <c r="A3796" s="15" t="s">
        <v>5093</v>
      </c>
      <c r="B3796" s="15" t="s">
        <v>5094</v>
      </c>
      <c r="C3796" s="15" t="s">
        <v>5997</v>
      </c>
      <c r="D3796" s="34" t="n">
        <f aca="false">Activities!M1553</f>
        <v>3</v>
      </c>
      <c r="E3796" s="15" t="s">
        <v>5998</v>
      </c>
    </row>
    <row r="3797" customFormat="false" ht="15" hidden="false" customHeight="false" outlineLevel="0" collapsed="false">
      <c r="A3797" s="15" t="s">
        <v>5093</v>
      </c>
      <c r="B3797" s="15" t="s">
        <v>5094</v>
      </c>
      <c r="C3797" s="15" t="s">
        <v>5999</v>
      </c>
      <c r="D3797" s="34" t="n">
        <f aca="false">Activities!N1553</f>
        <v>2</v>
      </c>
      <c r="E3797" s="15" t="s">
        <v>5998</v>
      </c>
    </row>
    <row r="3798" customFormat="false" ht="15" hidden="false" customHeight="false" outlineLevel="0" collapsed="false">
      <c r="A3798" s="15" t="s">
        <v>5080</v>
      </c>
      <c r="B3798" s="15" t="s">
        <v>5094</v>
      </c>
      <c r="C3798" s="15" t="s">
        <v>5995</v>
      </c>
      <c r="D3798" s="34" t="n">
        <v>0</v>
      </c>
      <c r="E3798" s="15" t="s">
        <v>6013</v>
      </c>
    </row>
    <row r="3799" customFormat="false" ht="15" hidden="false" customHeight="false" outlineLevel="0" collapsed="false">
      <c r="A3799" s="15" t="s">
        <v>5094</v>
      </c>
      <c r="B3799" s="15" t="s">
        <v>5095</v>
      </c>
      <c r="C3799" s="15" t="s">
        <v>5997</v>
      </c>
      <c r="D3799" s="34" t="n">
        <f aca="false">Activities!M1554</f>
        <v>1</v>
      </c>
      <c r="E3799" s="15" t="s">
        <v>5998</v>
      </c>
    </row>
    <row r="3800" customFormat="false" ht="15" hidden="false" customHeight="false" outlineLevel="0" collapsed="false">
      <c r="A3800" s="15" t="s">
        <v>5094</v>
      </c>
      <c r="B3800" s="15" t="s">
        <v>5095</v>
      </c>
      <c r="C3800" s="15" t="s">
        <v>5999</v>
      </c>
      <c r="D3800" s="34" t="n">
        <f aca="false">Activities!N1554</f>
        <v>2</v>
      </c>
      <c r="E3800" s="15" t="s">
        <v>5998</v>
      </c>
    </row>
    <row r="3801" customFormat="false" ht="15" hidden="false" customHeight="false" outlineLevel="0" collapsed="false">
      <c r="A3801" s="15" t="s">
        <v>5095</v>
      </c>
      <c r="B3801" s="15" t="s">
        <v>5096</v>
      </c>
      <c r="C3801" s="15" t="s">
        <v>5997</v>
      </c>
      <c r="D3801" s="34" t="n">
        <f aca="false">Activities!M1555</f>
        <v>2</v>
      </c>
      <c r="E3801" s="15" t="s">
        <v>5998</v>
      </c>
    </row>
    <row r="3802" customFormat="false" ht="15" hidden="false" customHeight="false" outlineLevel="0" collapsed="false">
      <c r="A3802" s="15" t="s">
        <v>5095</v>
      </c>
      <c r="B3802" s="15" t="s">
        <v>5096</v>
      </c>
      <c r="C3802" s="15" t="s">
        <v>5999</v>
      </c>
      <c r="D3802" s="34" t="n">
        <f aca="false">Activities!N1555</f>
        <v>2</v>
      </c>
      <c r="E3802" s="15" t="s">
        <v>5998</v>
      </c>
    </row>
    <row r="3803" customFormat="false" ht="15" hidden="false" customHeight="false" outlineLevel="0" collapsed="false">
      <c r="A3803" s="15" t="s">
        <v>5082</v>
      </c>
      <c r="B3803" s="15" t="s">
        <v>5096</v>
      </c>
      <c r="C3803" s="15" t="s">
        <v>5995</v>
      </c>
      <c r="D3803" s="34" t="n">
        <v>0</v>
      </c>
      <c r="E3803" s="15" t="s">
        <v>6013</v>
      </c>
    </row>
    <row r="3804" customFormat="false" ht="15" hidden="false" customHeight="false" outlineLevel="0" collapsed="false">
      <c r="A3804" s="15" t="s">
        <v>5096</v>
      </c>
      <c r="B3804" s="15" t="s">
        <v>5097</v>
      </c>
      <c r="C3804" s="15" t="s">
        <v>5997</v>
      </c>
      <c r="D3804" s="34" t="n">
        <f aca="false">Activities!M1556</f>
        <v>1</v>
      </c>
      <c r="E3804" s="15" t="s">
        <v>5998</v>
      </c>
    </row>
    <row r="3805" customFormat="false" ht="15" hidden="false" customHeight="false" outlineLevel="0" collapsed="false">
      <c r="A3805" s="15" t="s">
        <v>5096</v>
      </c>
      <c r="B3805" s="15" t="s">
        <v>5097</v>
      </c>
      <c r="C3805" s="15" t="s">
        <v>5999</v>
      </c>
      <c r="D3805" s="34" t="n">
        <f aca="false">Activities!N1556</f>
        <v>2</v>
      </c>
      <c r="E3805" s="15" t="s">
        <v>5998</v>
      </c>
    </row>
    <row r="3806" customFormat="false" ht="15" hidden="false" customHeight="false" outlineLevel="0" collapsed="false">
      <c r="A3806" s="15" t="s">
        <v>5098</v>
      </c>
      <c r="B3806" s="15" t="s">
        <v>5100</v>
      </c>
      <c r="C3806" s="15" t="s">
        <v>5995</v>
      </c>
      <c r="D3806" s="34" t="n">
        <v>0</v>
      </c>
      <c r="E3806" s="15" t="s">
        <v>5996</v>
      </c>
    </row>
    <row r="3807" customFormat="false" ht="15" hidden="false" customHeight="false" outlineLevel="0" collapsed="false">
      <c r="A3807" s="15" t="s">
        <v>5088</v>
      </c>
      <c r="B3807" s="15" t="s">
        <v>5100</v>
      </c>
      <c r="C3807" s="15" t="s">
        <v>5997</v>
      </c>
      <c r="D3807" s="34" t="n">
        <v>0</v>
      </c>
      <c r="E3807" s="15" t="s">
        <v>6002</v>
      </c>
    </row>
    <row r="3808" customFormat="false" ht="15" hidden="false" customHeight="false" outlineLevel="0" collapsed="false">
      <c r="A3808" s="15" t="s">
        <v>5100</v>
      </c>
      <c r="B3808" s="15" t="s">
        <v>5102</v>
      </c>
      <c r="C3808" s="15" t="s">
        <v>5997</v>
      </c>
      <c r="D3808" s="34" t="n">
        <f aca="false">Activities!M1559</f>
        <v>1</v>
      </c>
      <c r="E3808" s="15" t="s">
        <v>5998</v>
      </c>
    </row>
    <row r="3809" customFormat="false" ht="15" hidden="false" customHeight="false" outlineLevel="0" collapsed="false">
      <c r="A3809" s="15" t="s">
        <v>5100</v>
      </c>
      <c r="B3809" s="15" t="s">
        <v>5102</v>
      </c>
      <c r="C3809" s="15" t="s">
        <v>5999</v>
      </c>
      <c r="D3809" s="34" t="n">
        <f aca="false">Activities!N1559</f>
        <v>2</v>
      </c>
      <c r="E3809" s="15" t="s">
        <v>5998</v>
      </c>
    </row>
    <row r="3810" customFormat="false" ht="15" hidden="false" customHeight="false" outlineLevel="0" collapsed="false">
      <c r="A3810" s="15" t="s">
        <v>5088</v>
      </c>
      <c r="B3810" s="15" t="s">
        <v>5102</v>
      </c>
      <c r="C3810" s="15" t="s">
        <v>5995</v>
      </c>
      <c r="D3810" s="34" t="n">
        <v>0</v>
      </c>
      <c r="E3810" s="15" t="s">
        <v>6013</v>
      </c>
    </row>
    <row r="3811" customFormat="false" ht="15" hidden="false" customHeight="false" outlineLevel="0" collapsed="false">
      <c r="A3811" s="15" t="s">
        <v>5102</v>
      </c>
      <c r="B3811" s="15" t="s">
        <v>5103</v>
      </c>
      <c r="C3811" s="15" t="s">
        <v>5997</v>
      </c>
      <c r="D3811" s="34" t="n">
        <f aca="false">Activities!M1560</f>
        <v>3</v>
      </c>
      <c r="E3811" s="15" t="s">
        <v>5998</v>
      </c>
    </row>
    <row r="3812" customFormat="false" ht="15" hidden="false" customHeight="false" outlineLevel="0" collapsed="false">
      <c r="A3812" s="15" t="s">
        <v>5102</v>
      </c>
      <c r="B3812" s="15" t="s">
        <v>5103</v>
      </c>
      <c r="C3812" s="15" t="s">
        <v>5999</v>
      </c>
      <c r="D3812" s="34" t="n">
        <f aca="false">Activities!N1560</f>
        <v>2</v>
      </c>
      <c r="E3812" s="15" t="s">
        <v>5998</v>
      </c>
    </row>
    <row r="3813" customFormat="false" ht="15" hidden="false" customHeight="false" outlineLevel="0" collapsed="false">
      <c r="A3813" s="15" t="s">
        <v>5089</v>
      </c>
      <c r="B3813" s="15" t="s">
        <v>5103</v>
      </c>
      <c r="C3813" s="15" t="s">
        <v>5995</v>
      </c>
      <c r="D3813" s="34" t="n">
        <v>0</v>
      </c>
      <c r="E3813" s="15" t="s">
        <v>6013</v>
      </c>
    </row>
    <row r="3814" customFormat="false" ht="15" hidden="false" customHeight="false" outlineLevel="0" collapsed="false">
      <c r="A3814" s="15" t="s">
        <v>5103</v>
      </c>
      <c r="B3814" s="15" t="s">
        <v>5104</v>
      </c>
      <c r="C3814" s="15" t="s">
        <v>5997</v>
      </c>
      <c r="D3814" s="34" t="n">
        <f aca="false">Activities!M1561</f>
        <v>2</v>
      </c>
      <c r="E3814" s="15" t="s">
        <v>5998</v>
      </c>
    </row>
    <row r="3815" customFormat="false" ht="15" hidden="false" customHeight="false" outlineLevel="0" collapsed="false">
      <c r="A3815" s="15" t="s">
        <v>5103</v>
      </c>
      <c r="B3815" s="15" t="s">
        <v>5104</v>
      </c>
      <c r="C3815" s="15" t="s">
        <v>5999</v>
      </c>
      <c r="D3815" s="34" t="n">
        <f aca="false">Activities!N1561</f>
        <v>2</v>
      </c>
      <c r="E3815" s="15" t="s">
        <v>5998</v>
      </c>
    </row>
    <row r="3816" customFormat="false" ht="15" hidden="false" customHeight="false" outlineLevel="0" collapsed="false">
      <c r="A3816" s="15" t="s">
        <v>5092</v>
      </c>
      <c r="B3816" s="15" t="s">
        <v>5104</v>
      </c>
      <c r="C3816" s="15" t="s">
        <v>5995</v>
      </c>
      <c r="D3816" s="34" t="n">
        <f aca="false">-Activities!K1561</f>
        <v>-11</v>
      </c>
      <c r="E3816" s="15" t="s">
        <v>6004</v>
      </c>
    </row>
    <row r="3817" customFormat="false" ht="15" hidden="false" customHeight="false" outlineLevel="0" collapsed="false">
      <c r="A3817" s="15" t="s">
        <v>5104</v>
      </c>
      <c r="B3817" s="15" t="s">
        <v>5106</v>
      </c>
      <c r="C3817" s="15" t="s">
        <v>5997</v>
      </c>
      <c r="D3817" s="34" t="n">
        <f aca="false">Activities!M1562</f>
        <v>10</v>
      </c>
      <c r="E3817" s="15" t="s">
        <v>5998</v>
      </c>
    </row>
    <row r="3818" customFormat="false" ht="15" hidden="false" customHeight="false" outlineLevel="0" collapsed="false">
      <c r="A3818" s="15" t="s">
        <v>5104</v>
      </c>
      <c r="B3818" s="15" t="s">
        <v>5106</v>
      </c>
      <c r="C3818" s="15" t="s">
        <v>5999</v>
      </c>
      <c r="D3818" s="34" t="n">
        <f aca="false">Activities!N1562</f>
        <v>2</v>
      </c>
      <c r="E3818" s="15" t="s">
        <v>5998</v>
      </c>
    </row>
    <row r="3819" customFormat="false" ht="15" hidden="false" customHeight="false" outlineLevel="0" collapsed="false">
      <c r="A3819" s="15" t="s">
        <v>5092</v>
      </c>
      <c r="B3819" s="15" t="s">
        <v>5106</v>
      </c>
      <c r="C3819" s="15" t="s">
        <v>5995</v>
      </c>
      <c r="D3819" s="34" t="n">
        <v>0</v>
      </c>
      <c r="E3819" s="15" t="s">
        <v>6013</v>
      </c>
    </row>
    <row r="3820" customFormat="false" ht="15" hidden="false" customHeight="false" outlineLevel="0" collapsed="false">
      <c r="A3820" s="15" t="s">
        <v>5082</v>
      </c>
      <c r="B3820" s="15" t="s">
        <v>5106</v>
      </c>
      <c r="C3820" s="15" t="s">
        <v>5995</v>
      </c>
      <c r="D3820" s="34" t="n">
        <v>0</v>
      </c>
      <c r="E3820" s="15" t="s">
        <v>6008</v>
      </c>
    </row>
    <row r="3821" customFormat="false" ht="15" hidden="false" customHeight="false" outlineLevel="0" collapsed="false">
      <c r="A3821" s="15" t="s">
        <v>5096</v>
      </c>
      <c r="B3821" s="15" t="s">
        <v>5106</v>
      </c>
      <c r="C3821" s="15" t="s">
        <v>5995</v>
      </c>
      <c r="D3821" s="34" t="n">
        <v>0</v>
      </c>
      <c r="E3821" s="15" t="s">
        <v>6008</v>
      </c>
    </row>
    <row r="3822" customFormat="false" ht="15" hidden="false" customHeight="false" outlineLevel="0" collapsed="false">
      <c r="A3822" s="15" t="s">
        <v>5106</v>
      </c>
      <c r="B3822" s="15" t="s">
        <v>5108</v>
      </c>
      <c r="C3822" s="15" t="s">
        <v>5997</v>
      </c>
      <c r="D3822" s="34" t="n">
        <f aca="false">Activities!M1563</f>
        <v>2</v>
      </c>
      <c r="E3822" s="15" t="s">
        <v>5998</v>
      </c>
    </row>
    <row r="3823" customFormat="false" ht="15" hidden="false" customHeight="false" outlineLevel="0" collapsed="false">
      <c r="A3823" s="15" t="s">
        <v>5106</v>
      </c>
      <c r="B3823" s="15" t="s">
        <v>5108</v>
      </c>
      <c r="C3823" s="15" t="s">
        <v>5999</v>
      </c>
      <c r="D3823" s="34" t="n">
        <f aca="false">Activities!N1563</f>
        <v>2</v>
      </c>
      <c r="E3823" s="15" t="s">
        <v>5998</v>
      </c>
    </row>
    <row r="3824" customFormat="false" ht="15" hidden="false" customHeight="false" outlineLevel="0" collapsed="false">
      <c r="A3824" s="15" t="s">
        <v>5093</v>
      </c>
      <c r="B3824" s="15" t="s">
        <v>5108</v>
      </c>
      <c r="C3824" s="15" t="s">
        <v>5995</v>
      </c>
      <c r="D3824" s="34" t="n">
        <v>0</v>
      </c>
      <c r="E3824" s="15" t="s">
        <v>6013</v>
      </c>
    </row>
    <row r="3825" customFormat="false" ht="15" hidden="false" customHeight="false" outlineLevel="0" collapsed="false">
      <c r="A3825" s="15" t="s">
        <v>5108</v>
      </c>
      <c r="B3825" s="15" t="s">
        <v>5109</v>
      </c>
      <c r="C3825" s="15" t="s">
        <v>5997</v>
      </c>
      <c r="D3825" s="34" t="n">
        <f aca="false">Activities!M1564</f>
        <v>3</v>
      </c>
      <c r="E3825" s="15" t="s">
        <v>5998</v>
      </c>
    </row>
    <row r="3826" customFormat="false" ht="15" hidden="false" customHeight="false" outlineLevel="0" collapsed="false">
      <c r="A3826" s="15" t="s">
        <v>5108</v>
      </c>
      <c r="B3826" s="15" t="s">
        <v>5109</v>
      </c>
      <c r="C3826" s="15" t="s">
        <v>5999</v>
      </c>
      <c r="D3826" s="34" t="n">
        <f aca="false">Activities!N1564</f>
        <v>2</v>
      </c>
      <c r="E3826" s="15" t="s">
        <v>5998</v>
      </c>
    </row>
    <row r="3827" customFormat="false" ht="15" hidden="false" customHeight="false" outlineLevel="0" collapsed="false">
      <c r="A3827" s="15" t="s">
        <v>5094</v>
      </c>
      <c r="B3827" s="15" t="s">
        <v>5109</v>
      </c>
      <c r="C3827" s="15" t="s">
        <v>5995</v>
      </c>
      <c r="D3827" s="34" t="n">
        <v>0</v>
      </c>
      <c r="E3827" s="15" t="s">
        <v>6013</v>
      </c>
    </row>
    <row r="3828" customFormat="false" ht="15" hidden="false" customHeight="false" outlineLevel="0" collapsed="false">
      <c r="A3828" s="15" t="s">
        <v>5109</v>
      </c>
      <c r="B3828" s="15" t="s">
        <v>5110</v>
      </c>
      <c r="C3828" s="15" t="s">
        <v>5997</v>
      </c>
      <c r="D3828" s="34" t="n">
        <f aca="false">Activities!M1565</f>
        <v>2</v>
      </c>
      <c r="E3828" s="15" t="s">
        <v>5998</v>
      </c>
    </row>
    <row r="3829" customFormat="false" ht="15" hidden="false" customHeight="false" outlineLevel="0" collapsed="false">
      <c r="A3829" s="15" t="s">
        <v>5109</v>
      </c>
      <c r="B3829" s="15" t="s">
        <v>5110</v>
      </c>
      <c r="C3829" s="15" t="s">
        <v>5999</v>
      </c>
      <c r="D3829" s="34" t="n">
        <f aca="false">Activities!N1565</f>
        <v>2</v>
      </c>
      <c r="E3829" s="15" t="s">
        <v>5998</v>
      </c>
    </row>
    <row r="3830" customFormat="false" ht="15" hidden="false" customHeight="false" outlineLevel="0" collapsed="false">
      <c r="A3830" s="15" t="s">
        <v>5110</v>
      </c>
      <c r="B3830" s="15" t="s">
        <v>5111</v>
      </c>
      <c r="C3830" s="15" t="s">
        <v>5997</v>
      </c>
      <c r="D3830" s="34" t="n">
        <f aca="false">Activities!M1566</f>
        <v>2</v>
      </c>
      <c r="E3830" s="15" t="s">
        <v>5998</v>
      </c>
    </row>
    <row r="3831" customFormat="false" ht="15" hidden="false" customHeight="false" outlineLevel="0" collapsed="false">
      <c r="A3831" s="15" t="s">
        <v>5110</v>
      </c>
      <c r="B3831" s="15" t="s">
        <v>5111</v>
      </c>
      <c r="C3831" s="15" t="s">
        <v>5999</v>
      </c>
      <c r="D3831" s="34" t="n">
        <f aca="false">Activities!N1566</f>
        <v>2</v>
      </c>
      <c r="E3831" s="15" t="s">
        <v>5998</v>
      </c>
    </row>
    <row r="3832" customFormat="false" ht="15" hidden="false" customHeight="false" outlineLevel="0" collapsed="false">
      <c r="A3832" s="15" t="s">
        <v>5096</v>
      </c>
      <c r="B3832" s="15" t="s">
        <v>5111</v>
      </c>
      <c r="C3832" s="15" t="s">
        <v>5995</v>
      </c>
      <c r="D3832" s="34" t="n">
        <v>0</v>
      </c>
      <c r="E3832" s="15" t="s">
        <v>6013</v>
      </c>
    </row>
    <row r="3833" customFormat="false" ht="15" hidden="false" customHeight="false" outlineLevel="0" collapsed="false">
      <c r="A3833" s="15" t="s">
        <v>5156</v>
      </c>
      <c r="B3833" s="15" t="s">
        <v>5111</v>
      </c>
      <c r="C3833" s="15" t="s">
        <v>5995</v>
      </c>
      <c r="D3833" s="34" t="n">
        <v>0</v>
      </c>
      <c r="E3833" s="15" t="s">
        <v>6005</v>
      </c>
    </row>
    <row r="3834" customFormat="false" ht="15" hidden="false" customHeight="false" outlineLevel="0" collapsed="false">
      <c r="A3834" s="15" t="s">
        <v>5141</v>
      </c>
      <c r="B3834" s="15" t="s">
        <v>5111</v>
      </c>
      <c r="C3834" s="15" t="s">
        <v>5995</v>
      </c>
      <c r="D3834" s="34" t="n">
        <v>0</v>
      </c>
      <c r="E3834" s="15" t="s">
        <v>6005</v>
      </c>
    </row>
    <row r="3835" customFormat="false" ht="15" hidden="false" customHeight="false" outlineLevel="0" collapsed="false">
      <c r="A3835" s="15" t="s">
        <v>5125</v>
      </c>
      <c r="B3835" s="15" t="s">
        <v>5111</v>
      </c>
      <c r="C3835" s="15" t="s">
        <v>5995</v>
      </c>
      <c r="D3835" s="34" t="n">
        <v>0</v>
      </c>
      <c r="E3835" s="15" t="s">
        <v>6005</v>
      </c>
    </row>
    <row r="3836" customFormat="false" ht="15" hidden="false" customHeight="false" outlineLevel="0" collapsed="false">
      <c r="A3836" s="15" t="s">
        <v>5111</v>
      </c>
      <c r="B3836" s="15" t="s">
        <v>5113</v>
      </c>
      <c r="C3836" s="15" t="s">
        <v>5997</v>
      </c>
      <c r="D3836" s="34" t="n">
        <f aca="false">Activities!M1567</f>
        <v>2</v>
      </c>
      <c r="E3836" s="15" t="s">
        <v>5998</v>
      </c>
    </row>
    <row r="3837" customFormat="false" ht="15" hidden="false" customHeight="false" outlineLevel="0" collapsed="false">
      <c r="A3837" s="15" t="s">
        <v>5111</v>
      </c>
      <c r="B3837" s="15" t="s">
        <v>5113</v>
      </c>
      <c r="C3837" s="15" t="s">
        <v>5999</v>
      </c>
      <c r="D3837" s="34" t="n">
        <f aca="false">Activities!N1567</f>
        <v>2</v>
      </c>
      <c r="E3837" s="15" t="s">
        <v>5998</v>
      </c>
    </row>
    <row r="3838" customFormat="false" ht="15" hidden="false" customHeight="false" outlineLevel="0" collapsed="false">
      <c r="A3838" s="15" t="s">
        <v>5114</v>
      </c>
      <c r="B3838" s="15" t="s">
        <v>5116</v>
      </c>
      <c r="C3838" s="15" t="s">
        <v>5995</v>
      </c>
      <c r="D3838" s="34" t="n">
        <v>0</v>
      </c>
      <c r="E3838" s="15" t="s">
        <v>5996</v>
      </c>
    </row>
    <row r="3839" customFormat="false" ht="15" hidden="false" customHeight="false" outlineLevel="0" collapsed="false">
      <c r="A3839" s="15" t="s">
        <v>5102</v>
      </c>
      <c r="B3839" s="15" t="s">
        <v>5116</v>
      </c>
      <c r="C3839" s="15" t="s">
        <v>5997</v>
      </c>
      <c r="D3839" s="34" t="n">
        <v>0</v>
      </c>
      <c r="E3839" s="15" t="s">
        <v>6002</v>
      </c>
    </row>
    <row r="3840" customFormat="false" ht="15" hidden="false" customHeight="false" outlineLevel="0" collapsed="false">
      <c r="A3840" s="15" t="s">
        <v>5116</v>
      </c>
      <c r="B3840" s="15" t="s">
        <v>5118</v>
      </c>
      <c r="C3840" s="15" t="s">
        <v>5997</v>
      </c>
      <c r="D3840" s="34" t="n">
        <f aca="false">Activities!M1570</f>
        <v>1</v>
      </c>
      <c r="E3840" s="15" t="s">
        <v>5998</v>
      </c>
    </row>
    <row r="3841" customFormat="false" ht="15" hidden="false" customHeight="false" outlineLevel="0" collapsed="false">
      <c r="A3841" s="15" t="s">
        <v>5116</v>
      </c>
      <c r="B3841" s="15" t="s">
        <v>5118</v>
      </c>
      <c r="C3841" s="15" t="s">
        <v>5999</v>
      </c>
      <c r="D3841" s="34" t="n">
        <f aca="false">Activities!N1570</f>
        <v>2</v>
      </c>
      <c r="E3841" s="15" t="s">
        <v>5998</v>
      </c>
    </row>
    <row r="3842" customFormat="false" ht="15" hidden="false" customHeight="false" outlineLevel="0" collapsed="false">
      <c r="A3842" s="15" t="s">
        <v>5102</v>
      </c>
      <c r="B3842" s="15" t="s">
        <v>5118</v>
      </c>
      <c r="C3842" s="15" t="s">
        <v>5995</v>
      </c>
      <c r="D3842" s="34" t="n">
        <v>0</v>
      </c>
      <c r="E3842" s="15" t="s">
        <v>6013</v>
      </c>
    </row>
    <row r="3843" customFormat="false" ht="15" hidden="false" customHeight="false" outlineLevel="0" collapsed="false">
      <c r="A3843" s="15" t="s">
        <v>5118</v>
      </c>
      <c r="B3843" s="15" t="s">
        <v>5119</v>
      </c>
      <c r="C3843" s="15" t="s">
        <v>5997</v>
      </c>
      <c r="D3843" s="34" t="n">
        <f aca="false">Activities!M1571</f>
        <v>2</v>
      </c>
      <c r="E3843" s="15" t="s">
        <v>5998</v>
      </c>
    </row>
    <row r="3844" customFormat="false" ht="15" hidden="false" customHeight="false" outlineLevel="0" collapsed="false">
      <c r="A3844" s="15" t="s">
        <v>5118</v>
      </c>
      <c r="B3844" s="15" t="s">
        <v>5119</v>
      </c>
      <c r="C3844" s="15" t="s">
        <v>5999</v>
      </c>
      <c r="D3844" s="34" t="n">
        <f aca="false">Activities!N1571</f>
        <v>2</v>
      </c>
      <c r="E3844" s="15" t="s">
        <v>5998</v>
      </c>
    </row>
    <row r="3845" customFormat="false" ht="15" hidden="false" customHeight="false" outlineLevel="0" collapsed="false">
      <c r="A3845" s="15" t="s">
        <v>5103</v>
      </c>
      <c r="B3845" s="15" t="s">
        <v>5119</v>
      </c>
      <c r="C3845" s="15" t="s">
        <v>5995</v>
      </c>
      <c r="D3845" s="34" t="n">
        <v>0</v>
      </c>
      <c r="E3845" s="15" t="s">
        <v>6013</v>
      </c>
    </row>
    <row r="3846" customFormat="false" ht="15" hidden="false" customHeight="false" outlineLevel="0" collapsed="false">
      <c r="A3846" s="15" t="s">
        <v>5119</v>
      </c>
      <c r="B3846" s="15" t="s">
        <v>5120</v>
      </c>
      <c r="C3846" s="15" t="s">
        <v>5997</v>
      </c>
      <c r="D3846" s="34" t="n">
        <f aca="false">Activities!M1572</f>
        <v>1</v>
      </c>
      <c r="E3846" s="15" t="s">
        <v>5998</v>
      </c>
    </row>
    <row r="3847" customFormat="false" ht="15" hidden="false" customHeight="false" outlineLevel="0" collapsed="false">
      <c r="A3847" s="15" t="s">
        <v>5119</v>
      </c>
      <c r="B3847" s="15" t="s">
        <v>5120</v>
      </c>
      <c r="C3847" s="15" t="s">
        <v>5999</v>
      </c>
      <c r="D3847" s="34" t="n">
        <f aca="false">Activities!N1572</f>
        <v>2</v>
      </c>
      <c r="E3847" s="15" t="s">
        <v>5998</v>
      </c>
    </row>
    <row r="3848" customFormat="false" ht="15" hidden="false" customHeight="false" outlineLevel="0" collapsed="false">
      <c r="A3848" s="15" t="s">
        <v>5106</v>
      </c>
      <c r="B3848" s="15" t="s">
        <v>5120</v>
      </c>
      <c r="C3848" s="15" t="s">
        <v>5995</v>
      </c>
      <c r="D3848" s="34" t="n">
        <f aca="false">-Activities!K1572</f>
        <v>-10</v>
      </c>
      <c r="E3848" s="15" t="s">
        <v>6004</v>
      </c>
    </row>
    <row r="3849" customFormat="false" ht="15" hidden="false" customHeight="false" outlineLevel="0" collapsed="false">
      <c r="A3849" s="15" t="s">
        <v>5120</v>
      </c>
      <c r="B3849" s="15" t="s">
        <v>5122</v>
      </c>
      <c r="C3849" s="15" t="s">
        <v>5997</v>
      </c>
      <c r="D3849" s="34" t="n">
        <f aca="false">Activities!M1573</f>
        <v>10</v>
      </c>
      <c r="E3849" s="15" t="s">
        <v>5998</v>
      </c>
    </row>
    <row r="3850" customFormat="false" ht="15" hidden="false" customHeight="false" outlineLevel="0" collapsed="false">
      <c r="A3850" s="15" t="s">
        <v>5120</v>
      </c>
      <c r="B3850" s="15" t="s">
        <v>5122</v>
      </c>
      <c r="C3850" s="15" t="s">
        <v>5999</v>
      </c>
      <c r="D3850" s="34" t="n">
        <f aca="false">Activities!N1573</f>
        <v>2</v>
      </c>
      <c r="E3850" s="15" t="s">
        <v>5998</v>
      </c>
    </row>
    <row r="3851" customFormat="false" ht="15" hidden="false" customHeight="false" outlineLevel="0" collapsed="false">
      <c r="A3851" s="15" t="s">
        <v>5106</v>
      </c>
      <c r="B3851" s="15" t="s">
        <v>5122</v>
      </c>
      <c r="C3851" s="15" t="s">
        <v>5995</v>
      </c>
      <c r="D3851" s="34" t="n">
        <v>0</v>
      </c>
      <c r="E3851" s="15" t="s">
        <v>6013</v>
      </c>
    </row>
    <row r="3852" customFormat="false" ht="15" hidden="false" customHeight="false" outlineLevel="0" collapsed="false">
      <c r="A3852" s="15" t="s">
        <v>5106</v>
      </c>
      <c r="B3852" s="15" t="s">
        <v>5122</v>
      </c>
      <c r="C3852" s="15" t="s">
        <v>5997</v>
      </c>
      <c r="D3852" s="34" t="n">
        <v>0</v>
      </c>
      <c r="E3852" s="15" t="s">
        <v>6006</v>
      </c>
    </row>
    <row r="3853" customFormat="false" ht="15" hidden="false" customHeight="false" outlineLevel="0" collapsed="false">
      <c r="A3853" s="15" t="s">
        <v>5078</v>
      </c>
      <c r="B3853" s="15" t="s">
        <v>5122</v>
      </c>
      <c r="C3853" s="15" t="s">
        <v>5997</v>
      </c>
      <c r="D3853" s="34" t="n">
        <v>0</v>
      </c>
      <c r="E3853" s="15" t="s">
        <v>6006</v>
      </c>
    </row>
    <row r="3854" customFormat="false" ht="15" hidden="false" customHeight="false" outlineLevel="0" collapsed="false">
      <c r="A3854" s="15" t="s">
        <v>5092</v>
      </c>
      <c r="B3854" s="15" t="s">
        <v>5122</v>
      </c>
      <c r="C3854" s="15" t="s">
        <v>5997</v>
      </c>
      <c r="D3854" s="34" t="n">
        <v>0</v>
      </c>
      <c r="E3854" s="15" t="s">
        <v>6006</v>
      </c>
    </row>
    <row r="3855" customFormat="false" ht="15" hidden="false" customHeight="false" outlineLevel="0" collapsed="false">
      <c r="A3855" s="15" t="s">
        <v>5122</v>
      </c>
      <c r="B3855" s="15" t="s">
        <v>5124</v>
      </c>
      <c r="C3855" s="15" t="s">
        <v>5997</v>
      </c>
      <c r="D3855" s="34" t="n">
        <f aca="false">Activities!M1574</f>
        <v>1</v>
      </c>
      <c r="E3855" s="15" t="s">
        <v>5998</v>
      </c>
    </row>
    <row r="3856" customFormat="false" ht="15" hidden="false" customHeight="false" outlineLevel="0" collapsed="false">
      <c r="A3856" s="15" t="s">
        <v>5122</v>
      </c>
      <c r="B3856" s="15" t="s">
        <v>5124</v>
      </c>
      <c r="C3856" s="15" t="s">
        <v>5999</v>
      </c>
      <c r="D3856" s="34" t="n">
        <f aca="false">Activities!N1574</f>
        <v>2</v>
      </c>
      <c r="E3856" s="15" t="s">
        <v>5998</v>
      </c>
    </row>
    <row r="3857" customFormat="false" ht="15" hidden="false" customHeight="false" outlineLevel="0" collapsed="false">
      <c r="A3857" s="15" t="s">
        <v>5108</v>
      </c>
      <c r="B3857" s="15" t="s">
        <v>5124</v>
      </c>
      <c r="C3857" s="15" t="s">
        <v>5995</v>
      </c>
      <c r="D3857" s="34" t="n">
        <v>0</v>
      </c>
      <c r="E3857" s="15" t="s">
        <v>6013</v>
      </c>
    </row>
    <row r="3858" customFormat="false" ht="15" hidden="false" customHeight="false" outlineLevel="0" collapsed="false">
      <c r="A3858" s="15" t="s">
        <v>5124</v>
      </c>
      <c r="B3858" s="15" t="s">
        <v>5125</v>
      </c>
      <c r="C3858" s="15" t="s">
        <v>5997</v>
      </c>
      <c r="D3858" s="34" t="n">
        <f aca="false">Activities!M1575</f>
        <v>2</v>
      </c>
      <c r="E3858" s="15" t="s">
        <v>5998</v>
      </c>
    </row>
    <row r="3859" customFormat="false" ht="15" hidden="false" customHeight="false" outlineLevel="0" collapsed="false">
      <c r="A3859" s="15" t="s">
        <v>5124</v>
      </c>
      <c r="B3859" s="15" t="s">
        <v>5125</v>
      </c>
      <c r="C3859" s="15" t="s">
        <v>5999</v>
      </c>
      <c r="D3859" s="34" t="n">
        <f aca="false">Activities!N1575</f>
        <v>2</v>
      </c>
      <c r="E3859" s="15" t="s">
        <v>5998</v>
      </c>
    </row>
    <row r="3860" customFormat="false" ht="15" hidden="false" customHeight="false" outlineLevel="0" collapsed="false">
      <c r="A3860" s="15" t="s">
        <v>5109</v>
      </c>
      <c r="B3860" s="15" t="s">
        <v>5125</v>
      </c>
      <c r="C3860" s="15" t="s">
        <v>5995</v>
      </c>
      <c r="D3860" s="34" t="n">
        <v>0</v>
      </c>
      <c r="E3860" s="15" t="s">
        <v>6013</v>
      </c>
    </row>
    <row r="3861" customFormat="false" ht="15" hidden="false" customHeight="false" outlineLevel="0" collapsed="false">
      <c r="A3861" s="15" t="s">
        <v>5125</v>
      </c>
      <c r="B3861" s="15" t="s">
        <v>5126</v>
      </c>
      <c r="C3861" s="15" t="s">
        <v>5997</v>
      </c>
      <c r="D3861" s="34" t="n">
        <f aca="false">Activities!M1576</f>
        <v>1</v>
      </c>
      <c r="E3861" s="15" t="s">
        <v>5998</v>
      </c>
    </row>
    <row r="3862" customFormat="false" ht="15" hidden="false" customHeight="false" outlineLevel="0" collapsed="false">
      <c r="A3862" s="15" t="s">
        <v>5125</v>
      </c>
      <c r="B3862" s="15" t="s">
        <v>5126</v>
      </c>
      <c r="C3862" s="15" t="s">
        <v>5999</v>
      </c>
      <c r="D3862" s="34" t="n">
        <f aca="false">Activities!N1576</f>
        <v>2</v>
      </c>
      <c r="E3862" s="15" t="s">
        <v>5998</v>
      </c>
    </row>
    <row r="3863" customFormat="false" ht="15" hidden="false" customHeight="false" outlineLevel="0" collapsed="false">
      <c r="A3863" s="15" t="s">
        <v>5126</v>
      </c>
      <c r="B3863" s="15" t="s">
        <v>5127</v>
      </c>
      <c r="C3863" s="15" t="s">
        <v>5997</v>
      </c>
      <c r="D3863" s="34" t="n">
        <f aca="false">Activities!M1577</f>
        <v>2</v>
      </c>
      <c r="E3863" s="15" t="s">
        <v>5998</v>
      </c>
    </row>
    <row r="3864" customFormat="false" ht="15" hidden="false" customHeight="false" outlineLevel="0" collapsed="false">
      <c r="A3864" s="15" t="s">
        <v>5126</v>
      </c>
      <c r="B3864" s="15" t="s">
        <v>5127</v>
      </c>
      <c r="C3864" s="15" t="s">
        <v>5999</v>
      </c>
      <c r="D3864" s="34" t="n">
        <f aca="false">Activities!N1577</f>
        <v>2</v>
      </c>
      <c r="E3864" s="15" t="s">
        <v>5998</v>
      </c>
    </row>
    <row r="3865" customFormat="false" ht="15" hidden="false" customHeight="false" outlineLevel="0" collapsed="false">
      <c r="A3865" s="15" t="s">
        <v>5111</v>
      </c>
      <c r="B3865" s="15" t="s">
        <v>5127</v>
      </c>
      <c r="C3865" s="15" t="s">
        <v>5995</v>
      </c>
      <c r="D3865" s="34" t="n">
        <v>0</v>
      </c>
      <c r="E3865" s="15" t="s">
        <v>6013</v>
      </c>
    </row>
    <row r="3866" customFormat="false" ht="15" hidden="false" customHeight="false" outlineLevel="0" collapsed="false">
      <c r="A3866" s="15" t="s">
        <v>5109</v>
      </c>
      <c r="B3866" s="15" t="s">
        <v>5127</v>
      </c>
      <c r="C3866" s="15" t="s">
        <v>5995</v>
      </c>
      <c r="D3866" s="34" t="n">
        <v>0</v>
      </c>
      <c r="E3866" s="15" t="s">
        <v>6005</v>
      </c>
    </row>
    <row r="3867" customFormat="false" ht="15" hidden="false" customHeight="false" outlineLevel="0" collapsed="false">
      <c r="A3867" s="15" t="s">
        <v>5080</v>
      </c>
      <c r="B3867" s="15" t="s">
        <v>5127</v>
      </c>
      <c r="C3867" s="15" t="s">
        <v>5995</v>
      </c>
      <c r="D3867" s="34" t="n">
        <v>0</v>
      </c>
      <c r="E3867" s="15" t="s">
        <v>6005</v>
      </c>
    </row>
    <row r="3868" customFormat="false" ht="15" hidden="false" customHeight="false" outlineLevel="0" collapsed="false">
      <c r="A3868" s="15" t="s">
        <v>5094</v>
      </c>
      <c r="B3868" s="15" t="s">
        <v>5127</v>
      </c>
      <c r="C3868" s="15" t="s">
        <v>5995</v>
      </c>
      <c r="D3868" s="34" t="n">
        <v>0</v>
      </c>
      <c r="E3868" s="15" t="s">
        <v>6005</v>
      </c>
    </row>
    <row r="3869" customFormat="false" ht="15" hidden="false" customHeight="false" outlineLevel="0" collapsed="false">
      <c r="A3869" s="15" t="s">
        <v>5127</v>
      </c>
      <c r="B3869" s="15" t="s">
        <v>5129</v>
      </c>
      <c r="C3869" s="15" t="s">
        <v>5997</v>
      </c>
      <c r="D3869" s="34" t="n">
        <f aca="false">Activities!M1578</f>
        <v>1</v>
      </c>
      <c r="E3869" s="15" t="s">
        <v>5998</v>
      </c>
    </row>
    <row r="3870" customFormat="false" ht="15" hidden="false" customHeight="false" outlineLevel="0" collapsed="false">
      <c r="A3870" s="15" t="s">
        <v>5127</v>
      </c>
      <c r="B3870" s="15" t="s">
        <v>5129</v>
      </c>
      <c r="C3870" s="15" t="s">
        <v>5999</v>
      </c>
      <c r="D3870" s="34" t="n">
        <f aca="false">Activities!N1578</f>
        <v>2</v>
      </c>
      <c r="E3870" s="15" t="s">
        <v>5998</v>
      </c>
    </row>
    <row r="3871" customFormat="false" ht="15" hidden="false" customHeight="false" outlineLevel="0" collapsed="false">
      <c r="A3871" s="15" t="s">
        <v>5130</v>
      </c>
      <c r="B3871" s="15" t="s">
        <v>5132</v>
      </c>
      <c r="C3871" s="15" t="s">
        <v>5995</v>
      </c>
      <c r="D3871" s="34" t="n">
        <v>0</v>
      </c>
      <c r="E3871" s="15" t="s">
        <v>5996</v>
      </c>
    </row>
    <row r="3872" customFormat="false" ht="15" hidden="false" customHeight="false" outlineLevel="0" collapsed="false">
      <c r="A3872" s="15" t="s">
        <v>5118</v>
      </c>
      <c r="B3872" s="15" t="s">
        <v>5132</v>
      </c>
      <c r="C3872" s="15" t="s">
        <v>5997</v>
      </c>
      <c r="D3872" s="34" t="n">
        <v>0</v>
      </c>
      <c r="E3872" s="15" t="s">
        <v>6002</v>
      </c>
    </row>
    <row r="3873" customFormat="false" ht="15" hidden="false" customHeight="false" outlineLevel="0" collapsed="false">
      <c r="A3873" s="15" t="s">
        <v>5132</v>
      </c>
      <c r="B3873" s="15" t="s">
        <v>5134</v>
      </c>
      <c r="C3873" s="15" t="s">
        <v>5997</v>
      </c>
      <c r="D3873" s="34" t="n">
        <f aca="false">Activities!M1581</f>
        <v>1</v>
      </c>
      <c r="E3873" s="15" t="s">
        <v>5998</v>
      </c>
    </row>
    <row r="3874" customFormat="false" ht="15" hidden="false" customHeight="false" outlineLevel="0" collapsed="false">
      <c r="A3874" s="15" t="s">
        <v>5132</v>
      </c>
      <c r="B3874" s="15" t="s">
        <v>5134</v>
      </c>
      <c r="C3874" s="15" t="s">
        <v>5999</v>
      </c>
      <c r="D3874" s="34" t="n">
        <f aca="false">Activities!N1581</f>
        <v>2</v>
      </c>
      <c r="E3874" s="15" t="s">
        <v>5998</v>
      </c>
    </row>
    <row r="3875" customFormat="false" ht="15" hidden="false" customHeight="false" outlineLevel="0" collapsed="false">
      <c r="A3875" s="15" t="s">
        <v>5118</v>
      </c>
      <c r="B3875" s="15" t="s">
        <v>5134</v>
      </c>
      <c r="C3875" s="15" t="s">
        <v>5995</v>
      </c>
      <c r="D3875" s="34" t="n">
        <v>0</v>
      </c>
      <c r="E3875" s="15" t="s">
        <v>6013</v>
      </c>
    </row>
    <row r="3876" customFormat="false" ht="15" hidden="false" customHeight="false" outlineLevel="0" collapsed="false">
      <c r="A3876" s="15" t="s">
        <v>5134</v>
      </c>
      <c r="B3876" s="15" t="s">
        <v>5135</v>
      </c>
      <c r="C3876" s="15" t="s">
        <v>5997</v>
      </c>
      <c r="D3876" s="34" t="n">
        <f aca="false">Activities!M1582</f>
        <v>2</v>
      </c>
      <c r="E3876" s="15" t="s">
        <v>5998</v>
      </c>
    </row>
    <row r="3877" customFormat="false" ht="15" hidden="false" customHeight="false" outlineLevel="0" collapsed="false">
      <c r="A3877" s="15" t="s">
        <v>5134</v>
      </c>
      <c r="B3877" s="15" t="s">
        <v>5135</v>
      </c>
      <c r="C3877" s="15" t="s">
        <v>5999</v>
      </c>
      <c r="D3877" s="34" t="n">
        <f aca="false">Activities!N1582</f>
        <v>2</v>
      </c>
      <c r="E3877" s="15" t="s">
        <v>5998</v>
      </c>
    </row>
    <row r="3878" customFormat="false" ht="15" hidden="false" customHeight="false" outlineLevel="0" collapsed="false">
      <c r="A3878" s="15" t="s">
        <v>5119</v>
      </c>
      <c r="B3878" s="15" t="s">
        <v>5135</v>
      </c>
      <c r="C3878" s="15" t="s">
        <v>5995</v>
      </c>
      <c r="D3878" s="34" t="n">
        <v>0</v>
      </c>
      <c r="E3878" s="15" t="s">
        <v>6013</v>
      </c>
    </row>
    <row r="3879" customFormat="false" ht="15" hidden="false" customHeight="false" outlineLevel="0" collapsed="false">
      <c r="A3879" s="15" t="s">
        <v>5135</v>
      </c>
      <c r="B3879" s="15" t="s">
        <v>5136</v>
      </c>
      <c r="C3879" s="15" t="s">
        <v>5997</v>
      </c>
      <c r="D3879" s="34" t="n">
        <f aca="false">Activities!M1583</f>
        <v>2</v>
      </c>
      <c r="E3879" s="15" t="s">
        <v>5998</v>
      </c>
    </row>
    <row r="3880" customFormat="false" ht="15" hidden="false" customHeight="false" outlineLevel="0" collapsed="false">
      <c r="A3880" s="15" t="s">
        <v>5135</v>
      </c>
      <c r="B3880" s="15" t="s">
        <v>5136</v>
      </c>
      <c r="C3880" s="15" t="s">
        <v>5999</v>
      </c>
      <c r="D3880" s="34" t="n">
        <f aca="false">Activities!N1583</f>
        <v>2</v>
      </c>
      <c r="E3880" s="15" t="s">
        <v>5998</v>
      </c>
    </row>
    <row r="3881" customFormat="false" ht="15" hidden="false" customHeight="false" outlineLevel="0" collapsed="false">
      <c r="A3881" s="15" t="s">
        <v>5122</v>
      </c>
      <c r="B3881" s="15" t="s">
        <v>5136</v>
      </c>
      <c r="C3881" s="15" t="s">
        <v>5995</v>
      </c>
      <c r="D3881" s="34" t="n">
        <f aca="false">-Activities!K1583</f>
        <v>-10</v>
      </c>
      <c r="E3881" s="15" t="s">
        <v>6004</v>
      </c>
    </row>
    <row r="3882" customFormat="false" ht="15" hidden="false" customHeight="false" outlineLevel="0" collapsed="false">
      <c r="A3882" s="15" t="s">
        <v>5136</v>
      </c>
      <c r="B3882" s="15" t="s">
        <v>5138</v>
      </c>
      <c r="C3882" s="15" t="s">
        <v>5997</v>
      </c>
      <c r="D3882" s="34" t="n">
        <f aca="false">Activities!M1584</f>
        <v>10</v>
      </c>
      <c r="E3882" s="15" t="s">
        <v>5998</v>
      </c>
    </row>
    <row r="3883" customFormat="false" ht="15" hidden="false" customHeight="false" outlineLevel="0" collapsed="false">
      <c r="A3883" s="15" t="s">
        <v>5136</v>
      </c>
      <c r="B3883" s="15" t="s">
        <v>5138</v>
      </c>
      <c r="C3883" s="15" t="s">
        <v>5999</v>
      </c>
      <c r="D3883" s="34" t="n">
        <f aca="false">Activities!N1584</f>
        <v>2</v>
      </c>
      <c r="E3883" s="15" t="s">
        <v>5998</v>
      </c>
    </row>
    <row r="3884" customFormat="false" ht="15" hidden="false" customHeight="false" outlineLevel="0" collapsed="false">
      <c r="A3884" s="15" t="s">
        <v>5122</v>
      </c>
      <c r="B3884" s="15" t="s">
        <v>5138</v>
      </c>
      <c r="C3884" s="15" t="s">
        <v>5995</v>
      </c>
      <c r="D3884" s="34" t="n">
        <v>0</v>
      </c>
      <c r="E3884" s="15" t="s">
        <v>6013</v>
      </c>
    </row>
    <row r="3885" customFormat="false" ht="15" hidden="false" customHeight="false" outlineLevel="0" collapsed="false">
      <c r="A3885" s="15" t="s">
        <v>5106</v>
      </c>
      <c r="B3885" s="15" t="s">
        <v>5138</v>
      </c>
      <c r="C3885" s="15" t="s">
        <v>5997</v>
      </c>
      <c r="D3885" s="34" t="n">
        <v>0</v>
      </c>
      <c r="E3885" s="15" t="s">
        <v>6006</v>
      </c>
    </row>
    <row r="3886" customFormat="false" ht="15" hidden="false" customHeight="false" outlineLevel="0" collapsed="false">
      <c r="A3886" s="15" t="s">
        <v>5047</v>
      </c>
      <c r="B3886" s="15" t="s">
        <v>5138</v>
      </c>
      <c r="C3886" s="15" t="s">
        <v>5997</v>
      </c>
      <c r="D3886" s="34" t="n">
        <v>0</v>
      </c>
      <c r="E3886" s="15" t="s">
        <v>6006</v>
      </c>
    </row>
    <row r="3887" customFormat="false" ht="15" hidden="false" customHeight="false" outlineLevel="0" collapsed="false">
      <c r="A3887" s="15" t="s">
        <v>5138</v>
      </c>
      <c r="B3887" s="15" t="s">
        <v>5140</v>
      </c>
      <c r="C3887" s="15" t="s">
        <v>5997</v>
      </c>
      <c r="D3887" s="34" t="n">
        <f aca="false">Activities!M1585</f>
        <v>1</v>
      </c>
      <c r="E3887" s="15" t="s">
        <v>5998</v>
      </c>
    </row>
    <row r="3888" customFormat="false" ht="15" hidden="false" customHeight="false" outlineLevel="0" collapsed="false">
      <c r="A3888" s="15" t="s">
        <v>5138</v>
      </c>
      <c r="B3888" s="15" t="s">
        <v>5140</v>
      </c>
      <c r="C3888" s="15" t="s">
        <v>5999</v>
      </c>
      <c r="D3888" s="34" t="n">
        <f aca="false">Activities!N1585</f>
        <v>2</v>
      </c>
      <c r="E3888" s="15" t="s">
        <v>5998</v>
      </c>
    </row>
    <row r="3889" customFormat="false" ht="15" hidden="false" customHeight="false" outlineLevel="0" collapsed="false">
      <c r="A3889" s="15" t="s">
        <v>5124</v>
      </c>
      <c r="B3889" s="15" t="s">
        <v>5140</v>
      </c>
      <c r="C3889" s="15" t="s">
        <v>5995</v>
      </c>
      <c r="D3889" s="34" t="n">
        <v>0</v>
      </c>
      <c r="E3889" s="15" t="s">
        <v>6013</v>
      </c>
    </row>
    <row r="3890" customFormat="false" ht="15" hidden="false" customHeight="false" outlineLevel="0" collapsed="false">
      <c r="A3890" s="15" t="s">
        <v>5140</v>
      </c>
      <c r="B3890" s="15" t="s">
        <v>5141</v>
      </c>
      <c r="C3890" s="15" t="s">
        <v>5997</v>
      </c>
      <c r="D3890" s="34" t="n">
        <f aca="false">Activities!M1586</f>
        <v>3</v>
      </c>
      <c r="E3890" s="15" t="s">
        <v>5998</v>
      </c>
    </row>
    <row r="3891" customFormat="false" ht="15" hidden="false" customHeight="false" outlineLevel="0" collapsed="false">
      <c r="A3891" s="15" t="s">
        <v>5140</v>
      </c>
      <c r="B3891" s="15" t="s">
        <v>5141</v>
      </c>
      <c r="C3891" s="15" t="s">
        <v>5999</v>
      </c>
      <c r="D3891" s="34" t="n">
        <f aca="false">Activities!N1586</f>
        <v>2</v>
      </c>
      <c r="E3891" s="15" t="s">
        <v>5998</v>
      </c>
    </row>
    <row r="3892" customFormat="false" ht="15" hidden="false" customHeight="false" outlineLevel="0" collapsed="false">
      <c r="A3892" s="15" t="s">
        <v>5125</v>
      </c>
      <c r="B3892" s="15" t="s">
        <v>5141</v>
      </c>
      <c r="C3892" s="15" t="s">
        <v>5995</v>
      </c>
      <c r="D3892" s="34" t="n">
        <v>0</v>
      </c>
      <c r="E3892" s="15" t="s">
        <v>6013</v>
      </c>
    </row>
    <row r="3893" customFormat="false" ht="15" hidden="false" customHeight="false" outlineLevel="0" collapsed="false">
      <c r="A3893" s="15" t="s">
        <v>5141</v>
      </c>
      <c r="B3893" s="15" t="s">
        <v>5142</v>
      </c>
      <c r="C3893" s="15" t="s">
        <v>5997</v>
      </c>
      <c r="D3893" s="34" t="n">
        <f aca="false">Activities!M1587</f>
        <v>2</v>
      </c>
      <c r="E3893" s="15" t="s">
        <v>5998</v>
      </c>
    </row>
    <row r="3894" customFormat="false" ht="15" hidden="false" customHeight="false" outlineLevel="0" collapsed="false">
      <c r="A3894" s="15" t="s">
        <v>5141</v>
      </c>
      <c r="B3894" s="15" t="s">
        <v>5142</v>
      </c>
      <c r="C3894" s="15" t="s">
        <v>5999</v>
      </c>
      <c r="D3894" s="34" t="n">
        <f aca="false">Activities!N1587</f>
        <v>2</v>
      </c>
      <c r="E3894" s="15" t="s">
        <v>5998</v>
      </c>
    </row>
    <row r="3895" customFormat="false" ht="15" hidden="false" customHeight="false" outlineLevel="0" collapsed="false">
      <c r="A3895" s="15" t="s">
        <v>5142</v>
      </c>
      <c r="B3895" s="15" t="s">
        <v>5143</v>
      </c>
      <c r="C3895" s="15" t="s">
        <v>5997</v>
      </c>
      <c r="D3895" s="34" t="n">
        <f aca="false">Activities!M1588</f>
        <v>2</v>
      </c>
      <c r="E3895" s="15" t="s">
        <v>5998</v>
      </c>
    </row>
    <row r="3896" customFormat="false" ht="15" hidden="false" customHeight="false" outlineLevel="0" collapsed="false">
      <c r="A3896" s="15" t="s">
        <v>5142</v>
      </c>
      <c r="B3896" s="15" t="s">
        <v>5143</v>
      </c>
      <c r="C3896" s="15" t="s">
        <v>5999</v>
      </c>
      <c r="D3896" s="34" t="n">
        <f aca="false">Activities!N1588</f>
        <v>2</v>
      </c>
      <c r="E3896" s="15" t="s">
        <v>5998</v>
      </c>
    </row>
    <row r="3897" customFormat="false" ht="15" hidden="false" customHeight="false" outlineLevel="0" collapsed="false">
      <c r="A3897" s="15" t="s">
        <v>5127</v>
      </c>
      <c r="B3897" s="15" t="s">
        <v>5143</v>
      </c>
      <c r="C3897" s="15" t="s">
        <v>5995</v>
      </c>
      <c r="D3897" s="34" t="n">
        <v>0</v>
      </c>
      <c r="E3897" s="15" t="s">
        <v>6013</v>
      </c>
    </row>
    <row r="3898" customFormat="false" ht="15" hidden="false" customHeight="false" outlineLevel="0" collapsed="false">
      <c r="A3898" s="15" t="s">
        <v>5109</v>
      </c>
      <c r="B3898" s="15" t="s">
        <v>5143</v>
      </c>
      <c r="C3898" s="15" t="s">
        <v>5995</v>
      </c>
      <c r="D3898" s="34" t="n">
        <v>0</v>
      </c>
      <c r="E3898" s="15" t="s">
        <v>6005</v>
      </c>
    </row>
    <row r="3899" customFormat="false" ht="15" hidden="false" customHeight="false" outlineLevel="0" collapsed="false">
      <c r="A3899" s="15" t="s">
        <v>5049</v>
      </c>
      <c r="B3899" s="15" t="s">
        <v>5143</v>
      </c>
      <c r="C3899" s="15" t="s">
        <v>5995</v>
      </c>
      <c r="D3899" s="34" t="n">
        <v>0</v>
      </c>
      <c r="E3899" s="15" t="s">
        <v>6005</v>
      </c>
    </row>
    <row r="3900" customFormat="false" ht="15" hidden="false" customHeight="false" outlineLevel="0" collapsed="false">
      <c r="A3900" s="15" t="s">
        <v>5143</v>
      </c>
      <c r="B3900" s="15" t="s">
        <v>5145</v>
      </c>
      <c r="C3900" s="15" t="s">
        <v>5997</v>
      </c>
      <c r="D3900" s="34" t="n">
        <f aca="false">Activities!M1589</f>
        <v>1</v>
      </c>
      <c r="E3900" s="15" t="s">
        <v>5998</v>
      </c>
    </row>
    <row r="3901" customFormat="false" ht="15" hidden="false" customHeight="false" outlineLevel="0" collapsed="false">
      <c r="A3901" s="15" t="s">
        <v>5143</v>
      </c>
      <c r="B3901" s="15" t="s">
        <v>5145</v>
      </c>
      <c r="C3901" s="15" t="s">
        <v>5999</v>
      </c>
      <c r="D3901" s="34" t="n">
        <f aca="false">Activities!N1589</f>
        <v>2</v>
      </c>
      <c r="E3901" s="15" t="s">
        <v>5998</v>
      </c>
    </row>
    <row r="3902" customFormat="false" ht="15" hidden="false" customHeight="false" outlineLevel="0" collapsed="false">
      <c r="A3902" s="15" t="s">
        <v>5146</v>
      </c>
      <c r="B3902" s="15" t="s">
        <v>5148</v>
      </c>
      <c r="C3902" s="15" t="s">
        <v>5995</v>
      </c>
      <c r="D3902" s="34" t="n">
        <v>0</v>
      </c>
      <c r="E3902" s="15" t="s">
        <v>5996</v>
      </c>
    </row>
    <row r="3903" customFormat="false" ht="15" hidden="false" customHeight="false" outlineLevel="0" collapsed="false">
      <c r="A3903" s="15" t="s">
        <v>5134</v>
      </c>
      <c r="B3903" s="15" t="s">
        <v>5148</v>
      </c>
      <c r="C3903" s="15" t="s">
        <v>5997</v>
      </c>
      <c r="D3903" s="34" t="n">
        <v>0</v>
      </c>
      <c r="E3903" s="15" t="s">
        <v>6002</v>
      </c>
    </row>
    <row r="3904" customFormat="false" ht="15" hidden="false" customHeight="false" outlineLevel="0" collapsed="false">
      <c r="A3904" s="15" t="s">
        <v>5148</v>
      </c>
      <c r="B3904" s="15" t="s">
        <v>5150</v>
      </c>
      <c r="C3904" s="15" t="s">
        <v>5997</v>
      </c>
      <c r="D3904" s="34" t="n">
        <f aca="false">Activities!M1592</f>
        <v>1</v>
      </c>
      <c r="E3904" s="15" t="s">
        <v>5998</v>
      </c>
    </row>
    <row r="3905" customFormat="false" ht="15" hidden="false" customHeight="false" outlineLevel="0" collapsed="false">
      <c r="A3905" s="15" t="s">
        <v>5148</v>
      </c>
      <c r="B3905" s="15" t="s">
        <v>5150</v>
      </c>
      <c r="C3905" s="15" t="s">
        <v>5999</v>
      </c>
      <c r="D3905" s="34" t="n">
        <f aca="false">Activities!N1592</f>
        <v>2</v>
      </c>
      <c r="E3905" s="15" t="s">
        <v>5998</v>
      </c>
    </row>
    <row r="3906" customFormat="false" ht="15" hidden="false" customHeight="false" outlineLevel="0" collapsed="false">
      <c r="A3906" s="15" t="s">
        <v>5134</v>
      </c>
      <c r="B3906" s="15" t="s">
        <v>5150</v>
      </c>
      <c r="C3906" s="15" t="s">
        <v>5995</v>
      </c>
      <c r="D3906" s="34" t="n">
        <v>0</v>
      </c>
      <c r="E3906" s="15" t="s">
        <v>6013</v>
      </c>
    </row>
    <row r="3907" customFormat="false" ht="15" hidden="false" customHeight="false" outlineLevel="0" collapsed="false">
      <c r="A3907" s="15" t="s">
        <v>5150</v>
      </c>
      <c r="B3907" s="15" t="s">
        <v>5151</v>
      </c>
      <c r="C3907" s="15" t="s">
        <v>5997</v>
      </c>
      <c r="D3907" s="34" t="n">
        <f aca="false">Activities!M1593</f>
        <v>2</v>
      </c>
      <c r="E3907" s="15" t="s">
        <v>5998</v>
      </c>
    </row>
    <row r="3908" customFormat="false" ht="15" hidden="false" customHeight="false" outlineLevel="0" collapsed="false">
      <c r="A3908" s="15" t="s">
        <v>5150</v>
      </c>
      <c r="B3908" s="15" t="s">
        <v>5151</v>
      </c>
      <c r="C3908" s="15" t="s">
        <v>5999</v>
      </c>
      <c r="D3908" s="34" t="n">
        <f aca="false">Activities!N1593</f>
        <v>2</v>
      </c>
      <c r="E3908" s="15" t="s">
        <v>5998</v>
      </c>
    </row>
    <row r="3909" customFormat="false" ht="15" hidden="false" customHeight="false" outlineLevel="0" collapsed="false">
      <c r="A3909" s="15" t="s">
        <v>5135</v>
      </c>
      <c r="B3909" s="15" t="s">
        <v>5151</v>
      </c>
      <c r="C3909" s="15" t="s">
        <v>5995</v>
      </c>
      <c r="D3909" s="34" t="n">
        <v>0</v>
      </c>
      <c r="E3909" s="15" t="s">
        <v>6013</v>
      </c>
    </row>
    <row r="3910" customFormat="false" ht="15" hidden="false" customHeight="false" outlineLevel="0" collapsed="false">
      <c r="A3910" s="15" t="s">
        <v>5151</v>
      </c>
      <c r="B3910" s="15" t="s">
        <v>5152</v>
      </c>
      <c r="C3910" s="15" t="s">
        <v>5997</v>
      </c>
      <c r="D3910" s="34" t="n">
        <f aca="false">Activities!M1594</f>
        <v>2</v>
      </c>
      <c r="E3910" s="15" t="s">
        <v>5998</v>
      </c>
    </row>
    <row r="3911" customFormat="false" ht="15" hidden="false" customHeight="false" outlineLevel="0" collapsed="false">
      <c r="A3911" s="15" t="s">
        <v>5151</v>
      </c>
      <c r="B3911" s="15" t="s">
        <v>5152</v>
      </c>
      <c r="C3911" s="15" t="s">
        <v>5999</v>
      </c>
      <c r="D3911" s="34" t="n">
        <f aca="false">Activities!N1594</f>
        <v>2</v>
      </c>
      <c r="E3911" s="15" t="s">
        <v>5998</v>
      </c>
    </row>
    <row r="3912" customFormat="false" ht="15" hidden="false" customHeight="false" outlineLevel="0" collapsed="false">
      <c r="A3912" s="15" t="s">
        <v>5138</v>
      </c>
      <c r="B3912" s="15" t="s">
        <v>5152</v>
      </c>
      <c r="C3912" s="15" t="s">
        <v>5995</v>
      </c>
      <c r="D3912" s="34" t="n">
        <f aca="false">-Activities!K1594</f>
        <v>-10</v>
      </c>
      <c r="E3912" s="15" t="s">
        <v>6004</v>
      </c>
    </row>
    <row r="3913" customFormat="false" ht="15" hidden="false" customHeight="false" outlineLevel="0" collapsed="false">
      <c r="A3913" s="15" t="s">
        <v>5152</v>
      </c>
      <c r="B3913" s="15" t="s">
        <v>5154</v>
      </c>
      <c r="C3913" s="15" t="s">
        <v>5997</v>
      </c>
      <c r="D3913" s="34" t="n">
        <f aca="false">Activities!M1595</f>
        <v>10</v>
      </c>
      <c r="E3913" s="15" t="s">
        <v>5998</v>
      </c>
    </row>
    <row r="3914" customFormat="false" ht="15" hidden="false" customHeight="false" outlineLevel="0" collapsed="false">
      <c r="A3914" s="15" t="s">
        <v>5152</v>
      </c>
      <c r="B3914" s="15" t="s">
        <v>5154</v>
      </c>
      <c r="C3914" s="15" t="s">
        <v>5999</v>
      </c>
      <c r="D3914" s="34" t="n">
        <f aca="false">Activities!N1595</f>
        <v>2</v>
      </c>
      <c r="E3914" s="15" t="s">
        <v>5998</v>
      </c>
    </row>
    <row r="3915" customFormat="false" ht="15" hidden="false" customHeight="false" outlineLevel="0" collapsed="false">
      <c r="A3915" s="15" t="s">
        <v>5138</v>
      </c>
      <c r="B3915" s="15" t="s">
        <v>5154</v>
      </c>
      <c r="C3915" s="15" t="s">
        <v>5995</v>
      </c>
      <c r="D3915" s="34" t="n">
        <v>0</v>
      </c>
      <c r="E3915" s="15" t="s">
        <v>6013</v>
      </c>
    </row>
    <row r="3916" customFormat="false" ht="15" hidden="false" customHeight="false" outlineLevel="0" collapsed="false">
      <c r="A3916" s="15" t="s">
        <v>5106</v>
      </c>
      <c r="B3916" s="15" t="s">
        <v>5154</v>
      </c>
      <c r="C3916" s="15" t="s">
        <v>5997</v>
      </c>
      <c r="D3916" s="34" t="n">
        <v>0</v>
      </c>
      <c r="E3916" s="15" t="s">
        <v>6006</v>
      </c>
    </row>
    <row r="3917" customFormat="false" ht="15" hidden="false" customHeight="false" outlineLevel="0" collapsed="false">
      <c r="A3917" s="15" t="s">
        <v>5047</v>
      </c>
      <c r="B3917" s="15" t="s">
        <v>5154</v>
      </c>
      <c r="C3917" s="15" t="s">
        <v>5997</v>
      </c>
      <c r="D3917" s="34" t="n">
        <v>0</v>
      </c>
      <c r="E3917" s="15" t="s">
        <v>6006</v>
      </c>
    </row>
    <row r="3918" customFormat="false" ht="15" hidden="false" customHeight="false" outlineLevel="0" collapsed="false">
      <c r="A3918" s="15" t="s">
        <v>5154</v>
      </c>
      <c r="B3918" s="15" t="s">
        <v>5155</v>
      </c>
      <c r="C3918" s="15" t="s">
        <v>5997</v>
      </c>
      <c r="D3918" s="34" t="n">
        <f aca="false">Activities!M1596</f>
        <v>2</v>
      </c>
      <c r="E3918" s="15" t="s">
        <v>5998</v>
      </c>
    </row>
    <row r="3919" customFormat="false" ht="15" hidden="false" customHeight="false" outlineLevel="0" collapsed="false">
      <c r="A3919" s="15" t="s">
        <v>5154</v>
      </c>
      <c r="B3919" s="15" t="s">
        <v>5155</v>
      </c>
      <c r="C3919" s="15" t="s">
        <v>5999</v>
      </c>
      <c r="D3919" s="34" t="n">
        <f aca="false">Activities!N1596</f>
        <v>2</v>
      </c>
      <c r="E3919" s="15" t="s">
        <v>5998</v>
      </c>
    </row>
    <row r="3920" customFormat="false" ht="15" hidden="false" customHeight="false" outlineLevel="0" collapsed="false">
      <c r="A3920" s="15" t="s">
        <v>5140</v>
      </c>
      <c r="B3920" s="15" t="s">
        <v>5155</v>
      </c>
      <c r="C3920" s="15" t="s">
        <v>5995</v>
      </c>
      <c r="D3920" s="34" t="n">
        <v>0</v>
      </c>
      <c r="E3920" s="15" t="s">
        <v>6013</v>
      </c>
    </row>
    <row r="3921" customFormat="false" ht="15" hidden="false" customHeight="false" outlineLevel="0" collapsed="false">
      <c r="A3921" s="15" t="s">
        <v>5155</v>
      </c>
      <c r="B3921" s="15" t="s">
        <v>5156</v>
      </c>
      <c r="C3921" s="15" t="s">
        <v>5997</v>
      </c>
      <c r="D3921" s="34" t="n">
        <f aca="false">Activities!M1597</f>
        <v>3</v>
      </c>
      <c r="E3921" s="15" t="s">
        <v>5998</v>
      </c>
    </row>
    <row r="3922" customFormat="false" ht="15" hidden="false" customHeight="false" outlineLevel="0" collapsed="false">
      <c r="A3922" s="15" t="s">
        <v>5155</v>
      </c>
      <c r="B3922" s="15" t="s">
        <v>5156</v>
      </c>
      <c r="C3922" s="15" t="s">
        <v>5999</v>
      </c>
      <c r="D3922" s="34" t="n">
        <f aca="false">Activities!N1597</f>
        <v>2</v>
      </c>
      <c r="E3922" s="15" t="s">
        <v>5998</v>
      </c>
    </row>
    <row r="3923" customFormat="false" ht="15" hidden="false" customHeight="false" outlineLevel="0" collapsed="false">
      <c r="A3923" s="15" t="s">
        <v>5141</v>
      </c>
      <c r="B3923" s="15" t="s">
        <v>5156</v>
      </c>
      <c r="C3923" s="15" t="s">
        <v>5995</v>
      </c>
      <c r="D3923" s="34" t="n">
        <v>0</v>
      </c>
      <c r="E3923" s="15" t="s">
        <v>6013</v>
      </c>
    </row>
    <row r="3924" customFormat="false" ht="15" hidden="false" customHeight="false" outlineLevel="0" collapsed="false">
      <c r="A3924" s="15" t="s">
        <v>5156</v>
      </c>
      <c r="B3924" s="15" t="s">
        <v>5157</v>
      </c>
      <c r="C3924" s="15" t="s">
        <v>5997</v>
      </c>
      <c r="D3924" s="34" t="n">
        <f aca="false">Activities!M1598</f>
        <v>1</v>
      </c>
      <c r="E3924" s="15" t="s">
        <v>5998</v>
      </c>
    </row>
    <row r="3925" customFormat="false" ht="15" hidden="false" customHeight="false" outlineLevel="0" collapsed="false">
      <c r="A3925" s="15" t="s">
        <v>5156</v>
      </c>
      <c r="B3925" s="15" t="s">
        <v>5157</v>
      </c>
      <c r="C3925" s="15" t="s">
        <v>5999</v>
      </c>
      <c r="D3925" s="34" t="n">
        <f aca="false">Activities!N1598</f>
        <v>2</v>
      </c>
      <c r="E3925" s="15" t="s">
        <v>5998</v>
      </c>
    </row>
    <row r="3926" customFormat="false" ht="15" hidden="false" customHeight="false" outlineLevel="0" collapsed="false">
      <c r="A3926" s="15" t="s">
        <v>5157</v>
      </c>
      <c r="B3926" s="15" t="s">
        <v>5158</v>
      </c>
      <c r="C3926" s="15" t="s">
        <v>5997</v>
      </c>
      <c r="D3926" s="34" t="n">
        <f aca="false">Activities!M1599</f>
        <v>2</v>
      </c>
      <c r="E3926" s="15" t="s">
        <v>5998</v>
      </c>
    </row>
    <row r="3927" customFormat="false" ht="15" hidden="false" customHeight="false" outlineLevel="0" collapsed="false">
      <c r="A3927" s="15" t="s">
        <v>5157</v>
      </c>
      <c r="B3927" s="15" t="s">
        <v>5158</v>
      </c>
      <c r="C3927" s="15" t="s">
        <v>5999</v>
      </c>
      <c r="D3927" s="34" t="n">
        <f aca="false">Activities!N1599</f>
        <v>2</v>
      </c>
      <c r="E3927" s="15" t="s">
        <v>5998</v>
      </c>
    </row>
    <row r="3928" customFormat="false" ht="15" hidden="false" customHeight="false" outlineLevel="0" collapsed="false">
      <c r="A3928" s="15" t="s">
        <v>5143</v>
      </c>
      <c r="B3928" s="15" t="s">
        <v>5158</v>
      </c>
      <c r="C3928" s="15" t="s">
        <v>5995</v>
      </c>
      <c r="D3928" s="34" t="n">
        <v>0</v>
      </c>
      <c r="E3928" s="15" t="s">
        <v>6013</v>
      </c>
    </row>
    <row r="3929" customFormat="false" ht="15" hidden="false" customHeight="false" outlineLevel="0" collapsed="false">
      <c r="A3929" s="15" t="s">
        <v>5172</v>
      </c>
      <c r="B3929" s="15" t="s">
        <v>5158</v>
      </c>
      <c r="C3929" s="15" t="s">
        <v>5995</v>
      </c>
      <c r="D3929" s="34" t="n">
        <v>0</v>
      </c>
      <c r="E3929" s="15" t="s">
        <v>6005</v>
      </c>
    </row>
    <row r="3930" customFormat="false" ht="15" hidden="false" customHeight="false" outlineLevel="0" collapsed="false">
      <c r="A3930" s="15" t="s">
        <v>5109</v>
      </c>
      <c r="B3930" s="15" t="s">
        <v>5158</v>
      </c>
      <c r="C3930" s="15" t="s">
        <v>5995</v>
      </c>
      <c r="D3930" s="34" t="n">
        <v>0</v>
      </c>
      <c r="E3930" s="15" t="s">
        <v>6005</v>
      </c>
    </row>
    <row r="3931" customFormat="false" ht="15" hidden="false" customHeight="false" outlineLevel="0" collapsed="false">
      <c r="A3931" s="15" t="s">
        <v>5049</v>
      </c>
      <c r="B3931" s="15" t="s">
        <v>5158</v>
      </c>
      <c r="C3931" s="15" t="s">
        <v>5995</v>
      </c>
      <c r="D3931" s="34" t="n">
        <v>0</v>
      </c>
      <c r="E3931" s="15" t="s">
        <v>6005</v>
      </c>
    </row>
    <row r="3932" customFormat="false" ht="15" hidden="false" customHeight="false" outlineLevel="0" collapsed="false">
      <c r="A3932" s="15" t="s">
        <v>5158</v>
      </c>
      <c r="B3932" s="15" t="s">
        <v>5160</v>
      </c>
      <c r="C3932" s="15" t="s">
        <v>5997</v>
      </c>
      <c r="D3932" s="34" t="n">
        <f aca="false">Activities!M1600</f>
        <v>1</v>
      </c>
      <c r="E3932" s="15" t="s">
        <v>5998</v>
      </c>
    </row>
    <row r="3933" customFormat="false" ht="15" hidden="false" customHeight="false" outlineLevel="0" collapsed="false">
      <c r="A3933" s="15" t="s">
        <v>5158</v>
      </c>
      <c r="B3933" s="15" t="s">
        <v>5160</v>
      </c>
      <c r="C3933" s="15" t="s">
        <v>5999</v>
      </c>
      <c r="D3933" s="34" t="n">
        <f aca="false">Activities!N1600</f>
        <v>2</v>
      </c>
      <c r="E3933" s="15" t="s">
        <v>5998</v>
      </c>
    </row>
    <row r="3934" customFormat="false" ht="15" hidden="false" customHeight="false" outlineLevel="0" collapsed="false">
      <c r="A3934" s="15" t="s">
        <v>5161</v>
      </c>
      <c r="B3934" s="15" t="s">
        <v>5163</v>
      </c>
      <c r="C3934" s="15" t="s">
        <v>5995</v>
      </c>
      <c r="D3934" s="34" t="n">
        <v>0</v>
      </c>
      <c r="E3934" s="15" t="s">
        <v>5996</v>
      </c>
    </row>
    <row r="3935" customFormat="false" ht="15" hidden="false" customHeight="false" outlineLevel="0" collapsed="false">
      <c r="A3935" s="15" t="s">
        <v>5150</v>
      </c>
      <c r="B3935" s="15" t="s">
        <v>5163</v>
      </c>
      <c r="C3935" s="15" t="s">
        <v>5997</v>
      </c>
      <c r="D3935" s="34" t="n">
        <v>0</v>
      </c>
      <c r="E3935" s="15" t="s">
        <v>6002</v>
      </c>
    </row>
    <row r="3936" customFormat="false" ht="15" hidden="false" customHeight="false" outlineLevel="0" collapsed="false">
      <c r="A3936" s="15" t="s">
        <v>5163</v>
      </c>
      <c r="B3936" s="15" t="s">
        <v>5165</v>
      </c>
      <c r="C3936" s="15" t="s">
        <v>5997</v>
      </c>
      <c r="D3936" s="34" t="n">
        <f aca="false">Activities!M1603</f>
        <v>1</v>
      </c>
      <c r="E3936" s="15" t="s">
        <v>5998</v>
      </c>
    </row>
    <row r="3937" customFormat="false" ht="15" hidden="false" customHeight="false" outlineLevel="0" collapsed="false">
      <c r="A3937" s="15" t="s">
        <v>5163</v>
      </c>
      <c r="B3937" s="15" t="s">
        <v>5165</v>
      </c>
      <c r="C3937" s="15" t="s">
        <v>5999</v>
      </c>
      <c r="D3937" s="34" t="n">
        <f aca="false">Activities!N1603</f>
        <v>2</v>
      </c>
      <c r="E3937" s="15" t="s">
        <v>5998</v>
      </c>
    </row>
    <row r="3938" customFormat="false" ht="15" hidden="false" customHeight="false" outlineLevel="0" collapsed="false">
      <c r="A3938" s="15" t="s">
        <v>5150</v>
      </c>
      <c r="B3938" s="15" t="s">
        <v>5165</v>
      </c>
      <c r="C3938" s="15" t="s">
        <v>5995</v>
      </c>
      <c r="D3938" s="34" t="n">
        <v>0</v>
      </c>
      <c r="E3938" s="15" t="s">
        <v>6013</v>
      </c>
    </row>
    <row r="3939" customFormat="false" ht="15" hidden="false" customHeight="false" outlineLevel="0" collapsed="false">
      <c r="A3939" s="15" t="s">
        <v>5165</v>
      </c>
      <c r="B3939" s="15" t="s">
        <v>5166</v>
      </c>
      <c r="C3939" s="15" t="s">
        <v>5997</v>
      </c>
      <c r="D3939" s="34" t="n">
        <f aca="false">Activities!M1604</f>
        <v>3</v>
      </c>
      <c r="E3939" s="15" t="s">
        <v>5998</v>
      </c>
    </row>
    <row r="3940" customFormat="false" ht="15" hidden="false" customHeight="false" outlineLevel="0" collapsed="false">
      <c r="A3940" s="15" t="s">
        <v>5165</v>
      </c>
      <c r="B3940" s="15" t="s">
        <v>5166</v>
      </c>
      <c r="C3940" s="15" t="s">
        <v>5999</v>
      </c>
      <c r="D3940" s="34" t="n">
        <f aca="false">Activities!N1604</f>
        <v>2</v>
      </c>
      <c r="E3940" s="15" t="s">
        <v>5998</v>
      </c>
    </row>
    <row r="3941" customFormat="false" ht="15" hidden="false" customHeight="false" outlineLevel="0" collapsed="false">
      <c r="A3941" s="15" t="s">
        <v>5151</v>
      </c>
      <c r="B3941" s="15" t="s">
        <v>5166</v>
      </c>
      <c r="C3941" s="15" t="s">
        <v>5995</v>
      </c>
      <c r="D3941" s="34" t="n">
        <v>0</v>
      </c>
      <c r="E3941" s="15" t="s">
        <v>6013</v>
      </c>
    </row>
    <row r="3942" customFormat="false" ht="15" hidden="false" customHeight="false" outlineLevel="0" collapsed="false">
      <c r="A3942" s="15" t="s">
        <v>5166</v>
      </c>
      <c r="B3942" s="15" t="s">
        <v>5167</v>
      </c>
      <c r="C3942" s="15" t="s">
        <v>5997</v>
      </c>
      <c r="D3942" s="34" t="n">
        <f aca="false">Activities!M1605</f>
        <v>2</v>
      </c>
      <c r="E3942" s="15" t="s">
        <v>5998</v>
      </c>
    </row>
    <row r="3943" customFormat="false" ht="15" hidden="false" customHeight="false" outlineLevel="0" collapsed="false">
      <c r="A3943" s="15" t="s">
        <v>5166</v>
      </c>
      <c r="B3943" s="15" t="s">
        <v>5167</v>
      </c>
      <c r="C3943" s="15" t="s">
        <v>5999</v>
      </c>
      <c r="D3943" s="34" t="n">
        <f aca="false">Activities!N1605</f>
        <v>2</v>
      </c>
      <c r="E3943" s="15" t="s">
        <v>5998</v>
      </c>
    </row>
    <row r="3944" customFormat="false" ht="15" hidden="false" customHeight="false" outlineLevel="0" collapsed="false">
      <c r="A3944" s="15" t="s">
        <v>5154</v>
      </c>
      <c r="B3944" s="15" t="s">
        <v>5167</v>
      </c>
      <c r="C3944" s="15" t="s">
        <v>5995</v>
      </c>
      <c r="D3944" s="34" t="n">
        <f aca="false">-Activities!K1605</f>
        <v>-11</v>
      </c>
      <c r="E3944" s="15" t="s">
        <v>6004</v>
      </c>
    </row>
    <row r="3945" customFormat="false" ht="15" hidden="false" customHeight="false" outlineLevel="0" collapsed="false">
      <c r="A3945" s="15" t="s">
        <v>5167</v>
      </c>
      <c r="B3945" s="15" t="s">
        <v>5169</v>
      </c>
      <c r="C3945" s="15" t="s">
        <v>5997</v>
      </c>
      <c r="D3945" s="34" t="n">
        <f aca="false">Activities!M1606</f>
        <v>10</v>
      </c>
      <c r="E3945" s="15" t="s">
        <v>5998</v>
      </c>
    </row>
    <row r="3946" customFormat="false" ht="15" hidden="false" customHeight="false" outlineLevel="0" collapsed="false">
      <c r="A3946" s="15" t="s">
        <v>5167</v>
      </c>
      <c r="B3946" s="15" t="s">
        <v>5169</v>
      </c>
      <c r="C3946" s="15" t="s">
        <v>5999</v>
      </c>
      <c r="D3946" s="34" t="n">
        <f aca="false">Activities!N1606</f>
        <v>2</v>
      </c>
      <c r="E3946" s="15" t="s">
        <v>5998</v>
      </c>
    </row>
    <row r="3947" customFormat="false" ht="15" hidden="false" customHeight="false" outlineLevel="0" collapsed="false">
      <c r="A3947" s="15" t="s">
        <v>5154</v>
      </c>
      <c r="B3947" s="15" t="s">
        <v>5169</v>
      </c>
      <c r="C3947" s="15" t="s">
        <v>5995</v>
      </c>
      <c r="D3947" s="34" t="n">
        <v>0</v>
      </c>
      <c r="E3947" s="15" t="s">
        <v>6013</v>
      </c>
    </row>
    <row r="3948" customFormat="false" ht="15" hidden="false" customHeight="false" outlineLevel="0" collapsed="false">
      <c r="A3948" s="15" t="s">
        <v>5051</v>
      </c>
      <c r="B3948" s="15" t="s">
        <v>5169</v>
      </c>
      <c r="C3948" s="15" t="s">
        <v>5995</v>
      </c>
      <c r="D3948" s="34" t="n">
        <v>0</v>
      </c>
      <c r="E3948" s="15" t="s">
        <v>6008</v>
      </c>
    </row>
    <row r="3949" customFormat="false" ht="15" hidden="false" customHeight="false" outlineLevel="0" collapsed="false">
      <c r="A3949" s="15" t="s">
        <v>4345</v>
      </c>
      <c r="B3949" s="15" t="s">
        <v>5169</v>
      </c>
      <c r="C3949" s="15" t="s">
        <v>5995</v>
      </c>
      <c r="D3949" s="34" t="n">
        <v>0</v>
      </c>
      <c r="E3949" s="15" t="s">
        <v>6008</v>
      </c>
    </row>
    <row r="3950" customFormat="false" ht="15" hidden="false" customHeight="false" outlineLevel="0" collapsed="false">
      <c r="A3950" s="15" t="s">
        <v>5143</v>
      </c>
      <c r="B3950" s="15" t="s">
        <v>5169</v>
      </c>
      <c r="C3950" s="15" t="s">
        <v>5995</v>
      </c>
      <c r="D3950" s="34" t="n">
        <v>0</v>
      </c>
      <c r="E3950" s="15" t="s">
        <v>6008</v>
      </c>
    </row>
    <row r="3951" customFormat="false" ht="15" hidden="false" customHeight="false" outlineLevel="0" collapsed="false">
      <c r="A3951" s="15" t="s">
        <v>5062</v>
      </c>
      <c r="B3951" s="15" t="s">
        <v>5169</v>
      </c>
      <c r="C3951" s="15" t="s">
        <v>5997</v>
      </c>
      <c r="D3951" s="34" t="n">
        <v>0</v>
      </c>
      <c r="E3951" s="15" t="s">
        <v>6006</v>
      </c>
    </row>
    <row r="3952" customFormat="false" ht="15" hidden="false" customHeight="false" outlineLevel="0" collapsed="false">
      <c r="A3952" s="15" t="s">
        <v>5154</v>
      </c>
      <c r="B3952" s="15" t="s">
        <v>5169</v>
      </c>
      <c r="C3952" s="15" t="s">
        <v>5997</v>
      </c>
      <c r="D3952" s="34" t="n">
        <v>0</v>
      </c>
      <c r="E3952" s="15" t="s">
        <v>6006</v>
      </c>
    </row>
    <row r="3953" customFormat="false" ht="15" hidden="false" customHeight="false" outlineLevel="0" collapsed="false">
      <c r="A3953" s="15" t="s">
        <v>5169</v>
      </c>
      <c r="B3953" s="15" t="s">
        <v>5171</v>
      </c>
      <c r="C3953" s="15" t="s">
        <v>5997</v>
      </c>
      <c r="D3953" s="34" t="n">
        <f aca="false">Activities!M1607</f>
        <v>2</v>
      </c>
      <c r="E3953" s="15" t="s">
        <v>5998</v>
      </c>
    </row>
    <row r="3954" customFormat="false" ht="15" hidden="false" customHeight="false" outlineLevel="0" collapsed="false">
      <c r="A3954" s="15" t="s">
        <v>5169</v>
      </c>
      <c r="B3954" s="15" t="s">
        <v>5171</v>
      </c>
      <c r="C3954" s="15" t="s">
        <v>5999</v>
      </c>
      <c r="D3954" s="34" t="n">
        <f aca="false">Activities!N1607</f>
        <v>2</v>
      </c>
      <c r="E3954" s="15" t="s">
        <v>5998</v>
      </c>
    </row>
    <row r="3955" customFormat="false" ht="15" hidden="false" customHeight="false" outlineLevel="0" collapsed="false">
      <c r="A3955" s="15" t="s">
        <v>5155</v>
      </c>
      <c r="B3955" s="15" t="s">
        <v>5171</v>
      </c>
      <c r="C3955" s="15" t="s">
        <v>5995</v>
      </c>
      <c r="D3955" s="34" t="n">
        <v>0</v>
      </c>
      <c r="E3955" s="15" t="s">
        <v>6013</v>
      </c>
    </row>
    <row r="3956" customFormat="false" ht="15" hidden="false" customHeight="false" outlineLevel="0" collapsed="false">
      <c r="A3956" s="15" t="s">
        <v>5171</v>
      </c>
      <c r="B3956" s="15" t="s">
        <v>5172</v>
      </c>
      <c r="C3956" s="15" t="s">
        <v>5997</v>
      </c>
      <c r="D3956" s="34" t="n">
        <f aca="false">Activities!M1608</f>
        <v>3</v>
      </c>
      <c r="E3956" s="15" t="s">
        <v>5998</v>
      </c>
    </row>
    <row r="3957" customFormat="false" ht="15" hidden="false" customHeight="false" outlineLevel="0" collapsed="false">
      <c r="A3957" s="15" t="s">
        <v>5171</v>
      </c>
      <c r="B3957" s="15" t="s">
        <v>5172</v>
      </c>
      <c r="C3957" s="15" t="s">
        <v>5999</v>
      </c>
      <c r="D3957" s="34" t="n">
        <f aca="false">Activities!N1608</f>
        <v>2</v>
      </c>
      <c r="E3957" s="15" t="s">
        <v>5998</v>
      </c>
    </row>
    <row r="3958" customFormat="false" ht="15" hidden="false" customHeight="false" outlineLevel="0" collapsed="false">
      <c r="A3958" s="15" t="s">
        <v>5156</v>
      </c>
      <c r="B3958" s="15" t="s">
        <v>5172</v>
      </c>
      <c r="C3958" s="15" t="s">
        <v>5995</v>
      </c>
      <c r="D3958" s="34" t="n">
        <v>0</v>
      </c>
      <c r="E3958" s="15" t="s">
        <v>6013</v>
      </c>
    </row>
    <row r="3959" customFormat="false" ht="15" hidden="false" customHeight="false" outlineLevel="0" collapsed="false">
      <c r="A3959" s="15" t="s">
        <v>5172</v>
      </c>
      <c r="B3959" s="15" t="s">
        <v>5173</v>
      </c>
      <c r="C3959" s="15" t="s">
        <v>5997</v>
      </c>
      <c r="D3959" s="34" t="n">
        <f aca="false">Activities!M1609</f>
        <v>2</v>
      </c>
      <c r="E3959" s="15" t="s">
        <v>5998</v>
      </c>
    </row>
    <row r="3960" customFormat="false" ht="15" hidden="false" customHeight="false" outlineLevel="0" collapsed="false">
      <c r="A3960" s="15" t="s">
        <v>5172</v>
      </c>
      <c r="B3960" s="15" t="s">
        <v>5173</v>
      </c>
      <c r="C3960" s="15" t="s">
        <v>5999</v>
      </c>
      <c r="D3960" s="34" t="n">
        <f aca="false">Activities!N1609</f>
        <v>2</v>
      </c>
      <c r="E3960" s="15" t="s">
        <v>5998</v>
      </c>
    </row>
    <row r="3961" customFormat="false" ht="15" hidden="false" customHeight="false" outlineLevel="0" collapsed="false">
      <c r="A3961" s="15" t="s">
        <v>5173</v>
      </c>
      <c r="B3961" s="15" t="s">
        <v>5174</v>
      </c>
      <c r="C3961" s="15" t="s">
        <v>5997</v>
      </c>
      <c r="D3961" s="34" t="n">
        <f aca="false">Activities!M1610</f>
        <v>2</v>
      </c>
      <c r="E3961" s="15" t="s">
        <v>5998</v>
      </c>
    </row>
    <row r="3962" customFormat="false" ht="15" hidden="false" customHeight="false" outlineLevel="0" collapsed="false">
      <c r="A3962" s="15" t="s">
        <v>5173</v>
      </c>
      <c r="B3962" s="15" t="s">
        <v>5174</v>
      </c>
      <c r="C3962" s="15" t="s">
        <v>5999</v>
      </c>
      <c r="D3962" s="34" t="n">
        <f aca="false">Activities!N1610</f>
        <v>2</v>
      </c>
      <c r="E3962" s="15" t="s">
        <v>5998</v>
      </c>
    </row>
    <row r="3963" customFormat="false" ht="15" hidden="false" customHeight="false" outlineLevel="0" collapsed="false">
      <c r="A3963" s="15" t="s">
        <v>5158</v>
      </c>
      <c r="B3963" s="15" t="s">
        <v>5174</v>
      </c>
      <c r="C3963" s="15" t="s">
        <v>5995</v>
      </c>
      <c r="D3963" s="34" t="n">
        <v>0</v>
      </c>
      <c r="E3963" s="15" t="s">
        <v>6013</v>
      </c>
    </row>
    <row r="3964" customFormat="false" ht="15" hidden="false" customHeight="false" outlineLevel="0" collapsed="false">
      <c r="A3964" s="15" t="s">
        <v>5065</v>
      </c>
      <c r="B3964" s="15" t="s">
        <v>5174</v>
      </c>
      <c r="C3964" s="15" t="s">
        <v>5995</v>
      </c>
      <c r="D3964" s="34" t="n">
        <v>0</v>
      </c>
      <c r="E3964" s="15" t="s">
        <v>6005</v>
      </c>
    </row>
    <row r="3965" customFormat="false" ht="15" hidden="false" customHeight="false" outlineLevel="0" collapsed="false">
      <c r="A3965" s="15" t="s">
        <v>5156</v>
      </c>
      <c r="B3965" s="15" t="s">
        <v>5174</v>
      </c>
      <c r="C3965" s="15" t="s">
        <v>5995</v>
      </c>
      <c r="D3965" s="34" t="n">
        <v>0</v>
      </c>
      <c r="E3965" s="15" t="s">
        <v>6005</v>
      </c>
    </row>
    <row r="3966" customFormat="false" ht="15" hidden="false" customHeight="false" outlineLevel="0" collapsed="false">
      <c r="A3966" s="15" t="s">
        <v>5174</v>
      </c>
      <c r="B3966" s="15" t="s">
        <v>5176</v>
      </c>
      <c r="C3966" s="15" t="s">
        <v>5997</v>
      </c>
      <c r="D3966" s="34" t="n">
        <f aca="false">Activities!M1611</f>
        <v>1</v>
      </c>
      <c r="E3966" s="15" t="s">
        <v>5998</v>
      </c>
    </row>
    <row r="3967" customFormat="false" ht="15" hidden="false" customHeight="false" outlineLevel="0" collapsed="false">
      <c r="A3967" s="15" t="s">
        <v>5174</v>
      </c>
      <c r="B3967" s="15" t="s">
        <v>5176</v>
      </c>
      <c r="C3967" s="15" t="s">
        <v>5999</v>
      </c>
      <c r="D3967" s="34" t="n">
        <f aca="false">Activities!N1611</f>
        <v>2</v>
      </c>
      <c r="E3967" s="15" t="s">
        <v>5998</v>
      </c>
    </row>
    <row r="3968" customFormat="false" ht="15" hidden="false" customHeight="false" outlineLevel="0" collapsed="false">
      <c r="A3968" s="15" t="s">
        <v>5177</v>
      </c>
      <c r="B3968" s="15" t="s">
        <v>5179</v>
      </c>
      <c r="C3968" s="15" t="s">
        <v>5995</v>
      </c>
      <c r="D3968" s="34" t="n">
        <v>0</v>
      </c>
      <c r="E3968" s="15" t="s">
        <v>5996</v>
      </c>
    </row>
    <row r="3969" customFormat="false" ht="15" hidden="false" customHeight="false" outlineLevel="0" collapsed="false">
      <c r="A3969" s="15" t="s">
        <v>5179</v>
      </c>
      <c r="B3969" s="15" t="s">
        <v>5180</v>
      </c>
      <c r="C3969" s="15" t="s">
        <v>5997</v>
      </c>
      <c r="D3969" s="34" t="n">
        <f aca="false">Activities!M1614</f>
        <v>1</v>
      </c>
      <c r="E3969" s="15" t="s">
        <v>5998</v>
      </c>
    </row>
    <row r="3970" customFormat="false" ht="15" hidden="false" customHeight="false" outlineLevel="0" collapsed="false">
      <c r="A3970" s="15" t="s">
        <v>5179</v>
      </c>
      <c r="B3970" s="15" t="s">
        <v>5180</v>
      </c>
      <c r="C3970" s="15" t="s">
        <v>5999</v>
      </c>
      <c r="D3970" s="34" t="n">
        <f aca="false">Activities!N1614</f>
        <v>2</v>
      </c>
      <c r="E3970" s="15" t="s">
        <v>5998</v>
      </c>
    </row>
    <row r="3971" customFormat="false" ht="15" hidden="false" customHeight="false" outlineLevel="0" collapsed="false">
      <c r="A3971" s="15" t="s">
        <v>5180</v>
      </c>
      <c r="B3971" s="15" t="s">
        <v>5181</v>
      </c>
      <c r="C3971" s="15" t="s">
        <v>5997</v>
      </c>
      <c r="D3971" s="34" t="n">
        <f aca="false">Activities!M1615</f>
        <v>1</v>
      </c>
      <c r="E3971" s="15" t="s">
        <v>5998</v>
      </c>
    </row>
    <row r="3972" customFormat="false" ht="15" hidden="false" customHeight="false" outlineLevel="0" collapsed="false">
      <c r="A3972" s="15" t="s">
        <v>5180</v>
      </c>
      <c r="B3972" s="15" t="s">
        <v>5181</v>
      </c>
      <c r="C3972" s="15" t="s">
        <v>5999</v>
      </c>
      <c r="D3972" s="34" t="n">
        <f aca="false">Activities!N1615</f>
        <v>2</v>
      </c>
      <c r="E3972" s="15" t="s">
        <v>5998</v>
      </c>
    </row>
    <row r="3973" customFormat="false" ht="15" hidden="false" customHeight="false" outlineLevel="0" collapsed="false">
      <c r="A3973" s="15" t="s">
        <v>5181</v>
      </c>
      <c r="B3973" s="15" t="s">
        <v>5182</v>
      </c>
      <c r="C3973" s="15" t="s">
        <v>5997</v>
      </c>
      <c r="D3973" s="34" t="n">
        <f aca="false">Activities!M1616</f>
        <v>1</v>
      </c>
      <c r="E3973" s="15" t="s">
        <v>5998</v>
      </c>
    </row>
    <row r="3974" customFormat="false" ht="15" hidden="false" customHeight="false" outlineLevel="0" collapsed="false">
      <c r="A3974" s="15" t="s">
        <v>5181</v>
      </c>
      <c r="B3974" s="15" t="s">
        <v>5182</v>
      </c>
      <c r="C3974" s="15" t="s">
        <v>5999</v>
      </c>
      <c r="D3974" s="34" t="n">
        <f aca="false">Activities!N1616</f>
        <v>2</v>
      </c>
      <c r="E3974" s="15" t="s">
        <v>5998</v>
      </c>
    </row>
    <row r="3975" customFormat="false" ht="15" hidden="false" customHeight="false" outlineLevel="0" collapsed="false">
      <c r="A3975" s="15" t="s">
        <v>5182</v>
      </c>
      <c r="B3975" s="15" t="s">
        <v>5183</v>
      </c>
      <c r="C3975" s="15" t="s">
        <v>5997</v>
      </c>
      <c r="D3975" s="34" t="n">
        <f aca="false">Activities!M1617</f>
        <v>10</v>
      </c>
      <c r="E3975" s="15" t="s">
        <v>5998</v>
      </c>
    </row>
    <row r="3976" customFormat="false" ht="15" hidden="false" customHeight="false" outlineLevel="0" collapsed="false">
      <c r="A3976" s="15" t="s">
        <v>5182</v>
      </c>
      <c r="B3976" s="15" t="s">
        <v>5183</v>
      </c>
      <c r="C3976" s="15" t="s">
        <v>5999</v>
      </c>
      <c r="D3976" s="34" t="n">
        <f aca="false">Activities!N1617</f>
        <v>2</v>
      </c>
      <c r="E3976" s="15" t="s">
        <v>5998</v>
      </c>
    </row>
    <row r="3977" customFormat="false" ht="15" hidden="false" customHeight="false" outlineLevel="0" collapsed="false">
      <c r="A3977" s="15" t="s">
        <v>5183</v>
      </c>
      <c r="B3977" s="15" t="s">
        <v>5184</v>
      </c>
      <c r="C3977" s="15" t="s">
        <v>5997</v>
      </c>
      <c r="D3977" s="34" t="n">
        <f aca="false">Activities!M1618</f>
        <v>1</v>
      </c>
      <c r="E3977" s="15" t="s">
        <v>5998</v>
      </c>
    </row>
    <row r="3978" customFormat="false" ht="15" hidden="false" customHeight="false" outlineLevel="0" collapsed="false">
      <c r="A3978" s="15" t="s">
        <v>5183</v>
      </c>
      <c r="B3978" s="15" t="s">
        <v>5184</v>
      </c>
      <c r="C3978" s="15" t="s">
        <v>5999</v>
      </c>
      <c r="D3978" s="34" t="n">
        <f aca="false">Activities!N1618</f>
        <v>2</v>
      </c>
      <c r="E3978" s="15" t="s">
        <v>5998</v>
      </c>
    </row>
    <row r="3979" customFormat="false" ht="15" hidden="false" customHeight="false" outlineLevel="0" collapsed="false">
      <c r="A3979" s="15" t="s">
        <v>5184</v>
      </c>
      <c r="B3979" s="15" t="s">
        <v>5185</v>
      </c>
      <c r="C3979" s="15" t="s">
        <v>5997</v>
      </c>
      <c r="D3979" s="34" t="n">
        <f aca="false">Activities!M1619</f>
        <v>2</v>
      </c>
      <c r="E3979" s="15" t="s">
        <v>5998</v>
      </c>
    </row>
    <row r="3980" customFormat="false" ht="15" hidden="false" customHeight="false" outlineLevel="0" collapsed="false">
      <c r="A3980" s="15" t="s">
        <v>5184</v>
      </c>
      <c r="B3980" s="15" t="s">
        <v>5185</v>
      </c>
      <c r="C3980" s="15" t="s">
        <v>5999</v>
      </c>
      <c r="D3980" s="34" t="n">
        <f aca="false">Activities!N1619</f>
        <v>2</v>
      </c>
      <c r="E3980" s="15" t="s">
        <v>5998</v>
      </c>
    </row>
    <row r="3981" customFormat="false" ht="15" hidden="false" customHeight="false" outlineLevel="0" collapsed="false">
      <c r="A3981" s="15" t="s">
        <v>5185</v>
      </c>
      <c r="B3981" s="15" t="s">
        <v>5186</v>
      </c>
      <c r="C3981" s="15" t="s">
        <v>5997</v>
      </c>
      <c r="D3981" s="34" t="n">
        <f aca="false">Activities!M1620</f>
        <v>2</v>
      </c>
      <c r="E3981" s="15" t="s">
        <v>5998</v>
      </c>
    </row>
    <row r="3982" customFormat="false" ht="15" hidden="false" customHeight="false" outlineLevel="0" collapsed="false">
      <c r="A3982" s="15" t="s">
        <v>5185</v>
      </c>
      <c r="B3982" s="15" t="s">
        <v>5186</v>
      </c>
      <c r="C3982" s="15" t="s">
        <v>5999</v>
      </c>
      <c r="D3982" s="34" t="n">
        <f aca="false">Activities!N1620</f>
        <v>2</v>
      </c>
      <c r="E3982" s="15" t="s">
        <v>5998</v>
      </c>
    </row>
    <row r="3983" customFormat="false" ht="15" hidden="false" customHeight="false" outlineLevel="0" collapsed="false">
      <c r="A3983" s="15" t="s">
        <v>5186</v>
      </c>
      <c r="B3983" s="15" t="s">
        <v>5187</v>
      </c>
      <c r="C3983" s="15" t="s">
        <v>5997</v>
      </c>
      <c r="D3983" s="34" t="n">
        <f aca="false">Activities!M1621</f>
        <v>2</v>
      </c>
      <c r="E3983" s="15" t="s">
        <v>5998</v>
      </c>
    </row>
    <row r="3984" customFormat="false" ht="15" hidden="false" customHeight="false" outlineLevel="0" collapsed="false">
      <c r="A3984" s="15" t="s">
        <v>5186</v>
      </c>
      <c r="B3984" s="15" t="s">
        <v>5187</v>
      </c>
      <c r="C3984" s="15" t="s">
        <v>5999</v>
      </c>
      <c r="D3984" s="34" t="n">
        <f aca="false">Activities!N1621</f>
        <v>2</v>
      </c>
      <c r="E3984" s="15" t="s">
        <v>5998</v>
      </c>
    </row>
    <row r="3985" customFormat="false" ht="15" hidden="false" customHeight="false" outlineLevel="0" collapsed="false">
      <c r="A3985" s="15" t="s">
        <v>5201</v>
      </c>
      <c r="B3985" s="15" t="s">
        <v>5187</v>
      </c>
      <c r="C3985" s="15" t="s">
        <v>5995</v>
      </c>
      <c r="D3985" s="34" t="n">
        <v>0</v>
      </c>
      <c r="E3985" s="15" t="s">
        <v>6005</v>
      </c>
    </row>
    <row r="3986" customFormat="false" ht="15" hidden="false" customHeight="false" outlineLevel="0" collapsed="false">
      <c r="A3986" s="15" t="s">
        <v>5245</v>
      </c>
      <c r="B3986" s="15" t="s">
        <v>5187</v>
      </c>
      <c r="C3986" s="15" t="s">
        <v>5995</v>
      </c>
      <c r="D3986" s="34" t="n">
        <v>0</v>
      </c>
      <c r="E3986" s="15" t="s">
        <v>6005</v>
      </c>
    </row>
    <row r="3987" customFormat="false" ht="15" hidden="false" customHeight="false" outlineLevel="0" collapsed="false">
      <c r="A3987" s="15" t="s">
        <v>5232</v>
      </c>
      <c r="B3987" s="15" t="s">
        <v>5187</v>
      </c>
      <c r="C3987" s="15" t="s">
        <v>5995</v>
      </c>
      <c r="D3987" s="34" t="n">
        <v>0</v>
      </c>
      <c r="E3987" s="15" t="s">
        <v>6005</v>
      </c>
    </row>
    <row r="3988" customFormat="false" ht="15" hidden="false" customHeight="false" outlineLevel="0" collapsed="false">
      <c r="A3988" s="15" t="s">
        <v>5217</v>
      </c>
      <c r="B3988" s="15" t="s">
        <v>5187</v>
      </c>
      <c r="C3988" s="15" t="s">
        <v>5995</v>
      </c>
      <c r="D3988" s="34" t="n">
        <v>0</v>
      </c>
      <c r="E3988" s="15" t="s">
        <v>6005</v>
      </c>
    </row>
    <row r="3989" customFormat="false" ht="15" hidden="false" customHeight="false" outlineLevel="0" collapsed="false">
      <c r="A3989" s="15" t="s">
        <v>5187</v>
      </c>
      <c r="B3989" s="15" t="s">
        <v>5189</v>
      </c>
      <c r="C3989" s="15" t="s">
        <v>5997</v>
      </c>
      <c r="D3989" s="34" t="n">
        <f aca="false">Activities!M1622</f>
        <v>1</v>
      </c>
      <c r="E3989" s="15" t="s">
        <v>5998</v>
      </c>
    </row>
    <row r="3990" customFormat="false" ht="15" hidden="false" customHeight="false" outlineLevel="0" collapsed="false">
      <c r="A3990" s="15" t="s">
        <v>5187</v>
      </c>
      <c r="B3990" s="15" t="s">
        <v>5189</v>
      </c>
      <c r="C3990" s="15" t="s">
        <v>5999</v>
      </c>
      <c r="D3990" s="34" t="n">
        <f aca="false">Activities!N1622</f>
        <v>2</v>
      </c>
      <c r="E3990" s="15" t="s">
        <v>5998</v>
      </c>
    </row>
    <row r="3991" customFormat="false" ht="15" hidden="false" customHeight="false" outlineLevel="0" collapsed="false">
      <c r="A3991" s="15" t="s">
        <v>5190</v>
      </c>
      <c r="B3991" s="15" t="s">
        <v>5192</v>
      </c>
      <c r="C3991" s="15" t="s">
        <v>5995</v>
      </c>
      <c r="D3991" s="34" t="n">
        <v>0</v>
      </c>
      <c r="E3991" s="15" t="s">
        <v>5996</v>
      </c>
    </row>
    <row r="3992" customFormat="false" ht="15" hidden="false" customHeight="false" outlineLevel="0" collapsed="false">
      <c r="A3992" s="15" t="s">
        <v>5165</v>
      </c>
      <c r="B3992" s="15" t="s">
        <v>5192</v>
      </c>
      <c r="C3992" s="15" t="s">
        <v>5997</v>
      </c>
      <c r="D3992" s="34" t="n">
        <v>0</v>
      </c>
      <c r="E3992" s="15" t="s">
        <v>6002</v>
      </c>
    </row>
    <row r="3993" customFormat="false" ht="15" hidden="false" customHeight="false" outlineLevel="0" collapsed="false">
      <c r="A3993" s="15" t="s">
        <v>5192</v>
      </c>
      <c r="B3993" s="15" t="s">
        <v>5194</v>
      </c>
      <c r="C3993" s="15" t="s">
        <v>5997</v>
      </c>
      <c r="D3993" s="34" t="n">
        <f aca="false">Activities!M1625</f>
        <v>1</v>
      </c>
      <c r="E3993" s="15" t="s">
        <v>5998</v>
      </c>
    </row>
    <row r="3994" customFormat="false" ht="15" hidden="false" customHeight="false" outlineLevel="0" collapsed="false">
      <c r="A3994" s="15" t="s">
        <v>5192</v>
      </c>
      <c r="B3994" s="15" t="s">
        <v>5194</v>
      </c>
      <c r="C3994" s="15" t="s">
        <v>5999</v>
      </c>
      <c r="D3994" s="34" t="n">
        <f aca="false">Activities!N1625</f>
        <v>2</v>
      </c>
      <c r="E3994" s="15" t="s">
        <v>5998</v>
      </c>
    </row>
    <row r="3995" customFormat="false" ht="15" hidden="false" customHeight="false" outlineLevel="0" collapsed="false">
      <c r="A3995" s="15" t="s">
        <v>5165</v>
      </c>
      <c r="B3995" s="15" t="s">
        <v>5194</v>
      </c>
      <c r="C3995" s="15" t="s">
        <v>5995</v>
      </c>
      <c r="D3995" s="34" t="n">
        <v>0</v>
      </c>
      <c r="E3995" s="15" t="s">
        <v>6013</v>
      </c>
    </row>
    <row r="3996" customFormat="false" ht="15" hidden="false" customHeight="false" outlineLevel="0" collapsed="false">
      <c r="A3996" s="15" t="s">
        <v>5194</v>
      </c>
      <c r="B3996" s="15" t="s">
        <v>5195</v>
      </c>
      <c r="C3996" s="15" t="s">
        <v>5997</v>
      </c>
      <c r="D3996" s="34" t="n">
        <f aca="false">Activities!M1626</f>
        <v>3</v>
      </c>
      <c r="E3996" s="15" t="s">
        <v>5998</v>
      </c>
    </row>
    <row r="3997" customFormat="false" ht="15" hidden="false" customHeight="false" outlineLevel="0" collapsed="false">
      <c r="A3997" s="15" t="s">
        <v>5194</v>
      </c>
      <c r="B3997" s="15" t="s">
        <v>5195</v>
      </c>
      <c r="C3997" s="15" t="s">
        <v>5999</v>
      </c>
      <c r="D3997" s="34" t="n">
        <f aca="false">Activities!N1626</f>
        <v>2</v>
      </c>
      <c r="E3997" s="15" t="s">
        <v>5998</v>
      </c>
    </row>
    <row r="3998" customFormat="false" ht="15" hidden="false" customHeight="false" outlineLevel="0" collapsed="false">
      <c r="A3998" s="15" t="s">
        <v>5166</v>
      </c>
      <c r="B3998" s="15" t="s">
        <v>5195</v>
      </c>
      <c r="C3998" s="15" t="s">
        <v>5995</v>
      </c>
      <c r="D3998" s="34" t="n">
        <v>0</v>
      </c>
      <c r="E3998" s="15" t="s">
        <v>6013</v>
      </c>
    </row>
    <row r="3999" customFormat="false" ht="15" hidden="false" customHeight="false" outlineLevel="0" collapsed="false">
      <c r="A3999" s="15" t="s">
        <v>5195</v>
      </c>
      <c r="B3999" s="15" t="s">
        <v>5196</v>
      </c>
      <c r="C3999" s="15" t="s">
        <v>5997</v>
      </c>
      <c r="D3999" s="34" t="n">
        <f aca="false">Activities!M1627</f>
        <v>2</v>
      </c>
      <c r="E3999" s="15" t="s">
        <v>5998</v>
      </c>
    </row>
    <row r="4000" customFormat="false" ht="15" hidden="false" customHeight="false" outlineLevel="0" collapsed="false">
      <c r="A4000" s="15" t="s">
        <v>5195</v>
      </c>
      <c r="B4000" s="15" t="s">
        <v>5196</v>
      </c>
      <c r="C4000" s="15" t="s">
        <v>5999</v>
      </c>
      <c r="D4000" s="34" t="n">
        <f aca="false">Activities!N1627</f>
        <v>2</v>
      </c>
      <c r="E4000" s="15" t="s">
        <v>5998</v>
      </c>
    </row>
    <row r="4001" customFormat="false" ht="15" hidden="false" customHeight="false" outlineLevel="0" collapsed="false">
      <c r="A4001" s="15" t="s">
        <v>5169</v>
      </c>
      <c r="B4001" s="15" t="s">
        <v>5196</v>
      </c>
      <c r="C4001" s="15" t="s">
        <v>5995</v>
      </c>
      <c r="D4001" s="34" t="n">
        <f aca="false">-Activities!K1627</f>
        <v>-11</v>
      </c>
      <c r="E4001" s="15" t="s">
        <v>6004</v>
      </c>
    </row>
    <row r="4002" customFormat="false" ht="15" hidden="false" customHeight="false" outlineLevel="0" collapsed="false">
      <c r="A4002" s="15" t="s">
        <v>5196</v>
      </c>
      <c r="B4002" s="15" t="s">
        <v>5198</v>
      </c>
      <c r="C4002" s="15" t="s">
        <v>5997</v>
      </c>
      <c r="D4002" s="34" t="n">
        <f aca="false">Activities!M1628</f>
        <v>10</v>
      </c>
      <c r="E4002" s="15" t="s">
        <v>5998</v>
      </c>
    </row>
    <row r="4003" customFormat="false" ht="15" hidden="false" customHeight="false" outlineLevel="0" collapsed="false">
      <c r="A4003" s="15" t="s">
        <v>5196</v>
      </c>
      <c r="B4003" s="15" t="s">
        <v>5198</v>
      </c>
      <c r="C4003" s="15" t="s">
        <v>5999</v>
      </c>
      <c r="D4003" s="34" t="n">
        <f aca="false">Activities!N1628</f>
        <v>2</v>
      </c>
      <c r="E4003" s="15" t="s">
        <v>5998</v>
      </c>
    </row>
    <row r="4004" customFormat="false" ht="15" hidden="false" customHeight="false" outlineLevel="0" collapsed="false">
      <c r="A4004" s="15" t="s">
        <v>5169</v>
      </c>
      <c r="B4004" s="15" t="s">
        <v>5198</v>
      </c>
      <c r="C4004" s="15" t="s">
        <v>5995</v>
      </c>
      <c r="D4004" s="34" t="n">
        <v>0</v>
      </c>
      <c r="E4004" s="15" t="s">
        <v>6013</v>
      </c>
    </row>
    <row r="4005" customFormat="false" ht="15" hidden="false" customHeight="false" outlineLevel="0" collapsed="false">
      <c r="A4005" s="15" t="s">
        <v>5183</v>
      </c>
      <c r="B4005" s="15" t="s">
        <v>5198</v>
      </c>
      <c r="C4005" s="15" t="s">
        <v>5997</v>
      </c>
      <c r="D4005" s="34" t="n">
        <v>0</v>
      </c>
      <c r="E4005" s="15" t="s">
        <v>6006</v>
      </c>
    </row>
    <row r="4006" customFormat="false" ht="15" hidden="false" customHeight="false" outlineLevel="0" collapsed="false">
      <c r="A4006" s="15" t="s">
        <v>5198</v>
      </c>
      <c r="B4006" s="15" t="s">
        <v>5200</v>
      </c>
      <c r="C4006" s="15" t="s">
        <v>5997</v>
      </c>
      <c r="D4006" s="34" t="n">
        <f aca="false">Activities!M1629</f>
        <v>2</v>
      </c>
      <c r="E4006" s="15" t="s">
        <v>5998</v>
      </c>
    </row>
    <row r="4007" customFormat="false" ht="15" hidden="false" customHeight="false" outlineLevel="0" collapsed="false">
      <c r="A4007" s="15" t="s">
        <v>5198</v>
      </c>
      <c r="B4007" s="15" t="s">
        <v>5200</v>
      </c>
      <c r="C4007" s="15" t="s">
        <v>5999</v>
      </c>
      <c r="D4007" s="34" t="n">
        <f aca="false">Activities!N1629</f>
        <v>2</v>
      </c>
      <c r="E4007" s="15" t="s">
        <v>5998</v>
      </c>
    </row>
    <row r="4008" customFormat="false" ht="15" hidden="false" customHeight="false" outlineLevel="0" collapsed="false">
      <c r="A4008" s="15" t="s">
        <v>5171</v>
      </c>
      <c r="B4008" s="15" t="s">
        <v>5200</v>
      </c>
      <c r="C4008" s="15" t="s">
        <v>5995</v>
      </c>
      <c r="D4008" s="34" t="n">
        <v>0</v>
      </c>
      <c r="E4008" s="15" t="s">
        <v>6013</v>
      </c>
    </row>
    <row r="4009" customFormat="false" ht="15" hidden="false" customHeight="false" outlineLevel="0" collapsed="false">
      <c r="A4009" s="15" t="s">
        <v>5200</v>
      </c>
      <c r="B4009" s="15" t="s">
        <v>5201</v>
      </c>
      <c r="C4009" s="15" t="s">
        <v>5997</v>
      </c>
      <c r="D4009" s="34" t="n">
        <f aca="false">Activities!M1630</f>
        <v>3</v>
      </c>
      <c r="E4009" s="15" t="s">
        <v>5998</v>
      </c>
    </row>
    <row r="4010" customFormat="false" ht="15" hidden="false" customHeight="false" outlineLevel="0" collapsed="false">
      <c r="A4010" s="15" t="s">
        <v>5200</v>
      </c>
      <c r="B4010" s="15" t="s">
        <v>5201</v>
      </c>
      <c r="C4010" s="15" t="s">
        <v>5999</v>
      </c>
      <c r="D4010" s="34" t="n">
        <f aca="false">Activities!N1630</f>
        <v>2</v>
      </c>
      <c r="E4010" s="15" t="s">
        <v>5998</v>
      </c>
    </row>
    <row r="4011" customFormat="false" ht="15" hidden="false" customHeight="false" outlineLevel="0" collapsed="false">
      <c r="A4011" s="15" t="s">
        <v>5172</v>
      </c>
      <c r="B4011" s="15" t="s">
        <v>5201</v>
      </c>
      <c r="C4011" s="15" t="s">
        <v>5995</v>
      </c>
      <c r="D4011" s="34" t="n">
        <v>0</v>
      </c>
      <c r="E4011" s="15" t="s">
        <v>6013</v>
      </c>
    </row>
    <row r="4012" customFormat="false" ht="15" hidden="false" customHeight="false" outlineLevel="0" collapsed="false">
      <c r="A4012" s="15" t="s">
        <v>5201</v>
      </c>
      <c r="B4012" s="15" t="s">
        <v>5202</v>
      </c>
      <c r="C4012" s="15" t="s">
        <v>5997</v>
      </c>
      <c r="D4012" s="34" t="n">
        <f aca="false">Activities!M1631</f>
        <v>2</v>
      </c>
      <c r="E4012" s="15" t="s">
        <v>5998</v>
      </c>
    </row>
    <row r="4013" customFormat="false" ht="15" hidden="false" customHeight="false" outlineLevel="0" collapsed="false">
      <c r="A4013" s="15" t="s">
        <v>5201</v>
      </c>
      <c r="B4013" s="15" t="s">
        <v>5202</v>
      </c>
      <c r="C4013" s="15" t="s">
        <v>5999</v>
      </c>
      <c r="D4013" s="34" t="n">
        <f aca="false">Activities!N1631</f>
        <v>2</v>
      </c>
      <c r="E4013" s="15" t="s">
        <v>5998</v>
      </c>
    </row>
    <row r="4014" customFormat="false" ht="15" hidden="false" customHeight="false" outlineLevel="0" collapsed="false">
      <c r="A4014" s="15" t="s">
        <v>5202</v>
      </c>
      <c r="B4014" s="15" t="s">
        <v>5203</v>
      </c>
      <c r="C4014" s="15" t="s">
        <v>5997</v>
      </c>
      <c r="D4014" s="34" t="n">
        <f aca="false">Activities!M1632</f>
        <v>2</v>
      </c>
      <c r="E4014" s="15" t="s">
        <v>5998</v>
      </c>
    </row>
    <row r="4015" customFormat="false" ht="15" hidden="false" customHeight="false" outlineLevel="0" collapsed="false">
      <c r="A4015" s="15" t="s">
        <v>5202</v>
      </c>
      <c r="B4015" s="15" t="s">
        <v>5203</v>
      </c>
      <c r="C4015" s="15" t="s">
        <v>5999</v>
      </c>
      <c r="D4015" s="34" t="n">
        <f aca="false">Activities!N1632</f>
        <v>2</v>
      </c>
      <c r="E4015" s="15" t="s">
        <v>5998</v>
      </c>
    </row>
    <row r="4016" customFormat="false" ht="15" hidden="false" customHeight="false" outlineLevel="0" collapsed="false">
      <c r="A4016" s="15" t="s">
        <v>5174</v>
      </c>
      <c r="B4016" s="15" t="s">
        <v>5203</v>
      </c>
      <c r="C4016" s="15" t="s">
        <v>5995</v>
      </c>
      <c r="D4016" s="34" t="n">
        <v>0</v>
      </c>
      <c r="E4016" s="15" t="s">
        <v>6013</v>
      </c>
    </row>
    <row r="4017" customFormat="false" ht="15" hidden="false" customHeight="false" outlineLevel="0" collapsed="false">
      <c r="A4017" s="15" t="s">
        <v>5185</v>
      </c>
      <c r="B4017" s="15" t="s">
        <v>5203</v>
      </c>
      <c r="C4017" s="15" t="s">
        <v>5995</v>
      </c>
      <c r="D4017" s="34" t="n">
        <v>0</v>
      </c>
      <c r="E4017" s="15" t="s">
        <v>6005</v>
      </c>
    </row>
    <row r="4018" customFormat="false" ht="15" hidden="false" customHeight="false" outlineLevel="0" collapsed="false">
      <c r="A4018" s="15" t="s">
        <v>5245</v>
      </c>
      <c r="B4018" s="15" t="s">
        <v>5203</v>
      </c>
      <c r="C4018" s="15" t="s">
        <v>5995</v>
      </c>
      <c r="D4018" s="34" t="n">
        <v>0</v>
      </c>
      <c r="E4018" s="15" t="s">
        <v>6005</v>
      </c>
    </row>
    <row r="4019" customFormat="false" ht="15" hidden="false" customHeight="false" outlineLevel="0" collapsed="false">
      <c r="A4019" s="15" t="s">
        <v>5232</v>
      </c>
      <c r="B4019" s="15" t="s">
        <v>5203</v>
      </c>
      <c r="C4019" s="15" t="s">
        <v>5995</v>
      </c>
      <c r="D4019" s="34" t="n">
        <v>0</v>
      </c>
      <c r="E4019" s="15" t="s">
        <v>6005</v>
      </c>
    </row>
    <row r="4020" customFormat="false" ht="15" hidden="false" customHeight="false" outlineLevel="0" collapsed="false">
      <c r="A4020" s="15" t="s">
        <v>5217</v>
      </c>
      <c r="B4020" s="15" t="s">
        <v>5203</v>
      </c>
      <c r="C4020" s="15" t="s">
        <v>5995</v>
      </c>
      <c r="D4020" s="34" t="n">
        <v>0</v>
      </c>
      <c r="E4020" s="15" t="s">
        <v>6005</v>
      </c>
    </row>
    <row r="4021" customFormat="false" ht="15" hidden="false" customHeight="false" outlineLevel="0" collapsed="false">
      <c r="A4021" s="15" t="s">
        <v>5203</v>
      </c>
      <c r="B4021" s="15" t="s">
        <v>5205</v>
      </c>
      <c r="C4021" s="15" t="s">
        <v>5997</v>
      </c>
      <c r="D4021" s="34" t="n">
        <f aca="false">Activities!M1633</f>
        <v>2</v>
      </c>
      <c r="E4021" s="15" t="s">
        <v>5998</v>
      </c>
    </row>
    <row r="4022" customFormat="false" ht="15" hidden="false" customHeight="false" outlineLevel="0" collapsed="false">
      <c r="A4022" s="15" t="s">
        <v>5203</v>
      </c>
      <c r="B4022" s="15" t="s">
        <v>5205</v>
      </c>
      <c r="C4022" s="15" t="s">
        <v>5999</v>
      </c>
      <c r="D4022" s="34" t="n">
        <f aca="false">Activities!N1633</f>
        <v>2</v>
      </c>
      <c r="E4022" s="15" t="s">
        <v>5998</v>
      </c>
    </row>
    <row r="4023" customFormat="false" ht="15" hidden="false" customHeight="false" outlineLevel="0" collapsed="false">
      <c r="A4023" s="15" t="s">
        <v>5206</v>
      </c>
      <c r="B4023" s="15" t="s">
        <v>5208</v>
      </c>
      <c r="C4023" s="15" t="s">
        <v>5995</v>
      </c>
      <c r="D4023" s="34" t="n">
        <v>0</v>
      </c>
      <c r="E4023" s="15" t="s">
        <v>5996</v>
      </c>
    </row>
    <row r="4024" customFormat="false" ht="15" hidden="false" customHeight="false" outlineLevel="0" collapsed="false">
      <c r="A4024" s="15" t="s">
        <v>5194</v>
      </c>
      <c r="B4024" s="15" t="s">
        <v>5208</v>
      </c>
      <c r="C4024" s="15" t="s">
        <v>5997</v>
      </c>
      <c r="D4024" s="34" t="n">
        <v>0</v>
      </c>
      <c r="E4024" s="15" t="s">
        <v>6002</v>
      </c>
    </row>
    <row r="4025" customFormat="false" ht="15" hidden="false" customHeight="false" outlineLevel="0" collapsed="false">
      <c r="A4025" s="15" t="s">
        <v>5208</v>
      </c>
      <c r="B4025" s="15" t="s">
        <v>5210</v>
      </c>
      <c r="C4025" s="15" t="s">
        <v>5997</v>
      </c>
      <c r="D4025" s="34" t="n">
        <f aca="false">Activities!M1636</f>
        <v>1</v>
      </c>
      <c r="E4025" s="15" t="s">
        <v>5998</v>
      </c>
    </row>
    <row r="4026" customFormat="false" ht="15" hidden="false" customHeight="false" outlineLevel="0" collapsed="false">
      <c r="A4026" s="15" t="s">
        <v>5208</v>
      </c>
      <c r="B4026" s="15" t="s">
        <v>5210</v>
      </c>
      <c r="C4026" s="15" t="s">
        <v>5999</v>
      </c>
      <c r="D4026" s="34" t="n">
        <f aca="false">Activities!N1636</f>
        <v>2</v>
      </c>
      <c r="E4026" s="15" t="s">
        <v>5998</v>
      </c>
    </row>
    <row r="4027" customFormat="false" ht="15" hidden="false" customHeight="false" outlineLevel="0" collapsed="false">
      <c r="A4027" s="15" t="s">
        <v>5194</v>
      </c>
      <c r="B4027" s="15" t="s">
        <v>5210</v>
      </c>
      <c r="C4027" s="15" t="s">
        <v>5995</v>
      </c>
      <c r="D4027" s="34" t="n">
        <v>0</v>
      </c>
      <c r="E4027" s="15" t="s">
        <v>6013</v>
      </c>
    </row>
    <row r="4028" customFormat="false" ht="15" hidden="false" customHeight="false" outlineLevel="0" collapsed="false">
      <c r="A4028" s="15" t="s">
        <v>5210</v>
      </c>
      <c r="B4028" s="15" t="s">
        <v>5211</v>
      </c>
      <c r="C4028" s="15" t="s">
        <v>5997</v>
      </c>
      <c r="D4028" s="34" t="n">
        <f aca="false">Activities!M1637</f>
        <v>1</v>
      </c>
      <c r="E4028" s="15" t="s">
        <v>5998</v>
      </c>
    </row>
    <row r="4029" customFormat="false" ht="15" hidden="false" customHeight="false" outlineLevel="0" collapsed="false">
      <c r="A4029" s="15" t="s">
        <v>5210</v>
      </c>
      <c r="B4029" s="15" t="s">
        <v>5211</v>
      </c>
      <c r="C4029" s="15" t="s">
        <v>5999</v>
      </c>
      <c r="D4029" s="34" t="n">
        <f aca="false">Activities!N1637</f>
        <v>2</v>
      </c>
      <c r="E4029" s="15" t="s">
        <v>5998</v>
      </c>
    </row>
    <row r="4030" customFormat="false" ht="15" hidden="false" customHeight="false" outlineLevel="0" collapsed="false">
      <c r="A4030" s="15" t="s">
        <v>5195</v>
      </c>
      <c r="B4030" s="15" t="s">
        <v>5211</v>
      </c>
      <c r="C4030" s="15" t="s">
        <v>5995</v>
      </c>
      <c r="D4030" s="34" t="n">
        <v>0</v>
      </c>
      <c r="E4030" s="15" t="s">
        <v>6013</v>
      </c>
    </row>
    <row r="4031" customFormat="false" ht="15" hidden="false" customHeight="false" outlineLevel="0" collapsed="false">
      <c r="A4031" s="15" t="s">
        <v>5211</v>
      </c>
      <c r="B4031" s="15" t="s">
        <v>5212</v>
      </c>
      <c r="C4031" s="15" t="s">
        <v>5997</v>
      </c>
      <c r="D4031" s="34" t="n">
        <f aca="false">Activities!M1638</f>
        <v>1</v>
      </c>
      <c r="E4031" s="15" t="s">
        <v>5998</v>
      </c>
    </row>
    <row r="4032" customFormat="false" ht="15" hidden="false" customHeight="false" outlineLevel="0" collapsed="false">
      <c r="A4032" s="15" t="s">
        <v>5211</v>
      </c>
      <c r="B4032" s="15" t="s">
        <v>5212</v>
      </c>
      <c r="C4032" s="15" t="s">
        <v>5999</v>
      </c>
      <c r="D4032" s="34" t="n">
        <f aca="false">Activities!N1638</f>
        <v>2</v>
      </c>
      <c r="E4032" s="15" t="s">
        <v>5998</v>
      </c>
    </row>
    <row r="4033" customFormat="false" ht="15" hidden="false" customHeight="false" outlineLevel="0" collapsed="false">
      <c r="A4033" s="15" t="s">
        <v>5198</v>
      </c>
      <c r="B4033" s="15" t="s">
        <v>5212</v>
      </c>
      <c r="C4033" s="15" t="s">
        <v>5995</v>
      </c>
      <c r="D4033" s="34" t="n">
        <f aca="false">-Activities!K1638</f>
        <v>-10</v>
      </c>
      <c r="E4033" s="15" t="s">
        <v>6004</v>
      </c>
    </row>
    <row r="4034" customFormat="false" ht="15" hidden="false" customHeight="false" outlineLevel="0" collapsed="false">
      <c r="A4034" s="15" t="s">
        <v>5212</v>
      </c>
      <c r="B4034" s="15" t="s">
        <v>5214</v>
      </c>
      <c r="C4034" s="15" t="s">
        <v>5997</v>
      </c>
      <c r="D4034" s="34" t="n">
        <f aca="false">Activities!M1639</f>
        <v>10</v>
      </c>
      <c r="E4034" s="15" t="s">
        <v>5998</v>
      </c>
    </row>
    <row r="4035" customFormat="false" ht="15" hidden="false" customHeight="false" outlineLevel="0" collapsed="false">
      <c r="A4035" s="15" t="s">
        <v>5212</v>
      </c>
      <c r="B4035" s="15" t="s">
        <v>5214</v>
      </c>
      <c r="C4035" s="15" t="s">
        <v>5999</v>
      </c>
      <c r="D4035" s="34" t="n">
        <f aca="false">Activities!N1639</f>
        <v>2</v>
      </c>
      <c r="E4035" s="15" t="s">
        <v>5998</v>
      </c>
    </row>
    <row r="4036" customFormat="false" ht="15" hidden="false" customHeight="false" outlineLevel="0" collapsed="false">
      <c r="A4036" s="15" t="s">
        <v>5198</v>
      </c>
      <c r="B4036" s="15" t="s">
        <v>5214</v>
      </c>
      <c r="C4036" s="15" t="s">
        <v>5995</v>
      </c>
      <c r="D4036" s="34" t="n">
        <v>0</v>
      </c>
      <c r="E4036" s="15" t="s">
        <v>6013</v>
      </c>
    </row>
    <row r="4037" customFormat="false" ht="15" hidden="false" customHeight="false" outlineLevel="0" collapsed="false">
      <c r="A4037" s="15" t="s">
        <v>5198</v>
      </c>
      <c r="B4037" s="15" t="s">
        <v>5214</v>
      </c>
      <c r="C4037" s="15" t="s">
        <v>5997</v>
      </c>
      <c r="D4037" s="34" t="n">
        <v>0</v>
      </c>
      <c r="E4037" s="15" t="s">
        <v>6006</v>
      </c>
    </row>
    <row r="4038" customFormat="false" ht="15" hidden="false" customHeight="false" outlineLevel="0" collapsed="false">
      <c r="A4038" s="15" t="s">
        <v>5183</v>
      </c>
      <c r="B4038" s="15" t="s">
        <v>5214</v>
      </c>
      <c r="C4038" s="15" t="s">
        <v>5997</v>
      </c>
      <c r="D4038" s="34" t="n">
        <v>0</v>
      </c>
      <c r="E4038" s="15" t="s">
        <v>6006</v>
      </c>
    </row>
    <row r="4039" customFormat="false" ht="15" hidden="false" customHeight="false" outlineLevel="0" collapsed="false">
      <c r="A4039" s="15" t="s">
        <v>5214</v>
      </c>
      <c r="B4039" s="15" t="s">
        <v>5216</v>
      </c>
      <c r="C4039" s="15" t="s">
        <v>5997</v>
      </c>
      <c r="D4039" s="34" t="n">
        <f aca="false">Activities!M1640</f>
        <v>1</v>
      </c>
      <c r="E4039" s="15" t="s">
        <v>5998</v>
      </c>
    </row>
    <row r="4040" customFormat="false" ht="15" hidden="false" customHeight="false" outlineLevel="0" collapsed="false">
      <c r="A4040" s="15" t="s">
        <v>5214</v>
      </c>
      <c r="B4040" s="15" t="s">
        <v>5216</v>
      </c>
      <c r="C4040" s="15" t="s">
        <v>5999</v>
      </c>
      <c r="D4040" s="34" t="n">
        <f aca="false">Activities!N1640</f>
        <v>2</v>
      </c>
      <c r="E4040" s="15" t="s">
        <v>5998</v>
      </c>
    </row>
    <row r="4041" customFormat="false" ht="15" hidden="false" customHeight="false" outlineLevel="0" collapsed="false">
      <c r="A4041" s="15" t="s">
        <v>5200</v>
      </c>
      <c r="B4041" s="15" t="s">
        <v>5216</v>
      </c>
      <c r="C4041" s="15" t="s">
        <v>5995</v>
      </c>
      <c r="D4041" s="34" t="n">
        <v>0</v>
      </c>
      <c r="E4041" s="15" t="s">
        <v>6013</v>
      </c>
    </row>
    <row r="4042" customFormat="false" ht="15" hidden="false" customHeight="false" outlineLevel="0" collapsed="false">
      <c r="A4042" s="15" t="s">
        <v>5216</v>
      </c>
      <c r="B4042" s="15" t="s">
        <v>5217</v>
      </c>
      <c r="C4042" s="15" t="s">
        <v>5997</v>
      </c>
      <c r="D4042" s="34" t="n">
        <f aca="false">Activities!M1641</f>
        <v>2</v>
      </c>
      <c r="E4042" s="15" t="s">
        <v>5998</v>
      </c>
    </row>
    <row r="4043" customFormat="false" ht="15" hidden="false" customHeight="false" outlineLevel="0" collapsed="false">
      <c r="A4043" s="15" t="s">
        <v>5216</v>
      </c>
      <c r="B4043" s="15" t="s">
        <v>5217</v>
      </c>
      <c r="C4043" s="15" t="s">
        <v>5999</v>
      </c>
      <c r="D4043" s="34" t="n">
        <f aca="false">Activities!N1641</f>
        <v>2</v>
      </c>
      <c r="E4043" s="15" t="s">
        <v>5998</v>
      </c>
    </row>
    <row r="4044" customFormat="false" ht="15" hidden="false" customHeight="false" outlineLevel="0" collapsed="false">
      <c r="A4044" s="15" t="s">
        <v>5201</v>
      </c>
      <c r="B4044" s="15" t="s">
        <v>5217</v>
      </c>
      <c r="C4044" s="15" t="s">
        <v>5995</v>
      </c>
      <c r="D4044" s="34" t="n">
        <v>0</v>
      </c>
      <c r="E4044" s="15" t="s">
        <v>6013</v>
      </c>
    </row>
    <row r="4045" customFormat="false" ht="15" hidden="false" customHeight="false" outlineLevel="0" collapsed="false">
      <c r="A4045" s="15" t="s">
        <v>5217</v>
      </c>
      <c r="B4045" s="15" t="s">
        <v>5218</v>
      </c>
      <c r="C4045" s="15" t="s">
        <v>5997</v>
      </c>
      <c r="D4045" s="34" t="n">
        <f aca="false">Activities!M1642</f>
        <v>1</v>
      </c>
      <c r="E4045" s="15" t="s">
        <v>5998</v>
      </c>
    </row>
    <row r="4046" customFormat="false" ht="15" hidden="false" customHeight="false" outlineLevel="0" collapsed="false">
      <c r="A4046" s="15" t="s">
        <v>5217</v>
      </c>
      <c r="B4046" s="15" t="s">
        <v>5218</v>
      </c>
      <c r="C4046" s="15" t="s">
        <v>5999</v>
      </c>
      <c r="D4046" s="34" t="n">
        <f aca="false">Activities!N1642</f>
        <v>2</v>
      </c>
      <c r="E4046" s="15" t="s">
        <v>5998</v>
      </c>
    </row>
    <row r="4047" customFormat="false" ht="15" hidden="false" customHeight="false" outlineLevel="0" collapsed="false">
      <c r="A4047" s="15" t="s">
        <v>5218</v>
      </c>
      <c r="B4047" s="15" t="s">
        <v>5219</v>
      </c>
      <c r="C4047" s="15" t="s">
        <v>5997</v>
      </c>
      <c r="D4047" s="34" t="n">
        <f aca="false">Activities!M1643</f>
        <v>2</v>
      </c>
      <c r="E4047" s="15" t="s">
        <v>5998</v>
      </c>
    </row>
    <row r="4048" customFormat="false" ht="15" hidden="false" customHeight="false" outlineLevel="0" collapsed="false">
      <c r="A4048" s="15" t="s">
        <v>5218</v>
      </c>
      <c r="B4048" s="15" t="s">
        <v>5219</v>
      </c>
      <c r="C4048" s="15" t="s">
        <v>5999</v>
      </c>
      <c r="D4048" s="34" t="n">
        <f aca="false">Activities!N1643</f>
        <v>2</v>
      </c>
      <c r="E4048" s="15" t="s">
        <v>5998</v>
      </c>
    </row>
    <row r="4049" customFormat="false" ht="15" hidden="false" customHeight="false" outlineLevel="0" collapsed="false">
      <c r="A4049" s="15" t="s">
        <v>5203</v>
      </c>
      <c r="B4049" s="15" t="s">
        <v>5219</v>
      </c>
      <c r="C4049" s="15" t="s">
        <v>5995</v>
      </c>
      <c r="D4049" s="34" t="n">
        <v>0</v>
      </c>
      <c r="E4049" s="15" t="s">
        <v>6013</v>
      </c>
    </row>
    <row r="4050" customFormat="false" ht="15" hidden="false" customHeight="false" outlineLevel="0" collapsed="false">
      <c r="A4050" s="15" t="s">
        <v>5201</v>
      </c>
      <c r="B4050" s="15" t="s">
        <v>5219</v>
      </c>
      <c r="C4050" s="15" t="s">
        <v>5995</v>
      </c>
      <c r="D4050" s="34" t="n">
        <v>0</v>
      </c>
      <c r="E4050" s="15" t="s">
        <v>6005</v>
      </c>
    </row>
    <row r="4051" customFormat="false" ht="15" hidden="false" customHeight="false" outlineLevel="0" collapsed="false">
      <c r="A4051" s="15" t="s">
        <v>5185</v>
      </c>
      <c r="B4051" s="15" t="s">
        <v>5219</v>
      </c>
      <c r="C4051" s="15" t="s">
        <v>5995</v>
      </c>
      <c r="D4051" s="34" t="n">
        <v>0</v>
      </c>
      <c r="E4051" s="15" t="s">
        <v>6005</v>
      </c>
    </row>
    <row r="4052" customFormat="false" ht="15" hidden="false" customHeight="false" outlineLevel="0" collapsed="false">
      <c r="A4052" s="15" t="s">
        <v>5219</v>
      </c>
      <c r="B4052" s="15" t="s">
        <v>5221</v>
      </c>
      <c r="C4052" s="15" t="s">
        <v>5997</v>
      </c>
      <c r="D4052" s="34" t="n">
        <f aca="false">Activities!M1644</f>
        <v>1</v>
      </c>
      <c r="E4052" s="15" t="s">
        <v>5998</v>
      </c>
    </row>
    <row r="4053" customFormat="false" ht="15" hidden="false" customHeight="false" outlineLevel="0" collapsed="false">
      <c r="A4053" s="15" t="s">
        <v>5219</v>
      </c>
      <c r="B4053" s="15" t="s">
        <v>5221</v>
      </c>
      <c r="C4053" s="15" t="s">
        <v>5999</v>
      </c>
      <c r="D4053" s="34" t="n">
        <f aca="false">Activities!N1644</f>
        <v>2</v>
      </c>
      <c r="E4053" s="15" t="s">
        <v>5998</v>
      </c>
    </row>
    <row r="4054" customFormat="false" ht="15" hidden="false" customHeight="false" outlineLevel="0" collapsed="false">
      <c r="A4054" s="15" t="s">
        <v>5222</v>
      </c>
      <c r="B4054" s="15" t="s">
        <v>5224</v>
      </c>
      <c r="C4054" s="15" t="s">
        <v>5995</v>
      </c>
      <c r="D4054" s="34" t="n">
        <v>0</v>
      </c>
      <c r="E4054" s="15" t="s">
        <v>5996</v>
      </c>
    </row>
    <row r="4055" customFormat="false" ht="15" hidden="false" customHeight="false" outlineLevel="0" collapsed="false">
      <c r="A4055" s="15" t="s">
        <v>5210</v>
      </c>
      <c r="B4055" s="15" t="s">
        <v>5224</v>
      </c>
      <c r="C4055" s="15" t="s">
        <v>5997</v>
      </c>
      <c r="D4055" s="34" t="n">
        <v>0</v>
      </c>
      <c r="E4055" s="15" t="s">
        <v>6002</v>
      </c>
    </row>
    <row r="4056" customFormat="false" ht="15" hidden="false" customHeight="false" outlineLevel="0" collapsed="false">
      <c r="A4056" s="15" t="s">
        <v>5224</v>
      </c>
      <c r="B4056" s="15" t="s">
        <v>5226</v>
      </c>
      <c r="C4056" s="15" t="s">
        <v>5997</v>
      </c>
      <c r="D4056" s="34" t="n">
        <f aca="false">Activities!M1647</f>
        <v>1</v>
      </c>
      <c r="E4056" s="15" t="s">
        <v>5998</v>
      </c>
    </row>
    <row r="4057" customFormat="false" ht="15" hidden="false" customHeight="false" outlineLevel="0" collapsed="false">
      <c r="A4057" s="15" t="s">
        <v>5224</v>
      </c>
      <c r="B4057" s="15" t="s">
        <v>5226</v>
      </c>
      <c r="C4057" s="15" t="s">
        <v>5999</v>
      </c>
      <c r="D4057" s="34" t="n">
        <f aca="false">Activities!N1647</f>
        <v>2</v>
      </c>
      <c r="E4057" s="15" t="s">
        <v>5998</v>
      </c>
    </row>
    <row r="4058" customFormat="false" ht="15" hidden="false" customHeight="false" outlineLevel="0" collapsed="false">
      <c r="A4058" s="15" t="s">
        <v>5210</v>
      </c>
      <c r="B4058" s="15" t="s">
        <v>5226</v>
      </c>
      <c r="C4058" s="15" t="s">
        <v>5995</v>
      </c>
      <c r="D4058" s="34" t="n">
        <v>0</v>
      </c>
      <c r="E4058" s="15" t="s">
        <v>6013</v>
      </c>
    </row>
    <row r="4059" customFormat="false" ht="15" hidden="false" customHeight="false" outlineLevel="0" collapsed="false">
      <c r="A4059" s="15" t="s">
        <v>5226</v>
      </c>
      <c r="B4059" s="15" t="s">
        <v>5227</v>
      </c>
      <c r="C4059" s="15" t="s">
        <v>5997</v>
      </c>
      <c r="D4059" s="34" t="n">
        <f aca="false">Activities!M1648</f>
        <v>1</v>
      </c>
      <c r="E4059" s="15" t="s">
        <v>5998</v>
      </c>
    </row>
    <row r="4060" customFormat="false" ht="15" hidden="false" customHeight="false" outlineLevel="0" collapsed="false">
      <c r="A4060" s="15" t="s">
        <v>5226</v>
      </c>
      <c r="B4060" s="15" t="s">
        <v>5227</v>
      </c>
      <c r="C4060" s="15" t="s">
        <v>5999</v>
      </c>
      <c r="D4060" s="34" t="n">
        <f aca="false">Activities!N1648</f>
        <v>2</v>
      </c>
      <c r="E4060" s="15" t="s">
        <v>5998</v>
      </c>
    </row>
    <row r="4061" customFormat="false" ht="15" hidden="false" customHeight="false" outlineLevel="0" collapsed="false">
      <c r="A4061" s="15" t="s">
        <v>5211</v>
      </c>
      <c r="B4061" s="15" t="s">
        <v>5227</v>
      </c>
      <c r="C4061" s="15" t="s">
        <v>5995</v>
      </c>
      <c r="D4061" s="34" t="n">
        <v>0</v>
      </c>
      <c r="E4061" s="15" t="s">
        <v>6013</v>
      </c>
    </row>
    <row r="4062" customFormat="false" ht="15" hidden="false" customHeight="false" outlineLevel="0" collapsed="false">
      <c r="A4062" s="15" t="s">
        <v>5227</v>
      </c>
      <c r="B4062" s="15" t="s">
        <v>5228</v>
      </c>
      <c r="C4062" s="15" t="s">
        <v>5997</v>
      </c>
      <c r="D4062" s="34" t="n">
        <f aca="false">Activities!M1649</f>
        <v>1</v>
      </c>
      <c r="E4062" s="15" t="s">
        <v>5998</v>
      </c>
    </row>
    <row r="4063" customFormat="false" ht="15" hidden="false" customHeight="false" outlineLevel="0" collapsed="false">
      <c r="A4063" s="15" t="s">
        <v>5227</v>
      </c>
      <c r="B4063" s="15" t="s">
        <v>5228</v>
      </c>
      <c r="C4063" s="15" t="s">
        <v>5999</v>
      </c>
      <c r="D4063" s="34" t="n">
        <f aca="false">Activities!N1649</f>
        <v>2</v>
      </c>
      <c r="E4063" s="15" t="s">
        <v>5998</v>
      </c>
    </row>
    <row r="4064" customFormat="false" ht="15" hidden="false" customHeight="false" outlineLevel="0" collapsed="false">
      <c r="A4064" s="15" t="s">
        <v>5214</v>
      </c>
      <c r="B4064" s="15" t="s">
        <v>5228</v>
      </c>
      <c r="C4064" s="15" t="s">
        <v>5995</v>
      </c>
      <c r="D4064" s="34" t="n">
        <f aca="false">-Activities!K1649</f>
        <v>-10</v>
      </c>
      <c r="E4064" s="15" t="s">
        <v>6004</v>
      </c>
    </row>
    <row r="4065" customFormat="false" ht="15" hidden="false" customHeight="false" outlineLevel="0" collapsed="false">
      <c r="A4065" s="15" t="s">
        <v>5228</v>
      </c>
      <c r="B4065" s="15" t="s">
        <v>5230</v>
      </c>
      <c r="C4065" s="15" t="s">
        <v>5997</v>
      </c>
      <c r="D4065" s="34" t="n">
        <f aca="false">Activities!M1650</f>
        <v>10</v>
      </c>
      <c r="E4065" s="15" t="s">
        <v>5998</v>
      </c>
    </row>
    <row r="4066" customFormat="false" ht="15" hidden="false" customHeight="false" outlineLevel="0" collapsed="false">
      <c r="A4066" s="15" t="s">
        <v>5228</v>
      </c>
      <c r="B4066" s="15" t="s">
        <v>5230</v>
      </c>
      <c r="C4066" s="15" t="s">
        <v>5999</v>
      </c>
      <c r="D4066" s="34" t="n">
        <f aca="false">Activities!N1650</f>
        <v>2</v>
      </c>
      <c r="E4066" s="15" t="s">
        <v>5998</v>
      </c>
    </row>
    <row r="4067" customFormat="false" ht="15" hidden="false" customHeight="false" outlineLevel="0" collapsed="false">
      <c r="A4067" s="15" t="s">
        <v>5214</v>
      </c>
      <c r="B4067" s="15" t="s">
        <v>5230</v>
      </c>
      <c r="C4067" s="15" t="s">
        <v>5995</v>
      </c>
      <c r="D4067" s="34" t="n">
        <v>0</v>
      </c>
      <c r="E4067" s="15" t="s">
        <v>6013</v>
      </c>
    </row>
    <row r="4068" customFormat="false" ht="15" hidden="false" customHeight="false" outlineLevel="0" collapsed="false">
      <c r="A4068" s="15" t="s">
        <v>5198</v>
      </c>
      <c r="B4068" s="15" t="s">
        <v>5230</v>
      </c>
      <c r="C4068" s="15" t="s">
        <v>5997</v>
      </c>
      <c r="D4068" s="34" t="n">
        <v>0</v>
      </c>
      <c r="E4068" s="15" t="s">
        <v>6006</v>
      </c>
    </row>
    <row r="4069" customFormat="false" ht="15" hidden="false" customHeight="false" outlineLevel="0" collapsed="false">
      <c r="A4069" s="15" t="s">
        <v>5183</v>
      </c>
      <c r="B4069" s="15" t="s">
        <v>5230</v>
      </c>
      <c r="C4069" s="15" t="s">
        <v>5997</v>
      </c>
      <c r="D4069" s="34" t="n">
        <v>0</v>
      </c>
      <c r="E4069" s="15" t="s">
        <v>6006</v>
      </c>
    </row>
    <row r="4070" customFormat="false" ht="15" hidden="false" customHeight="false" outlineLevel="0" collapsed="false">
      <c r="A4070" s="15" t="s">
        <v>5230</v>
      </c>
      <c r="B4070" s="15" t="s">
        <v>5231</v>
      </c>
      <c r="C4070" s="15" t="s">
        <v>5997</v>
      </c>
      <c r="D4070" s="34" t="n">
        <f aca="false">Activities!M1651</f>
        <v>1</v>
      </c>
      <c r="E4070" s="15" t="s">
        <v>5998</v>
      </c>
    </row>
    <row r="4071" customFormat="false" ht="15" hidden="false" customHeight="false" outlineLevel="0" collapsed="false">
      <c r="A4071" s="15" t="s">
        <v>5230</v>
      </c>
      <c r="B4071" s="15" t="s">
        <v>5231</v>
      </c>
      <c r="C4071" s="15" t="s">
        <v>5999</v>
      </c>
      <c r="D4071" s="34" t="n">
        <f aca="false">Activities!N1651</f>
        <v>2</v>
      </c>
      <c r="E4071" s="15" t="s">
        <v>5998</v>
      </c>
    </row>
    <row r="4072" customFormat="false" ht="15" hidden="false" customHeight="false" outlineLevel="0" collapsed="false">
      <c r="A4072" s="15" t="s">
        <v>5216</v>
      </c>
      <c r="B4072" s="15" t="s">
        <v>5231</v>
      </c>
      <c r="C4072" s="15" t="s">
        <v>5995</v>
      </c>
      <c r="D4072" s="34" t="n">
        <v>0</v>
      </c>
      <c r="E4072" s="15" t="s">
        <v>6013</v>
      </c>
    </row>
    <row r="4073" customFormat="false" ht="15" hidden="false" customHeight="false" outlineLevel="0" collapsed="false">
      <c r="A4073" s="15" t="s">
        <v>5231</v>
      </c>
      <c r="B4073" s="15" t="s">
        <v>5232</v>
      </c>
      <c r="C4073" s="15" t="s">
        <v>5997</v>
      </c>
      <c r="D4073" s="34" t="n">
        <f aca="false">Activities!M1652</f>
        <v>2</v>
      </c>
      <c r="E4073" s="15" t="s">
        <v>5998</v>
      </c>
    </row>
    <row r="4074" customFormat="false" ht="15" hidden="false" customHeight="false" outlineLevel="0" collapsed="false">
      <c r="A4074" s="15" t="s">
        <v>5231</v>
      </c>
      <c r="B4074" s="15" t="s">
        <v>5232</v>
      </c>
      <c r="C4074" s="15" t="s">
        <v>5999</v>
      </c>
      <c r="D4074" s="34" t="n">
        <f aca="false">Activities!N1652</f>
        <v>2</v>
      </c>
      <c r="E4074" s="15" t="s">
        <v>5998</v>
      </c>
    </row>
    <row r="4075" customFormat="false" ht="15" hidden="false" customHeight="false" outlineLevel="0" collapsed="false">
      <c r="A4075" s="15" t="s">
        <v>5217</v>
      </c>
      <c r="B4075" s="15" t="s">
        <v>5232</v>
      </c>
      <c r="C4075" s="15" t="s">
        <v>5995</v>
      </c>
      <c r="D4075" s="34" t="n">
        <v>0</v>
      </c>
      <c r="E4075" s="15" t="s">
        <v>6013</v>
      </c>
    </row>
    <row r="4076" customFormat="false" ht="15" hidden="false" customHeight="false" outlineLevel="0" collapsed="false">
      <c r="A4076" s="15" t="s">
        <v>5232</v>
      </c>
      <c r="B4076" s="15" t="s">
        <v>5233</v>
      </c>
      <c r="C4076" s="15" t="s">
        <v>5997</v>
      </c>
      <c r="D4076" s="34" t="n">
        <f aca="false">Activities!M1653</f>
        <v>1</v>
      </c>
      <c r="E4076" s="15" t="s">
        <v>5998</v>
      </c>
    </row>
    <row r="4077" customFormat="false" ht="15" hidden="false" customHeight="false" outlineLevel="0" collapsed="false">
      <c r="A4077" s="15" t="s">
        <v>5232</v>
      </c>
      <c r="B4077" s="15" t="s">
        <v>5233</v>
      </c>
      <c r="C4077" s="15" t="s">
        <v>5999</v>
      </c>
      <c r="D4077" s="34" t="n">
        <f aca="false">Activities!N1653</f>
        <v>2</v>
      </c>
      <c r="E4077" s="15" t="s">
        <v>5998</v>
      </c>
    </row>
    <row r="4078" customFormat="false" ht="15" hidden="false" customHeight="false" outlineLevel="0" collapsed="false">
      <c r="A4078" s="15" t="s">
        <v>5233</v>
      </c>
      <c r="B4078" s="15" t="s">
        <v>5234</v>
      </c>
      <c r="C4078" s="15" t="s">
        <v>5997</v>
      </c>
      <c r="D4078" s="34" t="n">
        <f aca="false">Activities!M1654</f>
        <v>2</v>
      </c>
      <c r="E4078" s="15" t="s">
        <v>5998</v>
      </c>
    </row>
    <row r="4079" customFormat="false" ht="15" hidden="false" customHeight="false" outlineLevel="0" collapsed="false">
      <c r="A4079" s="15" t="s">
        <v>5233</v>
      </c>
      <c r="B4079" s="15" t="s">
        <v>5234</v>
      </c>
      <c r="C4079" s="15" t="s">
        <v>5999</v>
      </c>
      <c r="D4079" s="34" t="n">
        <f aca="false">Activities!N1654</f>
        <v>2</v>
      </c>
      <c r="E4079" s="15" t="s">
        <v>5998</v>
      </c>
    </row>
    <row r="4080" customFormat="false" ht="15" hidden="false" customHeight="false" outlineLevel="0" collapsed="false">
      <c r="A4080" s="15" t="s">
        <v>5219</v>
      </c>
      <c r="B4080" s="15" t="s">
        <v>5234</v>
      </c>
      <c r="C4080" s="15" t="s">
        <v>5995</v>
      </c>
      <c r="D4080" s="34" t="n">
        <v>0</v>
      </c>
      <c r="E4080" s="15" t="s">
        <v>6013</v>
      </c>
    </row>
    <row r="4081" customFormat="false" ht="15" hidden="false" customHeight="false" outlineLevel="0" collapsed="false">
      <c r="A4081" s="15" t="s">
        <v>5201</v>
      </c>
      <c r="B4081" s="15" t="s">
        <v>5234</v>
      </c>
      <c r="C4081" s="15" t="s">
        <v>5995</v>
      </c>
      <c r="D4081" s="34" t="n">
        <v>0</v>
      </c>
      <c r="E4081" s="15" t="s">
        <v>6005</v>
      </c>
    </row>
    <row r="4082" customFormat="false" ht="15" hidden="false" customHeight="false" outlineLevel="0" collapsed="false">
      <c r="A4082" s="15" t="s">
        <v>5185</v>
      </c>
      <c r="B4082" s="15" t="s">
        <v>5234</v>
      </c>
      <c r="C4082" s="15" t="s">
        <v>5995</v>
      </c>
      <c r="D4082" s="34" t="n">
        <v>0</v>
      </c>
      <c r="E4082" s="15" t="s">
        <v>6005</v>
      </c>
    </row>
    <row r="4083" customFormat="false" ht="15" hidden="false" customHeight="false" outlineLevel="0" collapsed="false">
      <c r="A4083" s="15" t="s">
        <v>5234</v>
      </c>
      <c r="B4083" s="15" t="s">
        <v>5235</v>
      </c>
      <c r="C4083" s="15" t="s">
        <v>5997</v>
      </c>
      <c r="D4083" s="34" t="n">
        <f aca="false">Activities!M1655</f>
        <v>1</v>
      </c>
      <c r="E4083" s="15" t="s">
        <v>5998</v>
      </c>
    </row>
    <row r="4084" customFormat="false" ht="15" hidden="false" customHeight="false" outlineLevel="0" collapsed="false">
      <c r="A4084" s="15" t="s">
        <v>5234</v>
      </c>
      <c r="B4084" s="15" t="s">
        <v>5235</v>
      </c>
      <c r="C4084" s="15" t="s">
        <v>5999</v>
      </c>
      <c r="D4084" s="34" t="n">
        <f aca="false">Activities!N1655</f>
        <v>2</v>
      </c>
      <c r="E4084" s="15" t="s">
        <v>5998</v>
      </c>
    </row>
    <row r="4085" customFormat="false" ht="15" hidden="false" customHeight="false" outlineLevel="0" collapsed="false">
      <c r="A4085" s="15" t="s">
        <v>5236</v>
      </c>
      <c r="B4085" s="15" t="s">
        <v>5238</v>
      </c>
      <c r="C4085" s="15" t="s">
        <v>5995</v>
      </c>
      <c r="D4085" s="34" t="n">
        <v>0</v>
      </c>
      <c r="E4085" s="15" t="s">
        <v>5996</v>
      </c>
    </row>
    <row r="4086" customFormat="false" ht="15" hidden="false" customHeight="false" outlineLevel="0" collapsed="false">
      <c r="A4086" s="15" t="s">
        <v>5226</v>
      </c>
      <c r="B4086" s="15" t="s">
        <v>5238</v>
      </c>
      <c r="C4086" s="15" t="s">
        <v>5997</v>
      </c>
      <c r="D4086" s="34" t="n">
        <v>0</v>
      </c>
      <c r="E4086" s="15" t="s">
        <v>6000</v>
      </c>
    </row>
    <row r="4087" customFormat="false" ht="15" hidden="false" customHeight="false" outlineLevel="0" collapsed="false">
      <c r="A4087" s="15" t="s">
        <v>5238</v>
      </c>
      <c r="B4087" s="15" t="s">
        <v>5240</v>
      </c>
      <c r="C4087" s="15" t="s">
        <v>5997</v>
      </c>
      <c r="D4087" s="34" t="n">
        <f aca="false">Activities!M1658</f>
        <v>1</v>
      </c>
      <c r="E4087" s="15" t="s">
        <v>5998</v>
      </c>
    </row>
    <row r="4088" customFormat="false" ht="15" hidden="false" customHeight="false" outlineLevel="0" collapsed="false">
      <c r="A4088" s="15" t="s">
        <v>5238</v>
      </c>
      <c r="B4088" s="15" t="s">
        <v>5240</v>
      </c>
      <c r="C4088" s="15" t="s">
        <v>5999</v>
      </c>
      <c r="D4088" s="34" t="n">
        <f aca="false">Activities!N1658</f>
        <v>2</v>
      </c>
      <c r="E4088" s="15" t="s">
        <v>5998</v>
      </c>
    </row>
    <row r="4089" customFormat="false" ht="15" hidden="false" customHeight="false" outlineLevel="0" collapsed="false">
      <c r="A4089" s="15" t="s">
        <v>5240</v>
      </c>
      <c r="B4089" s="15" t="s">
        <v>5241</v>
      </c>
      <c r="C4089" s="15" t="s">
        <v>5997</v>
      </c>
      <c r="D4089" s="34" t="n">
        <f aca="false">Activities!M1659</f>
        <v>1</v>
      </c>
      <c r="E4089" s="15" t="s">
        <v>5998</v>
      </c>
    </row>
    <row r="4090" customFormat="false" ht="15" hidden="false" customHeight="false" outlineLevel="0" collapsed="false">
      <c r="A4090" s="15" t="s">
        <v>5240</v>
      </c>
      <c r="B4090" s="15" t="s">
        <v>5241</v>
      </c>
      <c r="C4090" s="15" t="s">
        <v>5999</v>
      </c>
      <c r="D4090" s="34" t="n">
        <f aca="false">Activities!N1659</f>
        <v>2</v>
      </c>
      <c r="E4090" s="15" t="s">
        <v>5998</v>
      </c>
    </row>
    <row r="4091" customFormat="false" ht="15" hidden="false" customHeight="false" outlineLevel="0" collapsed="false">
      <c r="A4091" s="15" t="s">
        <v>5241</v>
      </c>
      <c r="B4091" s="15" t="s">
        <v>5242</v>
      </c>
      <c r="C4091" s="15" t="s">
        <v>5997</v>
      </c>
      <c r="D4091" s="34" t="n">
        <f aca="false">Activities!M1660</f>
        <v>1</v>
      </c>
      <c r="E4091" s="15" t="s">
        <v>5998</v>
      </c>
    </row>
    <row r="4092" customFormat="false" ht="15" hidden="false" customHeight="false" outlineLevel="0" collapsed="false">
      <c r="A4092" s="15" t="s">
        <v>5241</v>
      </c>
      <c r="B4092" s="15" t="s">
        <v>5242</v>
      </c>
      <c r="C4092" s="15" t="s">
        <v>5999</v>
      </c>
      <c r="D4092" s="34" t="n">
        <f aca="false">Activities!N1660</f>
        <v>2</v>
      </c>
      <c r="E4092" s="15" t="s">
        <v>5998</v>
      </c>
    </row>
    <row r="4093" customFormat="false" ht="15" hidden="false" customHeight="false" outlineLevel="0" collapsed="false">
      <c r="A4093" s="15" t="s">
        <v>5242</v>
      </c>
      <c r="B4093" s="15" t="s">
        <v>5243</v>
      </c>
      <c r="C4093" s="15" t="s">
        <v>5997</v>
      </c>
      <c r="D4093" s="34" t="n">
        <f aca="false">Activities!M1661</f>
        <v>10</v>
      </c>
      <c r="E4093" s="15" t="s">
        <v>5998</v>
      </c>
    </row>
    <row r="4094" customFormat="false" ht="15" hidden="false" customHeight="false" outlineLevel="0" collapsed="false">
      <c r="A4094" s="15" t="s">
        <v>5242</v>
      </c>
      <c r="B4094" s="15" t="s">
        <v>5243</v>
      </c>
      <c r="C4094" s="15" t="s">
        <v>5999</v>
      </c>
      <c r="D4094" s="34" t="n">
        <f aca="false">Activities!N1661</f>
        <v>2</v>
      </c>
      <c r="E4094" s="15" t="s">
        <v>5998</v>
      </c>
    </row>
    <row r="4095" customFormat="false" ht="15" hidden="false" customHeight="false" outlineLevel="0" collapsed="false">
      <c r="A4095" s="15" t="s">
        <v>5198</v>
      </c>
      <c r="B4095" s="15" t="s">
        <v>5243</v>
      </c>
      <c r="C4095" s="15" t="s">
        <v>5997</v>
      </c>
      <c r="D4095" s="34" t="n">
        <v>0</v>
      </c>
      <c r="E4095" s="15" t="s">
        <v>6006</v>
      </c>
    </row>
    <row r="4096" customFormat="false" ht="15" hidden="false" customHeight="false" outlineLevel="0" collapsed="false">
      <c r="A4096" s="15" t="s">
        <v>5183</v>
      </c>
      <c r="B4096" s="15" t="s">
        <v>5243</v>
      </c>
      <c r="C4096" s="15" t="s">
        <v>5997</v>
      </c>
      <c r="D4096" s="34" t="n">
        <v>0</v>
      </c>
      <c r="E4096" s="15" t="s">
        <v>6006</v>
      </c>
    </row>
    <row r="4097" customFormat="false" ht="15" hidden="false" customHeight="false" outlineLevel="0" collapsed="false">
      <c r="A4097" s="15" t="s">
        <v>5243</v>
      </c>
      <c r="B4097" s="15" t="s">
        <v>5244</v>
      </c>
      <c r="C4097" s="15" t="s">
        <v>5997</v>
      </c>
      <c r="D4097" s="34" t="n">
        <f aca="false">Activities!M1662</f>
        <v>1</v>
      </c>
      <c r="E4097" s="15" t="s">
        <v>5998</v>
      </c>
    </row>
    <row r="4098" customFormat="false" ht="15" hidden="false" customHeight="false" outlineLevel="0" collapsed="false">
      <c r="A4098" s="15" t="s">
        <v>5243</v>
      </c>
      <c r="B4098" s="15" t="s">
        <v>5244</v>
      </c>
      <c r="C4098" s="15" t="s">
        <v>5999</v>
      </c>
      <c r="D4098" s="34" t="n">
        <f aca="false">Activities!N1662</f>
        <v>2</v>
      </c>
      <c r="E4098" s="15" t="s">
        <v>5998</v>
      </c>
    </row>
    <row r="4099" customFormat="false" ht="15" hidden="false" customHeight="false" outlineLevel="0" collapsed="false">
      <c r="A4099" s="15" t="s">
        <v>5244</v>
      </c>
      <c r="B4099" s="15" t="s">
        <v>5245</v>
      </c>
      <c r="C4099" s="15" t="s">
        <v>5997</v>
      </c>
      <c r="D4099" s="34" t="n">
        <f aca="false">Activities!M1663</f>
        <v>2</v>
      </c>
      <c r="E4099" s="15" t="s">
        <v>5998</v>
      </c>
    </row>
    <row r="4100" customFormat="false" ht="15" hidden="false" customHeight="false" outlineLevel="0" collapsed="false">
      <c r="A4100" s="15" t="s">
        <v>5244</v>
      </c>
      <c r="B4100" s="15" t="s">
        <v>5245</v>
      </c>
      <c r="C4100" s="15" t="s">
        <v>5999</v>
      </c>
      <c r="D4100" s="34" t="n">
        <f aca="false">Activities!N1663</f>
        <v>2</v>
      </c>
      <c r="E4100" s="15" t="s">
        <v>5998</v>
      </c>
    </row>
    <row r="4101" customFormat="false" ht="15" hidden="false" customHeight="false" outlineLevel="0" collapsed="false">
      <c r="A4101" s="15" t="s">
        <v>5232</v>
      </c>
      <c r="B4101" s="15" t="s">
        <v>5245</v>
      </c>
      <c r="C4101" s="15" t="s">
        <v>5995</v>
      </c>
      <c r="D4101" s="34" t="n">
        <v>0</v>
      </c>
      <c r="E4101" s="15" t="s">
        <v>6001</v>
      </c>
    </row>
    <row r="4102" customFormat="false" ht="15" hidden="false" customHeight="false" outlineLevel="0" collapsed="false">
      <c r="A4102" s="15" t="s">
        <v>5245</v>
      </c>
      <c r="B4102" s="15" t="s">
        <v>5247</v>
      </c>
      <c r="C4102" s="15" t="s">
        <v>5997</v>
      </c>
      <c r="D4102" s="34" t="n">
        <f aca="false">Activities!M1664</f>
        <v>2</v>
      </c>
      <c r="E4102" s="15" t="s">
        <v>5998</v>
      </c>
    </row>
    <row r="4103" customFormat="false" ht="15" hidden="false" customHeight="false" outlineLevel="0" collapsed="false">
      <c r="A4103" s="15" t="s">
        <v>5245</v>
      </c>
      <c r="B4103" s="15" t="s">
        <v>5247</v>
      </c>
      <c r="C4103" s="15" t="s">
        <v>5999</v>
      </c>
      <c r="D4103" s="34" t="n">
        <f aca="false">Activities!N1664</f>
        <v>2</v>
      </c>
      <c r="E4103" s="15" t="s">
        <v>5998</v>
      </c>
    </row>
    <row r="4104" customFormat="false" ht="15" hidden="false" customHeight="false" outlineLevel="0" collapsed="false">
      <c r="A4104" s="15" t="s">
        <v>5247</v>
      </c>
      <c r="B4104" s="15" t="s">
        <v>5248</v>
      </c>
      <c r="C4104" s="15" t="s">
        <v>5997</v>
      </c>
      <c r="D4104" s="34" t="n">
        <f aca="false">Activities!M1665</f>
        <v>2</v>
      </c>
      <c r="E4104" s="15" t="s">
        <v>5998</v>
      </c>
    </row>
    <row r="4105" customFormat="false" ht="15" hidden="false" customHeight="false" outlineLevel="0" collapsed="false">
      <c r="A4105" s="15" t="s">
        <v>5247</v>
      </c>
      <c r="B4105" s="15" t="s">
        <v>5248</v>
      </c>
      <c r="C4105" s="15" t="s">
        <v>5999</v>
      </c>
      <c r="D4105" s="34" t="n">
        <f aca="false">Activities!N1665</f>
        <v>2</v>
      </c>
      <c r="E4105" s="15" t="s">
        <v>5998</v>
      </c>
    </row>
    <row r="4106" customFormat="false" ht="15" hidden="false" customHeight="false" outlineLevel="0" collapsed="false">
      <c r="A4106" s="15" t="s">
        <v>5201</v>
      </c>
      <c r="B4106" s="15" t="s">
        <v>5248</v>
      </c>
      <c r="C4106" s="15" t="s">
        <v>5995</v>
      </c>
      <c r="D4106" s="34" t="n">
        <v>0</v>
      </c>
      <c r="E4106" s="15" t="s">
        <v>6005</v>
      </c>
    </row>
    <row r="4107" customFormat="false" ht="15" hidden="false" customHeight="false" outlineLevel="0" collapsed="false">
      <c r="A4107" s="15" t="s">
        <v>5185</v>
      </c>
      <c r="B4107" s="15" t="s">
        <v>5248</v>
      </c>
      <c r="C4107" s="15" t="s">
        <v>5995</v>
      </c>
      <c r="D4107" s="34" t="n">
        <v>0</v>
      </c>
      <c r="E4107" s="15" t="s">
        <v>6005</v>
      </c>
    </row>
    <row r="4108" customFormat="false" ht="15" hidden="false" customHeight="false" outlineLevel="0" collapsed="false">
      <c r="A4108" s="15" t="s">
        <v>5248</v>
      </c>
      <c r="B4108" s="15" t="s">
        <v>5249</v>
      </c>
      <c r="C4108" s="15" t="s">
        <v>5997</v>
      </c>
      <c r="D4108" s="34" t="n">
        <f aca="false">Activities!M1666</f>
        <v>1</v>
      </c>
      <c r="E4108" s="15" t="s">
        <v>5998</v>
      </c>
    </row>
    <row r="4109" customFormat="false" ht="15" hidden="false" customHeight="false" outlineLevel="0" collapsed="false">
      <c r="A4109" s="15" t="s">
        <v>5248</v>
      </c>
      <c r="B4109" s="15" t="s">
        <v>5249</v>
      </c>
      <c r="C4109" s="15" t="s">
        <v>5999</v>
      </c>
      <c r="D4109" s="34" t="n">
        <f aca="false">Activities!N1666</f>
        <v>2</v>
      </c>
      <c r="E4109" s="15" t="s">
        <v>5998</v>
      </c>
    </row>
    <row r="4110" customFormat="false" ht="15" hidden="false" customHeight="false" outlineLevel="0" collapsed="false">
      <c r="A4110" s="15" t="s">
        <v>5250</v>
      </c>
      <c r="B4110" s="15" t="s">
        <v>5252</v>
      </c>
      <c r="C4110" s="15" t="s">
        <v>5995</v>
      </c>
      <c r="D4110" s="34" t="n">
        <v>0</v>
      </c>
      <c r="E4110" s="15" t="s">
        <v>5996</v>
      </c>
    </row>
    <row r="4111" customFormat="false" ht="15" hidden="false" customHeight="false" outlineLevel="0" collapsed="false">
      <c r="A4111" s="15" t="s">
        <v>5226</v>
      </c>
      <c r="B4111" s="15" t="s">
        <v>5252</v>
      </c>
      <c r="C4111" s="15" t="s">
        <v>5997</v>
      </c>
      <c r="D4111" s="34" t="n">
        <v>0</v>
      </c>
      <c r="E4111" s="15" t="s">
        <v>6002</v>
      </c>
    </row>
    <row r="4112" customFormat="false" ht="15" hidden="false" customHeight="false" outlineLevel="0" collapsed="false">
      <c r="A4112" s="15" t="s">
        <v>5252</v>
      </c>
      <c r="B4112" s="15" t="s">
        <v>5254</v>
      </c>
      <c r="C4112" s="15" t="s">
        <v>5997</v>
      </c>
      <c r="D4112" s="34" t="n">
        <f aca="false">Activities!M1669</f>
        <v>1</v>
      </c>
      <c r="E4112" s="15" t="s">
        <v>5998</v>
      </c>
    </row>
    <row r="4113" customFormat="false" ht="15" hidden="false" customHeight="false" outlineLevel="0" collapsed="false">
      <c r="A4113" s="15" t="s">
        <v>5252</v>
      </c>
      <c r="B4113" s="15" t="s">
        <v>5254</v>
      </c>
      <c r="C4113" s="15" t="s">
        <v>5999</v>
      </c>
      <c r="D4113" s="34" t="n">
        <f aca="false">Activities!N1669</f>
        <v>2</v>
      </c>
      <c r="E4113" s="15" t="s">
        <v>5998</v>
      </c>
    </row>
    <row r="4114" customFormat="false" ht="15" hidden="false" customHeight="false" outlineLevel="0" collapsed="false">
      <c r="A4114" s="15" t="s">
        <v>5226</v>
      </c>
      <c r="B4114" s="15" t="s">
        <v>5254</v>
      </c>
      <c r="C4114" s="15" t="s">
        <v>5995</v>
      </c>
      <c r="D4114" s="34" t="n">
        <v>0</v>
      </c>
      <c r="E4114" s="15" t="s">
        <v>6013</v>
      </c>
    </row>
    <row r="4115" customFormat="false" ht="15" hidden="false" customHeight="false" outlineLevel="0" collapsed="false">
      <c r="A4115" s="15" t="s">
        <v>5254</v>
      </c>
      <c r="B4115" s="15" t="s">
        <v>5255</v>
      </c>
      <c r="C4115" s="15" t="s">
        <v>5997</v>
      </c>
      <c r="D4115" s="34" t="n">
        <f aca="false">Activities!M1670</f>
        <v>2</v>
      </c>
      <c r="E4115" s="15" t="s">
        <v>5998</v>
      </c>
    </row>
    <row r="4116" customFormat="false" ht="15" hidden="false" customHeight="false" outlineLevel="0" collapsed="false">
      <c r="A4116" s="15" t="s">
        <v>5254</v>
      </c>
      <c r="B4116" s="15" t="s">
        <v>5255</v>
      </c>
      <c r="C4116" s="15" t="s">
        <v>5999</v>
      </c>
      <c r="D4116" s="34" t="n">
        <f aca="false">Activities!N1670</f>
        <v>2</v>
      </c>
      <c r="E4116" s="15" t="s">
        <v>5998</v>
      </c>
    </row>
    <row r="4117" customFormat="false" ht="15" hidden="false" customHeight="false" outlineLevel="0" collapsed="false">
      <c r="A4117" s="15" t="s">
        <v>5227</v>
      </c>
      <c r="B4117" s="15" t="s">
        <v>5255</v>
      </c>
      <c r="C4117" s="15" t="s">
        <v>5995</v>
      </c>
      <c r="D4117" s="34" t="n">
        <v>0</v>
      </c>
      <c r="E4117" s="15" t="s">
        <v>6013</v>
      </c>
    </row>
    <row r="4118" customFormat="false" ht="15" hidden="false" customHeight="false" outlineLevel="0" collapsed="false">
      <c r="A4118" s="15" t="s">
        <v>5255</v>
      </c>
      <c r="B4118" s="15" t="s">
        <v>5256</v>
      </c>
      <c r="C4118" s="15" t="s">
        <v>5997</v>
      </c>
      <c r="D4118" s="34" t="n">
        <f aca="false">Activities!M1671</f>
        <v>2</v>
      </c>
      <c r="E4118" s="15" t="s">
        <v>5998</v>
      </c>
    </row>
    <row r="4119" customFormat="false" ht="15" hidden="false" customHeight="false" outlineLevel="0" collapsed="false">
      <c r="A4119" s="15" t="s">
        <v>5255</v>
      </c>
      <c r="B4119" s="15" t="s">
        <v>5256</v>
      </c>
      <c r="C4119" s="15" t="s">
        <v>5999</v>
      </c>
      <c r="D4119" s="34" t="n">
        <f aca="false">Activities!N1671</f>
        <v>2</v>
      </c>
      <c r="E4119" s="15" t="s">
        <v>5998</v>
      </c>
    </row>
    <row r="4120" customFormat="false" ht="15" hidden="false" customHeight="false" outlineLevel="0" collapsed="false">
      <c r="A4120" s="15" t="s">
        <v>5230</v>
      </c>
      <c r="B4120" s="15" t="s">
        <v>5256</v>
      </c>
      <c r="C4120" s="15" t="s">
        <v>5995</v>
      </c>
      <c r="D4120" s="34" t="n">
        <f aca="false">-Activities!K1671</f>
        <v>-10</v>
      </c>
      <c r="E4120" s="15" t="s">
        <v>6004</v>
      </c>
    </row>
    <row r="4121" customFormat="false" ht="15" hidden="false" customHeight="false" outlineLevel="0" collapsed="false">
      <c r="A4121" s="15" t="s">
        <v>5256</v>
      </c>
      <c r="B4121" s="15" t="s">
        <v>5258</v>
      </c>
      <c r="C4121" s="15" t="s">
        <v>5997</v>
      </c>
      <c r="D4121" s="34" t="n">
        <f aca="false">Activities!M1672</f>
        <v>10</v>
      </c>
      <c r="E4121" s="15" t="s">
        <v>5998</v>
      </c>
    </row>
    <row r="4122" customFormat="false" ht="15" hidden="false" customHeight="false" outlineLevel="0" collapsed="false">
      <c r="A4122" s="15" t="s">
        <v>5256</v>
      </c>
      <c r="B4122" s="15" t="s">
        <v>5258</v>
      </c>
      <c r="C4122" s="15" t="s">
        <v>5999</v>
      </c>
      <c r="D4122" s="34" t="n">
        <f aca="false">Activities!N1672</f>
        <v>2</v>
      </c>
      <c r="E4122" s="15" t="s">
        <v>5998</v>
      </c>
    </row>
    <row r="4123" customFormat="false" ht="15" hidden="false" customHeight="false" outlineLevel="0" collapsed="false">
      <c r="A4123" s="15" t="s">
        <v>5230</v>
      </c>
      <c r="B4123" s="15" t="s">
        <v>5258</v>
      </c>
      <c r="C4123" s="15" t="s">
        <v>5995</v>
      </c>
      <c r="D4123" s="34" t="n">
        <v>0</v>
      </c>
      <c r="E4123" s="15" t="s">
        <v>6013</v>
      </c>
    </row>
    <row r="4124" customFormat="false" ht="15" hidden="false" customHeight="false" outlineLevel="0" collapsed="false">
      <c r="A4124" s="15" t="s">
        <v>5258</v>
      </c>
      <c r="B4124" s="15" t="s">
        <v>5259</v>
      </c>
      <c r="C4124" s="15" t="s">
        <v>5997</v>
      </c>
      <c r="D4124" s="34" t="n">
        <f aca="false">Activities!M1673</f>
        <v>1</v>
      </c>
      <c r="E4124" s="15" t="s">
        <v>5998</v>
      </c>
    </row>
    <row r="4125" customFormat="false" ht="15" hidden="false" customHeight="false" outlineLevel="0" collapsed="false">
      <c r="A4125" s="15" t="s">
        <v>5258</v>
      </c>
      <c r="B4125" s="15" t="s">
        <v>5259</v>
      </c>
      <c r="C4125" s="15" t="s">
        <v>5999</v>
      </c>
      <c r="D4125" s="34" t="n">
        <f aca="false">Activities!N1673</f>
        <v>2</v>
      </c>
      <c r="E4125" s="15" t="s">
        <v>5998</v>
      </c>
    </row>
    <row r="4126" customFormat="false" ht="15" hidden="false" customHeight="false" outlineLevel="0" collapsed="false">
      <c r="A4126" s="15" t="s">
        <v>5231</v>
      </c>
      <c r="B4126" s="15" t="s">
        <v>5259</v>
      </c>
      <c r="C4126" s="15" t="s">
        <v>5995</v>
      </c>
      <c r="D4126" s="34" t="n">
        <v>0</v>
      </c>
      <c r="E4126" s="15" t="s">
        <v>6013</v>
      </c>
    </row>
    <row r="4127" customFormat="false" ht="15" hidden="false" customHeight="false" outlineLevel="0" collapsed="false">
      <c r="A4127" s="15" t="s">
        <v>5259</v>
      </c>
      <c r="B4127" s="15" t="s">
        <v>5260</v>
      </c>
      <c r="C4127" s="15" t="s">
        <v>5997</v>
      </c>
      <c r="D4127" s="34" t="n">
        <f aca="false">Activities!M1674</f>
        <v>3</v>
      </c>
      <c r="E4127" s="15" t="s">
        <v>5998</v>
      </c>
    </row>
    <row r="4128" customFormat="false" ht="15" hidden="false" customHeight="false" outlineLevel="0" collapsed="false">
      <c r="A4128" s="15" t="s">
        <v>5259</v>
      </c>
      <c r="B4128" s="15" t="s">
        <v>5260</v>
      </c>
      <c r="C4128" s="15" t="s">
        <v>5999</v>
      </c>
      <c r="D4128" s="34" t="n">
        <f aca="false">Activities!N1674</f>
        <v>2</v>
      </c>
      <c r="E4128" s="15" t="s">
        <v>5998</v>
      </c>
    </row>
    <row r="4129" customFormat="false" ht="15" hidden="false" customHeight="false" outlineLevel="0" collapsed="false">
      <c r="A4129" s="15" t="s">
        <v>5232</v>
      </c>
      <c r="B4129" s="15" t="s">
        <v>5260</v>
      </c>
      <c r="C4129" s="15" t="s">
        <v>5995</v>
      </c>
      <c r="D4129" s="34" t="n">
        <v>0</v>
      </c>
      <c r="E4129" s="15" t="s">
        <v>6013</v>
      </c>
    </row>
    <row r="4130" customFormat="false" ht="15" hidden="false" customHeight="false" outlineLevel="0" collapsed="false">
      <c r="A4130" s="15" t="s">
        <v>5260</v>
      </c>
      <c r="B4130" s="15" t="s">
        <v>5261</v>
      </c>
      <c r="C4130" s="15" t="s">
        <v>5997</v>
      </c>
      <c r="D4130" s="34" t="n">
        <f aca="false">Activities!M1675</f>
        <v>1</v>
      </c>
      <c r="E4130" s="15" t="s">
        <v>5998</v>
      </c>
    </row>
    <row r="4131" customFormat="false" ht="15" hidden="false" customHeight="false" outlineLevel="0" collapsed="false">
      <c r="A4131" s="15" t="s">
        <v>5260</v>
      </c>
      <c r="B4131" s="15" t="s">
        <v>5261</v>
      </c>
      <c r="C4131" s="15" t="s">
        <v>5999</v>
      </c>
      <c r="D4131" s="34" t="n">
        <f aca="false">Activities!N1675</f>
        <v>2</v>
      </c>
      <c r="E4131" s="15" t="s">
        <v>5998</v>
      </c>
    </row>
    <row r="4132" customFormat="false" ht="15" hidden="false" customHeight="false" outlineLevel="0" collapsed="false">
      <c r="A4132" s="15" t="s">
        <v>5261</v>
      </c>
      <c r="B4132" s="15" t="s">
        <v>5262</v>
      </c>
      <c r="C4132" s="15" t="s">
        <v>5997</v>
      </c>
      <c r="D4132" s="34" t="n">
        <f aca="false">Activities!M1676</f>
        <v>2</v>
      </c>
      <c r="E4132" s="15" t="s">
        <v>5998</v>
      </c>
    </row>
    <row r="4133" customFormat="false" ht="15" hidden="false" customHeight="false" outlineLevel="0" collapsed="false">
      <c r="A4133" s="15" t="s">
        <v>5261</v>
      </c>
      <c r="B4133" s="15" t="s">
        <v>5262</v>
      </c>
      <c r="C4133" s="15" t="s">
        <v>5999</v>
      </c>
      <c r="D4133" s="34" t="n">
        <f aca="false">Activities!N1676</f>
        <v>2</v>
      </c>
      <c r="E4133" s="15" t="s">
        <v>5998</v>
      </c>
    </row>
    <row r="4134" customFormat="false" ht="15" hidden="false" customHeight="false" outlineLevel="0" collapsed="false">
      <c r="A4134" s="15" t="s">
        <v>5234</v>
      </c>
      <c r="B4134" s="15" t="s">
        <v>5262</v>
      </c>
      <c r="C4134" s="15" t="s">
        <v>5995</v>
      </c>
      <c r="D4134" s="34" t="n">
        <v>0</v>
      </c>
      <c r="E4134" s="15" t="s">
        <v>6013</v>
      </c>
    </row>
    <row r="4135" customFormat="false" ht="15" hidden="false" customHeight="false" outlineLevel="0" collapsed="false">
      <c r="A4135" s="15" t="s">
        <v>5262</v>
      </c>
      <c r="B4135" s="15" t="s">
        <v>5263</v>
      </c>
      <c r="C4135" s="15" t="s">
        <v>5997</v>
      </c>
      <c r="D4135" s="34" t="n">
        <f aca="false">Activities!M1677</f>
        <v>1</v>
      </c>
      <c r="E4135" s="15" t="s">
        <v>5998</v>
      </c>
    </row>
    <row r="4136" customFormat="false" ht="15" hidden="false" customHeight="false" outlineLevel="0" collapsed="false">
      <c r="A4136" s="15" t="s">
        <v>5262</v>
      </c>
      <c r="B4136" s="15" t="s">
        <v>5263</v>
      </c>
      <c r="C4136" s="15" t="s">
        <v>5999</v>
      </c>
      <c r="D4136" s="34" t="n">
        <f aca="false">Activities!N1677</f>
        <v>2</v>
      </c>
      <c r="E4136" s="15" t="s">
        <v>5998</v>
      </c>
    </row>
    <row r="4137" customFormat="false" ht="15" hidden="false" customHeight="false" outlineLevel="0" collapsed="false">
      <c r="A4137" s="15" t="s">
        <v>5264</v>
      </c>
      <c r="B4137" s="15" t="s">
        <v>5266</v>
      </c>
      <c r="C4137" s="15" t="s">
        <v>5995</v>
      </c>
      <c r="D4137" s="34" t="n">
        <v>0</v>
      </c>
      <c r="E4137" s="15" t="s">
        <v>5996</v>
      </c>
    </row>
    <row r="4138" customFormat="false" ht="15" hidden="false" customHeight="false" outlineLevel="0" collapsed="false">
      <c r="A4138" s="15" t="s">
        <v>5254</v>
      </c>
      <c r="B4138" s="15" t="s">
        <v>5266</v>
      </c>
      <c r="C4138" s="15" t="s">
        <v>5997</v>
      </c>
      <c r="D4138" s="34" t="n">
        <v>0</v>
      </c>
      <c r="E4138" s="15" t="s">
        <v>6000</v>
      </c>
    </row>
    <row r="4139" customFormat="false" ht="15" hidden="false" customHeight="false" outlineLevel="0" collapsed="false">
      <c r="A4139" s="15" t="s">
        <v>5266</v>
      </c>
      <c r="B4139" s="15" t="s">
        <v>5268</v>
      </c>
      <c r="C4139" s="15" t="s">
        <v>5997</v>
      </c>
      <c r="D4139" s="34" t="n">
        <f aca="false">Activities!M1680</f>
        <v>1</v>
      </c>
      <c r="E4139" s="15" t="s">
        <v>5998</v>
      </c>
    </row>
    <row r="4140" customFormat="false" ht="15" hidden="false" customHeight="false" outlineLevel="0" collapsed="false">
      <c r="A4140" s="15" t="s">
        <v>5266</v>
      </c>
      <c r="B4140" s="15" t="s">
        <v>5268</v>
      </c>
      <c r="C4140" s="15" t="s">
        <v>5999</v>
      </c>
      <c r="D4140" s="34" t="n">
        <f aca="false">Activities!N1680</f>
        <v>2</v>
      </c>
      <c r="E4140" s="15" t="s">
        <v>5998</v>
      </c>
    </row>
    <row r="4141" customFormat="false" ht="15" hidden="false" customHeight="false" outlineLevel="0" collapsed="false">
      <c r="A4141" s="15" t="s">
        <v>5268</v>
      </c>
      <c r="B4141" s="15" t="s">
        <v>5269</v>
      </c>
      <c r="C4141" s="15" t="s">
        <v>5997</v>
      </c>
      <c r="D4141" s="34" t="n">
        <f aca="false">Activities!M1681</f>
        <v>1</v>
      </c>
      <c r="E4141" s="15" t="s">
        <v>5998</v>
      </c>
    </row>
    <row r="4142" customFormat="false" ht="15" hidden="false" customHeight="false" outlineLevel="0" collapsed="false">
      <c r="A4142" s="15" t="s">
        <v>5268</v>
      </c>
      <c r="B4142" s="15" t="s">
        <v>5269</v>
      </c>
      <c r="C4142" s="15" t="s">
        <v>5999</v>
      </c>
      <c r="D4142" s="34" t="n">
        <f aca="false">Activities!N1681</f>
        <v>2</v>
      </c>
      <c r="E4142" s="15" t="s">
        <v>5998</v>
      </c>
    </row>
    <row r="4143" customFormat="false" ht="15" hidden="false" customHeight="false" outlineLevel="0" collapsed="false">
      <c r="A4143" s="15" t="s">
        <v>5269</v>
      </c>
      <c r="B4143" s="15" t="s">
        <v>5270</v>
      </c>
      <c r="C4143" s="15" t="s">
        <v>5997</v>
      </c>
      <c r="D4143" s="34" t="n">
        <f aca="false">Activities!M1682</f>
        <v>1</v>
      </c>
      <c r="E4143" s="15" t="s">
        <v>5998</v>
      </c>
    </row>
    <row r="4144" customFormat="false" ht="15" hidden="false" customHeight="false" outlineLevel="0" collapsed="false">
      <c r="A4144" s="15" t="s">
        <v>5269</v>
      </c>
      <c r="B4144" s="15" t="s">
        <v>5270</v>
      </c>
      <c r="C4144" s="15" t="s">
        <v>5999</v>
      </c>
      <c r="D4144" s="34" t="n">
        <f aca="false">Activities!N1682</f>
        <v>2</v>
      </c>
      <c r="E4144" s="15" t="s">
        <v>5998</v>
      </c>
    </row>
    <row r="4145" customFormat="false" ht="15" hidden="false" customHeight="false" outlineLevel="0" collapsed="false">
      <c r="A4145" s="15" t="s">
        <v>5270</v>
      </c>
      <c r="B4145" s="15" t="s">
        <v>5271</v>
      </c>
      <c r="C4145" s="15" t="s">
        <v>5997</v>
      </c>
      <c r="D4145" s="34" t="n">
        <f aca="false">Activities!M1683</f>
        <v>10</v>
      </c>
      <c r="E4145" s="15" t="s">
        <v>5998</v>
      </c>
    </row>
    <row r="4146" customFormat="false" ht="15" hidden="false" customHeight="false" outlineLevel="0" collapsed="false">
      <c r="A4146" s="15" t="s">
        <v>5270</v>
      </c>
      <c r="B4146" s="15" t="s">
        <v>5271</v>
      </c>
      <c r="C4146" s="15" t="s">
        <v>5999</v>
      </c>
      <c r="D4146" s="34" t="n">
        <f aca="false">Activities!N1683</f>
        <v>2</v>
      </c>
      <c r="E4146" s="15" t="s">
        <v>5998</v>
      </c>
    </row>
    <row r="4147" customFormat="false" ht="15" hidden="false" customHeight="false" outlineLevel="0" collapsed="false">
      <c r="A4147" s="15" t="s">
        <v>5271</v>
      </c>
      <c r="B4147" s="15" t="s">
        <v>5272</v>
      </c>
      <c r="C4147" s="15" t="s">
        <v>5997</v>
      </c>
      <c r="D4147" s="34" t="n">
        <f aca="false">Activities!M1684</f>
        <v>1</v>
      </c>
      <c r="E4147" s="15" t="s">
        <v>5998</v>
      </c>
    </row>
    <row r="4148" customFormat="false" ht="15" hidden="false" customHeight="false" outlineLevel="0" collapsed="false">
      <c r="A4148" s="15" t="s">
        <v>5271</v>
      </c>
      <c r="B4148" s="15" t="s">
        <v>5272</v>
      </c>
      <c r="C4148" s="15" t="s">
        <v>5999</v>
      </c>
      <c r="D4148" s="34" t="n">
        <f aca="false">Activities!N1684</f>
        <v>2</v>
      </c>
      <c r="E4148" s="15" t="s">
        <v>5998</v>
      </c>
    </row>
    <row r="4149" customFormat="false" ht="15" hidden="false" customHeight="false" outlineLevel="0" collapsed="false">
      <c r="A4149" s="15" t="s">
        <v>5272</v>
      </c>
      <c r="B4149" s="15" t="s">
        <v>5273</v>
      </c>
      <c r="C4149" s="15" t="s">
        <v>5997</v>
      </c>
      <c r="D4149" s="34" t="n">
        <f aca="false">Activities!M1685</f>
        <v>2</v>
      </c>
      <c r="E4149" s="15" t="s">
        <v>5998</v>
      </c>
    </row>
    <row r="4150" customFormat="false" ht="15" hidden="false" customHeight="false" outlineLevel="0" collapsed="false">
      <c r="A4150" s="15" t="s">
        <v>5272</v>
      </c>
      <c r="B4150" s="15" t="s">
        <v>5273</v>
      </c>
      <c r="C4150" s="15" t="s">
        <v>5999</v>
      </c>
      <c r="D4150" s="34" t="n">
        <f aca="false">Activities!N1685</f>
        <v>2</v>
      </c>
      <c r="E4150" s="15" t="s">
        <v>5998</v>
      </c>
    </row>
    <row r="4151" customFormat="false" ht="15" hidden="false" customHeight="false" outlineLevel="0" collapsed="false">
      <c r="A4151" s="15" t="s">
        <v>5260</v>
      </c>
      <c r="B4151" s="15" t="s">
        <v>5273</v>
      </c>
      <c r="C4151" s="15" t="s">
        <v>5995</v>
      </c>
      <c r="D4151" s="34" t="n">
        <v>0</v>
      </c>
      <c r="E4151" s="15" t="s">
        <v>6001</v>
      </c>
    </row>
    <row r="4152" customFormat="false" ht="15" hidden="false" customHeight="false" outlineLevel="0" collapsed="false">
      <c r="A4152" s="15" t="s">
        <v>5273</v>
      </c>
      <c r="B4152" s="15" t="s">
        <v>5275</v>
      </c>
      <c r="C4152" s="15" t="s">
        <v>5997</v>
      </c>
      <c r="D4152" s="34" t="n">
        <f aca="false">Activities!M1686</f>
        <v>2</v>
      </c>
      <c r="E4152" s="15" t="s">
        <v>5998</v>
      </c>
    </row>
    <row r="4153" customFormat="false" ht="15" hidden="false" customHeight="false" outlineLevel="0" collapsed="false">
      <c r="A4153" s="15" t="s">
        <v>5273</v>
      </c>
      <c r="B4153" s="15" t="s">
        <v>5275</v>
      </c>
      <c r="C4153" s="15" t="s">
        <v>5999</v>
      </c>
      <c r="D4153" s="34" t="n">
        <f aca="false">Activities!N1686</f>
        <v>2</v>
      </c>
      <c r="E4153" s="15" t="s">
        <v>5998</v>
      </c>
    </row>
    <row r="4154" customFormat="false" ht="15" hidden="false" customHeight="false" outlineLevel="0" collapsed="false">
      <c r="A4154" s="15" t="s">
        <v>5275</v>
      </c>
      <c r="B4154" s="15" t="s">
        <v>5276</v>
      </c>
      <c r="C4154" s="15" t="s">
        <v>5997</v>
      </c>
      <c r="D4154" s="34" t="n">
        <f aca="false">Activities!M1687</f>
        <v>2</v>
      </c>
      <c r="E4154" s="15" t="s">
        <v>5998</v>
      </c>
    </row>
    <row r="4155" customFormat="false" ht="15" hidden="false" customHeight="false" outlineLevel="0" collapsed="false">
      <c r="A4155" s="15" t="s">
        <v>5275</v>
      </c>
      <c r="B4155" s="15" t="s">
        <v>5276</v>
      </c>
      <c r="C4155" s="15" t="s">
        <v>5999</v>
      </c>
      <c r="D4155" s="34" t="n">
        <f aca="false">Activities!N1687</f>
        <v>2</v>
      </c>
      <c r="E4155" s="15" t="s">
        <v>5998</v>
      </c>
    </row>
    <row r="4156" customFormat="false" ht="15" hidden="false" customHeight="false" outlineLevel="0" collapsed="false">
      <c r="A4156" s="15" t="s">
        <v>5276</v>
      </c>
      <c r="B4156" s="15" t="s">
        <v>5277</v>
      </c>
      <c r="C4156" s="15" t="s">
        <v>5997</v>
      </c>
      <c r="D4156" s="34" t="n">
        <f aca="false">Activities!M1688</f>
        <v>1</v>
      </c>
      <c r="E4156" s="15" t="s">
        <v>5998</v>
      </c>
    </row>
    <row r="4157" customFormat="false" ht="15" hidden="false" customHeight="false" outlineLevel="0" collapsed="false">
      <c r="A4157" s="15" t="s">
        <v>5276</v>
      </c>
      <c r="B4157" s="15" t="s">
        <v>5277</v>
      </c>
      <c r="C4157" s="15" t="s">
        <v>5999</v>
      </c>
      <c r="D4157" s="34" t="n">
        <f aca="false">Activities!N1688</f>
        <v>2</v>
      </c>
      <c r="E4157" s="15" t="s">
        <v>5998</v>
      </c>
    </row>
    <row r="4158" customFormat="false" ht="15" hidden="false" customHeight="false" outlineLevel="0" collapsed="false">
      <c r="A4158" s="15" t="s">
        <v>5278</v>
      </c>
      <c r="B4158" s="15" t="s">
        <v>5280</v>
      </c>
      <c r="C4158" s="15" t="s">
        <v>5995</v>
      </c>
      <c r="D4158" s="34" t="n">
        <v>0</v>
      </c>
      <c r="E4158" s="15" t="s">
        <v>5996</v>
      </c>
    </row>
    <row r="4159" customFormat="false" ht="15" hidden="false" customHeight="false" outlineLevel="0" collapsed="false">
      <c r="A4159" s="15" t="s">
        <v>5254</v>
      </c>
      <c r="B4159" s="15" t="s">
        <v>5280</v>
      </c>
      <c r="C4159" s="15" t="s">
        <v>5997</v>
      </c>
      <c r="D4159" s="34" t="n">
        <v>0</v>
      </c>
      <c r="E4159" s="15" t="s">
        <v>6002</v>
      </c>
    </row>
    <row r="4160" customFormat="false" ht="15" hidden="false" customHeight="false" outlineLevel="0" collapsed="false">
      <c r="A4160" s="15" t="s">
        <v>5280</v>
      </c>
      <c r="B4160" s="15" t="s">
        <v>5282</v>
      </c>
      <c r="C4160" s="15" t="s">
        <v>5997</v>
      </c>
      <c r="D4160" s="34" t="n">
        <f aca="false">Activities!M1691</f>
        <v>1</v>
      </c>
      <c r="E4160" s="15" t="s">
        <v>5998</v>
      </c>
    </row>
    <row r="4161" customFormat="false" ht="15" hidden="false" customHeight="false" outlineLevel="0" collapsed="false">
      <c r="A4161" s="15" t="s">
        <v>5280</v>
      </c>
      <c r="B4161" s="15" t="s">
        <v>5282</v>
      </c>
      <c r="C4161" s="15" t="s">
        <v>5999</v>
      </c>
      <c r="D4161" s="34" t="n">
        <f aca="false">Activities!N1691</f>
        <v>2</v>
      </c>
      <c r="E4161" s="15" t="s">
        <v>5998</v>
      </c>
    </row>
    <row r="4162" customFormat="false" ht="15" hidden="false" customHeight="false" outlineLevel="0" collapsed="false">
      <c r="A4162" s="15" t="s">
        <v>5254</v>
      </c>
      <c r="B4162" s="15" t="s">
        <v>5282</v>
      </c>
      <c r="C4162" s="15" t="s">
        <v>5995</v>
      </c>
      <c r="D4162" s="34" t="n">
        <v>0</v>
      </c>
      <c r="E4162" s="15" t="s">
        <v>6013</v>
      </c>
    </row>
    <row r="4163" customFormat="false" ht="15" hidden="false" customHeight="false" outlineLevel="0" collapsed="false">
      <c r="A4163" s="15" t="s">
        <v>5282</v>
      </c>
      <c r="B4163" s="15" t="s">
        <v>5283</v>
      </c>
      <c r="C4163" s="15" t="s">
        <v>5997</v>
      </c>
      <c r="D4163" s="34" t="n">
        <f aca="false">Activities!M1692</f>
        <v>1</v>
      </c>
      <c r="E4163" s="15" t="s">
        <v>5998</v>
      </c>
    </row>
    <row r="4164" customFormat="false" ht="15" hidden="false" customHeight="false" outlineLevel="0" collapsed="false">
      <c r="A4164" s="15" t="s">
        <v>5282</v>
      </c>
      <c r="B4164" s="15" t="s">
        <v>5283</v>
      </c>
      <c r="C4164" s="15" t="s">
        <v>5999</v>
      </c>
      <c r="D4164" s="34" t="n">
        <f aca="false">Activities!N1692</f>
        <v>2</v>
      </c>
      <c r="E4164" s="15" t="s">
        <v>5998</v>
      </c>
    </row>
    <row r="4165" customFormat="false" ht="15" hidden="false" customHeight="false" outlineLevel="0" collapsed="false">
      <c r="A4165" s="15" t="s">
        <v>5255</v>
      </c>
      <c r="B4165" s="15" t="s">
        <v>5283</v>
      </c>
      <c r="C4165" s="15" t="s">
        <v>5995</v>
      </c>
      <c r="D4165" s="34" t="n">
        <v>0</v>
      </c>
      <c r="E4165" s="15" t="s">
        <v>6013</v>
      </c>
    </row>
    <row r="4166" customFormat="false" ht="15" hidden="false" customHeight="false" outlineLevel="0" collapsed="false">
      <c r="A4166" s="15" t="s">
        <v>5283</v>
      </c>
      <c r="B4166" s="15" t="s">
        <v>5284</v>
      </c>
      <c r="C4166" s="15" t="s">
        <v>5997</v>
      </c>
      <c r="D4166" s="34" t="n">
        <f aca="false">Activities!M1693</f>
        <v>1</v>
      </c>
      <c r="E4166" s="15" t="s">
        <v>5998</v>
      </c>
    </row>
    <row r="4167" customFormat="false" ht="15" hidden="false" customHeight="false" outlineLevel="0" collapsed="false">
      <c r="A4167" s="15" t="s">
        <v>5283</v>
      </c>
      <c r="B4167" s="15" t="s">
        <v>5284</v>
      </c>
      <c r="C4167" s="15" t="s">
        <v>5999</v>
      </c>
      <c r="D4167" s="34" t="n">
        <f aca="false">Activities!N1693</f>
        <v>2</v>
      </c>
      <c r="E4167" s="15" t="s">
        <v>5998</v>
      </c>
    </row>
    <row r="4168" customFormat="false" ht="15" hidden="false" customHeight="false" outlineLevel="0" collapsed="false">
      <c r="A4168" s="15" t="s">
        <v>5258</v>
      </c>
      <c r="B4168" s="15" t="s">
        <v>5284</v>
      </c>
      <c r="C4168" s="15" t="s">
        <v>5995</v>
      </c>
      <c r="D4168" s="34" t="n">
        <f aca="false">-Activities!K1693</f>
        <v>-10</v>
      </c>
      <c r="E4168" s="15" t="s">
        <v>6004</v>
      </c>
    </row>
    <row r="4169" customFormat="false" ht="15" hidden="false" customHeight="false" outlineLevel="0" collapsed="false">
      <c r="A4169" s="15" t="s">
        <v>5284</v>
      </c>
      <c r="B4169" s="15" t="s">
        <v>5286</v>
      </c>
      <c r="C4169" s="15" t="s">
        <v>5997</v>
      </c>
      <c r="D4169" s="34" t="n">
        <f aca="false">Activities!M1694</f>
        <v>10</v>
      </c>
      <c r="E4169" s="15" t="s">
        <v>5998</v>
      </c>
    </row>
    <row r="4170" customFormat="false" ht="15" hidden="false" customHeight="false" outlineLevel="0" collapsed="false">
      <c r="A4170" s="15" t="s">
        <v>5284</v>
      </c>
      <c r="B4170" s="15" t="s">
        <v>5286</v>
      </c>
      <c r="C4170" s="15" t="s">
        <v>5999</v>
      </c>
      <c r="D4170" s="34" t="n">
        <f aca="false">Activities!N1694</f>
        <v>2</v>
      </c>
      <c r="E4170" s="15" t="s">
        <v>5998</v>
      </c>
    </row>
    <row r="4171" customFormat="false" ht="15" hidden="false" customHeight="false" outlineLevel="0" collapsed="false">
      <c r="A4171" s="15" t="s">
        <v>5258</v>
      </c>
      <c r="B4171" s="15" t="s">
        <v>5286</v>
      </c>
      <c r="C4171" s="15" t="s">
        <v>5995</v>
      </c>
      <c r="D4171" s="34" t="n">
        <v>0</v>
      </c>
      <c r="E4171" s="15" t="s">
        <v>6013</v>
      </c>
    </row>
    <row r="4172" customFormat="false" ht="15" hidden="false" customHeight="false" outlineLevel="0" collapsed="false">
      <c r="A4172" s="15" t="s">
        <v>5111</v>
      </c>
      <c r="B4172" s="15" t="s">
        <v>5286</v>
      </c>
      <c r="C4172" s="15" t="s">
        <v>5995</v>
      </c>
      <c r="D4172" s="34" t="n">
        <v>0</v>
      </c>
      <c r="E4172" s="15" t="s">
        <v>6008</v>
      </c>
    </row>
    <row r="4173" customFormat="false" ht="15" hidden="false" customHeight="false" outlineLevel="0" collapsed="false">
      <c r="A4173" s="15" t="s">
        <v>5286</v>
      </c>
      <c r="B4173" s="15" t="s">
        <v>5288</v>
      </c>
      <c r="C4173" s="15" t="s">
        <v>5997</v>
      </c>
      <c r="D4173" s="34" t="n">
        <f aca="false">Activities!M1695</f>
        <v>1</v>
      </c>
      <c r="E4173" s="15" t="s">
        <v>5998</v>
      </c>
    </row>
    <row r="4174" customFormat="false" ht="15" hidden="false" customHeight="false" outlineLevel="0" collapsed="false">
      <c r="A4174" s="15" t="s">
        <v>5286</v>
      </c>
      <c r="B4174" s="15" t="s">
        <v>5288</v>
      </c>
      <c r="C4174" s="15" t="s">
        <v>5999</v>
      </c>
      <c r="D4174" s="34" t="n">
        <f aca="false">Activities!N1695</f>
        <v>2</v>
      </c>
      <c r="E4174" s="15" t="s">
        <v>5998</v>
      </c>
    </row>
    <row r="4175" customFormat="false" ht="15" hidden="false" customHeight="false" outlineLevel="0" collapsed="false">
      <c r="A4175" s="15" t="s">
        <v>5259</v>
      </c>
      <c r="B4175" s="15" t="s">
        <v>5288</v>
      </c>
      <c r="C4175" s="15" t="s">
        <v>5995</v>
      </c>
      <c r="D4175" s="34" t="n">
        <v>0</v>
      </c>
      <c r="E4175" s="15" t="s">
        <v>6013</v>
      </c>
    </row>
    <row r="4176" customFormat="false" ht="15" hidden="false" customHeight="false" outlineLevel="0" collapsed="false">
      <c r="A4176" s="15" t="s">
        <v>5288</v>
      </c>
      <c r="B4176" s="15" t="s">
        <v>5289</v>
      </c>
      <c r="C4176" s="15" t="s">
        <v>5997</v>
      </c>
      <c r="D4176" s="34" t="n">
        <f aca="false">Activities!M1696</f>
        <v>2</v>
      </c>
      <c r="E4176" s="15" t="s">
        <v>5998</v>
      </c>
    </row>
    <row r="4177" customFormat="false" ht="15" hidden="false" customHeight="false" outlineLevel="0" collapsed="false">
      <c r="A4177" s="15" t="s">
        <v>5288</v>
      </c>
      <c r="B4177" s="15" t="s">
        <v>5289</v>
      </c>
      <c r="C4177" s="15" t="s">
        <v>5999</v>
      </c>
      <c r="D4177" s="34" t="n">
        <f aca="false">Activities!N1696</f>
        <v>2</v>
      </c>
      <c r="E4177" s="15" t="s">
        <v>5998</v>
      </c>
    </row>
    <row r="4178" customFormat="false" ht="15" hidden="false" customHeight="false" outlineLevel="0" collapsed="false">
      <c r="A4178" s="15" t="s">
        <v>5260</v>
      </c>
      <c r="B4178" s="15" t="s">
        <v>5289</v>
      </c>
      <c r="C4178" s="15" t="s">
        <v>5995</v>
      </c>
      <c r="D4178" s="34" t="n">
        <v>0</v>
      </c>
      <c r="E4178" s="15" t="s">
        <v>6013</v>
      </c>
    </row>
    <row r="4179" customFormat="false" ht="15" hidden="false" customHeight="false" outlineLevel="0" collapsed="false">
      <c r="A4179" s="15" t="s">
        <v>5289</v>
      </c>
      <c r="B4179" s="15" t="s">
        <v>5290</v>
      </c>
      <c r="C4179" s="15" t="s">
        <v>5997</v>
      </c>
      <c r="D4179" s="34" t="n">
        <f aca="false">Activities!M1697</f>
        <v>1</v>
      </c>
      <c r="E4179" s="15" t="s">
        <v>5998</v>
      </c>
    </row>
    <row r="4180" customFormat="false" ht="15" hidden="false" customHeight="false" outlineLevel="0" collapsed="false">
      <c r="A4180" s="15" t="s">
        <v>5289</v>
      </c>
      <c r="B4180" s="15" t="s">
        <v>5290</v>
      </c>
      <c r="C4180" s="15" t="s">
        <v>5999</v>
      </c>
      <c r="D4180" s="34" t="n">
        <f aca="false">Activities!N1697</f>
        <v>2</v>
      </c>
      <c r="E4180" s="15" t="s">
        <v>5998</v>
      </c>
    </row>
    <row r="4181" customFormat="false" ht="15" hidden="false" customHeight="false" outlineLevel="0" collapsed="false">
      <c r="A4181" s="15" t="s">
        <v>5290</v>
      </c>
      <c r="B4181" s="15" t="s">
        <v>5291</v>
      </c>
      <c r="C4181" s="15" t="s">
        <v>5997</v>
      </c>
      <c r="D4181" s="34" t="n">
        <f aca="false">Activities!M1698</f>
        <v>2</v>
      </c>
      <c r="E4181" s="15" t="s">
        <v>5998</v>
      </c>
    </row>
    <row r="4182" customFormat="false" ht="15" hidden="false" customHeight="false" outlineLevel="0" collapsed="false">
      <c r="A4182" s="15" t="s">
        <v>5290</v>
      </c>
      <c r="B4182" s="15" t="s">
        <v>5291</v>
      </c>
      <c r="C4182" s="15" t="s">
        <v>5999</v>
      </c>
      <c r="D4182" s="34" t="n">
        <f aca="false">Activities!N1698</f>
        <v>2</v>
      </c>
      <c r="E4182" s="15" t="s">
        <v>5998</v>
      </c>
    </row>
    <row r="4183" customFormat="false" ht="15" hidden="false" customHeight="false" outlineLevel="0" collapsed="false">
      <c r="A4183" s="15" t="s">
        <v>5262</v>
      </c>
      <c r="B4183" s="15" t="s">
        <v>5291</v>
      </c>
      <c r="C4183" s="15" t="s">
        <v>5995</v>
      </c>
      <c r="D4183" s="34" t="n">
        <v>0</v>
      </c>
      <c r="E4183" s="15" t="s">
        <v>6013</v>
      </c>
    </row>
    <row r="4184" customFormat="false" ht="15" hidden="false" customHeight="false" outlineLevel="0" collapsed="false">
      <c r="A4184" s="15" t="s">
        <v>5291</v>
      </c>
      <c r="B4184" s="15" t="s">
        <v>5292</v>
      </c>
      <c r="C4184" s="15" t="s">
        <v>5997</v>
      </c>
      <c r="D4184" s="34" t="n">
        <f aca="false">Activities!M1699</f>
        <v>1</v>
      </c>
      <c r="E4184" s="15" t="s">
        <v>5998</v>
      </c>
    </row>
    <row r="4185" customFormat="false" ht="15" hidden="false" customHeight="false" outlineLevel="0" collapsed="false">
      <c r="A4185" s="15" t="s">
        <v>5291</v>
      </c>
      <c r="B4185" s="15" t="s">
        <v>5292</v>
      </c>
      <c r="C4185" s="15" t="s">
        <v>5999</v>
      </c>
      <c r="D4185" s="34" t="n">
        <f aca="false">Activities!N1699</f>
        <v>2</v>
      </c>
      <c r="E4185" s="15" t="s">
        <v>5998</v>
      </c>
    </row>
    <row r="4186" customFormat="false" ht="15" hidden="false" customHeight="false" outlineLevel="0" collapsed="false">
      <c r="A4186" s="15" t="s">
        <v>5293</v>
      </c>
      <c r="B4186" s="15" t="s">
        <v>5295</v>
      </c>
      <c r="C4186" s="15" t="s">
        <v>5995</v>
      </c>
      <c r="D4186" s="34" t="n">
        <v>0</v>
      </c>
      <c r="E4186" s="15" t="s">
        <v>5996</v>
      </c>
    </row>
    <row r="4187" customFormat="false" ht="15" hidden="false" customHeight="false" outlineLevel="0" collapsed="false">
      <c r="A4187" s="15" t="s">
        <v>5282</v>
      </c>
      <c r="B4187" s="15" t="s">
        <v>5295</v>
      </c>
      <c r="C4187" s="15" t="s">
        <v>5997</v>
      </c>
      <c r="D4187" s="34" t="n">
        <v>0</v>
      </c>
      <c r="E4187" s="15" t="s">
        <v>6002</v>
      </c>
    </row>
    <row r="4188" customFormat="false" ht="15" hidden="false" customHeight="false" outlineLevel="0" collapsed="false">
      <c r="A4188" s="15" t="s">
        <v>5295</v>
      </c>
      <c r="B4188" s="15" t="s">
        <v>5297</v>
      </c>
      <c r="C4188" s="15" t="s">
        <v>5997</v>
      </c>
      <c r="D4188" s="34" t="n">
        <f aca="false">Activities!M1702</f>
        <v>1</v>
      </c>
      <c r="E4188" s="15" t="s">
        <v>5998</v>
      </c>
    </row>
    <row r="4189" customFormat="false" ht="15" hidden="false" customHeight="false" outlineLevel="0" collapsed="false">
      <c r="A4189" s="15" t="s">
        <v>5295</v>
      </c>
      <c r="B4189" s="15" t="s">
        <v>5297</v>
      </c>
      <c r="C4189" s="15" t="s">
        <v>5999</v>
      </c>
      <c r="D4189" s="34" t="n">
        <f aca="false">Activities!N1702</f>
        <v>2</v>
      </c>
      <c r="E4189" s="15" t="s">
        <v>5998</v>
      </c>
    </row>
    <row r="4190" customFormat="false" ht="15" hidden="false" customHeight="false" outlineLevel="0" collapsed="false">
      <c r="A4190" s="15" t="s">
        <v>5282</v>
      </c>
      <c r="B4190" s="15" t="s">
        <v>5297</v>
      </c>
      <c r="C4190" s="15" t="s">
        <v>5995</v>
      </c>
      <c r="D4190" s="34" t="n">
        <v>0</v>
      </c>
      <c r="E4190" s="15" t="s">
        <v>6013</v>
      </c>
    </row>
    <row r="4191" customFormat="false" ht="15" hidden="false" customHeight="false" outlineLevel="0" collapsed="false">
      <c r="A4191" s="15" t="s">
        <v>5297</v>
      </c>
      <c r="B4191" s="15" t="s">
        <v>5298</v>
      </c>
      <c r="C4191" s="15" t="s">
        <v>5997</v>
      </c>
      <c r="D4191" s="34" t="n">
        <f aca="false">Activities!M1703</f>
        <v>2</v>
      </c>
      <c r="E4191" s="15" t="s">
        <v>5998</v>
      </c>
    </row>
    <row r="4192" customFormat="false" ht="15" hidden="false" customHeight="false" outlineLevel="0" collapsed="false">
      <c r="A4192" s="15" t="s">
        <v>5297</v>
      </c>
      <c r="B4192" s="15" t="s">
        <v>5298</v>
      </c>
      <c r="C4192" s="15" t="s">
        <v>5999</v>
      </c>
      <c r="D4192" s="34" t="n">
        <f aca="false">Activities!N1703</f>
        <v>2</v>
      </c>
      <c r="E4192" s="15" t="s">
        <v>5998</v>
      </c>
    </row>
    <row r="4193" customFormat="false" ht="15" hidden="false" customHeight="false" outlineLevel="0" collapsed="false">
      <c r="A4193" s="15" t="s">
        <v>5283</v>
      </c>
      <c r="B4193" s="15" t="s">
        <v>5298</v>
      </c>
      <c r="C4193" s="15" t="s">
        <v>5995</v>
      </c>
      <c r="D4193" s="34" t="n">
        <v>0</v>
      </c>
      <c r="E4193" s="15" t="s">
        <v>6013</v>
      </c>
    </row>
    <row r="4194" customFormat="false" ht="15" hidden="false" customHeight="false" outlineLevel="0" collapsed="false">
      <c r="A4194" s="15" t="s">
        <v>5298</v>
      </c>
      <c r="B4194" s="15" t="s">
        <v>5299</v>
      </c>
      <c r="C4194" s="15" t="s">
        <v>5997</v>
      </c>
      <c r="D4194" s="34" t="n">
        <f aca="false">Activities!M1704</f>
        <v>1</v>
      </c>
      <c r="E4194" s="15" t="s">
        <v>5998</v>
      </c>
    </row>
    <row r="4195" customFormat="false" ht="15" hidden="false" customHeight="false" outlineLevel="0" collapsed="false">
      <c r="A4195" s="15" t="s">
        <v>5298</v>
      </c>
      <c r="B4195" s="15" t="s">
        <v>5299</v>
      </c>
      <c r="C4195" s="15" t="s">
        <v>5999</v>
      </c>
      <c r="D4195" s="34" t="n">
        <f aca="false">Activities!N1704</f>
        <v>2</v>
      </c>
      <c r="E4195" s="15" t="s">
        <v>5998</v>
      </c>
    </row>
    <row r="4196" customFormat="false" ht="15" hidden="false" customHeight="false" outlineLevel="0" collapsed="false">
      <c r="A4196" s="15" t="s">
        <v>5286</v>
      </c>
      <c r="B4196" s="15" t="s">
        <v>5299</v>
      </c>
      <c r="C4196" s="15" t="s">
        <v>5995</v>
      </c>
      <c r="D4196" s="34" t="n">
        <f aca="false">-Activities!K1704</f>
        <v>-10</v>
      </c>
      <c r="E4196" s="15" t="s">
        <v>6004</v>
      </c>
    </row>
    <row r="4197" customFormat="false" ht="15" hidden="false" customHeight="false" outlineLevel="0" collapsed="false">
      <c r="A4197" s="15" t="s">
        <v>5299</v>
      </c>
      <c r="B4197" s="15" t="s">
        <v>5301</v>
      </c>
      <c r="C4197" s="15" t="s">
        <v>5997</v>
      </c>
      <c r="D4197" s="34" t="n">
        <f aca="false">Activities!M1705</f>
        <v>10</v>
      </c>
      <c r="E4197" s="15" t="s">
        <v>5998</v>
      </c>
    </row>
    <row r="4198" customFormat="false" ht="15" hidden="false" customHeight="false" outlineLevel="0" collapsed="false">
      <c r="A4198" s="15" t="s">
        <v>5299</v>
      </c>
      <c r="B4198" s="15" t="s">
        <v>5301</v>
      </c>
      <c r="C4198" s="15" t="s">
        <v>5999</v>
      </c>
      <c r="D4198" s="34" t="n">
        <f aca="false">Activities!N1705</f>
        <v>2</v>
      </c>
      <c r="E4198" s="15" t="s">
        <v>5998</v>
      </c>
    </row>
    <row r="4199" customFormat="false" ht="15" hidden="false" customHeight="false" outlineLevel="0" collapsed="false">
      <c r="A4199" s="15" t="s">
        <v>5286</v>
      </c>
      <c r="B4199" s="15" t="s">
        <v>5301</v>
      </c>
      <c r="C4199" s="15" t="s">
        <v>5995</v>
      </c>
      <c r="D4199" s="34" t="n">
        <v>0</v>
      </c>
      <c r="E4199" s="15" t="s">
        <v>6013</v>
      </c>
    </row>
    <row r="4200" customFormat="false" ht="15" hidden="false" customHeight="false" outlineLevel="0" collapsed="false">
      <c r="A4200" s="15" t="s">
        <v>5301</v>
      </c>
      <c r="B4200" s="15" t="s">
        <v>5302</v>
      </c>
      <c r="C4200" s="15" t="s">
        <v>5997</v>
      </c>
      <c r="D4200" s="34" t="n">
        <f aca="false">Activities!M1706</f>
        <v>1</v>
      </c>
      <c r="E4200" s="15" t="s">
        <v>5998</v>
      </c>
    </row>
    <row r="4201" customFormat="false" ht="15" hidden="false" customHeight="false" outlineLevel="0" collapsed="false">
      <c r="A4201" s="15" t="s">
        <v>5301</v>
      </c>
      <c r="B4201" s="15" t="s">
        <v>5302</v>
      </c>
      <c r="C4201" s="15" t="s">
        <v>5999</v>
      </c>
      <c r="D4201" s="34" t="n">
        <f aca="false">Activities!N1706</f>
        <v>2</v>
      </c>
      <c r="E4201" s="15" t="s">
        <v>5998</v>
      </c>
    </row>
    <row r="4202" customFormat="false" ht="15" hidden="false" customHeight="false" outlineLevel="0" collapsed="false">
      <c r="A4202" s="15" t="s">
        <v>5288</v>
      </c>
      <c r="B4202" s="15" t="s">
        <v>5302</v>
      </c>
      <c r="C4202" s="15" t="s">
        <v>5995</v>
      </c>
      <c r="D4202" s="34" t="n">
        <v>0</v>
      </c>
      <c r="E4202" s="15" t="s">
        <v>6013</v>
      </c>
    </row>
    <row r="4203" customFormat="false" ht="15" hidden="false" customHeight="false" outlineLevel="0" collapsed="false">
      <c r="A4203" s="15" t="s">
        <v>5302</v>
      </c>
      <c r="B4203" s="15" t="s">
        <v>5303</v>
      </c>
      <c r="C4203" s="15" t="s">
        <v>5997</v>
      </c>
      <c r="D4203" s="34" t="n">
        <f aca="false">Activities!M1707</f>
        <v>3</v>
      </c>
      <c r="E4203" s="15" t="s">
        <v>5998</v>
      </c>
    </row>
    <row r="4204" customFormat="false" ht="15" hidden="false" customHeight="false" outlineLevel="0" collapsed="false">
      <c r="A4204" s="15" t="s">
        <v>5302</v>
      </c>
      <c r="B4204" s="15" t="s">
        <v>5303</v>
      </c>
      <c r="C4204" s="15" t="s">
        <v>5999</v>
      </c>
      <c r="D4204" s="34" t="n">
        <f aca="false">Activities!N1707</f>
        <v>2</v>
      </c>
      <c r="E4204" s="15" t="s">
        <v>5998</v>
      </c>
    </row>
    <row r="4205" customFormat="false" ht="15" hidden="false" customHeight="false" outlineLevel="0" collapsed="false">
      <c r="A4205" s="15" t="s">
        <v>5289</v>
      </c>
      <c r="B4205" s="15" t="s">
        <v>5303</v>
      </c>
      <c r="C4205" s="15" t="s">
        <v>5995</v>
      </c>
      <c r="D4205" s="34" t="n">
        <v>0</v>
      </c>
      <c r="E4205" s="15" t="s">
        <v>6013</v>
      </c>
    </row>
    <row r="4206" customFormat="false" ht="15" hidden="false" customHeight="false" outlineLevel="0" collapsed="false">
      <c r="A4206" s="15" t="s">
        <v>5303</v>
      </c>
      <c r="B4206" s="15" t="s">
        <v>5304</v>
      </c>
      <c r="C4206" s="15" t="s">
        <v>5997</v>
      </c>
      <c r="D4206" s="34" t="n">
        <f aca="false">Activities!M1708</f>
        <v>2</v>
      </c>
      <c r="E4206" s="15" t="s">
        <v>5998</v>
      </c>
    </row>
    <row r="4207" customFormat="false" ht="15" hidden="false" customHeight="false" outlineLevel="0" collapsed="false">
      <c r="A4207" s="15" t="s">
        <v>5303</v>
      </c>
      <c r="B4207" s="15" t="s">
        <v>5304</v>
      </c>
      <c r="C4207" s="15" t="s">
        <v>5999</v>
      </c>
      <c r="D4207" s="34" t="n">
        <f aca="false">Activities!N1708</f>
        <v>2</v>
      </c>
      <c r="E4207" s="15" t="s">
        <v>5998</v>
      </c>
    </row>
    <row r="4208" customFormat="false" ht="15" hidden="false" customHeight="false" outlineLevel="0" collapsed="false">
      <c r="A4208" s="15" t="s">
        <v>5304</v>
      </c>
      <c r="B4208" s="15" t="s">
        <v>5305</v>
      </c>
      <c r="C4208" s="15" t="s">
        <v>5997</v>
      </c>
      <c r="D4208" s="34" t="n">
        <f aca="false">Activities!M1709</f>
        <v>2</v>
      </c>
      <c r="E4208" s="15" t="s">
        <v>5998</v>
      </c>
    </row>
    <row r="4209" customFormat="false" ht="15" hidden="false" customHeight="false" outlineLevel="0" collapsed="false">
      <c r="A4209" s="15" t="s">
        <v>5304</v>
      </c>
      <c r="B4209" s="15" t="s">
        <v>5305</v>
      </c>
      <c r="C4209" s="15" t="s">
        <v>5999</v>
      </c>
      <c r="D4209" s="34" t="n">
        <f aca="false">Activities!N1709</f>
        <v>2</v>
      </c>
      <c r="E4209" s="15" t="s">
        <v>5998</v>
      </c>
    </row>
    <row r="4210" customFormat="false" ht="15" hidden="false" customHeight="false" outlineLevel="0" collapsed="false">
      <c r="A4210" s="15" t="s">
        <v>5291</v>
      </c>
      <c r="B4210" s="15" t="s">
        <v>5305</v>
      </c>
      <c r="C4210" s="15" t="s">
        <v>5995</v>
      </c>
      <c r="D4210" s="34" t="n">
        <v>0</v>
      </c>
      <c r="E4210" s="15" t="s">
        <v>6013</v>
      </c>
    </row>
    <row r="4211" customFormat="false" ht="15" hidden="false" customHeight="false" outlineLevel="0" collapsed="false">
      <c r="A4211" s="15" t="s">
        <v>5305</v>
      </c>
      <c r="B4211" s="15" t="s">
        <v>5306</v>
      </c>
      <c r="C4211" s="15" t="s">
        <v>5997</v>
      </c>
      <c r="D4211" s="34" t="n">
        <f aca="false">Activities!M1710</f>
        <v>1</v>
      </c>
      <c r="E4211" s="15" t="s">
        <v>5998</v>
      </c>
    </row>
    <row r="4212" customFormat="false" ht="15" hidden="false" customHeight="false" outlineLevel="0" collapsed="false">
      <c r="A4212" s="15" t="s">
        <v>5305</v>
      </c>
      <c r="B4212" s="15" t="s">
        <v>5306</v>
      </c>
      <c r="C4212" s="15" t="s">
        <v>5999</v>
      </c>
      <c r="D4212" s="34" t="n">
        <f aca="false">Activities!N1710</f>
        <v>2</v>
      </c>
      <c r="E4212" s="15" t="s">
        <v>5998</v>
      </c>
    </row>
    <row r="4213" customFormat="false" ht="15" hidden="false" customHeight="false" outlineLevel="0" collapsed="false">
      <c r="A4213" s="15" t="s">
        <v>5307</v>
      </c>
      <c r="B4213" s="15" t="s">
        <v>5309</v>
      </c>
      <c r="C4213" s="15" t="s">
        <v>5995</v>
      </c>
      <c r="D4213" s="34" t="n">
        <v>0</v>
      </c>
      <c r="E4213" s="15" t="s">
        <v>5996</v>
      </c>
    </row>
    <row r="4214" customFormat="false" ht="15" hidden="false" customHeight="false" outlineLevel="0" collapsed="false">
      <c r="A4214" s="15" t="s">
        <v>5297</v>
      </c>
      <c r="B4214" s="15" t="s">
        <v>5309</v>
      </c>
      <c r="C4214" s="15" t="s">
        <v>5997</v>
      </c>
      <c r="D4214" s="34" t="n">
        <v>0</v>
      </c>
      <c r="E4214" s="15" t="s">
        <v>6002</v>
      </c>
    </row>
    <row r="4215" customFormat="false" ht="15" hidden="false" customHeight="false" outlineLevel="0" collapsed="false">
      <c r="A4215" s="15" t="s">
        <v>5309</v>
      </c>
      <c r="B4215" s="15" t="s">
        <v>5311</v>
      </c>
      <c r="C4215" s="15" t="s">
        <v>5997</v>
      </c>
      <c r="D4215" s="34" t="n">
        <f aca="false">Activities!M1713</f>
        <v>1</v>
      </c>
      <c r="E4215" s="15" t="s">
        <v>5998</v>
      </c>
    </row>
    <row r="4216" customFormat="false" ht="15" hidden="false" customHeight="false" outlineLevel="0" collapsed="false">
      <c r="A4216" s="15" t="s">
        <v>5309</v>
      </c>
      <c r="B4216" s="15" t="s">
        <v>5311</v>
      </c>
      <c r="C4216" s="15" t="s">
        <v>5999</v>
      </c>
      <c r="D4216" s="34" t="n">
        <f aca="false">Activities!N1713</f>
        <v>2</v>
      </c>
      <c r="E4216" s="15" t="s">
        <v>5998</v>
      </c>
    </row>
    <row r="4217" customFormat="false" ht="15" hidden="false" customHeight="false" outlineLevel="0" collapsed="false">
      <c r="A4217" s="15" t="s">
        <v>5297</v>
      </c>
      <c r="B4217" s="15" t="s">
        <v>5311</v>
      </c>
      <c r="C4217" s="15" t="s">
        <v>5995</v>
      </c>
      <c r="D4217" s="34" t="n">
        <v>0</v>
      </c>
      <c r="E4217" s="15" t="s">
        <v>6013</v>
      </c>
    </row>
    <row r="4218" customFormat="false" ht="15" hidden="false" customHeight="false" outlineLevel="0" collapsed="false">
      <c r="A4218" s="15" t="s">
        <v>5311</v>
      </c>
      <c r="B4218" s="15" t="s">
        <v>5312</v>
      </c>
      <c r="C4218" s="15" t="s">
        <v>5997</v>
      </c>
      <c r="D4218" s="34" t="n">
        <f aca="false">Activities!M1714</f>
        <v>2</v>
      </c>
      <c r="E4218" s="15" t="s">
        <v>5998</v>
      </c>
    </row>
    <row r="4219" customFormat="false" ht="15" hidden="false" customHeight="false" outlineLevel="0" collapsed="false">
      <c r="A4219" s="15" t="s">
        <v>5311</v>
      </c>
      <c r="B4219" s="15" t="s">
        <v>5312</v>
      </c>
      <c r="C4219" s="15" t="s">
        <v>5999</v>
      </c>
      <c r="D4219" s="34" t="n">
        <f aca="false">Activities!N1714</f>
        <v>2</v>
      </c>
      <c r="E4219" s="15" t="s">
        <v>5998</v>
      </c>
    </row>
    <row r="4220" customFormat="false" ht="15" hidden="false" customHeight="false" outlineLevel="0" collapsed="false">
      <c r="A4220" s="15" t="s">
        <v>5298</v>
      </c>
      <c r="B4220" s="15" t="s">
        <v>5312</v>
      </c>
      <c r="C4220" s="15" t="s">
        <v>5995</v>
      </c>
      <c r="D4220" s="34" t="n">
        <v>0</v>
      </c>
      <c r="E4220" s="15" t="s">
        <v>6013</v>
      </c>
    </row>
    <row r="4221" customFormat="false" ht="15" hidden="false" customHeight="false" outlineLevel="0" collapsed="false">
      <c r="A4221" s="15" t="s">
        <v>5312</v>
      </c>
      <c r="B4221" s="15" t="s">
        <v>5313</v>
      </c>
      <c r="C4221" s="15" t="s">
        <v>5997</v>
      </c>
      <c r="D4221" s="34" t="n">
        <f aca="false">Activities!M1715</f>
        <v>1</v>
      </c>
      <c r="E4221" s="15" t="s">
        <v>5998</v>
      </c>
    </row>
    <row r="4222" customFormat="false" ht="15" hidden="false" customHeight="false" outlineLevel="0" collapsed="false">
      <c r="A4222" s="15" t="s">
        <v>5312</v>
      </c>
      <c r="B4222" s="15" t="s">
        <v>5313</v>
      </c>
      <c r="C4222" s="15" t="s">
        <v>5999</v>
      </c>
      <c r="D4222" s="34" t="n">
        <f aca="false">Activities!N1715</f>
        <v>2</v>
      </c>
      <c r="E4222" s="15" t="s">
        <v>5998</v>
      </c>
    </row>
    <row r="4223" customFormat="false" ht="15" hidden="false" customHeight="false" outlineLevel="0" collapsed="false">
      <c r="A4223" s="15" t="s">
        <v>5301</v>
      </c>
      <c r="B4223" s="15" t="s">
        <v>5313</v>
      </c>
      <c r="C4223" s="15" t="s">
        <v>5995</v>
      </c>
      <c r="D4223" s="34" t="n">
        <f aca="false">-Activities!K1715</f>
        <v>-10</v>
      </c>
      <c r="E4223" s="15" t="s">
        <v>6004</v>
      </c>
    </row>
    <row r="4224" customFormat="false" ht="15" hidden="false" customHeight="false" outlineLevel="0" collapsed="false">
      <c r="A4224" s="15" t="s">
        <v>5313</v>
      </c>
      <c r="B4224" s="15" t="s">
        <v>5315</v>
      </c>
      <c r="C4224" s="15" t="s">
        <v>5997</v>
      </c>
      <c r="D4224" s="34" t="n">
        <f aca="false">Activities!M1716</f>
        <v>10</v>
      </c>
      <c r="E4224" s="15" t="s">
        <v>5998</v>
      </c>
    </row>
    <row r="4225" customFormat="false" ht="15" hidden="false" customHeight="false" outlineLevel="0" collapsed="false">
      <c r="A4225" s="15" t="s">
        <v>5313</v>
      </c>
      <c r="B4225" s="15" t="s">
        <v>5315</v>
      </c>
      <c r="C4225" s="15" t="s">
        <v>5999</v>
      </c>
      <c r="D4225" s="34" t="n">
        <f aca="false">Activities!N1716</f>
        <v>2</v>
      </c>
      <c r="E4225" s="15" t="s">
        <v>5998</v>
      </c>
    </row>
    <row r="4226" customFormat="false" ht="15" hidden="false" customHeight="false" outlineLevel="0" collapsed="false">
      <c r="A4226" s="15" t="s">
        <v>5301</v>
      </c>
      <c r="B4226" s="15" t="s">
        <v>5315</v>
      </c>
      <c r="C4226" s="15" t="s">
        <v>5995</v>
      </c>
      <c r="D4226" s="34" t="n">
        <v>0</v>
      </c>
      <c r="E4226" s="15" t="s">
        <v>6013</v>
      </c>
    </row>
    <row r="4227" customFormat="false" ht="15" hidden="false" customHeight="false" outlineLevel="0" collapsed="false">
      <c r="A4227" s="15" t="s">
        <v>5315</v>
      </c>
      <c r="B4227" s="15" t="s">
        <v>5316</v>
      </c>
      <c r="C4227" s="15" t="s">
        <v>5997</v>
      </c>
      <c r="D4227" s="34" t="n">
        <f aca="false">Activities!M1717</f>
        <v>1</v>
      </c>
      <c r="E4227" s="15" t="s">
        <v>5998</v>
      </c>
    </row>
    <row r="4228" customFormat="false" ht="15" hidden="false" customHeight="false" outlineLevel="0" collapsed="false">
      <c r="A4228" s="15" t="s">
        <v>5315</v>
      </c>
      <c r="B4228" s="15" t="s">
        <v>5316</v>
      </c>
      <c r="C4228" s="15" t="s">
        <v>5999</v>
      </c>
      <c r="D4228" s="34" t="n">
        <f aca="false">Activities!N1717</f>
        <v>2</v>
      </c>
      <c r="E4228" s="15" t="s">
        <v>5998</v>
      </c>
    </row>
    <row r="4229" customFormat="false" ht="15" hidden="false" customHeight="false" outlineLevel="0" collapsed="false">
      <c r="A4229" s="15" t="s">
        <v>5302</v>
      </c>
      <c r="B4229" s="15" t="s">
        <v>5316</v>
      </c>
      <c r="C4229" s="15" t="s">
        <v>5995</v>
      </c>
      <c r="D4229" s="34" t="n">
        <v>0</v>
      </c>
      <c r="E4229" s="15" t="s">
        <v>6013</v>
      </c>
    </row>
    <row r="4230" customFormat="false" ht="15" hidden="false" customHeight="false" outlineLevel="0" collapsed="false">
      <c r="A4230" s="15" t="s">
        <v>5316</v>
      </c>
      <c r="B4230" s="15" t="s">
        <v>5317</v>
      </c>
      <c r="C4230" s="15" t="s">
        <v>5997</v>
      </c>
      <c r="D4230" s="34" t="n">
        <f aca="false">Activities!M1718</f>
        <v>2</v>
      </c>
      <c r="E4230" s="15" t="s">
        <v>5998</v>
      </c>
    </row>
    <row r="4231" customFormat="false" ht="15" hidden="false" customHeight="false" outlineLevel="0" collapsed="false">
      <c r="A4231" s="15" t="s">
        <v>5316</v>
      </c>
      <c r="B4231" s="15" t="s">
        <v>5317</v>
      </c>
      <c r="C4231" s="15" t="s">
        <v>5999</v>
      </c>
      <c r="D4231" s="34" t="n">
        <f aca="false">Activities!N1718</f>
        <v>2</v>
      </c>
      <c r="E4231" s="15" t="s">
        <v>5998</v>
      </c>
    </row>
    <row r="4232" customFormat="false" ht="15" hidden="false" customHeight="false" outlineLevel="0" collapsed="false">
      <c r="A4232" s="15" t="s">
        <v>5303</v>
      </c>
      <c r="B4232" s="15" t="s">
        <v>5317</v>
      </c>
      <c r="C4232" s="15" t="s">
        <v>5995</v>
      </c>
      <c r="D4232" s="34" t="n">
        <v>0</v>
      </c>
      <c r="E4232" s="15" t="s">
        <v>6013</v>
      </c>
    </row>
    <row r="4233" customFormat="false" ht="15" hidden="false" customHeight="false" outlineLevel="0" collapsed="false">
      <c r="A4233" s="15" t="s">
        <v>5317</v>
      </c>
      <c r="B4233" s="15" t="s">
        <v>5318</v>
      </c>
      <c r="C4233" s="15" t="s">
        <v>5997</v>
      </c>
      <c r="D4233" s="34" t="n">
        <f aca="false">Activities!M1719</f>
        <v>1</v>
      </c>
      <c r="E4233" s="15" t="s">
        <v>5998</v>
      </c>
    </row>
    <row r="4234" customFormat="false" ht="15" hidden="false" customHeight="false" outlineLevel="0" collapsed="false">
      <c r="A4234" s="15" t="s">
        <v>5317</v>
      </c>
      <c r="B4234" s="15" t="s">
        <v>5318</v>
      </c>
      <c r="C4234" s="15" t="s">
        <v>5999</v>
      </c>
      <c r="D4234" s="34" t="n">
        <f aca="false">Activities!N1719</f>
        <v>2</v>
      </c>
      <c r="E4234" s="15" t="s">
        <v>5998</v>
      </c>
    </row>
    <row r="4235" customFormat="false" ht="15" hidden="false" customHeight="false" outlineLevel="0" collapsed="false">
      <c r="A4235" s="15" t="s">
        <v>5318</v>
      </c>
      <c r="B4235" s="15" t="s">
        <v>5319</v>
      </c>
      <c r="C4235" s="15" t="s">
        <v>5997</v>
      </c>
      <c r="D4235" s="34" t="n">
        <f aca="false">Activities!M1720</f>
        <v>2</v>
      </c>
      <c r="E4235" s="15" t="s">
        <v>5998</v>
      </c>
    </row>
    <row r="4236" customFormat="false" ht="15" hidden="false" customHeight="false" outlineLevel="0" collapsed="false">
      <c r="A4236" s="15" t="s">
        <v>5318</v>
      </c>
      <c r="B4236" s="15" t="s">
        <v>5319</v>
      </c>
      <c r="C4236" s="15" t="s">
        <v>5999</v>
      </c>
      <c r="D4236" s="34" t="n">
        <f aca="false">Activities!N1720</f>
        <v>2</v>
      </c>
      <c r="E4236" s="15" t="s">
        <v>5998</v>
      </c>
    </row>
    <row r="4237" customFormat="false" ht="15" hidden="false" customHeight="false" outlineLevel="0" collapsed="false">
      <c r="A4237" s="15" t="s">
        <v>5305</v>
      </c>
      <c r="B4237" s="15" t="s">
        <v>5319</v>
      </c>
      <c r="C4237" s="15" t="s">
        <v>5995</v>
      </c>
      <c r="D4237" s="34" t="n">
        <v>0</v>
      </c>
      <c r="E4237" s="15" t="s">
        <v>6013</v>
      </c>
    </row>
    <row r="4238" customFormat="false" ht="15" hidden="false" customHeight="false" outlineLevel="0" collapsed="false">
      <c r="A4238" s="15" t="s">
        <v>5319</v>
      </c>
      <c r="B4238" s="15" t="s">
        <v>5320</v>
      </c>
      <c r="C4238" s="15" t="s">
        <v>5997</v>
      </c>
      <c r="D4238" s="34" t="n">
        <f aca="false">Activities!M1721</f>
        <v>1</v>
      </c>
      <c r="E4238" s="15" t="s">
        <v>5998</v>
      </c>
    </row>
    <row r="4239" customFormat="false" ht="15" hidden="false" customHeight="false" outlineLevel="0" collapsed="false">
      <c r="A4239" s="15" t="s">
        <v>5319</v>
      </c>
      <c r="B4239" s="15" t="s">
        <v>5320</v>
      </c>
      <c r="C4239" s="15" t="s">
        <v>5999</v>
      </c>
      <c r="D4239" s="34" t="n">
        <f aca="false">Activities!N1721</f>
        <v>2</v>
      </c>
      <c r="E4239" s="15" t="s">
        <v>5998</v>
      </c>
    </row>
    <row r="4240" customFormat="false" ht="15" hidden="false" customHeight="false" outlineLevel="0" collapsed="false">
      <c r="A4240" s="15" t="s">
        <v>5321</v>
      </c>
      <c r="B4240" s="15" t="s">
        <v>5323</v>
      </c>
      <c r="C4240" s="15" t="s">
        <v>5995</v>
      </c>
      <c r="D4240" s="34" t="n">
        <v>0</v>
      </c>
      <c r="E4240" s="15" t="s">
        <v>5996</v>
      </c>
    </row>
    <row r="4241" customFormat="false" ht="15" hidden="false" customHeight="false" outlineLevel="0" collapsed="false">
      <c r="A4241" s="15" t="s">
        <v>5311</v>
      </c>
      <c r="B4241" s="15" t="s">
        <v>5323</v>
      </c>
      <c r="C4241" s="15" t="s">
        <v>5997</v>
      </c>
      <c r="D4241" s="34" t="n">
        <v>0</v>
      </c>
      <c r="E4241" s="15" t="s">
        <v>6002</v>
      </c>
    </row>
    <row r="4242" customFormat="false" ht="15" hidden="false" customHeight="false" outlineLevel="0" collapsed="false">
      <c r="A4242" s="15" t="s">
        <v>5323</v>
      </c>
      <c r="B4242" s="15" t="s">
        <v>5325</v>
      </c>
      <c r="C4242" s="15" t="s">
        <v>5997</v>
      </c>
      <c r="D4242" s="34" t="n">
        <f aca="false">Activities!M1724</f>
        <v>1</v>
      </c>
      <c r="E4242" s="15" t="s">
        <v>5998</v>
      </c>
    </row>
    <row r="4243" customFormat="false" ht="15" hidden="false" customHeight="false" outlineLevel="0" collapsed="false">
      <c r="A4243" s="15" t="s">
        <v>5323</v>
      </c>
      <c r="B4243" s="15" t="s">
        <v>5325</v>
      </c>
      <c r="C4243" s="15" t="s">
        <v>5999</v>
      </c>
      <c r="D4243" s="34" t="n">
        <f aca="false">Activities!N1724</f>
        <v>2</v>
      </c>
      <c r="E4243" s="15" t="s">
        <v>5998</v>
      </c>
    </row>
    <row r="4244" customFormat="false" ht="15" hidden="false" customHeight="false" outlineLevel="0" collapsed="false">
      <c r="A4244" s="15" t="s">
        <v>5311</v>
      </c>
      <c r="B4244" s="15" t="s">
        <v>5325</v>
      </c>
      <c r="C4244" s="15" t="s">
        <v>5995</v>
      </c>
      <c r="D4244" s="34" t="n">
        <v>0</v>
      </c>
      <c r="E4244" s="15" t="s">
        <v>6013</v>
      </c>
    </row>
    <row r="4245" customFormat="false" ht="15" hidden="false" customHeight="false" outlineLevel="0" collapsed="false">
      <c r="A4245" s="15" t="s">
        <v>5325</v>
      </c>
      <c r="B4245" s="15" t="s">
        <v>5326</v>
      </c>
      <c r="C4245" s="15" t="s">
        <v>5997</v>
      </c>
      <c r="D4245" s="34" t="n">
        <f aca="false">Activities!M1725</f>
        <v>2</v>
      </c>
      <c r="E4245" s="15" t="s">
        <v>5998</v>
      </c>
    </row>
    <row r="4246" customFormat="false" ht="15" hidden="false" customHeight="false" outlineLevel="0" collapsed="false">
      <c r="A4246" s="15" t="s">
        <v>5325</v>
      </c>
      <c r="B4246" s="15" t="s">
        <v>5326</v>
      </c>
      <c r="C4246" s="15" t="s">
        <v>5999</v>
      </c>
      <c r="D4246" s="34" t="n">
        <f aca="false">Activities!N1725</f>
        <v>2</v>
      </c>
      <c r="E4246" s="15" t="s">
        <v>5998</v>
      </c>
    </row>
    <row r="4247" customFormat="false" ht="15" hidden="false" customHeight="false" outlineLevel="0" collapsed="false">
      <c r="A4247" s="15" t="s">
        <v>5312</v>
      </c>
      <c r="B4247" s="15" t="s">
        <v>5326</v>
      </c>
      <c r="C4247" s="15" t="s">
        <v>5995</v>
      </c>
      <c r="D4247" s="34" t="n">
        <v>0</v>
      </c>
      <c r="E4247" s="15" t="s">
        <v>6013</v>
      </c>
    </row>
    <row r="4248" customFormat="false" ht="15" hidden="false" customHeight="false" outlineLevel="0" collapsed="false">
      <c r="A4248" s="15" t="s">
        <v>5326</v>
      </c>
      <c r="B4248" s="15" t="s">
        <v>5327</v>
      </c>
      <c r="C4248" s="15" t="s">
        <v>5997</v>
      </c>
      <c r="D4248" s="34" t="n">
        <f aca="false">Activities!M1726</f>
        <v>2</v>
      </c>
      <c r="E4248" s="15" t="s">
        <v>5998</v>
      </c>
    </row>
    <row r="4249" customFormat="false" ht="15" hidden="false" customHeight="false" outlineLevel="0" collapsed="false">
      <c r="A4249" s="15" t="s">
        <v>5326</v>
      </c>
      <c r="B4249" s="15" t="s">
        <v>5327</v>
      </c>
      <c r="C4249" s="15" t="s">
        <v>5999</v>
      </c>
      <c r="D4249" s="34" t="n">
        <f aca="false">Activities!N1726</f>
        <v>2</v>
      </c>
      <c r="E4249" s="15" t="s">
        <v>5998</v>
      </c>
    </row>
    <row r="4250" customFormat="false" ht="15" hidden="false" customHeight="false" outlineLevel="0" collapsed="false">
      <c r="A4250" s="15" t="s">
        <v>5315</v>
      </c>
      <c r="B4250" s="15" t="s">
        <v>5327</v>
      </c>
      <c r="C4250" s="15" t="s">
        <v>5995</v>
      </c>
      <c r="D4250" s="34" t="n">
        <f aca="false">-Activities!K1726</f>
        <v>-10</v>
      </c>
      <c r="E4250" s="15" t="s">
        <v>6004</v>
      </c>
    </row>
    <row r="4251" customFormat="false" ht="15" hidden="false" customHeight="false" outlineLevel="0" collapsed="false">
      <c r="A4251" s="15" t="s">
        <v>5327</v>
      </c>
      <c r="B4251" s="15" t="s">
        <v>5329</v>
      </c>
      <c r="C4251" s="15" t="s">
        <v>5997</v>
      </c>
      <c r="D4251" s="34" t="n">
        <f aca="false">Activities!M1727</f>
        <v>10</v>
      </c>
      <c r="E4251" s="15" t="s">
        <v>5998</v>
      </c>
    </row>
    <row r="4252" customFormat="false" ht="15" hidden="false" customHeight="false" outlineLevel="0" collapsed="false">
      <c r="A4252" s="15" t="s">
        <v>5327</v>
      </c>
      <c r="B4252" s="15" t="s">
        <v>5329</v>
      </c>
      <c r="C4252" s="15" t="s">
        <v>5999</v>
      </c>
      <c r="D4252" s="34" t="n">
        <f aca="false">Activities!N1727</f>
        <v>2</v>
      </c>
      <c r="E4252" s="15" t="s">
        <v>5998</v>
      </c>
    </row>
    <row r="4253" customFormat="false" ht="15" hidden="false" customHeight="false" outlineLevel="0" collapsed="false">
      <c r="A4253" s="15" t="s">
        <v>5315</v>
      </c>
      <c r="B4253" s="15" t="s">
        <v>5329</v>
      </c>
      <c r="C4253" s="15" t="s">
        <v>5995</v>
      </c>
      <c r="D4253" s="34" t="n">
        <v>0</v>
      </c>
      <c r="E4253" s="15" t="s">
        <v>6013</v>
      </c>
    </row>
    <row r="4254" customFormat="false" ht="15" hidden="false" customHeight="false" outlineLevel="0" collapsed="false">
      <c r="A4254" s="15" t="s">
        <v>5329</v>
      </c>
      <c r="B4254" s="15" t="s">
        <v>5330</v>
      </c>
      <c r="C4254" s="15" t="s">
        <v>5997</v>
      </c>
      <c r="D4254" s="34" t="n">
        <f aca="false">Activities!M1728</f>
        <v>1</v>
      </c>
      <c r="E4254" s="15" t="s">
        <v>5998</v>
      </c>
    </row>
    <row r="4255" customFormat="false" ht="15" hidden="false" customHeight="false" outlineLevel="0" collapsed="false">
      <c r="A4255" s="15" t="s">
        <v>5329</v>
      </c>
      <c r="B4255" s="15" t="s">
        <v>5330</v>
      </c>
      <c r="C4255" s="15" t="s">
        <v>5999</v>
      </c>
      <c r="D4255" s="34" t="n">
        <f aca="false">Activities!N1728</f>
        <v>2</v>
      </c>
      <c r="E4255" s="15" t="s">
        <v>5998</v>
      </c>
    </row>
    <row r="4256" customFormat="false" ht="15" hidden="false" customHeight="false" outlineLevel="0" collapsed="false">
      <c r="A4256" s="15" t="s">
        <v>5316</v>
      </c>
      <c r="B4256" s="15" t="s">
        <v>5330</v>
      </c>
      <c r="C4256" s="15" t="s">
        <v>5995</v>
      </c>
      <c r="D4256" s="34" t="n">
        <v>0</v>
      </c>
      <c r="E4256" s="15" t="s">
        <v>6013</v>
      </c>
    </row>
    <row r="4257" customFormat="false" ht="15" hidden="false" customHeight="false" outlineLevel="0" collapsed="false">
      <c r="A4257" s="15" t="s">
        <v>5330</v>
      </c>
      <c r="B4257" s="15" t="s">
        <v>5331</v>
      </c>
      <c r="C4257" s="15" t="s">
        <v>5997</v>
      </c>
      <c r="D4257" s="34" t="n">
        <f aca="false">Activities!M1729</f>
        <v>3</v>
      </c>
      <c r="E4257" s="15" t="s">
        <v>5998</v>
      </c>
    </row>
    <row r="4258" customFormat="false" ht="15" hidden="false" customHeight="false" outlineLevel="0" collapsed="false">
      <c r="A4258" s="15" t="s">
        <v>5330</v>
      </c>
      <c r="B4258" s="15" t="s">
        <v>5331</v>
      </c>
      <c r="C4258" s="15" t="s">
        <v>5999</v>
      </c>
      <c r="D4258" s="34" t="n">
        <f aca="false">Activities!N1729</f>
        <v>2</v>
      </c>
      <c r="E4258" s="15" t="s">
        <v>5998</v>
      </c>
    </row>
    <row r="4259" customFormat="false" ht="15" hidden="false" customHeight="false" outlineLevel="0" collapsed="false">
      <c r="A4259" s="15" t="s">
        <v>5317</v>
      </c>
      <c r="B4259" s="15" t="s">
        <v>5331</v>
      </c>
      <c r="C4259" s="15" t="s">
        <v>5995</v>
      </c>
      <c r="D4259" s="34" t="n">
        <v>0</v>
      </c>
      <c r="E4259" s="15" t="s">
        <v>6013</v>
      </c>
    </row>
    <row r="4260" customFormat="false" ht="15" hidden="false" customHeight="false" outlineLevel="0" collapsed="false">
      <c r="A4260" s="15" t="s">
        <v>5331</v>
      </c>
      <c r="B4260" s="15" t="s">
        <v>5332</v>
      </c>
      <c r="C4260" s="15" t="s">
        <v>5997</v>
      </c>
      <c r="D4260" s="34" t="n">
        <f aca="false">Activities!M1730</f>
        <v>2</v>
      </c>
      <c r="E4260" s="15" t="s">
        <v>5998</v>
      </c>
    </row>
    <row r="4261" customFormat="false" ht="15" hidden="false" customHeight="false" outlineLevel="0" collapsed="false">
      <c r="A4261" s="15" t="s">
        <v>5331</v>
      </c>
      <c r="B4261" s="15" t="s">
        <v>5332</v>
      </c>
      <c r="C4261" s="15" t="s">
        <v>5999</v>
      </c>
      <c r="D4261" s="34" t="n">
        <f aca="false">Activities!N1730</f>
        <v>2</v>
      </c>
      <c r="E4261" s="15" t="s">
        <v>5998</v>
      </c>
    </row>
    <row r="4262" customFormat="false" ht="15" hidden="false" customHeight="false" outlineLevel="0" collapsed="false">
      <c r="A4262" s="15" t="s">
        <v>5332</v>
      </c>
      <c r="B4262" s="15" t="s">
        <v>5333</v>
      </c>
      <c r="C4262" s="15" t="s">
        <v>5997</v>
      </c>
      <c r="D4262" s="34" t="n">
        <f aca="false">Activities!M1731</f>
        <v>2</v>
      </c>
      <c r="E4262" s="15" t="s">
        <v>5998</v>
      </c>
    </row>
    <row r="4263" customFormat="false" ht="15" hidden="false" customHeight="false" outlineLevel="0" collapsed="false">
      <c r="A4263" s="15" t="s">
        <v>5332</v>
      </c>
      <c r="B4263" s="15" t="s">
        <v>5333</v>
      </c>
      <c r="C4263" s="15" t="s">
        <v>5999</v>
      </c>
      <c r="D4263" s="34" t="n">
        <f aca="false">Activities!N1731</f>
        <v>2</v>
      </c>
      <c r="E4263" s="15" t="s">
        <v>5998</v>
      </c>
    </row>
    <row r="4264" customFormat="false" ht="15" hidden="false" customHeight="false" outlineLevel="0" collapsed="false">
      <c r="A4264" s="15" t="s">
        <v>5319</v>
      </c>
      <c r="B4264" s="15" t="s">
        <v>5333</v>
      </c>
      <c r="C4264" s="15" t="s">
        <v>5995</v>
      </c>
      <c r="D4264" s="34" t="n">
        <v>0</v>
      </c>
      <c r="E4264" s="15" t="s">
        <v>6013</v>
      </c>
    </row>
    <row r="4265" customFormat="false" ht="15" hidden="false" customHeight="false" outlineLevel="0" collapsed="false">
      <c r="A4265" s="15" t="s">
        <v>5333</v>
      </c>
      <c r="B4265" s="15" t="s">
        <v>5334</v>
      </c>
      <c r="C4265" s="15" t="s">
        <v>5997</v>
      </c>
      <c r="D4265" s="34" t="n">
        <f aca="false">Activities!M1732</f>
        <v>1</v>
      </c>
      <c r="E4265" s="15" t="s">
        <v>5998</v>
      </c>
    </row>
    <row r="4266" customFormat="false" ht="15" hidden="false" customHeight="false" outlineLevel="0" collapsed="false">
      <c r="A4266" s="15" t="s">
        <v>5333</v>
      </c>
      <c r="B4266" s="15" t="s">
        <v>5334</v>
      </c>
      <c r="C4266" s="15" t="s">
        <v>5999</v>
      </c>
      <c r="D4266" s="34" t="n">
        <f aca="false">Activities!N1732</f>
        <v>2</v>
      </c>
      <c r="E4266" s="15" t="s">
        <v>5998</v>
      </c>
    </row>
    <row r="4267" customFormat="false" ht="15" hidden="false" customHeight="false" outlineLevel="0" collapsed="false">
      <c r="A4267" s="15" t="s">
        <v>5335</v>
      </c>
      <c r="B4267" s="15" t="s">
        <v>5337</v>
      </c>
      <c r="C4267" s="15" t="s">
        <v>5995</v>
      </c>
      <c r="D4267" s="34" t="n">
        <v>0</v>
      </c>
      <c r="E4267" s="15" t="s">
        <v>5996</v>
      </c>
    </row>
    <row r="4268" customFormat="false" ht="15" hidden="false" customHeight="false" outlineLevel="0" collapsed="false">
      <c r="A4268" s="15" t="s">
        <v>5325</v>
      </c>
      <c r="B4268" s="15" t="s">
        <v>5337</v>
      </c>
      <c r="C4268" s="15" t="s">
        <v>5997</v>
      </c>
      <c r="D4268" s="34" t="n">
        <v>0</v>
      </c>
      <c r="E4268" s="15" t="s">
        <v>6002</v>
      </c>
    </row>
    <row r="4269" customFormat="false" ht="15" hidden="false" customHeight="false" outlineLevel="0" collapsed="false">
      <c r="A4269" s="15" t="s">
        <v>5337</v>
      </c>
      <c r="B4269" s="15" t="s">
        <v>5339</v>
      </c>
      <c r="C4269" s="15" t="s">
        <v>5997</v>
      </c>
      <c r="D4269" s="34" t="n">
        <f aca="false">Activities!M1735</f>
        <v>1</v>
      </c>
      <c r="E4269" s="15" t="s">
        <v>5998</v>
      </c>
    </row>
    <row r="4270" customFormat="false" ht="15" hidden="false" customHeight="false" outlineLevel="0" collapsed="false">
      <c r="A4270" s="15" t="s">
        <v>5337</v>
      </c>
      <c r="B4270" s="15" t="s">
        <v>5339</v>
      </c>
      <c r="C4270" s="15" t="s">
        <v>5999</v>
      </c>
      <c r="D4270" s="34" t="n">
        <f aca="false">Activities!N1735</f>
        <v>2</v>
      </c>
      <c r="E4270" s="15" t="s">
        <v>5998</v>
      </c>
    </row>
    <row r="4271" customFormat="false" ht="15" hidden="false" customHeight="false" outlineLevel="0" collapsed="false">
      <c r="A4271" s="15" t="s">
        <v>5325</v>
      </c>
      <c r="B4271" s="15" t="s">
        <v>5339</v>
      </c>
      <c r="C4271" s="15" t="s">
        <v>5995</v>
      </c>
      <c r="D4271" s="34" t="n">
        <v>0</v>
      </c>
      <c r="E4271" s="15" t="s">
        <v>6013</v>
      </c>
    </row>
    <row r="4272" customFormat="false" ht="15" hidden="false" customHeight="false" outlineLevel="0" collapsed="false">
      <c r="A4272" s="15" t="s">
        <v>5339</v>
      </c>
      <c r="B4272" s="15" t="s">
        <v>5340</v>
      </c>
      <c r="C4272" s="15" t="s">
        <v>5997</v>
      </c>
      <c r="D4272" s="34" t="n">
        <f aca="false">Activities!M1736</f>
        <v>1</v>
      </c>
      <c r="E4272" s="15" t="s">
        <v>5998</v>
      </c>
    </row>
    <row r="4273" customFormat="false" ht="15" hidden="false" customHeight="false" outlineLevel="0" collapsed="false">
      <c r="A4273" s="15" t="s">
        <v>5339</v>
      </c>
      <c r="B4273" s="15" t="s">
        <v>5340</v>
      </c>
      <c r="C4273" s="15" t="s">
        <v>5999</v>
      </c>
      <c r="D4273" s="34" t="n">
        <f aca="false">Activities!N1736</f>
        <v>2</v>
      </c>
      <c r="E4273" s="15" t="s">
        <v>5998</v>
      </c>
    </row>
    <row r="4274" customFormat="false" ht="15" hidden="false" customHeight="false" outlineLevel="0" collapsed="false">
      <c r="A4274" s="15" t="s">
        <v>5326</v>
      </c>
      <c r="B4274" s="15" t="s">
        <v>5340</v>
      </c>
      <c r="C4274" s="15" t="s">
        <v>5995</v>
      </c>
      <c r="D4274" s="34" t="n">
        <v>0</v>
      </c>
      <c r="E4274" s="15" t="s">
        <v>6013</v>
      </c>
    </row>
    <row r="4275" customFormat="false" ht="15" hidden="false" customHeight="false" outlineLevel="0" collapsed="false">
      <c r="A4275" s="15" t="s">
        <v>5340</v>
      </c>
      <c r="B4275" s="15" t="s">
        <v>5341</v>
      </c>
      <c r="C4275" s="15" t="s">
        <v>5997</v>
      </c>
      <c r="D4275" s="34" t="n">
        <f aca="false">Activities!M1737</f>
        <v>1</v>
      </c>
      <c r="E4275" s="15" t="s">
        <v>5998</v>
      </c>
    </row>
    <row r="4276" customFormat="false" ht="15" hidden="false" customHeight="false" outlineLevel="0" collapsed="false">
      <c r="A4276" s="15" t="s">
        <v>5340</v>
      </c>
      <c r="B4276" s="15" t="s">
        <v>5341</v>
      </c>
      <c r="C4276" s="15" t="s">
        <v>5999</v>
      </c>
      <c r="D4276" s="34" t="n">
        <f aca="false">Activities!N1737</f>
        <v>2</v>
      </c>
      <c r="E4276" s="15" t="s">
        <v>5998</v>
      </c>
    </row>
    <row r="4277" customFormat="false" ht="15" hidden="false" customHeight="false" outlineLevel="0" collapsed="false">
      <c r="A4277" s="15" t="s">
        <v>5329</v>
      </c>
      <c r="B4277" s="15" t="s">
        <v>5341</v>
      </c>
      <c r="C4277" s="15" t="s">
        <v>5995</v>
      </c>
      <c r="D4277" s="34" t="n">
        <f aca="false">-Activities!K1737</f>
        <v>-10</v>
      </c>
      <c r="E4277" s="15" t="s">
        <v>6004</v>
      </c>
    </row>
    <row r="4278" customFormat="false" ht="15" hidden="false" customHeight="false" outlineLevel="0" collapsed="false">
      <c r="A4278" s="15" t="s">
        <v>5341</v>
      </c>
      <c r="B4278" s="15" t="s">
        <v>5343</v>
      </c>
      <c r="C4278" s="15" t="s">
        <v>5997</v>
      </c>
      <c r="D4278" s="34" t="n">
        <f aca="false">Activities!M1738</f>
        <v>10</v>
      </c>
      <c r="E4278" s="15" t="s">
        <v>5998</v>
      </c>
    </row>
    <row r="4279" customFormat="false" ht="15" hidden="false" customHeight="false" outlineLevel="0" collapsed="false">
      <c r="A4279" s="15" t="s">
        <v>5341</v>
      </c>
      <c r="B4279" s="15" t="s">
        <v>5343</v>
      </c>
      <c r="C4279" s="15" t="s">
        <v>5999</v>
      </c>
      <c r="D4279" s="34" t="n">
        <f aca="false">Activities!N1738</f>
        <v>2</v>
      </c>
      <c r="E4279" s="15" t="s">
        <v>5998</v>
      </c>
    </row>
    <row r="4280" customFormat="false" ht="15" hidden="false" customHeight="false" outlineLevel="0" collapsed="false">
      <c r="A4280" s="15" t="s">
        <v>5329</v>
      </c>
      <c r="B4280" s="15" t="s">
        <v>5343</v>
      </c>
      <c r="C4280" s="15" t="s">
        <v>5995</v>
      </c>
      <c r="D4280" s="34" t="n">
        <v>0</v>
      </c>
      <c r="E4280" s="15" t="s">
        <v>6013</v>
      </c>
    </row>
    <row r="4281" customFormat="false" ht="15" hidden="false" customHeight="false" outlineLevel="0" collapsed="false">
      <c r="A4281" s="15" t="s">
        <v>5343</v>
      </c>
      <c r="B4281" s="15" t="s">
        <v>5344</v>
      </c>
      <c r="C4281" s="15" t="s">
        <v>5997</v>
      </c>
      <c r="D4281" s="34" t="n">
        <f aca="false">Activities!M1739</f>
        <v>1</v>
      </c>
      <c r="E4281" s="15" t="s">
        <v>5998</v>
      </c>
    </row>
    <row r="4282" customFormat="false" ht="15" hidden="false" customHeight="false" outlineLevel="0" collapsed="false">
      <c r="A4282" s="15" t="s">
        <v>5343</v>
      </c>
      <c r="B4282" s="15" t="s">
        <v>5344</v>
      </c>
      <c r="C4282" s="15" t="s">
        <v>5999</v>
      </c>
      <c r="D4282" s="34" t="n">
        <f aca="false">Activities!N1739</f>
        <v>2</v>
      </c>
      <c r="E4282" s="15" t="s">
        <v>5998</v>
      </c>
    </row>
    <row r="4283" customFormat="false" ht="15" hidden="false" customHeight="false" outlineLevel="0" collapsed="false">
      <c r="A4283" s="15" t="s">
        <v>5330</v>
      </c>
      <c r="B4283" s="15" t="s">
        <v>5344</v>
      </c>
      <c r="C4283" s="15" t="s">
        <v>5995</v>
      </c>
      <c r="D4283" s="34" t="n">
        <v>0</v>
      </c>
      <c r="E4283" s="15" t="s">
        <v>6013</v>
      </c>
    </row>
    <row r="4284" customFormat="false" ht="15" hidden="false" customHeight="false" outlineLevel="0" collapsed="false">
      <c r="A4284" s="15" t="s">
        <v>5344</v>
      </c>
      <c r="B4284" s="15" t="s">
        <v>5345</v>
      </c>
      <c r="C4284" s="15" t="s">
        <v>5997</v>
      </c>
      <c r="D4284" s="34" t="n">
        <f aca="false">Activities!M1740</f>
        <v>2</v>
      </c>
      <c r="E4284" s="15" t="s">
        <v>5998</v>
      </c>
    </row>
    <row r="4285" customFormat="false" ht="15" hidden="false" customHeight="false" outlineLevel="0" collapsed="false">
      <c r="A4285" s="15" t="s">
        <v>5344</v>
      </c>
      <c r="B4285" s="15" t="s">
        <v>5345</v>
      </c>
      <c r="C4285" s="15" t="s">
        <v>5999</v>
      </c>
      <c r="D4285" s="34" t="n">
        <f aca="false">Activities!N1740</f>
        <v>2</v>
      </c>
      <c r="E4285" s="15" t="s">
        <v>5998</v>
      </c>
    </row>
    <row r="4286" customFormat="false" ht="15" hidden="false" customHeight="false" outlineLevel="0" collapsed="false">
      <c r="A4286" s="15" t="s">
        <v>5331</v>
      </c>
      <c r="B4286" s="15" t="s">
        <v>5345</v>
      </c>
      <c r="C4286" s="15" t="s">
        <v>5995</v>
      </c>
      <c r="D4286" s="34" t="n">
        <v>0</v>
      </c>
      <c r="E4286" s="15" t="s">
        <v>6013</v>
      </c>
    </row>
    <row r="4287" customFormat="false" ht="15" hidden="false" customHeight="false" outlineLevel="0" collapsed="false">
      <c r="A4287" s="15" t="s">
        <v>5345</v>
      </c>
      <c r="B4287" s="15" t="s">
        <v>5346</v>
      </c>
      <c r="C4287" s="15" t="s">
        <v>5997</v>
      </c>
      <c r="D4287" s="34" t="n">
        <f aca="false">Activities!M1741</f>
        <v>1</v>
      </c>
      <c r="E4287" s="15" t="s">
        <v>5998</v>
      </c>
    </row>
    <row r="4288" customFormat="false" ht="15" hidden="false" customHeight="false" outlineLevel="0" collapsed="false">
      <c r="A4288" s="15" t="s">
        <v>5345</v>
      </c>
      <c r="B4288" s="15" t="s">
        <v>5346</v>
      </c>
      <c r="C4288" s="15" t="s">
        <v>5999</v>
      </c>
      <c r="D4288" s="34" t="n">
        <f aca="false">Activities!N1741</f>
        <v>2</v>
      </c>
      <c r="E4288" s="15" t="s">
        <v>5998</v>
      </c>
    </row>
    <row r="4289" customFormat="false" ht="15" hidden="false" customHeight="false" outlineLevel="0" collapsed="false">
      <c r="A4289" s="15" t="s">
        <v>5346</v>
      </c>
      <c r="B4289" s="15" t="s">
        <v>5347</v>
      </c>
      <c r="C4289" s="15" t="s">
        <v>5997</v>
      </c>
      <c r="D4289" s="34" t="n">
        <f aca="false">Activities!M1742</f>
        <v>2</v>
      </c>
      <c r="E4289" s="15" t="s">
        <v>5998</v>
      </c>
    </row>
    <row r="4290" customFormat="false" ht="15" hidden="false" customHeight="false" outlineLevel="0" collapsed="false">
      <c r="A4290" s="15" t="s">
        <v>5346</v>
      </c>
      <c r="B4290" s="15" t="s">
        <v>5347</v>
      </c>
      <c r="C4290" s="15" t="s">
        <v>5999</v>
      </c>
      <c r="D4290" s="34" t="n">
        <f aca="false">Activities!N1742</f>
        <v>2</v>
      </c>
      <c r="E4290" s="15" t="s">
        <v>5998</v>
      </c>
    </row>
    <row r="4291" customFormat="false" ht="15" hidden="false" customHeight="false" outlineLevel="0" collapsed="false">
      <c r="A4291" s="15" t="s">
        <v>5333</v>
      </c>
      <c r="B4291" s="15" t="s">
        <v>5347</v>
      </c>
      <c r="C4291" s="15" t="s">
        <v>5995</v>
      </c>
      <c r="D4291" s="34" t="n">
        <v>0</v>
      </c>
      <c r="E4291" s="15" t="s">
        <v>6013</v>
      </c>
    </row>
    <row r="4292" customFormat="false" ht="15" hidden="false" customHeight="false" outlineLevel="0" collapsed="false">
      <c r="A4292" s="15" t="s">
        <v>5347</v>
      </c>
      <c r="B4292" s="15" t="s">
        <v>5348</v>
      </c>
      <c r="C4292" s="15" t="s">
        <v>5997</v>
      </c>
      <c r="D4292" s="34" t="n">
        <f aca="false">Activities!M1743</f>
        <v>1</v>
      </c>
      <c r="E4292" s="15" t="s">
        <v>5998</v>
      </c>
    </row>
    <row r="4293" customFormat="false" ht="15" hidden="false" customHeight="false" outlineLevel="0" collapsed="false">
      <c r="A4293" s="15" t="s">
        <v>5347</v>
      </c>
      <c r="B4293" s="15" t="s">
        <v>5348</v>
      </c>
      <c r="C4293" s="15" t="s">
        <v>5999</v>
      </c>
      <c r="D4293" s="34" t="n">
        <f aca="false">Activities!N1743</f>
        <v>2</v>
      </c>
      <c r="E4293" s="15" t="s">
        <v>5998</v>
      </c>
    </row>
    <row r="4294" customFormat="false" ht="15" hidden="false" customHeight="false" outlineLevel="0" collapsed="false">
      <c r="A4294" s="15" t="s">
        <v>5349</v>
      </c>
      <c r="B4294" s="15" t="s">
        <v>5351</v>
      </c>
      <c r="C4294" s="15" t="s">
        <v>5995</v>
      </c>
      <c r="D4294" s="34" t="n">
        <v>0</v>
      </c>
      <c r="E4294" s="15" t="s">
        <v>5996</v>
      </c>
    </row>
    <row r="4295" customFormat="false" ht="15" hidden="false" customHeight="false" outlineLevel="0" collapsed="false">
      <c r="A4295" s="15" t="s">
        <v>5339</v>
      </c>
      <c r="B4295" s="15" t="s">
        <v>5351</v>
      </c>
      <c r="C4295" s="15" t="s">
        <v>5997</v>
      </c>
      <c r="D4295" s="34" t="n">
        <v>0</v>
      </c>
      <c r="E4295" s="15" t="s">
        <v>6002</v>
      </c>
    </row>
    <row r="4296" customFormat="false" ht="15" hidden="false" customHeight="false" outlineLevel="0" collapsed="false">
      <c r="A4296" s="15" t="s">
        <v>5351</v>
      </c>
      <c r="B4296" s="15" t="s">
        <v>5353</v>
      </c>
      <c r="C4296" s="15" t="s">
        <v>5997</v>
      </c>
      <c r="D4296" s="34" t="n">
        <f aca="false">Activities!M1746</f>
        <v>1</v>
      </c>
      <c r="E4296" s="15" t="s">
        <v>5998</v>
      </c>
    </row>
    <row r="4297" customFormat="false" ht="15" hidden="false" customHeight="false" outlineLevel="0" collapsed="false">
      <c r="A4297" s="15" t="s">
        <v>5351</v>
      </c>
      <c r="B4297" s="15" t="s">
        <v>5353</v>
      </c>
      <c r="C4297" s="15" t="s">
        <v>5999</v>
      </c>
      <c r="D4297" s="34" t="n">
        <f aca="false">Activities!N1746</f>
        <v>2</v>
      </c>
      <c r="E4297" s="15" t="s">
        <v>5998</v>
      </c>
    </row>
    <row r="4298" customFormat="false" ht="15" hidden="false" customHeight="false" outlineLevel="0" collapsed="false">
      <c r="A4298" s="15" t="s">
        <v>5339</v>
      </c>
      <c r="B4298" s="15" t="s">
        <v>5353</v>
      </c>
      <c r="C4298" s="15" t="s">
        <v>5995</v>
      </c>
      <c r="D4298" s="34" t="n">
        <v>0</v>
      </c>
      <c r="E4298" s="15" t="s">
        <v>6013</v>
      </c>
    </row>
    <row r="4299" customFormat="false" ht="15" hidden="false" customHeight="false" outlineLevel="0" collapsed="false">
      <c r="A4299" s="15" t="s">
        <v>5353</v>
      </c>
      <c r="B4299" s="15" t="s">
        <v>5354</v>
      </c>
      <c r="C4299" s="15" t="s">
        <v>5997</v>
      </c>
      <c r="D4299" s="34" t="n">
        <f aca="false">Activities!M1747</f>
        <v>2</v>
      </c>
      <c r="E4299" s="15" t="s">
        <v>5998</v>
      </c>
    </row>
    <row r="4300" customFormat="false" ht="15" hidden="false" customHeight="false" outlineLevel="0" collapsed="false">
      <c r="A4300" s="15" t="s">
        <v>5353</v>
      </c>
      <c r="B4300" s="15" t="s">
        <v>5354</v>
      </c>
      <c r="C4300" s="15" t="s">
        <v>5999</v>
      </c>
      <c r="D4300" s="34" t="n">
        <f aca="false">Activities!N1747</f>
        <v>2</v>
      </c>
      <c r="E4300" s="15" t="s">
        <v>5998</v>
      </c>
    </row>
    <row r="4301" customFormat="false" ht="15" hidden="false" customHeight="false" outlineLevel="0" collapsed="false">
      <c r="A4301" s="15" t="s">
        <v>5340</v>
      </c>
      <c r="B4301" s="15" t="s">
        <v>5354</v>
      </c>
      <c r="C4301" s="15" t="s">
        <v>5995</v>
      </c>
      <c r="D4301" s="34" t="n">
        <v>0</v>
      </c>
      <c r="E4301" s="15" t="s">
        <v>6013</v>
      </c>
    </row>
    <row r="4302" customFormat="false" ht="15" hidden="false" customHeight="false" outlineLevel="0" collapsed="false">
      <c r="A4302" s="15" t="s">
        <v>5354</v>
      </c>
      <c r="B4302" s="15" t="s">
        <v>5355</v>
      </c>
      <c r="C4302" s="15" t="s">
        <v>5997</v>
      </c>
      <c r="D4302" s="34" t="n">
        <f aca="false">Activities!M1748</f>
        <v>2</v>
      </c>
      <c r="E4302" s="15" t="s">
        <v>5998</v>
      </c>
    </row>
    <row r="4303" customFormat="false" ht="15" hidden="false" customHeight="false" outlineLevel="0" collapsed="false">
      <c r="A4303" s="15" t="s">
        <v>5354</v>
      </c>
      <c r="B4303" s="15" t="s">
        <v>5355</v>
      </c>
      <c r="C4303" s="15" t="s">
        <v>5999</v>
      </c>
      <c r="D4303" s="34" t="n">
        <f aca="false">Activities!N1748</f>
        <v>2</v>
      </c>
      <c r="E4303" s="15" t="s">
        <v>5998</v>
      </c>
    </row>
    <row r="4304" customFormat="false" ht="15" hidden="false" customHeight="false" outlineLevel="0" collapsed="false">
      <c r="A4304" s="15" t="s">
        <v>5343</v>
      </c>
      <c r="B4304" s="15" t="s">
        <v>5355</v>
      </c>
      <c r="C4304" s="15" t="s">
        <v>5995</v>
      </c>
      <c r="D4304" s="34" t="n">
        <f aca="false">-Activities!K1748</f>
        <v>-10</v>
      </c>
      <c r="E4304" s="15" t="s">
        <v>6004</v>
      </c>
    </row>
    <row r="4305" customFormat="false" ht="15" hidden="false" customHeight="false" outlineLevel="0" collapsed="false">
      <c r="A4305" s="15" t="s">
        <v>5355</v>
      </c>
      <c r="B4305" s="15" t="s">
        <v>5357</v>
      </c>
      <c r="C4305" s="15" t="s">
        <v>5997</v>
      </c>
      <c r="D4305" s="34" t="n">
        <f aca="false">Activities!M1749</f>
        <v>10</v>
      </c>
      <c r="E4305" s="15" t="s">
        <v>5998</v>
      </c>
    </row>
    <row r="4306" customFormat="false" ht="15" hidden="false" customHeight="false" outlineLevel="0" collapsed="false">
      <c r="A4306" s="15" t="s">
        <v>5355</v>
      </c>
      <c r="B4306" s="15" t="s">
        <v>5357</v>
      </c>
      <c r="C4306" s="15" t="s">
        <v>5999</v>
      </c>
      <c r="D4306" s="34" t="n">
        <f aca="false">Activities!N1749</f>
        <v>2</v>
      </c>
      <c r="E4306" s="15" t="s">
        <v>5998</v>
      </c>
    </row>
    <row r="4307" customFormat="false" ht="15" hidden="false" customHeight="false" outlineLevel="0" collapsed="false">
      <c r="A4307" s="15" t="s">
        <v>5343</v>
      </c>
      <c r="B4307" s="15" t="s">
        <v>5357</v>
      </c>
      <c r="C4307" s="15" t="s">
        <v>5995</v>
      </c>
      <c r="D4307" s="34" t="n">
        <v>0</v>
      </c>
      <c r="E4307" s="15" t="s">
        <v>6013</v>
      </c>
    </row>
    <row r="4308" customFormat="false" ht="15" hidden="false" customHeight="false" outlineLevel="0" collapsed="false">
      <c r="A4308" s="15" t="s">
        <v>5357</v>
      </c>
      <c r="B4308" s="15" t="s">
        <v>5358</v>
      </c>
      <c r="C4308" s="15" t="s">
        <v>5997</v>
      </c>
      <c r="D4308" s="34" t="n">
        <f aca="false">Activities!M1750</f>
        <v>2</v>
      </c>
      <c r="E4308" s="15" t="s">
        <v>5998</v>
      </c>
    </row>
    <row r="4309" customFormat="false" ht="15" hidden="false" customHeight="false" outlineLevel="0" collapsed="false">
      <c r="A4309" s="15" t="s">
        <v>5357</v>
      </c>
      <c r="B4309" s="15" t="s">
        <v>5358</v>
      </c>
      <c r="C4309" s="15" t="s">
        <v>5999</v>
      </c>
      <c r="D4309" s="34" t="n">
        <f aca="false">Activities!N1750</f>
        <v>2</v>
      </c>
      <c r="E4309" s="15" t="s">
        <v>5998</v>
      </c>
    </row>
    <row r="4310" customFormat="false" ht="15" hidden="false" customHeight="false" outlineLevel="0" collapsed="false">
      <c r="A4310" s="15" t="s">
        <v>5344</v>
      </c>
      <c r="B4310" s="15" t="s">
        <v>5358</v>
      </c>
      <c r="C4310" s="15" t="s">
        <v>5995</v>
      </c>
      <c r="D4310" s="34" t="n">
        <v>0</v>
      </c>
      <c r="E4310" s="15" t="s">
        <v>6013</v>
      </c>
    </row>
    <row r="4311" customFormat="false" ht="15" hidden="false" customHeight="false" outlineLevel="0" collapsed="false">
      <c r="A4311" s="15" t="s">
        <v>5358</v>
      </c>
      <c r="B4311" s="15" t="s">
        <v>5359</v>
      </c>
      <c r="C4311" s="15" t="s">
        <v>5997</v>
      </c>
      <c r="D4311" s="34" t="n">
        <f aca="false">Activities!M1751</f>
        <v>3</v>
      </c>
      <c r="E4311" s="15" t="s">
        <v>5998</v>
      </c>
    </row>
    <row r="4312" customFormat="false" ht="15" hidden="false" customHeight="false" outlineLevel="0" collapsed="false">
      <c r="A4312" s="15" t="s">
        <v>5358</v>
      </c>
      <c r="B4312" s="15" t="s">
        <v>5359</v>
      </c>
      <c r="C4312" s="15" t="s">
        <v>5999</v>
      </c>
      <c r="D4312" s="34" t="n">
        <f aca="false">Activities!N1751</f>
        <v>2</v>
      </c>
      <c r="E4312" s="15" t="s">
        <v>5998</v>
      </c>
    </row>
    <row r="4313" customFormat="false" ht="15" hidden="false" customHeight="false" outlineLevel="0" collapsed="false">
      <c r="A4313" s="15" t="s">
        <v>5345</v>
      </c>
      <c r="B4313" s="15" t="s">
        <v>5359</v>
      </c>
      <c r="C4313" s="15" t="s">
        <v>5995</v>
      </c>
      <c r="D4313" s="34" t="n">
        <v>0</v>
      </c>
      <c r="E4313" s="15" t="s">
        <v>6013</v>
      </c>
    </row>
    <row r="4314" customFormat="false" ht="15" hidden="false" customHeight="false" outlineLevel="0" collapsed="false">
      <c r="A4314" s="15" t="s">
        <v>5359</v>
      </c>
      <c r="B4314" s="15" t="s">
        <v>5360</v>
      </c>
      <c r="C4314" s="15" t="s">
        <v>5997</v>
      </c>
      <c r="D4314" s="34" t="n">
        <f aca="false">Activities!M1752</f>
        <v>2</v>
      </c>
      <c r="E4314" s="15" t="s">
        <v>5998</v>
      </c>
    </row>
    <row r="4315" customFormat="false" ht="15" hidden="false" customHeight="false" outlineLevel="0" collapsed="false">
      <c r="A4315" s="15" t="s">
        <v>5359</v>
      </c>
      <c r="B4315" s="15" t="s">
        <v>5360</v>
      </c>
      <c r="C4315" s="15" t="s">
        <v>5999</v>
      </c>
      <c r="D4315" s="34" t="n">
        <f aca="false">Activities!N1752</f>
        <v>2</v>
      </c>
      <c r="E4315" s="15" t="s">
        <v>5998</v>
      </c>
    </row>
    <row r="4316" customFormat="false" ht="15" hidden="false" customHeight="false" outlineLevel="0" collapsed="false">
      <c r="A4316" s="15" t="s">
        <v>5360</v>
      </c>
      <c r="B4316" s="15" t="s">
        <v>5361</v>
      </c>
      <c r="C4316" s="15" t="s">
        <v>5997</v>
      </c>
      <c r="D4316" s="34" t="n">
        <f aca="false">Activities!M1753</f>
        <v>2</v>
      </c>
      <c r="E4316" s="15" t="s">
        <v>5998</v>
      </c>
    </row>
    <row r="4317" customFormat="false" ht="15" hidden="false" customHeight="false" outlineLevel="0" collapsed="false">
      <c r="A4317" s="15" t="s">
        <v>5360</v>
      </c>
      <c r="B4317" s="15" t="s">
        <v>5361</v>
      </c>
      <c r="C4317" s="15" t="s">
        <v>5999</v>
      </c>
      <c r="D4317" s="34" t="n">
        <f aca="false">Activities!N1753</f>
        <v>2</v>
      </c>
      <c r="E4317" s="15" t="s">
        <v>5998</v>
      </c>
    </row>
    <row r="4318" customFormat="false" ht="15" hidden="false" customHeight="false" outlineLevel="0" collapsed="false">
      <c r="A4318" s="15" t="s">
        <v>5347</v>
      </c>
      <c r="B4318" s="15" t="s">
        <v>5361</v>
      </c>
      <c r="C4318" s="15" t="s">
        <v>5995</v>
      </c>
      <c r="D4318" s="34" t="n">
        <v>0</v>
      </c>
      <c r="E4318" s="15" t="s">
        <v>6013</v>
      </c>
    </row>
    <row r="4319" customFormat="false" ht="15" hidden="false" customHeight="false" outlineLevel="0" collapsed="false">
      <c r="A4319" s="15" t="s">
        <v>5375</v>
      </c>
      <c r="B4319" s="15" t="s">
        <v>5361</v>
      </c>
      <c r="C4319" s="15" t="s">
        <v>5995</v>
      </c>
      <c r="D4319" s="34" t="n">
        <v>0</v>
      </c>
      <c r="E4319" s="15" t="s">
        <v>6005</v>
      </c>
    </row>
    <row r="4320" customFormat="false" ht="15" hidden="false" customHeight="false" outlineLevel="0" collapsed="false">
      <c r="A4320" s="15" t="s">
        <v>5406</v>
      </c>
      <c r="B4320" s="15" t="s">
        <v>5361</v>
      </c>
      <c r="C4320" s="15" t="s">
        <v>5995</v>
      </c>
      <c r="D4320" s="34" t="n">
        <v>0</v>
      </c>
      <c r="E4320" s="15" t="s">
        <v>6005</v>
      </c>
    </row>
    <row r="4321" customFormat="false" ht="15" hidden="false" customHeight="false" outlineLevel="0" collapsed="false">
      <c r="A4321" s="15" t="s">
        <v>5361</v>
      </c>
      <c r="B4321" s="15" t="s">
        <v>5363</v>
      </c>
      <c r="C4321" s="15" t="s">
        <v>5997</v>
      </c>
      <c r="D4321" s="34" t="n">
        <f aca="false">Activities!M1754</f>
        <v>1</v>
      </c>
      <c r="E4321" s="15" t="s">
        <v>5998</v>
      </c>
    </row>
    <row r="4322" customFormat="false" ht="15" hidden="false" customHeight="false" outlineLevel="0" collapsed="false">
      <c r="A4322" s="15" t="s">
        <v>5361</v>
      </c>
      <c r="B4322" s="15" t="s">
        <v>5363</v>
      </c>
      <c r="C4322" s="15" t="s">
        <v>5999</v>
      </c>
      <c r="D4322" s="34" t="n">
        <f aca="false">Activities!N1754</f>
        <v>2</v>
      </c>
      <c r="E4322" s="15" t="s">
        <v>5998</v>
      </c>
    </row>
    <row r="4323" customFormat="false" ht="15" hidden="false" customHeight="false" outlineLevel="0" collapsed="false">
      <c r="A4323" s="15" t="s">
        <v>5364</v>
      </c>
      <c r="B4323" s="15" t="s">
        <v>5366</v>
      </c>
      <c r="C4323" s="15" t="s">
        <v>5995</v>
      </c>
      <c r="D4323" s="34" t="n">
        <v>0</v>
      </c>
      <c r="E4323" s="15" t="s">
        <v>5996</v>
      </c>
    </row>
    <row r="4324" customFormat="false" ht="15" hidden="false" customHeight="false" outlineLevel="0" collapsed="false">
      <c r="A4324" s="15" t="s">
        <v>5353</v>
      </c>
      <c r="B4324" s="15" t="s">
        <v>5366</v>
      </c>
      <c r="C4324" s="15" t="s">
        <v>5997</v>
      </c>
      <c r="D4324" s="34" t="n">
        <v>0</v>
      </c>
      <c r="E4324" s="15" t="s">
        <v>6002</v>
      </c>
    </row>
    <row r="4325" customFormat="false" ht="15" hidden="false" customHeight="false" outlineLevel="0" collapsed="false">
      <c r="A4325" s="15" t="s">
        <v>5366</v>
      </c>
      <c r="B4325" s="15" t="s">
        <v>5368</v>
      </c>
      <c r="C4325" s="15" t="s">
        <v>5997</v>
      </c>
      <c r="D4325" s="34" t="n">
        <f aca="false">Activities!M1757</f>
        <v>1</v>
      </c>
      <c r="E4325" s="15" t="s">
        <v>5998</v>
      </c>
    </row>
    <row r="4326" customFormat="false" ht="15" hidden="false" customHeight="false" outlineLevel="0" collapsed="false">
      <c r="A4326" s="15" t="s">
        <v>5366</v>
      </c>
      <c r="B4326" s="15" t="s">
        <v>5368</v>
      </c>
      <c r="C4326" s="15" t="s">
        <v>5999</v>
      </c>
      <c r="D4326" s="34" t="n">
        <f aca="false">Activities!N1757</f>
        <v>2</v>
      </c>
      <c r="E4326" s="15" t="s">
        <v>5998</v>
      </c>
    </row>
    <row r="4327" customFormat="false" ht="15" hidden="false" customHeight="false" outlineLevel="0" collapsed="false">
      <c r="A4327" s="15" t="s">
        <v>5353</v>
      </c>
      <c r="B4327" s="15" t="s">
        <v>5368</v>
      </c>
      <c r="C4327" s="15" t="s">
        <v>5995</v>
      </c>
      <c r="D4327" s="34" t="n">
        <v>0</v>
      </c>
      <c r="E4327" s="15" t="s">
        <v>6013</v>
      </c>
    </row>
    <row r="4328" customFormat="false" ht="15" hidden="false" customHeight="false" outlineLevel="0" collapsed="false">
      <c r="A4328" s="15" t="s">
        <v>5368</v>
      </c>
      <c r="B4328" s="15" t="s">
        <v>5369</v>
      </c>
      <c r="C4328" s="15" t="s">
        <v>5997</v>
      </c>
      <c r="D4328" s="34" t="n">
        <f aca="false">Activities!M1758</f>
        <v>2</v>
      </c>
      <c r="E4328" s="15" t="s">
        <v>5998</v>
      </c>
    </row>
    <row r="4329" customFormat="false" ht="15" hidden="false" customHeight="false" outlineLevel="0" collapsed="false">
      <c r="A4329" s="15" t="s">
        <v>5368</v>
      </c>
      <c r="B4329" s="15" t="s">
        <v>5369</v>
      </c>
      <c r="C4329" s="15" t="s">
        <v>5999</v>
      </c>
      <c r="D4329" s="34" t="n">
        <f aca="false">Activities!N1758</f>
        <v>2</v>
      </c>
      <c r="E4329" s="15" t="s">
        <v>5998</v>
      </c>
    </row>
    <row r="4330" customFormat="false" ht="15" hidden="false" customHeight="false" outlineLevel="0" collapsed="false">
      <c r="A4330" s="15" t="s">
        <v>5354</v>
      </c>
      <c r="B4330" s="15" t="s">
        <v>5369</v>
      </c>
      <c r="C4330" s="15" t="s">
        <v>5995</v>
      </c>
      <c r="D4330" s="34" t="n">
        <v>0</v>
      </c>
      <c r="E4330" s="15" t="s">
        <v>6013</v>
      </c>
    </row>
    <row r="4331" customFormat="false" ht="15" hidden="false" customHeight="false" outlineLevel="0" collapsed="false">
      <c r="A4331" s="15" t="s">
        <v>5369</v>
      </c>
      <c r="B4331" s="15" t="s">
        <v>5370</v>
      </c>
      <c r="C4331" s="15" t="s">
        <v>5997</v>
      </c>
      <c r="D4331" s="34" t="n">
        <f aca="false">Activities!M1759</f>
        <v>2</v>
      </c>
      <c r="E4331" s="15" t="s">
        <v>5998</v>
      </c>
    </row>
    <row r="4332" customFormat="false" ht="15" hidden="false" customHeight="false" outlineLevel="0" collapsed="false">
      <c r="A4332" s="15" t="s">
        <v>5369</v>
      </c>
      <c r="B4332" s="15" t="s">
        <v>5370</v>
      </c>
      <c r="C4332" s="15" t="s">
        <v>5999</v>
      </c>
      <c r="D4332" s="34" t="n">
        <f aca="false">Activities!N1759</f>
        <v>2</v>
      </c>
      <c r="E4332" s="15" t="s">
        <v>5998</v>
      </c>
    </row>
    <row r="4333" customFormat="false" ht="15" hidden="false" customHeight="false" outlineLevel="0" collapsed="false">
      <c r="A4333" s="15" t="s">
        <v>5357</v>
      </c>
      <c r="B4333" s="15" t="s">
        <v>5370</v>
      </c>
      <c r="C4333" s="15" t="s">
        <v>5995</v>
      </c>
      <c r="D4333" s="34" t="n">
        <f aca="false">-Activities!K1759</f>
        <v>-10</v>
      </c>
      <c r="E4333" s="15" t="s">
        <v>6004</v>
      </c>
    </row>
    <row r="4334" customFormat="false" ht="15" hidden="false" customHeight="false" outlineLevel="0" collapsed="false">
      <c r="A4334" s="15" t="s">
        <v>5370</v>
      </c>
      <c r="B4334" s="15" t="s">
        <v>5372</v>
      </c>
      <c r="C4334" s="15" t="s">
        <v>5997</v>
      </c>
      <c r="D4334" s="34" t="n">
        <f aca="false">Activities!M1760</f>
        <v>10</v>
      </c>
      <c r="E4334" s="15" t="s">
        <v>5998</v>
      </c>
    </row>
    <row r="4335" customFormat="false" ht="15" hidden="false" customHeight="false" outlineLevel="0" collapsed="false">
      <c r="A4335" s="15" t="s">
        <v>5370</v>
      </c>
      <c r="B4335" s="15" t="s">
        <v>5372</v>
      </c>
      <c r="C4335" s="15" t="s">
        <v>5999</v>
      </c>
      <c r="D4335" s="34" t="n">
        <f aca="false">Activities!N1760</f>
        <v>2</v>
      </c>
      <c r="E4335" s="15" t="s">
        <v>5998</v>
      </c>
    </row>
    <row r="4336" customFormat="false" ht="15" hidden="false" customHeight="false" outlineLevel="0" collapsed="false">
      <c r="A4336" s="15" t="s">
        <v>5357</v>
      </c>
      <c r="B4336" s="15" t="s">
        <v>5372</v>
      </c>
      <c r="C4336" s="15" t="s">
        <v>5995</v>
      </c>
      <c r="D4336" s="34" t="n">
        <v>0</v>
      </c>
      <c r="E4336" s="15" t="s">
        <v>6013</v>
      </c>
    </row>
    <row r="4337" customFormat="false" ht="15" hidden="false" customHeight="false" outlineLevel="0" collapsed="false">
      <c r="A4337" s="15" t="s">
        <v>5357</v>
      </c>
      <c r="B4337" s="15" t="s">
        <v>5372</v>
      </c>
      <c r="C4337" s="15" t="s">
        <v>5997</v>
      </c>
      <c r="D4337" s="34" t="n">
        <v>0</v>
      </c>
      <c r="E4337" s="15" t="s">
        <v>6006</v>
      </c>
    </row>
    <row r="4338" customFormat="false" ht="15" hidden="false" customHeight="false" outlineLevel="0" collapsed="false">
      <c r="A4338" s="15" t="s">
        <v>5372</v>
      </c>
      <c r="B4338" s="15" t="s">
        <v>5374</v>
      </c>
      <c r="C4338" s="15" t="s">
        <v>5997</v>
      </c>
      <c r="D4338" s="34" t="n">
        <f aca="false">Activities!M1761</f>
        <v>1</v>
      </c>
      <c r="E4338" s="15" t="s">
        <v>5998</v>
      </c>
    </row>
    <row r="4339" customFormat="false" ht="15" hidden="false" customHeight="false" outlineLevel="0" collapsed="false">
      <c r="A4339" s="15" t="s">
        <v>5372</v>
      </c>
      <c r="B4339" s="15" t="s">
        <v>5374</v>
      </c>
      <c r="C4339" s="15" t="s">
        <v>5999</v>
      </c>
      <c r="D4339" s="34" t="n">
        <f aca="false">Activities!N1761</f>
        <v>2</v>
      </c>
      <c r="E4339" s="15" t="s">
        <v>5998</v>
      </c>
    </row>
    <row r="4340" customFormat="false" ht="15" hidden="false" customHeight="false" outlineLevel="0" collapsed="false">
      <c r="A4340" s="15" t="s">
        <v>5358</v>
      </c>
      <c r="B4340" s="15" t="s">
        <v>5374</v>
      </c>
      <c r="C4340" s="15" t="s">
        <v>5995</v>
      </c>
      <c r="D4340" s="34" t="n">
        <v>0</v>
      </c>
      <c r="E4340" s="15" t="s">
        <v>6013</v>
      </c>
    </row>
    <row r="4341" customFormat="false" ht="15" hidden="false" customHeight="false" outlineLevel="0" collapsed="false">
      <c r="A4341" s="15" t="s">
        <v>5374</v>
      </c>
      <c r="B4341" s="15" t="s">
        <v>5375</v>
      </c>
      <c r="C4341" s="15" t="s">
        <v>5997</v>
      </c>
      <c r="D4341" s="34" t="n">
        <f aca="false">Activities!M1762</f>
        <v>3</v>
      </c>
      <c r="E4341" s="15" t="s">
        <v>5998</v>
      </c>
    </row>
    <row r="4342" customFormat="false" ht="15" hidden="false" customHeight="false" outlineLevel="0" collapsed="false">
      <c r="A4342" s="15" t="s">
        <v>5374</v>
      </c>
      <c r="B4342" s="15" t="s">
        <v>5375</v>
      </c>
      <c r="C4342" s="15" t="s">
        <v>5999</v>
      </c>
      <c r="D4342" s="34" t="n">
        <f aca="false">Activities!N1762</f>
        <v>2</v>
      </c>
      <c r="E4342" s="15" t="s">
        <v>5998</v>
      </c>
    </row>
    <row r="4343" customFormat="false" ht="15" hidden="false" customHeight="false" outlineLevel="0" collapsed="false">
      <c r="A4343" s="15" t="s">
        <v>5359</v>
      </c>
      <c r="B4343" s="15" t="s">
        <v>5375</v>
      </c>
      <c r="C4343" s="15" t="s">
        <v>5995</v>
      </c>
      <c r="D4343" s="34" t="n">
        <v>0</v>
      </c>
      <c r="E4343" s="15" t="s">
        <v>6013</v>
      </c>
    </row>
    <row r="4344" customFormat="false" ht="15" hidden="false" customHeight="false" outlineLevel="0" collapsed="false">
      <c r="A4344" s="15" t="s">
        <v>5375</v>
      </c>
      <c r="B4344" s="15" t="s">
        <v>5376</v>
      </c>
      <c r="C4344" s="15" t="s">
        <v>5997</v>
      </c>
      <c r="D4344" s="34" t="n">
        <f aca="false">Activities!M1763</f>
        <v>2</v>
      </c>
      <c r="E4344" s="15" t="s">
        <v>5998</v>
      </c>
    </row>
    <row r="4345" customFormat="false" ht="15" hidden="false" customHeight="false" outlineLevel="0" collapsed="false">
      <c r="A4345" s="15" t="s">
        <v>5375</v>
      </c>
      <c r="B4345" s="15" t="s">
        <v>5376</v>
      </c>
      <c r="C4345" s="15" t="s">
        <v>5999</v>
      </c>
      <c r="D4345" s="34" t="n">
        <f aca="false">Activities!N1763</f>
        <v>2</v>
      </c>
      <c r="E4345" s="15" t="s">
        <v>5998</v>
      </c>
    </row>
    <row r="4346" customFormat="false" ht="15" hidden="false" customHeight="false" outlineLevel="0" collapsed="false">
      <c r="A4346" s="15" t="s">
        <v>5376</v>
      </c>
      <c r="B4346" s="15" t="s">
        <v>5377</v>
      </c>
      <c r="C4346" s="15" t="s">
        <v>5997</v>
      </c>
      <c r="D4346" s="34" t="n">
        <f aca="false">Activities!M1764</f>
        <v>2</v>
      </c>
      <c r="E4346" s="15" t="s">
        <v>5998</v>
      </c>
    </row>
    <row r="4347" customFormat="false" ht="15" hidden="false" customHeight="false" outlineLevel="0" collapsed="false">
      <c r="A4347" s="15" t="s">
        <v>5376</v>
      </c>
      <c r="B4347" s="15" t="s">
        <v>5377</v>
      </c>
      <c r="C4347" s="15" t="s">
        <v>5999</v>
      </c>
      <c r="D4347" s="34" t="n">
        <f aca="false">Activities!N1764</f>
        <v>2</v>
      </c>
      <c r="E4347" s="15" t="s">
        <v>5998</v>
      </c>
    </row>
    <row r="4348" customFormat="false" ht="15" hidden="false" customHeight="false" outlineLevel="0" collapsed="false">
      <c r="A4348" s="15" t="s">
        <v>5361</v>
      </c>
      <c r="B4348" s="15" t="s">
        <v>5377</v>
      </c>
      <c r="C4348" s="15" t="s">
        <v>5995</v>
      </c>
      <c r="D4348" s="34" t="n">
        <v>0</v>
      </c>
      <c r="E4348" s="15" t="s">
        <v>6013</v>
      </c>
    </row>
    <row r="4349" customFormat="false" ht="15" hidden="false" customHeight="false" outlineLevel="0" collapsed="false">
      <c r="A4349" s="15" t="s">
        <v>5359</v>
      </c>
      <c r="B4349" s="15" t="s">
        <v>5377</v>
      </c>
      <c r="C4349" s="15" t="s">
        <v>5995</v>
      </c>
      <c r="D4349" s="34" t="n">
        <v>0</v>
      </c>
      <c r="E4349" s="15" t="s">
        <v>6005</v>
      </c>
    </row>
    <row r="4350" customFormat="false" ht="15" hidden="false" customHeight="false" outlineLevel="0" collapsed="false">
      <c r="A4350" s="15" t="s">
        <v>5377</v>
      </c>
      <c r="B4350" s="15" t="s">
        <v>5379</v>
      </c>
      <c r="C4350" s="15" t="s">
        <v>5997</v>
      </c>
      <c r="D4350" s="34" t="n">
        <f aca="false">Activities!M1765</f>
        <v>1</v>
      </c>
      <c r="E4350" s="15" t="s">
        <v>5998</v>
      </c>
    </row>
    <row r="4351" customFormat="false" ht="15" hidden="false" customHeight="false" outlineLevel="0" collapsed="false">
      <c r="A4351" s="15" t="s">
        <v>5377</v>
      </c>
      <c r="B4351" s="15" t="s">
        <v>5379</v>
      </c>
      <c r="C4351" s="15" t="s">
        <v>5999</v>
      </c>
      <c r="D4351" s="34" t="n">
        <f aca="false">Activities!N1765</f>
        <v>2</v>
      </c>
      <c r="E4351" s="15" t="s">
        <v>5998</v>
      </c>
    </row>
    <row r="4352" customFormat="false" ht="15" hidden="false" customHeight="false" outlineLevel="0" collapsed="false">
      <c r="A4352" s="15" t="s">
        <v>5380</v>
      </c>
      <c r="B4352" s="15" t="s">
        <v>5382</v>
      </c>
      <c r="C4352" s="15" t="s">
        <v>5995</v>
      </c>
      <c r="D4352" s="34" t="n">
        <v>0</v>
      </c>
      <c r="E4352" s="15" t="s">
        <v>5996</v>
      </c>
    </row>
    <row r="4353" customFormat="false" ht="15" hidden="false" customHeight="false" outlineLevel="0" collapsed="false">
      <c r="A4353" s="15" t="s">
        <v>5353</v>
      </c>
      <c r="B4353" s="15" t="s">
        <v>5382</v>
      </c>
      <c r="C4353" s="15" t="s">
        <v>5997</v>
      </c>
      <c r="D4353" s="34" t="n">
        <v>0</v>
      </c>
      <c r="E4353" s="15" t="s">
        <v>6000</v>
      </c>
    </row>
    <row r="4354" customFormat="false" ht="15" hidden="false" customHeight="false" outlineLevel="0" collapsed="false">
      <c r="A4354" s="15" t="s">
        <v>5382</v>
      </c>
      <c r="B4354" s="15" t="s">
        <v>5384</v>
      </c>
      <c r="C4354" s="15" t="s">
        <v>5997</v>
      </c>
      <c r="D4354" s="34" t="n">
        <f aca="false">Activities!M1768</f>
        <v>1</v>
      </c>
      <c r="E4354" s="15" t="s">
        <v>5998</v>
      </c>
    </row>
    <row r="4355" customFormat="false" ht="15" hidden="false" customHeight="false" outlineLevel="0" collapsed="false">
      <c r="A4355" s="15" t="s">
        <v>5382</v>
      </c>
      <c r="B4355" s="15" t="s">
        <v>5384</v>
      </c>
      <c r="C4355" s="15" t="s">
        <v>5999</v>
      </c>
      <c r="D4355" s="34" t="n">
        <f aca="false">Activities!N1768</f>
        <v>2</v>
      </c>
      <c r="E4355" s="15" t="s">
        <v>5998</v>
      </c>
    </row>
    <row r="4356" customFormat="false" ht="15" hidden="false" customHeight="false" outlineLevel="0" collapsed="false">
      <c r="A4356" s="15" t="s">
        <v>5384</v>
      </c>
      <c r="B4356" s="15" t="s">
        <v>5385</v>
      </c>
      <c r="C4356" s="15" t="s">
        <v>5997</v>
      </c>
      <c r="D4356" s="34" t="n">
        <f aca="false">Activities!M1769</f>
        <v>2</v>
      </c>
      <c r="E4356" s="15" t="s">
        <v>5998</v>
      </c>
    </row>
    <row r="4357" customFormat="false" ht="15" hidden="false" customHeight="false" outlineLevel="0" collapsed="false">
      <c r="A4357" s="15" t="s">
        <v>5384</v>
      </c>
      <c r="B4357" s="15" t="s">
        <v>5385</v>
      </c>
      <c r="C4357" s="15" t="s">
        <v>5999</v>
      </c>
      <c r="D4357" s="34" t="n">
        <f aca="false">Activities!N1769</f>
        <v>2</v>
      </c>
      <c r="E4357" s="15" t="s">
        <v>5998</v>
      </c>
    </row>
    <row r="4358" customFormat="false" ht="15" hidden="false" customHeight="false" outlineLevel="0" collapsed="false">
      <c r="A4358" s="15" t="s">
        <v>5385</v>
      </c>
      <c r="B4358" s="15" t="s">
        <v>5386</v>
      </c>
      <c r="C4358" s="15" t="s">
        <v>5997</v>
      </c>
      <c r="D4358" s="34" t="n">
        <f aca="false">Activities!M1770</f>
        <v>1</v>
      </c>
      <c r="E4358" s="15" t="s">
        <v>5998</v>
      </c>
    </row>
    <row r="4359" customFormat="false" ht="15" hidden="false" customHeight="false" outlineLevel="0" collapsed="false">
      <c r="A4359" s="15" t="s">
        <v>5385</v>
      </c>
      <c r="B4359" s="15" t="s">
        <v>5386</v>
      </c>
      <c r="C4359" s="15" t="s">
        <v>5999</v>
      </c>
      <c r="D4359" s="34" t="n">
        <f aca="false">Activities!N1770</f>
        <v>2</v>
      </c>
      <c r="E4359" s="15" t="s">
        <v>5998</v>
      </c>
    </row>
    <row r="4360" customFormat="false" ht="15" hidden="false" customHeight="false" outlineLevel="0" collapsed="false">
      <c r="A4360" s="15" t="s">
        <v>5386</v>
      </c>
      <c r="B4360" s="15" t="s">
        <v>5387</v>
      </c>
      <c r="C4360" s="15" t="s">
        <v>5997</v>
      </c>
      <c r="D4360" s="34" t="n">
        <f aca="false">Activities!M1771</f>
        <v>10</v>
      </c>
      <c r="E4360" s="15" t="s">
        <v>5998</v>
      </c>
    </row>
    <row r="4361" customFormat="false" ht="15" hidden="false" customHeight="false" outlineLevel="0" collapsed="false">
      <c r="A4361" s="15" t="s">
        <v>5386</v>
      </c>
      <c r="B4361" s="15" t="s">
        <v>5387</v>
      </c>
      <c r="C4361" s="15" t="s">
        <v>5999</v>
      </c>
      <c r="D4361" s="34" t="n">
        <f aca="false">Activities!N1771</f>
        <v>2</v>
      </c>
      <c r="E4361" s="15" t="s">
        <v>5998</v>
      </c>
    </row>
    <row r="4362" customFormat="false" ht="15" hidden="false" customHeight="false" outlineLevel="0" collapsed="false">
      <c r="A4362" s="15" t="s">
        <v>5387</v>
      </c>
      <c r="B4362" s="15" t="s">
        <v>5388</v>
      </c>
      <c r="C4362" s="15" t="s">
        <v>5997</v>
      </c>
      <c r="D4362" s="34" t="n">
        <f aca="false">Activities!M1772</f>
        <v>1</v>
      </c>
      <c r="E4362" s="15" t="s">
        <v>5998</v>
      </c>
    </row>
    <row r="4363" customFormat="false" ht="15" hidden="false" customHeight="false" outlineLevel="0" collapsed="false">
      <c r="A4363" s="15" t="s">
        <v>5387</v>
      </c>
      <c r="B4363" s="15" t="s">
        <v>5388</v>
      </c>
      <c r="C4363" s="15" t="s">
        <v>5999</v>
      </c>
      <c r="D4363" s="34" t="n">
        <f aca="false">Activities!N1772</f>
        <v>2</v>
      </c>
      <c r="E4363" s="15" t="s">
        <v>5998</v>
      </c>
    </row>
    <row r="4364" customFormat="false" ht="15" hidden="false" customHeight="false" outlineLevel="0" collapsed="false">
      <c r="A4364" s="15" t="s">
        <v>5388</v>
      </c>
      <c r="B4364" s="15" t="s">
        <v>5389</v>
      </c>
      <c r="C4364" s="15" t="s">
        <v>5997</v>
      </c>
      <c r="D4364" s="34" t="n">
        <f aca="false">Activities!M1773</f>
        <v>2</v>
      </c>
      <c r="E4364" s="15" t="s">
        <v>5998</v>
      </c>
    </row>
    <row r="4365" customFormat="false" ht="15" hidden="false" customHeight="false" outlineLevel="0" collapsed="false">
      <c r="A4365" s="15" t="s">
        <v>5388</v>
      </c>
      <c r="B4365" s="15" t="s">
        <v>5389</v>
      </c>
      <c r="C4365" s="15" t="s">
        <v>5999</v>
      </c>
      <c r="D4365" s="34" t="n">
        <f aca="false">Activities!N1773</f>
        <v>2</v>
      </c>
      <c r="E4365" s="15" t="s">
        <v>5998</v>
      </c>
    </row>
    <row r="4366" customFormat="false" ht="15" hidden="false" customHeight="false" outlineLevel="0" collapsed="false">
      <c r="A4366" s="15" t="s">
        <v>5359</v>
      </c>
      <c r="B4366" s="15" t="s">
        <v>5389</v>
      </c>
      <c r="C4366" s="15" t="s">
        <v>5995</v>
      </c>
      <c r="D4366" s="34" t="n">
        <v>0</v>
      </c>
      <c r="E4366" s="15" t="s">
        <v>6001</v>
      </c>
    </row>
    <row r="4367" customFormat="false" ht="15" hidden="false" customHeight="false" outlineLevel="0" collapsed="false">
      <c r="A4367" s="15" t="s">
        <v>5389</v>
      </c>
      <c r="B4367" s="15" t="s">
        <v>5391</v>
      </c>
      <c r="C4367" s="15" t="s">
        <v>5997</v>
      </c>
      <c r="D4367" s="34" t="n">
        <f aca="false">Activities!M1774</f>
        <v>3</v>
      </c>
      <c r="E4367" s="15" t="s">
        <v>5998</v>
      </c>
    </row>
    <row r="4368" customFormat="false" ht="15" hidden="false" customHeight="false" outlineLevel="0" collapsed="false">
      <c r="A4368" s="15" t="s">
        <v>5389</v>
      </c>
      <c r="B4368" s="15" t="s">
        <v>5391</v>
      </c>
      <c r="C4368" s="15" t="s">
        <v>5999</v>
      </c>
      <c r="D4368" s="34" t="n">
        <f aca="false">Activities!N1774</f>
        <v>2</v>
      </c>
      <c r="E4368" s="15" t="s">
        <v>5998</v>
      </c>
    </row>
    <row r="4369" customFormat="false" ht="15" hidden="false" customHeight="false" outlineLevel="0" collapsed="false">
      <c r="A4369" s="15" t="s">
        <v>5391</v>
      </c>
      <c r="B4369" s="15" t="s">
        <v>5392</v>
      </c>
      <c r="C4369" s="15" t="s">
        <v>5997</v>
      </c>
      <c r="D4369" s="34" t="n">
        <f aca="false">Activities!M1775</f>
        <v>2</v>
      </c>
      <c r="E4369" s="15" t="s">
        <v>5998</v>
      </c>
    </row>
    <row r="4370" customFormat="false" ht="15" hidden="false" customHeight="false" outlineLevel="0" collapsed="false">
      <c r="A4370" s="15" t="s">
        <v>5391</v>
      </c>
      <c r="B4370" s="15" t="s">
        <v>5392</v>
      </c>
      <c r="C4370" s="15" t="s">
        <v>5999</v>
      </c>
      <c r="D4370" s="34" t="n">
        <f aca="false">Activities!N1775</f>
        <v>2</v>
      </c>
      <c r="E4370" s="15" t="s">
        <v>5998</v>
      </c>
    </row>
    <row r="4371" customFormat="false" ht="15" hidden="false" customHeight="false" outlineLevel="0" collapsed="false">
      <c r="A4371" s="15" t="s">
        <v>5421</v>
      </c>
      <c r="B4371" s="15" t="s">
        <v>5392</v>
      </c>
      <c r="C4371" s="15" t="s">
        <v>5995</v>
      </c>
      <c r="D4371" s="34" t="n">
        <v>0</v>
      </c>
      <c r="E4371" s="15" t="s">
        <v>6005</v>
      </c>
    </row>
    <row r="4372" customFormat="false" ht="15" hidden="false" customHeight="false" outlineLevel="0" collapsed="false">
      <c r="A4372" s="15" t="s">
        <v>5450</v>
      </c>
      <c r="B4372" s="15" t="s">
        <v>5392</v>
      </c>
      <c r="C4372" s="15" t="s">
        <v>5995</v>
      </c>
      <c r="D4372" s="34" t="n">
        <v>0</v>
      </c>
      <c r="E4372" s="15" t="s">
        <v>6005</v>
      </c>
    </row>
    <row r="4373" customFormat="false" ht="15" hidden="false" customHeight="false" outlineLevel="0" collapsed="false">
      <c r="A4373" s="15" t="s">
        <v>5437</v>
      </c>
      <c r="B4373" s="15" t="s">
        <v>5392</v>
      </c>
      <c r="C4373" s="15" t="s">
        <v>5995</v>
      </c>
      <c r="D4373" s="34" t="n">
        <v>0</v>
      </c>
      <c r="E4373" s="15" t="s">
        <v>6005</v>
      </c>
    </row>
    <row r="4374" customFormat="false" ht="15" hidden="false" customHeight="false" outlineLevel="0" collapsed="false">
      <c r="A4374" s="15" t="s">
        <v>5406</v>
      </c>
      <c r="B4374" s="15" t="s">
        <v>5392</v>
      </c>
      <c r="C4374" s="15" t="s">
        <v>5995</v>
      </c>
      <c r="D4374" s="34" t="n">
        <v>0</v>
      </c>
      <c r="E4374" s="15" t="s">
        <v>6005</v>
      </c>
    </row>
    <row r="4375" customFormat="false" ht="15" hidden="false" customHeight="false" outlineLevel="0" collapsed="false">
      <c r="A4375" s="15" t="s">
        <v>5392</v>
      </c>
      <c r="B4375" s="15" t="s">
        <v>5394</v>
      </c>
      <c r="C4375" s="15" t="s">
        <v>5997</v>
      </c>
      <c r="D4375" s="34" t="n">
        <f aca="false">Activities!M1776</f>
        <v>1</v>
      </c>
      <c r="E4375" s="15" t="s">
        <v>5998</v>
      </c>
    </row>
    <row r="4376" customFormat="false" ht="15" hidden="false" customHeight="false" outlineLevel="0" collapsed="false">
      <c r="A4376" s="15" t="s">
        <v>5392</v>
      </c>
      <c r="B4376" s="15" t="s">
        <v>5394</v>
      </c>
      <c r="C4376" s="15" t="s">
        <v>5999</v>
      </c>
      <c r="D4376" s="34" t="n">
        <f aca="false">Activities!N1776</f>
        <v>2</v>
      </c>
      <c r="E4376" s="15" t="s">
        <v>5998</v>
      </c>
    </row>
    <row r="4377" customFormat="false" ht="15" hidden="false" customHeight="false" outlineLevel="0" collapsed="false">
      <c r="A4377" s="15" t="s">
        <v>5395</v>
      </c>
      <c r="B4377" s="15" t="s">
        <v>5397</v>
      </c>
      <c r="C4377" s="15" t="s">
        <v>5995</v>
      </c>
      <c r="D4377" s="34" t="n">
        <v>0</v>
      </c>
      <c r="E4377" s="15" t="s">
        <v>5996</v>
      </c>
    </row>
    <row r="4378" customFormat="false" ht="15" hidden="false" customHeight="false" outlineLevel="0" collapsed="false">
      <c r="A4378" s="15" t="s">
        <v>5368</v>
      </c>
      <c r="B4378" s="15" t="s">
        <v>5397</v>
      </c>
      <c r="C4378" s="15" t="s">
        <v>5997</v>
      </c>
      <c r="D4378" s="34" t="n">
        <v>0</v>
      </c>
      <c r="E4378" s="15" t="s">
        <v>6002</v>
      </c>
    </row>
    <row r="4379" customFormat="false" ht="15" hidden="false" customHeight="false" outlineLevel="0" collapsed="false">
      <c r="A4379" s="15" t="s">
        <v>5397</v>
      </c>
      <c r="B4379" s="15" t="s">
        <v>5399</v>
      </c>
      <c r="C4379" s="15" t="s">
        <v>5997</v>
      </c>
      <c r="D4379" s="34" t="n">
        <f aca="false">Activities!M1779</f>
        <v>1</v>
      </c>
      <c r="E4379" s="15" t="s">
        <v>5998</v>
      </c>
    </row>
    <row r="4380" customFormat="false" ht="15" hidden="false" customHeight="false" outlineLevel="0" collapsed="false">
      <c r="A4380" s="15" t="s">
        <v>5397</v>
      </c>
      <c r="B4380" s="15" t="s">
        <v>5399</v>
      </c>
      <c r="C4380" s="15" t="s">
        <v>5999</v>
      </c>
      <c r="D4380" s="34" t="n">
        <f aca="false">Activities!N1779</f>
        <v>2</v>
      </c>
      <c r="E4380" s="15" t="s">
        <v>5998</v>
      </c>
    </row>
    <row r="4381" customFormat="false" ht="15" hidden="false" customHeight="false" outlineLevel="0" collapsed="false">
      <c r="A4381" s="15" t="s">
        <v>5368</v>
      </c>
      <c r="B4381" s="15" t="s">
        <v>5399</v>
      </c>
      <c r="C4381" s="15" t="s">
        <v>5995</v>
      </c>
      <c r="D4381" s="34" t="n">
        <v>0</v>
      </c>
      <c r="E4381" s="15" t="s">
        <v>6013</v>
      </c>
    </row>
    <row r="4382" customFormat="false" ht="15" hidden="false" customHeight="false" outlineLevel="0" collapsed="false">
      <c r="A4382" s="15" t="s">
        <v>5399</v>
      </c>
      <c r="B4382" s="15" t="s">
        <v>5400</v>
      </c>
      <c r="C4382" s="15" t="s">
        <v>5997</v>
      </c>
      <c r="D4382" s="34" t="n">
        <f aca="false">Activities!M1780</f>
        <v>1</v>
      </c>
      <c r="E4382" s="15" t="s">
        <v>5998</v>
      </c>
    </row>
    <row r="4383" customFormat="false" ht="15" hidden="false" customHeight="false" outlineLevel="0" collapsed="false">
      <c r="A4383" s="15" t="s">
        <v>5399</v>
      </c>
      <c r="B4383" s="15" t="s">
        <v>5400</v>
      </c>
      <c r="C4383" s="15" t="s">
        <v>5999</v>
      </c>
      <c r="D4383" s="34" t="n">
        <f aca="false">Activities!N1780</f>
        <v>2</v>
      </c>
      <c r="E4383" s="15" t="s">
        <v>5998</v>
      </c>
    </row>
    <row r="4384" customFormat="false" ht="15" hidden="false" customHeight="false" outlineLevel="0" collapsed="false">
      <c r="A4384" s="15" t="s">
        <v>5369</v>
      </c>
      <c r="B4384" s="15" t="s">
        <v>5400</v>
      </c>
      <c r="C4384" s="15" t="s">
        <v>5995</v>
      </c>
      <c r="D4384" s="34" t="n">
        <v>0</v>
      </c>
      <c r="E4384" s="15" t="s">
        <v>6013</v>
      </c>
    </row>
    <row r="4385" customFormat="false" ht="15" hidden="false" customHeight="false" outlineLevel="0" collapsed="false">
      <c r="A4385" s="15" t="s">
        <v>5400</v>
      </c>
      <c r="B4385" s="15" t="s">
        <v>5401</v>
      </c>
      <c r="C4385" s="15" t="s">
        <v>5997</v>
      </c>
      <c r="D4385" s="34" t="n">
        <f aca="false">Activities!M1781</f>
        <v>1</v>
      </c>
      <c r="E4385" s="15" t="s">
        <v>5998</v>
      </c>
    </row>
    <row r="4386" customFormat="false" ht="15" hidden="false" customHeight="false" outlineLevel="0" collapsed="false">
      <c r="A4386" s="15" t="s">
        <v>5400</v>
      </c>
      <c r="B4386" s="15" t="s">
        <v>5401</v>
      </c>
      <c r="C4386" s="15" t="s">
        <v>5999</v>
      </c>
      <c r="D4386" s="34" t="n">
        <f aca="false">Activities!N1781</f>
        <v>2</v>
      </c>
      <c r="E4386" s="15" t="s">
        <v>5998</v>
      </c>
    </row>
    <row r="4387" customFormat="false" ht="15" hidden="false" customHeight="false" outlineLevel="0" collapsed="false">
      <c r="A4387" s="15" t="s">
        <v>5372</v>
      </c>
      <c r="B4387" s="15" t="s">
        <v>5401</v>
      </c>
      <c r="C4387" s="15" t="s">
        <v>5995</v>
      </c>
      <c r="D4387" s="34" t="n">
        <f aca="false">-Activities!K1781</f>
        <v>-10</v>
      </c>
      <c r="E4387" s="15" t="s">
        <v>6004</v>
      </c>
    </row>
    <row r="4388" customFormat="false" ht="15" hidden="false" customHeight="false" outlineLevel="0" collapsed="false">
      <c r="A4388" s="15" t="s">
        <v>5401</v>
      </c>
      <c r="B4388" s="15" t="s">
        <v>5403</v>
      </c>
      <c r="C4388" s="15" t="s">
        <v>5997</v>
      </c>
      <c r="D4388" s="34" t="n">
        <f aca="false">Activities!M1782</f>
        <v>10</v>
      </c>
      <c r="E4388" s="15" t="s">
        <v>5998</v>
      </c>
    </row>
    <row r="4389" customFormat="false" ht="15" hidden="false" customHeight="false" outlineLevel="0" collapsed="false">
      <c r="A4389" s="15" t="s">
        <v>5401</v>
      </c>
      <c r="B4389" s="15" t="s">
        <v>5403</v>
      </c>
      <c r="C4389" s="15" t="s">
        <v>5999</v>
      </c>
      <c r="D4389" s="34" t="n">
        <f aca="false">Activities!N1782</f>
        <v>2</v>
      </c>
      <c r="E4389" s="15" t="s">
        <v>5998</v>
      </c>
    </row>
    <row r="4390" customFormat="false" ht="15" hidden="false" customHeight="false" outlineLevel="0" collapsed="false">
      <c r="A4390" s="15" t="s">
        <v>5372</v>
      </c>
      <c r="B4390" s="15" t="s">
        <v>5403</v>
      </c>
      <c r="C4390" s="15" t="s">
        <v>5995</v>
      </c>
      <c r="D4390" s="34" t="n">
        <v>0</v>
      </c>
      <c r="E4390" s="15" t="s">
        <v>6013</v>
      </c>
    </row>
    <row r="4391" customFormat="false" ht="15" hidden="false" customHeight="false" outlineLevel="0" collapsed="false">
      <c r="A4391" s="15" t="s">
        <v>5387</v>
      </c>
      <c r="B4391" s="15" t="s">
        <v>5403</v>
      </c>
      <c r="C4391" s="15" t="s">
        <v>5997</v>
      </c>
      <c r="D4391" s="34" t="n">
        <v>0</v>
      </c>
      <c r="E4391" s="15" t="s">
        <v>6006</v>
      </c>
    </row>
    <row r="4392" customFormat="false" ht="15" hidden="false" customHeight="false" outlineLevel="0" collapsed="false">
      <c r="A4392" s="15" t="s">
        <v>5357</v>
      </c>
      <c r="B4392" s="15" t="s">
        <v>5403</v>
      </c>
      <c r="C4392" s="15" t="s">
        <v>5997</v>
      </c>
      <c r="D4392" s="34" t="n">
        <v>0</v>
      </c>
      <c r="E4392" s="15" t="s">
        <v>6006</v>
      </c>
    </row>
    <row r="4393" customFormat="false" ht="15" hidden="false" customHeight="false" outlineLevel="0" collapsed="false">
      <c r="A4393" s="15" t="s">
        <v>5403</v>
      </c>
      <c r="B4393" s="15" t="s">
        <v>5405</v>
      </c>
      <c r="C4393" s="15" t="s">
        <v>5997</v>
      </c>
      <c r="D4393" s="34" t="n">
        <f aca="false">Activities!M1783</f>
        <v>1</v>
      </c>
      <c r="E4393" s="15" t="s">
        <v>5998</v>
      </c>
    </row>
    <row r="4394" customFormat="false" ht="15" hidden="false" customHeight="false" outlineLevel="0" collapsed="false">
      <c r="A4394" s="15" t="s">
        <v>5403</v>
      </c>
      <c r="B4394" s="15" t="s">
        <v>5405</v>
      </c>
      <c r="C4394" s="15" t="s">
        <v>5999</v>
      </c>
      <c r="D4394" s="34" t="n">
        <f aca="false">Activities!N1783</f>
        <v>2</v>
      </c>
      <c r="E4394" s="15" t="s">
        <v>5998</v>
      </c>
    </row>
    <row r="4395" customFormat="false" ht="15" hidden="false" customHeight="false" outlineLevel="0" collapsed="false">
      <c r="A4395" s="15" t="s">
        <v>5374</v>
      </c>
      <c r="B4395" s="15" t="s">
        <v>5405</v>
      </c>
      <c r="C4395" s="15" t="s">
        <v>5995</v>
      </c>
      <c r="D4395" s="34" t="n">
        <v>0</v>
      </c>
      <c r="E4395" s="15" t="s">
        <v>6013</v>
      </c>
    </row>
    <row r="4396" customFormat="false" ht="15" hidden="false" customHeight="false" outlineLevel="0" collapsed="false">
      <c r="A4396" s="15" t="s">
        <v>5405</v>
      </c>
      <c r="B4396" s="15" t="s">
        <v>5406</v>
      </c>
      <c r="C4396" s="15" t="s">
        <v>5997</v>
      </c>
      <c r="D4396" s="34" t="n">
        <f aca="false">Activities!M1784</f>
        <v>2</v>
      </c>
      <c r="E4396" s="15" t="s">
        <v>5998</v>
      </c>
    </row>
    <row r="4397" customFormat="false" ht="15" hidden="false" customHeight="false" outlineLevel="0" collapsed="false">
      <c r="A4397" s="15" t="s">
        <v>5405</v>
      </c>
      <c r="B4397" s="15" t="s">
        <v>5406</v>
      </c>
      <c r="C4397" s="15" t="s">
        <v>5999</v>
      </c>
      <c r="D4397" s="34" t="n">
        <f aca="false">Activities!N1784</f>
        <v>2</v>
      </c>
      <c r="E4397" s="15" t="s">
        <v>5998</v>
      </c>
    </row>
    <row r="4398" customFormat="false" ht="15" hidden="false" customHeight="false" outlineLevel="0" collapsed="false">
      <c r="A4398" s="15" t="s">
        <v>5375</v>
      </c>
      <c r="B4398" s="15" t="s">
        <v>5406</v>
      </c>
      <c r="C4398" s="15" t="s">
        <v>5995</v>
      </c>
      <c r="D4398" s="34" t="n">
        <v>0</v>
      </c>
      <c r="E4398" s="15" t="s">
        <v>6013</v>
      </c>
    </row>
    <row r="4399" customFormat="false" ht="15" hidden="false" customHeight="false" outlineLevel="0" collapsed="false">
      <c r="A4399" s="15" t="s">
        <v>5406</v>
      </c>
      <c r="B4399" s="15" t="s">
        <v>5407</v>
      </c>
      <c r="C4399" s="15" t="s">
        <v>5997</v>
      </c>
      <c r="D4399" s="34" t="n">
        <f aca="false">Activities!M1785</f>
        <v>1</v>
      </c>
      <c r="E4399" s="15" t="s">
        <v>5998</v>
      </c>
    </row>
    <row r="4400" customFormat="false" ht="15" hidden="false" customHeight="false" outlineLevel="0" collapsed="false">
      <c r="A4400" s="15" t="s">
        <v>5406</v>
      </c>
      <c r="B4400" s="15" t="s">
        <v>5407</v>
      </c>
      <c r="C4400" s="15" t="s">
        <v>5999</v>
      </c>
      <c r="D4400" s="34" t="n">
        <f aca="false">Activities!N1785</f>
        <v>2</v>
      </c>
      <c r="E4400" s="15" t="s">
        <v>5998</v>
      </c>
    </row>
    <row r="4401" customFormat="false" ht="15" hidden="false" customHeight="false" outlineLevel="0" collapsed="false">
      <c r="A4401" s="15" t="s">
        <v>5407</v>
      </c>
      <c r="B4401" s="15" t="s">
        <v>5408</v>
      </c>
      <c r="C4401" s="15" t="s">
        <v>5997</v>
      </c>
      <c r="D4401" s="34" t="n">
        <f aca="false">Activities!M1786</f>
        <v>2</v>
      </c>
      <c r="E4401" s="15" t="s">
        <v>5998</v>
      </c>
    </row>
    <row r="4402" customFormat="false" ht="15" hidden="false" customHeight="false" outlineLevel="0" collapsed="false">
      <c r="A4402" s="15" t="s">
        <v>5407</v>
      </c>
      <c r="B4402" s="15" t="s">
        <v>5408</v>
      </c>
      <c r="C4402" s="15" t="s">
        <v>5999</v>
      </c>
      <c r="D4402" s="34" t="n">
        <f aca="false">Activities!N1786</f>
        <v>2</v>
      </c>
      <c r="E4402" s="15" t="s">
        <v>5998</v>
      </c>
    </row>
    <row r="4403" customFormat="false" ht="15" hidden="false" customHeight="false" outlineLevel="0" collapsed="false">
      <c r="A4403" s="15" t="s">
        <v>5377</v>
      </c>
      <c r="B4403" s="15" t="s">
        <v>5408</v>
      </c>
      <c r="C4403" s="15" t="s">
        <v>5995</v>
      </c>
      <c r="D4403" s="34" t="n">
        <v>0</v>
      </c>
      <c r="E4403" s="15" t="s">
        <v>6013</v>
      </c>
    </row>
    <row r="4404" customFormat="false" ht="15" hidden="false" customHeight="false" outlineLevel="0" collapsed="false">
      <c r="A4404" s="15" t="s">
        <v>5389</v>
      </c>
      <c r="B4404" s="15" t="s">
        <v>5408</v>
      </c>
      <c r="C4404" s="15" t="s">
        <v>5995</v>
      </c>
      <c r="D4404" s="34" t="n">
        <v>0</v>
      </c>
      <c r="E4404" s="15" t="s">
        <v>6005</v>
      </c>
    </row>
    <row r="4405" customFormat="false" ht="15" hidden="false" customHeight="false" outlineLevel="0" collapsed="false">
      <c r="A4405" s="15" t="s">
        <v>5359</v>
      </c>
      <c r="B4405" s="15" t="s">
        <v>5408</v>
      </c>
      <c r="C4405" s="15" t="s">
        <v>5995</v>
      </c>
      <c r="D4405" s="34" t="n">
        <v>0</v>
      </c>
      <c r="E4405" s="15" t="s">
        <v>6005</v>
      </c>
    </row>
    <row r="4406" customFormat="false" ht="15" hidden="false" customHeight="false" outlineLevel="0" collapsed="false">
      <c r="A4406" s="15" t="s">
        <v>5408</v>
      </c>
      <c r="B4406" s="15" t="s">
        <v>5410</v>
      </c>
      <c r="C4406" s="15" t="s">
        <v>5997</v>
      </c>
      <c r="D4406" s="34" t="n">
        <f aca="false">Activities!M1787</f>
        <v>1</v>
      </c>
      <c r="E4406" s="15" t="s">
        <v>5998</v>
      </c>
    </row>
    <row r="4407" customFormat="false" ht="15" hidden="false" customHeight="false" outlineLevel="0" collapsed="false">
      <c r="A4407" s="15" t="s">
        <v>5408</v>
      </c>
      <c r="B4407" s="15" t="s">
        <v>5410</v>
      </c>
      <c r="C4407" s="15" t="s">
        <v>5999</v>
      </c>
      <c r="D4407" s="34" t="n">
        <f aca="false">Activities!N1787</f>
        <v>2</v>
      </c>
      <c r="E4407" s="15" t="s">
        <v>5998</v>
      </c>
    </row>
    <row r="4408" customFormat="false" ht="15" hidden="false" customHeight="false" outlineLevel="0" collapsed="false">
      <c r="A4408" s="15" t="s">
        <v>5411</v>
      </c>
      <c r="B4408" s="15" t="s">
        <v>5413</v>
      </c>
      <c r="C4408" s="15" t="s">
        <v>5995</v>
      </c>
      <c r="D4408" s="34" t="n">
        <v>0</v>
      </c>
      <c r="E4408" s="15" t="s">
        <v>5996</v>
      </c>
    </row>
    <row r="4409" customFormat="false" ht="15" hidden="false" customHeight="false" outlineLevel="0" collapsed="false">
      <c r="A4409" s="15" t="s">
        <v>5339</v>
      </c>
      <c r="B4409" s="15" t="s">
        <v>5413</v>
      </c>
      <c r="C4409" s="15" t="s">
        <v>5997</v>
      </c>
      <c r="D4409" s="34" t="n">
        <v>0</v>
      </c>
      <c r="E4409" s="15" t="s">
        <v>6000</v>
      </c>
    </row>
    <row r="4410" customFormat="false" ht="15" hidden="false" customHeight="false" outlineLevel="0" collapsed="false">
      <c r="A4410" s="15" t="s">
        <v>5413</v>
      </c>
      <c r="B4410" s="15" t="s">
        <v>5415</v>
      </c>
      <c r="C4410" s="15" t="s">
        <v>5997</v>
      </c>
      <c r="D4410" s="34" t="n">
        <f aca="false">Activities!M1790</f>
        <v>1</v>
      </c>
      <c r="E4410" s="15" t="s">
        <v>5998</v>
      </c>
    </row>
    <row r="4411" customFormat="false" ht="15" hidden="false" customHeight="false" outlineLevel="0" collapsed="false">
      <c r="A4411" s="15" t="s">
        <v>5413</v>
      </c>
      <c r="B4411" s="15" t="s">
        <v>5415</v>
      </c>
      <c r="C4411" s="15" t="s">
        <v>5999</v>
      </c>
      <c r="D4411" s="34" t="n">
        <f aca="false">Activities!N1790</f>
        <v>2</v>
      </c>
      <c r="E4411" s="15" t="s">
        <v>5998</v>
      </c>
    </row>
    <row r="4412" customFormat="false" ht="15" hidden="false" customHeight="false" outlineLevel="0" collapsed="false">
      <c r="A4412" s="15" t="s">
        <v>5415</v>
      </c>
      <c r="B4412" s="15" t="s">
        <v>5416</v>
      </c>
      <c r="C4412" s="15" t="s">
        <v>5997</v>
      </c>
      <c r="D4412" s="34" t="n">
        <f aca="false">Activities!M1791</f>
        <v>1</v>
      </c>
      <c r="E4412" s="15" t="s">
        <v>5998</v>
      </c>
    </row>
    <row r="4413" customFormat="false" ht="15" hidden="false" customHeight="false" outlineLevel="0" collapsed="false">
      <c r="A4413" s="15" t="s">
        <v>5415</v>
      </c>
      <c r="B4413" s="15" t="s">
        <v>5416</v>
      </c>
      <c r="C4413" s="15" t="s">
        <v>5999</v>
      </c>
      <c r="D4413" s="34" t="n">
        <f aca="false">Activities!N1791</f>
        <v>2</v>
      </c>
      <c r="E4413" s="15" t="s">
        <v>5998</v>
      </c>
    </row>
    <row r="4414" customFormat="false" ht="15" hidden="false" customHeight="false" outlineLevel="0" collapsed="false">
      <c r="A4414" s="15" t="s">
        <v>5416</v>
      </c>
      <c r="B4414" s="15" t="s">
        <v>5417</v>
      </c>
      <c r="C4414" s="15" t="s">
        <v>5997</v>
      </c>
      <c r="D4414" s="34" t="n">
        <f aca="false">Activities!M1792</f>
        <v>1</v>
      </c>
      <c r="E4414" s="15" t="s">
        <v>5998</v>
      </c>
    </row>
    <row r="4415" customFormat="false" ht="15" hidden="false" customHeight="false" outlineLevel="0" collapsed="false">
      <c r="A4415" s="15" t="s">
        <v>5416</v>
      </c>
      <c r="B4415" s="15" t="s">
        <v>5417</v>
      </c>
      <c r="C4415" s="15" t="s">
        <v>5999</v>
      </c>
      <c r="D4415" s="34" t="n">
        <f aca="false">Activities!N1792</f>
        <v>2</v>
      </c>
      <c r="E4415" s="15" t="s">
        <v>5998</v>
      </c>
    </row>
    <row r="4416" customFormat="false" ht="15" hidden="false" customHeight="false" outlineLevel="0" collapsed="false">
      <c r="A4416" s="15" t="s">
        <v>5417</v>
      </c>
      <c r="B4416" s="15" t="s">
        <v>5418</v>
      </c>
      <c r="C4416" s="15" t="s">
        <v>5997</v>
      </c>
      <c r="D4416" s="34" t="n">
        <f aca="false">Activities!M1793</f>
        <v>10</v>
      </c>
      <c r="E4416" s="15" t="s">
        <v>5998</v>
      </c>
    </row>
    <row r="4417" customFormat="false" ht="15" hidden="false" customHeight="false" outlineLevel="0" collapsed="false">
      <c r="A4417" s="15" t="s">
        <v>5417</v>
      </c>
      <c r="B4417" s="15" t="s">
        <v>5418</v>
      </c>
      <c r="C4417" s="15" t="s">
        <v>5999</v>
      </c>
      <c r="D4417" s="34" t="n">
        <f aca="false">Activities!N1793</f>
        <v>2</v>
      </c>
      <c r="E4417" s="15" t="s">
        <v>5998</v>
      </c>
    </row>
    <row r="4418" customFormat="false" ht="15" hidden="false" customHeight="false" outlineLevel="0" collapsed="false">
      <c r="A4418" s="15" t="s">
        <v>5387</v>
      </c>
      <c r="B4418" s="15" t="s">
        <v>5418</v>
      </c>
      <c r="C4418" s="15" t="s">
        <v>5997</v>
      </c>
      <c r="D4418" s="34" t="n">
        <v>0</v>
      </c>
      <c r="E4418" s="15" t="s">
        <v>6006</v>
      </c>
    </row>
    <row r="4419" customFormat="false" ht="15" hidden="false" customHeight="false" outlineLevel="0" collapsed="false">
      <c r="A4419" s="15" t="s">
        <v>5418</v>
      </c>
      <c r="B4419" s="15" t="s">
        <v>5420</v>
      </c>
      <c r="C4419" s="15" t="s">
        <v>5997</v>
      </c>
      <c r="D4419" s="34" t="n">
        <f aca="false">Activities!M1794</f>
        <v>1</v>
      </c>
      <c r="E4419" s="15" t="s">
        <v>5998</v>
      </c>
    </row>
    <row r="4420" customFormat="false" ht="15" hidden="false" customHeight="false" outlineLevel="0" collapsed="false">
      <c r="A4420" s="15" t="s">
        <v>5418</v>
      </c>
      <c r="B4420" s="15" t="s">
        <v>5420</v>
      </c>
      <c r="C4420" s="15" t="s">
        <v>5999</v>
      </c>
      <c r="D4420" s="34" t="n">
        <f aca="false">Activities!N1794</f>
        <v>2</v>
      </c>
      <c r="E4420" s="15" t="s">
        <v>5998</v>
      </c>
    </row>
    <row r="4421" customFormat="false" ht="15" hidden="false" customHeight="false" outlineLevel="0" collapsed="false">
      <c r="A4421" s="15" t="s">
        <v>5420</v>
      </c>
      <c r="B4421" s="15" t="s">
        <v>5421</v>
      </c>
      <c r="C4421" s="15" t="s">
        <v>5997</v>
      </c>
      <c r="D4421" s="34" t="n">
        <f aca="false">Activities!M1795</f>
        <v>2</v>
      </c>
      <c r="E4421" s="15" t="s">
        <v>5998</v>
      </c>
    </row>
    <row r="4422" customFormat="false" ht="15" hidden="false" customHeight="false" outlineLevel="0" collapsed="false">
      <c r="A4422" s="15" t="s">
        <v>5420</v>
      </c>
      <c r="B4422" s="15" t="s">
        <v>5421</v>
      </c>
      <c r="C4422" s="15" t="s">
        <v>5999</v>
      </c>
      <c r="D4422" s="34" t="n">
        <f aca="false">Activities!N1795</f>
        <v>2</v>
      </c>
      <c r="E4422" s="15" t="s">
        <v>5998</v>
      </c>
    </row>
    <row r="4423" customFormat="false" ht="15" hidden="false" customHeight="false" outlineLevel="0" collapsed="false">
      <c r="A4423" s="15" t="s">
        <v>5345</v>
      </c>
      <c r="B4423" s="15" t="s">
        <v>5421</v>
      </c>
      <c r="C4423" s="15" t="s">
        <v>5995</v>
      </c>
      <c r="D4423" s="34" t="n">
        <v>0</v>
      </c>
      <c r="E4423" s="15" t="s">
        <v>6001</v>
      </c>
    </row>
    <row r="4424" customFormat="false" ht="15" hidden="false" customHeight="false" outlineLevel="0" collapsed="false">
      <c r="A4424" s="15" t="s">
        <v>5421</v>
      </c>
      <c r="B4424" s="15" t="s">
        <v>5423</v>
      </c>
      <c r="C4424" s="15" t="s">
        <v>5997</v>
      </c>
      <c r="D4424" s="34" t="n">
        <f aca="false">Activities!M1796</f>
        <v>2</v>
      </c>
      <c r="E4424" s="15" t="s">
        <v>5998</v>
      </c>
    </row>
    <row r="4425" customFormat="false" ht="15" hidden="false" customHeight="false" outlineLevel="0" collapsed="false">
      <c r="A4425" s="15" t="s">
        <v>5421</v>
      </c>
      <c r="B4425" s="15" t="s">
        <v>5423</v>
      </c>
      <c r="C4425" s="15" t="s">
        <v>5999</v>
      </c>
      <c r="D4425" s="34" t="n">
        <f aca="false">Activities!N1796</f>
        <v>2</v>
      </c>
      <c r="E4425" s="15" t="s">
        <v>5998</v>
      </c>
    </row>
    <row r="4426" customFormat="false" ht="15" hidden="false" customHeight="false" outlineLevel="0" collapsed="false">
      <c r="A4426" s="15" t="s">
        <v>5423</v>
      </c>
      <c r="B4426" s="15" t="s">
        <v>5424</v>
      </c>
      <c r="C4426" s="15" t="s">
        <v>5997</v>
      </c>
      <c r="D4426" s="34" t="n">
        <f aca="false">Activities!M1797</f>
        <v>2</v>
      </c>
      <c r="E4426" s="15" t="s">
        <v>5998</v>
      </c>
    </row>
    <row r="4427" customFormat="false" ht="15" hidden="false" customHeight="false" outlineLevel="0" collapsed="false">
      <c r="A4427" s="15" t="s">
        <v>5423</v>
      </c>
      <c r="B4427" s="15" t="s">
        <v>5424</v>
      </c>
      <c r="C4427" s="15" t="s">
        <v>5999</v>
      </c>
      <c r="D4427" s="34" t="n">
        <f aca="false">Activities!N1797</f>
        <v>2</v>
      </c>
      <c r="E4427" s="15" t="s">
        <v>5998</v>
      </c>
    </row>
    <row r="4428" customFormat="false" ht="15" hidden="false" customHeight="false" outlineLevel="0" collapsed="false">
      <c r="A4428" s="15" t="s">
        <v>5389</v>
      </c>
      <c r="B4428" s="15" t="s">
        <v>5424</v>
      </c>
      <c r="C4428" s="15" t="s">
        <v>5995</v>
      </c>
      <c r="D4428" s="34" t="n">
        <v>0</v>
      </c>
      <c r="E4428" s="15" t="s">
        <v>6005</v>
      </c>
    </row>
    <row r="4429" customFormat="false" ht="15" hidden="false" customHeight="false" outlineLevel="0" collapsed="false">
      <c r="A4429" s="15" t="s">
        <v>5424</v>
      </c>
      <c r="B4429" s="15" t="s">
        <v>5426</v>
      </c>
      <c r="C4429" s="15" t="s">
        <v>5997</v>
      </c>
      <c r="D4429" s="34" t="n">
        <f aca="false">Activities!M1798</f>
        <v>1</v>
      </c>
      <c r="E4429" s="15" t="s">
        <v>5998</v>
      </c>
    </row>
    <row r="4430" customFormat="false" ht="15" hidden="false" customHeight="false" outlineLevel="0" collapsed="false">
      <c r="A4430" s="15" t="s">
        <v>5424</v>
      </c>
      <c r="B4430" s="15" t="s">
        <v>5426</v>
      </c>
      <c r="C4430" s="15" t="s">
        <v>5999</v>
      </c>
      <c r="D4430" s="34" t="n">
        <f aca="false">Activities!N1798</f>
        <v>2</v>
      </c>
      <c r="E4430" s="15" t="s">
        <v>5998</v>
      </c>
    </row>
    <row r="4431" customFormat="false" ht="15" hidden="false" customHeight="false" outlineLevel="0" collapsed="false">
      <c r="A4431" s="15" t="s">
        <v>5427</v>
      </c>
      <c r="B4431" s="15" t="s">
        <v>5429</v>
      </c>
      <c r="C4431" s="15" t="s">
        <v>5995</v>
      </c>
      <c r="D4431" s="34" t="n">
        <v>0</v>
      </c>
      <c r="E4431" s="15" t="s">
        <v>5996</v>
      </c>
    </row>
    <row r="4432" customFormat="false" ht="15" hidden="false" customHeight="false" outlineLevel="0" collapsed="false">
      <c r="A4432" s="15" t="s">
        <v>5399</v>
      </c>
      <c r="B4432" s="15" t="s">
        <v>5429</v>
      </c>
      <c r="C4432" s="15" t="s">
        <v>5997</v>
      </c>
      <c r="D4432" s="34" t="n">
        <v>0</v>
      </c>
      <c r="E4432" s="15" t="s">
        <v>6002</v>
      </c>
    </row>
    <row r="4433" customFormat="false" ht="15" hidden="false" customHeight="false" outlineLevel="0" collapsed="false">
      <c r="A4433" s="15" t="s">
        <v>5429</v>
      </c>
      <c r="B4433" s="15" t="s">
        <v>5431</v>
      </c>
      <c r="C4433" s="15" t="s">
        <v>5997</v>
      </c>
      <c r="D4433" s="34" t="n">
        <f aca="false">Activities!M1801</f>
        <v>1</v>
      </c>
      <c r="E4433" s="15" t="s">
        <v>5998</v>
      </c>
    </row>
    <row r="4434" customFormat="false" ht="15" hidden="false" customHeight="false" outlineLevel="0" collapsed="false">
      <c r="A4434" s="15" t="s">
        <v>5429</v>
      </c>
      <c r="B4434" s="15" t="s">
        <v>5431</v>
      </c>
      <c r="C4434" s="15" t="s">
        <v>5999</v>
      </c>
      <c r="D4434" s="34" t="n">
        <f aca="false">Activities!N1801</f>
        <v>2</v>
      </c>
      <c r="E4434" s="15" t="s">
        <v>5998</v>
      </c>
    </row>
    <row r="4435" customFormat="false" ht="15" hidden="false" customHeight="false" outlineLevel="0" collapsed="false">
      <c r="A4435" s="15" t="s">
        <v>5399</v>
      </c>
      <c r="B4435" s="15" t="s">
        <v>5431</v>
      </c>
      <c r="C4435" s="15" t="s">
        <v>5995</v>
      </c>
      <c r="D4435" s="34" t="n">
        <v>0</v>
      </c>
      <c r="E4435" s="15" t="s">
        <v>6013</v>
      </c>
    </row>
    <row r="4436" customFormat="false" ht="15" hidden="false" customHeight="false" outlineLevel="0" collapsed="false">
      <c r="A4436" s="15" t="s">
        <v>5431</v>
      </c>
      <c r="B4436" s="15" t="s">
        <v>5432</v>
      </c>
      <c r="C4436" s="15" t="s">
        <v>5997</v>
      </c>
      <c r="D4436" s="34" t="n">
        <f aca="false">Activities!M1802</f>
        <v>1</v>
      </c>
      <c r="E4436" s="15" t="s">
        <v>5998</v>
      </c>
    </row>
    <row r="4437" customFormat="false" ht="15" hidden="false" customHeight="false" outlineLevel="0" collapsed="false">
      <c r="A4437" s="15" t="s">
        <v>5431</v>
      </c>
      <c r="B4437" s="15" t="s">
        <v>5432</v>
      </c>
      <c r="C4437" s="15" t="s">
        <v>5999</v>
      </c>
      <c r="D4437" s="34" t="n">
        <f aca="false">Activities!N1802</f>
        <v>2</v>
      </c>
      <c r="E4437" s="15" t="s">
        <v>5998</v>
      </c>
    </row>
    <row r="4438" customFormat="false" ht="15" hidden="false" customHeight="false" outlineLevel="0" collapsed="false">
      <c r="A4438" s="15" t="s">
        <v>5400</v>
      </c>
      <c r="B4438" s="15" t="s">
        <v>5432</v>
      </c>
      <c r="C4438" s="15" t="s">
        <v>5995</v>
      </c>
      <c r="D4438" s="34" t="n">
        <v>0</v>
      </c>
      <c r="E4438" s="15" t="s">
        <v>6013</v>
      </c>
    </row>
    <row r="4439" customFormat="false" ht="15" hidden="false" customHeight="false" outlineLevel="0" collapsed="false">
      <c r="A4439" s="15" t="s">
        <v>5432</v>
      </c>
      <c r="B4439" s="15" t="s">
        <v>5433</v>
      </c>
      <c r="C4439" s="15" t="s">
        <v>5997</v>
      </c>
      <c r="D4439" s="34" t="n">
        <f aca="false">Activities!M1803</f>
        <v>1</v>
      </c>
      <c r="E4439" s="15" t="s">
        <v>5998</v>
      </c>
    </row>
    <row r="4440" customFormat="false" ht="15" hidden="false" customHeight="false" outlineLevel="0" collapsed="false">
      <c r="A4440" s="15" t="s">
        <v>5432</v>
      </c>
      <c r="B4440" s="15" t="s">
        <v>5433</v>
      </c>
      <c r="C4440" s="15" t="s">
        <v>5999</v>
      </c>
      <c r="D4440" s="34" t="n">
        <f aca="false">Activities!N1803</f>
        <v>2</v>
      </c>
      <c r="E4440" s="15" t="s">
        <v>5998</v>
      </c>
    </row>
    <row r="4441" customFormat="false" ht="15" hidden="false" customHeight="false" outlineLevel="0" collapsed="false">
      <c r="A4441" s="15" t="s">
        <v>5403</v>
      </c>
      <c r="B4441" s="15" t="s">
        <v>5433</v>
      </c>
      <c r="C4441" s="15" t="s">
        <v>5995</v>
      </c>
      <c r="D4441" s="34" t="n">
        <f aca="false">-Activities!K1803</f>
        <v>-10</v>
      </c>
      <c r="E4441" s="15" t="s">
        <v>6004</v>
      </c>
    </row>
    <row r="4442" customFormat="false" ht="15" hidden="false" customHeight="false" outlineLevel="0" collapsed="false">
      <c r="A4442" s="15" t="s">
        <v>5433</v>
      </c>
      <c r="B4442" s="15" t="s">
        <v>5435</v>
      </c>
      <c r="C4442" s="15" t="s">
        <v>5997</v>
      </c>
      <c r="D4442" s="34" t="n">
        <f aca="false">Activities!M1804</f>
        <v>10</v>
      </c>
      <c r="E4442" s="15" t="s">
        <v>5998</v>
      </c>
    </row>
    <row r="4443" customFormat="false" ht="15" hidden="false" customHeight="false" outlineLevel="0" collapsed="false">
      <c r="A4443" s="15" t="s">
        <v>5433</v>
      </c>
      <c r="B4443" s="15" t="s">
        <v>5435</v>
      </c>
      <c r="C4443" s="15" t="s">
        <v>5999</v>
      </c>
      <c r="D4443" s="34" t="n">
        <f aca="false">Activities!N1804</f>
        <v>2</v>
      </c>
      <c r="E4443" s="15" t="s">
        <v>5998</v>
      </c>
    </row>
    <row r="4444" customFormat="false" ht="15" hidden="false" customHeight="false" outlineLevel="0" collapsed="false">
      <c r="A4444" s="15" t="s">
        <v>5403</v>
      </c>
      <c r="B4444" s="15" t="s">
        <v>5435</v>
      </c>
      <c r="C4444" s="15" t="s">
        <v>5995</v>
      </c>
      <c r="D4444" s="34" t="n">
        <v>0</v>
      </c>
      <c r="E4444" s="15" t="s">
        <v>6013</v>
      </c>
    </row>
    <row r="4445" customFormat="false" ht="15" hidden="false" customHeight="false" outlineLevel="0" collapsed="false">
      <c r="A4445" s="15" t="s">
        <v>5387</v>
      </c>
      <c r="B4445" s="15" t="s">
        <v>5435</v>
      </c>
      <c r="C4445" s="15" t="s">
        <v>5997</v>
      </c>
      <c r="D4445" s="34" t="n">
        <v>0</v>
      </c>
      <c r="E4445" s="15" t="s">
        <v>6006</v>
      </c>
    </row>
    <row r="4446" customFormat="false" ht="15" hidden="false" customHeight="false" outlineLevel="0" collapsed="false">
      <c r="A4446" s="15" t="s">
        <v>5435</v>
      </c>
      <c r="B4446" s="15" t="s">
        <v>5436</v>
      </c>
      <c r="C4446" s="15" t="s">
        <v>5997</v>
      </c>
      <c r="D4446" s="34" t="n">
        <f aca="false">Activities!M1805</f>
        <v>1</v>
      </c>
      <c r="E4446" s="15" t="s">
        <v>5998</v>
      </c>
    </row>
    <row r="4447" customFormat="false" ht="15" hidden="false" customHeight="false" outlineLevel="0" collapsed="false">
      <c r="A4447" s="15" t="s">
        <v>5435</v>
      </c>
      <c r="B4447" s="15" t="s">
        <v>5436</v>
      </c>
      <c r="C4447" s="15" t="s">
        <v>5999</v>
      </c>
      <c r="D4447" s="34" t="n">
        <f aca="false">Activities!N1805</f>
        <v>2</v>
      </c>
      <c r="E4447" s="15" t="s">
        <v>5998</v>
      </c>
    </row>
    <row r="4448" customFormat="false" ht="15" hidden="false" customHeight="false" outlineLevel="0" collapsed="false">
      <c r="A4448" s="15" t="s">
        <v>5405</v>
      </c>
      <c r="B4448" s="15" t="s">
        <v>5436</v>
      </c>
      <c r="C4448" s="15" t="s">
        <v>5995</v>
      </c>
      <c r="D4448" s="34" t="n">
        <v>0</v>
      </c>
      <c r="E4448" s="15" t="s">
        <v>6013</v>
      </c>
    </row>
    <row r="4449" customFormat="false" ht="15" hidden="false" customHeight="false" outlineLevel="0" collapsed="false">
      <c r="A4449" s="15" t="s">
        <v>5436</v>
      </c>
      <c r="B4449" s="15" t="s">
        <v>5437</v>
      </c>
      <c r="C4449" s="15" t="s">
        <v>5997</v>
      </c>
      <c r="D4449" s="34" t="n">
        <f aca="false">Activities!M1806</f>
        <v>2</v>
      </c>
      <c r="E4449" s="15" t="s">
        <v>5998</v>
      </c>
    </row>
    <row r="4450" customFormat="false" ht="15" hidden="false" customHeight="false" outlineLevel="0" collapsed="false">
      <c r="A4450" s="15" t="s">
        <v>5436</v>
      </c>
      <c r="B4450" s="15" t="s">
        <v>5437</v>
      </c>
      <c r="C4450" s="15" t="s">
        <v>5999</v>
      </c>
      <c r="D4450" s="34" t="n">
        <f aca="false">Activities!N1806</f>
        <v>2</v>
      </c>
      <c r="E4450" s="15" t="s">
        <v>5998</v>
      </c>
    </row>
    <row r="4451" customFormat="false" ht="15" hidden="false" customHeight="false" outlineLevel="0" collapsed="false">
      <c r="A4451" s="15" t="s">
        <v>5406</v>
      </c>
      <c r="B4451" s="15" t="s">
        <v>5437</v>
      </c>
      <c r="C4451" s="15" t="s">
        <v>5995</v>
      </c>
      <c r="D4451" s="34" t="n">
        <v>0</v>
      </c>
      <c r="E4451" s="15" t="s">
        <v>6013</v>
      </c>
    </row>
    <row r="4452" customFormat="false" ht="15" hidden="false" customHeight="false" outlineLevel="0" collapsed="false">
      <c r="A4452" s="15" t="s">
        <v>5437</v>
      </c>
      <c r="B4452" s="15" t="s">
        <v>5438</v>
      </c>
      <c r="C4452" s="15" t="s">
        <v>5997</v>
      </c>
      <c r="D4452" s="34" t="n">
        <f aca="false">Activities!M1807</f>
        <v>1</v>
      </c>
      <c r="E4452" s="15" t="s">
        <v>5998</v>
      </c>
    </row>
    <row r="4453" customFormat="false" ht="15" hidden="false" customHeight="false" outlineLevel="0" collapsed="false">
      <c r="A4453" s="15" t="s">
        <v>5437</v>
      </c>
      <c r="B4453" s="15" t="s">
        <v>5438</v>
      </c>
      <c r="C4453" s="15" t="s">
        <v>5999</v>
      </c>
      <c r="D4453" s="34" t="n">
        <f aca="false">Activities!N1807</f>
        <v>2</v>
      </c>
      <c r="E4453" s="15" t="s">
        <v>5998</v>
      </c>
    </row>
    <row r="4454" customFormat="false" ht="15" hidden="false" customHeight="false" outlineLevel="0" collapsed="false">
      <c r="A4454" s="15" t="s">
        <v>5438</v>
      </c>
      <c r="B4454" s="15" t="s">
        <v>5439</v>
      </c>
      <c r="C4454" s="15" t="s">
        <v>5997</v>
      </c>
      <c r="D4454" s="34" t="n">
        <f aca="false">Activities!M1808</f>
        <v>2</v>
      </c>
      <c r="E4454" s="15" t="s">
        <v>5998</v>
      </c>
    </row>
    <row r="4455" customFormat="false" ht="15" hidden="false" customHeight="false" outlineLevel="0" collapsed="false">
      <c r="A4455" s="15" t="s">
        <v>5438</v>
      </c>
      <c r="B4455" s="15" t="s">
        <v>5439</v>
      </c>
      <c r="C4455" s="15" t="s">
        <v>5999</v>
      </c>
      <c r="D4455" s="34" t="n">
        <f aca="false">Activities!N1808</f>
        <v>2</v>
      </c>
      <c r="E4455" s="15" t="s">
        <v>5998</v>
      </c>
    </row>
    <row r="4456" customFormat="false" ht="15" hidden="false" customHeight="false" outlineLevel="0" collapsed="false">
      <c r="A4456" s="15" t="s">
        <v>5408</v>
      </c>
      <c r="B4456" s="15" t="s">
        <v>5439</v>
      </c>
      <c r="C4456" s="15" t="s">
        <v>5995</v>
      </c>
      <c r="D4456" s="34" t="n">
        <v>0</v>
      </c>
      <c r="E4456" s="15" t="s">
        <v>6013</v>
      </c>
    </row>
    <row r="4457" customFormat="false" ht="15" hidden="false" customHeight="false" outlineLevel="0" collapsed="false">
      <c r="A4457" s="15" t="s">
        <v>5389</v>
      </c>
      <c r="B4457" s="15" t="s">
        <v>5439</v>
      </c>
      <c r="C4457" s="15" t="s">
        <v>5995</v>
      </c>
      <c r="D4457" s="34" t="n">
        <v>0</v>
      </c>
      <c r="E4457" s="15" t="s">
        <v>6005</v>
      </c>
    </row>
    <row r="4458" customFormat="false" ht="15" hidden="false" customHeight="false" outlineLevel="0" collapsed="false">
      <c r="A4458" s="15" t="s">
        <v>5439</v>
      </c>
      <c r="B4458" s="15" t="s">
        <v>5440</v>
      </c>
      <c r="C4458" s="15" t="s">
        <v>5997</v>
      </c>
      <c r="D4458" s="34" t="n">
        <f aca="false">Activities!M1809</f>
        <v>1</v>
      </c>
      <c r="E4458" s="15" t="s">
        <v>5998</v>
      </c>
    </row>
    <row r="4459" customFormat="false" ht="15" hidden="false" customHeight="false" outlineLevel="0" collapsed="false">
      <c r="A4459" s="15" t="s">
        <v>5439</v>
      </c>
      <c r="B4459" s="15" t="s">
        <v>5440</v>
      </c>
      <c r="C4459" s="15" t="s">
        <v>5999</v>
      </c>
      <c r="D4459" s="34" t="n">
        <f aca="false">Activities!N1809</f>
        <v>2</v>
      </c>
      <c r="E4459" s="15" t="s">
        <v>5998</v>
      </c>
    </row>
    <row r="4460" customFormat="false" ht="15" hidden="false" customHeight="false" outlineLevel="0" collapsed="false">
      <c r="A4460" s="15" t="s">
        <v>5441</v>
      </c>
      <c r="B4460" s="15" t="s">
        <v>5443</v>
      </c>
      <c r="C4460" s="15" t="s">
        <v>5995</v>
      </c>
      <c r="D4460" s="34" t="n">
        <v>0</v>
      </c>
      <c r="E4460" s="15" t="s">
        <v>5996</v>
      </c>
    </row>
    <row r="4461" customFormat="false" ht="15" hidden="false" customHeight="false" outlineLevel="0" collapsed="false">
      <c r="A4461" s="15" t="s">
        <v>5431</v>
      </c>
      <c r="B4461" s="15" t="s">
        <v>5443</v>
      </c>
      <c r="C4461" s="15" t="s">
        <v>5997</v>
      </c>
      <c r="D4461" s="34" t="n">
        <v>0</v>
      </c>
      <c r="E4461" s="15" t="s">
        <v>6000</v>
      </c>
    </row>
    <row r="4462" customFormat="false" ht="15" hidden="false" customHeight="false" outlineLevel="0" collapsed="false">
      <c r="A4462" s="15" t="s">
        <v>5443</v>
      </c>
      <c r="B4462" s="15" t="s">
        <v>5445</v>
      </c>
      <c r="C4462" s="15" t="s">
        <v>5997</v>
      </c>
      <c r="D4462" s="34" t="n">
        <f aca="false">Activities!M1812</f>
        <v>1</v>
      </c>
      <c r="E4462" s="15" t="s">
        <v>5998</v>
      </c>
    </row>
    <row r="4463" customFormat="false" ht="15" hidden="false" customHeight="false" outlineLevel="0" collapsed="false">
      <c r="A4463" s="15" t="s">
        <v>5443</v>
      </c>
      <c r="B4463" s="15" t="s">
        <v>5445</v>
      </c>
      <c r="C4463" s="15" t="s">
        <v>5999</v>
      </c>
      <c r="D4463" s="34" t="n">
        <f aca="false">Activities!N1812</f>
        <v>2</v>
      </c>
      <c r="E4463" s="15" t="s">
        <v>5998</v>
      </c>
    </row>
    <row r="4464" customFormat="false" ht="15" hidden="false" customHeight="false" outlineLevel="0" collapsed="false">
      <c r="A4464" s="15" t="s">
        <v>5445</v>
      </c>
      <c r="B4464" s="15" t="s">
        <v>5446</v>
      </c>
      <c r="C4464" s="15" t="s">
        <v>5997</v>
      </c>
      <c r="D4464" s="34" t="n">
        <f aca="false">Activities!M1813</f>
        <v>1</v>
      </c>
      <c r="E4464" s="15" t="s">
        <v>5998</v>
      </c>
    </row>
    <row r="4465" customFormat="false" ht="15" hidden="false" customHeight="false" outlineLevel="0" collapsed="false">
      <c r="A4465" s="15" t="s">
        <v>5445</v>
      </c>
      <c r="B4465" s="15" t="s">
        <v>5446</v>
      </c>
      <c r="C4465" s="15" t="s">
        <v>5999</v>
      </c>
      <c r="D4465" s="34" t="n">
        <f aca="false">Activities!N1813</f>
        <v>2</v>
      </c>
      <c r="E4465" s="15" t="s">
        <v>5998</v>
      </c>
    </row>
    <row r="4466" customFormat="false" ht="15" hidden="false" customHeight="false" outlineLevel="0" collapsed="false">
      <c r="A4466" s="15" t="s">
        <v>5446</v>
      </c>
      <c r="B4466" s="15" t="s">
        <v>5447</v>
      </c>
      <c r="C4466" s="15" t="s">
        <v>5997</v>
      </c>
      <c r="D4466" s="34" t="n">
        <f aca="false">Activities!M1814</f>
        <v>1</v>
      </c>
      <c r="E4466" s="15" t="s">
        <v>5998</v>
      </c>
    </row>
    <row r="4467" customFormat="false" ht="15" hidden="false" customHeight="false" outlineLevel="0" collapsed="false">
      <c r="A4467" s="15" t="s">
        <v>5446</v>
      </c>
      <c r="B4467" s="15" t="s">
        <v>5447</v>
      </c>
      <c r="C4467" s="15" t="s">
        <v>5999</v>
      </c>
      <c r="D4467" s="34" t="n">
        <f aca="false">Activities!N1814</f>
        <v>2</v>
      </c>
      <c r="E4467" s="15" t="s">
        <v>5998</v>
      </c>
    </row>
    <row r="4468" customFormat="false" ht="15" hidden="false" customHeight="false" outlineLevel="0" collapsed="false">
      <c r="A4468" s="15" t="s">
        <v>5447</v>
      </c>
      <c r="B4468" s="15" t="s">
        <v>5448</v>
      </c>
      <c r="C4468" s="15" t="s">
        <v>5997</v>
      </c>
      <c r="D4468" s="34" t="n">
        <f aca="false">Activities!M1815</f>
        <v>10</v>
      </c>
      <c r="E4468" s="15" t="s">
        <v>5998</v>
      </c>
    </row>
    <row r="4469" customFormat="false" ht="15" hidden="false" customHeight="false" outlineLevel="0" collapsed="false">
      <c r="A4469" s="15" t="s">
        <v>5447</v>
      </c>
      <c r="B4469" s="15" t="s">
        <v>5448</v>
      </c>
      <c r="C4469" s="15" t="s">
        <v>5999</v>
      </c>
      <c r="D4469" s="34" t="n">
        <f aca="false">Activities!N1815</f>
        <v>2</v>
      </c>
      <c r="E4469" s="15" t="s">
        <v>5998</v>
      </c>
    </row>
    <row r="4470" customFormat="false" ht="15" hidden="false" customHeight="false" outlineLevel="0" collapsed="false">
      <c r="A4470" s="15" t="s">
        <v>5387</v>
      </c>
      <c r="B4470" s="15" t="s">
        <v>5448</v>
      </c>
      <c r="C4470" s="15" t="s">
        <v>5997</v>
      </c>
      <c r="D4470" s="34" t="n">
        <v>0</v>
      </c>
      <c r="E4470" s="15" t="s">
        <v>6006</v>
      </c>
    </row>
    <row r="4471" customFormat="false" ht="15" hidden="false" customHeight="false" outlineLevel="0" collapsed="false">
      <c r="A4471" s="15" t="s">
        <v>5448</v>
      </c>
      <c r="B4471" s="15" t="s">
        <v>5449</v>
      </c>
      <c r="C4471" s="15" t="s">
        <v>5997</v>
      </c>
      <c r="D4471" s="34" t="n">
        <f aca="false">Activities!M1816</f>
        <v>1</v>
      </c>
      <c r="E4471" s="15" t="s">
        <v>5998</v>
      </c>
    </row>
    <row r="4472" customFormat="false" ht="15" hidden="false" customHeight="false" outlineLevel="0" collapsed="false">
      <c r="A4472" s="15" t="s">
        <v>5448</v>
      </c>
      <c r="B4472" s="15" t="s">
        <v>5449</v>
      </c>
      <c r="C4472" s="15" t="s">
        <v>5999</v>
      </c>
      <c r="D4472" s="34" t="n">
        <f aca="false">Activities!N1816</f>
        <v>2</v>
      </c>
      <c r="E4472" s="15" t="s">
        <v>5998</v>
      </c>
    </row>
    <row r="4473" customFormat="false" ht="15" hidden="false" customHeight="false" outlineLevel="0" collapsed="false">
      <c r="A4473" s="15" t="s">
        <v>5449</v>
      </c>
      <c r="B4473" s="15" t="s">
        <v>5450</v>
      </c>
      <c r="C4473" s="15" t="s">
        <v>5997</v>
      </c>
      <c r="D4473" s="34" t="n">
        <f aca="false">Activities!M1817</f>
        <v>2</v>
      </c>
      <c r="E4473" s="15" t="s">
        <v>5998</v>
      </c>
    </row>
    <row r="4474" customFormat="false" ht="15" hidden="false" customHeight="false" outlineLevel="0" collapsed="false">
      <c r="A4474" s="15" t="s">
        <v>5449</v>
      </c>
      <c r="B4474" s="15" t="s">
        <v>5450</v>
      </c>
      <c r="C4474" s="15" t="s">
        <v>5999</v>
      </c>
      <c r="D4474" s="34" t="n">
        <f aca="false">Activities!N1817</f>
        <v>2</v>
      </c>
      <c r="E4474" s="15" t="s">
        <v>5998</v>
      </c>
    </row>
    <row r="4475" customFormat="false" ht="15" hidden="false" customHeight="false" outlineLevel="0" collapsed="false">
      <c r="A4475" s="15" t="s">
        <v>5437</v>
      </c>
      <c r="B4475" s="15" t="s">
        <v>5450</v>
      </c>
      <c r="C4475" s="15" t="s">
        <v>5995</v>
      </c>
      <c r="D4475" s="34" t="n">
        <v>0</v>
      </c>
      <c r="E4475" s="15" t="s">
        <v>6001</v>
      </c>
    </row>
    <row r="4476" customFormat="false" ht="15" hidden="false" customHeight="false" outlineLevel="0" collapsed="false">
      <c r="A4476" s="15" t="s">
        <v>5450</v>
      </c>
      <c r="B4476" s="15" t="s">
        <v>5452</v>
      </c>
      <c r="C4476" s="15" t="s">
        <v>5997</v>
      </c>
      <c r="D4476" s="34" t="n">
        <f aca="false">Activities!M1818</f>
        <v>2</v>
      </c>
      <c r="E4476" s="15" t="s">
        <v>5998</v>
      </c>
    </row>
    <row r="4477" customFormat="false" ht="15" hidden="false" customHeight="false" outlineLevel="0" collapsed="false">
      <c r="A4477" s="15" t="s">
        <v>5450</v>
      </c>
      <c r="B4477" s="15" t="s">
        <v>5452</v>
      </c>
      <c r="C4477" s="15" t="s">
        <v>5999</v>
      </c>
      <c r="D4477" s="34" t="n">
        <f aca="false">Activities!N1818</f>
        <v>2</v>
      </c>
      <c r="E4477" s="15" t="s">
        <v>5998</v>
      </c>
    </row>
    <row r="4478" customFormat="false" ht="15" hidden="false" customHeight="false" outlineLevel="0" collapsed="false">
      <c r="A4478" s="15" t="s">
        <v>5452</v>
      </c>
      <c r="B4478" s="15" t="s">
        <v>5453</v>
      </c>
      <c r="C4478" s="15" t="s">
        <v>5997</v>
      </c>
      <c r="D4478" s="34" t="n">
        <f aca="false">Activities!M1819</f>
        <v>2</v>
      </c>
      <c r="E4478" s="15" t="s">
        <v>5998</v>
      </c>
    </row>
    <row r="4479" customFormat="false" ht="15" hidden="false" customHeight="false" outlineLevel="0" collapsed="false">
      <c r="A4479" s="15" t="s">
        <v>5452</v>
      </c>
      <c r="B4479" s="15" t="s">
        <v>5453</v>
      </c>
      <c r="C4479" s="15" t="s">
        <v>5999</v>
      </c>
      <c r="D4479" s="34" t="n">
        <f aca="false">Activities!N1819</f>
        <v>2</v>
      </c>
      <c r="E4479" s="15" t="s">
        <v>5998</v>
      </c>
    </row>
    <row r="4480" customFormat="false" ht="15" hidden="false" customHeight="false" outlineLevel="0" collapsed="false">
      <c r="A4480" s="15" t="s">
        <v>5389</v>
      </c>
      <c r="B4480" s="15" t="s">
        <v>5453</v>
      </c>
      <c r="C4480" s="15" t="s">
        <v>5995</v>
      </c>
      <c r="D4480" s="34" t="n">
        <v>0</v>
      </c>
      <c r="E4480" s="15" t="s">
        <v>6005</v>
      </c>
    </row>
    <row r="4481" customFormat="false" ht="15" hidden="false" customHeight="false" outlineLevel="0" collapsed="false">
      <c r="A4481" s="15" t="s">
        <v>5453</v>
      </c>
      <c r="B4481" s="15" t="s">
        <v>5454</v>
      </c>
      <c r="C4481" s="15" t="s">
        <v>5997</v>
      </c>
      <c r="D4481" s="34" t="n">
        <f aca="false">Activities!M1820</f>
        <v>1</v>
      </c>
      <c r="E4481" s="15" t="s">
        <v>5998</v>
      </c>
    </row>
    <row r="4482" customFormat="false" ht="15" hidden="false" customHeight="false" outlineLevel="0" collapsed="false">
      <c r="A4482" s="15" t="s">
        <v>5453</v>
      </c>
      <c r="B4482" s="15" t="s">
        <v>5454</v>
      </c>
      <c r="C4482" s="15" t="s">
        <v>5999</v>
      </c>
      <c r="D4482" s="34" t="n">
        <f aca="false">Activities!N1820</f>
        <v>2</v>
      </c>
      <c r="E4482" s="15" t="s">
        <v>5998</v>
      </c>
    </row>
    <row r="4483" customFormat="false" ht="15" hidden="false" customHeight="false" outlineLevel="0" collapsed="false">
      <c r="A4483" s="15" t="s">
        <v>5455</v>
      </c>
      <c r="B4483" s="15" t="s">
        <v>5457</v>
      </c>
      <c r="C4483" s="15" t="s">
        <v>5995</v>
      </c>
      <c r="D4483" s="34" t="n">
        <v>0</v>
      </c>
      <c r="E4483" s="15" t="s">
        <v>5996</v>
      </c>
    </row>
    <row r="4484" customFormat="false" ht="15" hidden="false" customHeight="false" outlineLevel="0" collapsed="false">
      <c r="A4484" s="15" t="s">
        <v>5368</v>
      </c>
      <c r="B4484" s="15" t="s">
        <v>5457</v>
      </c>
      <c r="C4484" s="15" t="s">
        <v>5997</v>
      </c>
      <c r="D4484" s="34" t="n">
        <v>0</v>
      </c>
      <c r="E4484" s="15" t="s">
        <v>6000</v>
      </c>
    </row>
    <row r="4485" customFormat="false" ht="15" hidden="false" customHeight="false" outlineLevel="0" collapsed="false">
      <c r="A4485" s="15" t="s">
        <v>5457</v>
      </c>
      <c r="B4485" s="15" t="s">
        <v>5459</v>
      </c>
      <c r="C4485" s="15" t="s">
        <v>5997</v>
      </c>
      <c r="D4485" s="34" t="n">
        <f aca="false">Activities!M1823</f>
        <v>1</v>
      </c>
      <c r="E4485" s="15" t="s">
        <v>5998</v>
      </c>
    </row>
    <row r="4486" customFormat="false" ht="15" hidden="false" customHeight="false" outlineLevel="0" collapsed="false">
      <c r="A4486" s="15" t="s">
        <v>5457</v>
      </c>
      <c r="B4486" s="15" t="s">
        <v>5459</v>
      </c>
      <c r="C4486" s="15" t="s">
        <v>5999</v>
      </c>
      <c r="D4486" s="34" t="n">
        <f aca="false">Activities!N1823</f>
        <v>2</v>
      </c>
      <c r="E4486" s="15" t="s">
        <v>5998</v>
      </c>
    </row>
    <row r="4487" customFormat="false" ht="15" hidden="false" customHeight="false" outlineLevel="0" collapsed="false">
      <c r="A4487" s="15" t="s">
        <v>5459</v>
      </c>
      <c r="B4487" s="15" t="s">
        <v>5460</v>
      </c>
      <c r="C4487" s="15" t="s">
        <v>5997</v>
      </c>
      <c r="D4487" s="34" t="n">
        <f aca="false">Activities!M1824</f>
        <v>1</v>
      </c>
      <c r="E4487" s="15" t="s">
        <v>5998</v>
      </c>
    </row>
    <row r="4488" customFormat="false" ht="15" hidden="false" customHeight="false" outlineLevel="0" collapsed="false">
      <c r="A4488" s="15" t="s">
        <v>5459</v>
      </c>
      <c r="B4488" s="15" t="s">
        <v>5460</v>
      </c>
      <c r="C4488" s="15" t="s">
        <v>5999</v>
      </c>
      <c r="D4488" s="34" t="n">
        <f aca="false">Activities!N1824</f>
        <v>2</v>
      </c>
      <c r="E4488" s="15" t="s">
        <v>5998</v>
      </c>
    </row>
    <row r="4489" customFormat="false" ht="15" hidden="false" customHeight="false" outlineLevel="0" collapsed="false">
      <c r="A4489" s="15" t="s">
        <v>5460</v>
      </c>
      <c r="B4489" s="15" t="s">
        <v>5461</v>
      </c>
      <c r="C4489" s="15" t="s">
        <v>5997</v>
      </c>
      <c r="D4489" s="34" t="n">
        <f aca="false">Activities!M1825</f>
        <v>1</v>
      </c>
      <c r="E4489" s="15" t="s">
        <v>5998</v>
      </c>
    </row>
    <row r="4490" customFormat="false" ht="15" hidden="false" customHeight="false" outlineLevel="0" collapsed="false">
      <c r="A4490" s="15" t="s">
        <v>5460</v>
      </c>
      <c r="B4490" s="15" t="s">
        <v>5461</v>
      </c>
      <c r="C4490" s="15" t="s">
        <v>5999</v>
      </c>
      <c r="D4490" s="34" t="n">
        <f aca="false">Activities!N1825</f>
        <v>2</v>
      </c>
      <c r="E4490" s="15" t="s">
        <v>5998</v>
      </c>
    </row>
    <row r="4491" customFormat="false" ht="15" hidden="false" customHeight="false" outlineLevel="0" collapsed="false">
      <c r="A4491" s="15" t="s">
        <v>5461</v>
      </c>
      <c r="B4491" s="15" t="s">
        <v>5462</v>
      </c>
      <c r="C4491" s="15" t="s">
        <v>5997</v>
      </c>
      <c r="D4491" s="34" t="n">
        <f aca="false">Activities!M1826</f>
        <v>10</v>
      </c>
      <c r="E4491" s="15" t="s">
        <v>5998</v>
      </c>
    </row>
    <row r="4492" customFormat="false" ht="15" hidden="false" customHeight="false" outlineLevel="0" collapsed="false">
      <c r="A4492" s="15" t="s">
        <v>5461</v>
      </c>
      <c r="B4492" s="15" t="s">
        <v>5462</v>
      </c>
      <c r="C4492" s="15" t="s">
        <v>5999</v>
      </c>
      <c r="D4492" s="34" t="n">
        <f aca="false">Activities!N1826</f>
        <v>2</v>
      </c>
      <c r="E4492" s="15" t="s">
        <v>5998</v>
      </c>
    </row>
    <row r="4493" customFormat="false" ht="15" hidden="false" customHeight="false" outlineLevel="0" collapsed="false">
      <c r="A4493" s="15" t="s">
        <v>5462</v>
      </c>
      <c r="B4493" s="15" t="s">
        <v>5463</v>
      </c>
      <c r="C4493" s="15" t="s">
        <v>5997</v>
      </c>
      <c r="D4493" s="34" t="n">
        <f aca="false">Activities!M1827</f>
        <v>1</v>
      </c>
      <c r="E4493" s="15" t="s">
        <v>5998</v>
      </c>
    </row>
    <row r="4494" customFormat="false" ht="15" hidden="false" customHeight="false" outlineLevel="0" collapsed="false">
      <c r="A4494" s="15" t="s">
        <v>5462</v>
      </c>
      <c r="B4494" s="15" t="s">
        <v>5463</v>
      </c>
      <c r="C4494" s="15" t="s">
        <v>5999</v>
      </c>
      <c r="D4494" s="34" t="n">
        <f aca="false">Activities!N1827</f>
        <v>2</v>
      </c>
      <c r="E4494" s="15" t="s">
        <v>5998</v>
      </c>
    </row>
    <row r="4495" customFormat="false" ht="15" hidden="false" customHeight="false" outlineLevel="0" collapsed="false">
      <c r="A4495" s="15" t="s">
        <v>5463</v>
      </c>
      <c r="B4495" s="15" t="s">
        <v>5464</v>
      </c>
      <c r="C4495" s="15" t="s">
        <v>5997</v>
      </c>
      <c r="D4495" s="34" t="n">
        <f aca="false">Activities!M1828</f>
        <v>2</v>
      </c>
      <c r="E4495" s="15" t="s">
        <v>5998</v>
      </c>
    </row>
    <row r="4496" customFormat="false" ht="15" hidden="false" customHeight="false" outlineLevel="0" collapsed="false">
      <c r="A4496" s="15" t="s">
        <v>5463</v>
      </c>
      <c r="B4496" s="15" t="s">
        <v>5464</v>
      </c>
      <c r="C4496" s="15" t="s">
        <v>5999</v>
      </c>
      <c r="D4496" s="34" t="n">
        <f aca="false">Activities!N1828</f>
        <v>2</v>
      </c>
      <c r="E4496" s="15" t="s">
        <v>5998</v>
      </c>
    </row>
    <row r="4497" customFormat="false" ht="15" hidden="false" customHeight="false" outlineLevel="0" collapsed="false">
      <c r="A4497" s="15" t="s">
        <v>5375</v>
      </c>
      <c r="B4497" s="15" t="s">
        <v>5464</v>
      </c>
      <c r="C4497" s="15" t="s">
        <v>5995</v>
      </c>
      <c r="D4497" s="34" t="n">
        <v>0</v>
      </c>
      <c r="E4497" s="15" t="s">
        <v>6001</v>
      </c>
    </row>
    <row r="4498" customFormat="false" ht="15" hidden="false" customHeight="false" outlineLevel="0" collapsed="false">
      <c r="A4498" s="15" t="s">
        <v>5464</v>
      </c>
      <c r="B4498" s="15" t="s">
        <v>5466</v>
      </c>
      <c r="C4498" s="15" t="s">
        <v>5997</v>
      </c>
      <c r="D4498" s="34" t="n">
        <f aca="false">Activities!M1829</f>
        <v>2</v>
      </c>
      <c r="E4498" s="15" t="s">
        <v>5998</v>
      </c>
    </row>
    <row r="4499" customFormat="false" ht="15" hidden="false" customHeight="false" outlineLevel="0" collapsed="false">
      <c r="A4499" s="15" t="s">
        <v>5464</v>
      </c>
      <c r="B4499" s="15" t="s">
        <v>5466</v>
      </c>
      <c r="C4499" s="15" t="s">
        <v>5999</v>
      </c>
      <c r="D4499" s="34" t="n">
        <f aca="false">Activities!N1829</f>
        <v>2</v>
      </c>
      <c r="E4499" s="15" t="s">
        <v>5998</v>
      </c>
    </row>
    <row r="4500" customFormat="false" ht="15" hidden="false" customHeight="false" outlineLevel="0" collapsed="false">
      <c r="A4500" s="15" t="s">
        <v>5466</v>
      </c>
      <c r="B4500" s="15" t="s">
        <v>5467</v>
      </c>
      <c r="C4500" s="15" t="s">
        <v>5997</v>
      </c>
      <c r="D4500" s="34" t="n">
        <f aca="false">Activities!M1830</f>
        <v>2</v>
      </c>
      <c r="E4500" s="15" t="s">
        <v>5998</v>
      </c>
    </row>
    <row r="4501" customFormat="false" ht="15" hidden="false" customHeight="false" outlineLevel="0" collapsed="false">
      <c r="A4501" s="15" t="s">
        <v>5466</v>
      </c>
      <c r="B4501" s="15" t="s">
        <v>5467</v>
      </c>
      <c r="C4501" s="15" t="s">
        <v>5999</v>
      </c>
      <c r="D4501" s="34" t="n">
        <f aca="false">Activities!N1830</f>
        <v>2</v>
      </c>
      <c r="E4501" s="15" t="s">
        <v>5998</v>
      </c>
    </row>
    <row r="4502" customFormat="false" ht="15" hidden="false" customHeight="false" outlineLevel="0" collapsed="false">
      <c r="A4502" s="15" t="s">
        <v>5467</v>
      </c>
      <c r="B4502" s="15" t="s">
        <v>5468</v>
      </c>
      <c r="C4502" s="15" t="s">
        <v>5997</v>
      </c>
      <c r="D4502" s="34" t="n">
        <f aca="false">Activities!M1831</f>
        <v>1</v>
      </c>
      <c r="E4502" s="15" t="s">
        <v>5998</v>
      </c>
    </row>
    <row r="4503" customFormat="false" ht="15" hidden="false" customHeight="false" outlineLevel="0" collapsed="false">
      <c r="A4503" s="15" t="s">
        <v>5467</v>
      </c>
      <c r="B4503" s="15" t="s">
        <v>5468</v>
      </c>
      <c r="C4503" s="15" t="s">
        <v>5999</v>
      </c>
      <c r="D4503" s="34" t="n">
        <f aca="false">Activities!N1831</f>
        <v>2</v>
      </c>
      <c r="E4503" s="15" t="s">
        <v>5998</v>
      </c>
    </row>
    <row r="4504" customFormat="false" ht="15" hidden="false" customHeight="false" outlineLevel="0" collapsed="false">
      <c r="A4504" s="15" t="s">
        <v>5469</v>
      </c>
      <c r="B4504" s="15" t="s">
        <v>5471</v>
      </c>
      <c r="C4504" s="15" t="s">
        <v>5995</v>
      </c>
      <c r="D4504" s="34" t="n">
        <v>0</v>
      </c>
      <c r="E4504" s="15" t="s">
        <v>5996</v>
      </c>
    </row>
    <row r="4505" customFormat="false" ht="15" hidden="false" customHeight="false" outlineLevel="0" collapsed="false">
      <c r="A4505" s="15" t="s">
        <v>5431</v>
      </c>
      <c r="B4505" s="15" t="s">
        <v>5471</v>
      </c>
      <c r="C4505" s="15" t="s">
        <v>5997</v>
      </c>
      <c r="D4505" s="34" t="n">
        <v>0</v>
      </c>
      <c r="E4505" s="15" t="s">
        <v>6002</v>
      </c>
    </row>
    <row r="4506" customFormat="false" ht="15" hidden="false" customHeight="false" outlineLevel="0" collapsed="false">
      <c r="A4506" s="15" t="s">
        <v>5471</v>
      </c>
      <c r="B4506" s="15" t="s">
        <v>5473</v>
      </c>
      <c r="C4506" s="15" t="s">
        <v>5997</v>
      </c>
      <c r="D4506" s="34" t="n">
        <f aca="false">Activities!M1834</f>
        <v>1</v>
      </c>
      <c r="E4506" s="15" t="s">
        <v>5998</v>
      </c>
    </row>
    <row r="4507" customFormat="false" ht="15" hidden="false" customHeight="false" outlineLevel="0" collapsed="false">
      <c r="A4507" s="15" t="s">
        <v>5471</v>
      </c>
      <c r="B4507" s="15" t="s">
        <v>5473</v>
      </c>
      <c r="C4507" s="15" t="s">
        <v>5999</v>
      </c>
      <c r="D4507" s="34" t="n">
        <f aca="false">Activities!N1834</f>
        <v>2</v>
      </c>
      <c r="E4507" s="15" t="s">
        <v>5998</v>
      </c>
    </row>
    <row r="4508" customFormat="false" ht="15" hidden="false" customHeight="false" outlineLevel="0" collapsed="false">
      <c r="A4508" s="15" t="s">
        <v>5431</v>
      </c>
      <c r="B4508" s="15" t="s">
        <v>5473</v>
      </c>
      <c r="C4508" s="15" t="s">
        <v>5995</v>
      </c>
      <c r="D4508" s="34" t="n">
        <v>0</v>
      </c>
      <c r="E4508" s="15" t="s">
        <v>6013</v>
      </c>
    </row>
    <row r="4509" customFormat="false" ht="15" hidden="false" customHeight="false" outlineLevel="0" collapsed="false">
      <c r="A4509" s="15" t="s">
        <v>5473</v>
      </c>
      <c r="B4509" s="15" t="s">
        <v>5474</v>
      </c>
      <c r="C4509" s="15" t="s">
        <v>5997</v>
      </c>
      <c r="D4509" s="34" t="n">
        <f aca="false">Activities!M1835</f>
        <v>2</v>
      </c>
      <c r="E4509" s="15" t="s">
        <v>5998</v>
      </c>
    </row>
    <row r="4510" customFormat="false" ht="15" hidden="false" customHeight="false" outlineLevel="0" collapsed="false">
      <c r="A4510" s="15" t="s">
        <v>5473</v>
      </c>
      <c r="B4510" s="15" t="s">
        <v>5474</v>
      </c>
      <c r="C4510" s="15" t="s">
        <v>5999</v>
      </c>
      <c r="D4510" s="34" t="n">
        <f aca="false">Activities!N1835</f>
        <v>2</v>
      </c>
      <c r="E4510" s="15" t="s">
        <v>5998</v>
      </c>
    </row>
    <row r="4511" customFormat="false" ht="15" hidden="false" customHeight="false" outlineLevel="0" collapsed="false">
      <c r="A4511" s="15" t="s">
        <v>5432</v>
      </c>
      <c r="B4511" s="15" t="s">
        <v>5474</v>
      </c>
      <c r="C4511" s="15" t="s">
        <v>5995</v>
      </c>
      <c r="D4511" s="34" t="n">
        <v>0</v>
      </c>
      <c r="E4511" s="15" t="s">
        <v>6013</v>
      </c>
    </row>
    <row r="4512" customFormat="false" ht="15" hidden="false" customHeight="false" outlineLevel="0" collapsed="false">
      <c r="A4512" s="15" t="s">
        <v>5474</v>
      </c>
      <c r="B4512" s="15" t="s">
        <v>5475</v>
      </c>
      <c r="C4512" s="15" t="s">
        <v>5997</v>
      </c>
      <c r="D4512" s="34" t="n">
        <f aca="false">Activities!M1836</f>
        <v>1</v>
      </c>
      <c r="E4512" s="15" t="s">
        <v>5998</v>
      </c>
    </row>
    <row r="4513" customFormat="false" ht="15" hidden="false" customHeight="false" outlineLevel="0" collapsed="false">
      <c r="A4513" s="15" t="s">
        <v>5474</v>
      </c>
      <c r="B4513" s="15" t="s">
        <v>5475</v>
      </c>
      <c r="C4513" s="15" t="s">
        <v>5999</v>
      </c>
      <c r="D4513" s="34" t="n">
        <f aca="false">Activities!N1836</f>
        <v>2</v>
      </c>
      <c r="E4513" s="15" t="s">
        <v>5998</v>
      </c>
    </row>
    <row r="4514" customFormat="false" ht="15" hidden="false" customHeight="false" outlineLevel="0" collapsed="false">
      <c r="A4514" s="15" t="s">
        <v>5435</v>
      </c>
      <c r="B4514" s="15" t="s">
        <v>5475</v>
      </c>
      <c r="C4514" s="15" t="s">
        <v>5995</v>
      </c>
      <c r="D4514" s="34" t="n">
        <f aca="false">-Activities!K1836</f>
        <v>-10</v>
      </c>
      <c r="E4514" s="15" t="s">
        <v>6004</v>
      </c>
    </row>
    <row r="4515" customFormat="false" ht="15" hidden="false" customHeight="false" outlineLevel="0" collapsed="false">
      <c r="A4515" s="15" t="s">
        <v>5475</v>
      </c>
      <c r="B4515" s="15" t="s">
        <v>5477</v>
      </c>
      <c r="C4515" s="15" t="s">
        <v>5997</v>
      </c>
      <c r="D4515" s="34" t="n">
        <f aca="false">Activities!M1837</f>
        <v>10</v>
      </c>
      <c r="E4515" s="15" t="s">
        <v>5998</v>
      </c>
    </row>
    <row r="4516" customFormat="false" ht="15" hidden="false" customHeight="false" outlineLevel="0" collapsed="false">
      <c r="A4516" s="15" t="s">
        <v>5475</v>
      </c>
      <c r="B4516" s="15" t="s">
        <v>5477</v>
      </c>
      <c r="C4516" s="15" t="s">
        <v>5999</v>
      </c>
      <c r="D4516" s="34" t="n">
        <f aca="false">Activities!N1837</f>
        <v>2</v>
      </c>
      <c r="E4516" s="15" t="s">
        <v>5998</v>
      </c>
    </row>
    <row r="4517" customFormat="false" ht="15" hidden="false" customHeight="false" outlineLevel="0" collapsed="false">
      <c r="A4517" s="15" t="s">
        <v>5435</v>
      </c>
      <c r="B4517" s="15" t="s">
        <v>5477</v>
      </c>
      <c r="C4517" s="15" t="s">
        <v>5995</v>
      </c>
      <c r="D4517" s="34" t="n">
        <v>0</v>
      </c>
      <c r="E4517" s="15" t="s">
        <v>6013</v>
      </c>
    </row>
    <row r="4518" customFormat="false" ht="15" hidden="false" customHeight="false" outlineLevel="0" collapsed="false">
      <c r="A4518" s="15" t="s">
        <v>5477</v>
      </c>
      <c r="B4518" s="15" t="s">
        <v>5478</v>
      </c>
      <c r="C4518" s="15" t="s">
        <v>5997</v>
      </c>
      <c r="D4518" s="34" t="n">
        <f aca="false">Activities!M1838</f>
        <v>1</v>
      </c>
      <c r="E4518" s="15" t="s">
        <v>5998</v>
      </c>
    </row>
    <row r="4519" customFormat="false" ht="15" hidden="false" customHeight="false" outlineLevel="0" collapsed="false">
      <c r="A4519" s="15" t="s">
        <v>5477</v>
      </c>
      <c r="B4519" s="15" t="s">
        <v>5478</v>
      </c>
      <c r="C4519" s="15" t="s">
        <v>5999</v>
      </c>
      <c r="D4519" s="34" t="n">
        <f aca="false">Activities!N1838</f>
        <v>2</v>
      </c>
      <c r="E4519" s="15" t="s">
        <v>5998</v>
      </c>
    </row>
    <row r="4520" customFormat="false" ht="15" hidden="false" customHeight="false" outlineLevel="0" collapsed="false">
      <c r="A4520" s="15" t="s">
        <v>5436</v>
      </c>
      <c r="B4520" s="15" t="s">
        <v>5478</v>
      </c>
      <c r="C4520" s="15" t="s">
        <v>5995</v>
      </c>
      <c r="D4520" s="34" t="n">
        <v>0</v>
      </c>
      <c r="E4520" s="15" t="s">
        <v>6013</v>
      </c>
    </row>
    <row r="4521" customFormat="false" ht="15" hidden="false" customHeight="false" outlineLevel="0" collapsed="false">
      <c r="A4521" s="15" t="s">
        <v>5478</v>
      </c>
      <c r="B4521" s="15" t="s">
        <v>5479</v>
      </c>
      <c r="C4521" s="15" t="s">
        <v>5997</v>
      </c>
      <c r="D4521" s="34" t="n">
        <f aca="false">Activities!M1839</f>
        <v>2</v>
      </c>
      <c r="E4521" s="15" t="s">
        <v>5998</v>
      </c>
    </row>
    <row r="4522" customFormat="false" ht="15" hidden="false" customHeight="false" outlineLevel="0" collapsed="false">
      <c r="A4522" s="15" t="s">
        <v>5478</v>
      </c>
      <c r="B4522" s="15" t="s">
        <v>5479</v>
      </c>
      <c r="C4522" s="15" t="s">
        <v>5999</v>
      </c>
      <c r="D4522" s="34" t="n">
        <f aca="false">Activities!N1839</f>
        <v>2</v>
      </c>
      <c r="E4522" s="15" t="s">
        <v>5998</v>
      </c>
    </row>
    <row r="4523" customFormat="false" ht="15" hidden="false" customHeight="false" outlineLevel="0" collapsed="false">
      <c r="A4523" s="15" t="s">
        <v>5437</v>
      </c>
      <c r="B4523" s="15" t="s">
        <v>5479</v>
      </c>
      <c r="C4523" s="15" t="s">
        <v>5995</v>
      </c>
      <c r="D4523" s="34" t="n">
        <v>0</v>
      </c>
      <c r="E4523" s="15" t="s">
        <v>6013</v>
      </c>
    </row>
    <row r="4524" customFormat="false" ht="15" hidden="false" customHeight="false" outlineLevel="0" collapsed="false">
      <c r="A4524" s="15" t="s">
        <v>5479</v>
      </c>
      <c r="B4524" s="15" t="s">
        <v>5480</v>
      </c>
      <c r="C4524" s="15" t="s">
        <v>5997</v>
      </c>
      <c r="D4524" s="34" t="n">
        <f aca="false">Activities!M1840</f>
        <v>1</v>
      </c>
      <c r="E4524" s="15" t="s">
        <v>5998</v>
      </c>
    </row>
    <row r="4525" customFormat="false" ht="15" hidden="false" customHeight="false" outlineLevel="0" collapsed="false">
      <c r="A4525" s="15" t="s">
        <v>5479</v>
      </c>
      <c r="B4525" s="15" t="s">
        <v>5480</v>
      </c>
      <c r="C4525" s="15" t="s">
        <v>5999</v>
      </c>
      <c r="D4525" s="34" t="n">
        <f aca="false">Activities!N1840</f>
        <v>2</v>
      </c>
      <c r="E4525" s="15" t="s">
        <v>5998</v>
      </c>
    </row>
    <row r="4526" customFormat="false" ht="15" hidden="false" customHeight="false" outlineLevel="0" collapsed="false">
      <c r="A4526" s="15" t="s">
        <v>5480</v>
      </c>
      <c r="B4526" s="15" t="s">
        <v>5481</v>
      </c>
      <c r="C4526" s="15" t="s">
        <v>5997</v>
      </c>
      <c r="D4526" s="34" t="n">
        <f aca="false">Activities!M1841</f>
        <v>2</v>
      </c>
      <c r="E4526" s="15" t="s">
        <v>5998</v>
      </c>
    </row>
    <row r="4527" customFormat="false" ht="15" hidden="false" customHeight="false" outlineLevel="0" collapsed="false">
      <c r="A4527" s="15" t="s">
        <v>5480</v>
      </c>
      <c r="B4527" s="15" t="s">
        <v>5481</v>
      </c>
      <c r="C4527" s="15" t="s">
        <v>5999</v>
      </c>
      <c r="D4527" s="34" t="n">
        <f aca="false">Activities!N1841</f>
        <v>2</v>
      </c>
      <c r="E4527" s="15" t="s">
        <v>5998</v>
      </c>
    </row>
    <row r="4528" customFormat="false" ht="15" hidden="false" customHeight="false" outlineLevel="0" collapsed="false">
      <c r="A4528" s="15" t="s">
        <v>5439</v>
      </c>
      <c r="B4528" s="15" t="s">
        <v>5481</v>
      </c>
      <c r="C4528" s="15" t="s">
        <v>5995</v>
      </c>
      <c r="D4528" s="34" t="n">
        <v>0</v>
      </c>
      <c r="E4528" s="15" t="s">
        <v>6013</v>
      </c>
    </row>
    <row r="4529" customFormat="false" ht="15" hidden="false" customHeight="false" outlineLevel="0" collapsed="false">
      <c r="A4529" s="15" t="s">
        <v>5481</v>
      </c>
      <c r="B4529" s="15" t="s">
        <v>5482</v>
      </c>
      <c r="C4529" s="15" t="s">
        <v>5997</v>
      </c>
      <c r="D4529" s="34" t="n">
        <f aca="false">Activities!M1842</f>
        <v>1</v>
      </c>
      <c r="E4529" s="15" t="s">
        <v>5998</v>
      </c>
    </row>
    <row r="4530" customFormat="false" ht="15" hidden="false" customHeight="false" outlineLevel="0" collapsed="false">
      <c r="A4530" s="15" t="s">
        <v>5481</v>
      </c>
      <c r="B4530" s="15" t="s">
        <v>5482</v>
      </c>
      <c r="C4530" s="15" t="s">
        <v>5999</v>
      </c>
      <c r="D4530" s="34" t="n">
        <f aca="false">Activities!N1842</f>
        <v>2</v>
      </c>
      <c r="E4530" s="15" t="s">
        <v>5998</v>
      </c>
    </row>
    <row r="4531" customFormat="false" ht="15" hidden="false" customHeight="false" outlineLevel="0" collapsed="false">
      <c r="A4531" s="15" t="s">
        <v>5483</v>
      </c>
      <c r="B4531" s="15" t="s">
        <v>5485</v>
      </c>
      <c r="C4531" s="15" t="s">
        <v>5995</v>
      </c>
      <c r="D4531" s="34" t="n">
        <v>0</v>
      </c>
      <c r="E4531" s="15" t="s">
        <v>5996</v>
      </c>
    </row>
    <row r="4532" customFormat="false" ht="15" hidden="false" customHeight="false" outlineLevel="0" collapsed="false">
      <c r="A4532" s="15" t="s">
        <v>5473</v>
      </c>
      <c r="B4532" s="15" t="s">
        <v>5485</v>
      </c>
      <c r="C4532" s="15" t="s">
        <v>5997</v>
      </c>
      <c r="D4532" s="34" t="n">
        <v>0</v>
      </c>
      <c r="E4532" s="15" t="s">
        <v>6002</v>
      </c>
    </row>
    <row r="4533" customFormat="false" ht="15" hidden="false" customHeight="false" outlineLevel="0" collapsed="false">
      <c r="A4533" s="15" t="s">
        <v>5485</v>
      </c>
      <c r="B4533" s="15" t="s">
        <v>5487</v>
      </c>
      <c r="C4533" s="15" t="s">
        <v>5997</v>
      </c>
      <c r="D4533" s="34" t="n">
        <f aca="false">Activities!M1845</f>
        <v>1</v>
      </c>
      <c r="E4533" s="15" t="s">
        <v>5998</v>
      </c>
    </row>
    <row r="4534" customFormat="false" ht="15" hidden="false" customHeight="false" outlineLevel="0" collapsed="false">
      <c r="A4534" s="15" t="s">
        <v>5485</v>
      </c>
      <c r="B4534" s="15" t="s">
        <v>5487</v>
      </c>
      <c r="C4534" s="15" t="s">
        <v>5999</v>
      </c>
      <c r="D4534" s="34" t="n">
        <f aca="false">Activities!N1845</f>
        <v>2</v>
      </c>
      <c r="E4534" s="15" t="s">
        <v>5998</v>
      </c>
    </row>
    <row r="4535" customFormat="false" ht="15" hidden="false" customHeight="false" outlineLevel="0" collapsed="false">
      <c r="A4535" s="15" t="s">
        <v>5473</v>
      </c>
      <c r="B4535" s="15" t="s">
        <v>5487</v>
      </c>
      <c r="C4535" s="15" t="s">
        <v>5995</v>
      </c>
      <c r="D4535" s="34" t="n">
        <v>0</v>
      </c>
      <c r="E4535" s="15" t="s">
        <v>6013</v>
      </c>
    </row>
    <row r="4536" customFormat="false" ht="15" hidden="false" customHeight="false" outlineLevel="0" collapsed="false">
      <c r="A4536" s="15" t="s">
        <v>5487</v>
      </c>
      <c r="B4536" s="15" t="s">
        <v>5488</v>
      </c>
      <c r="C4536" s="15" t="s">
        <v>5997</v>
      </c>
      <c r="D4536" s="34" t="n">
        <f aca="false">Activities!M1846</f>
        <v>1</v>
      </c>
      <c r="E4536" s="15" t="s">
        <v>5998</v>
      </c>
    </row>
    <row r="4537" customFormat="false" ht="15" hidden="false" customHeight="false" outlineLevel="0" collapsed="false">
      <c r="A4537" s="15" t="s">
        <v>5487</v>
      </c>
      <c r="B4537" s="15" t="s">
        <v>5488</v>
      </c>
      <c r="C4537" s="15" t="s">
        <v>5999</v>
      </c>
      <c r="D4537" s="34" t="n">
        <f aca="false">Activities!N1846</f>
        <v>2</v>
      </c>
      <c r="E4537" s="15" t="s">
        <v>5998</v>
      </c>
    </row>
    <row r="4538" customFormat="false" ht="15" hidden="false" customHeight="false" outlineLevel="0" collapsed="false">
      <c r="A4538" s="15" t="s">
        <v>5474</v>
      </c>
      <c r="B4538" s="15" t="s">
        <v>5488</v>
      </c>
      <c r="C4538" s="15" t="s">
        <v>5995</v>
      </c>
      <c r="D4538" s="34" t="n">
        <v>0</v>
      </c>
      <c r="E4538" s="15" t="s">
        <v>6013</v>
      </c>
    </row>
    <row r="4539" customFormat="false" ht="15" hidden="false" customHeight="false" outlineLevel="0" collapsed="false">
      <c r="A4539" s="15" t="s">
        <v>5488</v>
      </c>
      <c r="B4539" s="15" t="s">
        <v>5489</v>
      </c>
      <c r="C4539" s="15" t="s">
        <v>5997</v>
      </c>
      <c r="D4539" s="34" t="n">
        <f aca="false">Activities!M1847</f>
        <v>1</v>
      </c>
      <c r="E4539" s="15" t="s">
        <v>5998</v>
      </c>
    </row>
    <row r="4540" customFormat="false" ht="15" hidden="false" customHeight="false" outlineLevel="0" collapsed="false">
      <c r="A4540" s="15" t="s">
        <v>5488</v>
      </c>
      <c r="B4540" s="15" t="s">
        <v>5489</v>
      </c>
      <c r="C4540" s="15" t="s">
        <v>5999</v>
      </c>
      <c r="D4540" s="34" t="n">
        <f aca="false">Activities!N1847</f>
        <v>2</v>
      </c>
      <c r="E4540" s="15" t="s">
        <v>5998</v>
      </c>
    </row>
    <row r="4541" customFormat="false" ht="15" hidden="false" customHeight="false" outlineLevel="0" collapsed="false">
      <c r="A4541" s="15" t="s">
        <v>5477</v>
      </c>
      <c r="B4541" s="15" t="s">
        <v>5489</v>
      </c>
      <c r="C4541" s="15" t="s">
        <v>5995</v>
      </c>
      <c r="D4541" s="34" t="n">
        <f aca="false">-Activities!K1847</f>
        <v>-10</v>
      </c>
      <c r="E4541" s="15" t="s">
        <v>6004</v>
      </c>
    </row>
    <row r="4542" customFormat="false" ht="15" hidden="false" customHeight="false" outlineLevel="0" collapsed="false">
      <c r="A4542" s="15" t="s">
        <v>5489</v>
      </c>
      <c r="B4542" s="15" t="s">
        <v>5491</v>
      </c>
      <c r="C4542" s="15" t="s">
        <v>5997</v>
      </c>
      <c r="D4542" s="34" t="n">
        <f aca="false">Activities!M1848</f>
        <v>10</v>
      </c>
      <c r="E4542" s="15" t="s">
        <v>5998</v>
      </c>
    </row>
    <row r="4543" customFormat="false" ht="15" hidden="false" customHeight="false" outlineLevel="0" collapsed="false">
      <c r="A4543" s="15" t="s">
        <v>5489</v>
      </c>
      <c r="B4543" s="15" t="s">
        <v>5491</v>
      </c>
      <c r="C4543" s="15" t="s">
        <v>5999</v>
      </c>
      <c r="D4543" s="34" t="n">
        <f aca="false">Activities!N1848</f>
        <v>2</v>
      </c>
      <c r="E4543" s="15" t="s">
        <v>5998</v>
      </c>
    </row>
    <row r="4544" customFormat="false" ht="15" hidden="false" customHeight="false" outlineLevel="0" collapsed="false">
      <c r="A4544" s="15" t="s">
        <v>5477</v>
      </c>
      <c r="B4544" s="15" t="s">
        <v>5491</v>
      </c>
      <c r="C4544" s="15" t="s">
        <v>5995</v>
      </c>
      <c r="D4544" s="34" t="n">
        <v>0</v>
      </c>
      <c r="E4544" s="15" t="s">
        <v>6013</v>
      </c>
    </row>
    <row r="4545" customFormat="false" ht="15" hidden="false" customHeight="false" outlineLevel="0" collapsed="false">
      <c r="A4545" s="15" t="s">
        <v>5491</v>
      </c>
      <c r="B4545" s="15" t="s">
        <v>5492</v>
      </c>
      <c r="C4545" s="15" t="s">
        <v>5997</v>
      </c>
      <c r="D4545" s="34" t="n">
        <f aca="false">Activities!M1849</f>
        <v>1</v>
      </c>
      <c r="E4545" s="15" t="s">
        <v>5998</v>
      </c>
    </row>
    <row r="4546" customFormat="false" ht="15" hidden="false" customHeight="false" outlineLevel="0" collapsed="false">
      <c r="A4546" s="15" t="s">
        <v>5491</v>
      </c>
      <c r="B4546" s="15" t="s">
        <v>5492</v>
      </c>
      <c r="C4546" s="15" t="s">
        <v>5999</v>
      </c>
      <c r="D4546" s="34" t="n">
        <f aca="false">Activities!N1849</f>
        <v>2</v>
      </c>
      <c r="E4546" s="15" t="s">
        <v>5998</v>
      </c>
    </row>
    <row r="4547" customFormat="false" ht="15" hidden="false" customHeight="false" outlineLevel="0" collapsed="false">
      <c r="A4547" s="15" t="s">
        <v>5478</v>
      </c>
      <c r="B4547" s="15" t="s">
        <v>5492</v>
      </c>
      <c r="C4547" s="15" t="s">
        <v>5995</v>
      </c>
      <c r="D4547" s="34" t="n">
        <v>0</v>
      </c>
      <c r="E4547" s="15" t="s">
        <v>6013</v>
      </c>
    </row>
    <row r="4548" customFormat="false" ht="15" hidden="false" customHeight="false" outlineLevel="0" collapsed="false">
      <c r="A4548" s="15" t="s">
        <v>5492</v>
      </c>
      <c r="B4548" s="15" t="s">
        <v>5493</v>
      </c>
      <c r="C4548" s="15" t="s">
        <v>5997</v>
      </c>
      <c r="D4548" s="34" t="n">
        <f aca="false">Activities!M1850</f>
        <v>2</v>
      </c>
      <c r="E4548" s="15" t="s">
        <v>5998</v>
      </c>
    </row>
    <row r="4549" customFormat="false" ht="15" hidden="false" customHeight="false" outlineLevel="0" collapsed="false">
      <c r="A4549" s="15" t="s">
        <v>5492</v>
      </c>
      <c r="B4549" s="15" t="s">
        <v>5493</v>
      </c>
      <c r="C4549" s="15" t="s">
        <v>5999</v>
      </c>
      <c r="D4549" s="34" t="n">
        <f aca="false">Activities!N1850</f>
        <v>2</v>
      </c>
      <c r="E4549" s="15" t="s">
        <v>5998</v>
      </c>
    </row>
    <row r="4550" customFormat="false" ht="15" hidden="false" customHeight="false" outlineLevel="0" collapsed="false">
      <c r="A4550" s="15" t="s">
        <v>5479</v>
      </c>
      <c r="B4550" s="15" t="s">
        <v>5493</v>
      </c>
      <c r="C4550" s="15" t="s">
        <v>5995</v>
      </c>
      <c r="D4550" s="34" t="n">
        <v>0</v>
      </c>
      <c r="E4550" s="15" t="s">
        <v>6013</v>
      </c>
    </row>
    <row r="4551" customFormat="false" ht="15" hidden="false" customHeight="false" outlineLevel="0" collapsed="false">
      <c r="A4551" s="15" t="s">
        <v>5493</v>
      </c>
      <c r="B4551" s="15" t="s">
        <v>5494</v>
      </c>
      <c r="C4551" s="15" t="s">
        <v>5997</v>
      </c>
      <c r="D4551" s="34" t="n">
        <f aca="false">Activities!M1851</f>
        <v>1</v>
      </c>
      <c r="E4551" s="15" t="s">
        <v>5998</v>
      </c>
    </row>
    <row r="4552" customFormat="false" ht="15" hidden="false" customHeight="false" outlineLevel="0" collapsed="false">
      <c r="A4552" s="15" t="s">
        <v>5493</v>
      </c>
      <c r="B4552" s="15" t="s">
        <v>5494</v>
      </c>
      <c r="C4552" s="15" t="s">
        <v>5999</v>
      </c>
      <c r="D4552" s="34" t="n">
        <f aca="false">Activities!N1851</f>
        <v>2</v>
      </c>
      <c r="E4552" s="15" t="s">
        <v>5998</v>
      </c>
    </row>
    <row r="4553" customFormat="false" ht="15" hidden="false" customHeight="false" outlineLevel="0" collapsed="false">
      <c r="A4553" s="15" t="s">
        <v>5494</v>
      </c>
      <c r="B4553" s="15" t="s">
        <v>5495</v>
      </c>
      <c r="C4553" s="15" t="s">
        <v>5997</v>
      </c>
      <c r="D4553" s="34" t="n">
        <f aca="false">Activities!M1852</f>
        <v>2</v>
      </c>
      <c r="E4553" s="15" t="s">
        <v>5998</v>
      </c>
    </row>
    <row r="4554" customFormat="false" ht="15" hidden="false" customHeight="false" outlineLevel="0" collapsed="false">
      <c r="A4554" s="15" t="s">
        <v>5494</v>
      </c>
      <c r="B4554" s="15" t="s">
        <v>5495</v>
      </c>
      <c r="C4554" s="15" t="s">
        <v>5999</v>
      </c>
      <c r="D4554" s="34" t="n">
        <f aca="false">Activities!N1852</f>
        <v>2</v>
      </c>
      <c r="E4554" s="15" t="s">
        <v>5998</v>
      </c>
    </row>
    <row r="4555" customFormat="false" ht="15" hidden="false" customHeight="false" outlineLevel="0" collapsed="false">
      <c r="A4555" s="15" t="s">
        <v>5481</v>
      </c>
      <c r="B4555" s="15" t="s">
        <v>5495</v>
      </c>
      <c r="C4555" s="15" t="s">
        <v>5995</v>
      </c>
      <c r="D4555" s="34" t="n">
        <v>0</v>
      </c>
      <c r="E4555" s="15" t="s">
        <v>6013</v>
      </c>
    </row>
    <row r="4556" customFormat="false" ht="15" hidden="false" customHeight="false" outlineLevel="0" collapsed="false">
      <c r="A4556" s="15" t="s">
        <v>5495</v>
      </c>
      <c r="B4556" s="15" t="s">
        <v>5496</v>
      </c>
      <c r="C4556" s="15" t="s">
        <v>5997</v>
      </c>
      <c r="D4556" s="34" t="n">
        <f aca="false">Activities!M1853</f>
        <v>1</v>
      </c>
      <c r="E4556" s="15" t="s">
        <v>5998</v>
      </c>
    </row>
    <row r="4557" customFormat="false" ht="15" hidden="false" customHeight="false" outlineLevel="0" collapsed="false">
      <c r="A4557" s="15" t="s">
        <v>5495</v>
      </c>
      <c r="B4557" s="15" t="s">
        <v>5496</v>
      </c>
      <c r="C4557" s="15" t="s">
        <v>5999</v>
      </c>
      <c r="D4557" s="34" t="n">
        <f aca="false">Activities!N1853</f>
        <v>2</v>
      </c>
      <c r="E4557" s="15" t="s">
        <v>5998</v>
      </c>
    </row>
    <row r="4558" customFormat="false" ht="15" hidden="false" customHeight="false" outlineLevel="0" collapsed="false">
      <c r="A4558" s="15" t="s">
        <v>5497</v>
      </c>
      <c r="B4558" s="15" t="s">
        <v>5499</v>
      </c>
      <c r="C4558" s="15" t="s">
        <v>5995</v>
      </c>
      <c r="D4558" s="34" t="n">
        <v>0</v>
      </c>
      <c r="E4558" s="15" t="s">
        <v>5996</v>
      </c>
    </row>
    <row r="4559" customFormat="false" ht="15" hidden="false" customHeight="false" outlineLevel="0" collapsed="false">
      <c r="A4559" s="15" t="s">
        <v>5487</v>
      </c>
      <c r="B4559" s="15" t="s">
        <v>5499</v>
      </c>
      <c r="C4559" s="15" t="s">
        <v>5997</v>
      </c>
      <c r="D4559" s="34" t="n">
        <v>0</v>
      </c>
      <c r="E4559" s="15" t="s">
        <v>6002</v>
      </c>
    </row>
    <row r="4560" customFormat="false" ht="15" hidden="false" customHeight="false" outlineLevel="0" collapsed="false">
      <c r="A4560" s="15" t="s">
        <v>5499</v>
      </c>
      <c r="B4560" s="15" t="s">
        <v>5501</v>
      </c>
      <c r="C4560" s="15" t="s">
        <v>5997</v>
      </c>
      <c r="D4560" s="34" t="n">
        <f aca="false">Activities!M1856</f>
        <v>1</v>
      </c>
      <c r="E4560" s="15" t="s">
        <v>5998</v>
      </c>
    </row>
    <row r="4561" customFormat="false" ht="15" hidden="false" customHeight="false" outlineLevel="0" collapsed="false">
      <c r="A4561" s="15" t="s">
        <v>5499</v>
      </c>
      <c r="B4561" s="15" t="s">
        <v>5501</v>
      </c>
      <c r="C4561" s="15" t="s">
        <v>5999</v>
      </c>
      <c r="D4561" s="34" t="n">
        <f aca="false">Activities!N1856</f>
        <v>2</v>
      </c>
      <c r="E4561" s="15" t="s">
        <v>5998</v>
      </c>
    </row>
    <row r="4562" customFormat="false" ht="15" hidden="false" customHeight="false" outlineLevel="0" collapsed="false">
      <c r="A4562" s="15" t="s">
        <v>5487</v>
      </c>
      <c r="B4562" s="15" t="s">
        <v>5501</v>
      </c>
      <c r="C4562" s="15" t="s">
        <v>5995</v>
      </c>
      <c r="D4562" s="34" t="n">
        <v>0</v>
      </c>
      <c r="E4562" s="15" t="s">
        <v>6013</v>
      </c>
    </row>
    <row r="4563" customFormat="false" ht="15" hidden="false" customHeight="false" outlineLevel="0" collapsed="false">
      <c r="A4563" s="15" t="s">
        <v>5501</v>
      </c>
      <c r="B4563" s="15" t="s">
        <v>5502</v>
      </c>
      <c r="C4563" s="15" t="s">
        <v>5997</v>
      </c>
      <c r="D4563" s="34" t="n">
        <f aca="false">Activities!M1857</f>
        <v>2</v>
      </c>
      <c r="E4563" s="15" t="s">
        <v>5998</v>
      </c>
    </row>
    <row r="4564" customFormat="false" ht="15" hidden="false" customHeight="false" outlineLevel="0" collapsed="false">
      <c r="A4564" s="15" t="s">
        <v>5501</v>
      </c>
      <c r="B4564" s="15" t="s">
        <v>5502</v>
      </c>
      <c r="C4564" s="15" t="s">
        <v>5999</v>
      </c>
      <c r="D4564" s="34" t="n">
        <f aca="false">Activities!N1857</f>
        <v>2</v>
      </c>
      <c r="E4564" s="15" t="s">
        <v>5998</v>
      </c>
    </row>
    <row r="4565" customFormat="false" ht="15" hidden="false" customHeight="false" outlineLevel="0" collapsed="false">
      <c r="A4565" s="15" t="s">
        <v>5488</v>
      </c>
      <c r="B4565" s="15" t="s">
        <v>5502</v>
      </c>
      <c r="C4565" s="15" t="s">
        <v>5995</v>
      </c>
      <c r="D4565" s="34" t="n">
        <v>0</v>
      </c>
      <c r="E4565" s="15" t="s">
        <v>6013</v>
      </c>
    </row>
    <row r="4566" customFormat="false" ht="15" hidden="false" customHeight="false" outlineLevel="0" collapsed="false">
      <c r="A4566" s="15" t="s">
        <v>5502</v>
      </c>
      <c r="B4566" s="15" t="s">
        <v>5503</v>
      </c>
      <c r="C4566" s="15" t="s">
        <v>5997</v>
      </c>
      <c r="D4566" s="34" t="n">
        <f aca="false">Activities!M1858</f>
        <v>1</v>
      </c>
      <c r="E4566" s="15" t="s">
        <v>5998</v>
      </c>
    </row>
    <row r="4567" customFormat="false" ht="15" hidden="false" customHeight="false" outlineLevel="0" collapsed="false">
      <c r="A4567" s="15" t="s">
        <v>5502</v>
      </c>
      <c r="B4567" s="15" t="s">
        <v>5503</v>
      </c>
      <c r="C4567" s="15" t="s">
        <v>5999</v>
      </c>
      <c r="D4567" s="34" t="n">
        <f aca="false">Activities!N1858</f>
        <v>2</v>
      </c>
      <c r="E4567" s="15" t="s">
        <v>5998</v>
      </c>
    </row>
    <row r="4568" customFormat="false" ht="15" hidden="false" customHeight="false" outlineLevel="0" collapsed="false">
      <c r="A4568" s="15" t="s">
        <v>5491</v>
      </c>
      <c r="B4568" s="15" t="s">
        <v>5503</v>
      </c>
      <c r="C4568" s="15" t="s">
        <v>5995</v>
      </c>
      <c r="D4568" s="34" t="n">
        <f aca="false">-Activities!K1858</f>
        <v>-10</v>
      </c>
      <c r="E4568" s="15" t="s">
        <v>6004</v>
      </c>
    </row>
    <row r="4569" customFormat="false" ht="15" hidden="false" customHeight="false" outlineLevel="0" collapsed="false">
      <c r="A4569" s="15" t="s">
        <v>5503</v>
      </c>
      <c r="B4569" s="15" t="s">
        <v>5505</v>
      </c>
      <c r="C4569" s="15" t="s">
        <v>5997</v>
      </c>
      <c r="D4569" s="34" t="n">
        <f aca="false">Activities!M1859</f>
        <v>10</v>
      </c>
      <c r="E4569" s="15" t="s">
        <v>5998</v>
      </c>
    </row>
    <row r="4570" customFormat="false" ht="15" hidden="false" customHeight="false" outlineLevel="0" collapsed="false">
      <c r="A4570" s="15" t="s">
        <v>5503</v>
      </c>
      <c r="B4570" s="15" t="s">
        <v>5505</v>
      </c>
      <c r="C4570" s="15" t="s">
        <v>5999</v>
      </c>
      <c r="D4570" s="34" t="n">
        <f aca="false">Activities!N1859</f>
        <v>2</v>
      </c>
      <c r="E4570" s="15" t="s">
        <v>5998</v>
      </c>
    </row>
    <row r="4571" customFormat="false" ht="15" hidden="false" customHeight="false" outlineLevel="0" collapsed="false">
      <c r="A4571" s="15" t="s">
        <v>5491</v>
      </c>
      <c r="B4571" s="15" t="s">
        <v>5505</v>
      </c>
      <c r="C4571" s="15" t="s">
        <v>5995</v>
      </c>
      <c r="D4571" s="34" t="n">
        <v>0</v>
      </c>
      <c r="E4571" s="15" t="s">
        <v>6013</v>
      </c>
    </row>
    <row r="4572" customFormat="false" ht="15" hidden="false" customHeight="false" outlineLevel="0" collapsed="false">
      <c r="A4572" s="15" t="s">
        <v>5505</v>
      </c>
      <c r="B4572" s="15" t="s">
        <v>5506</v>
      </c>
      <c r="C4572" s="15" t="s">
        <v>5997</v>
      </c>
      <c r="D4572" s="34" t="n">
        <f aca="false">Activities!M1860</f>
        <v>1</v>
      </c>
      <c r="E4572" s="15" t="s">
        <v>5998</v>
      </c>
    </row>
    <row r="4573" customFormat="false" ht="15" hidden="false" customHeight="false" outlineLevel="0" collapsed="false">
      <c r="A4573" s="15" t="s">
        <v>5505</v>
      </c>
      <c r="B4573" s="15" t="s">
        <v>5506</v>
      </c>
      <c r="C4573" s="15" t="s">
        <v>5999</v>
      </c>
      <c r="D4573" s="34" t="n">
        <f aca="false">Activities!N1860</f>
        <v>2</v>
      </c>
      <c r="E4573" s="15" t="s">
        <v>5998</v>
      </c>
    </row>
    <row r="4574" customFormat="false" ht="15" hidden="false" customHeight="false" outlineLevel="0" collapsed="false">
      <c r="A4574" s="15" t="s">
        <v>5492</v>
      </c>
      <c r="B4574" s="15" t="s">
        <v>5506</v>
      </c>
      <c r="C4574" s="15" t="s">
        <v>5995</v>
      </c>
      <c r="D4574" s="34" t="n">
        <v>0</v>
      </c>
      <c r="E4574" s="15" t="s">
        <v>6013</v>
      </c>
    </row>
    <row r="4575" customFormat="false" ht="15" hidden="false" customHeight="false" outlineLevel="0" collapsed="false">
      <c r="A4575" s="15" t="s">
        <v>5506</v>
      </c>
      <c r="B4575" s="15" t="s">
        <v>5507</v>
      </c>
      <c r="C4575" s="15" t="s">
        <v>5997</v>
      </c>
      <c r="D4575" s="34" t="n">
        <f aca="false">Activities!M1861</f>
        <v>2</v>
      </c>
      <c r="E4575" s="15" t="s">
        <v>5998</v>
      </c>
    </row>
    <row r="4576" customFormat="false" ht="15" hidden="false" customHeight="false" outlineLevel="0" collapsed="false">
      <c r="A4576" s="15" t="s">
        <v>5506</v>
      </c>
      <c r="B4576" s="15" t="s">
        <v>5507</v>
      </c>
      <c r="C4576" s="15" t="s">
        <v>5999</v>
      </c>
      <c r="D4576" s="34" t="n">
        <f aca="false">Activities!N1861</f>
        <v>2</v>
      </c>
      <c r="E4576" s="15" t="s">
        <v>5998</v>
      </c>
    </row>
    <row r="4577" customFormat="false" ht="15" hidden="false" customHeight="false" outlineLevel="0" collapsed="false">
      <c r="A4577" s="15" t="s">
        <v>5493</v>
      </c>
      <c r="B4577" s="15" t="s">
        <v>5507</v>
      </c>
      <c r="C4577" s="15" t="s">
        <v>5995</v>
      </c>
      <c r="D4577" s="34" t="n">
        <v>0</v>
      </c>
      <c r="E4577" s="15" t="s">
        <v>6013</v>
      </c>
    </row>
    <row r="4578" customFormat="false" ht="15" hidden="false" customHeight="false" outlineLevel="0" collapsed="false">
      <c r="A4578" s="15" t="s">
        <v>5507</v>
      </c>
      <c r="B4578" s="15" t="s">
        <v>5508</v>
      </c>
      <c r="C4578" s="15" t="s">
        <v>5997</v>
      </c>
      <c r="D4578" s="34" t="n">
        <f aca="false">Activities!M1862</f>
        <v>1</v>
      </c>
      <c r="E4578" s="15" t="s">
        <v>5998</v>
      </c>
    </row>
    <row r="4579" customFormat="false" ht="15" hidden="false" customHeight="false" outlineLevel="0" collapsed="false">
      <c r="A4579" s="15" t="s">
        <v>5507</v>
      </c>
      <c r="B4579" s="15" t="s">
        <v>5508</v>
      </c>
      <c r="C4579" s="15" t="s">
        <v>5999</v>
      </c>
      <c r="D4579" s="34" t="n">
        <f aca="false">Activities!N1862</f>
        <v>2</v>
      </c>
      <c r="E4579" s="15" t="s">
        <v>5998</v>
      </c>
    </row>
    <row r="4580" customFormat="false" ht="15" hidden="false" customHeight="false" outlineLevel="0" collapsed="false">
      <c r="A4580" s="15" t="s">
        <v>5508</v>
      </c>
      <c r="B4580" s="15" t="s">
        <v>5509</v>
      </c>
      <c r="C4580" s="15" t="s">
        <v>5997</v>
      </c>
      <c r="D4580" s="34" t="n">
        <f aca="false">Activities!M1863</f>
        <v>2</v>
      </c>
      <c r="E4580" s="15" t="s">
        <v>5998</v>
      </c>
    </row>
    <row r="4581" customFormat="false" ht="15" hidden="false" customHeight="false" outlineLevel="0" collapsed="false">
      <c r="A4581" s="15" t="s">
        <v>5508</v>
      </c>
      <c r="B4581" s="15" t="s">
        <v>5509</v>
      </c>
      <c r="C4581" s="15" t="s">
        <v>5999</v>
      </c>
      <c r="D4581" s="34" t="n">
        <f aca="false">Activities!N1863</f>
        <v>2</v>
      </c>
      <c r="E4581" s="15" t="s">
        <v>5998</v>
      </c>
    </row>
    <row r="4582" customFormat="false" ht="15" hidden="false" customHeight="false" outlineLevel="0" collapsed="false">
      <c r="A4582" s="15" t="s">
        <v>5495</v>
      </c>
      <c r="B4582" s="15" t="s">
        <v>5509</v>
      </c>
      <c r="C4582" s="15" t="s">
        <v>5995</v>
      </c>
      <c r="D4582" s="34" t="n">
        <v>0</v>
      </c>
      <c r="E4582" s="15" t="s">
        <v>6013</v>
      </c>
    </row>
    <row r="4583" customFormat="false" ht="15" hidden="false" customHeight="false" outlineLevel="0" collapsed="false">
      <c r="A4583" s="15" t="s">
        <v>5509</v>
      </c>
      <c r="B4583" s="15" t="s">
        <v>5510</v>
      </c>
      <c r="C4583" s="15" t="s">
        <v>5997</v>
      </c>
      <c r="D4583" s="34" t="n">
        <f aca="false">Activities!M1864</f>
        <v>1</v>
      </c>
      <c r="E4583" s="15" t="s">
        <v>5998</v>
      </c>
    </row>
    <row r="4584" customFormat="false" ht="15" hidden="false" customHeight="false" outlineLevel="0" collapsed="false">
      <c r="A4584" s="15" t="s">
        <v>5509</v>
      </c>
      <c r="B4584" s="15" t="s">
        <v>5510</v>
      </c>
      <c r="C4584" s="15" t="s">
        <v>5999</v>
      </c>
      <c r="D4584" s="34" t="n">
        <f aca="false">Activities!N1864</f>
        <v>2</v>
      </c>
      <c r="E4584" s="15" t="s">
        <v>5998</v>
      </c>
    </row>
    <row r="4585" customFormat="false" ht="15" hidden="false" customHeight="false" outlineLevel="0" collapsed="false">
      <c r="A4585" s="15" t="s">
        <v>5511</v>
      </c>
      <c r="B4585" s="15" t="s">
        <v>5513</v>
      </c>
      <c r="C4585" s="15" t="s">
        <v>5995</v>
      </c>
      <c r="D4585" s="34" t="n">
        <v>0</v>
      </c>
      <c r="E4585" s="15" t="s">
        <v>5996</v>
      </c>
    </row>
    <row r="4586" customFormat="false" ht="15" hidden="false" customHeight="false" outlineLevel="0" collapsed="false">
      <c r="A4586" s="15" t="s">
        <v>5501</v>
      </c>
      <c r="B4586" s="15" t="s">
        <v>5513</v>
      </c>
      <c r="C4586" s="15" t="s">
        <v>5997</v>
      </c>
      <c r="D4586" s="34" t="n">
        <v>0</v>
      </c>
      <c r="E4586" s="15" t="s">
        <v>6000</v>
      </c>
    </row>
    <row r="4587" customFormat="false" ht="15" hidden="false" customHeight="false" outlineLevel="0" collapsed="false">
      <c r="A4587" s="15" t="s">
        <v>5513</v>
      </c>
      <c r="B4587" s="15" t="s">
        <v>5515</v>
      </c>
      <c r="C4587" s="15" t="s">
        <v>5997</v>
      </c>
      <c r="D4587" s="34" t="n">
        <f aca="false">Activities!M1867</f>
        <v>1</v>
      </c>
      <c r="E4587" s="15" t="s">
        <v>5998</v>
      </c>
    </row>
    <row r="4588" customFormat="false" ht="15" hidden="false" customHeight="false" outlineLevel="0" collapsed="false">
      <c r="A4588" s="15" t="s">
        <v>5513</v>
      </c>
      <c r="B4588" s="15" t="s">
        <v>5515</v>
      </c>
      <c r="C4588" s="15" t="s">
        <v>5999</v>
      </c>
      <c r="D4588" s="34" t="n">
        <f aca="false">Activities!N1867</f>
        <v>2</v>
      </c>
      <c r="E4588" s="15" t="s">
        <v>5998</v>
      </c>
    </row>
    <row r="4589" customFormat="false" ht="15" hidden="false" customHeight="false" outlineLevel="0" collapsed="false">
      <c r="A4589" s="15" t="s">
        <v>5515</v>
      </c>
      <c r="B4589" s="15" t="s">
        <v>5516</v>
      </c>
      <c r="C4589" s="15" t="s">
        <v>5997</v>
      </c>
      <c r="D4589" s="34" t="n">
        <f aca="false">Activities!M1868</f>
        <v>1</v>
      </c>
      <c r="E4589" s="15" t="s">
        <v>5998</v>
      </c>
    </row>
    <row r="4590" customFormat="false" ht="15" hidden="false" customHeight="false" outlineLevel="0" collapsed="false">
      <c r="A4590" s="15" t="s">
        <v>5515</v>
      </c>
      <c r="B4590" s="15" t="s">
        <v>5516</v>
      </c>
      <c r="C4590" s="15" t="s">
        <v>5999</v>
      </c>
      <c r="D4590" s="34" t="n">
        <f aca="false">Activities!N1868</f>
        <v>2</v>
      </c>
      <c r="E4590" s="15" t="s">
        <v>5998</v>
      </c>
    </row>
    <row r="4591" customFormat="false" ht="15" hidden="false" customHeight="false" outlineLevel="0" collapsed="false">
      <c r="A4591" s="15" t="s">
        <v>5516</v>
      </c>
      <c r="B4591" s="15" t="s">
        <v>5517</v>
      </c>
      <c r="C4591" s="15" t="s">
        <v>5997</v>
      </c>
      <c r="D4591" s="34" t="n">
        <f aca="false">Activities!M1869</f>
        <v>1</v>
      </c>
      <c r="E4591" s="15" t="s">
        <v>5998</v>
      </c>
    </row>
    <row r="4592" customFormat="false" ht="15" hidden="false" customHeight="false" outlineLevel="0" collapsed="false">
      <c r="A4592" s="15" t="s">
        <v>5516</v>
      </c>
      <c r="B4592" s="15" t="s">
        <v>5517</v>
      </c>
      <c r="C4592" s="15" t="s">
        <v>5999</v>
      </c>
      <c r="D4592" s="34" t="n">
        <f aca="false">Activities!N1869</f>
        <v>2</v>
      </c>
      <c r="E4592" s="15" t="s">
        <v>5998</v>
      </c>
    </row>
    <row r="4593" customFormat="false" ht="15" hidden="false" customHeight="false" outlineLevel="0" collapsed="false">
      <c r="A4593" s="15" t="s">
        <v>5517</v>
      </c>
      <c r="B4593" s="15" t="s">
        <v>5518</v>
      </c>
      <c r="C4593" s="15" t="s">
        <v>5997</v>
      </c>
      <c r="D4593" s="34" t="n">
        <f aca="false">Activities!M1870</f>
        <v>10</v>
      </c>
      <c r="E4593" s="15" t="s">
        <v>5998</v>
      </c>
    </row>
    <row r="4594" customFormat="false" ht="15" hidden="false" customHeight="false" outlineLevel="0" collapsed="false">
      <c r="A4594" s="15" t="s">
        <v>5517</v>
      </c>
      <c r="B4594" s="15" t="s">
        <v>5518</v>
      </c>
      <c r="C4594" s="15" t="s">
        <v>5999</v>
      </c>
      <c r="D4594" s="34" t="n">
        <f aca="false">Activities!N1870</f>
        <v>2</v>
      </c>
      <c r="E4594" s="15" t="s">
        <v>5998</v>
      </c>
    </row>
    <row r="4595" customFormat="false" ht="15" hidden="false" customHeight="false" outlineLevel="0" collapsed="false">
      <c r="A4595" s="15" t="s">
        <v>5518</v>
      </c>
      <c r="B4595" s="15" t="s">
        <v>5519</v>
      </c>
      <c r="C4595" s="15" t="s">
        <v>5997</v>
      </c>
      <c r="D4595" s="34" t="n">
        <f aca="false">Activities!M1871</f>
        <v>1</v>
      </c>
      <c r="E4595" s="15" t="s">
        <v>5998</v>
      </c>
    </row>
    <row r="4596" customFormat="false" ht="15" hidden="false" customHeight="false" outlineLevel="0" collapsed="false">
      <c r="A4596" s="15" t="s">
        <v>5518</v>
      </c>
      <c r="B4596" s="15" t="s">
        <v>5519</v>
      </c>
      <c r="C4596" s="15" t="s">
        <v>5999</v>
      </c>
      <c r="D4596" s="34" t="n">
        <f aca="false">Activities!N1871</f>
        <v>2</v>
      </c>
      <c r="E4596" s="15" t="s">
        <v>5998</v>
      </c>
    </row>
    <row r="4597" customFormat="false" ht="15" hidden="false" customHeight="false" outlineLevel="0" collapsed="false">
      <c r="A4597" s="15" t="s">
        <v>5519</v>
      </c>
      <c r="B4597" s="15" t="s">
        <v>5520</v>
      </c>
      <c r="C4597" s="15" t="s">
        <v>5997</v>
      </c>
      <c r="D4597" s="34" t="n">
        <f aca="false">Activities!M1872</f>
        <v>2</v>
      </c>
      <c r="E4597" s="15" t="s">
        <v>5998</v>
      </c>
    </row>
    <row r="4598" customFormat="false" ht="15" hidden="false" customHeight="false" outlineLevel="0" collapsed="false">
      <c r="A4598" s="15" t="s">
        <v>5519</v>
      </c>
      <c r="B4598" s="15" t="s">
        <v>5520</v>
      </c>
      <c r="C4598" s="15" t="s">
        <v>5999</v>
      </c>
      <c r="D4598" s="34" t="n">
        <f aca="false">Activities!N1872</f>
        <v>2</v>
      </c>
      <c r="E4598" s="15" t="s">
        <v>5998</v>
      </c>
    </row>
    <row r="4599" customFormat="false" ht="15" hidden="false" customHeight="false" outlineLevel="0" collapsed="false">
      <c r="A4599" s="15" t="s">
        <v>5507</v>
      </c>
      <c r="B4599" s="15" t="s">
        <v>5520</v>
      </c>
      <c r="C4599" s="15" t="s">
        <v>5995</v>
      </c>
      <c r="D4599" s="34" t="n">
        <v>0</v>
      </c>
      <c r="E4599" s="15" t="s">
        <v>6001</v>
      </c>
    </row>
    <row r="4600" customFormat="false" ht="15" hidden="false" customHeight="false" outlineLevel="0" collapsed="false">
      <c r="A4600" s="15" t="s">
        <v>5520</v>
      </c>
      <c r="B4600" s="15" t="s">
        <v>5522</v>
      </c>
      <c r="C4600" s="15" t="s">
        <v>5997</v>
      </c>
      <c r="D4600" s="34" t="n">
        <f aca="false">Activities!M1873</f>
        <v>2</v>
      </c>
      <c r="E4600" s="15" t="s">
        <v>5998</v>
      </c>
    </row>
    <row r="4601" customFormat="false" ht="15" hidden="false" customHeight="false" outlineLevel="0" collapsed="false">
      <c r="A4601" s="15" t="s">
        <v>5520</v>
      </c>
      <c r="B4601" s="15" t="s">
        <v>5522</v>
      </c>
      <c r="C4601" s="15" t="s">
        <v>5999</v>
      </c>
      <c r="D4601" s="34" t="n">
        <f aca="false">Activities!N1873</f>
        <v>2</v>
      </c>
      <c r="E4601" s="15" t="s">
        <v>5998</v>
      </c>
    </row>
    <row r="4602" customFormat="false" ht="15" hidden="false" customHeight="false" outlineLevel="0" collapsed="false">
      <c r="A4602" s="15" t="s">
        <v>5522</v>
      </c>
      <c r="B4602" s="15" t="s">
        <v>5523</v>
      </c>
      <c r="C4602" s="15" t="s">
        <v>5997</v>
      </c>
      <c r="D4602" s="34" t="n">
        <f aca="false">Activities!M1874</f>
        <v>2</v>
      </c>
      <c r="E4602" s="15" t="s">
        <v>5998</v>
      </c>
    </row>
    <row r="4603" customFormat="false" ht="15" hidden="false" customHeight="false" outlineLevel="0" collapsed="false">
      <c r="A4603" s="15" t="s">
        <v>5522</v>
      </c>
      <c r="B4603" s="15" t="s">
        <v>5523</v>
      </c>
      <c r="C4603" s="15" t="s">
        <v>5999</v>
      </c>
      <c r="D4603" s="34" t="n">
        <f aca="false">Activities!N1874</f>
        <v>2</v>
      </c>
      <c r="E4603" s="15" t="s">
        <v>5998</v>
      </c>
    </row>
    <row r="4604" customFormat="false" ht="15" hidden="false" customHeight="false" outlineLevel="0" collapsed="false">
      <c r="A4604" s="15" t="s">
        <v>5523</v>
      </c>
      <c r="B4604" s="15" t="s">
        <v>5524</v>
      </c>
      <c r="C4604" s="15" t="s">
        <v>5997</v>
      </c>
      <c r="D4604" s="34" t="n">
        <f aca="false">Activities!M1875</f>
        <v>1</v>
      </c>
      <c r="E4604" s="15" t="s">
        <v>5998</v>
      </c>
    </row>
    <row r="4605" customFormat="false" ht="15" hidden="false" customHeight="false" outlineLevel="0" collapsed="false">
      <c r="A4605" s="15" t="s">
        <v>5523</v>
      </c>
      <c r="B4605" s="15" t="s">
        <v>5524</v>
      </c>
      <c r="C4605" s="15" t="s">
        <v>5999</v>
      </c>
      <c r="D4605" s="34" t="n">
        <f aca="false">Activities!N1875</f>
        <v>2</v>
      </c>
      <c r="E4605" s="15" t="s">
        <v>5998</v>
      </c>
    </row>
    <row r="4606" customFormat="false" ht="15" hidden="false" customHeight="false" outlineLevel="0" collapsed="false">
      <c r="A4606" s="15" t="s">
        <v>5525</v>
      </c>
      <c r="B4606" s="15" t="s">
        <v>5527</v>
      </c>
      <c r="C4606" s="15" t="s">
        <v>5995</v>
      </c>
      <c r="D4606" s="34" t="n">
        <v>0</v>
      </c>
      <c r="E4606" s="15" t="s">
        <v>5996</v>
      </c>
    </row>
    <row r="4607" customFormat="false" ht="15" hidden="false" customHeight="false" outlineLevel="0" collapsed="false">
      <c r="A4607" s="15" t="s">
        <v>5501</v>
      </c>
      <c r="B4607" s="15" t="s">
        <v>5527</v>
      </c>
      <c r="C4607" s="15" t="s">
        <v>5997</v>
      </c>
      <c r="D4607" s="34" t="n">
        <v>0</v>
      </c>
      <c r="E4607" s="15" t="s">
        <v>6002</v>
      </c>
    </row>
    <row r="4608" customFormat="false" ht="15" hidden="false" customHeight="false" outlineLevel="0" collapsed="false">
      <c r="A4608" s="15" t="s">
        <v>5527</v>
      </c>
      <c r="B4608" s="15" t="s">
        <v>5529</v>
      </c>
      <c r="C4608" s="15" t="s">
        <v>5997</v>
      </c>
      <c r="D4608" s="34" t="n">
        <f aca="false">Activities!M1878</f>
        <v>1</v>
      </c>
      <c r="E4608" s="15" t="s">
        <v>5998</v>
      </c>
    </row>
    <row r="4609" customFormat="false" ht="15" hidden="false" customHeight="false" outlineLevel="0" collapsed="false">
      <c r="A4609" s="15" t="s">
        <v>5527</v>
      </c>
      <c r="B4609" s="15" t="s">
        <v>5529</v>
      </c>
      <c r="C4609" s="15" t="s">
        <v>5999</v>
      </c>
      <c r="D4609" s="34" t="n">
        <f aca="false">Activities!N1878</f>
        <v>2</v>
      </c>
      <c r="E4609" s="15" t="s">
        <v>5998</v>
      </c>
    </row>
    <row r="4610" customFormat="false" ht="15" hidden="false" customHeight="false" outlineLevel="0" collapsed="false">
      <c r="A4610" s="15" t="s">
        <v>5501</v>
      </c>
      <c r="B4610" s="15" t="s">
        <v>5529</v>
      </c>
      <c r="C4610" s="15" t="s">
        <v>5995</v>
      </c>
      <c r="D4610" s="34" t="n">
        <v>0</v>
      </c>
      <c r="E4610" s="15" t="s">
        <v>6013</v>
      </c>
    </row>
    <row r="4611" customFormat="false" ht="15" hidden="false" customHeight="false" outlineLevel="0" collapsed="false">
      <c r="A4611" s="15" t="s">
        <v>5529</v>
      </c>
      <c r="B4611" s="15" t="s">
        <v>5530</v>
      </c>
      <c r="C4611" s="15" t="s">
        <v>5997</v>
      </c>
      <c r="D4611" s="34" t="n">
        <f aca="false">Activities!M1879</f>
        <v>2</v>
      </c>
      <c r="E4611" s="15" t="s">
        <v>5998</v>
      </c>
    </row>
    <row r="4612" customFormat="false" ht="15" hidden="false" customHeight="false" outlineLevel="0" collapsed="false">
      <c r="A4612" s="15" t="s">
        <v>5529</v>
      </c>
      <c r="B4612" s="15" t="s">
        <v>5530</v>
      </c>
      <c r="C4612" s="15" t="s">
        <v>5999</v>
      </c>
      <c r="D4612" s="34" t="n">
        <f aca="false">Activities!N1879</f>
        <v>2</v>
      </c>
      <c r="E4612" s="15" t="s">
        <v>5998</v>
      </c>
    </row>
    <row r="4613" customFormat="false" ht="15" hidden="false" customHeight="false" outlineLevel="0" collapsed="false">
      <c r="A4613" s="15" t="s">
        <v>5502</v>
      </c>
      <c r="B4613" s="15" t="s">
        <v>5530</v>
      </c>
      <c r="C4613" s="15" t="s">
        <v>5995</v>
      </c>
      <c r="D4613" s="34" t="n">
        <v>0</v>
      </c>
      <c r="E4613" s="15" t="s">
        <v>6013</v>
      </c>
    </row>
    <row r="4614" customFormat="false" ht="15" hidden="false" customHeight="false" outlineLevel="0" collapsed="false">
      <c r="A4614" s="15" t="s">
        <v>5530</v>
      </c>
      <c r="B4614" s="15" t="s">
        <v>5531</v>
      </c>
      <c r="C4614" s="15" t="s">
        <v>5997</v>
      </c>
      <c r="D4614" s="34" t="n">
        <f aca="false">Activities!M1880</f>
        <v>2</v>
      </c>
      <c r="E4614" s="15" t="s">
        <v>5998</v>
      </c>
    </row>
    <row r="4615" customFormat="false" ht="15" hidden="false" customHeight="false" outlineLevel="0" collapsed="false">
      <c r="A4615" s="15" t="s">
        <v>5530</v>
      </c>
      <c r="B4615" s="15" t="s">
        <v>5531</v>
      </c>
      <c r="C4615" s="15" t="s">
        <v>5999</v>
      </c>
      <c r="D4615" s="34" t="n">
        <f aca="false">Activities!N1880</f>
        <v>2</v>
      </c>
      <c r="E4615" s="15" t="s">
        <v>5998</v>
      </c>
    </row>
    <row r="4616" customFormat="false" ht="15" hidden="false" customHeight="false" outlineLevel="0" collapsed="false">
      <c r="A4616" s="15" t="s">
        <v>5505</v>
      </c>
      <c r="B4616" s="15" t="s">
        <v>5531</v>
      </c>
      <c r="C4616" s="15" t="s">
        <v>5995</v>
      </c>
      <c r="D4616" s="34" t="n">
        <f aca="false">-Activities!K1880</f>
        <v>-10</v>
      </c>
      <c r="E4616" s="15" t="s">
        <v>6004</v>
      </c>
    </row>
    <row r="4617" customFormat="false" ht="15" hidden="false" customHeight="false" outlineLevel="0" collapsed="false">
      <c r="A4617" s="15" t="s">
        <v>5531</v>
      </c>
      <c r="B4617" s="15" t="s">
        <v>5533</v>
      </c>
      <c r="C4617" s="15" t="s">
        <v>5997</v>
      </c>
      <c r="D4617" s="34" t="n">
        <f aca="false">Activities!M1881</f>
        <v>10</v>
      </c>
      <c r="E4617" s="15" t="s">
        <v>5998</v>
      </c>
    </row>
    <row r="4618" customFormat="false" ht="15" hidden="false" customHeight="false" outlineLevel="0" collapsed="false">
      <c r="A4618" s="15" t="s">
        <v>5531</v>
      </c>
      <c r="B4618" s="15" t="s">
        <v>5533</v>
      </c>
      <c r="C4618" s="15" t="s">
        <v>5999</v>
      </c>
      <c r="D4618" s="34" t="n">
        <f aca="false">Activities!N1881</f>
        <v>2</v>
      </c>
      <c r="E4618" s="15" t="s">
        <v>5998</v>
      </c>
    </row>
    <row r="4619" customFormat="false" ht="15" hidden="false" customHeight="false" outlineLevel="0" collapsed="false">
      <c r="A4619" s="15" t="s">
        <v>5505</v>
      </c>
      <c r="B4619" s="15" t="s">
        <v>5533</v>
      </c>
      <c r="C4619" s="15" t="s">
        <v>5995</v>
      </c>
      <c r="D4619" s="34" t="n">
        <v>0</v>
      </c>
      <c r="E4619" s="15" t="s">
        <v>6013</v>
      </c>
    </row>
    <row r="4620" customFormat="false" ht="15" hidden="false" customHeight="false" outlineLevel="0" collapsed="false">
      <c r="A4620" s="15" t="s">
        <v>5533</v>
      </c>
      <c r="B4620" s="15" t="s">
        <v>5534</v>
      </c>
      <c r="C4620" s="15" t="s">
        <v>5997</v>
      </c>
      <c r="D4620" s="34" t="n">
        <f aca="false">Activities!M1882</f>
        <v>1</v>
      </c>
      <c r="E4620" s="15" t="s">
        <v>5998</v>
      </c>
    </row>
    <row r="4621" customFormat="false" ht="15" hidden="false" customHeight="false" outlineLevel="0" collapsed="false">
      <c r="A4621" s="15" t="s">
        <v>5533</v>
      </c>
      <c r="B4621" s="15" t="s">
        <v>5534</v>
      </c>
      <c r="C4621" s="15" t="s">
        <v>5999</v>
      </c>
      <c r="D4621" s="34" t="n">
        <f aca="false">Activities!N1882</f>
        <v>2</v>
      </c>
      <c r="E4621" s="15" t="s">
        <v>5998</v>
      </c>
    </row>
    <row r="4622" customFormat="false" ht="15" hidden="false" customHeight="false" outlineLevel="0" collapsed="false">
      <c r="A4622" s="15" t="s">
        <v>5506</v>
      </c>
      <c r="B4622" s="15" t="s">
        <v>5534</v>
      </c>
      <c r="C4622" s="15" t="s">
        <v>5995</v>
      </c>
      <c r="D4622" s="34" t="n">
        <v>0</v>
      </c>
      <c r="E4622" s="15" t="s">
        <v>6013</v>
      </c>
    </row>
    <row r="4623" customFormat="false" ht="15" hidden="false" customHeight="false" outlineLevel="0" collapsed="false">
      <c r="A4623" s="15" t="s">
        <v>5534</v>
      </c>
      <c r="B4623" s="15" t="s">
        <v>5535</v>
      </c>
      <c r="C4623" s="15" t="s">
        <v>5997</v>
      </c>
      <c r="D4623" s="34" t="n">
        <f aca="false">Activities!M1883</f>
        <v>3</v>
      </c>
      <c r="E4623" s="15" t="s">
        <v>5998</v>
      </c>
    </row>
    <row r="4624" customFormat="false" ht="15" hidden="false" customHeight="false" outlineLevel="0" collapsed="false">
      <c r="A4624" s="15" t="s">
        <v>5534</v>
      </c>
      <c r="B4624" s="15" t="s">
        <v>5535</v>
      </c>
      <c r="C4624" s="15" t="s">
        <v>5999</v>
      </c>
      <c r="D4624" s="34" t="n">
        <f aca="false">Activities!N1883</f>
        <v>2</v>
      </c>
      <c r="E4624" s="15" t="s">
        <v>5998</v>
      </c>
    </row>
    <row r="4625" customFormat="false" ht="15" hidden="false" customHeight="false" outlineLevel="0" collapsed="false">
      <c r="A4625" s="15" t="s">
        <v>5507</v>
      </c>
      <c r="B4625" s="15" t="s">
        <v>5535</v>
      </c>
      <c r="C4625" s="15" t="s">
        <v>5995</v>
      </c>
      <c r="D4625" s="34" t="n">
        <v>0</v>
      </c>
      <c r="E4625" s="15" t="s">
        <v>6013</v>
      </c>
    </row>
    <row r="4626" customFormat="false" ht="15" hidden="false" customHeight="false" outlineLevel="0" collapsed="false">
      <c r="A4626" s="15" t="s">
        <v>5535</v>
      </c>
      <c r="B4626" s="15" t="s">
        <v>5536</v>
      </c>
      <c r="C4626" s="15" t="s">
        <v>5997</v>
      </c>
      <c r="D4626" s="34" t="n">
        <f aca="false">Activities!M1884</f>
        <v>2</v>
      </c>
      <c r="E4626" s="15" t="s">
        <v>5998</v>
      </c>
    </row>
    <row r="4627" customFormat="false" ht="15" hidden="false" customHeight="false" outlineLevel="0" collapsed="false">
      <c r="A4627" s="15" t="s">
        <v>5535</v>
      </c>
      <c r="B4627" s="15" t="s">
        <v>5536</v>
      </c>
      <c r="C4627" s="15" t="s">
        <v>5999</v>
      </c>
      <c r="D4627" s="34" t="n">
        <f aca="false">Activities!N1884</f>
        <v>2</v>
      </c>
      <c r="E4627" s="15" t="s">
        <v>5998</v>
      </c>
    </row>
    <row r="4628" customFormat="false" ht="15" hidden="false" customHeight="false" outlineLevel="0" collapsed="false">
      <c r="A4628" s="15" t="s">
        <v>5536</v>
      </c>
      <c r="B4628" s="15" t="s">
        <v>5537</v>
      </c>
      <c r="C4628" s="15" t="s">
        <v>5997</v>
      </c>
      <c r="D4628" s="34" t="n">
        <f aca="false">Activities!M1885</f>
        <v>2</v>
      </c>
      <c r="E4628" s="15" t="s">
        <v>5998</v>
      </c>
    </row>
    <row r="4629" customFormat="false" ht="15" hidden="false" customHeight="false" outlineLevel="0" collapsed="false">
      <c r="A4629" s="15" t="s">
        <v>5536</v>
      </c>
      <c r="B4629" s="15" t="s">
        <v>5537</v>
      </c>
      <c r="C4629" s="15" t="s">
        <v>5999</v>
      </c>
      <c r="D4629" s="34" t="n">
        <f aca="false">Activities!N1885</f>
        <v>2</v>
      </c>
      <c r="E4629" s="15" t="s">
        <v>5998</v>
      </c>
    </row>
    <row r="4630" customFormat="false" ht="15" hidden="false" customHeight="false" outlineLevel="0" collapsed="false">
      <c r="A4630" s="15" t="s">
        <v>5509</v>
      </c>
      <c r="B4630" s="15" t="s">
        <v>5537</v>
      </c>
      <c r="C4630" s="15" t="s">
        <v>5995</v>
      </c>
      <c r="D4630" s="34" t="n">
        <v>0</v>
      </c>
      <c r="E4630" s="15" t="s">
        <v>6013</v>
      </c>
    </row>
    <row r="4631" customFormat="false" ht="15" hidden="false" customHeight="false" outlineLevel="0" collapsed="false">
      <c r="A4631" s="15" t="s">
        <v>5537</v>
      </c>
      <c r="B4631" s="15" t="s">
        <v>5538</v>
      </c>
      <c r="C4631" s="15" t="s">
        <v>5997</v>
      </c>
      <c r="D4631" s="34" t="n">
        <f aca="false">Activities!M1886</f>
        <v>1</v>
      </c>
      <c r="E4631" s="15" t="s">
        <v>5998</v>
      </c>
    </row>
    <row r="4632" customFormat="false" ht="15" hidden="false" customHeight="false" outlineLevel="0" collapsed="false">
      <c r="A4632" s="15" t="s">
        <v>5537</v>
      </c>
      <c r="B4632" s="15" t="s">
        <v>5538</v>
      </c>
      <c r="C4632" s="15" t="s">
        <v>5999</v>
      </c>
      <c r="D4632" s="34" t="n">
        <f aca="false">Activities!N1886</f>
        <v>2</v>
      </c>
      <c r="E4632" s="15" t="s">
        <v>5998</v>
      </c>
    </row>
    <row r="4633" customFormat="false" ht="15" hidden="false" customHeight="false" outlineLevel="0" collapsed="false">
      <c r="A4633" s="15" t="s">
        <v>5539</v>
      </c>
      <c r="B4633" s="15" t="s">
        <v>5541</v>
      </c>
      <c r="C4633" s="15" t="s">
        <v>5995</v>
      </c>
      <c r="D4633" s="34" t="n">
        <v>0</v>
      </c>
      <c r="E4633" s="15" t="s">
        <v>5996</v>
      </c>
    </row>
    <row r="4634" customFormat="false" ht="15" hidden="false" customHeight="false" outlineLevel="0" collapsed="false">
      <c r="A4634" s="15" t="s">
        <v>5529</v>
      </c>
      <c r="B4634" s="15" t="s">
        <v>5541</v>
      </c>
      <c r="C4634" s="15" t="s">
        <v>5997</v>
      </c>
      <c r="D4634" s="34" t="n">
        <v>0</v>
      </c>
      <c r="E4634" s="15" t="s">
        <v>6002</v>
      </c>
    </row>
    <row r="4635" customFormat="false" ht="15" hidden="false" customHeight="false" outlineLevel="0" collapsed="false">
      <c r="A4635" s="15" t="s">
        <v>5541</v>
      </c>
      <c r="B4635" s="15" t="s">
        <v>5543</v>
      </c>
      <c r="C4635" s="15" t="s">
        <v>5997</v>
      </c>
      <c r="D4635" s="34" t="n">
        <f aca="false">Activities!M1889</f>
        <v>1</v>
      </c>
      <c r="E4635" s="15" t="s">
        <v>5998</v>
      </c>
    </row>
    <row r="4636" customFormat="false" ht="15" hidden="false" customHeight="false" outlineLevel="0" collapsed="false">
      <c r="A4636" s="15" t="s">
        <v>5541</v>
      </c>
      <c r="B4636" s="15" t="s">
        <v>5543</v>
      </c>
      <c r="C4636" s="15" t="s">
        <v>5999</v>
      </c>
      <c r="D4636" s="34" t="n">
        <f aca="false">Activities!N1889</f>
        <v>2</v>
      </c>
      <c r="E4636" s="15" t="s">
        <v>5998</v>
      </c>
    </row>
    <row r="4637" customFormat="false" ht="15" hidden="false" customHeight="false" outlineLevel="0" collapsed="false">
      <c r="A4637" s="15" t="s">
        <v>5529</v>
      </c>
      <c r="B4637" s="15" t="s">
        <v>5543</v>
      </c>
      <c r="C4637" s="15" t="s">
        <v>5995</v>
      </c>
      <c r="D4637" s="34" t="n">
        <v>0</v>
      </c>
      <c r="E4637" s="15" t="s">
        <v>6013</v>
      </c>
    </row>
    <row r="4638" customFormat="false" ht="15" hidden="false" customHeight="false" outlineLevel="0" collapsed="false">
      <c r="A4638" s="15" t="s">
        <v>5543</v>
      </c>
      <c r="B4638" s="15" t="s">
        <v>5544</v>
      </c>
      <c r="C4638" s="15" t="s">
        <v>5997</v>
      </c>
      <c r="D4638" s="34" t="n">
        <f aca="false">Activities!M1890</f>
        <v>3</v>
      </c>
      <c r="E4638" s="15" t="s">
        <v>5998</v>
      </c>
    </row>
    <row r="4639" customFormat="false" ht="15" hidden="false" customHeight="false" outlineLevel="0" collapsed="false">
      <c r="A4639" s="15" t="s">
        <v>5543</v>
      </c>
      <c r="B4639" s="15" t="s">
        <v>5544</v>
      </c>
      <c r="C4639" s="15" t="s">
        <v>5999</v>
      </c>
      <c r="D4639" s="34" t="n">
        <f aca="false">Activities!N1890</f>
        <v>2</v>
      </c>
      <c r="E4639" s="15" t="s">
        <v>5998</v>
      </c>
    </row>
    <row r="4640" customFormat="false" ht="15" hidden="false" customHeight="false" outlineLevel="0" collapsed="false">
      <c r="A4640" s="15" t="s">
        <v>5530</v>
      </c>
      <c r="B4640" s="15" t="s">
        <v>5544</v>
      </c>
      <c r="C4640" s="15" t="s">
        <v>5995</v>
      </c>
      <c r="D4640" s="34" t="n">
        <v>0</v>
      </c>
      <c r="E4640" s="15" t="s">
        <v>6013</v>
      </c>
    </row>
    <row r="4641" customFormat="false" ht="15" hidden="false" customHeight="false" outlineLevel="0" collapsed="false">
      <c r="A4641" s="15" t="s">
        <v>5544</v>
      </c>
      <c r="B4641" s="15" t="s">
        <v>5545</v>
      </c>
      <c r="C4641" s="15" t="s">
        <v>5997</v>
      </c>
      <c r="D4641" s="34" t="n">
        <f aca="false">Activities!M1891</f>
        <v>2</v>
      </c>
      <c r="E4641" s="15" t="s">
        <v>5998</v>
      </c>
    </row>
    <row r="4642" customFormat="false" ht="15" hidden="false" customHeight="false" outlineLevel="0" collapsed="false">
      <c r="A4642" s="15" t="s">
        <v>5544</v>
      </c>
      <c r="B4642" s="15" t="s">
        <v>5545</v>
      </c>
      <c r="C4642" s="15" t="s">
        <v>5999</v>
      </c>
      <c r="D4642" s="34" t="n">
        <f aca="false">Activities!N1891</f>
        <v>2</v>
      </c>
      <c r="E4642" s="15" t="s">
        <v>5998</v>
      </c>
    </row>
    <row r="4643" customFormat="false" ht="15" hidden="false" customHeight="false" outlineLevel="0" collapsed="false">
      <c r="A4643" s="15" t="s">
        <v>5533</v>
      </c>
      <c r="B4643" s="15" t="s">
        <v>5545</v>
      </c>
      <c r="C4643" s="15" t="s">
        <v>5995</v>
      </c>
      <c r="D4643" s="34" t="n">
        <f aca="false">-Activities!K1891</f>
        <v>-11</v>
      </c>
      <c r="E4643" s="15" t="s">
        <v>6004</v>
      </c>
    </row>
    <row r="4644" customFormat="false" ht="15" hidden="false" customHeight="false" outlineLevel="0" collapsed="false">
      <c r="A4644" s="15" t="s">
        <v>5545</v>
      </c>
      <c r="B4644" s="15" t="s">
        <v>5547</v>
      </c>
      <c r="C4644" s="15" t="s">
        <v>5997</v>
      </c>
      <c r="D4644" s="34" t="n">
        <f aca="false">Activities!M1892</f>
        <v>10</v>
      </c>
      <c r="E4644" s="15" t="s">
        <v>5998</v>
      </c>
    </row>
    <row r="4645" customFormat="false" ht="15" hidden="false" customHeight="false" outlineLevel="0" collapsed="false">
      <c r="A4645" s="15" t="s">
        <v>5545</v>
      </c>
      <c r="B4645" s="15" t="s">
        <v>5547</v>
      </c>
      <c r="C4645" s="15" t="s">
        <v>5999</v>
      </c>
      <c r="D4645" s="34" t="n">
        <f aca="false">Activities!N1892</f>
        <v>2</v>
      </c>
      <c r="E4645" s="15" t="s">
        <v>5998</v>
      </c>
    </row>
    <row r="4646" customFormat="false" ht="15" hidden="false" customHeight="false" outlineLevel="0" collapsed="false">
      <c r="A4646" s="15" t="s">
        <v>5533</v>
      </c>
      <c r="B4646" s="15" t="s">
        <v>5547</v>
      </c>
      <c r="C4646" s="15" t="s">
        <v>5995</v>
      </c>
      <c r="D4646" s="34" t="n">
        <v>0</v>
      </c>
      <c r="E4646" s="15" t="s">
        <v>6013</v>
      </c>
    </row>
    <row r="4647" customFormat="false" ht="15" hidden="false" customHeight="false" outlineLevel="0" collapsed="false">
      <c r="A4647" s="15" t="s">
        <v>5547</v>
      </c>
      <c r="B4647" s="15" t="s">
        <v>5548</v>
      </c>
      <c r="C4647" s="15" t="s">
        <v>5997</v>
      </c>
      <c r="D4647" s="34" t="n">
        <f aca="false">Activities!M1893</f>
        <v>1</v>
      </c>
      <c r="E4647" s="15" t="s">
        <v>5998</v>
      </c>
    </row>
    <row r="4648" customFormat="false" ht="15" hidden="false" customHeight="false" outlineLevel="0" collapsed="false">
      <c r="A4648" s="15" t="s">
        <v>5547</v>
      </c>
      <c r="B4648" s="15" t="s">
        <v>5548</v>
      </c>
      <c r="C4648" s="15" t="s">
        <v>5999</v>
      </c>
      <c r="D4648" s="34" t="n">
        <f aca="false">Activities!N1893</f>
        <v>2</v>
      </c>
      <c r="E4648" s="15" t="s">
        <v>5998</v>
      </c>
    </row>
    <row r="4649" customFormat="false" ht="15" hidden="false" customHeight="false" outlineLevel="0" collapsed="false">
      <c r="A4649" s="15" t="s">
        <v>5534</v>
      </c>
      <c r="B4649" s="15" t="s">
        <v>5548</v>
      </c>
      <c r="C4649" s="15" t="s">
        <v>5995</v>
      </c>
      <c r="D4649" s="34" t="n">
        <v>0</v>
      </c>
      <c r="E4649" s="15" t="s">
        <v>6013</v>
      </c>
    </row>
    <row r="4650" customFormat="false" ht="15" hidden="false" customHeight="false" outlineLevel="0" collapsed="false">
      <c r="A4650" s="15" t="s">
        <v>5548</v>
      </c>
      <c r="B4650" s="15" t="s">
        <v>5549</v>
      </c>
      <c r="C4650" s="15" t="s">
        <v>5997</v>
      </c>
      <c r="D4650" s="34" t="n">
        <f aca="false">Activities!M1894</f>
        <v>3</v>
      </c>
      <c r="E4650" s="15" t="s">
        <v>5998</v>
      </c>
    </row>
    <row r="4651" customFormat="false" ht="15" hidden="false" customHeight="false" outlineLevel="0" collapsed="false">
      <c r="A4651" s="15" t="s">
        <v>5548</v>
      </c>
      <c r="B4651" s="15" t="s">
        <v>5549</v>
      </c>
      <c r="C4651" s="15" t="s">
        <v>5999</v>
      </c>
      <c r="D4651" s="34" t="n">
        <f aca="false">Activities!N1894</f>
        <v>2</v>
      </c>
      <c r="E4651" s="15" t="s">
        <v>5998</v>
      </c>
    </row>
    <row r="4652" customFormat="false" ht="15" hidden="false" customHeight="false" outlineLevel="0" collapsed="false">
      <c r="A4652" s="15" t="s">
        <v>5535</v>
      </c>
      <c r="B4652" s="15" t="s">
        <v>5549</v>
      </c>
      <c r="C4652" s="15" t="s">
        <v>5995</v>
      </c>
      <c r="D4652" s="34" t="n">
        <v>0</v>
      </c>
      <c r="E4652" s="15" t="s">
        <v>6013</v>
      </c>
    </row>
    <row r="4653" customFormat="false" ht="15" hidden="false" customHeight="false" outlineLevel="0" collapsed="false">
      <c r="A4653" s="15" t="s">
        <v>5549</v>
      </c>
      <c r="B4653" s="15" t="s">
        <v>5550</v>
      </c>
      <c r="C4653" s="15" t="s">
        <v>5997</v>
      </c>
      <c r="D4653" s="34" t="n">
        <f aca="false">Activities!M1895</f>
        <v>3</v>
      </c>
      <c r="E4653" s="15" t="s">
        <v>5998</v>
      </c>
    </row>
    <row r="4654" customFormat="false" ht="15" hidden="false" customHeight="false" outlineLevel="0" collapsed="false">
      <c r="A4654" s="15" t="s">
        <v>5549</v>
      </c>
      <c r="B4654" s="15" t="s">
        <v>5550</v>
      </c>
      <c r="C4654" s="15" t="s">
        <v>5999</v>
      </c>
      <c r="D4654" s="34" t="n">
        <f aca="false">Activities!N1895</f>
        <v>2</v>
      </c>
      <c r="E4654" s="15" t="s">
        <v>5998</v>
      </c>
    </row>
    <row r="4655" customFormat="false" ht="15" hidden="false" customHeight="false" outlineLevel="0" collapsed="false">
      <c r="A4655" s="15" t="s">
        <v>5550</v>
      </c>
      <c r="B4655" s="15" t="s">
        <v>5551</v>
      </c>
      <c r="C4655" s="15" t="s">
        <v>5997</v>
      </c>
      <c r="D4655" s="34" t="n">
        <f aca="false">Activities!M1896</f>
        <v>2</v>
      </c>
      <c r="E4655" s="15" t="s">
        <v>5998</v>
      </c>
    </row>
    <row r="4656" customFormat="false" ht="15" hidden="false" customHeight="false" outlineLevel="0" collapsed="false">
      <c r="A4656" s="15" t="s">
        <v>5550</v>
      </c>
      <c r="B4656" s="15" t="s">
        <v>5551</v>
      </c>
      <c r="C4656" s="15" t="s">
        <v>5999</v>
      </c>
      <c r="D4656" s="34" t="n">
        <f aca="false">Activities!N1896</f>
        <v>2</v>
      </c>
      <c r="E4656" s="15" t="s">
        <v>5998</v>
      </c>
    </row>
    <row r="4657" customFormat="false" ht="15" hidden="false" customHeight="false" outlineLevel="0" collapsed="false">
      <c r="A4657" s="15" t="s">
        <v>5537</v>
      </c>
      <c r="B4657" s="15" t="s">
        <v>5551</v>
      </c>
      <c r="C4657" s="15" t="s">
        <v>5995</v>
      </c>
      <c r="D4657" s="34" t="n">
        <v>0</v>
      </c>
      <c r="E4657" s="15" t="s">
        <v>6013</v>
      </c>
    </row>
    <row r="4658" customFormat="false" ht="15" hidden="false" customHeight="false" outlineLevel="0" collapsed="false">
      <c r="A4658" s="15" t="s">
        <v>5577</v>
      </c>
      <c r="B4658" s="15" t="s">
        <v>5551</v>
      </c>
      <c r="C4658" s="15" t="s">
        <v>5995</v>
      </c>
      <c r="D4658" s="34" t="n">
        <v>0</v>
      </c>
      <c r="E4658" s="15" t="s">
        <v>6005</v>
      </c>
    </row>
    <row r="4659" customFormat="false" ht="15" hidden="false" customHeight="false" outlineLevel="0" collapsed="false">
      <c r="A4659" s="15" t="s">
        <v>5551</v>
      </c>
      <c r="B4659" s="15" t="s">
        <v>5553</v>
      </c>
      <c r="C4659" s="15" t="s">
        <v>5997</v>
      </c>
      <c r="D4659" s="34" t="n">
        <f aca="false">Activities!M1897</f>
        <v>1</v>
      </c>
      <c r="E4659" s="15" t="s">
        <v>5998</v>
      </c>
    </row>
    <row r="4660" customFormat="false" ht="15" hidden="false" customHeight="false" outlineLevel="0" collapsed="false">
      <c r="A4660" s="15" t="s">
        <v>5551</v>
      </c>
      <c r="B4660" s="15" t="s">
        <v>5553</v>
      </c>
      <c r="C4660" s="15" t="s">
        <v>5999</v>
      </c>
      <c r="D4660" s="34" t="n">
        <f aca="false">Activities!N1897</f>
        <v>2</v>
      </c>
      <c r="E4660" s="15" t="s">
        <v>5998</v>
      </c>
    </row>
    <row r="4661" customFormat="false" ht="15" hidden="false" customHeight="false" outlineLevel="0" collapsed="false">
      <c r="A4661" s="15" t="s">
        <v>5554</v>
      </c>
      <c r="B4661" s="15" t="s">
        <v>5556</v>
      </c>
      <c r="C4661" s="15" t="s">
        <v>5995</v>
      </c>
      <c r="D4661" s="34" t="n">
        <v>0</v>
      </c>
      <c r="E4661" s="15" t="s">
        <v>5996</v>
      </c>
    </row>
    <row r="4662" customFormat="false" ht="15" hidden="false" customHeight="false" outlineLevel="0" collapsed="false">
      <c r="A4662" s="15" t="s">
        <v>5543</v>
      </c>
      <c r="B4662" s="15" t="s">
        <v>5556</v>
      </c>
      <c r="C4662" s="15" t="s">
        <v>5997</v>
      </c>
      <c r="D4662" s="34" t="n">
        <v>0</v>
      </c>
      <c r="E4662" s="15" t="s">
        <v>6000</v>
      </c>
    </row>
    <row r="4663" customFormat="false" ht="15" hidden="false" customHeight="false" outlineLevel="0" collapsed="false">
      <c r="A4663" s="15" t="s">
        <v>5556</v>
      </c>
      <c r="B4663" s="15" t="s">
        <v>5558</v>
      </c>
      <c r="C4663" s="15" t="s">
        <v>5997</v>
      </c>
      <c r="D4663" s="34" t="n">
        <f aca="false">Activities!M1900</f>
        <v>1</v>
      </c>
      <c r="E4663" s="15" t="s">
        <v>5998</v>
      </c>
    </row>
    <row r="4664" customFormat="false" ht="15" hidden="false" customHeight="false" outlineLevel="0" collapsed="false">
      <c r="A4664" s="15" t="s">
        <v>5556</v>
      </c>
      <c r="B4664" s="15" t="s">
        <v>5558</v>
      </c>
      <c r="C4664" s="15" t="s">
        <v>5999</v>
      </c>
      <c r="D4664" s="34" t="n">
        <f aca="false">Activities!N1900</f>
        <v>2</v>
      </c>
      <c r="E4664" s="15" t="s">
        <v>5998</v>
      </c>
    </row>
    <row r="4665" customFormat="false" ht="15" hidden="false" customHeight="false" outlineLevel="0" collapsed="false">
      <c r="A4665" s="15" t="s">
        <v>5558</v>
      </c>
      <c r="B4665" s="15" t="s">
        <v>5559</v>
      </c>
      <c r="C4665" s="15" t="s">
        <v>5997</v>
      </c>
      <c r="D4665" s="34" t="n">
        <f aca="false">Activities!M1901</f>
        <v>1</v>
      </c>
      <c r="E4665" s="15" t="s">
        <v>5998</v>
      </c>
    </row>
    <row r="4666" customFormat="false" ht="15" hidden="false" customHeight="false" outlineLevel="0" collapsed="false">
      <c r="A4666" s="15" t="s">
        <v>5558</v>
      </c>
      <c r="B4666" s="15" t="s">
        <v>5559</v>
      </c>
      <c r="C4666" s="15" t="s">
        <v>5999</v>
      </c>
      <c r="D4666" s="34" t="n">
        <f aca="false">Activities!N1901</f>
        <v>2</v>
      </c>
      <c r="E4666" s="15" t="s">
        <v>5998</v>
      </c>
    </row>
    <row r="4667" customFormat="false" ht="15" hidden="false" customHeight="false" outlineLevel="0" collapsed="false">
      <c r="A4667" s="15" t="s">
        <v>5559</v>
      </c>
      <c r="B4667" s="15" t="s">
        <v>5560</v>
      </c>
      <c r="C4667" s="15" t="s">
        <v>5997</v>
      </c>
      <c r="D4667" s="34" t="n">
        <f aca="false">Activities!M1902</f>
        <v>1</v>
      </c>
      <c r="E4667" s="15" t="s">
        <v>5998</v>
      </c>
    </row>
    <row r="4668" customFormat="false" ht="15" hidden="false" customHeight="false" outlineLevel="0" collapsed="false">
      <c r="A4668" s="15" t="s">
        <v>5559</v>
      </c>
      <c r="B4668" s="15" t="s">
        <v>5560</v>
      </c>
      <c r="C4668" s="15" t="s">
        <v>5999</v>
      </c>
      <c r="D4668" s="34" t="n">
        <f aca="false">Activities!N1902</f>
        <v>2</v>
      </c>
      <c r="E4668" s="15" t="s">
        <v>5998</v>
      </c>
    </row>
    <row r="4669" customFormat="false" ht="15" hidden="false" customHeight="false" outlineLevel="0" collapsed="false">
      <c r="A4669" s="15" t="s">
        <v>5560</v>
      </c>
      <c r="B4669" s="15" t="s">
        <v>5561</v>
      </c>
      <c r="C4669" s="15" t="s">
        <v>5997</v>
      </c>
      <c r="D4669" s="34" t="n">
        <f aca="false">Activities!M1903</f>
        <v>10</v>
      </c>
      <c r="E4669" s="15" t="s">
        <v>5998</v>
      </c>
    </row>
    <row r="4670" customFormat="false" ht="15" hidden="false" customHeight="false" outlineLevel="0" collapsed="false">
      <c r="A4670" s="15" t="s">
        <v>5560</v>
      </c>
      <c r="B4670" s="15" t="s">
        <v>5561</v>
      </c>
      <c r="C4670" s="15" t="s">
        <v>5999</v>
      </c>
      <c r="D4670" s="34" t="n">
        <f aca="false">Activities!N1903</f>
        <v>2</v>
      </c>
      <c r="E4670" s="15" t="s">
        <v>5998</v>
      </c>
    </row>
    <row r="4671" customFormat="false" ht="15" hidden="false" customHeight="false" outlineLevel="0" collapsed="false">
      <c r="A4671" s="15" t="s">
        <v>5561</v>
      </c>
      <c r="B4671" s="15" t="s">
        <v>5562</v>
      </c>
      <c r="C4671" s="15" t="s">
        <v>5997</v>
      </c>
      <c r="D4671" s="34" t="n">
        <f aca="false">Activities!M1904</f>
        <v>1</v>
      </c>
      <c r="E4671" s="15" t="s">
        <v>5998</v>
      </c>
    </row>
    <row r="4672" customFormat="false" ht="15" hidden="false" customHeight="false" outlineLevel="0" collapsed="false">
      <c r="A4672" s="15" t="s">
        <v>5561</v>
      </c>
      <c r="B4672" s="15" t="s">
        <v>5562</v>
      </c>
      <c r="C4672" s="15" t="s">
        <v>5999</v>
      </c>
      <c r="D4672" s="34" t="n">
        <f aca="false">Activities!N1904</f>
        <v>2</v>
      </c>
      <c r="E4672" s="15" t="s">
        <v>5998</v>
      </c>
    </row>
    <row r="4673" customFormat="false" ht="15" hidden="false" customHeight="false" outlineLevel="0" collapsed="false">
      <c r="A4673" s="15" t="s">
        <v>5562</v>
      </c>
      <c r="B4673" s="15" t="s">
        <v>5563</v>
      </c>
      <c r="C4673" s="15" t="s">
        <v>5997</v>
      </c>
      <c r="D4673" s="34" t="n">
        <f aca="false">Activities!M1905</f>
        <v>2</v>
      </c>
      <c r="E4673" s="15" t="s">
        <v>5998</v>
      </c>
    </row>
    <row r="4674" customFormat="false" ht="15" hidden="false" customHeight="false" outlineLevel="0" collapsed="false">
      <c r="A4674" s="15" t="s">
        <v>5562</v>
      </c>
      <c r="B4674" s="15" t="s">
        <v>5563</v>
      </c>
      <c r="C4674" s="15" t="s">
        <v>5999</v>
      </c>
      <c r="D4674" s="34" t="n">
        <f aca="false">Activities!N1905</f>
        <v>2</v>
      </c>
      <c r="E4674" s="15" t="s">
        <v>5998</v>
      </c>
    </row>
    <row r="4675" customFormat="false" ht="15" hidden="false" customHeight="false" outlineLevel="0" collapsed="false">
      <c r="A4675" s="15" t="s">
        <v>5549</v>
      </c>
      <c r="B4675" s="15" t="s">
        <v>5563</v>
      </c>
      <c r="C4675" s="15" t="s">
        <v>5995</v>
      </c>
      <c r="D4675" s="34" t="n">
        <v>0</v>
      </c>
      <c r="E4675" s="15" t="s">
        <v>6001</v>
      </c>
    </row>
    <row r="4676" customFormat="false" ht="15" hidden="false" customHeight="false" outlineLevel="0" collapsed="false">
      <c r="A4676" s="15" t="s">
        <v>5563</v>
      </c>
      <c r="B4676" s="15" t="s">
        <v>5565</v>
      </c>
      <c r="C4676" s="15" t="s">
        <v>5997</v>
      </c>
      <c r="D4676" s="34" t="n">
        <f aca="false">Activities!M1906</f>
        <v>2</v>
      </c>
      <c r="E4676" s="15" t="s">
        <v>5998</v>
      </c>
    </row>
    <row r="4677" customFormat="false" ht="15" hidden="false" customHeight="false" outlineLevel="0" collapsed="false">
      <c r="A4677" s="15" t="s">
        <v>5563</v>
      </c>
      <c r="B4677" s="15" t="s">
        <v>5565</v>
      </c>
      <c r="C4677" s="15" t="s">
        <v>5999</v>
      </c>
      <c r="D4677" s="34" t="n">
        <f aca="false">Activities!N1906</f>
        <v>2</v>
      </c>
      <c r="E4677" s="15" t="s">
        <v>5998</v>
      </c>
    </row>
    <row r="4678" customFormat="false" ht="15" hidden="false" customHeight="false" outlineLevel="0" collapsed="false">
      <c r="A4678" s="15" t="s">
        <v>5565</v>
      </c>
      <c r="B4678" s="15" t="s">
        <v>5566</v>
      </c>
      <c r="C4678" s="15" t="s">
        <v>5997</v>
      </c>
      <c r="D4678" s="34" t="n">
        <f aca="false">Activities!M1907</f>
        <v>2</v>
      </c>
      <c r="E4678" s="15" t="s">
        <v>5998</v>
      </c>
    </row>
    <row r="4679" customFormat="false" ht="15" hidden="false" customHeight="false" outlineLevel="0" collapsed="false">
      <c r="A4679" s="15" t="s">
        <v>5565</v>
      </c>
      <c r="B4679" s="15" t="s">
        <v>5566</v>
      </c>
      <c r="C4679" s="15" t="s">
        <v>5999</v>
      </c>
      <c r="D4679" s="34" t="n">
        <f aca="false">Activities!N1907</f>
        <v>2</v>
      </c>
      <c r="E4679" s="15" t="s">
        <v>5998</v>
      </c>
    </row>
    <row r="4680" customFormat="false" ht="15" hidden="false" customHeight="false" outlineLevel="0" collapsed="false">
      <c r="A4680" s="15" t="s">
        <v>5577</v>
      </c>
      <c r="B4680" s="15" t="s">
        <v>5566</v>
      </c>
      <c r="C4680" s="15" t="s">
        <v>5995</v>
      </c>
      <c r="D4680" s="34" t="n">
        <v>0</v>
      </c>
      <c r="E4680" s="15" t="s">
        <v>6005</v>
      </c>
    </row>
    <row r="4681" customFormat="false" ht="15" hidden="false" customHeight="false" outlineLevel="0" collapsed="false">
      <c r="A4681" s="15" t="s">
        <v>5566</v>
      </c>
      <c r="B4681" s="15" t="s">
        <v>5567</v>
      </c>
      <c r="C4681" s="15" t="s">
        <v>5997</v>
      </c>
      <c r="D4681" s="34" t="n">
        <f aca="false">Activities!M1908</f>
        <v>1</v>
      </c>
      <c r="E4681" s="15" t="s">
        <v>5998</v>
      </c>
    </row>
    <row r="4682" customFormat="false" ht="15" hidden="false" customHeight="false" outlineLevel="0" collapsed="false">
      <c r="A4682" s="15" t="s">
        <v>5566</v>
      </c>
      <c r="B4682" s="15" t="s">
        <v>5567</v>
      </c>
      <c r="C4682" s="15" t="s">
        <v>5999</v>
      </c>
      <c r="D4682" s="34" t="n">
        <f aca="false">Activities!N1908</f>
        <v>2</v>
      </c>
      <c r="E4682" s="15" t="s">
        <v>5998</v>
      </c>
    </row>
    <row r="4683" customFormat="false" ht="15" hidden="false" customHeight="false" outlineLevel="0" collapsed="false">
      <c r="A4683" s="15" t="s">
        <v>5568</v>
      </c>
      <c r="B4683" s="15" t="s">
        <v>5570</v>
      </c>
      <c r="C4683" s="15" t="s">
        <v>5995</v>
      </c>
      <c r="D4683" s="34" t="n">
        <v>0</v>
      </c>
      <c r="E4683" s="15" t="s">
        <v>5996</v>
      </c>
    </row>
    <row r="4684" customFormat="false" ht="15" hidden="false" customHeight="false" outlineLevel="0" collapsed="false">
      <c r="A4684" s="15" t="s">
        <v>5570</v>
      </c>
      <c r="B4684" s="15" t="s">
        <v>5571</v>
      </c>
      <c r="C4684" s="15" t="s">
        <v>5997</v>
      </c>
      <c r="D4684" s="34" t="n">
        <f aca="false">Activities!M1911</f>
        <v>1</v>
      </c>
      <c r="E4684" s="15" t="s">
        <v>5998</v>
      </c>
    </row>
    <row r="4685" customFormat="false" ht="15" hidden="false" customHeight="false" outlineLevel="0" collapsed="false">
      <c r="A4685" s="15" t="s">
        <v>5570</v>
      </c>
      <c r="B4685" s="15" t="s">
        <v>5571</v>
      </c>
      <c r="C4685" s="15" t="s">
        <v>5999</v>
      </c>
      <c r="D4685" s="34" t="n">
        <f aca="false">Activities!N1911</f>
        <v>2</v>
      </c>
      <c r="E4685" s="15" t="s">
        <v>5998</v>
      </c>
    </row>
    <row r="4686" customFormat="false" ht="15" hidden="false" customHeight="false" outlineLevel="0" collapsed="false">
      <c r="A4686" s="15" t="s">
        <v>5571</v>
      </c>
      <c r="B4686" s="15" t="s">
        <v>5572</v>
      </c>
      <c r="C4686" s="15" t="s">
        <v>5997</v>
      </c>
      <c r="D4686" s="34" t="n">
        <f aca="false">Activities!M1912</f>
        <v>3</v>
      </c>
      <c r="E4686" s="15" t="s">
        <v>5998</v>
      </c>
    </row>
    <row r="4687" customFormat="false" ht="15" hidden="false" customHeight="false" outlineLevel="0" collapsed="false">
      <c r="A4687" s="15" t="s">
        <v>5571</v>
      </c>
      <c r="B4687" s="15" t="s">
        <v>5572</v>
      </c>
      <c r="C4687" s="15" t="s">
        <v>5999</v>
      </c>
      <c r="D4687" s="34" t="n">
        <f aca="false">Activities!N1912</f>
        <v>2</v>
      </c>
      <c r="E4687" s="15" t="s">
        <v>5998</v>
      </c>
    </row>
    <row r="4688" customFormat="false" ht="15" hidden="false" customHeight="false" outlineLevel="0" collapsed="false">
      <c r="A4688" s="15" t="s">
        <v>5572</v>
      </c>
      <c r="B4688" s="15" t="s">
        <v>5573</v>
      </c>
      <c r="C4688" s="15" t="s">
        <v>5997</v>
      </c>
      <c r="D4688" s="34" t="n">
        <f aca="false">Activities!M1913</f>
        <v>1</v>
      </c>
      <c r="E4688" s="15" t="s">
        <v>5998</v>
      </c>
    </row>
    <row r="4689" customFormat="false" ht="15" hidden="false" customHeight="false" outlineLevel="0" collapsed="false">
      <c r="A4689" s="15" t="s">
        <v>5572</v>
      </c>
      <c r="B4689" s="15" t="s">
        <v>5573</v>
      </c>
      <c r="C4689" s="15" t="s">
        <v>5999</v>
      </c>
      <c r="D4689" s="34" t="n">
        <f aca="false">Activities!N1913</f>
        <v>2</v>
      </c>
      <c r="E4689" s="15" t="s">
        <v>5998</v>
      </c>
    </row>
    <row r="4690" customFormat="false" ht="15" hidden="false" customHeight="false" outlineLevel="0" collapsed="false">
      <c r="A4690" s="15" t="s">
        <v>5573</v>
      </c>
      <c r="B4690" s="15" t="s">
        <v>5574</v>
      </c>
      <c r="C4690" s="15" t="s">
        <v>5997</v>
      </c>
      <c r="D4690" s="34" t="n">
        <f aca="false">Activities!M1914</f>
        <v>10</v>
      </c>
      <c r="E4690" s="15" t="s">
        <v>5998</v>
      </c>
    </row>
    <row r="4691" customFormat="false" ht="15" hidden="false" customHeight="false" outlineLevel="0" collapsed="false">
      <c r="A4691" s="15" t="s">
        <v>5573</v>
      </c>
      <c r="B4691" s="15" t="s">
        <v>5574</v>
      </c>
      <c r="C4691" s="15" t="s">
        <v>5999</v>
      </c>
      <c r="D4691" s="34" t="n">
        <f aca="false">Activities!N1914</f>
        <v>2</v>
      </c>
      <c r="E4691" s="15" t="s">
        <v>5998</v>
      </c>
    </row>
    <row r="4692" customFormat="false" ht="15" hidden="false" customHeight="false" outlineLevel="0" collapsed="false">
      <c r="A4692" s="15" t="s">
        <v>5523</v>
      </c>
      <c r="B4692" s="15" t="s">
        <v>5574</v>
      </c>
      <c r="C4692" s="15" t="s">
        <v>5995</v>
      </c>
      <c r="D4692" s="34" t="n">
        <v>0</v>
      </c>
      <c r="E4692" s="15" t="s">
        <v>6008</v>
      </c>
    </row>
    <row r="4693" customFormat="false" ht="15" hidden="false" customHeight="false" outlineLevel="0" collapsed="false">
      <c r="A4693" s="15" t="s">
        <v>5509</v>
      </c>
      <c r="B4693" s="15" t="s">
        <v>5574</v>
      </c>
      <c r="C4693" s="15" t="s">
        <v>5995</v>
      </c>
      <c r="D4693" s="34" t="n">
        <v>0</v>
      </c>
      <c r="E4693" s="15" t="s">
        <v>6008</v>
      </c>
    </row>
    <row r="4694" customFormat="false" ht="15" hidden="false" customHeight="false" outlineLevel="0" collapsed="false">
      <c r="A4694" s="15" t="s">
        <v>5537</v>
      </c>
      <c r="B4694" s="15" t="s">
        <v>5574</v>
      </c>
      <c r="C4694" s="15" t="s">
        <v>5995</v>
      </c>
      <c r="D4694" s="34" t="n">
        <v>0</v>
      </c>
      <c r="E4694" s="15" t="s">
        <v>6008</v>
      </c>
    </row>
    <row r="4695" customFormat="false" ht="15" hidden="false" customHeight="false" outlineLevel="0" collapsed="false">
      <c r="A4695" s="15" t="s">
        <v>5561</v>
      </c>
      <c r="B4695" s="15" t="s">
        <v>5574</v>
      </c>
      <c r="C4695" s="15" t="s">
        <v>5997</v>
      </c>
      <c r="D4695" s="34" t="n">
        <v>0</v>
      </c>
      <c r="E4695" s="15" t="s">
        <v>6006</v>
      </c>
    </row>
    <row r="4696" customFormat="false" ht="15" hidden="false" customHeight="false" outlineLevel="0" collapsed="false">
      <c r="A4696" s="15" t="s">
        <v>5547</v>
      </c>
      <c r="B4696" s="15" t="s">
        <v>5574</v>
      </c>
      <c r="C4696" s="15" t="s">
        <v>5997</v>
      </c>
      <c r="D4696" s="34" t="n">
        <v>0</v>
      </c>
      <c r="E4696" s="15" t="s">
        <v>6006</v>
      </c>
    </row>
    <row r="4697" customFormat="false" ht="15" hidden="false" customHeight="false" outlineLevel="0" collapsed="false">
      <c r="A4697" s="15" t="s">
        <v>5574</v>
      </c>
      <c r="B4697" s="15" t="s">
        <v>5576</v>
      </c>
      <c r="C4697" s="15" t="s">
        <v>5997</v>
      </c>
      <c r="D4697" s="34" t="n">
        <f aca="false">Activities!M1915</f>
        <v>2</v>
      </c>
      <c r="E4697" s="15" t="s">
        <v>5998</v>
      </c>
    </row>
    <row r="4698" customFormat="false" ht="15" hidden="false" customHeight="false" outlineLevel="0" collapsed="false">
      <c r="A4698" s="15" t="s">
        <v>5574</v>
      </c>
      <c r="B4698" s="15" t="s">
        <v>5576</v>
      </c>
      <c r="C4698" s="15" t="s">
        <v>5999</v>
      </c>
      <c r="D4698" s="34" t="n">
        <f aca="false">Activities!N1915</f>
        <v>2</v>
      </c>
      <c r="E4698" s="15" t="s">
        <v>5998</v>
      </c>
    </row>
    <row r="4699" customFormat="false" ht="15" hidden="false" customHeight="false" outlineLevel="0" collapsed="false">
      <c r="A4699" s="15" t="s">
        <v>5576</v>
      </c>
      <c r="B4699" s="15" t="s">
        <v>5577</v>
      </c>
      <c r="C4699" s="15" t="s">
        <v>5997</v>
      </c>
      <c r="D4699" s="34" t="n">
        <f aca="false">Activities!M1916</f>
        <v>3</v>
      </c>
      <c r="E4699" s="15" t="s">
        <v>5998</v>
      </c>
    </row>
    <row r="4700" customFormat="false" ht="15" hidden="false" customHeight="false" outlineLevel="0" collapsed="false">
      <c r="A4700" s="15" t="s">
        <v>5576</v>
      </c>
      <c r="B4700" s="15" t="s">
        <v>5577</v>
      </c>
      <c r="C4700" s="15" t="s">
        <v>5999</v>
      </c>
      <c r="D4700" s="34" t="n">
        <f aca="false">Activities!N1916</f>
        <v>2</v>
      </c>
      <c r="E4700" s="15" t="s">
        <v>5998</v>
      </c>
    </row>
    <row r="4701" customFormat="false" ht="15" hidden="false" customHeight="false" outlineLevel="0" collapsed="false">
      <c r="A4701" s="15" t="s">
        <v>5577</v>
      </c>
      <c r="B4701" s="15" t="s">
        <v>5578</v>
      </c>
      <c r="C4701" s="15" t="s">
        <v>5997</v>
      </c>
      <c r="D4701" s="34" t="n">
        <f aca="false">Activities!M1917</f>
        <v>4</v>
      </c>
      <c r="E4701" s="15" t="s">
        <v>5998</v>
      </c>
    </row>
    <row r="4702" customFormat="false" ht="15" hidden="false" customHeight="false" outlineLevel="0" collapsed="false">
      <c r="A4702" s="15" t="s">
        <v>5577</v>
      </c>
      <c r="B4702" s="15" t="s">
        <v>5578</v>
      </c>
      <c r="C4702" s="15" t="s">
        <v>5999</v>
      </c>
      <c r="D4702" s="34" t="n">
        <f aca="false">Activities!N1917</f>
        <v>2</v>
      </c>
      <c r="E4702" s="15" t="s">
        <v>5998</v>
      </c>
    </row>
    <row r="4703" customFormat="false" ht="15" hidden="false" customHeight="false" outlineLevel="0" collapsed="false">
      <c r="A4703" s="15" t="s">
        <v>5578</v>
      </c>
      <c r="B4703" s="15" t="s">
        <v>5579</v>
      </c>
      <c r="C4703" s="15" t="s">
        <v>5997</v>
      </c>
      <c r="D4703" s="34" t="n">
        <f aca="false">Activities!M1918</f>
        <v>2</v>
      </c>
      <c r="E4703" s="15" t="s">
        <v>5998</v>
      </c>
    </row>
    <row r="4704" customFormat="false" ht="15" hidden="false" customHeight="false" outlineLevel="0" collapsed="false">
      <c r="A4704" s="15" t="s">
        <v>5578</v>
      </c>
      <c r="B4704" s="15" t="s">
        <v>5579</v>
      </c>
      <c r="C4704" s="15" t="s">
        <v>5999</v>
      </c>
      <c r="D4704" s="34" t="n">
        <f aca="false">Activities!N1918</f>
        <v>2</v>
      </c>
      <c r="E4704" s="15" t="s">
        <v>5998</v>
      </c>
    </row>
    <row r="4705" customFormat="false" ht="15" hidden="false" customHeight="false" outlineLevel="0" collapsed="false">
      <c r="A4705" s="15" t="s">
        <v>5563</v>
      </c>
      <c r="B4705" s="15" t="s">
        <v>5579</v>
      </c>
      <c r="C4705" s="15" t="s">
        <v>5995</v>
      </c>
      <c r="D4705" s="34" t="n">
        <v>0</v>
      </c>
      <c r="E4705" s="15" t="s">
        <v>6005</v>
      </c>
    </row>
    <row r="4706" customFormat="false" ht="15" hidden="false" customHeight="false" outlineLevel="0" collapsed="false">
      <c r="A4706" s="15" t="s">
        <v>5549</v>
      </c>
      <c r="B4706" s="15" t="s">
        <v>5579</v>
      </c>
      <c r="C4706" s="15" t="s">
        <v>5995</v>
      </c>
      <c r="D4706" s="34" t="n">
        <v>0</v>
      </c>
      <c r="E4706" s="15" t="s">
        <v>6005</v>
      </c>
    </row>
    <row r="4707" customFormat="false" ht="15" hidden="false" customHeight="false" outlineLevel="0" collapsed="false">
      <c r="A4707" s="15" t="s">
        <v>5579</v>
      </c>
      <c r="B4707" s="15" t="s">
        <v>5581</v>
      </c>
      <c r="C4707" s="15" t="s">
        <v>5997</v>
      </c>
      <c r="D4707" s="34" t="n">
        <f aca="false">Activities!M1919</f>
        <v>2</v>
      </c>
      <c r="E4707" s="15" t="s">
        <v>5998</v>
      </c>
    </row>
    <row r="4708" customFormat="false" ht="15" hidden="false" customHeight="false" outlineLevel="0" collapsed="false">
      <c r="A4708" s="15" t="s">
        <v>5579</v>
      </c>
      <c r="B4708" s="15" t="s">
        <v>5581</v>
      </c>
      <c r="C4708" s="15" t="s">
        <v>5999</v>
      </c>
      <c r="D4708" s="34" t="n">
        <f aca="false">Activities!N1919</f>
        <v>2</v>
      </c>
      <c r="E4708" s="15" t="s">
        <v>5998</v>
      </c>
    </row>
    <row r="4709" customFormat="false" ht="15" hidden="false" customHeight="false" outlineLevel="0" collapsed="false">
      <c r="A4709" s="15" t="s">
        <v>5582</v>
      </c>
      <c r="B4709" s="15" t="s">
        <v>5584</v>
      </c>
      <c r="C4709" s="15" t="s">
        <v>5995</v>
      </c>
      <c r="D4709" s="34" t="n">
        <v>0</v>
      </c>
      <c r="E4709" s="15" t="s">
        <v>5996</v>
      </c>
    </row>
    <row r="4710" customFormat="false" ht="15" hidden="false" customHeight="false" outlineLevel="0" collapsed="false">
      <c r="A4710" s="15" t="s">
        <v>5399</v>
      </c>
      <c r="B4710" s="15" t="s">
        <v>5584</v>
      </c>
      <c r="C4710" s="15" t="s">
        <v>5997</v>
      </c>
      <c r="D4710" s="34" t="n">
        <v>0</v>
      </c>
      <c r="E4710" s="15" t="s">
        <v>6000</v>
      </c>
    </row>
    <row r="4711" customFormat="false" ht="15" hidden="false" customHeight="false" outlineLevel="0" collapsed="false">
      <c r="A4711" s="15" t="s">
        <v>5584</v>
      </c>
      <c r="B4711" s="15" t="s">
        <v>5586</v>
      </c>
      <c r="C4711" s="15" t="s">
        <v>5997</v>
      </c>
      <c r="D4711" s="34" t="n">
        <f aca="false">Activities!M1922</f>
        <v>1</v>
      </c>
      <c r="E4711" s="15" t="s">
        <v>5998</v>
      </c>
    </row>
    <row r="4712" customFormat="false" ht="15" hidden="false" customHeight="false" outlineLevel="0" collapsed="false">
      <c r="A4712" s="15" t="s">
        <v>5584</v>
      </c>
      <c r="B4712" s="15" t="s">
        <v>5586</v>
      </c>
      <c r="C4712" s="15" t="s">
        <v>5999</v>
      </c>
      <c r="D4712" s="34" t="n">
        <f aca="false">Activities!N1922</f>
        <v>2</v>
      </c>
      <c r="E4712" s="15" t="s">
        <v>5998</v>
      </c>
    </row>
    <row r="4713" customFormat="false" ht="15" hidden="false" customHeight="false" outlineLevel="0" collapsed="false">
      <c r="A4713" s="15" t="s">
        <v>5586</v>
      </c>
      <c r="B4713" s="15" t="s">
        <v>5587</v>
      </c>
      <c r="C4713" s="15" t="s">
        <v>5997</v>
      </c>
      <c r="D4713" s="34" t="n">
        <f aca="false">Activities!M1923</f>
        <v>2</v>
      </c>
      <c r="E4713" s="15" t="s">
        <v>5998</v>
      </c>
    </row>
    <row r="4714" customFormat="false" ht="15" hidden="false" customHeight="false" outlineLevel="0" collapsed="false">
      <c r="A4714" s="15" t="s">
        <v>5586</v>
      </c>
      <c r="B4714" s="15" t="s">
        <v>5587</v>
      </c>
      <c r="C4714" s="15" t="s">
        <v>5999</v>
      </c>
      <c r="D4714" s="34" t="n">
        <f aca="false">Activities!N1923</f>
        <v>2</v>
      </c>
      <c r="E4714" s="15" t="s">
        <v>5998</v>
      </c>
    </row>
    <row r="4715" customFormat="false" ht="15" hidden="false" customHeight="false" outlineLevel="0" collapsed="false">
      <c r="A4715" s="15" t="s">
        <v>5587</v>
      </c>
      <c r="B4715" s="15" t="s">
        <v>5588</v>
      </c>
      <c r="C4715" s="15" t="s">
        <v>5997</v>
      </c>
      <c r="D4715" s="34" t="n">
        <f aca="false">Activities!M1924</f>
        <v>2</v>
      </c>
      <c r="E4715" s="15" t="s">
        <v>5998</v>
      </c>
    </row>
    <row r="4716" customFormat="false" ht="15" hidden="false" customHeight="false" outlineLevel="0" collapsed="false">
      <c r="A4716" s="15" t="s">
        <v>5587</v>
      </c>
      <c r="B4716" s="15" t="s">
        <v>5588</v>
      </c>
      <c r="C4716" s="15" t="s">
        <v>5999</v>
      </c>
      <c r="D4716" s="34" t="n">
        <f aca="false">Activities!N1924</f>
        <v>2</v>
      </c>
      <c r="E4716" s="15" t="s">
        <v>5998</v>
      </c>
    </row>
    <row r="4717" customFormat="false" ht="15" hidden="false" customHeight="false" outlineLevel="0" collapsed="false">
      <c r="A4717" s="15" t="s">
        <v>5588</v>
      </c>
      <c r="B4717" s="15" t="s">
        <v>5589</v>
      </c>
      <c r="C4717" s="15" t="s">
        <v>5997</v>
      </c>
      <c r="D4717" s="34" t="n">
        <f aca="false">Activities!M1925</f>
        <v>10</v>
      </c>
      <c r="E4717" s="15" t="s">
        <v>5998</v>
      </c>
    </row>
    <row r="4718" customFormat="false" ht="15" hidden="false" customHeight="false" outlineLevel="0" collapsed="false">
      <c r="A4718" s="15" t="s">
        <v>5588</v>
      </c>
      <c r="B4718" s="15" t="s">
        <v>5589</v>
      </c>
      <c r="C4718" s="15" t="s">
        <v>5999</v>
      </c>
      <c r="D4718" s="34" t="n">
        <f aca="false">Activities!N1925</f>
        <v>2</v>
      </c>
      <c r="E4718" s="15" t="s">
        <v>5998</v>
      </c>
    </row>
    <row r="4719" customFormat="false" ht="15" hidden="false" customHeight="false" outlineLevel="0" collapsed="false">
      <c r="A4719" s="15" t="s">
        <v>5589</v>
      </c>
      <c r="B4719" s="15" t="s">
        <v>5590</v>
      </c>
      <c r="C4719" s="15" t="s">
        <v>5997</v>
      </c>
      <c r="D4719" s="34" t="n">
        <f aca="false">Activities!M1926</f>
        <v>1</v>
      </c>
      <c r="E4719" s="15" t="s">
        <v>5998</v>
      </c>
    </row>
    <row r="4720" customFormat="false" ht="15" hidden="false" customHeight="false" outlineLevel="0" collapsed="false">
      <c r="A4720" s="15" t="s">
        <v>5589</v>
      </c>
      <c r="B4720" s="15" t="s">
        <v>5590</v>
      </c>
      <c r="C4720" s="15" t="s">
        <v>5999</v>
      </c>
      <c r="D4720" s="34" t="n">
        <f aca="false">Activities!N1926</f>
        <v>2</v>
      </c>
      <c r="E4720" s="15" t="s">
        <v>5998</v>
      </c>
    </row>
    <row r="4721" customFormat="false" ht="15" hidden="false" customHeight="false" outlineLevel="0" collapsed="false">
      <c r="A4721" s="15" t="s">
        <v>5590</v>
      </c>
      <c r="B4721" s="15" t="s">
        <v>5591</v>
      </c>
      <c r="C4721" s="15" t="s">
        <v>5997</v>
      </c>
      <c r="D4721" s="34" t="n">
        <f aca="false">Activities!M1927</f>
        <v>3</v>
      </c>
      <c r="E4721" s="15" t="s">
        <v>5998</v>
      </c>
    </row>
    <row r="4722" customFormat="false" ht="15" hidden="false" customHeight="false" outlineLevel="0" collapsed="false">
      <c r="A4722" s="15" t="s">
        <v>5590</v>
      </c>
      <c r="B4722" s="15" t="s">
        <v>5591</v>
      </c>
      <c r="C4722" s="15" t="s">
        <v>5999</v>
      </c>
      <c r="D4722" s="34" t="n">
        <f aca="false">Activities!N1927</f>
        <v>2</v>
      </c>
      <c r="E4722" s="15" t="s">
        <v>5998</v>
      </c>
    </row>
    <row r="4723" customFormat="false" ht="15" hidden="false" customHeight="false" outlineLevel="0" collapsed="false">
      <c r="A4723" s="15" t="s">
        <v>5406</v>
      </c>
      <c r="B4723" s="15" t="s">
        <v>5591</v>
      </c>
      <c r="C4723" s="15" t="s">
        <v>5995</v>
      </c>
      <c r="D4723" s="34" t="n">
        <v>0</v>
      </c>
      <c r="E4723" s="15" t="s">
        <v>6001</v>
      </c>
    </row>
    <row r="4724" customFormat="false" ht="15" hidden="false" customHeight="false" outlineLevel="0" collapsed="false">
      <c r="A4724" s="15" t="s">
        <v>5591</v>
      </c>
      <c r="B4724" s="15" t="s">
        <v>5593</v>
      </c>
      <c r="C4724" s="15" t="s">
        <v>5997</v>
      </c>
      <c r="D4724" s="34" t="n">
        <f aca="false">Activities!M1928</f>
        <v>2</v>
      </c>
      <c r="E4724" s="15" t="s">
        <v>5998</v>
      </c>
    </row>
    <row r="4725" customFormat="false" ht="15" hidden="false" customHeight="false" outlineLevel="0" collapsed="false">
      <c r="A4725" s="15" t="s">
        <v>5591</v>
      </c>
      <c r="B4725" s="15" t="s">
        <v>5593</v>
      </c>
      <c r="C4725" s="15" t="s">
        <v>5999</v>
      </c>
      <c r="D4725" s="34" t="n">
        <f aca="false">Activities!N1928</f>
        <v>2</v>
      </c>
      <c r="E4725" s="15" t="s">
        <v>5998</v>
      </c>
    </row>
    <row r="4726" customFormat="false" ht="15" hidden="false" customHeight="false" outlineLevel="0" collapsed="false">
      <c r="A4726" s="15" t="s">
        <v>5593</v>
      </c>
      <c r="B4726" s="15" t="s">
        <v>5594</v>
      </c>
      <c r="C4726" s="15" t="s">
        <v>5997</v>
      </c>
      <c r="D4726" s="34" t="n">
        <f aca="false">Activities!M1929</f>
        <v>2</v>
      </c>
      <c r="E4726" s="15" t="s">
        <v>5998</v>
      </c>
    </row>
    <row r="4727" customFormat="false" ht="15" hidden="false" customHeight="false" outlineLevel="0" collapsed="false">
      <c r="A4727" s="15" t="s">
        <v>5593</v>
      </c>
      <c r="B4727" s="15" t="s">
        <v>5594</v>
      </c>
      <c r="C4727" s="15" t="s">
        <v>5999</v>
      </c>
      <c r="D4727" s="34" t="n">
        <f aca="false">Activities!N1929</f>
        <v>2</v>
      </c>
      <c r="E4727" s="15" t="s">
        <v>5998</v>
      </c>
    </row>
    <row r="4728" customFormat="false" ht="15" hidden="false" customHeight="false" outlineLevel="0" collapsed="false">
      <c r="A4728" s="15" t="s">
        <v>5594</v>
      </c>
      <c r="B4728" s="15" t="s">
        <v>5595</v>
      </c>
      <c r="C4728" s="15" t="s">
        <v>5997</v>
      </c>
      <c r="D4728" s="34" t="n">
        <f aca="false">Activities!M1930</f>
        <v>1</v>
      </c>
      <c r="E4728" s="15" t="s">
        <v>5998</v>
      </c>
    </row>
    <row r="4729" customFormat="false" ht="15" hidden="false" customHeight="false" outlineLevel="0" collapsed="false">
      <c r="A4729" s="15" t="s">
        <v>5594</v>
      </c>
      <c r="B4729" s="15" t="s">
        <v>5595</v>
      </c>
      <c r="C4729" s="15" t="s">
        <v>5999</v>
      </c>
      <c r="D4729" s="34" t="n">
        <f aca="false">Activities!N1930</f>
        <v>2</v>
      </c>
      <c r="E4729" s="15" t="s">
        <v>5998</v>
      </c>
    </row>
    <row r="4730" customFormat="false" ht="15" hidden="false" customHeight="false" outlineLevel="0" collapsed="false">
      <c r="A4730" s="15" t="s">
        <v>5596</v>
      </c>
      <c r="B4730" s="15" t="s">
        <v>5598</v>
      </c>
      <c r="C4730" s="15" t="s">
        <v>5995</v>
      </c>
      <c r="D4730" s="34" t="n">
        <v>0</v>
      </c>
      <c r="E4730" s="15" t="s">
        <v>5996</v>
      </c>
    </row>
    <row r="4731" customFormat="false" ht="15" hidden="false" customHeight="false" outlineLevel="0" collapsed="false">
      <c r="A4731" s="15" t="s">
        <v>5598</v>
      </c>
      <c r="B4731" s="15" t="s">
        <v>5599</v>
      </c>
      <c r="C4731" s="15" t="s">
        <v>5997</v>
      </c>
      <c r="D4731" s="34" t="n">
        <f aca="false">Activities!M1933</f>
        <v>1</v>
      </c>
      <c r="E4731" s="15" t="s">
        <v>5998</v>
      </c>
    </row>
    <row r="4732" customFormat="false" ht="15" hidden="false" customHeight="false" outlineLevel="0" collapsed="false">
      <c r="A4732" s="15" t="s">
        <v>5598</v>
      </c>
      <c r="B4732" s="15" t="s">
        <v>5599</v>
      </c>
      <c r="C4732" s="15" t="s">
        <v>5999</v>
      </c>
      <c r="D4732" s="34" t="n">
        <f aca="false">Activities!N1933</f>
        <v>2</v>
      </c>
      <c r="E4732" s="15" t="s">
        <v>5998</v>
      </c>
    </row>
    <row r="4733" customFormat="false" ht="15" hidden="false" customHeight="false" outlineLevel="0" collapsed="false">
      <c r="A4733" s="15" t="s">
        <v>5599</v>
      </c>
      <c r="B4733" s="15" t="s">
        <v>5600</v>
      </c>
      <c r="C4733" s="15" t="s">
        <v>5997</v>
      </c>
      <c r="D4733" s="34" t="n">
        <f aca="false">Activities!M1934</f>
        <v>1</v>
      </c>
      <c r="E4733" s="15" t="s">
        <v>5998</v>
      </c>
    </row>
    <row r="4734" customFormat="false" ht="15" hidden="false" customHeight="false" outlineLevel="0" collapsed="false">
      <c r="A4734" s="15" t="s">
        <v>5599</v>
      </c>
      <c r="B4734" s="15" t="s">
        <v>5600</v>
      </c>
      <c r="C4734" s="15" t="s">
        <v>5999</v>
      </c>
      <c r="D4734" s="34" t="n">
        <f aca="false">Activities!N1934</f>
        <v>2</v>
      </c>
      <c r="E4734" s="15" t="s">
        <v>5998</v>
      </c>
    </row>
    <row r="4735" customFormat="false" ht="15" hidden="false" customHeight="false" outlineLevel="0" collapsed="false">
      <c r="A4735" s="15" t="s">
        <v>5600</v>
      </c>
      <c r="B4735" s="15" t="s">
        <v>5601</v>
      </c>
      <c r="C4735" s="15" t="s">
        <v>5997</v>
      </c>
      <c r="D4735" s="34" t="n">
        <f aca="false">Activities!M1935</f>
        <v>1</v>
      </c>
      <c r="E4735" s="15" t="s">
        <v>5998</v>
      </c>
    </row>
    <row r="4736" customFormat="false" ht="15" hidden="false" customHeight="false" outlineLevel="0" collapsed="false">
      <c r="A4736" s="15" t="s">
        <v>5600</v>
      </c>
      <c r="B4736" s="15" t="s">
        <v>5601</v>
      </c>
      <c r="C4736" s="15" t="s">
        <v>5999</v>
      </c>
      <c r="D4736" s="34" t="n">
        <f aca="false">Activities!N1935</f>
        <v>2</v>
      </c>
      <c r="E4736" s="15" t="s">
        <v>5998</v>
      </c>
    </row>
    <row r="4737" customFormat="false" ht="15" hidden="false" customHeight="false" outlineLevel="0" collapsed="false">
      <c r="A4737" s="15" t="s">
        <v>5601</v>
      </c>
      <c r="B4737" s="15" t="s">
        <v>5602</v>
      </c>
      <c r="C4737" s="15" t="s">
        <v>5997</v>
      </c>
      <c r="D4737" s="34" t="n">
        <f aca="false">Activities!M1936</f>
        <v>10</v>
      </c>
      <c r="E4737" s="15" t="s">
        <v>5998</v>
      </c>
    </row>
    <row r="4738" customFormat="false" ht="15" hidden="false" customHeight="false" outlineLevel="0" collapsed="false">
      <c r="A4738" s="15" t="s">
        <v>5601</v>
      </c>
      <c r="B4738" s="15" t="s">
        <v>5602</v>
      </c>
      <c r="C4738" s="15" t="s">
        <v>5999</v>
      </c>
      <c r="D4738" s="34" t="n">
        <f aca="false">Activities!N1936</f>
        <v>2</v>
      </c>
      <c r="E4738" s="15" t="s">
        <v>5998</v>
      </c>
    </row>
    <row r="4739" customFormat="false" ht="15" hidden="false" customHeight="false" outlineLevel="0" collapsed="false">
      <c r="A4739" s="15" t="s">
        <v>5602</v>
      </c>
      <c r="B4739" s="15" t="s">
        <v>5603</v>
      </c>
      <c r="C4739" s="15" t="s">
        <v>5997</v>
      </c>
      <c r="D4739" s="34" t="n">
        <f aca="false">Activities!M1937</f>
        <v>1</v>
      </c>
      <c r="E4739" s="15" t="s">
        <v>5998</v>
      </c>
    </row>
    <row r="4740" customFormat="false" ht="15" hidden="false" customHeight="false" outlineLevel="0" collapsed="false">
      <c r="A4740" s="15" t="s">
        <v>5602</v>
      </c>
      <c r="B4740" s="15" t="s">
        <v>5603</v>
      </c>
      <c r="C4740" s="15" t="s">
        <v>5999</v>
      </c>
      <c r="D4740" s="34" t="n">
        <f aca="false">Activities!N1937</f>
        <v>2</v>
      </c>
      <c r="E4740" s="15" t="s">
        <v>5998</v>
      </c>
    </row>
    <row r="4741" customFormat="false" ht="15" hidden="false" customHeight="false" outlineLevel="0" collapsed="false">
      <c r="A4741" s="15" t="s">
        <v>5603</v>
      </c>
      <c r="B4741" s="15" t="s">
        <v>5604</v>
      </c>
      <c r="C4741" s="15" t="s">
        <v>5997</v>
      </c>
      <c r="D4741" s="34" t="n">
        <f aca="false">Activities!M1938</f>
        <v>2</v>
      </c>
      <c r="E4741" s="15" t="s">
        <v>5998</v>
      </c>
    </row>
    <row r="4742" customFormat="false" ht="15" hidden="false" customHeight="false" outlineLevel="0" collapsed="false">
      <c r="A4742" s="15" t="s">
        <v>5603</v>
      </c>
      <c r="B4742" s="15" t="s">
        <v>5604</v>
      </c>
      <c r="C4742" s="15" t="s">
        <v>5999</v>
      </c>
      <c r="D4742" s="34" t="n">
        <f aca="false">Activities!N1938</f>
        <v>2</v>
      </c>
      <c r="E4742" s="15" t="s">
        <v>5998</v>
      </c>
    </row>
    <row r="4743" customFormat="false" ht="15" hidden="false" customHeight="false" outlineLevel="0" collapsed="false">
      <c r="A4743" s="15" t="s">
        <v>5604</v>
      </c>
      <c r="B4743" s="15" t="s">
        <v>5605</v>
      </c>
      <c r="C4743" s="15" t="s">
        <v>5997</v>
      </c>
      <c r="D4743" s="34" t="n">
        <f aca="false">Activities!M1939</f>
        <v>2</v>
      </c>
      <c r="E4743" s="15" t="s">
        <v>5998</v>
      </c>
    </row>
    <row r="4744" customFormat="false" ht="15" hidden="false" customHeight="false" outlineLevel="0" collapsed="false">
      <c r="A4744" s="15" t="s">
        <v>5604</v>
      </c>
      <c r="B4744" s="15" t="s">
        <v>5605</v>
      </c>
      <c r="C4744" s="15" t="s">
        <v>5999</v>
      </c>
      <c r="D4744" s="34" t="n">
        <f aca="false">Activities!N1939</f>
        <v>2</v>
      </c>
      <c r="E4744" s="15" t="s">
        <v>5998</v>
      </c>
    </row>
    <row r="4745" customFormat="false" ht="15" hidden="false" customHeight="false" outlineLevel="0" collapsed="false">
      <c r="A4745" s="15" t="s">
        <v>5605</v>
      </c>
      <c r="B4745" s="15" t="s">
        <v>5606</v>
      </c>
      <c r="C4745" s="15" t="s">
        <v>5997</v>
      </c>
      <c r="D4745" s="34" t="n">
        <f aca="false">Activities!M1940</f>
        <v>2</v>
      </c>
      <c r="E4745" s="15" t="s">
        <v>5998</v>
      </c>
    </row>
    <row r="4746" customFormat="false" ht="15" hidden="false" customHeight="false" outlineLevel="0" collapsed="false">
      <c r="A4746" s="15" t="s">
        <v>5605</v>
      </c>
      <c r="B4746" s="15" t="s">
        <v>5606</v>
      </c>
      <c r="C4746" s="15" t="s">
        <v>5999</v>
      </c>
      <c r="D4746" s="34" t="n">
        <f aca="false">Activities!N1940</f>
        <v>2</v>
      </c>
      <c r="E4746" s="15" t="s">
        <v>5998</v>
      </c>
    </row>
    <row r="4747" customFormat="false" ht="15" hidden="false" customHeight="false" outlineLevel="0" collapsed="false">
      <c r="A4747" s="15" t="s">
        <v>5618</v>
      </c>
      <c r="B4747" s="15" t="s">
        <v>5606</v>
      </c>
      <c r="C4747" s="15" t="s">
        <v>5995</v>
      </c>
      <c r="D4747" s="34" t="n">
        <v>0</v>
      </c>
      <c r="E4747" s="15" t="s">
        <v>6005</v>
      </c>
    </row>
    <row r="4748" customFormat="false" ht="15" hidden="false" customHeight="false" outlineLevel="0" collapsed="false">
      <c r="A4748" s="15" t="s">
        <v>5632</v>
      </c>
      <c r="B4748" s="15" t="s">
        <v>5606</v>
      </c>
      <c r="C4748" s="15" t="s">
        <v>5995</v>
      </c>
      <c r="D4748" s="34" t="n">
        <v>0</v>
      </c>
      <c r="E4748" s="15" t="s">
        <v>6005</v>
      </c>
    </row>
    <row r="4749" customFormat="false" ht="15" hidden="false" customHeight="false" outlineLevel="0" collapsed="false">
      <c r="A4749" s="15" t="s">
        <v>5606</v>
      </c>
      <c r="B4749" s="15" t="s">
        <v>5608</v>
      </c>
      <c r="C4749" s="15" t="s">
        <v>5997</v>
      </c>
      <c r="D4749" s="34" t="n">
        <f aca="false">Activities!M1941</f>
        <v>1</v>
      </c>
      <c r="E4749" s="15" t="s">
        <v>5998</v>
      </c>
    </row>
    <row r="4750" customFormat="false" ht="15" hidden="false" customHeight="false" outlineLevel="0" collapsed="false">
      <c r="A4750" s="15" t="s">
        <v>5606</v>
      </c>
      <c r="B4750" s="15" t="s">
        <v>5608</v>
      </c>
      <c r="C4750" s="15" t="s">
        <v>5999</v>
      </c>
      <c r="D4750" s="34" t="n">
        <f aca="false">Activities!N1941</f>
        <v>2</v>
      </c>
      <c r="E4750" s="15" t="s">
        <v>5998</v>
      </c>
    </row>
    <row r="4751" customFormat="false" ht="15" hidden="false" customHeight="false" outlineLevel="0" collapsed="false">
      <c r="A4751" s="15" t="s">
        <v>5609</v>
      </c>
      <c r="B4751" s="15" t="s">
        <v>5611</v>
      </c>
      <c r="C4751" s="15" t="s">
        <v>5995</v>
      </c>
      <c r="D4751" s="34" t="n">
        <v>0</v>
      </c>
      <c r="E4751" s="15" t="s">
        <v>5996</v>
      </c>
    </row>
    <row r="4752" customFormat="false" ht="15" hidden="false" customHeight="false" outlineLevel="0" collapsed="false">
      <c r="A4752" s="15" t="s">
        <v>5611</v>
      </c>
      <c r="B4752" s="15" t="s">
        <v>5612</v>
      </c>
      <c r="C4752" s="15" t="s">
        <v>5997</v>
      </c>
      <c r="D4752" s="34" t="n">
        <f aca="false">Activities!M1944</f>
        <v>1</v>
      </c>
      <c r="E4752" s="15" t="s">
        <v>5998</v>
      </c>
    </row>
    <row r="4753" customFormat="false" ht="15" hidden="false" customHeight="false" outlineLevel="0" collapsed="false">
      <c r="A4753" s="15" t="s">
        <v>5611</v>
      </c>
      <c r="B4753" s="15" t="s">
        <v>5612</v>
      </c>
      <c r="C4753" s="15" t="s">
        <v>5999</v>
      </c>
      <c r="D4753" s="34" t="n">
        <f aca="false">Activities!N1944</f>
        <v>2</v>
      </c>
      <c r="E4753" s="15" t="s">
        <v>5998</v>
      </c>
    </row>
    <row r="4754" customFormat="false" ht="15" hidden="false" customHeight="false" outlineLevel="0" collapsed="false">
      <c r="A4754" s="15" t="s">
        <v>5612</v>
      </c>
      <c r="B4754" s="15" t="s">
        <v>5613</v>
      </c>
      <c r="C4754" s="15" t="s">
        <v>5997</v>
      </c>
      <c r="D4754" s="34" t="n">
        <f aca="false">Activities!M1945</f>
        <v>1</v>
      </c>
      <c r="E4754" s="15" t="s">
        <v>5998</v>
      </c>
    </row>
    <row r="4755" customFormat="false" ht="15" hidden="false" customHeight="false" outlineLevel="0" collapsed="false">
      <c r="A4755" s="15" t="s">
        <v>5612</v>
      </c>
      <c r="B4755" s="15" t="s">
        <v>5613</v>
      </c>
      <c r="C4755" s="15" t="s">
        <v>5999</v>
      </c>
      <c r="D4755" s="34" t="n">
        <f aca="false">Activities!N1945</f>
        <v>2</v>
      </c>
      <c r="E4755" s="15" t="s">
        <v>5998</v>
      </c>
    </row>
    <row r="4756" customFormat="false" ht="15" hidden="false" customHeight="false" outlineLevel="0" collapsed="false">
      <c r="A4756" s="15" t="s">
        <v>5613</v>
      </c>
      <c r="B4756" s="15" t="s">
        <v>5614</v>
      </c>
      <c r="C4756" s="15" t="s">
        <v>5997</v>
      </c>
      <c r="D4756" s="34" t="n">
        <f aca="false">Activities!M1946</f>
        <v>1</v>
      </c>
      <c r="E4756" s="15" t="s">
        <v>5998</v>
      </c>
    </row>
    <row r="4757" customFormat="false" ht="15" hidden="false" customHeight="false" outlineLevel="0" collapsed="false">
      <c r="A4757" s="15" t="s">
        <v>5613</v>
      </c>
      <c r="B4757" s="15" t="s">
        <v>5614</v>
      </c>
      <c r="C4757" s="15" t="s">
        <v>5999</v>
      </c>
      <c r="D4757" s="34" t="n">
        <f aca="false">Activities!N1946</f>
        <v>2</v>
      </c>
      <c r="E4757" s="15" t="s">
        <v>5998</v>
      </c>
    </row>
    <row r="4758" customFormat="false" ht="15" hidden="false" customHeight="false" outlineLevel="0" collapsed="false">
      <c r="A4758" s="15" t="s">
        <v>5614</v>
      </c>
      <c r="B4758" s="15" t="s">
        <v>5615</v>
      </c>
      <c r="C4758" s="15" t="s">
        <v>5997</v>
      </c>
      <c r="D4758" s="34" t="n">
        <f aca="false">Activities!M1947</f>
        <v>10</v>
      </c>
      <c r="E4758" s="15" t="s">
        <v>5998</v>
      </c>
    </row>
    <row r="4759" customFormat="false" ht="15" hidden="false" customHeight="false" outlineLevel="0" collapsed="false">
      <c r="A4759" s="15" t="s">
        <v>5614</v>
      </c>
      <c r="B4759" s="15" t="s">
        <v>5615</v>
      </c>
      <c r="C4759" s="15" t="s">
        <v>5999</v>
      </c>
      <c r="D4759" s="34" t="n">
        <f aca="false">Activities!N1947</f>
        <v>2</v>
      </c>
      <c r="E4759" s="15" t="s">
        <v>5998</v>
      </c>
    </row>
    <row r="4760" customFormat="false" ht="15" hidden="false" customHeight="false" outlineLevel="0" collapsed="false">
      <c r="A4760" s="15" t="s">
        <v>5602</v>
      </c>
      <c r="B4760" s="15" t="s">
        <v>5615</v>
      </c>
      <c r="C4760" s="15" t="s">
        <v>5997</v>
      </c>
      <c r="D4760" s="34" t="n">
        <v>0</v>
      </c>
      <c r="E4760" s="15" t="s">
        <v>6006</v>
      </c>
    </row>
    <row r="4761" customFormat="false" ht="15" hidden="false" customHeight="false" outlineLevel="0" collapsed="false">
      <c r="A4761" s="15" t="s">
        <v>5615</v>
      </c>
      <c r="B4761" s="15" t="s">
        <v>5617</v>
      </c>
      <c r="C4761" s="15" t="s">
        <v>5997</v>
      </c>
      <c r="D4761" s="34" t="n">
        <f aca="false">Activities!M1948</f>
        <v>1</v>
      </c>
      <c r="E4761" s="15" t="s">
        <v>5998</v>
      </c>
    </row>
    <row r="4762" customFormat="false" ht="15" hidden="false" customHeight="false" outlineLevel="0" collapsed="false">
      <c r="A4762" s="15" t="s">
        <v>5615</v>
      </c>
      <c r="B4762" s="15" t="s">
        <v>5617</v>
      </c>
      <c r="C4762" s="15" t="s">
        <v>5999</v>
      </c>
      <c r="D4762" s="34" t="n">
        <f aca="false">Activities!N1948</f>
        <v>2</v>
      </c>
      <c r="E4762" s="15" t="s">
        <v>5998</v>
      </c>
    </row>
    <row r="4763" customFormat="false" ht="15" hidden="false" customHeight="false" outlineLevel="0" collapsed="false">
      <c r="A4763" s="15" t="s">
        <v>5617</v>
      </c>
      <c r="B4763" s="15" t="s">
        <v>5618</v>
      </c>
      <c r="C4763" s="15" t="s">
        <v>5997</v>
      </c>
      <c r="D4763" s="34" t="n">
        <f aca="false">Activities!M1949</f>
        <v>2</v>
      </c>
      <c r="E4763" s="15" t="s">
        <v>5998</v>
      </c>
    </row>
    <row r="4764" customFormat="false" ht="15" hidden="false" customHeight="false" outlineLevel="0" collapsed="false">
      <c r="A4764" s="15" t="s">
        <v>5617</v>
      </c>
      <c r="B4764" s="15" t="s">
        <v>5618</v>
      </c>
      <c r="C4764" s="15" t="s">
        <v>5999</v>
      </c>
      <c r="D4764" s="34" t="n">
        <f aca="false">Activities!N1949</f>
        <v>2</v>
      </c>
      <c r="E4764" s="15" t="s">
        <v>5998</v>
      </c>
    </row>
    <row r="4765" customFormat="false" ht="15" hidden="false" customHeight="false" outlineLevel="0" collapsed="false">
      <c r="A4765" s="15" t="s">
        <v>5618</v>
      </c>
      <c r="B4765" s="15" t="s">
        <v>5619</v>
      </c>
      <c r="C4765" s="15" t="s">
        <v>5997</v>
      </c>
      <c r="D4765" s="34" t="n">
        <f aca="false">Activities!M1950</f>
        <v>2</v>
      </c>
      <c r="E4765" s="15" t="s">
        <v>5998</v>
      </c>
    </row>
    <row r="4766" customFormat="false" ht="15" hidden="false" customHeight="false" outlineLevel="0" collapsed="false">
      <c r="A4766" s="15" t="s">
        <v>5618</v>
      </c>
      <c r="B4766" s="15" t="s">
        <v>5619</v>
      </c>
      <c r="C4766" s="15" t="s">
        <v>5999</v>
      </c>
      <c r="D4766" s="34" t="n">
        <f aca="false">Activities!N1950</f>
        <v>2</v>
      </c>
      <c r="E4766" s="15" t="s">
        <v>5998</v>
      </c>
    </row>
    <row r="4767" customFormat="false" ht="15" hidden="false" customHeight="false" outlineLevel="0" collapsed="false">
      <c r="A4767" s="15" t="s">
        <v>5619</v>
      </c>
      <c r="B4767" s="15" t="s">
        <v>5620</v>
      </c>
      <c r="C4767" s="15" t="s">
        <v>5997</v>
      </c>
      <c r="D4767" s="34" t="n">
        <f aca="false">Activities!M1951</f>
        <v>2</v>
      </c>
      <c r="E4767" s="15" t="s">
        <v>5998</v>
      </c>
    </row>
    <row r="4768" customFormat="false" ht="15" hidden="false" customHeight="false" outlineLevel="0" collapsed="false">
      <c r="A4768" s="15" t="s">
        <v>5619</v>
      </c>
      <c r="B4768" s="15" t="s">
        <v>5620</v>
      </c>
      <c r="C4768" s="15" t="s">
        <v>5999</v>
      </c>
      <c r="D4768" s="34" t="n">
        <f aca="false">Activities!N1951</f>
        <v>2</v>
      </c>
      <c r="E4768" s="15" t="s">
        <v>5998</v>
      </c>
    </row>
    <row r="4769" customFormat="false" ht="15" hidden="false" customHeight="false" outlineLevel="0" collapsed="false">
      <c r="A4769" s="15" t="s">
        <v>5604</v>
      </c>
      <c r="B4769" s="15" t="s">
        <v>5620</v>
      </c>
      <c r="C4769" s="15" t="s">
        <v>5995</v>
      </c>
      <c r="D4769" s="34" t="n">
        <v>0</v>
      </c>
      <c r="E4769" s="15" t="s">
        <v>6005</v>
      </c>
    </row>
    <row r="4770" customFormat="false" ht="15" hidden="false" customHeight="false" outlineLevel="0" collapsed="false">
      <c r="A4770" s="15" t="s">
        <v>5632</v>
      </c>
      <c r="B4770" s="15" t="s">
        <v>5620</v>
      </c>
      <c r="C4770" s="15" t="s">
        <v>5995</v>
      </c>
      <c r="D4770" s="34" t="n">
        <v>0</v>
      </c>
      <c r="E4770" s="15" t="s">
        <v>6005</v>
      </c>
    </row>
    <row r="4771" customFormat="false" ht="15" hidden="false" customHeight="false" outlineLevel="0" collapsed="false">
      <c r="A4771" s="15" t="s">
        <v>5620</v>
      </c>
      <c r="B4771" s="15" t="s">
        <v>5622</v>
      </c>
      <c r="C4771" s="15" t="s">
        <v>5997</v>
      </c>
      <c r="D4771" s="34" t="n">
        <f aca="false">Activities!M1952</f>
        <v>1</v>
      </c>
      <c r="E4771" s="15" t="s">
        <v>5998</v>
      </c>
    </row>
    <row r="4772" customFormat="false" ht="15" hidden="false" customHeight="false" outlineLevel="0" collapsed="false">
      <c r="A4772" s="15" t="s">
        <v>5620</v>
      </c>
      <c r="B4772" s="15" t="s">
        <v>5622</v>
      </c>
      <c r="C4772" s="15" t="s">
        <v>5999</v>
      </c>
      <c r="D4772" s="34" t="n">
        <f aca="false">Activities!N1952</f>
        <v>2</v>
      </c>
      <c r="E4772" s="15" t="s">
        <v>5998</v>
      </c>
    </row>
    <row r="4773" customFormat="false" ht="15" hidden="false" customHeight="false" outlineLevel="0" collapsed="false">
      <c r="A4773" s="15" t="s">
        <v>5623</v>
      </c>
      <c r="B4773" s="15" t="s">
        <v>5625</v>
      </c>
      <c r="C4773" s="15" t="s">
        <v>5995</v>
      </c>
      <c r="D4773" s="34" t="n">
        <v>0</v>
      </c>
      <c r="E4773" s="15" t="s">
        <v>5996</v>
      </c>
    </row>
    <row r="4774" customFormat="false" ht="15" hidden="false" customHeight="false" outlineLevel="0" collapsed="false">
      <c r="A4774" s="15" t="s">
        <v>5625</v>
      </c>
      <c r="B4774" s="15" t="s">
        <v>5626</v>
      </c>
      <c r="C4774" s="15" t="s">
        <v>5997</v>
      </c>
      <c r="D4774" s="34" t="n">
        <f aca="false">Activities!M1955</f>
        <v>1</v>
      </c>
      <c r="E4774" s="15" t="s">
        <v>5998</v>
      </c>
    </row>
    <row r="4775" customFormat="false" ht="15" hidden="false" customHeight="false" outlineLevel="0" collapsed="false">
      <c r="A4775" s="15" t="s">
        <v>5625</v>
      </c>
      <c r="B4775" s="15" t="s">
        <v>5626</v>
      </c>
      <c r="C4775" s="15" t="s">
        <v>5999</v>
      </c>
      <c r="D4775" s="34" t="n">
        <f aca="false">Activities!N1955</f>
        <v>2</v>
      </c>
      <c r="E4775" s="15" t="s">
        <v>5998</v>
      </c>
    </row>
    <row r="4776" customFormat="false" ht="15" hidden="false" customHeight="false" outlineLevel="0" collapsed="false">
      <c r="A4776" s="15" t="s">
        <v>5626</v>
      </c>
      <c r="B4776" s="15" t="s">
        <v>5627</v>
      </c>
      <c r="C4776" s="15" t="s">
        <v>5997</v>
      </c>
      <c r="D4776" s="34" t="n">
        <f aca="false">Activities!M1956</f>
        <v>1</v>
      </c>
      <c r="E4776" s="15" t="s">
        <v>5998</v>
      </c>
    </row>
    <row r="4777" customFormat="false" ht="15" hidden="false" customHeight="false" outlineLevel="0" collapsed="false">
      <c r="A4777" s="15" t="s">
        <v>5626</v>
      </c>
      <c r="B4777" s="15" t="s">
        <v>5627</v>
      </c>
      <c r="C4777" s="15" t="s">
        <v>5999</v>
      </c>
      <c r="D4777" s="34" t="n">
        <f aca="false">Activities!N1956</f>
        <v>2</v>
      </c>
      <c r="E4777" s="15" t="s">
        <v>5998</v>
      </c>
    </row>
    <row r="4778" customFormat="false" ht="15" hidden="false" customHeight="false" outlineLevel="0" collapsed="false">
      <c r="A4778" s="15" t="s">
        <v>5627</v>
      </c>
      <c r="B4778" s="15" t="s">
        <v>5628</v>
      </c>
      <c r="C4778" s="15" t="s">
        <v>5997</v>
      </c>
      <c r="D4778" s="34" t="n">
        <f aca="false">Activities!M1957</f>
        <v>1</v>
      </c>
      <c r="E4778" s="15" t="s">
        <v>5998</v>
      </c>
    </row>
    <row r="4779" customFormat="false" ht="15" hidden="false" customHeight="false" outlineLevel="0" collapsed="false">
      <c r="A4779" s="15" t="s">
        <v>5627</v>
      </c>
      <c r="B4779" s="15" t="s">
        <v>5628</v>
      </c>
      <c r="C4779" s="15" t="s">
        <v>5999</v>
      </c>
      <c r="D4779" s="34" t="n">
        <f aca="false">Activities!N1957</f>
        <v>2</v>
      </c>
      <c r="E4779" s="15" t="s">
        <v>5998</v>
      </c>
    </row>
    <row r="4780" customFormat="false" ht="15" hidden="false" customHeight="false" outlineLevel="0" collapsed="false">
      <c r="A4780" s="15" t="s">
        <v>5628</v>
      </c>
      <c r="B4780" s="15" t="s">
        <v>5629</v>
      </c>
      <c r="C4780" s="15" t="s">
        <v>5997</v>
      </c>
      <c r="D4780" s="34" t="n">
        <f aca="false">Activities!M1958</f>
        <v>10</v>
      </c>
      <c r="E4780" s="15" t="s">
        <v>5998</v>
      </c>
    </row>
    <row r="4781" customFormat="false" ht="15" hidden="false" customHeight="false" outlineLevel="0" collapsed="false">
      <c r="A4781" s="15" t="s">
        <v>5628</v>
      </c>
      <c r="B4781" s="15" t="s">
        <v>5629</v>
      </c>
      <c r="C4781" s="15" t="s">
        <v>5999</v>
      </c>
      <c r="D4781" s="34" t="n">
        <f aca="false">Activities!N1958</f>
        <v>2</v>
      </c>
      <c r="E4781" s="15" t="s">
        <v>5998</v>
      </c>
    </row>
    <row r="4782" customFormat="false" ht="15" hidden="false" customHeight="false" outlineLevel="0" collapsed="false">
      <c r="A4782" s="15" t="s">
        <v>5602</v>
      </c>
      <c r="B4782" s="15" t="s">
        <v>5629</v>
      </c>
      <c r="C4782" s="15" t="s">
        <v>5997</v>
      </c>
      <c r="D4782" s="34" t="n">
        <v>0</v>
      </c>
      <c r="E4782" s="15" t="s">
        <v>6006</v>
      </c>
    </row>
    <row r="4783" customFormat="false" ht="15" hidden="false" customHeight="false" outlineLevel="0" collapsed="false">
      <c r="A4783" s="15" t="s">
        <v>5615</v>
      </c>
      <c r="B4783" s="15" t="s">
        <v>5629</v>
      </c>
      <c r="C4783" s="15" t="s">
        <v>5997</v>
      </c>
      <c r="D4783" s="34" t="n">
        <v>0</v>
      </c>
      <c r="E4783" s="15" t="s">
        <v>6006</v>
      </c>
    </row>
    <row r="4784" customFormat="false" ht="15" hidden="false" customHeight="false" outlineLevel="0" collapsed="false">
      <c r="A4784" s="15" t="s">
        <v>5629</v>
      </c>
      <c r="B4784" s="15" t="s">
        <v>5631</v>
      </c>
      <c r="C4784" s="15" t="s">
        <v>5997</v>
      </c>
      <c r="D4784" s="34" t="n">
        <f aca="false">Activities!M1959</f>
        <v>1</v>
      </c>
      <c r="E4784" s="15" t="s">
        <v>5998</v>
      </c>
    </row>
    <row r="4785" customFormat="false" ht="15" hidden="false" customHeight="false" outlineLevel="0" collapsed="false">
      <c r="A4785" s="15" t="s">
        <v>5629</v>
      </c>
      <c r="B4785" s="15" t="s">
        <v>5631</v>
      </c>
      <c r="C4785" s="15" t="s">
        <v>5999</v>
      </c>
      <c r="D4785" s="34" t="n">
        <f aca="false">Activities!N1959</f>
        <v>2</v>
      </c>
      <c r="E4785" s="15" t="s">
        <v>5998</v>
      </c>
    </row>
    <row r="4786" customFormat="false" ht="15" hidden="false" customHeight="false" outlineLevel="0" collapsed="false">
      <c r="A4786" s="15" t="s">
        <v>5631</v>
      </c>
      <c r="B4786" s="15" t="s">
        <v>5632</v>
      </c>
      <c r="C4786" s="15" t="s">
        <v>5997</v>
      </c>
      <c r="D4786" s="34" t="n">
        <f aca="false">Activities!M1960</f>
        <v>2</v>
      </c>
      <c r="E4786" s="15" t="s">
        <v>5998</v>
      </c>
    </row>
    <row r="4787" customFormat="false" ht="15" hidden="false" customHeight="false" outlineLevel="0" collapsed="false">
      <c r="A4787" s="15" t="s">
        <v>5631</v>
      </c>
      <c r="B4787" s="15" t="s">
        <v>5632</v>
      </c>
      <c r="C4787" s="15" t="s">
        <v>5999</v>
      </c>
      <c r="D4787" s="34" t="n">
        <f aca="false">Activities!N1960</f>
        <v>2</v>
      </c>
      <c r="E4787" s="15" t="s">
        <v>5998</v>
      </c>
    </row>
    <row r="4788" customFormat="false" ht="15" hidden="false" customHeight="false" outlineLevel="0" collapsed="false">
      <c r="A4788" s="15" t="s">
        <v>5632</v>
      </c>
      <c r="B4788" s="15" t="s">
        <v>5633</v>
      </c>
      <c r="C4788" s="15" t="s">
        <v>5997</v>
      </c>
      <c r="D4788" s="34" t="n">
        <f aca="false">Activities!M1961</f>
        <v>3</v>
      </c>
      <c r="E4788" s="15" t="s">
        <v>5998</v>
      </c>
    </row>
    <row r="4789" customFormat="false" ht="15" hidden="false" customHeight="false" outlineLevel="0" collapsed="false">
      <c r="A4789" s="15" t="s">
        <v>5632</v>
      </c>
      <c r="B4789" s="15" t="s">
        <v>5633</v>
      </c>
      <c r="C4789" s="15" t="s">
        <v>5999</v>
      </c>
      <c r="D4789" s="34" t="n">
        <f aca="false">Activities!N1961</f>
        <v>2</v>
      </c>
      <c r="E4789" s="15" t="s">
        <v>5998</v>
      </c>
    </row>
    <row r="4790" customFormat="false" ht="15" hidden="false" customHeight="false" outlineLevel="0" collapsed="false">
      <c r="A4790" s="15" t="s">
        <v>5633</v>
      </c>
      <c r="B4790" s="15" t="s">
        <v>5634</v>
      </c>
      <c r="C4790" s="15" t="s">
        <v>5997</v>
      </c>
      <c r="D4790" s="34" t="n">
        <f aca="false">Activities!M1962</f>
        <v>2</v>
      </c>
      <c r="E4790" s="15" t="s">
        <v>5998</v>
      </c>
    </row>
    <row r="4791" customFormat="false" ht="15" hidden="false" customHeight="false" outlineLevel="0" collapsed="false">
      <c r="A4791" s="15" t="s">
        <v>5633</v>
      </c>
      <c r="B4791" s="15" t="s">
        <v>5634</v>
      </c>
      <c r="C4791" s="15" t="s">
        <v>5999</v>
      </c>
      <c r="D4791" s="34" t="n">
        <f aca="false">Activities!N1962</f>
        <v>2</v>
      </c>
      <c r="E4791" s="15" t="s">
        <v>5998</v>
      </c>
    </row>
    <row r="4792" customFormat="false" ht="15" hidden="false" customHeight="false" outlineLevel="0" collapsed="false">
      <c r="A4792" s="15" t="s">
        <v>5604</v>
      </c>
      <c r="B4792" s="15" t="s">
        <v>5634</v>
      </c>
      <c r="C4792" s="15" t="s">
        <v>5995</v>
      </c>
      <c r="D4792" s="34" t="n">
        <v>0</v>
      </c>
      <c r="E4792" s="15" t="s">
        <v>6005</v>
      </c>
    </row>
    <row r="4793" customFormat="false" ht="15" hidden="false" customHeight="false" outlineLevel="0" collapsed="false">
      <c r="A4793" s="15" t="s">
        <v>5618</v>
      </c>
      <c r="B4793" s="15" t="s">
        <v>5634</v>
      </c>
      <c r="C4793" s="15" t="s">
        <v>5995</v>
      </c>
      <c r="D4793" s="34" t="n">
        <v>0</v>
      </c>
      <c r="E4793" s="15" t="s">
        <v>6005</v>
      </c>
    </row>
    <row r="4794" customFormat="false" ht="15" hidden="false" customHeight="false" outlineLevel="0" collapsed="false">
      <c r="A4794" s="15" t="s">
        <v>5634</v>
      </c>
      <c r="B4794" s="15" t="s">
        <v>5636</v>
      </c>
      <c r="C4794" s="15" t="s">
        <v>5997</v>
      </c>
      <c r="D4794" s="34" t="n">
        <f aca="false">Activities!M1963</f>
        <v>1</v>
      </c>
      <c r="E4794" s="15" t="s">
        <v>5998</v>
      </c>
    </row>
    <row r="4795" customFormat="false" ht="15" hidden="false" customHeight="false" outlineLevel="0" collapsed="false">
      <c r="A4795" s="15" t="s">
        <v>5634</v>
      </c>
      <c r="B4795" s="15" t="s">
        <v>5636</v>
      </c>
      <c r="C4795" s="15" t="s">
        <v>5999</v>
      </c>
      <c r="D4795" s="34" t="n">
        <f aca="false">Activities!N1963</f>
        <v>2</v>
      </c>
      <c r="E4795" s="15" t="s">
        <v>5998</v>
      </c>
    </row>
    <row r="4796" customFormat="false" ht="15" hidden="false" customHeight="false" outlineLevel="0" collapsed="false">
      <c r="A4796" s="15" t="s">
        <v>5637</v>
      </c>
      <c r="B4796" s="15" t="s">
        <v>5639</v>
      </c>
      <c r="C4796" s="15" t="s">
        <v>5995</v>
      </c>
      <c r="D4796" s="34" t="n">
        <v>0</v>
      </c>
      <c r="E4796" s="15" t="s">
        <v>5996</v>
      </c>
    </row>
    <row r="4797" customFormat="false" ht="15" hidden="false" customHeight="false" outlineLevel="0" collapsed="false">
      <c r="A4797" s="15" t="s">
        <v>5639</v>
      </c>
      <c r="B4797" s="15" t="s">
        <v>5640</v>
      </c>
      <c r="C4797" s="15" t="s">
        <v>5997</v>
      </c>
      <c r="D4797" s="34" t="n">
        <f aca="false">Activities!M1966</f>
        <v>1</v>
      </c>
      <c r="E4797" s="15" t="s">
        <v>5998</v>
      </c>
    </row>
    <row r="4798" customFormat="false" ht="15" hidden="false" customHeight="false" outlineLevel="0" collapsed="false">
      <c r="A4798" s="15" t="s">
        <v>5639</v>
      </c>
      <c r="B4798" s="15" t="s">
        <v>5640</v>
      </c>
      <c r="C4798" s="15" t="s">
        <v>5999</v>
      </c>
      <c r="D4798" s="34" t="n">
        <f aca="false">Activities!N1966</f>
        <v>2</v>
      </c>
      <c r="E4798" s="15" t="s">
        <v>5998</v>
      </c>
    </row>
    <row r="4799" customFormat="false" ht="15" hidden="false" customHeight="false" outlineLevel="0" collapsed="false">
      <c r="A4799" s="15" t="s">
        <v>5640</v>
      </c>
      <c r="B4799" s="15" t="s">
        <v>5641</v>
      </c>
      <c r="C4799" s="15" t="s">
        <v>5997</v>
      </c>
      <c r="D4799" s="34" t="n">
        <f aca="false">Activities!M1967</f>
        <v>2</v>
      </c>
      <c r="E4799" s="15" t="s">
        <v>5998</v>
      </c>
    </row>
    <row r="4800" customFormat="false" ht="15" hidden="false" customHeight="false" outlineLevel="0" collapsed="false">
      <c r="A4800" s="15" t="s">
        <v>5640</v>
      </c>
      <c r="B4800" s="15" t="s">
        <v>5641</v>
      </c>
      <c r="C4800" s="15" t="s">
        <v>5999</v>
      </c>
      <c r="D4800" s="34" t="n">
        <f aca="false">Activities!N1967</f>
        <v>2</v>
      </c>
      <c r="E4800" s="15" t="s">
        <v>5998</v>
      </c>
    </row>
    <row r="4801" customFormat="false" ht="15" hidden="false" customHeight="false" outlineLevel="0" collapsed="false">
      <c r="A4801" s="15" t="s">
        <v>5641</v>
      </c>
      <c r="B4801" s="15" t="s">
        <v>5642</v>
      </c>
      <c r="C4801" s="15" t="s">
        <v>5997</v>
      </c>
      <c r="D4801" s="34" t="n">
        <f aca="false">Activities!M1968</f>
        <v>1</v>
      </c>
      <c r="E4801" s="15" t="s">
        <v>5998</v>
      </c>
    </row>
    <row r="4802" customFormat="false" ht="15" hidden="false" customHeight="false" outlineLevel="0" collapsed="false">
      <c r="A4802" s="15" t="s">
        <v>5641</v>
      </c>
      <c r="B4802" s="15" t="s">
        <v>5642</v>
      </c>
      <c r="C4802" s="15" t="s">
        <v>5999</v>
      </c>
      <c r="D4802" s="34" t="n">
        <f aca="false">Activities!N1968</f>
        <v>2</v>
      </c>
      <c r="E4802" s="15" t="s">
        <v>5998</v>
      </c>
    </row>
    <row r="4803" customFormat="false" ht="15" hidden="false" customHeight="false" outlineLevel="0" collapsed="false">
      <c r="A4803" s="15" t="s">
        <v>5642</v>
      </c>
      <c r="B4803" s="15" t="s">
        <v>5643</v>
      </c>
      <c r="C4803" s="15" t="s">
        <v>5997</v>
      </c>
      <c r="D4803" s="34" t="n">
        <f aca="false">Activities!M1969</f>
        <v>10</v>
      </c>
      <c r="E4803" s="15" t="s">
        <v>5998</v>
      </c>
    </row>
    <row r="4804" customFormat="false" ht="15" hidden="false" customHeight="false" outlineLevel="0" collapsed="false">
      <c r="A4804" s="15" t="s">
        <v>5642</v>
      </c>
      <c r="B4804" s="15" t="s">
        <v>5643</v>
      </c>
      <c r="C4804" s="15" t="s">
        <v>5999</v>
      </c>
      <c r="D4804" s="34" t="n">
        <f aca="false">Activities!N1969</f>
        <v>2</v>
      </c>
      <c r="E4804" s="15" t="s">
        <v>5998</v>
      </c>
    </row>
    <row r="4805" customFormat="false" ht="15" hidden="false" customHeight="false" outlineLevel="0" collapsed="false">
      <c r="A4805" s="15" t="s">
        <v>5643</v>
      </c>
      <c r="B4805" s="15" t="s">
        <v>5644</v>
      </c>
      <c r="C4805" s="15" t="s">
        <v>5997</v>
      </c>
      <c r="D4805" s="34" t="n">
        <f aca="false">Activities!M1970</f>
        <v>1</v>
      </c>
      <c r="E4805" s="15" t="s">
        <v>5998</v>
      </c>
    </row>
    <row r="4806" customFormat="false" ht="15" hidden="false" customHeight="false" outlineLevel="0" collapsed="false">
      <c r="A4806" s="15" t="s">
        <v>5643</v>
      </c>
      <c r="B4806" s="15" t="s">
        <v>5644</v>
      </c>
      <c r="C4806" s="15" t="s">
        <v>5999</v>
      </c>
      <c r="D4806" s="34" t="n">
        <f aca="false">Activities!N1970</f>
        <v>2</v>
      </c>
      <c r="E4806" s="15" t="s">
        <v>5998</v>
      </c>
    </row>
    <row r="4807" customFormat="false" ht="15" hidden="false" customHeight="false" outlineLevel="0" collapsed="false">
      <c r="A4807" s="15" t="s">
        <v>5644</v>
      </c>
      <c r="B4807" s="15" t="s">
        <v>5645</v>
      </c>
      <c r="C4807" s="15" t="s">
        <v>5997</v>
      </c>
      <c r="D4807" s="34" t="n">
        <f aca="false">Activities!M1971</f>
        <v>3</v>
      </c>
      <c r="E4807" s="15" t="s">
        <v>5998</v>
      </c>
    </row>
    <row r="4808" customFormat="false" ht="15" hidden="false" customHeight="false" outlineLevel="0" collapsed="false">
      <c r="A4808" s="15" t="s">
        <v>5644</v>
      </c>
      <c r="B4808" s="15" t="s">
        <v>5645</v>
      </c>
      <c r="C4808" s="15" t="s">
        <v>5999</v>
      </c>
      <c r="D4808" s="34" t="n">
        <f aca="false">Activities!N1971</f>
        <v>2</v>
      </c>
      <c r="E4808" s="15" t="s">
        <v>5998</v>
      </c>
    </row>
    <row r="4809" customFormat="false" ht="15" hidden="false" customHeight="false" outlineLevel="0" collapsed="false">
      <c r="A4809" s="15" t="s">
        <v>5645</v>
      </c>
      <c r="B4809" s="15" t="s">
        <v>5646</v>
      </c>
      <c r="C4809" s="15" t="s">
        <v>5997</v>
      </c>
      <c r="D4809" s="34" t="n">
        <f aca="false">Activities!M1972</f>
        <v>2</v>
      </c>
      <c r="E4809" s="15" t="s">
        <v>5998</v>
      </c>
    </row>
    <row r="4810" customFormat="false" ht="15" hidden="false" customHeight="false" outlineLevel="0" collapsed="false">
      <c r="A4810" s="15" t="s">
        <v>5645</v>
      </c>
      <c r="B4810" s="15" t="s">
        <v>5646</v>
      </c>
      <c r="C4810" s="15" t="s">
        <v>5999</v>
      </c>
      <c r="D4810" s="34" t="n">
        <f aca="false">Activities!N1972</f>
        <v>2</v>
      </c>
      <c r="E4810" s="15" t="s">
        <v>5998</v>
      </c>
    </row>
    <row r="4811" customFormat="false" ht="15" hidden="false" customHeight="false" outlineLevel="0" collapsed="false">
      <c r="A4811" s="15" t="s">
        <v>5646</v>
      </c>
      <c r="B4811" s="15" t="s">
        <v>5647</v>
      </c>
      <c r="C4811" s="15" t="s">
        <v>5997</v>
      </c>
      <c r="D4811" s="34" t="n">
        <f aca="false">Activities!M1973</f>
        <v>2</v>
      </c>
      <c r="E4811" s="15" t="s">
        <v>5998</v>
      </c>
    </row>
    <row r="4812" customFormat="false" ht="15" hidden="false" customHeight="false" outlineLevel="0" collapsed="false">
      <c r="A4812" s="15" t="s">
        <v>5646</v>
      </c>
      <c r="B4812" s="15" t="s">
        <v>5647</v>
      </c>
      <c r="C4812" s="15" t="s">
        <v>5999</v>
      </c>
      <c r="D4812" s="34" t="n">
        <f aca="false">Activities!N1973</f>
        <v>2</v>
      </c>
      <c r="E4812" s="15" t="s">
        <v>5998</v>
      </c>
    </row>
    <row r="4813" customFormat="false" ht="15" hidden="false" customHeight="false" outlineLevel="0" collapsed="false">
      <c r="A4813" s="15" t="s">
        <v>5691</v>
      </c>
      <c r="B4813" s="15" t="s">
        <v>5647</v>
      </c>
      <c r="C4813" s="15" t="s">
        <v>5995</v>
      </c>
      <c r="D4813" s="34" t="n">
        <v>0</v>
      </c>
      <c r="E4813" s="15" t="s">
        <v>6005</v>
      </c>
    </row>
    <row r="4814" customFormat="false" ht="15" hidden="false" customHeight="false" outlineLevel="0" collapsed="false">
      <c r="A4814" s="15" t="s">
        <v>5675</v>
      </c>
      <c r="B4814" s="15" t="s">
        <v>5647</v>
      </c>
      <c r="C4814" s="15" t="s">
        <v>5995</v>
      </c>
      <c r="D4814" s="34" t="n">
        <v>0</v>
      </c>
      <c r="E4814" s="15" t="s">
        <v>6005</v>
      </c>
    </row>
    <row r="4815" customFormat="false" ht="15" hidden="false" customHeight="false" outlineLevel="0" collapsed="false">
      <c r="A4815" s="15" t="s">
        <v>5661</v>
      </c>
      <c r="B4815" s="15" t="s">
        <v>5647</v>
      </c>
      <c r="C4815" s="15" t="s">
        <v>5995</v>
      </c>
      <c r="D4815" s="34" t="n">
        <v>0</v>
      </c>
      <c r="E4815" s="15" t="s">
        <v>6005</v>
      </c>
    </row>
    <row r="4816" customFormat="false" ht="15" hidden="false" customHeight="false" outlineLevel="0" collapsed="false">
      <c r="A4816" s="15" t="s">
        <v>5647</v>
      </c>
      <c r="B4816" s="15" t="s">
        <v>5649</v>
      </c>
      <c r="C4816" s="15" t="s">
        <v>5997</v>
      </c>
      <c r="D4816" s="34" t="n">
        <f aca="false">Activities!M1974</f>
        <v>1</v>
      </c>
      <c r="E4816" s="15" t="s">
        <v>5998</v>
      </c>
    </row>
    <row r="4817" customFormat="false" ht="15" hidden="false" customHeight="false" outlineLevel="0" collapsed="false">
      <c r="A4817" s="15" t="s">
        <v>5647</v>
      </c>
      <c r="B4817" s="15" t="s">
        <v>5649</v>
      </c>
      <c r="C4817" s="15" t="s">
        <v>5999</v>
      </c>
      <c r="D4817" s="34" t="n">
        <f aca="false">Activities!N1974</f>
        <v>2</v>
      </c>
      <c r="E4817" s="15" t="s">
        <v>5998</v>
      </c>
    </row>
    <row r="4818" customFormat="false" ht="15" hidden="false" customHeight="false" outlineLevel="0" collapsed="false">
      <c r="A4818" s="15" t="s">
        <v>5650</v>
      </c>
      <c r="B4818" s="15" t="s">
        <v>5652</v>
      </c>
      <c r="C4818" s="15" t="s">
        <v>5995</v>
      </c>
      <c r="D4818" s="34" t="n">
        <v>0</v>
      </c>
      <c r="E4818" s="15" t="s">
        <v>5996</v>
      </c>
    </row>
    <row r="4819" customFormat="false" ht="15" hidden="false" customHeight="false" outlineLevel="0" collapsed="false">
      <c r="A4819" s="15" t="s">
        <v>5640</v>
      </c>
      <c r="B4819" s="15" t="s">
        <v>5652</v>
      </c>
      <c r="C4819" s="15" t="s">
        <v>5997</v>
      </c>
      <c r="D4819" s="34" t="n">
        <v>0</v>
      </c>
      <c r="E4819" s="15" t="s">
        <v>6002</v>
      </c>
    </row>
    <row r="4820" customFormat="false" ht="15" hidden="false" customHeight="false" outlineLevel="0" collapsed="false">
      <c r="A4820" s="15" t="s">
        <v>5652</v>
      </c>
      <c r="B4820" s="15" t="s">
        <v>5654</v>
      </c>
      <c r="C4820" s="15" t="s">
        <v>5997</v>
      </c>
      <c r="D4820" s="34" t="n">
        <f aca="false">Activities!M1977</f>
        <v>1</v>
      </c>
      <c r="E4820" s="15" t="s">
        <v>5998</v>
      </c>
    </row>
    <row r="4821" customFormat="false" ht="15" hidden="false" customHeight="false" outlineLevel="0" collapsed="false">
      <c r="A4821" s="15" t="s">
        <v>5652</v>
      </c>
      <c r="B4821" s="15" t="s">
        <v>5654</v>
      </c>
      <c r="C4821" s="15" t="s">
        <v>5999</v>
      </c>
      <c r="D4821" s="34" t="n">
        <f aca="false">Activities!N1977</f>
        <v>2</v>
      </c>
      <c r="E4821" s="15" t="s">
        <v>5998</v>
      </c>
    </row>
    <row r="4822" customFormat="false" ht="15" hidden="false" customHeight="false" outlineLevel="0" collapsed="false">
      <c r="A4822" s="15" t="s">
        <v>5640</v>
      </c>
      <c r="B4822" s="15" t="s">
        <v>5654</v>
      </c>
      <c r="C4822" s="15" t="s">
        <v>5995</v>
      </c>
      <c r="D4822" s="34" t="n">
        <v>0</v>
      </c>
      <c r="E4822" s="15" t="s">
        <v>6014</v>
      </c>
    </row>
    <row r="4823" customFormat="false" ht="15" hidden="false" customHeight="false" outlineLevel="0" collapsed="false">
      <c r="A4823" s="15" t="s">
        <v>5654</v>
      </c>
      <c r="B4823" s="15" t="s">
        <v>5655</v>
      </c>
      <c r="C4823" s="15" t="s">
        <v>5997</v>
      </c>
      <c r="D4823" s="34" t="n">
        <f aca="false">Activities!M1978</f>
        <v>1</v>
      </c>
      <c r="E4823" s="15" t="s">
        <v>5998</v>
      </c>
    </row>
    <row r="4824" customFormat="false" ht="15" hidden="false" customHeight="false" outlineLevel="0" collapsed="false">
      <c r="A4824" s="15" t="s">
        <v>5654</v>
      </c>
      <c r="B4824" s="15" t="s">
        <v>5655</v>
      </c>
      <c r="C4824" s="15" t="s">
        <v>5999</v>
      </c>
      <c r="D4824" s="34" t="n">
        <f aca="false">Activities!N1978</f>
        <v>2</v>
      </c>
      <c r="E4824" s="15" t="s">
        <v>5998</v>
      </c>
    </row>
    <row r="4825" customFormat="false" ht="15" hidden="false" customHeight="false" outlineLevel="0" collapsed="false">
      <c r="A4825" s="15" t="s">
        <v>5641</v>
      </c>
      <c r="B4825" s="15" t="s">
        <v>5655</v>
      </c>
      <c r="C4825" s="15" t="s">
        <v>5995</v>
      </c>
      <c r="D4825" s="34" t="n">
        <v>0</v>
      </c>
      <c r="E4825" s="15" t="s">
        <v>6014</v>
      </c>
    </row>
    <row r="4826" customFormat="false" ht="15" hidden="false" customHeight="false" outlineLevel="0" collapsed="false">
      <c r="A4826" s="15" t="s">
        <v>5655</v>
      </c>
      <c r="B4826" s="15" t="s">
        <v>5656</v>
      </c>
      <c r="C4826" s="15" t="s">
        <v>5997</v>
      </c>
      <c r="D4826" s="34" t="n">
        <f aca="false">Activities!M1979</f>
        <v>1</v>
      </c>
      <c r="E4826" s="15" t="s">
        <v>5998</v>
      </c>
    </row>
    <row r="4827" customFormat="false" ht="15" hidden="false" customHeight="false" outlineLevel="0" collapsed="false">
      <c r="A4827" s="15" t="s">
        <v>5655</v>
      </c>
      <c r="B4827" s="15" t="s">
        <v>5656</v>
      </c>
      <c r="C4827" s="15" t="s">
        <v>5999</v>
      </c>
      <c r="D4827" s="34" t="n">
        <f aca="false">Activities!N1979</f>
        <v>2</v>
      </c>
      <c r="E4827" s="15" t="s">
        <v>5998</v>
      </c>
    </row>
    <row r="4828" customFormat="false" ht="15" hidden="false" customHeight="false" outlineLevel="0" collapsed="false">
      <c r="A4828" s="15" t="s">
        <v>5643</v>
      </c>
      <c r="B4828" s="15" t="s">
        <v>5656</v>
      </c>
      <c r="C4828" s="15" t="s">
        <v>5995</v>
      </c>
      <c r="D4828" s="34" t="n">
        <f aca="false">-Activities!K1979</f>
        <v>-10</v>
      </c>
      <c r="E4828" s="15" t="s">
        <v>6004</v>
      </c>
    </row>
    <row r="4829" customFormat="false" ht="15" hidden="false" customHeight="false" outlineLevel="0" collapsed="false">
      <c r="A4829" s="15" t="s">
        <v>5656</v>
      </c>
      <c r="B4829" s="15" t="s">
        <v>5658</v>
      </c>
      <c r="C4829" s="15" t="s">
        <v>5997</v>
      </c>
      <c r="D4829" s="34" t="n">
        <f aca="false">Activities!M1980</f>
        <v>10</v>
      </c>
      <c r="E4829" s="15" t="s">
        <v>5998</v>
      </c>
    </row>
    <row r="4830" customFormat="false" ht="15" hidden="false" customHeight="false" outlineLevel="0" collapsed="false">
      <c r="A4830" s="15" t="s">
        <v>5656</v>
      </c>
      <c r="B4830" s="15" t="s">
        <v>5658</v>
      </c>
      <c r="C4830" s="15" t="s">
        <v>5999</v>
      </c>
      <c r="D4830" s="34" t="n">
        <f aca="false">Activities!N1980</f>
        <v>2</v>
      </c>
      <c r="E4830" s="15" t="s">
        <v>5998</v>
      </c>
    </row>
    <row r="4831" customFormat="false" ht="15" hidden="false" customHeight="false" outlineLevel="0" collapsed="false">
      <c r="A4831" s="15" t="s">
        <v>5643</v>
      </c>
      <c r="B4831" s="15" t="s">
        <v>5658</v>
      </c>
      <c r="C4831" s="15" t="s">
        <v>5995</v>
      </c>
      <c r="D4831" s="34" t="n">
        <v>0</v>
      </c>
      <c r="E4831" s="15" t="s">
        <v>6014</v>
      </c>
    </row>
    <row r="4832" customFormat="false" ht="15" hidden="false" customHeight="false" outlineLevel="0" collapsed="false">
      <c r="A4832" s="15" t="s">
        <v>5643</v>
      </c>
      <c r="B4832" s="15" t="s">
        <v>5658</v>
      </c>
      <c r="C4832" s="15" t="s">
        <v>5997</v>
      </c>
      <c r="D4832" s="34" t="n">
        <v>0</v>
      </c>
      <c r="E4832" s="15" t="s">
        <v>6006</v>
      </c>
    </row>
    <row r="4833" customFormat="false" ht="15" hidden="false" customHeight="false" outlineLevel="0" collapsed="false">
      <c r="A4833" s="15" t="s">
        <v>5658</v>
      </c>
      <c r="B4833" s="15" t="s">
        <v>5660</v>
      </c>
      <c r="C4833" s="15" t="s">
        <v>5997</v>
      </c>
      <c r="D4833" s="34" t="n">
        <f aca="false">Activities!M1981</f>
        <v>1</v>
      </c>
      <c r="E4833" s="15" t="s">
        <v>5998</v>
      </c>
    </row>
    <row r="4834" customFormat="false" ht="15" hidden="false" customHeight="false" outlineLevel="0" collapsed="false">
      <c r="A4834" s="15" t="s">
        <v>5658</v>
      </c>
      <c r="B4834" s="15" t="s">
        <v>5660</v>
      </c>
      <c r="C4834" s="15" t="s">
        <v>5999</v>
      </c>
      <c r="D4834" s="34" t="n">
        <f aca="false">Activities!N1981</f>
        <v>2</v>
      </c>
      <c r="E4834" s="15" t="s">
        <v>5998</v>
      </c>
    </row>
    <row r="4835" customFormat="false" ht="15" hidden="false" customHeight="false" outlineLevel="0" collapsed="false">
      <c r="A4835" s="15" t="s">
        <v>5644</v>
      </c>
      <c r="B4835" s="15" t="s">
        <v>5660</v>
      </c>
      <c r="C4835" s="15" t="s">
        <v>5995</v>
      </c>
      <c r="D4835" s="34" t="n">
        <v>0</v>
      </c>
      <c r="E4835" s="15" t="s">
        <v>6014</v>
      </c>
    </row>
    <row r="4836" customFormat="false" ht="15" hidden="false" customHeight="false" outlineLevel="0" collapsed="false">
      <c r="A4836" s="15" t="s">
        <v>5660</v>
      </c>
      <c r="B4836" s="15" t="s">
        <v>5661</v>
      </c>
      <c r="C4836" s="15" t="s">
        <v>5997</v>
      </c>
      <c r="D4836" s="34" t="n">
        <f aca="false">Activities!M1982</f>
        <v>2</v>
      </c>
      <c r="E4836" s="15" t="s">
        <v>5998</v>
      </c>
    </row>
    <row r="4837" customFormat="false" ht="15" hidden="false" customHeight="false" outlineLevel="0" collapsed="false">
      <c r="A4837" s="15" t="s">
        <v>5660</v>
      </c>
      <c r="B4837" s="15" t="s">
        <v>5661</v>
      </c>
      <c r="C4837" s="15" t="s">
        <v>5999</v>
      </c>
      <c r="D4837" s="34" t="n">
        <f aca="false">Activities!N1982</f>
        <v>2</v>
      </c>
      <c r="E4837" s="15" t="s">
        <v>5998</v>
      </c>
    </row>
    <row r="4838" customFormat="false" ht="15" hidden="false" customHeight="false" outlineLevel="0" collapsed="false">
      <c r="A4838" s="15" t="s">
        <v>5645</v>
      </c>
      <c r="B4838" s="15" t="s">
        <v>5661</v>
      </c>
      <c r="C4838" s="15" t="s">
        <v>5995</v>
      </c>
      <c r="D4838" s="34" t="n">
        <v>0</v>
      </c>
      <c r="E4838" s="15" t="s">
        <v>6014</v>
      </c>
    </row>
    <row r="4839" customFormat="false" ht="15" hidden="false" customHeight="false" outlineLevel="0" collapsed="false">
      <c r="A4839" s="15" t="s">
        <v>5661</v>
      </c>
      <c r="B4839" s="15" t="s">
        <v>5662</v>
      </c>
      <c r="C4839" s="15" t="s">
        <v>5997</v>
      </c>
      <c r="D4839" s="34" t="n">
        <f aca="false">Activities!M1983</f>
        <v>1</v>
      </c>
      <c r="E4839" s="15" t="s">
        <v>5998</v>
      </c>
    </row>
    <row r="4840" customFormat="false" ht="15" hidden="false" customHeight="false" outlineLevel="0" collapsed="false">
      <c r="A4840" s="15" t="s">
        <v>5661</v>
      </c>
      <c r="B4840" s="15" t="s">
        <v>5662</v>
      </c>
      <c r="C4840" s="15" t="s">
        <v>5999</v>
      </c>
      <c r="D4840" s="34" t="n">
        <f aca="false">Activities!N1983</f>
        <v>2</v>
      </c>
      <c r="E4840" s="15" t="s">
        <v>5998</v>
      </c>
    </row>
    <row r="4841" customFormat="false" ht="15" hidden="false" customHeight="false" outlineLevel="0" collapsed="false">
      <c r="A4841" s="15" t="s">
        <v>5662</v>
      </c>
      <c r="B4841" s="15" t="s">
        <v>5663</v>
      </c>
      <c r="C4841" s="15" t="s">
        <v>5997</v>
      </c>
      <c r="D4841" s="34" t="n">
        <f aca="false">Activities!M1984</f>
        <v>2</v>
      </c>
      <c r="E4841" s="15" t="s">
        <v>5998</v>
      </c>
    </row>
    <row r="4842" customFormat="false" ht="15" hidden="false" customHeight="false" outlineLevel="0" collapsed="false">
      <c r="A4842" s="15" t="s">
        <v>5662</v>
      </c>
      <c r="B4842" s="15" t="s">
        <v>5663</v>
      </c>
      <c r="C4842" s="15" t="s">
        <v>5999</v>
      </c>
      <c r="D4842" s="34" t="n">
        <f aca="false">Activities!N1984</f>
        <v>2</v>
      </c>
      <c r="E4842" s="15" t="s">
        <v>5998</v>
      </c>
    </row>
    <row r="4843" customFormat="false" ht="15" hidden="false" customHeight="false" outlineLevel="0" collapsed="false">
      <c r="A4843" s="15" t="s">
        <v>5647</v>
      </c>
      <c r="B4843" s="15" t="s">
        <v>5663</v>
      </c>
      <c r="C4843" s="15" t="s">
        <v>5995</v>
      </c>
      <c r="D4843" s="34" t="n">
        <v>0</v>
      </c>
      <c r="E4843" s="15" t="s">
        <v>6014</v>
      </c>
    </row>
    <row r="4844" customFormat="false" ht="15" hidden="false" customHeight="false" outlineLevel="0" collapsed="false">
      <c r="A4844" s="15" t="s">
        <v>5645</v>
      </c>
      <c r="B4844" s="15" t="s">
        <v>5663</v>
      </c>
      <c r="C4844" s="15" t="s">
        <v>5995</v>
      </c>
      <c r="D4844" s="34" t="n">
        <v>0</v>
      </c>
      <c r="E4844" s="15" t="s">
        <v>6005</v>
      </c>
    </row>
    <row r="4845" customFormat="false" ht="15" hidden="false" customHeight="false" outlineLevel="0" collapsed="false">
      <c r="A4845" s="15" t="s">
        <v>5707</v>
      </c>
      <c r="B4845" s="15" t="s">
        <v>5663</v>
      </c>
      <c r="C4845" s="15" t="s">
        <v>5995</v>
      </c>
      <c r="D4845" s="34" t="n">
        <v>0</v>
      </c>
      <c r="E4845" s="15" t="s">
        <v>6005</v>
      </c>
    </row>
    <row r="4846" customFormat="false" ht="15" hidden="false" customHeight="false" outlineLevel="0" collapsed="false">
      <c r="A4846" s="15" t="s">
        <v>5663</v>
      </c>
      <c r="B4846" s="15" t="s">
        <v>5665</v>
      </c>
      <c r="C4846" s="15" t="s">
        <v>5997</v>
      </c>
      <c r="D4846" s="34" t="n">
        <f aca="false">Activities!M1985</f>
        <v>1</v>
      </c>
      <c r="E4846" s="15" t="s">
        <v>5998</v>
      </c>
    </row>
    <row r="4847" customFormat="false" ht="15" hidden="false" customHeight="false" outlineLevel="0" collapsed="false">
      <c r="A4847" s="15" t="s">
        <v>5663</v>
      </c>
      <c r="B4847" s="15" t="s">
        <v>5665</v>
      </c>
      <c r="C4847" s="15" t="s">
        <v>5999</v>
      </c>
      <c r="D4847" s="34" t="n">
        <f aca="false">Activities!N1985</f>
        <v>2</v>
      </c>
      <c r="E4847" s="15" t="s">
        <v>5998</v>
      </c>
    </row>
    <row r="4848" customFormat="false" ht="15" hidden="false" customHeight="false" outlineLevel="0" collapsed="false">
      <c r="A4848" s="15" t="s">
        <v>5666</v>
      </c>
      <c r="B4848" s="15" t="s">
        <v>5668</v>
      </c>
      <c r="C4848" s="15" t="s">
        <v>5995</v>
      </c>
      <c r="D4848" s="34" t="n">
        <v>0</v>
      </c>
      <c r="E4848" s="15" t="s">
        <v>5996</v>
      </c>
    </row>
    <row r="4849" customFormat="false" ht="15" hidden="false" customHeight="false" outlineLevel="0" collapsed="false">
      <c r="A4849" s="15" t="s">
        <v>5654</v>
      </c>
      <c r="B4849" s="15" t="s">
        <v>5668</v>
      </c>
      <c r="C4849" s="15" t="s">
        <v>5997</v>
      </c>
      <c r="D4849" s="34" t="n">
        <v>0</v>
      </c>
      <c r="E4849" s="15" t="s">
        <v>6000</v>
      </c>
    </row>
    <row r="4850" customFormat="false" ht="15" hidden="false" customHeight="false" outlineLevel="0" collapsed="false">
      <c r="A4850" s="15" t="s">
        <v>5668</v>
      </c>
      <c r="B4850" s="15" t="s">
        <v>5670</v>
      </c>
      <c r="C4850" s="15" t="s">
        <v>5997</v>
      </c>
      <c r="D4850" s="34" t="n">
        <f aca="false">Activities!M1988</f>
        <v>1</v>
      </c>
      <c r="E4850" s="15" t="s">
        <v>5998</v>
      </c>
    </row>
    <row r="4851" customFormat="false" ht="15" hidden="false" customHeight="false" outlineLevel="0" collapsed="false">
      <c r="A4851" s="15" t="s">
        <v>5668</v>
      </c>
      <c r="B4851" s="15" t="s">
        <v>5670</v>
      </c>
      <c r="C4851" s="15" t="s">
        <v>5999</v>
      </c>
      <c r="D4851" s="34" t="n">
        <f aca="false">Activities!N1988</f>
        <v>2</v>
      </c>
      <c r="E4851" s="15" t="s">
        <v>5998</v>
      </c>
    </row>
    <row r="4852" customFormat="false" ht="15" hidden="false" customHeight="false" outlineLevel="0" collapsed="false">
      <c r="A4852" s="15" t="s">
        <v>5670</v>
      </c>
      <c r="B4852" s="15" t="s">
        <v>5671</v>
      </c>
      <c r="C4852" s="15" t="s">
        <v>5997</v>
      </c>
      <c r="D4852" s="34" t="n">
        <f aca="false">Activities!M1989</f>
        <v>1</v>
      </c>
      <c r="E4852" s="15" t="s">
        <v>5998</v>
      </c>
    </row>
    <row r="4853" customFormat="false" ht="15" hidden="false" customHeight="false" outlineLevel="0" collapsed="false">
      <c r="A4853" s="15" t="s">
        <v>5670</v>
      </c>
      <c r="B4853" s="15" t="s">
        <v>5671</v>
      </c>
      <c r="C4853" s="15" t="s">
        <v>5999</v>
      </c>
      <c r="D4853" s="34" t="n">
        <f aca="false">Activities!N1989</f>
        <v>2</v>
      </c>
      <c r="E4853" s="15" t="s">
        <v>5998</v>
      </c>
    </row>
    <row r="4854" customFormat="false" ht="15" hidden="false" customHeight="false" outlineLevel="0" collapsed="false">
      <c r="A4854" s="15" t="s">
        <v>5671</v>
      </c>
      <c r="B4854" s="15" t="s">
        <v>5672</v>
      </c>
      <c r="C4854" s="15" t="s">
        <v>5997</v>
      </c>
      <c r="D4854" s="34" t="n">
        <f aca="false">Activities!M1990</f>
        <v>1</v>
      </c>
      <c r="E4854" s="15" t="s">
        <v>5998</v>
      </c>
    </row>
    <row r="4855" customFormat="false" ht="15" hidden="false" customHeight="false" outlineLevel="0" collapsed="false">
      <c r="A4855" s="15" t="s">
        <v>5671</v>
      </c>
      <c r="B4855" s="15" t="s">
        <v>5672</v>
      </c>
      <c r="C4855" s="15" t="s">
        <v>5999</v>
      </c>
      <c r="D4855" s="34" t="n">
        <f aca="false">Activities!N1990</f>
        <v>2</v>
      </c>
      <c r="E4855" s="15" t="s">
        <v>5998</v>
      </c>
    </row>
    <row r="4856" customFormat="false" ht="15" hidden="false" customHeight="false" outlineLevel="0" collapsed="false">
      <c r="A4856" s="15" t="s">
        <v>5672</v>
      </c>
      <c r="B4856" s="15" t="s">
        <v>5673</v>
      </c>
      <c r="C4856" s="15" t="s">
        <v>5997</v>
      </c>
      <c r="D4856" s="34" t="n">
        <f aca="false">Activities!M1991</f>
        <v>10</v>
      </c>
      <c r="E4856" s="15" t="s">
        <v>5998</v>
      </c>
    </row>
    <row r="4857" customFormat="false" ht="15" hidden="false" customHeight="false" outlineLevel="0" collapsed="false">
      <c r="A4857" s="15" t="s">
        <v>5672</v>
      </c>
      <c r="B4857" s="15" t="s">
        <v>5673</v>
      </c>
      <c r="C4857" s="15" t="s">
        <v>5999</v>
      </c>
      <c r="D4857" s="34" t="n">
        <f aca="false">Activities!N1991</f>
        <v>2</v>
      </c>
      <c r="E4857" s="15" t="s">
        <v>5998</v>
      </c>
    </row>
    <row r="4858" customFormat="false" ht="15" hidden="false" customHeight="false" outlineLevel="0" collapsed="false">
      <c r="A4858" s="15" t="s">
        <v>5643</v>
      </c>
      <c r="B4858" s="15" t="s">
        <v>5673</v>
      </c>
      <c r="C4858" s="15" t="s">
        <v>5997</v>
      </c>
      <c r="D4858" s="34" t="n">
        <v>0</v>
      </c>
      <c r="E4858" s="15" t="s">
        <v>6006</v>
      </c>
    </row>
    <row r="4859" customFormat="false" ht="15" hidden="false" customHeight="false" outlineLevel="0" collapsed="false">
      <c r="A4859" s="15" t="s">
        <v>5673</v>
      </c>
      <c r="B4859" s="15" t="s">
        <v>5674</v>
      </c>
      <c r="C4859" s="15" t="s">
        <v>5997</v>
      </c>
      <c r="D4859" s="34" t="n">
        <f aca="false">Activities!M1992</f>
        <v>1</v>
      </c>
      <c r="E4859" s="15" t="s">
        <v>5998</v>
      </c>
    </row>
    <row r="4860" customFormat="false" ht="15" hidden="false" customHeight="false" outlineLevel="0" collapsed="false">
      <c r="A4860" s="15" t="s">
        <v>5673</v>
      </c>
      <c r="B4860" s="15" t="s">
        <v>5674</v>
      </c>
      <c r="C4860" s="15" t="s">
        <v>5999</v>
      </c>
      <c r="D4860" s="34" t="n">
        <f aca="false">Activities!N1992</f>
        <v>2</v>
      </c>
      <c r="E4860" s="15" t="s">
        <v>5998</v>
      </c>
    </row>
    <row r="4861" customFormat="false" ht="15" hidden="false" customHeight="false" outlineLevel="0" collapsed="false">
      <c r="A4861" s="15" t="s">
        <v>5674</v>
      </c>
      <c r="B4861" s="15" t="s">
        <v>5675</v>
      </c>
      <c r="C4861" s="15" t="s">
        <v>5997</v>
      </c>
      <c r="D4861" s="34" t="n">
        <f aca="false">Activities!M1993</f>
        <v>2</v>
      </c>
      <c r="E4861" s="15" t="s">
        <v>5998</v>
      </c>
    </row>
    <row r="4862" customFormat="false" ht="15" hidden="false" customHeight="false" outlineLevel="0" collapsed="false">
      <c r="A4862" s="15" t="s">
        <v>5674</v>
      </c>
      <c r="B4862" s="15" t="s">
        <v>5675</v>
      </c>
      <c r="C4862" s="15" t="s">
        <v>5999</v>
      </c>
      <c r="D4862" s="34" t="n">
        <f aca="false">Activities!N1993</f>
        <v>2</v>
      </c>
      <c r="E4862" s="15" t="s">
        <v>5998</v>
      </c>
    </row>
    <row r="4863" customFormat="false" ht="15" hidden="false" customHeight="false" outlineLevel="0" collapsed="false">
      <c r="A4863" s="15" t="s">
        <v>5661</v>
      </c>
      <c r="B4863" s="15" t="s">
        <v>5675</v>
      </c>
      <c r="C4863" s="15" t="s">
        <v>5995</v>
      </c>
      <c r="D4863" s="34" t="n">
        <v>0</v>
      </c>
      <c r="E4863" s="15" t="s">
        <v>6001</v>
      </c>
    </row>
    <row r="4864" customFormat="false" ht="15" hidden="false" customHeight="false" outlineLevel="0" collapsed="false">
      <c r="A4864" s="15" t="s">
        <v>5675</v>
      </c>
      <c r="B4864" s="15" t="s">
        <v>5677</v>
      </c>
      <c r="C4864" s="15" t="s">
        <v>5997</v>
      </c>
      <c r="D4864" s="34" t="n">
        <f aca="false">Activities!M1994</f>
        <v>2</v>
      </c>
      <c r="E4864" s="15" t="s">
        <v>5998</v>
      </c>
    </row>
    <row r="4865" customFormat="false" ht="15" hidden="false" customHeight="false" outlineLevel="0" collapsed="false">
      <c r="A4865" s="15" t="s">
        <v>5675</v>
      </c>
      <c r="B4865" s="15" t="s">
        <v>5677</v>
      </c>
      <c r="C4865" s="15" t="s">
        <v>5999</v>
      </c>
      <c r="D4865" s="34" t="n">
        <f aca="false">Activities!N1994</f>
        <v>2</v>
      </c>
      <c r="E4865" s="15" t="s">
        <v>5998</v>
      </c>
    </row>
    <row r="4866" customFormat="false" ht="15" hidden="false" customHeight="false" outlineLevel="0" collapsed="false">
      <c r="A4866" s="15" t="s">
        <v>5677</v>
      </c>
      <c r="B4866" s="15" t="s">
        <v>5678</v>
      </c>
      <c r="C4866" s="15" t="s">
        <v>5997</v>
      </c>
      <c r="D4866" s="34" t="n">
        <f aca="false">Activities!M1995</f>
        <v>2</v>
      </c>
      <c r="E4866" s="15" t="s">
        <v>5998</v>
      </c>
    </row>
    <row r="4867" customFormat="false" ht="15" hidden="false" customHeight="false" outlineLevel="0" collapsed="false">
      <c r="A4867" s="15" t="s">
        <v>5677</v>
      </c>
      <c r="B4867" s="15" t="s">
        <v>5678</v>
      </c>
      <c r="C4867" s="15" t="s">
        <v>5999</v>
      </c>
      <c r="D4867" s="34" t="n">
        <f aca="false">Activities!N1995</f>
        <v>2</v>
      </c>
      <c r="E4867" s="15" t="s">
        <v>5998</v>
      </c>
    </row>
    <row r="4868" customFormat="false" ht="15" hidden="false" customHeight="false" outlineLevel="0" collapsed="false">
      <c r="A4868" s="15" t="s">
        <v>5645</v>
      </c>
      <c r="B4868" s="15" t="s">
        <v>5678</v>
      </c>
      <c r="C4868" s="15" t="s">
        <v>5995</v>
      </c>
      <c r="D4868" s="34" t="n">
        <v>0</v>
      </c>
      <c r="E4868" s="15" t="s">
        <v>6005</v>
      </c>
    </row>
    <row r="4869" customFormat="false" ht="15" hidden="false" customHeight="false" outlineLevel="0" collapsed="false">
      <c r="A4869" s="15" t="s">
        <v>5678</v>
      </c>
      <c r="B4869" s="15" t="s">
        <v>5680</v>
      </c>
      <c r="C4869" s="15" t="s">
        <v>5997</v>
      </c>
      <c r="D4869" s="34" t="n">
        <f aca="false">Activities!M1996</f>
        <v>1</v>
      </c>
      <c r="E4869" s="15" t="s">
        <v>5998</v>
      </c>
    </row>
    <row r="4870" customFormat="false" ht="15" hidden="false" customHeight="false" outlineLevel="0" collapsed="false">
      <c r="A4870" s="15" t="s">
        <v>5678</v>
      </c>
      <c r="B4870" s="15" t="s">
        <v>5680</v>
      </c>
      <c r="C4870" s="15" t="s">
        <v>5999</v>
      </c>
      <c r="D4870" s="34" t="n">
        <f aca="false">Activities!N1996</f>
        <v>2</v>
      </c>
      <c r="E4870" s="15" t="s">
        <v>5998</v>
      </c>
    </row>
    <row r="4871" customFormat="false" ht="15" hidden="false" customHeight="false" outlineLevel="0" collapsed="false">
      <c r="A4871" s="15" t="s">
        <v>5681</v>
      </c>
      <c r="B4871" s="15" t="s">
        <v>5683</v>
      </c>
      <c r="C4871" s="15" t="s">
        <v>5995</v>
      </c>
      <c r="D4871" s="34" t="n">
        <v>0</v>
      </c>
      <c r="E4871" s="15" t="s">
        <v>5996</v>
      </c>
    </row>
    <row r="4872" customFormat="false" ht="15" hidden="false" customHeight="false" outlineLevel="0" collapsed="false">
      <c r="A4872" s="15" t="s">
        <v>5654</v>
      </c>
      <c r="B4872" s="15" t="s">
        <v>5683</v>
      </c>
      <c r="C4872" s="15" t="s">
        <v>5997</v>
      </c>
      <c r="D4872" s="34" t="n">
        <v>0</v>
      </c>
      <c r="E4872" s="15" t="s">
        <v>6002</v>
      </c>
    </row>
    <row r="4873" customFormat="false" ht="15" hidden="false" customHeight="false" outlineLevel="0" collapsed="false">
      <c r="A4873" s="15" t="s">
        <v>5683</v>
      </c>
      <c r="B4873" s="15" t="s">
        <v>5685</v>
      </c>
      <c r="C4873" s="15" t="s">
        <v>5997</v>
      </c>
      <c r="D4873" s="34" t="n">
        <f aca="false">Activities!M1999</f>
        <v>1</v>
      </c>
      <c r="E4873" s="15" t="s">
        <v>5998</v>
      </c>
    </row>
    <row r="4874" customFormat="false" ht="15" hidden="false" customHeight="false" outlineLevel="0" collapsed="false">
      <c r="A4874" s="15" t="s">
        <v>5683</v>
      </c>
      <c r="B4874" s="15" t="s">
        <v>5685</v>
      </c>
      <c r="C4874" s="15" t="s">
        <v>5999</v>
      </c>
      <c r="D4874" s="34" t="n">
        <f aca="false">Activities!N1999</f>
        <v>2</v>
      </c>
      <c r="E4874" s="15" t="s">
        <v>5998</v>
      </c>
    </row>
    <row r="4875" customFormat="false" ht="15" hidden="false" customHeight="false" outlineLevel="0" collapsed="false">
      <c r="A4875" s="15" t="s">
        <v>5654</v>
      </c>
      <c r="B4875" s="15" t="s">
        <v>5685</v>
      </c>
      <c r="C4875" s="15" t="s">
        <v>5995</v>
      </c>
      <c r="D4875" s="34" t="n">
        <v>0</v>
      </c>
      <c r="E4875" s="15" t="s">
        <v>6014</v>
      </c>
    </row>
    <row r="4876" customFormat="false" ht="15" hidden="false" customHeight="false" outlineLevel="0" collapsed="false">
      <c r="A4876" s="15" t="s">
        <v>5685</v>
      </c>
      <c r="B4876" s="15" t="s">
        <v>5686</v>
      </c>
      <c r="C4876" s="15" t="s">
        <v>5997</v>
      </c>
      <c r="D4876" s="34" t="n">
        <f aca="false">Activities!M2000</f>
        <v>2</v>
      </c>
      <c r="E4876" s="15" t="s">
        <v>5998</v>
      </c>
    </row>
    <row r="4877" customFormat="false" ht="15" hidden="false" customHeight="false" outlineLevel="0" collapsed="false">
      <c r="A4877" s="15" t="s">
        <v>5685</v>
      </c>
      <c r="B4877" s="15" t="s">
        <v>5686</v>
      </c>
      <c r="C4877" s="15" t="s">
        <v>5999</v>
      </c>
      <c r="D4877" s="34" t="n">
        <f aca="false">Activities!N2000</f>
        <v>2</v>
      </c>
      <c r="E4877" s="15" t="s">
        <v>5998</v>
      </c>
    </row>
    <row r="4878" customFormat="false" ht="15" hidden="false" customHeight="false" outlineLevel="0" collapsed="false">
      <c r="A4878" s="15" t="s">
        <v>5655</v>
      </c>
      <c r="B4878" s="15" t="s">
        <v>5686</v>
      </c>
      <c r="C4878" s="15" t="s">
        <v>5995</v>
      </c>
      <c r="D4878" s="34" t="n">
        <v>0</v>
      </c>
      <c r="E4878" s="15" t="s">
        <v>6014</v>
      </c>
    </row>
    <row r="4879" customFormat="false" ht="15" hidden="false" customHeight="false" outlineLevel="0" collapsed="false">
      <c r="A4879" s="15" t="s">
        <v>5686</v>
      </c>
      <c r="B4879" s="15" t="s">
        <v>5687</v>
      </c>
      <c r="C4879" s="15" t="s">
        <v>5997</v>
      </c>
      <c r="D4879" s="34" t="n">
        <f aca="false">Activities!M2001</f>
        <v>2</v>
      </c>
      <c r="E4879" s="15" t="s">
        <v>5998</v>
      </c>
    </row>
    <row r="4880" customFormat="false" ht="15" hidden="false" customHeight="false" outlineLevel="0" collapsed="false">
      <c r="A4880" s="15" t="s">
        <v>5686</v>
      </c>
      <c r="B4880" s="15" t="s">
        <v>5687</v>
      </c>
      <c r="C4880" s="15" t="s">
        <v>5999</v>
      </c>
      <c r="D4880" s="34" t="n">
        <f aca="false">Activities!N2001</f>
        <v>2</v>
      </c>
      <c r="E4880" s="15" t="s">
        <v>5998</v>
      </c>
    </row>
    <row r="4881" customFormat="false" ht="15" hidden="false" customHeight="false" outlineLevel="0" collapsed="false">
      <c r="A4881" s="15" t="s">
        <v>5658</v>
      </c>
      <c r="B4881" s="15" t="s">
        <v>5687</v>
      </c>
      <c r="C4881" s="15" t="s">
        <v>5995</v>
      </c>
      <c r="D4881" s="34" t="n">
        <f aca="false">-Activities!K2001</f>
        <v>-11</v>
      </c>
      <c r="E4881" s="15" t="s">
        <v>6004</v>
      </c>
    </row>
    <row r="4882" customFormat="false" ht="15" hidden="false" customHeight="false" outlineLevel="0" collapsed="false">
      <c r="A4882" s="15" t="s">
        <v>5687</v>
      </c>
      <c r="B4882" s="15" t="s">
        <v>5689</v>
      </c>
      <c r="C4882" s="15" t="s">
        <v>5997</v>
      </c>
      <c r="D4882" s="34" t="n">
        <f aca="false">Activities!M2002</f>
        <v>10</v>
      </c>
      <c r="E4882" s="15" t="s">
        <v>5998</v>
      </c>
    </row>
    <row r="4883" customFormat="false" ht="15" hidden="false" customHeight="false" outlineLevel="0" collapsed="false">
      <c r="A4883" s="15" t="s">
        <v>5687</v>
      </c>
      <c r="B4883" s="15" t="s">
        <v>5689</v>
      </c>
      <c r="C4883" s="15" t="s">
        <v>5999</v>
      </c>
      <c r="D4883" s="34" t="n">
        <f aca="false">Activities!N2002</f>
        <v>2</v>
      </c>
      <c r="E4883" s="15" t="s">
        <v>5998</v>
      </c>
    </row>
    <row r="4884" customFormat="false" ht="15" hidden="false" customHeight="false" outlineLevel="0" collapsed="false">
      <c r="A4884" s="15" t="s">
        <v>5658</v>
      </c>
      <c r="B4884" s="15" t="s">
        <v>5689</v>
      </c>
      <c r="C4884" s="15" t="s">
        <v>5995</v>
      </c>
      <c r="D4884" s="34" t="n">
        <v>0</v>
      </c>
      <c r="E4884" s="15" t="s">
        <v>6014</v>
      </c>
    </row>
    <row r="4885" customFormat="false" ht="15" hidden="false" customHeight="false" outlineLevel="0" collapsed="false">
      <c r="A4885" s="15" t="s">
        <v>5643</v>
      </c>
      <c r="B4885" s="15" t="s">
        <v>5689</v>
      </c>
      <c r="C4885" s="15" t="s">
        <v>5997</v>
      </c>
      <c r="D4885" s="34" t="n">
        <v>0</v>
      </c>
      <c r="E4885" s="15" t="s">
        <v>6006</v>
      </c>
    </row>
    <row r="4886" customFormat="false" ht="15" hidden="false" customHeight="false" outlineLevel="0" collapsed="false">
      <c r="A4886" s="15" t="s">
        <v>5689</v>
      </c>
      <c r="B4886" s="15" t="s">
        <v>5690</v>
      </c>
      <c r="C4886" s="15" t="s">
        <v>5997</v>
      </c>
      <c r="D4886" s="34" t="n">
        <f aca="false">Activities!M2003</f>
        <v>1</v>
      </c>
      <c r="E4886" s="15" t="s">
        <v>5998</v>
      </c>
    </row>
    <row r="4887" customFormat="false" ht="15" hidden="false" customHeight="false" outlineLevel="0" collapsed="false">
      <c r="A4887" s="15" t="s">
        <v>5689</v>
      </c>
      <c r="B4887" s="15" t="s">
        <v>5690</v>
      </c>
      <c r="C4887" s="15" t="s">
        <v>5999</v>
      </c>
      <c r="D4887" s="34" t="n">
        <f aca="false">Activities!N2003</f>
        <v>2</v>
      </c>
      <c r="E4887" s="15" t="s">
        <v>5998</v>
      </c>
    </row>
    <row r="4888" customFormat="false" ht="15" hidden="false" customHeight="false" outlineLevel="0" collapsed="false">
      <c r="A4888" s="15" t="s">
        <v>5660</v>
      </c>
      <c r="B4888" s="15" t="s">
        <v>5690</v>
      </c>
      <c r="C4888" s="15" t="s">
        <v>5995</v>
      </c>
      <c r="D4888" s="34" t="n">
        <v>0</v>
      </c>
      <c r="E4888" s="15" t="s">
        <v>6014</v>
      </c>
    </row>
    <row r="4889" customFormat="false" ht="15" hidden="false" customHeight="false" outlineLevel="0" collapsed="false">
      <c r="A4889" s="15" t="s">
        <v>5690</v>
      </c>
      <c r="B4889" s="15" t="s">
        <v>5691</v>
      </c>
      <c r="C4889" s="15" t="s">
        <v>5997</v>
      </c>
      <c r="D4889" s="34" t="n">
        <f aca="false">Activities!M2004</f>
        <v>3</v>
      </c>
      <c r="E4889" s="15" t="s">
        <v>5998</v>
      </c>
    </row>
    <row r="4890" customFormat="false" ht="15" hidden="false" customHeight="false" outlineLevel="0" collapsed="false">
      <c r="A4890" s="15" t="s">
        <v>5690</v>
      </c>
      <c r="B4890" s="15" t="s">
        <v>5691</v>
      </c>
      <c r="C4890" s="15" t="s">
        <v>5999</v>
      </c>
      <c r="D4890" s="34" t="n">
        <f aca="false">Activities!N2004</f>
        <v>2</v>
      </c>
      <c r="E4890" s="15" t="s">
        <v>5998</v>
      </c>
    </row>
    <row r="4891" customFormat="false" ht="15" hidden="false" customHeight="false" outlineLevel="0" collapsed="false">
      <c r="A4891" s="15" t="s">
        <v>5661</v>
      </c>
      <c r="B4891" s="15" t="s">
        <v>5691</v>
      </c>
      <c r="C4891" s="15" t="s">
        <v>5995</v>
      </c>
      <c r="D4891" s="34" t="n">
        <v>0</v>
      </c>
      <c r="E4891" s="15" t="s">
        <v>6014</v>
      </c>
    </row>
    <row r="4892" customFormat="false" ht="15" hidden="false" customHeight="false" outlineLevel="0" collapsed="false">
      <c r="A4892" s="15" t="s">
        <v>5691</v>
      </c>
      <c r="B4892" s="15" t="s">
        <v>5692</v>
      </c>
      <c r="C4892" s="15" t="s">
        <v>5997</v>
      </c>
      <c r="D4892" s="34" t="n">
        <f aca="false">Activities!M2005</f>
        <v>2</v>
      </c>
      <c r="E4892" s="15" t="s">
        <v>5998</v>
      </c>
    </row>
    <row r="4893" customFormat="false" ht="15" hidden="false" customHeight="false" outlineLevel="0" collapsed="false">
      <c r="A4893" s="15" t="s">
        <v>5691</v>
      </c>
      <c r="B4893" s="15" t="s">
        <v>5692</v>
      </c>
      <c r="C4893" s="15" t="s">
        <v>5999</v>
      </c>
      <c r="D4893" s="34" t="n">
        <f aca="false">Activities!N2005</f>
        <v>2</v>
      </c>
      <c r="E4893" s="15" t="s">
        <v>5998</v>
      </c>
    </row>
    <row r="4894" customFormat="false" ht="15" hidden="false" customHeight="false" outlineLevel="0" collapsed="false">
      <c r="A4894" s="15" t="s">
        <v>5692</v>
      </c>
      <c r="B4894" s="15" t="s">
        <v>5693</v>
      </c>
      <c r="C4894" s="15" t="s">
        <v>5997</v>
      </c>
      <c r="D4894" s="34" t="n">
        <f aca="false">Activities!M2006</f>
        <v>2</v>
      </c>
      <c r="E4894" s="15" t="s">
        <v>5998</v>
      </c>
    </row>
    <row r="4895" customFormat="false" ht="15" hidden="false" customHeight="false" outlineLevel="0" collapsed="false">
      <c r="A4895" s="15" t="s">
        <v>5692</v>
      </c>
      <c r="B4895" s="15" t="s">
        <v>5693</v>
      </c>
      <c r="C4895" s="15" t="s">
        <v>5999</v>
      </c>
      <c r="D4895" s="34" t="n">
        <f aca="false">Activities!N2006</f>
        <v>2</v>
      </c>
      <c r="E4895" s="15" t="s">
        <v>5998</v>
      </c>
    </row>
    <row r="4896" customFormat="false" ht="15" hidden="false" customHeight="false" outlineLevel="0" collapsed="false">
      <c r="A4896" s="15" t="s">
        <v>5663</v>
      </c>
      <c r="B4896" s="15" t="s">
        <v>5693</v>
      </c>
      <c r="C4896" s="15" t="s">
        <v>5995</v>
      </c>
      <c r="D4896" s="34" t="n">
        <v>0</v>
      </c>
      <c r="E4896" s="15" t="s">
        <v>6014</v>
      </c>
    </row>
    <row r="4897" customFormat="false" ht="15" hidden="false" customHeight="false" outlineLevel="0" collapsed="false">
      <c r="A4897" s="15" t="s">
        <v>5645</v>
      </c>
      <c r="B4897" s="15" t="s">
        <v>5693</v>
      </c>
      <c r="C4897" s="15" t="s">
        <v>5995</v>
      </c>
      <c r="D4897" s="34" t="n">
        <v>0</v>
      </c>
      <c r="E4897" s="15" t="s">
        <v>6005</v>
      </c>
    </row>
    <row r="4898" customFormat="false" ht="15" hidden="false" customHeight="false" outlineLevel="0" collapsed="false">
      <c r="A4898" s="15" t="s">
        <v>5707</v>
      </c>
      <c r="B4898" s="15" t="s">
        <v>5693</v>
      </c>
      <c r="C4898" s="15" t="s">
        <v>5995</v>
      </c>
      <c r="D4898" s="34" t="n">
        <v>0</v>
      </c>
      <c r="E4898" s="15" t="s">
        <v>6005</v>
      </c>
    </row>
    <row r="4899" customFormat="false" ht="15" hidden="false" customHeight="false" outlineLevel="0" collapsed="false">
      <c r="A4899" s="15" t="s">
        <v>5875</v>
      </c>
      <c r="B4899" s="15" t="s">
        <v>5693</v>
      </c>
      <c r="C4899" s="15" t="s">
        <v>5995</v>
      </c>
      <c r="D4899" s="34" t="n">
        <v>0</v>
      </c>
      <c r="E4899" s="15" t="s">
        <v>6005</v>
      </c>
    </row>
    <row r="4900" customFormat="false" ht="15" hidden="false" customHeight="false" outlineLevel="0" collapsed="false">
      <c r="A4900" s="15" t="s">
        <v>5693</v>
      </c>
      <c r="B4900" s="15" t="s">
        <v>5695</v>
      </c>
      <c r="C4900" s="15" t="s">
        <v>5997</v>
      </c>
      <c r="D4900" s="34" t="n">
        <f aca="false">Activities!M2007</f>
        <v>1</v>
      </c>
      <c r="E4900" s="15" t="s">
        <v>5998</v>
      </c>
    </row>
    <row r="4901" customFormat="false" ht="15" hidden="false" customHeight="false" outlineLevel="0" collapsed="false">
      <c r="A4901" s="15" t="s">
        <v>5693</v>
      </c>
      <c r="B4901" s="15" t="s">
        <v>5695</v>
      </c>
      <c r="C4901" s="15" t="s">
        <v>5999</v>
      </c>
      <c r="D4901" s="34" t="n">
        <f aca="false">Activities!N2007</f>
        <v>2</v>
      </c>
      <c r="E4901" s="15" t="s">
        <v>5998</v>
      </c>
    </row>
    <row r="4902" customFormat="false" ht="15" hidden="false" customHeight="false" outlineLevel="0" collapsed="false">
      <c r="A4902" s="15" t="s">
        <v>5696</v>
      </c>
      <c r="B4902" s="15" t="s">
        <v>5698</v>
      </c>
      <c r="C4902" s="15" t="s">
        <v>5995</v>
      </c>
      <c r="D4902" s="34" t="n">
        <v>0</v>
      </c>
      <c r="E4902" s="15" t="s">
        <v>5996</v>
      </c>
    </row>
    <row r="4903" customFormat="false" ht="15" hidden="false" customHeight="false" outlineLevel="0" collapsed="false">
      <c r="A4903" s="15" t="s">
        <v>5685</v>
      </c>
      <c r="B4903" s="15" t="s">
        <v>5698</v>
      </c>
      <c r="C4903" s="15" t="s">
        <v>5997</v>
      </c>
      <c r="D4903" s="34" t="n">
        <v>0</v>
      </c>
      <c r="E4903" s="15" t="s">
        <v>6002</v>
      </c>
    </row>
    <row r="4904" customFormat="false" ht="15" hidden="false" customHeight="false" outlineLevel="0" collapsed="false">
      <c r="A4904" s="15" t="s">
        <v>5698</v>
      </c>
      <c r="B4904" s="15" t="s">
        <v>5700</v>
      </c>
      <c r="C4904" s="15" t="s">
        <v>5997</v>
      </c>
      <c r="D4904" s="34" t="n">
        <f aca="false">Activities!M2010</f>
        <v>1</v>
      </c>
      <c r="E4904" s="15" t="s">
        <v>5998</v>
      </c>
    </row>
    <row r="4905" customFormat="false" ht="15" hidden="false" customHeight="false" outlineLevel="0" collapsed="false">
      <c r="A4905" s="15" t="s">
        <v>5698</v>
      </c>
      <c r="B4905" s="15" t="s">
        <v>5700</v>
      </c>
      <c r="C4905" s="15" t="s">
        <v>5999</v>
      </c>
      <c r="D4905" s="34" t="n">
        <f aca="false">Activities!N2010</f>
        <v>2</v>
      </c>
      <c r="E4905" s="15" t="s">
        <v>5998</v>
      </c>
    </row>
    <row r="4906" customFormat="false" ht="15" hidden="false" customHeight="false" outlineLevel="0" collapsed="false">
      <c r="A4906" s="15" t="s">
        <v>5685</v>
      </c>
      <c r="B4906" s="15" t="s">
        <v>5700</v>
      </c>
      <c r="C4906" s="15" t="s">
        <v>5995</v>
      </c>
      <c r="D4906" s="34" t="n">
        <v>0</v>
      </c>
      <c r="E4906" s="15" t="s">
        <v>6014</v>
      </c>
    </row>
    <row r="4907" customFormat="false" ht="15" hidden="false" customHeight="false" outlineLevel="0" collapsed="false">
      <c r="A4907" s="15" t="s">
        <v>5700</v>
      </c>
      <c r="B4907" s="15" t="s">
        <v>5701</v>
      </c>
      <c r="C4907" s="15" t="s">
        <v>5997</v>
      </c>
      <c r="D4907" s="34" t="n">
        <f aca="false">Activities!M2011</f>
        <v>2</v>
      </c>
      <c r="E4907" s="15" t="s">
        <v>5998</v>
      </c>
    </row>
    <row r="4908" customFormat="false" ht="15" hidden="false" customHeight="false" outlineLevel="0" collapsed="false">
      <c r="A4908" s="15" t="s">
        <v>5700</v>
      </c>
      <c r="B4908" s="15" t="s">
        <v>5701</v>
      </c>
      <c r="C4908" s="15" t="s">
        <v>5999</v>
      </c>
      <c r="D4908" s="34" t="n">
        <f aca="false">Activities!N2011</f>
        <v>2</v>
      </c>
      <c r="E4908" s="15" t="s">
        <v>5998</v>
      </c>
    </row>
    <row r="4909" customFormat="false" ht="15" hidden="false" customHeight="false" outlineLevel="0" collapsed="false">
      <c r="A4909" s="15" t="s">
        <v>5686</v>
      </c>
      <c r="B4909" s="15" t="s">
        <v>5701</v>
      </c>
      <c r="C4909" s="15" t="s">
        <v>5995</v>
      </c>
      <c r="D4909" s="34" t="n">
        <v>0</v>
      </c>
      <c r="E4909" s="15" t="s">
        <v>6014</v>
      </c>
    </row>
    <row r="4910" customFormat="false" ht="15" hidden="false" customHeight="false" outlineLevel="0" collapsed="false">
      <c r="A4910" s="15" t="s">
        <v>5701</v>
      </c>
      <c r="B4910" s="15" t="s">
        <v>5702</v>
      </c>
      <c r="C4910" s="15" t="s">
        <v>5997</v>
      </c>
      <c r="D4910" s="34" t="n">
        <f aca="false">Activities!M2012</f>
        <v>1</v>
      </c>
      <c r="E4910" s="15" t="s">
        <v>5998</v>
      </c>
    </row>
    <row r="4911" customFormat="false" ht="15" hidden="false" customHeight="false" outlineLevel="0" collapsed="false">
      <c r="A4911" s="15" t="s">
        <v>5701</v>
      </c>
      <c r="B4911" s="15" t="s">
        <v>5702</v>
      </c>
      <c r="C4911" s="15" t="s">
        <v>5999</v>
      </c>
      <c r="D4911" s="34" t="n">
        <f aca="false">Activities!N2012</f>
        <v>2</v>
      </c>
      <c r="E4911" s="15" t="s">
        <v>5998</v>
      </c>
    </row>
    <row r="4912" customFormat="false" ht="15" hidden="false" customHeight="false" outlineLevel="0" collapsed="false">
      <c r="A4912" s="15" t="s">
        <v>5689</v>
      </c>
      <c r="B4912" s="15" t="s">
        <v>5702</v>
      </c>
      <c r="C4912" s="15" t="s">
        <v>5995</v>
      </c>
      <c r="D4912" s="34" t="n">
        <f aca="false">-Activities!K2012</f>
        <v>-11</v>
      </c>
      <c r="E4912" s="15" t="s">
        <v>6004</v>
      </c>
    </row>
    <row r="4913" customFormat="false" ht="15" hidden="false" customHeight="false" outlineLevel="0" collapsed="false">
      <c r="A4913" s="15" t="s">
        <v>5702</v>
      </c>
      <c r="B4913" s="15" t="s">
        <v>5704</v>
      </c>
      <c r="C4913" s="15" t="s">
        <v>5997</v>
      </c>
      <c r="D4913" s="34" t="n">
        <f aca="false">Activities!M2013</f>
        <v>10</v>
      </c>
      <c r="E4913" s="15" t="s">
        <v>5998</v>
      </c>
    </row>
    <row r="4914" customFormat="false" ht="15" hidden="false" customHeight="false" outlineLevel="0" collapsed="false">
      <c r="A4914" s="15" t="s">
        <v>5702</v>
      </c>
      <c r="B4914" s="15" t="s">
        <v>5704</v>
      </c>
      <c r="C4914" s="15" t="s">
        <v>5999</v>
      </c>
      <c r="D4914" s="34" t="n">
        <f aca="false">Activities!N2013</f>
        <v>2</v>
      </c>
      <c r="E4914" s="15" t="s">
        <v>5998</v>
      </c>
    </row>
    <row r="4915" customFormat="false" ht="15" hidden="false" customHeight="false" outlineLevel="0" collapsed="false">
      <c r="A4915" s="15" t="s">
        <v>5689</v>
      </c>
      <c r="B4915" s="15" t="s">
        <v>5704</v>
      </c>
      <c r="C4915" s="15" t="s">
        <v>5995</v>
      </c>
      <c r="D4915" s="34" t="n">
        <v>0</v>
      </c>
      <c r="E4915" s="15" t="s">
        <v>6014</v>
      </c>
    </row>
    <row r="4916" customFormat="false" ht="15" hidden="false" customHeight="false" outlineLevel="0" collapsed="false">
      <c r="A4916" s="15" t="s">
        <v>5647</v>
      </c>
      <c r="B4916" s="15" t="s">
        <v>5704</v>
      </c>
      <c r="C4916" s="15" t="s">
        <v>5995</v>
      </c>
      <c r="D4916" s="34" t="n">
        <v>0</v>
      </c>
      <c r="E4916" s="15" t="s">
        <v>6008</v>
      </c>
    </row>
    <row r="4917" customFormat="false" ht="15" hidden="false" customHeight="false" outlineLevel="0" collapsed="false">
      <c r="A4917" s="15" t="s">
        <v>5689</v>
      </c>
      <c r="B4917" s="15" t="s">
        <v>5704</v>
      </c>
      <c r="C4917" s="15" t="s">
        <v>5997</v>
      </c>
      <c r="D4917" s="34" t="n">
        <v>0</v>
      </c>
      <c r="E4917" s="15" t="s">
        <v>6006</v>
      </c>
    </row>
    <row r="4918" customFormat="false" ht="15" hidden="false" customHeight="false" outlineLevel="0" collapsed="false">
      <c r="A4918" s="15" t="s">
        <v>5658</v>
      </c>
      <c r="B4918" s="15" t="s">
        <v>5704</v>
      </c>
      <c r="C4918" s="15" t="s">
        <v>5997</v>
      </c>
      <c r="D4918" s="34" t="n">
        <v>0</v>
      </c>
      <c r="E4918" s="15" t="s">
        <v>6006</v>
      </c>
    </row>
    <row r="4919" customFormat="false" ht="15" hidden="false" customHeight="false" outlineLevel="0" collapsed="false">
      <c r="A4919" s="15" t="s">
        <v>5704</v>
      </c>
      <c r="B4919" s="15" t="s">
        <v>5706</v>
      </c>
      <c r="C4919" s="15" t="s">
        <v>5997</v>
      </c>
      <c r="D4919" s="34" t="n">
        <f aca="false">Activities!M2014</f>
        <v>1</v>
      </c>
      <c r="E4919" s="15" t="s">
        <v>5998</v>
      </c>
    </row>
    <row r="4920" customFormat="false" ht="15" hidden="false" customHeight="false" outlineLevel="0" collapsed="false">
      <c r="A4920" s="15" t="s">
        <v>5704</v>
      </c>
      <c r="B4920" s="15" t="s">
        <v>5706</v>
      </c>
      <c r="C4920" s="15" t="s">
        <v>5999</v>
      </c>
      <c r="D4920" s="34" t="n">
        <f aca="false">Activities!N2014</f>
        <v>2</v>
      </c>
      <c r="E4920" s="15" t="s">
        <v>5998</v>
      </c>
    </row>
    <row r="4921" customFormat="false" ht="15" hidden="false" customHeight="false" outlineLevel="0" collapsed="false">
      <c r="A4921" s="15" t="s">
        <v>5690</v>
      </c>
      <c r="B4921" s="15" t="s">
        <v>5706</v>
      </c>
      <c r="C4921" s="15" t="s">
        <v>5995</v>
      </c>
      <c r="D4921" s="34" t="n">
        <v>0</v>
      </c>
      <c r="E4921" s="15" t="s">
        <v>6014</v>
      </c>
    </row>
    <row r="4922" customFormat="false" ht="15" hidden="false" customHeight="false" outlineLevel="0" collapsed="false">
      <c r="A4922" s="15" t="s">
        <v>5706</v>
      </c>
      <c r="B4922" s="15" t="s">
        <v>5707</v>
      </c>
      <c r="C4922" s="15" t="s">
        <v>5997</v>
      </c>
      <c r="D4922" s="34" t="n">
        <f aca="false">Activities!M2015</f>
        <v>2</v>
      </c>
      <c r="E4922" s="15" t="s">
        <v>5998</v>
      </c>
    </row>
    <row r="4923" customFormat="false" ht="15" hidden="false" customHeight="false" outlineLevel="0" collapsed="false">
      <c r="A4923" s="15" t="s">
        <v>5706</v>
      </c>
      <c r="B4923" s="15" t="s">
        <v>5707</v>
      </c>
      <c r="C4923" s="15" t="s">
        <v>5999</v>
      </c>
      <c r="D4923" s="34" t="n">
        <f aca="false">Activities!N2015</f>
        <v>2</v>
      </c>
      <c r="E4923" s="15" t="s">
        <v>5998</v>
      </c>
    </row>
    <row r="4924" customFormat="false" ht="15" hidden="false" customHeight="false" outlineLevel="0" collapsed="false">
      <c r="A4924" s="15" t="s">
        <v>5691</v>
      </c>
      <c r="B4924" s="15" t="s">
        <v>5707</v>
      </c>
      <c r="C4924" s="15" t="s">
        <v>5995</v>
      </c>
      <c r="D4924" s="34" t="n">
        <v>0</v>
      </c>
      <c r="E4924" s="15" t="s">
        <v>6014</v>
      </c>
    </row>
    <row r="4925" customFormat="false" ht="15" hidden="false" customHeight="false" outlineLevel="0" collapsed="false">
      <c r="A4925" s="15" t="s">
        <v>5707</v>
      </c>
      <c r="B4925" s="15" t="s">
        <v>5708</v>
      </c>
      <c r="C4925" s="15" t="s">
        <v>5997</v>
      </c>
      <c r="D4925" s="34" t="n">
        <f aca="false">Activities!M2016</f>
        <v>2</v>
      </c>
      <c r="E4925" s="15" t="s">
        <v>5998</v>
      </c>
    </row>
    <row r="4926" customFormat="false" ht="15" hidden="false" customHeight="false" outlineLevel="0" collapsed="false">
      <c r="A4926" s="15" t="s">
        <v>5707</v>
      </c>
      <c r="B4926" s="15" t="s">
        <v>5708</v>
      </c>
      <c r="C4926" s="15" t="s">
        <v>5999</v>
      </c>
      <c r="D4926" s="34" t="n">
        <f aca="false">Activities!N2016</f>
        <v>2</v>
      </c>
      <c r="E4926" s="15" t="s">
        <v>5998</v>
      </c>
    </row>
    <row r="4927" customFormat="false" ht="15" hidden="false" customHeight="false" outlineLevel="0" collapsed="false">
      <c r="A4927" s="15" t="s">
        <v>5708</v>
      </c>
      <c r="B4927" s="15" t="s">
        <v>5709</v>
      </c>
      <c r="C4927" s="15" t="s">
        <v>5997</v>
      </c>
      <c r="D4927" s="34" t="n">
        <f aca="false">Activities!M2017</f>
        <v>2</v>
      </c>
      <c r="E4927" s="15" t="s">
        <v>5998</v>
      </c>
    </row>
    <row r="4928" customFormat="false" ht="15" hidden="false" customHeight="false" outlineLevel="0" collapsed="false">
      <c r="A4928" s="15" t="s">
        <v>5708</v>
      </c>
      <c r="B4928" s="15" t="s">
        <v>5709</v>
      </c>
      <c r="C4928" s="15" t="s">
        <v>5999</v>
      </c>
      <c r="D4928" s="34" t="n">
        <f aca="false">Activities!N2017</f>
        <v>2</v>
      </c>
      <c r="E4928" s="15" t="s">
        <v>5998</v>
      </c>
    </row>
    <row r="4929" customFormat="false" ht="15" hidden="false" customHeight="false" outlineLevel="0" collapsed="false">
      <c r="A4929" s="15" t="s">
        <v>5693</v>
      </c>
      <c r="B4929" s="15" t="s">
        <v>5709</v>
      </c>
      <c r="C4929" s="15" t="s">
        <v>5995</v>
      </c>
      <c r="D4929" s="34" t="n">
        <v>0</v>
      </c>
      <c r="E4929" s="15" t="s">
        <v>6014</v>
      </c>
    </row>
    <row r="4930" customFormat="false" ht="15" hidden="false" customHeight="false" outlineLevel="0" collapsed="false">
      <c r="A4930" s="15" t="s">
        <v>5691</v>
      </c>
      <c r="B4930" s="15" t="s">
        <v>5709</v>
      </c>
      <c r="C4930" s="15" t="s">
        <v>5995</v>
      </c>
      <c r="D4930" s="34" t="n">
        <v>0</v>
      </c>
      <c r="E4930" s="15" t="s">
        <v>6005</v>
      </c>
    </row>
    <row r="4931" customFormat="false" ht="15" hidden="false" customHeight="false" outlineLevel="0" collapsed="false">
      <c r="A4931" s="15" t="s">
        <v>5661</v>
      </c>
      <c r="B4931" s="15" t="s">
        <v>5709</v>
      </c>
      <c r="C4931" s="15" t="s">
        <v>5995</v>
      </c>
      <c r="D4931" s="34" t="n">
        <v>0</v>
      </c>
      <c r="E4931" s="15" t="s">
        <v>6005</v>
      </c>
    </row>
    <row r="4932" customFormat="false" ht="15" hidden="false" customHeight="false" outlineLevel="0" collapsed="false">
      <c r="A4932" s="15" t="s">
        <v>5954</v>
      </c>
      <c r="B4932" s="15" t="s">
        <v>5709</v>
      </c>
      <c r="C4932" s="15" t="s">
        <v>5995</v>
      </c>
      <c r="D4932" s="34" t="n">
        <v>0</v>
      </c>
      <c r="E4932" s="15" t="s">
        <v>6005</v>
      </c>
    </row>
    <row r="4933" customFormat="false" ht="15" hidden="false" customHeight="false" outlineLevel="0" collapsed="false">
      <c r="A4933" s="15" t="s">
        <v>5891</v>
      </c>
      <c r="B4933" s="15" t="s">
        <v>5709</v>
      </c>
      <c r="C4933" s="15" t="s">
        <v>5995</v>
      </c>
      <c r="D4933" s="34" t="n">
        <v>0</v>
      </c>
      <c r="E4933" s="15" t="s">
        <v>6005</v>
      </c>
    </row>
    <row r="4934" customFormat="false" ht="15" hidden="false" customHeight="false" outlineLevel="0" collapsed="false">
      <c r="A4934" s="15" t="s">
        <v>5709</v>
      </c>
      <c r="B4934" s="15" t="s">
        <v>5711</v>
      </c>
      <c r="C4934" s="15" t="s">
        <v>5997</v>
      </c>
      <c r="D4934" s="34" t="n">
        <f aca="false">Activities!M2018</f>
        <v>1</v>
      </c>
      <c r="E4934" s="15" t="s">
        <v>5998</v>
      </c>
    </row>
    <row r="4935" customFormat="false" ht="15" hidden="false" customHeight="false" outlineLevel="0" collapsed="false">
      <c r="A4935" s="15" t="s">
        <v>5709</v>
      </c>
      <c r="B4935" s="15" t="s">
        <v>5711</v>
      </c>
      <c r="C4935" s="15" t="s">
        <v>5999</v>
      </c>
      <c r="D4935" s="34" t="n">
        <f aca="false">Activities!N2018</f>
        <v>2</v>
      </c>
      <c r="E4935" s="15" t="s">
        <v>5998</v>
      </c>
    </row>
    <row r="4936" customFormat="false" ht="15" hidden="false" customHeight="false" outlineLevel="0" collapsed="false">
      <c r="A4936" s="15" t="s">
        <v>5712</v>
      </c>
      <c r="B4936" s="15" t="s">
        <v>5714</v>
      </c>
      <c r="C4936" s="15" t="s">
        <v>5995</v>
      </c>
      <c r="D4936" s="34" t="n">
        <v>0</v>
      </c>
      <c r="E4936" s="15" t="s">
        <v>5996</v>
      </c>
    </row>
    <row r="4937" customFormat="false" ht="15" hidden="false" customHeight="false" outlineLevel="0" collapsed="false">
      <c r="A4937" s="15" t="s">
        <v>5700</v>
      </c>
      <c r="B4937" s="15" t="s">
        <v>5714</v>
      </c>
      <c r="C4937" s="15" t="s">
        <v>5997</v>
      </c>
      <c r="D4937" s="34" t="n">
        <v>0</v>
      </c>
      <c r="E4937" s="15" t="s">
        <v>6002</v>
      </c>
    </row>
    <row r="4938" customFormat="false" ht="15" hidden="false" customHeight="false" outlineLevel="0" collapsed="false">
      <c r="A4938" s="15" t="s">
        <v>5714</v>
      </c>
      <c r="B4938" s="15" t="s">
        <v>5716</v>
      </c>
      <c r="C4938" s="15" t="s">
        <v>5997</v>
      </c>
      <c r="D4938" s="34" t="n">
        <f aca="false">Activities!M2021</f>
        <v>1</v>
      </c>
      <c r="E4938" s="15" t="s">
        <v>5998</v>
      </c>
    </row>
    <row r="4939" customFormat="false" ht="15" hidden="false" customHeight="false" outlineLevel="0" collapsed="false">
      <c r="A4939" s="15" t="s">
        <v>5714</v>
      </c>
      <c r="B4939" s="15" t="s">
        <v>5716</v>
      </c>
      <c r="C4939" s="15" t="s">
        <v>5999</v>
      </c>
      <c r="D4939" s="34" t="n">
        <f aca="false">Activities!N2021</f>
        <v>2</v>
      </c>
      <c r="E4939" s="15" t="s">
        <v>5998</v>
      </c>
    </row>
    <row r="4940" customFormat="false" ht="15" hidden="false" customHeight="false" outlineLevel="0" collapsed="false">
      <c r="A4940" s="15" t="s">
        <v>5700</v>
      </c>
      <c r="B4940" s="15" t="s">
        <v>5716</v>
      </c>
      <c r="C4940" s="15" t="s">
        <v>5995</v>
      </c>
      <c r="D4940" s="34" t="n">
        <v>0</v>
      </c>
      <c r="E4940" s="15" t="s">
        <v>6014</v>
      </c>
    </row>
    <row r="4941" customFormat="false" ht="15" hidden="false" customHeight="false" outlineLevel="0" collapsed="false">
      <c r="A4941" s="15" t="s">
        <v>5716</v>
      </c>
      <c r="B4941" s="15" t="s">
        <v>5717</v>
      </c>
      <c r="C4941" s="15" t="s">
        <v>5997</v>
      </c>
      <c r="D4941" s="34" t="n">
        <f aca="false">Activities!M2022</f>
        <v>3</v>
      </c>
      <c r="E4941" s="15" t="s">
        <v>5998</v>
      </c>
    </row>
    <row r="4942" customFormat="false" ht="15" hidden="false" customHeight="false" outlineLevel="0" collapsed="false">
      <c r="A4942" s="15" t="s">
        <v>5716</v>
      </c>
      <c r="B4942" s="15" t="s">
        <v>5717</v>
      </c>
      <c r="C4942" s="15" t="s">
        <v>5999</v>
      </c>
      <c r="D4942" s="34" t="n">
        <f aca="false">Activities!N2022</f>
        <v>2</v>
      </c>
      <c r="E4942" s="15" t="s">
        <v>5998</v>
      </c>
    </row>
    <row r="4943" customFormat="false" ht="15" hidden="false" customHeight="false" outlineLevel="0" collapsed="false">
      <c r="A4943" s="15" t="s">
        <v>5701</v>
      </c>
      <c r="B4943" s="15" t="s">
        <v>5717</v>
      </c>
      <c r="C4943" s="15" t="s">
        <v>5995</v>
      </c>
      <c r="D4943" s="34" t="n">
        <v>0</v>
      </c>
      <c r="E4943" s="15" t="s">
        <v>6014</v>
      </c>
    </row>
    <row r="4944" customFormat="false" ht="15" hidden="false" customHeight="false" outlineLevel="0" collapsed="false">
      <c r="A4944" s="15" t="s">
        <v>5717</v>
      </c>
      <c r="B4944" s="15" t="s">
        <v>5718</v>
      </c>
      <c r="C4944" s="15" t="s">
        <v>5997</v>
      </c>
      <c r="D4944" s="34" t="n">
        <f aca="false">Activities!M2023</f>
        <v>2</v>
      </c>
      <c r="E4944" s="15" t="s">
        <v>5998</v>
      </c>
    </row>
    <row r="4945" customFormat="false" ht="15" hidden="false" customHeight="false" outlineLevel="0" collapsed="false">
      <c r="A4945" s="15" t="s">
        <v>5717</v>
      </c>
      <c r="B4945" s="15" t="s">
        <v>5718</v>
      </c>
      <c r="C4945" s="15" t="s">
        <v>5999</v>
      </c>
      <c r="D4945" s="34" t="n">
        <f aca="false">Activities!N2023</f>
        <v>2</v>
      </c>
      <c r="E4945" s="15" t="s">
        <v>5998</v>
      </c>
    </row>
    <row r="4946" customFormat="false" ht="15" hidden="false" customHeight="false" outlineLevel="0" collapsed="false">
      <c r="A4946" s="15" t="s">
        <v>5704</v>
      </c>
      <c r="B4946" s="15" t="s">
        <v>5718</v>
      </c>
      <c r="C4946" s="15" t="s">
        <v>5995</v>
      </c>
      <c r="D4946" s="34" t="n">
        <f aca="false">-Activities!K2023</f>
        <v>-12</v>
      </c>
      <c r="E4946" s="15" t="s">
        <v>6004</v>
      </c>
    </row>
    <row r="4947" customFormat="false" ht="15" hidden="false" customHeight="false" outlineLevel="0" collapsed="false">
      <c r="A4947" s="15" t="s">
        <v>5718</v>
      </c>
      <c r="B4947" s="15" t="s">
        <v>5720</v>
      </c>
      <c r="C4947" s="15" t="s">
        <v>5997</v>
      </c>
      <c r="D4947" s="34" t="n">
        <f aca="false">Activities!M2024</f>
        <v>10</v>
      </c>
      <c r="E4947" s="15" t="s">
        <v>5998</v>
      </c>
    </row>
    <row r="4948" customFormat="false" ht="15" hidden="false" customHeight="false" outlineLevel="0" collapsed="false">
      <c r="A4948" s="15" t="s">
        <v>5718</v>
      </c>
      <c r="B4948" s="15" t="s">
        <v>5720</v>
      </c>
      <c r="C4948" s="15" t="s">
        <v>5999</v>
      </c>
      <c r="D4948" s="34" t="n">
        <f aca="false">Activities!N2024</f>
        <v>2</v>
      </c>
      <c r="E4948" s="15" t="s">
        <v>5998</v>
      </c>
    </row>
    <row r="4949" customFormat="false" ht="15" hidden="false" customHeight="false" outlineLevel="0" collapsed="false">
      <c r="A4949" s="15" t="s">
        <v>5704</v>
      </c>
      <c r="B4949" s="15" t="s">
        <v>5720</v>
      </c>
      <c r="C4949" s="15" t="s">
        <v>5995</v>
      </c>
      <c r="D4949" s="34" t="n">
        <v>0</v>
      </c>
      <c r="E4949" s="15" t="s">
        <v>6014</v>
      </c>
    </row>
    <row r="4950" customFormat="false" ht="15" hidden="false" customHeight="false" outlineLevel="0" collapsed="false">
      <c r="A4950" s="15" t="s">
        <v>5720</v>
      </c>
      <c r="B4950" s="15" t="s">
        <v>5721</v>
      </c>
      <c r="C4950" s="15" t="s">
        <v>5997</v>
      </c>
      <c r="D4950" s="34" t="n">
        <f aca="false">Activities!M2025</f>
        <v>2</v>
      </c>
      <c r="E4950" s="15" t="s">
        <v>5998</v>
      </c>
    </row>
    <row r="4951" customFormat="false" ht="15" hidden="false" customHeight="false" outlineLevel="0" collapsed="false">
      <c r="A4951" s="15" t="s">
        <v>5720</v>
      </c>
      <c r="B4951" s="15" t="s">
        <v>5721</v>
      </c>
      <c r="C4951" s="15" t="s">
        <v>5999</v>
      </c>
      <c r="D4951" s="34" t="n">
        <f aca="false">Activities!N2025</f>
        <v>2</v>
      </c>
      <c r="E4951" s="15" t="s">
        <v>5998</v>
      </c>
    </row>
    <row r="4952" customFormat="false" ht="15" hidden="false" customHeight="false" outlineLevel="0" collapsed="false">
      <c r="A4952" s="15" t="s">
        <v>5706</v>
      </c>
      <c r="B4952" s="15" t="s">
        <v>5721</v>
      </c>
      <c r="C4952" s="15" t="s">
        <v>5995</v>
      </c>
      <c r="D4952" s="34" t="n">
        <v>0</v>
      </c>
      <c r="E4952" s="15" t="s">
        <v>6014</v>
      </c>
    </row>
    <row r="4953" customFormat="false" ht="15" hidden="false" customHeight="false" outlineLevel="0" collapsed="false">
      <c r="A4953" s="15" t="s">
        <v>5721</v>
      </c>
      <c r="B4953" s="15" t="s">
        <v>5722</v>
      </c>
      <c r="C4953" s="15" t="s">
        <v>5997</v>
      </c>
      <c r="D4953" s="34" t="n">
        <f aca="false">Activities!M2026</f>
        <v>3</v>
      </c>
      <c r="E4953" s="15" t="s">
        <v>5998</v>
      </c>
    </row>
    <row r="4954" customFormat="false" ht="15" hidden="false" customHeight="false" outlineLevel="0" collapsed="false">
      <c r="A4954" s="15" t="s">
        <v>5721</v>
      </c>
      <c r="B4954" s="15" t="s">
        <v>5722</v>
      </c>
      <c r="C4954" s="15" t="s">
        <v>5999</v>
      </c>
      <c r="D4954" s="34" t="n">
        <f aca="false">Activities!N2026</f>
        <v>2</v>
      </c>
      <c r="E4954" s="15" t="s">
        <v>5998</v>
      </c>
    </row>
    <row r="4955" customFormat="false" ht="15" hidden="false" customHeight="false" outlineLevel="0" collapsed="false">
      <c r="A4955" s="15" t="s">
        <v>5707</v>
      </c>
      <c r="B4955" s="15" t="s">
        <v>5722</v>
      </c>
      <c r="C4955" s="15" t="s">
        <v>5995</v>
      </c>
      <c r="D4955" s="34" t="n">
        <v>0</v>
      </c>
      <c r="E4955" s="15" t="s">
        <v>6014</v>
      </c>
    </row>
    <row r="4956" customFormat="false" ht="15" hidden="false" customHeight="false" outlineLevel="0" collapsed="false">
      <c r="A4956" s="15" t="s">
        <v>5722</v>
      </c>
      <c r="B4956" s="15" t="s">
        <v>5723</v>
      </c>
      <c r="C4956" s="15" t="s">
        <v>5997</v>
      </c>
      <c r="D4956" s="34" t="n">
        <f aca="false">Activities!M2027</f>
        <v>2</v>
      </c>
      <c r="E4956" s="15" t="s">
        <v>5998</v>
      </c>
    </row>
    <row r="4957" customFormat="false" ht="15" hidden="false" customHeight="false" outlineLevel="0" collapsed="false">
      <c r="A4957" s="15" t="s">
        <v>5722</v>
      </c>
      <c r="B4957" s="15" t="s">
        <v>5723</v>
      </c>
      <c r="C4957" s="15" t="s">
        <v>5999</v>
      </c>
      <c r="D4957" s="34" t="n">
        <f aca="false">Activities!N2027</f>
        <v>2</v>
      </c>
      <c r="E4957" s="15" t="s">
        <v>5998</v>
      </c>
    </row>
    <row r="4958" customFormat="false" ht="15" hidden="false" customHeight="false" outlineLevel="0" collapsed="false">
      <c r="A4958" s="15" t="s">
        <v>5723</v>
      </c>
      <c r="B4958" s="15" t="s">
        <v>5724</v>
      </c>
      <c r="C4958" s="15" t="s">
        <v>5997</v>
      </c>
      <c r="D4958" s="34" t="n">
        <f aca="false">Activities!M2028</f>
        <v>2</v>
      </c>
      <c r="E4958" s="15" t="s">
        <v>5998</v>
      </c>
    </row>
    <row r="4959" customFormat="false" ht="15" hidden="false" customHeight="false" outlineLevel="0" collapsed="false">
      <c r="A4959" s="15" t="s">
        <v>5723</v>
      </c>
      <c r="B4959" s="15" t="s">
        <v>5724</v>
      </c>
      <c r="C4959" s="15" t="s">
        <v>5999</v>
      </c>
      <c r="D4959" s="34" t="n">
        <f aca="false">Activities!N2028</f>
        <v>2</v>
      </c>
      <c r="E4959" s="15" t="s">
        <v>5998</v>
      </c>
    </row>
    <row r="4960" customFormat="false" ht="15" hidden="false" customHeight="false" outlineLevel="0" collapsed="false">
      <c r="A4960" s="15" t="s">
        <v>5709</v>
      </c>
      <c r="B4960" s="15" t="s">
        <v>5724</v>
      </c>
      <c r="C4960" s="15" t="s">
        <v>5995</v>
      </c>
      <c r="D4960" s="34" t="n">
        <v>0</v>
      </c>
      <c r="E4960" s="15" t="s">
        <v>6014</v>
      </c>
    </row>
    <row r="4961" customFormat="false" ht="15" hidden="false" customHeight="false" outlineLevel="0" collapsed="false">
      <c r="A4961" s="15" t="s">
        <v>5738</v>
      </c>
      <c r="B4961" s="15" t="s">
        <v>5724</v>
      </c>
      <c r="C4961" s="15" t="s">
        <v>5995</v>
      </c>
      <c r="D4961" s="34" t="n">
        <v>0</v>
      </c>
      <c r="E4961" s="15" t="s">
        <v>6005</v>
      </c>
    </row>
    <row r="4962" customFormat="false" ht="15" hidden="false" customHeight="false" outlineLevel="0" collapsed="false">
      <c r="A4962" s="15" t="s">
        <v>5724</v>
      </c>
      <c r="B4962" s="15" t="s">
        <v>5726</v>
      </c>
      <c r="C4962" s="15" t="s">
        <v>5997</v>
      </c>
      <c r="D4962" s="34" t="n">
        <f aca="false">Activities!M2029</f>
        <v>1</v>
      </c>
      <c r="E4962" s="15" t="s">
        <v>5998</v>
      </c>
    </row>
    <row r="4963" customFormat="false" ht="15" hidden="false" customHeight="false" outlineLevel="0" collapsed="false">
      <c r="A4963" s="15" t="s">
        <v>5724</v>
      </c>
      <c r="B4963" s="15" t="s">
        <v>5726</v>
      </c>
      <c r="C4963" s="15" t="s">
        <v>5999</v>
      </c>
      <c r="D4963" s="34" t="n">
        <f aca="false">Activities!N2029</f>
        <v>2</v>
      </c>
      <c r="E4963" s="15" t="s">
        <v>5998</v>
      </c>
    </row>
    <row r="4964" customFormat="false" ht="15" hidden="false" customHeight="false" outlineLevel="0" collapsed="false">
      <c r="A4964" s="15" t="s">
        <v>5727</v>
      </c>
      <c r="B4964" s="15" t="s">
        <v>5729</v>
      </c>
      <c r="C4964" s="15" t="s">
        <v>5995</v>
      </c>
      <c r="D4964" s="34" t="n">
        <v>0</v>
      </c>
      <c r="E4964" s="15" t="s">
        <v>5996</v>
      </c>
    </row>
    <row r="4965" customFormat="false" ht="15" hidden="false" customHeight="false" outlineLevel="0" collapsed="false">
      <c r="A4965" s="15" t="s">
        <v>5716</v>
      </c>
      <c r="B4965" s="15" t="s">
        <v>5729</v>
      </c>
      <c r="C4965" s="15" t="s">
        <v>5997</v>
      </c>
      <c r="D4965" s="34" t="n">
        <v>0</v>
      </c>
      <c r="E4965" s="15" t="s">
        <v>6002</v>
      </c>
    </row>
    <row r="4966" customFormat="false" ht="15" hidden="false" customHeight="false" outlineLevel="0" collapsed="false">
      <c r="A4966" s="15" t="s">
        <v>5729</v>
      </c>
      <c r="B4966" s="15" t="s">
        <v>5731</v>
      </c>
      <c r="C4966" s="15" t="s">
        <v>5997</v>
      </c>
      <c r="D4966" s="34" t="n">
        <f aca="false">Activities!M2032</f>
        <v>1</v>
      </c>
      <c r="E4966" s="15" t="s">
        <v>5998</v>
      </c>
    </row>
    <row r="4967" customFormat="false" ht="15" hidden="false" customHeight="false" outlineLevel="0" collapsed="false">
      <c r="A4967" s="15" t="s">
        <v>5729</v>
      </c>
      <c r="B4967" s="15" t="s">
        <v>5731</v>
      </c>
      <c r="C4967" s="15" t="s">
        <v>5999</v>
      </c>
      <c r="D4967" s="34" t="n">
        <f aca="false">Activities!N2032</f>
        <v>2</v>
      </c>
      <c r="E4967" s="15" t="s">
        <v>5998</v>
      </c>
    </row>
    <row r="4968" customFormat="false" ht="15" hidden="false" customHeight="false" outlineLevel="0" collapsed="false">
      <c r="A4968" s="15" t="s">
        <v>5716</v>
      </c>
      <c r="B4968" s="15" t="s">
        <v>5731</v>
      </c>
      <c r="C4968" s="15" t="s">
        <v>5995</v>
      </c>
      <c r="D4968" s="34" t="n">
        <v>0</v>
      </c>
      <c r="E4968" s="15" t="s">
        <v>6014</v>
      </c>
    </row>
    <row r="4969" customFormat="false" ht="15" hidden="false" customHeight="false" outlineLevel="0" collapsed="false">
      <c r="A4969" s="15" t="s">
        <v>5731</v>
      </c>
      <c r="B4969" s="15" t="s">
        <v>5732</v>
      </c>
      <c r="C4969" s="15" t="s">
        <v>5997</v>
      </c>
      <c r="D4969" s="34" t="n">
        <f aca="false">Activities!M2033</f>
        <v>3</v>
      </c>
      <c r="E4969" s="15" t="s">
        <v>5998</v>
      </c>
    </row>
    <row r="4970" customFormat="false" ht="15" hidden="false" customHeight="false" outlineLevel="0" collapsed="false">
      <c r="A4970" s="15" t="s">
        <v>5731</v>
      </c>
      <c r="B4970" s="15" t="s">
        <v>5732</v>
      </c>
      <c r="C4970" s="15" t="s">
        <v>5999</v>
      </c>
      <c r="D4970" s="34" t="n">
        <f aca="false">Activities!N2033</f>
        <v>2</v>
      </c>
      <c r="E4970" s="15" t="s">
        <v>5998</v>
      </c>
    </row>
    <row r="4971" customFormat="false" ht="15" hidden="false" customHeight="false" outlineLevel="0" collapsed="false">
      <c r="A4971" s="15" t="s">
        <v>5717</v>
      </c>
      <c r="B4971" s="15" t="s">
        <v>5732</v>
      </c>
      <c r="C4971" s="15" t="s">
        <v>5995</v>
      </c>
      <c r="D4971" s="34" t="n">
        <v>0</v>
      </c>
      <c r="E4971" s="15" t="s">
        <v>6014</v>
      </c>
    </row>
    <row r="4972" customFormat="false" ht="15" hidden="false" customHeight="false" outlineLevel="0" collapsed="false">
      <c r="A4972" s="15" t="s">
        <v>5732</v>
      </c>
      <c r="B4972" s="15" t="s">
        <v>5733</v>
      </c>
      <c r="C4972" s="15" t="s">
        <v>5997</v>
      </c>
      <c r="D4972" s="34" t="n">
        <f aca="false">Activities!M2034</f>
        <v>2</v>
      </c>
      <c r="E4972" s="15" t="s">
        <v>5998</v>
      </c>
    </row>
    <row r="4973" customFormat="false" ht="15" hidden="false" customHeight="false" outlineLevel="0" collapsed="false">
      <c r="A4973" s="15" t="s">
        <v>5732</v>
      </c>
      <c r="B4973" s="15" t="s">
        <v>5733</v>
      </c>
      <c r="C4973" s="15" t="s">
        <v>5999</v>
      </c>
      <c r="D4973" s="34" t="n">
        <f aca="false">Activities!N2034</f>
        <v>2</v>
      </c>
      <c r="E4973" s="15" t="s">
        <v>5998</v>
      </c>
    </row>
    <row r="4974" customFormat="false" ht="15" hidden="false" customHeight="false" outlineLevel="0" collapsed="false">
      <c r="A4974" s="15" t="s">
        <v>5720</v>
      </c>
      <c r="B4974" s="15" t="s">
        <v>5733</v>
      </c>
      <c r="C4974" s="15" t="s">
        <v>5995</v>
      </c>
      <c r="D4974" s="34" t="n">
        <f aca="false">-Activities!K2034</f>
        <v>-12</v>
      </c>
      <c r="E4974" s="15" t="s">
        <v>6004</v>
      </c>
    </row>
    <row r="4975" customFormat="false" ht="15" hidden="false" customHeight="false" outlineLevel="0" collapsed="false">
      <c r="A4975" s="15" t="s">
        <v>5733</v>
      </c>
      <c r="B4975" s="15" t="s">
        <v>5735</v>
      </c>
      <c r="C4975" s="15" t="s">
        <v>5997</v>
      </c>
      <c r="D4975" s="34" t="n">
        <f aca="false">Activities!M2035</f>
        <v>10</v>
      </c>
      <c r="E4975" s="15" t="s">
        <v>5998</v>
      </c>
    </row>
    <row r="4976" customFormat="false" ht="15" hidden="false" customHeight="false" outlineLevel="0" collapsed="false">
      <c r="A4976" s="15" t="s">
        <v>5733</v>
      </c>
      <c r="B4976" s="15" t="s">
        <v>5735</v>
      </c>
      <c r="C4976" s="15" t="s">
        <v>5999</v>
      </c>
      <c r="D4976" s="34" t="n">
        <f aca="false">Activities!N2035</f>
        <v>2</v>
      </c>
      <c r="E4976" s="15" t="s">
        <v>5998</v>
      </c>
    </row>
    <row r="4977" customFormat="false" ht="15" hidden="false" customHeight="false" outlineLevel="0" collapsed="false">
      <c r="A4977" s="15" t="s">
        <v>5720</v>
      </c>
      <c r="B4977" s="15" t="s">
        <v>5735</v>
      </c>
      <c r="C4977" s="15" t="s">
        <v>5995</v>
      </c>
      <c r="D4977" s="34" t="n">
        <v>0</v>
      </c>
      <c r="E4977" s="15" t="s">
        <v>6014</v>
      </c>
    </row>
    <row r="4978" customFormat="false" ht="15" hidden="false" customHeight="false" outlineLevel="0" collapsed="false">
      <c r="A4978" s="15" t="s">
        <v>5720</v>
      </c>
      <c r="B4978" s="15" t="s">
        <v>5735</v>
      </c>
      <c r="C4978" s="15" t="s">
        <v>5997</v>
      </c>
      <c r="D4978" s="34" t="n">
        <v>0</v>
      </c>
      <c r="E4978" s="15" t="s">
        <v>6006</v>
      </c>
    </row>
    <row r="4979" customFormat="false" ht="15" hidden="false" customHeight="false" outlineLevel="0" collapsed="false">
      <c r="A4979" s="15" t="s">
        <v>5735</v>
      </c>
      <c r="B4979" s="15" t="s">
        <v>5737</v>
      </c>
      <c r="C4979" s="15" t="s">
        <v>5997</v>
      </c>
      <c r="D4979" s="34" t="n">
        <f aca="false">Activities!M2036</f>
        <v>2</v>
      </c>
      <c r="E4979" s="15" t="s">
        <v>5998</v>
      </c>
    </row>
    <row r="4980" customFormat="false" ht="15" hidden="false" customHeight="false" outlineLevel="0" collapsed="false">
      <c r="A4980" s="15" t="s">
        <v>5735</v>
      </c>
      <c r="B4980" s="15" t="s">
        <v>5737</v>
      </c>
      <c r="C4980" s="15" t="s">
        <v>5999</v>
      </c>
      <c r="D4980" s="34" t="n">
        <f aca="false">Activities!N2036</f>
        <v>2</v>
      </c>
      <c r="E4980" s="15" t="s">
        <v>5998</v>
      </c>
    </row>
    <row r="4981" customFormat="false" ht="15" hidden="false" customHeight="false" outlineLevel="0" collapsed="false">
      <c r="A4981" s="15" t="s">
        <v>5721</v>
      </c>
      <c r="B4981" s="15" t="s">
        <v>5737</v>
      </c>
      <c r="C4981" s="15" t="s">
        <v>5995</v>
      </c>
      <c r="D4981" s="34" t="n">
        <v>0</v>
      </c>
      <c r="E4981" s="15" t="s">
        <v>6014</v>
      </c>
    </row>
    <row r="4982" customFormat="false" ht="15" hidden="false" customHeight="false" outlineLevel="0" collapsed="false">
      <c r="A4982" s="15" t="s">
        <v>5737</v>
      </c>
      <c r="B4982" s="15" t="s">
        <v>5738</v>
      </c>
      <c r="C4982" s="15" t="s">
        <v>5997</v>
      </c>
      <c r="D4982" s="34" t="n">
        <f aca="false">Activities!M2037</f>
        <v>3</v>
      </c>
      <c r="E4982" s="15" t="s">
        <v>5998</v>
      </c>
    </row>
    <row r="4983" customFormat="false" ht="15" hidden="false" customHeight="false" outlineLevel="0" collapsed="false">
      <c r="A4983" s="15" t="s">
        <v>5737</v>
      </c>
      <c r="B4983" s="15" t="s">
        <v>5738</v>
      </c>
      <c r="C4983" s="15" t="s">
        <v>5999</v>
      </c>
      <c r="D4983" s="34" t="n">
        <f aca="false">Activities!N2037</f>
        <v>2</v>
      </c>
      <c r="E4983" s="15" t="s">
        <v>5998</v>
      </c>
    </row>
    <row r="4984" customFormat="false" ht="15" hidden="false" customHeight="false" outlineLevel="0" collapsed="false">
      <c r="A4984" s="15" t="s">
        <v>5722</v>
      </c>
      <c r="B4984" s="15" t="s">
        <v>5738</v>
      </c>
      <c r="C4984" s="15" t="s">
        <v>5995</v>
      </c>
      <c r="D4984" s="34" t="n">
        <v>0</v>
      </c>
      <c r="E4984" s="15" t="s">
        <v>6014</v>
      </c>
    </row>
    <row r="4985" customFormat="false" ht="15" hidden="false" customHeight="false" outlineLevel="0" collapsed="false">
      <c r="A4985" s="15" t="s">
        <v>5738</v>
      </c>
      <c r="B4985" s="15" t="s">
        <v>5739</v>
      </c>
      <c r="C4985" s="15" t="s">
        <v>5997</v>
      </c>
      <c r="D4985" s="34" t="n">
        <f aca="false">Activities!M2038</f>
        <v>3</v>
      </c>
      <c r="E4985" s="15" t="s">
        <v>5998</v>
      </c>
    </row>
    <row r="4986" customFormat="false" ht="15" hidden="false" customHeight="false" outlineLevel="0" collapsed="false">
      <c r="A4986" s="15" t="s">
        <v>5738</v>
      </c>
      <c r="B4986" s="15" t="s">
        <v>5739</v>
      </c>
      <c r="C4986" s="15" t="s">
        <v>5999</v>
      </c>
      <c r="D4986" s="34" t="n">
        <f aca="false">Activities!N2038</f>
        <v>2</v>
      </c>
      <c r="E4986" s="15" t="s">
        <v>5998</v>
      </c>
    </row>
    <row r="4987" customFormat="false" ht="15" hidden="false" customHeight="false" outlineLevel="0" collapsed="false">
      <c r="A4987" s="15" t="s">
        <v>5739</v>
      </c>
      <c r="B4987" s="15" t="s">
        <v>5740</v>
      </c>
      <c r="C4987" s="15" t="s">
        <v>5997</v>
      </c>
      <c r="D4987" s="34" t="n">
        <f aca="false">Activities!M2039</f>
        <v>2</v>
      </c>
      <c r="E4987" s="15" t="s">
        <v>5998</v>
      </c>
    </row>
    <row r="4988" customFormat="false" ht="15" hidden="false" customHeight="false" outlineLevel="0" collapsed="false">
      <c r="A4988" s="15" t="s">
        <v>5739</v>
      </c>
      <c r="B4988" s="15" t="s">
        <v>5740</v>
      </c>
      <c r="C4988" s="15" t="s">
        <v>5999</v>
      </c>
      <c r="D4988" s="34" t="n">
        <f aca="false">Activities!N2039</f>
        <v>2</v>
      </c>
      <c r="E4988" s="15" t="s">
        <v>5998</v>
      </c>
    </row>
    <row r="4989" customFormat="false" ht="15" hidden="false" customHeight="false" outlineLevel="0" collapsed="false">
      <c r="A4989" s="15" t="s">
        <v>5724</v>
      </c>
      <c r="B4989" s="15" t="s">
        <v>5740</v>
      </c>
      <c r="C4989" s="15" t="s">
        <v>5995</v>
      </c>
      <c r="D4989" s="34" t="n">
        <v>0</v>
      </c>
      <c r="E4989" s="15" t="s">
        <v>6014</v>
      </c>
    </row>
    <row r="4990" customFormat="false" ht="15" hidden="false" customHeight="false" outlineLevel="0" collapsed="false">
      <c r="A4990" s="15" t="s">
        <v>5891</v>
      </c>
      <c r="B4990" s="15" t="s">
        <v>5740</v>
      </c>
      <c r="C4990" s="15" t="s">
        <v>5995</v>
      </c>
      <c r="D4990" s="34" t="n">
        <v>0</v>
      </c>
      <c r="E4990" s="15" t="s">
        <v>6005</v>
      </c>
    </row>
    <row r="4991" customFormat="false" ht="15" hidden="false" customHeight="false" outlineLevel="0" collapsed="false">
      <c r="A4991" s="15" t="s">
        <v>5783</v>
      </c>
      <c r="B4991" s="15" t="s">
        <v>5740</v>
      </c>
      <c r="C4991" s="15" t="s">
        <v>5995</v>
      </c>
      <c r="D4991" s="34" t="n">
        <v>0</v>
      </c>
      <c r="E4991" s="15" t="s">
        <v>6005</v>
      </c>
    </row>
    <row r="4992" customFormat="false" ht="15" hidden="false" customHeight="false" outlineLevel="0" collapsed="false">
      <c r="A4992" s="15" t="s">
        <v>5769</v>
      </c>
      <c r="B4992" s="15" t="s">
        <v>5740</v>
      </c>
      <c r="C4992" s="15" t="s">
        <v>5995</v>
      </c>
      <c r="D4992" s="34" t="n">
        <v>0</v>
      </c>
      <c r="E4992" s="15" t="s">
        <v>6005</v>
      </c>
    </row>
    <row r="4993" customFormat="false" ht="15" hidden="false" customHeight="false" outlineLevel="0" collapsed="false">
      <c r="A4993" s="15" t="s">
        <v>5722</v>
      </c>
      <c r="B4993" s="15" t="s">
        <v>5740</v>
      </c>
      <c r="C4993" s="15" t="s">
        <v>5995</v>
      </c>
      <c r="D4993" s="34" t="n">
        <v>0</v>
      </c>
      <c r="E4993" s="15" t="s">
        <v>6005</v>
      </c>
    </row>
    <row r="4994" customFormat="false" ht="15" hidden="false" customHeight="false" outlineLevel="0" collapsed="false">
      <c r="A4994" s="15" t="s">
        <v>5740</v>
      </c>
      <c r="B4994" s="15" t="s">
        <v>5742</v>
      </c>
      <c r="C4994" s="15" t="s">
        <v>5997</v>
      </c>
      <c r="D4994" s="34" t="n">
        <f aca="false">Activities!M2040</f>
        <v>1</v>
      </c>
      <c r="E4994" s="15" t="s">
        <v>5998</v>
      </c>
    </row>
    <row r="4995" customFormat="false" ht="15" hidden="false" customHeight="false" outlineLevel="0" collapsed="false">
      <c r="A4995" s="15" t="s">
        <v>5740</v>
      </c>
      <c r="B4995" s="15" t="s">
        <v>5742</v>
      </c>
      <c r="C4995" s="15" t="s">
        <v>5999</v>
      </c>
      <c r="D4995" s="34" t="n">
        <f aca="false">Activities!N2040</f>
        <v>2</v>
      </c>
      <c r="E4995" s="15" t="s">
        <v>5998</v>
      </c>
    </row>
    <row r="4996" customFormat="false" ht="15" hidden="false" customHeight="false" outlineLevel="0" collapsed="false">
      <c r="A4996" s="15" t="s">
        <v>5743</v>
      </c>
      <c r="B4996" s="15" t="s">
        <v>5745</v>
      </c>
      <c r="C4996" s="15" t="s">
        <v>5995</v>
      </c>
      <c r="D4996" s="34" t="n">
        <v>0</v>
      </c>
      <c r="E4996" s="15" t="s">
        <v>5996</v>
      </c>
    </row>
    <row r="4997" customFormat="false" ht="15" hidden="false" customHeight="false" outlineLevel="0" collapsed="false">
      <c r="A4997" s="15" t="s">
        <v>5731</v>
      </c>
      <c r="B4997" s="15" t="s">
        <v>5745</v>
      </c>
      <c r="C4997" s="15" t="s">
        <v>5997</v>
      </c>
      <c r="D4997" s="34" t="n">
        <v>0</v>
      </c>
      <c r="E4997" s="15" t="s">
        <v>6000</v>
      </c>
    </row>
    <row r="4998" customFormat="false" ht="15" hidden="false" customHeight="false" outlineLevel="0" collapsed="false">
      <c r="A4998" s="15" t="s">
        <v>5745</v>
      </c>
      <c r="B4998" s="15" t="s">
        <v>5747</v>
      </c>
      <c r="C4998" s="15" t="s">
        <v>5997</v>
      </c>
      <c r="D4998" s="34" t="n">
        <f aca="false">Activities!M2043</f>
        <v>1</v>
      </c>
      <c r="E4998" s="15" t="s">
        <v>5998</v>
      </c>
    </row>
    <row r="4999" customFormat="false" ht="15" hidden="false" customHeight="false" outlineLevel="0" collapsed="false">
      <c r="A4999" s="15" t="s">
        <v>5745</v>
      </c>
      <c r="B4999" s="15" t="s">
        <v>5747</v>
      </c>
      <c r="C4999" s="15" t="s">
        <v>5999</v>
      </c>
      <c r="D4999" s="34" t="n">
        <f aca="false">Activities!N2043</f>
        <v>2</v>
      </c>
      <c r="E4999" s="15" t="s">
        <v>5998</v>
      </c>
    </row>
    <row r="5000" customFormat="false" ht="15" hidden="false" customHeight="false" outlineLevel="0" collapsed="false">
      <c r="A5000" s="15" t="s">
        <v>5747</v>
      </c>
      <c r="B5000" s="15" t="s">
        <v>5748</v>
      </c>
      <c r="C5000" s="15" t="s">
        <v>5997</v>
      </c>
      <c r="D5000" s="34" t="n">
        <f aca="false">Activities!M2044</f>
        <v>1</v>
      </c>
      <c r="E5000" s="15" t="s">
        <v>5998</v>
      </c>
    </row>
    <row r="5001" customFormat="false" ht="15" hidden="false" customHeight="false" outlineLevel="0" collapsed="false">
      <c r="A5001" s="15" t="s">
        <v>5747</v>
      </c>
      <c r="B5001" s="15" t="s">
        <v>5748</v>
      </c>
      <c r="C5001" s="15" t="s">
        <v>5999</v>
      </c>
      <c r="D5001" s="34" t="n">
        <f aca="false">Activities!N2044</f>
        <v>2</v>
      </c>
      <c r="E5001" s="15" t="s">
        <v>5998</v>
      </c>
    </row>
    <row r="5002" customFormat="false" ht="15" hidden="false" customHeight="false" outlineLevel="0" collapsed="false">
      <c r="A5002" s="15" t="s">
        <v>5748</v>
      </c>
      <c r="B5002" s="15" t="s">
        <v>5749</v>
      </c>
      <c r="C5002" s="15" t="s">
        <v>5997</v>
      </c>
      <c r="D5002" s="34" t="n">
        <f aca="false">Activities!M2045</f>
        <v>1</v>
      </c>
      <c r="E5002" s="15" t="s">
        <v>5998</v>
      </c>
    </row>
    <row r="5003" customFormat="false" ht="15" hidden="false" customHeight="false" outlineLevel="0" collapsed="false">
      <c r="A5003" s="15" t="s">
        <v>5748</v>
      </c>
      <c r="B5003" s="15" t="s">
        <v>5749</v>
      </c>
      <c r="C5003" s="15" t="s">
        <v>5999</v>
      </c>
      <c r="D5003" s="34" t="n">
        <f aca="false">Activities!N2045</f>
        <v>2</v>
      </c>
      <c r="E5003" s="15" t="s">
        <v>5998</v>
      </c>
    </row>
    <row r="5004" customFormat="false" ht="15" hidden="false" customHeight="false" outlineLevel="0" collapsed="false">
      <c r="A5004" s="15" t="s">
        <v>5749</v>
      </c>
      <c r="B5004" s="15" t="s">
        <v>5750</v>
      </c>
      <c r="C5004" s="15" t="s">
        <v>5997</v>
      </c>
      <c r="D5004" s="34" t="n">
        <f aca="false">Activities!M2046</f>
        <v>10</v>
      </c>
      <c r="E5004" s="15" t="s">
        <v>5998</v>
      </c>
    </row>
    <row r="5005" customFormat="false" ht="15" hidden="false" customHeight="false" outlineLevel="0" collapsed="false">
      <c r="A5005" s="15" t="s">
        <v>5749</v>
      </c>
      <c r="B5005" s="15" t="s">
        <v>5750</v>
      </c>
      <c r="C5005" s="15" t="s">
        <v>5999</v>
      </c>
      <c r="D5005" s="34" t="n">
        <f aca="false">Activities!N2046</f>
        <v>2</v>
      </c>
      <c r="E5005" s="15" t="s">
        <v>5998</v>
      </c>
    </row>
    <row r="5006" customFormat="false" ht="15" hidden="false" customHeight="false" outlineLevel="0" collapsed="false">
      <c r="A5006" s="15" t="s">
        <v>5750</v>
      </c>
      <c r="B5006" s="15" t="s">
        <v>5751</v>
      </c>
      <c r="C5006" s="15" t="s">
        <v>5997</v>
      </c>
      <c r="D5006" s="34" t="n">
        <f aca="false">Activities!M2047</f>
        <v>1</v>
      </c>
      <c r="E5006" s="15" t="s">
        <v>5998</v>
      </c>
    </row>
    <row r="5007" customFormat="false" ht="15" hidden="false" customHeight="false" outlineLevel="0" collapsed="false">
      <c r="A5007" s="15" t="s">
        <v>5750</v>
      </c>
      <c r="B5007" s="15" t="s">
        <v>5751</v>
      </c>
      <c r="C5007" s="15" t="s">
        <v>5999</v>
      </c>
      <c r="D5007" s="34" t="n">
        <f aca="false">Activities!N2047</f>
        <v>2</v>
      </c>
      <c r="E5007" s="15" t="s">
        <v>5998</v>
      </c>
    </row>
    <row r="5008" customFormat="false" ht="15" hidden="false" customHeight="false" outlineLevel="0" collapsed="false">
      <c r="A5008" s="15" t="s">
        <v>5751</v>
      </c>
      <c r="B5008" s="15" t="s">
        <v>5752</v>
      </c>
      <c r="C5008" s="15" t="s">
        <v>5997</v>
      </c>
      <c r="D5008" s="34" t="n">
        <f aca="false">Activities!M2048</f>
        <v>2</v>
      </c>
      <c r="E5008" s="15" t="s">
        <v>5998</v>
      </c>
    </row>
    <row r="5009" customFormat="false" ht="15" hidden="false" customHeight="false" outlineLevel="0" collapsed="false">
      <c r="A5009" s="15" t="s">
        <v>5751</v>
      </c>
      <c r="B5009" s="15" t="s">
        <v>5752</v>
      </c>
      <c r="C5009" s="15" t="s">
        <v>5999</v>
      </c>
      <c r="D5009" s="34" t="n">
        <f aca="false">Activities!N2048</f>
        <v>2</v>
      </c>
      <c r="E5009" s="15" t="s">
        <v>5998</v>
      </c>
    </row>
    <row r="5010" customFormat="false" ht="15" hidden="false" customHeight="false" outlineLevel="0" collapsed="false">
      <c r="A5010" s="15" t="s">
        <v>5738</v>
      </c>
      <c r="B5010" s="15" t="s">
        <v>5752</v>
      </c>
      <c r="C5010" s="15" t="s">
        <v>5995</v>
      </c>
      <c r="D5010" s="34" t="n">
        <v>0</v>
      </c>
      <c r="E5010" s="15" t="s">
        <v>6001</v>
      </c>
    </row>
    <row r="5011" customFormat="false" ht="15" hidden="false" customHeight="false" outlineLevel="0" collapsed="false">
      <c r="A5011" s="15" t="s">
        <v>5752</v>
      </c>
      <c r="B5011" s="15" t="s">
        <v>5754</v>
      </c>
      <c r="C5011" s="15" t="s">
        <v>5997</v>
      </c>
      <c r="D5011" s="34" t="n">
        <f aca="false">Activities!M2049</f>
        <v>2</v>
      </c>
      <c r="E5011" s="15" t="s">
        <v>5998</v>
      </c>
    </row>
    <row r="5012" customFormat="false" ht="15" hidden="false" customHeight="false" outlineLevel="0" collapsed="false">
      <c r="A5012" s="15" t="s">
        <v>5752</v>
      </c>
      <c r="B5012" s="15" t="s">
        <v>5754</v>
      </c>
      <c r="C5012" s="15" t="s">
        <v>5999</v>
      </c>
      <c r="D5012" s="34" t="n">
        <f aca="false">Activities!N2049</f>
        <v>2</v>
      </c>
      <c r="E5012" s="15" t="s">
        <v>5998</v>
      </c>
    </row>
    <row r="5013" customFormat="false" ht="15" hidden="false" customHeight="false" outlineLevel="0" collapsed="false">
      <c r="A5013" s="15" t="s">
        <v>5754</v>
      </c>
      <c r="B5013" s="15" t="s">
        <v>5755</v>
      </c>
      <c r="C5013" s="15" t="s">
        <v>5997</v>
      </c>
      <c r="D5013" s="34" t="n">
        <f aca="false">Activities!M2050</f>
        <v>2</v>
      </c>
      <c r="E5013" s="15" t="s">
        <v>5998</v>
      </c>
    </row>
    <row r="5014" customFormat="false" ht="15" hidden="false" customHeight="false" outlineLevel="0" collapsed="false">
      <c r="A5014" s="15" t="s">
        <v>5754</v>
      </c>
      <c r="B5014" s="15" t="s">
        <v>5755</v>
      </c>
      <c r="C5014" s="15" t="s">
        <v>5999</v>
      </c>
      <c r="D5014" s="34" t="n">
        <f aca="false">Activities!N2050</f>
        <v>2</v>
      </c>
      <c r="E5014" s="15" t="s">
        <v>5998</v>
      </c>
    </row>
    <row r="5015" customFormat="false" ht="15" hidden="false" customHeight="false" outlineLevel="0" collapsed="false">
      <c r="A5015" s="15" t="s">
        <v>5783</v>
      </c>
      <c r="B5015" s="15" t="s">
        <v>5755</v>
      </c>
      <c r="C5015" s="15" t="s">
        <v>5995</v>
      </c>
      <c r="D5015" s="34" t="n">
        <v>0</v>
      </c>
      <c r="E5015" s="15" t="s">
        <v>6005</v>
      </c>
    </row>
    <row r="5016" customFormat="false" ht="15" hidden="false" customHeight="false" outlineLevel="0" collapsed="false">
      <c r="A5016" s="15" t="s">
        <v>5769</v>
      </c>
      <c r="B5016" s="15" t="s">
        <v>5755</v>
      </c>
      <c r="C5016" s="15" t="s">
        <v>5995</v>
      </c>
      <c r="D5016" s="34" t="n">
        <v>0</v>
      </c>
      <c r="E5016" s="15" t="s">
        <v>6005</v>
      </c>
    </row>
    <row r="5017" customFormat="false" ht="15" hidden="false" customHeight="false" outlineLevel="0" collapsed="false">
      <c r="A5017" s="15" t="s">
        <v>5755</v>
      </c>
      <c r="B5017" s="15" t="s">
        <v>5757</v>
      </c>
      <c r="C5017" s="15" t="s">
        <v>5997</v>
      </c>
      <c r="D5017" s="34" t="n">
        <f aca="false">Activities!M2051</f>
        <v>1</v>
      </c>
      <c r="E5017" s="15" t="s">
        <v>5998</v>
      </c>
    </row>
    <row r="5018" customFormat="false" ht="15" hidden="false" customHeight="false" outlineLevel="0" collapsed="false">
      <c r="A5018" s="15" t="s">
        <v>5755</v>
      </c>
      <c r="B5018" s="15" t="s">
        <v>5757</v>
      </c>
      <c r="C5018" s="15" t="s">
        <v>5999</v>
      </c>
      <c r="D5018" s="34" t="n">
        <f aca="false">Activities!N2051</f>
        <v>2</v>
      </c>
      <c r="E5018" s="15" t="s">
        <v>5998</v>
      </c>
    </row>
    <row r="5019" customFormat="false" ht="15" hidden="false" customHeight="false" outlineLevel="0" collapsed="false">
      <c r="A5019" s="15" t="s">
        <v>5758</v>
      </c>
      <c r="B5019" s="15" t="s">
        <v>5760</v>
      </c>
      <c r="C5019" s="15" t="s">
        <v>5995</v>
      </c>
      <c r="D5019" s="34" t="n">
        <v>0</v>
      </c>
      <c r="E5019" s="15" t="s">
        <v>5996</v>
      </c>
    </row>
    <row r="5020" customFormat="false" ht="15" hidden="false" customHeight="false" outlineLevel="0" collapsed="false">
      <c r="A5020" s="15" t="s">
        <v>5731</v>
      </c>
      <c r="B5020" s="15" t="s">
        <v>5760</v>
      </c>
      <c r="C5020" s="15" t="s">
        <v>5997</v>
      </c>
      <c r="D5020" s="34" t="n">
        <v>0</v>
      </c>
      <c r="E5020" s="15" t="s">
        <v>6002</v>
      </c>
    </row>
    <row r="5021" customFormat="false" ht="15" hidden="false" customHeight="false" outlineLevel="0" collapsed="false">
      <c r="A5021" s="15" t="s">
        <v>5760</v>
      </c>
      <c r="B5021" s="15" t="s">
        <v>5762</v>
      </c>
      <c r="C5021" s="15" t="s">
        <v>5997</v>
      </c>
      <c r="D5021" s="34" t="n">
        <f aca="false">Activities!M2054</f>
        <v>1</v>
      </c>
      <c r="E5021" s="15" t="s">
        <v>5998</v>
      </c>
    </row>
    <row r="5022" customFormat="false" ht="15" hidden="false" customHeight="false" outlineLevel="0" collapsed="false">
      <c r="A5022" s="15" t="s">
        <v>5760</v>
      </c>
      <c r="B5022" s="15" t="s">
        <v>5762</v>
      </c>
      <c r="C5022" s="15" t="s">
        <v>5999</v>
      </c>
      <c r="D5022" s="34" t="n">
        <f aca="false">Activities!N2054</f>
        <v>2</v>
      </c>
      <c r="E5022" s="15" t="s">
        <v>5998</v>
      </c>
    </row>
    <row r="5023" customFormat="false" ht="15" hidden="false" customHeight="false" outlineLevel="0" collapsed="false">
      <c r="A5023" s="15" t="s">
        <v>5731</v>
      </c>
      <c r="B5023" s="15" t="s">
        <v>5762</v>
      </c>
      <c r="C5023" s="15" t="s">
        <v>5995</v>
      </c>
      <c r="D5023" s="34" t="n">
        <v>0</v>
      </c>
      <c r="E5023" s="15" t="s">
        <v>6014</v>
      </c>
    </row>
    <row r="5024" customFormat="false" ht="15" hidden="false" customHeight="false" outlineLevel="0" collapsed="false">
      <c r="A5024" s="15" t="s">
        <v>5762</v>
      </c>
      <c r="B5024" s="15" t="s">
        <v>5763</v>
      </c>
      <c r="C5024" s="15" t="s">
        <v>5997</v>
      </c>
      <c r="D5024" s="34" t="n">
        <f aca="false">Activities!M2055</f>
        <v>2</v>
      </c>
      <c r="E5024" s="15" t="s">
        <v>5998</v>
      </c>
    </row>
    <row r="5025" customFormat="false" ht="15" hidden="false" customHeight="false" outlineLevel="0" collapsed="false">
      <c r="A5025" s="15" t="s">
        <v>5762</v>
      </c>
      <c r="B5025" s="15" t="s">
        <v>5763</v>
      </c>
      <c r="C5025" s="15" t="s">
        <v>5999</v>
      </c>
      <c r="D5025" s="34" t="n">
        <f aca="false">Activities!N2055</f>
        <v>2</v>
      </c>
      <c r="E5025" s="15" t="s">
        <v>5998</v>
      </c>
    </row>
    <row r="5026" customFormat="false" ht="15" hidden="false" customHeight="false" outlineLevel="0" collapsed="false">
      <c r="A5026" s="15" t="s">
        <v>5732</v>
      </c>
      <c r="B5026" s="15" t="s">
        <v>5763</v>
      </c>
      <c r="C5026" s="15" t="s">
        <v>5995</v>
      </c>
      <c r="D5026" s="34" t="n">
        <v>0</v>
      </c>
      <c r="E5026" s="15" t="s">
        <v>6014</v>
      </c>
    </row>
    <row r="5027" customFormat="false" ht="15" hidden="false" customHeight="false" outlineLevel="0" collapsed="false">
      <c r="A5027" s="15" t="s">
        <v>5763</v>
      </c>
      <c r="B5027" s="15" t="s">
        <v>5764</v>
      </c>
      <c r="C5027" s="15" t="s">
        <v>5997</v>
      </c>
      <c r="D5027" s="34" t="n">
        <f aca="false">Activities!M2056</f>
        <v>1</v>
      </c>
      <c r="E5027" s="15" t="s">
        <v>5998</v>
      </c>
    </row>
    <row r="5028" customFormat="false" ht="15" hidden="false" customHeight="false" outlineLevel="0" collapsed="false">
      <c r="A5028" s="15" t="s">
        <v>5763</v>
      </c>
      <c r="B5028" s="15" t="s">
        <v>5764</v>
      </c>
      <c r="C5028" s="15" t="s">
        <v>5999</v>
      </c>
      <c r="D5028" s="34" t="n">
        <f aca="false">Activities!N2056</f>
        <v>2</v>
      </c>
      <c r="E5028" s="15" t="s">
        <v>5998</v>
      </c>
    </row>
    <row r="5029" customFormat="false" ht="15" hidden="false" customHeight="false" outlineLevel="0" collapsed="false">
      <c r="A5029" s="15" t="s">
        <v>5735</v>
      </c>
      <c r="B5029" s="15" t="s">
        <v>5764</v>
      </c>
      <c r="C5029" s="15" t="s">
        <v>5995</v>
      </c>
      <c r="D5029" s="34" t="n">
        <f aca="false">-Activities!K2056</f>
        <v>-10</v>
      </c>
      <c r="E5029" s="15" t="s">
        <v>6004</v>
      </c>
    </row>
    <row r="5030" customFormat="false" ht="15" hidden="false" customHeight="false" outlineLevel="0" collapsed="false">
      <c r="A5030" s="15" t="s">
        <v>5764</v>
      </c>
      <c r="B5030" s="15" t="s">
        <v>5766</v>
      </c>
      <c r="C5030" s="15" t="s">
        <v>5997</v>
      </c>
      <c r="D5030" s="34" t="n">
        <f aca="false">Activities!M2057</f>
        <v>10</v>
      </c>
      <c r="E5030" s="15" t="s">
        <v>5998</v>
      </c>
    </row>
    <row r="5031" customFormat="false" ht="15" hidden="false" customHeight="false" outlineLevel="0" collapsed="false">
      <c r="A5031" s="15" t="s">
        <v>5764</v>
      </c>
      <c r="B5031" s="15" t="s">
        <v>5766</v>
      </c>
      <c r="C5031" s="15" t="s">
        <v>5999</v>
      </c>
      <c r="D5031" s="34" t="n">
        <f aca="false">Activities!N2057</f>
        <v>2</v>
      </c>
      <c r="E5031" s="15" t="s">
        <v>5998</v>
      </c>
    </row>
    <row r="5032" customFormat="false" ht="15" hidden="false" customHeight="false" outlineLevel="0" collapsed="false">
      <c r="A5032" s="15" t="s">
        <v>5735</v>
      </c>
      <c r="B5032" s="15" t="s">
        <v>5766</v>
      </c>
      <c r="C5032" s="15" t="s">
        <v>5995</v>
      </c>
      <c r="D5032" s="34" t="n">
        <v>0</v>
      </c>
      <c r="E5032" s="15" t="s">
        <v>6014</v>
      </c>
    </row>
    <row r="5033" customFormat="false" ht="15" hidden="false" customHeight="false" outlineLevel="0" collapsed="false">
      <c r="A5033" s="15" t="s">
        <v>5750</v>
      </c>
      <c r="B5033" s="15" t="s">
        <v>5766</v>
      </c>
      <c r="C5033" s="15" t="s">
        <v>5997</v>
      </c>
      <c r="D5033" s="34" t="n">
        <v>0</v>
      </c>
      <c r="E5033" s="15" t="s">
        <v>6006</v>
      </c>
    </row>
    <row r="5034" customFormat="false" ht="15" hidden="false" customHeight="false" outlineLevel="0" collapsed="false">
      <c r="A5034" s="15" t="s">
        <v>5735</v>
      </c>
      <c r="B5034" s="15" t="s">
        <v>5766</v>
      </c>
      <c r="C5034" s="15" t="s">
        <v>5997</v>
      </c>
      <c r="D5034" s="34" t="n">
        <v>0</v>
      </c>
      <c r="E5034" s="15" t="s">
        <v>6006</v>
      </c>
    </row>
    <row r="5035" customFormat="false" ht="15" hidden="false" customHeight="false" outlineLevel="0" collapsed="false">
      <c r="A5035" s="15" t="s">
        <v>5766</v>
      </c>
      <c r="B5035" s="15" t="s">
        <v>5768</v>
      </c>
      <c r="C5035" s="15" t="s">
        <v>5997</v>
      </c>
      <c r="D5035" s="34" t="n">
        <f aca="false">Activities!M2058</f>
        <v>1</v>
      </c>
      <c r="E5035" s="15" t="s">
        <v>5998</v>
      </c>
    </row>
    <row r="5036" customFormat="false" ht="15" hidden="false" customHeight="false" outlineLevel="0" collapsed="false">
      <c r="A5036" s="15" t="s">
        <v>5766</v>
      </c>
      <c r="B5036" s="15" t="s">
        <v>5768</v>
      </c>
      <c r="C5036" s="15" t="s">
        <v>5999</v>
      </c>
      <c r="D5036" s="34" t="n">
        <f aca="false">Activities!N2058</f>
        <v>2</v>
      </c>
      <c r="E5036" s="15" t="s">
        <v>5998</v>
      </c>
    </row>
    <row r="5037" customFormat="false" ht="15" hidden="false" customHeight="false" outlineLevel="0" collapsed="false">
      <c r="A5037" s="15" t="s">
        <v>5737</v>
      </c>
      <c r="B5037" s="15" t="s">
        <v>5768</v>
      </c>
      <c r="C5037" s="15" t="s">
        <v>5995</v>
      </c>
      <c r="D5037" s="34" t="n">
        <v>0</v>
      </c>
      <c r="E5037" s="15" t="s">
        <v>6014</v>
      </c>
    </row>
    <row r="5038" customFormat="false" ht="15" hidden="false" customHeight="false" outlineLevel="0" collapsed="false">
      <c r="A5038" s="15" t="s">
        <v>5768</v>
      </c>
      <c r="B5038" s="15" t="s">
        <v>5769</v>
      </c>
      <c r="C5038" s="15" t="s">
        <v>5997</v>
      </c>
      <c r="D5038" s="34" t="n">
        <f aca="false">Activities!M2059</f>
        <v>2</v>
      </c>
      <c r="E5038" s="15" t="s">
        <v>5998</v>
      </c>
    </row>
    <row r="5039" customFormat="false" ht="15" hidden="false" customHeight="false" outlineLevel="0" collapsed="false">
      <c r="A5039" s="15" t="s">
        <v>5768</v>
      </c>
      <c r="B5039" s="15" t="s">
        <v>5769</v>
      </c>
      <c r="C5039" s="15" t="s">
        <v>5999</v>
      </c>
      <c r="D5039" s="34" t="n">
        <f aca="false">Activities!N2059</f>
        <v>2</v>
      </c>
      <c r="E5039" s="15" t="s">
        <v>5998</v>
      </c>
    </row>
    <row r="5040" customFormat="false" ht="15" hidden="false" customHeight="false" outlineLevel="0" collapsed="false">
      <c r="A5040" s="15" t="s">
        <v>5738</v>
      </c>
      <c r="B5040" s="15" t="s">
        <v>5769</v>
      </c>
      <c r="C5040" s="15" t="s">
        <v>5995</v>
      </c>
      <c r="D5040" s="34" t="n">
        <v>0</v>
      </c>
      <c r="E5040" s="15" t="s">
        <v>6014</v>
      </c>
    </row>
    <row r="5041" customFormat="false" ht="15" hidden="false" customHeight="false" outlineLevel="0" collapsed="false">
      <c r="A5041" s="15" t="s">
        <v>5769</v>
      </c>
      <c r="B5041" s="15" t="s">
        <v>5770</v>
      </c>
      <c r="C5041" s="15" t="s">
        <v>5997</v>
      </c>
      <c r="D5041" s="34" t="n">
        <f aca="false">Activities!M2060</f>
        <v>2</v>
      </c>
      <c r="E5041" s="15" t="s">
        <v>5998</v>
      </c>
    </row>
    <row r="5042" customFormat="false" ht="15" hidden="false" customHeight="false" outlineLevel="0" collapsed="false">
      <c r="A5042" s="15" t="s">
        <v>5769</v>
      </c>
      <c r="B5042" s="15" t="s">
        <v>5770</v>
      </c>
      <c r="C5042" s="15" t="s">
        <v>5999</v>
      </c>
      <c r="D5042" s="34" t="n">
        <f aca="false">Activities!N2060</f>
        <v>2</v>
      </c>
      <c r="E5042" s="15" t="s">
        <v>5998</v>
      </c>
    </row>
    <row r="5043" customFormat="false" ht="15" hidden="false" customHeight="false" outlineLevel="0" collapsed="false">
      <c r="A5043" s="15" t="s">
        <v>5770</v>
      </c>
      <c r="B5043" s="15" t="s">
        <v>5771</v>
      </c>
      <c r="C5043" s="15" t="s">
        <v>5997</v>
      </c>
      <c r="D5043" s="34" t="n">
        <f aca="false">Activities!M2061</f>
        <v>2</v>
      </c>
      <c r="E5043" s="15" t="s">
        <v>5998</v>
      </c>
    </row>
    <row r="5044" customFormat="false" ht="15" hidden="false" customHeight="false" outlineLevel="0" collapsed="false">
      <c r="A5044" s="15" t="s">
        <v>5770</v>
      </c>
      <c r="B5044" s="15" t="s">
        <v>5771</v>
      </c>
      <c r="C5044" s="15" t="s">
        <v>5999</v>
      </c>
      <c r="D5044" s="34" t="n">
        <f aca="false">Activities!N2061</f>
        <v>2</v>
      </c>
      <c r="E5044" s="15" t="s">
        <v>5998</v>
      </c>
    </row>
    <row r="5045" customFormat="false" ht="15" hidden="false" customHeight="false" outlineLevel="0" collapsed="false">
      <c r="A5045" s="15" t="s">
        <v>5740</v>
      </c>
      <c r="B5045" s="15" t="s">
        <v>5771</v>
      </c>
      <c r="C5045" s="15" t="s">
        <v>5995</v>
      </c>
      <c r="D5045" s="34" t="n">
        <v>0</v>
      </c>
      <c r="E5045" s="15" t="s">
        <v>6014</v>
      </c>
    </row>
    <row r="5046" customFormat="false" ht="15" hidden="false" customHeight="false" outlineLevel="0" collapsed="false">
      <c r="A5046" s="15" t="s">
        <v>5752</v>
      </c>
      <c r="B5046" s="15" t="s">
        <v>5771</v>
      </c>
      <c r="C5046" s="15" t="s">
        <v>5995</v>
      </c>
      <c r="D5046" s="34" t="n">
        <v>0</v>
      </c>
      <c r="E5046" s="15" t="s">
        <v>6005</v>
      </c>
    </row>
    <row r="5047" customFormat="false" ht="15" hidden="false" customHeight="false" outlineLevel="0" collapsed="false">
      <c r="A5047" s="15" t="s">
        <v>5738</v>
      </c>
      <c r="B5047" s="15" t="s">
        <v>5771</v>
      </c>
      <c r="C5047" s="15" t="s">
        <v>5995</v>
      </c>
      <c r="D5047" s="34" t="n">
        <v>0</v>
      </c>
      <c r="E5047" s="15" t="s">
        <v>6005</v>
      </c>
    </row>
    <row r="5048" customFormat="false" ht="15" hidden="false" customHeight="false" outlineLevel="0" collapsed="false">
      <c r="A5048" s="15" t="s">
        <v>5771</v>
      </c>
      <c r="B5048" s="15" t="s">
        <v>5773</v>
      </c>
      <c r="C5048" s="15" t="s">
        <v>5997</v>
      </c>
      <c r="D5048" s="34" t="n">
        <f aca="false">Activities!M2062</f>
        <v>1</v>
      </c>
      <c r="E5048" s="15" t="s">
        <v>5998</v>
      </c>
    </row>
    <row r="5049" customFormat="false" ht="15" hidden="false" customHeight="false" outlineLevel="0" collapsed="false">
      <c r="A5049" s="15" t="s">
        <v>5771</v>
      </c>
      <c r="B5049" s="15" t="s">
        <v>5773</v>
      </c>
      <c r="C5049" s="15" t="s">
        <v>5999</v>
      </c>
      <c r="D5049" s="34" t="n">
        <f aca="false">Activities!N2062</f>
        <v>2</v>
      </c>
      <c r="E5049" s="15" t="s">
        <v>5998</v>
      </c>
    </row>
    <row r="5050" customFormat="false" ht="15" hidden="false" customHeight="false" outlineLevel="0" collapsed="false">
      <c r="A5050" s="15" t="s">
        <v>5774</v>
      </c>
      <c r="B5050" s="15" t="s">
        <v>5776</v>
      </c>
      <c r="C5050" s="15" t="s">
        <v>5995</v>
      </c>
      <c r="D5050" s="34" t="n">
        <v>0</v>
      </c>
      <c r="E5050" s="15" t="s">
        <v>5996</v>
      </c>
    </row>
    <row r="5051" customFormat="false" ht="15" hidden="false" customHeight="false" outlineLevel="0" collapsed="false">
      <c r="A5051" s="15" t="s">
        <v>5762</v>
      </c>
      <c r="B5051" s="15" t="s">
        <v>5776</v>
      </c>
      <c r="C5051" s="15" t="s">
        <v>5997</v>
      </c>
      <c r="D5051" s="34" t="n">
        <v>0</v>
      </c>
      <c r="E5051" s="15" t="s">
        <v>6000</v>
      </c>
    </row>
    <row r="5052" customFormat="false" ht="15" hidden="false" customHeight="false" outlineLevel="0" collapsed="false">
      <c r="A5052" s="15" t="s">
        <v>5776</v>
      </c>
      <c r="B5052" s="15" t="s">
        <v>5778</v>
      </c>
      <c r="C5052" s="15" t="s">
        <v>5997</v>
      </c>
      <c r="D5052" s="34" t="n">
        <f aca="false">Activities!M2065</f>
        <v>1</v>
      </c>
      <c r="E5052" s="15" t="s">
        <v>5998</v>
      </c>
    </row>
    <row r="5053" customFormat="false" ht="15" hidden="false" customHeight="false" outlineLevel="0" collapsed="false">
      <c r="A5053" s="15" t="s">
        <v>5776</v>
      </c>
      <c r="B5053" s="15" t="s">
        <v>5778</v>
      </c>
      <c r="C5053" s="15" t="s">
        <v>5999</v>
      </c>
      <c r="D5053" s="34" t="n">
        <f aca="false">Activities!N2065</f>
        <v>2</v>
      </c>
      <c r="E5053" s="15" t="s">
        <v>5998</v>
      </c>
    </row>
    <row r="5054" customFormat="false" ht="15" hidden="false" customHeight="false" outlineLevel="0" collapsed="false">
      <c r="A5054" s="15" t="s">
        <v>5778</v>
      </c>
      <c r="B5054" s="15" t="s">
        <v>5779</v>
      </c>
      <c r="C5054" s="15" t="s">
        <v>5997</v>
      </c>
      <c r="D5054" s="34" t="n">
        <f aca="false">Activities!M2066</f>
        <v>1</v>
      </c>
      <c r="E5054" s="15" t="s">
        <v>5998</v>
      </c>
    </row>
    <row r="5055" customFormat="false" ht="15" hidden="false" customHeight="false" outlineLevel="0" collapsed="false">
      <c r="A5055" s="15" t="s">
        <v>5778</v>
      </c>
      <c r="B5055" s="15" t="s">
        <v>5779</v>
      </c>
      <c r="C5055" s="15" t="s">
        <v>5999</v>
      </c>
      <c r="D5055" s="34" t="n">
        <f aca="false">Activities!N2066</f>
        <v>2</v>
      </c>
      <c r="E5055" s="15" t="s">
        <v>5998</v>
      </c>
    </row>
    <row r="5056" customFormat="false" ht="15" hidden="false" customHeight="false" outlineLevel="0" collapsed="false">
      <c r="A5056" s="15" t="s">
        <v>5779</v>
      </c>
      <c r="B5056" s="15" t="s">
        <v>5780</v>
      </c>
      <c r="C5056" s="15" t="s">
        <v>5997</v>
      </c>
      <c r="D5056" s="34" t="n">
        <f aca="false">Activities!M2067</f>
        <v>1</v>
      </c>
      <c r="E5056" s="15" t="s">
        <v>5998</v>
      </c>
    </row>
    <row r="5057" customFormat="false" ht="15" hidden="false" customHeight="false" outlineLevel="0" collapsed="false">
      <c r="A5057" s="15" t="s">
        <v>5779</v>
      </c>
      <c r="B5057" s="15" t="s">
        <v>5780</v>
      </c>
      <c r="C5057" s="15" t="s">
        <v>5999</v>
      </c>
      <c r="D5057" s="34" t="n">
        <f aca="false">Activities!N2067</f>
        <v>2</v>
      </c>
      <c r="E5057" s="15" t="s">
        <v>5998</v>
      </c>
    </row>
    <row r="5058" customFormat="false" ht="15" hidden="false" customHeight="false" outlineLevel="0" collapsed="false">
      <c r="A5058" s="15" t="s">
        <v>5780</v>
      </c>
      <c r="B5058" s="15" t="s">
        <v>5781</v>
      </c>
      <c r="C5058" s="15" t="s">
        <v>5997</v>
      </c>
      <c r="D5058" s="34" t="n">
        <f aca="false">Activities!M2068</f>
        <v>10</v>
      </c>
      <c r="E5058" s="15" t="s">
        <v>5998</v>
      </c>
    </row>
    <row r="5059" customFormat="false" ht="15" hidden="false" customHeight="false" outlineLevel="0" collapsed="false">
      <c r="A5059" s="15" t="s">
        <v>5780</v>
      </c>
      <c r="B5059" s="15" t="s">
        <v>5781</v>
      </c>
      <c r="C5059" s="15" t="s">
        <v>5999</v>
      </c>
      <c r="D5059" s="34" t="n">
        <f aca="false">Activities!N2068</f>
        <v>2</v>
      </c>
      <c r="E5059" s="15" t="s">
        <v>5998</v>
      </c>
    </row>
    <row r="5060" customFormat="false" ht="15" hidden="false" customHeight="false" outlineLevel="0" collapsed="false">
      <c r="A5060" s="15" t="s">
        <v>5750</v>
      </c>
      <c r="B5060" s="15" t="s">
        <v>5781</v>
      </c>
      <c r="C5060" s="15" t="s">
        <v>5997</v>
      </c>
      <c r="D5060" s="34" t="n">
        <v>0</v>
      </c>
      <c r="E5060" s="15" t="s">
        <v>6006</v>
      </c>
    </row>
    <row r="5061" customFormat="false" ht="15" hidden="false" customHeight="false" outlineLevel="0" collapsed="false">
      <c r="A5061" s="15" t="s">
        <v>5735</v>
      </c>
      <c r="B5061" s="15" t="s">
        <v>5781</v>
      </c>
      <c r="C5061" s="15" t="s">
        <v>5997</v>
      </c>
      <c r="D5061" s="34" t="n">
        <v>0</v>
      </c>
      <c r="E5061" s="15" t="s">
        <v>6006</v>
      </c>
    </row>
    <row r="5062" customFormat="false" ht="15" hidden="false" customHeight="false" outlineLevel="0" collapsed="false">
      <c r="A5062" s="15" t="s">
        <v>5781</v>
      </c>
      <c r="B5062" s="15" t="s">
        <v>5782</v>
      </c>
      <c r="C5062" s="15" t="s">
        <v>5997</v>
      </c>
      <c r="D5062" s="34" t="n">
        <f aca="false">Activities!M2069</f>
        <v>1</v>
      </c>
      <c r="E5062" s="15" t="s">
        <v>5998</v>
      </c>
    </row>
    <row r="5063" customFormat="false" ht="15" hidden="false" customHeight="false" outlineLevel="0" collapsed="false">
      <c r="A5063" s="15" t="s">
        <v>5781</v>
      </c>
      <c r="B5063" s="15" t="s">
        <v>5782</v>
      </c>
      <c r="C5063" s="15" t="s">
        <v>5999</v>
      </c>
      <c r="D5063" s="34" t="n">
        <f aca="false">Activities!N2069</f>
        <v>2</v>
      </c>
      <c r="E5063" s="15" t="s">
        <v>5998</v>
      </c>
    </row>
    <row r="5064" customFormat="false" ht="15" hidden="false" customHeight="false" outlineLevel="0" collapsed="false">
      <c r="A5064" s="15" t="s">
        <v>5782</v>
      </c>
      <c r="B5064" s="15" t="s">
        <v>5783</v>
      </c>
      <c r="C5064" s="15" t="s">
        <v>5997</v>
      </c>
      <c r="D5064" s="34" t="n">
        <f aca="false">Activities!M2070</f>
        <v>2</v>
      </c>
      <c r="E5064" s="15" t="s">
        <v>5998</v>
      </c>
    </row>
    <row r="5065" customFormat="false" ht="15" hidden="false" customHeight="false" outlineLevel="0" collapsed="false">
      <c r="A5065" s="15" t="s">
        <v>5782</v>
      </c>
      <c r="B5065" s="15" t="s">
        <v>5783</v>
      </c>
      <c r="C5065" s="15" t="s">
        <v>5999</v>
      </c>
      <c r="D5065" s="34" t="n">
        <f aca="false">Activities!N2070</f>
        <v>2</v>
      </c>
      <c r="E5065" s="15" t="s">
        <v>5998</v>
      </c>
    </row>
    <row r="5066" customFormat="false" ht="15" hidden="false" customHeight="false" outlineLevel="0" collapsed="false">
      <c r="A5066" s="15" t="s">
        <v>5769</v>
      </c>
      <c r="B5066" s="15" t="s">
        <v>5783</v>
      </c>
      <c r="C5066" s="15" t="s">
        <v>5995</v>
      </c>
      <c r="D5066" s="34" t="n">
        <v>0</v>
      </c>
      <c r="E5066" s="15" t="s">
        <v>6001</v>
      </c>
    </row>
    <row r="5067" customFormat="false" ht="15" hidden="false" customHeight="false" outlineLevel="0" collapsed="false">
      <c r="A5067" s="15" t="s">
        <v>5783</v>
      </c>
      <c r="B5067" s="15" t="s">
        <v>5785</v>
      </c>
      <c r="C5067" s="15" t="s">
        <v>5997</v>
      </c>
      <c r="D5067" s="34" t="n">
        <f aca="false">Activities!M2071</f>
        <v>2</v>
      </c>
      <c r="E5067" s="15" t="s">
        <v>5998</v>
      </c>
    </row>
    <row r="5068" customFormat="false" ht="15" hidden="false" customHeight="false" outlineLevel="0" collapsed="false">
      <c r="A5068" s="15" t="s">
        <v>5783</v>
      </c>
      <c r="B5068" s="15" t="s">
        <v>5785</v>
      </c>
      <c r="C5068" s="15" t="s">
        <v>5999</v>
      </c>
      <c r="D5068" s="34" t="n">
        <f aca="false">Activities!N2071</f>
        <v>2</v>
      </c>
      <c r="E5068" s="15" t="s">
        <v>5998</v>
      </c>
    </row>
    <row r="5069" customFormat="false" ht="15" hidden="false" customHeight="false" outlineLevel="0" collapsed="false">
      <c r="A5069" s="15" t="s">
        <v>5785</v>
      </c>
      <c r="B5069" s="15" t="s">
        <v>5786</v>
      </c>
      <c r="C5069" s="15" t="s">
        <v>5997</v>
      </c>
      <c r="D5069" s="34" t="n">
        <f aca="false">Activities!M2072</f>
        <v>2</v>
      </c>
      <c r="E5069" s="15" t="s">
        <v>5998</v>
      </c>
    </row>
    <row r="5070" customFormat="false" ht="15" hidden="false" customHeight="false" outlineLevel="0" collapsed="false">
      <c r="A5070" s="15" t="s">
        <v>5785</v>
      </c>
      <c r="B5070" s="15" t="s">
        <v>5786</v>
      </c>
      <c r="C5070" s="15" t="s">
        <v>5999</v>
      </c>
      <c r="D5070" s="34" t="n">
        <f aca="false">Activities!N2072</f>
        <v>2</v>
      </c>
      <c r="E5070" s="15" t="s">
        <v>5998</v>
      </c>
    </row>
    <row r="5071" customFormat="false" ht="15" hidden="false" customHeight="false" outlineLevel="0" collapsed="false">
      <c r="A5071" s="15" t="s">
        <v>5752</v>
      </c>
      <c r="B5071" s="15" t="s">
        <v>5786</v>
      </c>
      <c r="C5071" s="15" t="s">
        <v>5995</v>
      </c>
      <c r="D5071" s="34" t="n">
        <v>0</v>
      </c>
      <c r="E5071" s="15" t="s">
        <v>6005</v>
      </c>
    </row>
    <row r="5072" customFormat="false" ht="15" hidden="false" customHeight="false" outlineLevel="0" collapsed="false">
      <c r="A5072" s="15" t="s">
        <v>5738</v>
      </c>
      <c r="B5072" s="15" t="s">
        <v>5786</v>
      </c>
      <c r="C5072" s="15" t="s">
        <v>5995</v>
      </c>
      <c r="D5072" s="34" t="n">
        <v>0</v>
      </c>
      <c r="E5072" s="15" t="s">
        <v>6005</v>
      </c>
    </row>
    <row r="5073" customFormat="false" ht="15" hidden="false" customHeight="false" outlineLevel="0" collapsed="false">
      <c r="A5073" s="15" t="s">
        <v>5786</v>
      </c>
      <c r="B5073" s="15" t="s">
        <v>5787</v>
      </c>
      <c r="C5073" s="15" t="s">
        <v>5997</v>
      </c>
      <c r="D5073" s="34" t="n">
        <f aca="false">Activities!M2073</f>
        <v>1</v>
      </c>
      <c r="E5073" s="15" t="s">
        <v>5998</v>
      </c>
    </row>
    <row r="5074" customFormat="false" ht="15" hidden="false" customHeight="false" outlineLevel="0" collapsed="false">
      <c r="A5074" s="15" t="s">
        <v>5786</v>
      </c>
      <c r="B5074" s="15" t="s">
        <v>5787</v>
      </c>
      <c r="C5074" s="15" t="s">
        <v>5999</v>
      </c>
      <c r="D5074" s="34" t="n">
        <f aca="false">Activities!N2073</f>
        <v>2</v>
      </c>
      <c r="E5074" s="15" t="s">
        <v>5998</v>
      </c>
    </row>
    <row r="5075" customFormat="false" ht="15" hidden="false" customHeight="false" outlineLevel="0" collapsed="false">
      <c r="A5075" s="15" t="s">
        <v>5788</v>
      </c>
      <c r="B5075" s="15" t="s">
        <v>5790</v>
      </c>
      <c r="C5075" s="15" t="s">
        <v>5995</v>
      </c>
      <c r="D5075" s="34" t="n">
        <v>0</v>
      </c>
      <c r="E5075" s="15" t="s">
        <v>5996</v>
      </c>
    </row>
    <row r="5076" customFormat="false" ht="15" hidden="false" customHeight="false" outlineLevel="0" collapsed="false">
      <c r="A5076" s="15" t="s">
        <v>5762</v>
      </c>
      <c r="B5076" s="15" t="s">
        <v>5790</v>
      </c>
      <c r="C5076" s="15" t="s">
        <v>5997</v>
      </c>
      <c r="D5076" s="34" t="n">
        <v>0</v>
      </c>
      <c r="E5076" s="15" t="s">
        <v>6002</v>
      </c>
    </row>
    <row r="5077" customFormat="false" ht="15" hidden="false" customHeight="false" outlineLevel="0" collapsed="false">
      <c r="A5077" s="15" t="s">
        <v>5790</v>
      </c>
      <c r="B5077" s="15" t="s">
        <v>5792</v>
      </c>
      <c r="C5077" s="15" t="s">
        <v>5997</v>
      </c>
      <c r="D5077" s="34" t="n">
        <f aca="false">Activities!M2076</f>
        <v>1</v>
      </c>
      <c r="E5077" s="15" t="s">
        <v>5998</v>
      </c>
    </row>
    <row r="5078" customFormat="false" ht="15" hidden="false" customHeight="false" outlineLevel="0" collapsed="false">
      <c r="A5078" s="15" t="s">
        <v>5790</v>
      </c>
      <c r="B5078" s="15" t="s">
        <v>5792</v>
      </c>
      <c r="C5078" s="15" t="s">
        <v>5999</v>
      </c>
      <c r="D5078" s="34" t="n">
        <f aca="false">Activities!N2076</f>
        <v>2</v>
      </c>
      <c r="E5078" s="15" t="s">
        <v>5998</v>
      </c>
    </row>
    <row r="5079" customFormat="false" ht="15" hidden="false" customHeight="false" outlineLevel="0" collapsed="false">
      <c r="A5079" s="15" t="s">
        <v>5762</v>
      </c>
      <c r="B5079" s="15" t="s">
        <v>5792</v>
      </c>
      <c r="C5079" s="15" t="s">
        <v>5995</v>
      </c>
      <c r="D5079" s="34" t="n">
        <v>0</v>
      </c>
      <c r="E5079" s="15" t="s">
        <v>6014</v>
      </c>
    </row>
    <row r="5080" customFormat="false" ht="15" hidden="false" customHeight="false" outlineLevel="0" collapsed="false">
      <c r="A5080" s="15" t="s">
        <v>5792</v>
      </c>
      <c r="B5080" s="15" t="s">
        <v>5793</v>
      </c>
      <c r="C5080" s="15" t="s">
        <v>5997</v>
      </c>
      <c r="D5080" s="34" t="n">
        <f aca="false">Activities!M2077</f>
        <v>1</v>
      </c>
      <c r="E5080" s="15" t="s">
        <v>5998</v>
      </c>
    </row>
    <row r="5081" customFormat="false" ht="15" hidden="false" customHeight="false" outlineLevel="0" collapsed="false">
      <c r="A5081" s="15" t="s">
        <v>5792</v>
      </c>
      <c r="B5081" s="15" t="s">
        <v>5793</v>
      </c>
      <c r="C5081" s="15" t="s">
        <v>5999</v>
      </c>
      <c r="D5081" s="34" t="n">
        <f aca="false">Activities!N2077</f>
        <v>2</v>
      </c>
      <c r="E5081" s="15" t="s">
        <v>5998</v>
      </c>
    </row>
    <row r="5082" customFormat="false" ht="15" hidden="false" customHeight="false" outlineLevel="0" collapsed="false">
      <c r="A5082" s="15" t="s">
        <v>5763</v>
      </c>
      <c r="B5082" s="15" t="s">
        <v>5793</v>
      </c>
      <c r="C5082" s="15" t="s">
        <v>5995</v>
      </c>
      <c r="D5082" s="34" t="n">
        <v>0</v>
      </c>
      <c r="E5082" s="15" t="s">
        <v>6014</v>
      </c>
    </row>
    <row r="5083" customFormat="false" ht="15" hidden="false" customHeight="false" outlineLevel="0" collapsed="false">
      <c r="A5083" s="15" t="s">
        <v>5793</v>
      </c>
      <c r="B5083" s="15" t="s">
        <v>5794</v>
      </c>
      <c r="C5083" s="15" t="s">
        <v>5997</v>
      </c>
      <c r="D5083" s="34" t="n">
        <f aca="false">Activities!M2078</f>
        <v>1</v>
      </c>
      <c r="E5083" s="15" t="s">
        <v>5998</v>
      </c>
    </row>
    <row r="5084" customFormat="false" ht="15" hidden="false" customHeight="false" outlineLevel="0" collapsed="false">
      <c r="A5084" s="15" t="s">
        <v>5793</v>
      </c>
      <c r="B5084" s="15" t="s">
        <v>5794</v>
      </c>
      <c r="C5084" s="15" t="s">
        <v>5999</v>
      </c>
      <c r="D5084" s="34" t="n">
        <f aca="false">Activities!N2078</f>
        <v>2</v>
      </c>
      <c r="E5084" s="15" t="s">
        <v>5998</v>
      </c>
    </row>
    <row r="5085" customFormat="false" ht="15" hidden="false" customHeight="false" outlineLevel="0" collapsed="false">
      <c r="A5085" s="15" t="s">
        <v>5766</v>
      </c>
      <c r="B5085" s="15" t="s">
        <v>5794</v>
      </c>
      <c r="C5085" s="15" t="s">
        <v>5995</v>
      </c>
      <c r="D5085" s="34" t="n">
        <f aca="false">-Activities!K2078</f>
        <v>-10</v>
      </c>
      <c r="E5085" s="15" t="s">
        <v>6004</v>
      </c>
    </row>
    <row r="5086" customFormat="false" ht="15" hidden="false" customHeight="false" outlineLevel="0" collapsed="false">
      <c r="A5086" s="15" t="s">
        <v>5794</v>
      </c>
      <c r="B5086" s="15" t="s">
        <v>5796</v>
      </c>
      <c r="C5086" s="15" t="s">
        <v>5997</v>
      </c>
      <c r="D5086" s="34" t="n">
        <f aca="false">Activities!M2079</f>
        <v>10</v>
      </c>
      <c r="E5086" s="15" t="s">
        <v>5998</v>
      </c>
    </row>
    <row r="5087" customFormat="false" ht="15" hidden="false" customHeight="false" outlineLevel="0" collapsed="false">
      <c r="A5087" s="15" t="s">
        <v>5794</v>
      </c>
      <c r="B5087" s="15" t="s">
        <v>5796</v>
      </c>
      <c r="C5087" s="15" t="s">
        <v>5999</v>
      </c>
      <c r="D5087" s="34" t="n">
        <f aca="false">Activities!N2079</f>
        <v>2</v>
      </c>
      <c r="E5087" s="15" t="s">
        <v>5998</v>
      </c>
    </row>
    <row r="5088" customFormat="false" ht="15" hidden="false" customHeight="false" outlineLevel="0" collapsed="false">
      <c r="A5088" s="15" t="s">
        <v>5766</v>
      </c>
      <c r="B5088" s="15" t="s">
        <v>5796</v>
      </c>
      <c r="C5088" s="15" t="s">
        <v>5995</v>
      </c>
      <c r="D5088" s="34" t="n">
        <v>0</v>
      </c>
      <c r="E5088" s="15" t="s">
        <v>6014</v>
      </c>
    </row>
    <row r="5089" customFormat="false" ht="15" hidden="false" customHeight="false" outlineLevel="0" collapsed="false">
      <c r="A5089" s="15" t="s">
        <v>5796</v>
      </c>
      <c r="B5089" s="15" t="s">
        <v>5797</v>
      </c>
      <c r="C5089" s="15" t="s">
        <v>5997</v>
      </c>
      <c r="D5089" s="34" t="n">
        <f aca="false">Activities!M2080</f>
        <v>1</v>
      </c>
      <c r="E5089" s="15" t="s">
        <v>5998</v>
      </c>
    </row>
    <row r="5090" customFormat="false" ht="15" hidden="false" customHeight="false" outlineLevel="0" collapsed="false">
      <c r="A5090" s="15" t="s">
        <v>5796</v>
      </c>
      <c r="B5090" s="15" t="s">
        <v>5797</v>
      </c>
      <c r="C5090" s="15" t="s">
        <v>5999</v>
      </c>
      <c r="D5090" s="34" t="n">
        <f aca="false">Activities!N2080</f>
        <v>2</v>
      </c>
      <c r="E5090" s="15" t="s">
        <v>5998</v>
      </c>
    </row>
    <row r="5091" customFormat="false" ht="15" hidden="false" customHeight="false" outlineLevel="0" collapsed="false">
      <c r="A5091" s="15" t="s">
        <v>5768</v>
      </c>
      <c r="B5091" s="15" t="s">
        <v>5797</v>
      </c>
      <c r="C5091" s="15" t="s">
        <v>5995</v>
      </c>
      <c r="D5091" s="34" t="n">
        <v>0</v>
      </c>
      <c r="E5091" s="15" t="s">
        <v>6014</v>
      </c>
    </row>
    <row r="5092" customFormat="false" ht="15" hidden="false" customHeight="false" outlineLevel="0" collapsed="false">
      <c r="A5092" s="15" t="s">
        <v>5797</v>
      </c>
      <c r="B5092" s="15" t="s">
        <v>5798</v>
      </c>
      <c r="C5092" s="15" t="s">
        <v>5997</v>
      </c>
      <c r="D5092" s="34" t="n">
        <f aca="false">Activities!M2081</f>
        <v>2</v>
      </c>
      <c r="E5092" s="15" t="s">
        <v>5998</v>
      </c>
    </row>
    <row r="5093" customFormat="false" ht="15" hidden="false" customHeight="false" outlineLevel="0" collapsed="false">
      <c r="A5093" s="15" t="s">
        <v>5797</v>
      </c>
      <c r="B5093" s="15" t="s">
        <v>5798</v>
      </c>
      <c r="C5093" s="15" t="s">
        <v>5999</v>
      </c>
      <c r="D5093" s="34" t="n">
        <f aca="false">Activities!N2081</f>
        <v>2</v>
      </c>
      <c r="E5093" s="15" t="s">
        <v>5998</v>
      </c>
    </row>
    <row r="5094" customFormat="false" ht="15" hidden="false" customHeight="false" outlineLevel="0" collapsed="false">
      <c r="A5094" s="15" t="s">
        <v>5769</v>
      </c>
      <c r="B5094" s="15" t="s">
        <v>5798</v>
      </c>
      <c r="C5094" s="15" t="s">
        <v>5995</v>
      </c>
      <c r="D5094" s="34" t="n">
        <v>0</v>
      </c>
      <c r="E5094" s="15" t="s">
        <v>6014</v>
      </c>
    </row>
    <row r="5095" customFormat="false" ht="15" hidden="false" customHeight="false" outlineLevel="0" collapsed="false">
      <c r="A5095" s="15" t="s">
        <v>5798</v>
      </c>
      <c r="B5095" s="15" t="s">
        <v>5799</v>
      </c>
      <c r="C5095" s="15" t="s">
        <v>5997</v>
      </c>
      <c r="D5095" s="34" t="n">
        <f aca="false">Activities!M2082</f>
        <v>1</v>
      </c>
      <c r="E5095" s="15" t="s">
        <v>5998</v>
      </c>
    </row>
    <row r="5096" customFormat="false" ht="15" hidden="false" customHeight="false" outlineLevel="0" collapsed="false">
      <c r="A5096" s="15" t="s">
        <v>5798</v>
      </c>
      <c r="B5096" s="15" t="s">
        <v>5799</v>
      </c>
      <c r="C5096" s="15" t="s">
        <v>5999</v>
      </c>
      <c r="D5096" s="34" t="n">
        <f aca="false">Activities!N2082</f>
        <v>2</v>
      </c>
      <c r="E5096" s="15" t="s">
        <v>5998</v>
      </c>
    </row>
    <row r="5097" customFormat="false" ht="15" hidden="false" customHeight="false" outlineLevel="0" collapsed="false">
      <c r="A5097" s="15" t="s">
        <v>5799</v>
      </c>
      <c r="B5097" s="15" t="s">
        <v>5800</v>
      </c>
      <c r="C5097" s="15" t="s">
        <v>5997</v>
      </c>
      <c r="D5097" s="34" t="n">
        <f aca="false">Activities!M2083</f>
        <v>2</v>
      </c>
      <c r="E5097" s="15" t="s">
        <v>5998</v>
      </c>
    </row>
    <row r="5098" customFormat="false" ht="15" hidden="false" customHeight="false" outlineLevel="0" collapsed="false">
      <c r="A5098" s="15" t="s">
        <v>5799</v>
      </c>
      <c r="B5098" s="15" t="s">
        <v>5800</v>
      </c>
      <c r="C5098" s="15" t="s">
        <v>5999</v>
      </c>
      <c r="D5098" s="34" t="n">
        <f aca="false">Activities!N2083</f>
        <v>2</v>
      </c>
      <c r="E5098" s="15" t="s">
        <v>5998</v>
      </c>
    </row>
    <row r="5099" customFormat="false" ht="15" hidden="false" customHeight="false" outlineLevel="0" collapsed="false">
      <c r="A5099" s="15" t="s">
        <v>5771</v>
      </c>
      <c r="B5099" s="15" t="s">
        <v>5800</v>
      </c>
      <c r="C5099" s="15" t="s">
        <v>5995</v>
      </c>
      <c r="D5099" s="34" t="n">
        <v>0</v>
      </c>
      <c r="E5099" s="15" t="s">
        <v>6014</v>
      </c>
    </row>
    <row r="5100" customFormat="false" ht="15" hidden="false" customHeight="false" outlineLevel="0" collapsed="false">
      <c r="A5100" s="15" t="s">
        <v>5875</v>
      </c>
      <c r="B5100" s="15" t="s">
        <v>5800</v>
      </c>
      <c r="C5100" s="15" t="s">
        <v>5995</v>
      </c>
      <c r="D5100" s="34" t="n">
        <v>0</v>
      </c>
      <c r="E5100" s="15" t="s">
        <v>6005</v>
      </c>
    </row>
    <row r="5101" customFormat="false" ht="15" hidden="false" customHeight="false" outlineLevel="0" collapsed="false">
      <c r="A5101" s="15" t="s">
        <v>5800</v>
      </c>
      <c r="B5101" s="15" t="s">
        <v>5802</v>
      </c>
      <c r="C5101" s="15" t="s">
        <v>5997</v>
      </c>
      <c r="D5101" s="34" t="n">
        <f aca="false">Activities!M2084</f>
        <v>1</v>
      </c>
      <c r="E5101" s="15" t="s">
        <v>5998</v>
      </c>
    </row>
    <row r="5102" customFormat="false" ht="15" hidden="false" customHeight="false" outlineLevel="0" collapsed="false">
      <c r="A5102" s="15" t="s">
        <v>5800</v>
      </c>
      <c r="B5102" s="15" t="s">
        <v>5802</v>
      </c>
      <c r="C5102" s="15" t="s">
        <v>5999</v>
      </c>
      <c r="D5102" s="34" t="n">
        <f aca="false">Activities!N2084</f>
        <v>2</v>
      </c>
      <c r="E5102" s="15" t="s">
        <v>5998</v>
      </c>
    </row>
    <row r="5103" customFormat="false" ht="15" hidden="false" customHeight="false" outlineLevel="0" collapsed="false">
      <c r="A5103" s="15" t="s">
        <v>5803</v>
      </c>
      <c r="B5103" s="15" t="s">
        <v>5805</v>
      </c>
      <c r="C5103" s="15" t="s">
        <v>5995</v>
      </c>
      <c r="D5103" s="34" t="n">
        <v>0</v>
      </c>
      <c r="E5103" s="15" t="s">
        <v>5996</v>
      </c>
    </row>
    <row r="5104" customFormat="false" ht="15" hidden="false" customHeight="false" outlineLevel="0" collapsed="false">
      <c r="A5104" s="15" t="s">
        <v>5792</v>
      </c>
      <c r="B5104" s="15" t="s">
        <v>5805</v>
      </c>
      <c r="C5104" s="15" t="s">
        <v>5997</v>
      </c>
      <c r="D5104" s="34" t="n">
        <v>0</v>
      </c>
      <c r="E5104" s="15" t="s">
        <v>6002</v>
      </c>
    </row>
    <row r="5105" customFormat="false" ht="15" hidden="false" customHeight="false" outlineLevel="0" collapsed="false">
      <c r="A5105" s="15" t="s">
        <v>5805</v>
      </c>
      <c r="B5105" s="15" t="s">
        <v>5807</v>
      </c>
      <c r="C5105" s="15" t="s">
        <v>5997</v>
      </c>
      <c r="D5105" s="34" t="n">
        <f aca="false">Activities!M2087</f>
        <v>1</v>
      </c>
      <c r="E5105" s="15" t="s">
        <v>5998</v>
      </c>
    </row>
    <row r="5106" customFormat="false" ht="15" hidden="false" customHeight="false" outlineLevel="0" collapsed="false">
      <c r="A5106" s="15" t="s">
        <v>5805</v>
      </c>
      <c r="B5106" s="15" t="s">
        <v>5807</v>
      </c>
      <c r="C5106" s="15" t="s">
        <v>5999</v>
      </c>
      <c r="D5106" s="34" t="n">
        <f aca="false">Activities!N2087</f>
        <v>2</v>
      </c>
      <c r="E5106" s="15" t="s">
        <v>5998</v>
      </c>
    </row>
    <row r="5107" customFormat="false" ht="15" hidden="false" customHeight="false" outlineLevel="0" collapsed="false">
      <c r="A5107" s="15" t="s">
        <v>5792</v>
      </c>
      <c r="B5107" s="15" t="s">
        <v>5807</v>
      </c>
      <c r="C5107" s="15" t="s">
        <v>5995</v>
      </c>
      <c r="D5107" s="34" t="n">
        <v>0</v>
      </c>
      <c r="E5107" s="15" t="s">
        <v>6014</v>
      </c>
    </row>
    <row r="5108" customFormat="false" ht="15" hidden="false" customHeight="false" outlineLevel="0" collapsed="false">
      <c r="A5108" s="15" t="s">
        <v>5807</v>
      </c>
      <c r="B5108" s="15" t="s">
        <v>5808</v>
      </c>
      <c r="C5108" s="15" t="s">
        <v>5997</v>
      </c>
      <c r="D5108" s="34" t="n">
        <f aca="false">Activities!M2088</f>
        <v>4</v>
      </c>
      <c r="E5108" s="15" t="s">
        <v>5998</v>
      </c>
    </row>
    <row r="5109" customFormat="false" ht="15" hidden="false" customHeight="false" outlineLevel="0" collapsed="false">
      <c r="A5109" s="15" t="s">
        <v>5807</v>
      </c>
      <c r="B5109" s="15" t="s">
        <v>5808</v>
      </c>
      <c r="C5109" s="15" t="s">
        <v>5999</v>
      </c>
      <c r="D5109" s="34" t="n">
        <f aca="false">Activities!N2088</f>
        <v>2</v>
      </c>
      <c r="E5109" s="15" t="s">
        <v>5998</v>
      </c>
    </row>
    <row r="5110" customFormat="false" ht="15" hidden="false" customHeight="false" outlineLevel="0" collapsed="false">
      <c r="A5110" s="15" t="s">
        <v>5793</v>
      </c>
      <c r="B5110" s="15" t="s">
        <v>5808</v>
      </c>
      <c r="C5110" s="15" t="s">
        <v>5995</v>
      </c>
      <c r="D5110" s="34" t="n">
        <v>0</v>
      </c>
      <c r="E5110" s="15" t="s">
        <v>6014</v>
      </c>
    </row>
    <row r="5111" customFormat="false" ht="15" hidden="false" customHeight="false" outlineLevel="0" collapsed="false">
      <c r="A5111" s="15" t="s">
        <v>5808</v>
      </c>
      <c r="B5111" s="15" t="s">
        <v>5809</v>
      </c>
      <c r="C5111" s="15" t="s">
        <v>5997</v>
      </c>
      <c r="D5111" s="34" t="n">
        <f aca="false">Activities!M2089</f>
        <v>2</v>
      </c>
      <c r="E5111" s="15" t="s">
        <v>5998</v>
      </c>
    </row>
    <row r="5112" customFormat="false" ht="15" hidden="false" customHeight="false" outlineLevel="0" collapsed="false">
      <c r="A5112" s="15" t="s">
        <v>5808</v>
      </c>
      <c r="B5112" s="15" t="s">
        <v>5809</v>
      </c>
      <c r="C5112" s="15" t="s">
        <v>5999</v>
      </c>
      <c r="D5112" s="34" t="n">
        <f aca="false">Activities!N2089</f>
        <v>2</v>
      </c>
      <c r="E5112" s="15" t="s">
        <v>5998</v>
      </c>
    </row>
    <row r="5113" customFormat="false" ht="15" hidden="false" customHeight="false" outlineLevel="0" collapsed="false">
      <c r="A5113" s="15" t="s">
        <v>5796</v>
      </c>
      <c r="B5113" s="15" t="s">
        <v>5809</v>
      </c>
      <c r="C5113" s="15" t="s">
        <v>5995</v>
      </c>
      <c r="D5113" s="34" t="n">
        <f aca="false">-Activities!K2089</f>
        <v>-13</v>
      </c>
      <c r="E5113" s="15" t="s">
        <v>6004</v>
      </c>
    </row>
    <row r="5114" customFormat="false" ht="15" hidden="false" customHeight="false" outlineLevel="0" collapsed="false">
      <c r="A5114" s="15" t="s">
        <v>5809</v>
      </c>
      <c r="B5114" s="15" t="s">
        <v>5811</v>
      </c>
      <c r="C5114" s="15" t="s">
        <v>5997</v>
      </c>
      <c r="D5114" s="34" t="n">
        <f aca="false">Activities!M2090</f>
        <v>11</v>
      </c>
      <c r="E5114" s="15" t="s">
        <v>5998</v>
      </c>
    </row>
    <row r="5115" customFormat="false" ht="15" hidden="false" customHeight="false" outlineLevel="0" collapsed="false">
      <c r="A5115" s="15" t="s">
        <v>5809</v>
      </c>
      <c r="B5115" s="15" t="s">
        <v>5811</v>
      </c>
      <c r="C5115" s="15" t="s">
        <v>5999</v>
      </c>
      <c r="D5115" s="34" t="n">
        <f aca="false">Activities!N2090</f>
        <v>2</v>
      </c>
      <c r="E5115" s="15" t="s">
        <v>5998</v>
      </c>
    </row>
    <row r="5116" customFormat="false" ht="15" hidden="false" customHeight="false" outlineLevel="0" collapsed="false">
      <c r="A5116" s="15" t="s">
        <v>5796</v>
      </c>
      <c r="B5116" s="15" t="s">
        <v>5811</v>
      </c>
      <c r="C5116" s="15" t="s">
        <v>5995</v>
      </c>
      <c r="D5116" s="34" t="n">
        <v>0</v>
      </c>
      <c r="E5116" s="15" t="s">
        <v>6014</v>
      </c>
    </row>
    <row r="5117" customFormat="false" ht="15" hidden="false" customHeight="false" outlineLevel="0" collapsed="false">
      <c r="A5117" s="15" t="s">
        <v>5811</v>
      </c>
      <c r="B5117" s="15" t="s">
        <v>5812</v>
      </c>
      <c r="C5117" s="15" t="s">
        <v>5997</v>
      </c>
      <c r="D5117" s="34" t="n">
        <f aca="false">Activities!M2091</f>
        <v>2</v>
      </c>
      <c r="E5117" s="15" t="s">
        <v>5998</v>
      </c>
    </row>
    <row r="5118" customFormat="false" ht="15" hidden="false" customHeight="false" outlineLevel="0" collapsed="false">
      <c r="A5118" s="15" t="s">
        <v>5811</v>
      </c>
      <c r="B5118" s="15" t="s">
        <v>5812</v>
      </c>
      <c r="C5118" s="15" t="s">
        <v>5999</v>
      </c>
      <c r="D5118" s="34" t="n">
        <f aca="false">Activities!N2091</f>
        <v>2</v>
      </c>
      <c r="E5118" s="15" t="s">
        <v>5998</v>
      </c>
    </row>
    <row r="5119" customFormat="false" ht="15" hidden="false" customHeight="false" outlineLevel="0" collapsed="false">
      <c r="A5119" s="15" t="s">
        <v>5797</v>
      </c>
      <c r="B5119" s="15" t="s">
        <v>5812</v>
      </c>
      <c r="C5119" s="15" t="s">
        <v>5995</v>
      </c>
      <c r="D5119" s="34" t="n">
        <v>0</v>
      </c>
      <c r="E5119" s="15" t="s">
        <v>6014</v>
      </c>
    </row>
    <row r="5120" customFormat="false" ht="15" hidden="false" customHeight="false" outlineLevel="0" collapsed="false">
      <c r="A5120" s="15" t="s">
        <v>5812</v>
      </c>
      <c r="B5120" s="15" t="s">
        <v>5813</v>
      </c>
      <c r="C5120" s="15" t="s">
        <v>5997</v>
      </c>
      <c r="D5120" s="34" t="n">
        <f aca="false">Activities!M2092</f>
        <v>4</v>
      </c>
      <c r="E5120" s="15" t="s">
        <v>5998</v>
      </c>
    </row>
    <row r="5121" customFormat="false" ht="15" hidden="false" customHeight="false" outlineLevel="0" collapsed="false">
      <c r="A5121" s="15" t="s">
        <v>5812</v>
      </c>
      <c r="B5121" s="15" t="s">
        <v>5813</v>
      </c>
      <c r="C5121" s="15" t="s">
        <v>5999</v>
      </c>
      <c r="D5121" s="34" t="n">
        <f aca="false">Activities!N2092</f>
        <v>2</v>
      </c>
      <c r="E5121" s="15" t="s">
        <v>5998</v>
      </c>
    </row>
    <row r="5122" customFormat="false" ht="15" hidden="false" customHeight="false" outlineLevel="0" collapsed="false">
      <c r="A5122" s="15" t="s">
        <v>5798</v>
      </c>
      <c r="B5122" s="15" t="s">
        <v>5813</v>
      </c>
      <c r="C5122" s="15" t="s">
        <v>5995</v>
      </c>
      <c r="D5122" s="34" t="n">
        <v>0</v>
      </c>
      <c r="E5122" s="15" t="s">
        <v>6014</v>
      </c>
    </row>
    <row r="5123" customFormat="false" ht="15" hidden="false" customHeight="false" outlineLevel="0" collapsed="false">
      <c r="A5123" s="15" t="s">
        <v>5813</v>
      </c>
      <c r="B5123" s="15" t="s">
        <v>5814</v>
      </c>
      <c r="C5123" s="15" t="s">
        <v>5997</v>
      </c>
      <c r="D5123" s="34" t="n">
        <f aca="false">Activities!M2093</f>
        <v>3</v>
      </c>
      <c r="E5123" s="15" t="s">
        <v>5998</v>
      </c>
    </row>
    <row r="5124" customFormat="false" ht="15" hidden="false" customHeight="false" outlineLevel="0" collapsed="false">
      <c r="A5124" s="15" t="s">
        <v>5813</v>
      </c>
      <c r="B5124" s="15" t="s">
        <v>5814</v>
      </c>
      <c r="C5124" s="15" t="s">
        <v>5999</v>
      </c>
      <c r="D5124" s="34" t="n">
        <f aca="false">Activities!N2093</f>
        <v>2</v>
      </c>
      <c r="E5124" s="15" t="s">
        <v>5998</v>
      </c>
    </row>
    <row r="5125" customFormat="false" ht="15" hidden="false" customHeight="false" outlineLevel="0" collapsed="false">
      <c r="A5125" s="15" t="s">
        <v>5814</v>
      </c>
      <c r="B5125" s="15" t="s">
        <v>5815</v>
      </c>
      <c r="C5125" s="15" t="s">
        <v>5997</v>
      </c>
      <c r="D5125" s="34" t="n">
        <f aca="false">Activities!M2094</f>
        <v>2</v>
      </c>
      <c r="E5125" s="15" t="s">
        <v>5998</v>
      </c>
    </row>
    <row r="5126" customFormat="false" ht="15" hidden="false" customHeight="false" outlineLevel="0" collapsed="false">
      <c r="A5126" s="15" t="s">
        <v>5814</v>
      </c>
      <c r="B5126" s="15" t="s">
        <v>5815</v>
      </c>
      <c r="C5126" s="15" t="s">
        <v>5999</v>
      </c>
      <c r="D5126" s="34" t="n">
        <f aca="false">Activities!N2094</f>
        <v>2</v>
      </c>
      <c r="E5126" s="15" t="s">
        <v>5998</v>
      </c>
    </row>
    <row r="5127" customFormat="false" ht="15" hidden="false" customHeight="false" outlineLevel="0" collapsed="false">
      <c r="A5127" s="15" t="s">
        <v>5800</v>
      </c>
      <c r="B5127" s="15" t="s">
        <v>5815</v>
      </c>
      <c r="C5127" s="15" t="s">
        <v>5995</v>
      </c>
      <c r="D5127" s="34" t="n">
        <v>0</v>
      </c>
      <c r="E5127" s="15" t="s">
        <v>6014</v>
      </c>
    </row>
    <row r="5128" customFormat="false" ht="15" hidden="false" customHeight="false" outlineLevel="0" collapsed="false">
      <c r="A5128" s="15" t="s">
        <v>5907</v>
      </c>
      <c r="B5128" s="15" t="s">
        <v>5815</v>
      </c>
      <c r="C5128" s="15" t="s">
        <v>5995</v>
      </c>
      <c r="D5128" s="34" t="n">
        <v>0</v>
      </c>
      <c r="E5128" s="15" t="s">
        <v>6005</v>
      </c>
    </row>
    <row r="5129" customFormat="false" ht="15" hidden="false" customHeight="false" outlineLevel="0" collapsed="false">
      <c r="A5129" s="15" t="s">
        <v>5875</v>
      </c>
      <c r="B5129" s="15" t="s">
        <v>5815</v>
      </c>
      <c r="C5129" s="15" t="s">
        <v>5995</v>
      </c>
      <c r="D5129" s="34" t="n">
        <v>0</v>
      </c>
      <c r="E5129" s="15" t="s">
        <v>6005</v>
      </c>
    </row>
    <row r="5130" customFormat="false" ht="15" hidden="false" customHeight="false" outlineLevel="0" collapsed="false">
      <c r="A5130" s="15" t="s">
        <v>5891</v>
      </c>
      <c r="B5130" s="15" t="s">
        <v>5815</v>
      </c>
      <c r="C5130" s="15" t="s">
        <v>5995</v>
      </c>
      <c r="D5130" s="34" t="n">
        <v>0</v>
      </c>
      <c r="E5130" s="15" t="s">
        <v>6005</v>
      </c>
    </row>
    <row r="5131" customFormat="false" ht="15" hidden="false" customHeight="false" outlineLevel="0" collapsed="false">
      <c r="A5131" s="15" t="s">
        <v>5815</v>
      </c>
      <c r="B5131" s="15" t="s">
        <v>5817</v>
      </c>
      <c r="C5131" s="15" t="s">
        <v>5997</v>
      </c>
      <c r="D5131" s="34" t="n">
        <f aca="false">Activities!M2095</f>
        <v>1</v>
      </c>
      <c r="E5131" s="15" t="s">
        <v>5998</v>
      </c>
    </row>
    <row r="5132" customFormat="false" ht="15" hidden="false" customHeight="false" outlineLevel="0" collapsed="false">
      <c r="A5132" s="15" t="s">
        <v>5815</v>
      </c>
      <c r="B5132" s="15" t="s">
        <v>5817</v>
      </c>
      <c r="C5132" s="15" t="s">
        <v>5999</v>
      </c>
      <c r="D5132" s="34" t="n">
        <f aca="false">Activities!N2095</f>
        <v>2</v>
      </c>
      <c r="E5132" s="15" t="s">
        <v>5998</v>
      </c>
    </row>
    <row r="5133" customFormat="false" ht="15" hidden="false" customHeight="false" outlineLevel="0" collapsed="false">
      <c r="A5133" s="15" t="s">
        <v>5818</v>
      </c>
      <c r="B5133" s="15" t="s">
        <v>5820</v>
      </c>
      <c r="C5133" s="15" t="s">
        <v>5995</v>
      </c>
      <c r="D5133" s="34" t="n">
        <v>0</v>
      </c>
      <c r="E5133" s="15" t="s">
        <v>5996</v>
      </c>
    </row>
    <row r="5134" customFormat="false" ht="15" hidden="false" customHeight="false" outlineLevel="0" collapsed="false">
      <c r="A5134" s="15" t="s">
        <v>5807</v>
      </c>
      <c r="B5134" s="15" t="s">
        <v>5820</v>
      </c>
      <c r="C5134" s="15" t="s">
        <v>5997</v>
      </c>
      <c r="D5134" s="34" t="n">
        <v>0</v>
      </c>
      <c r="E5134" s="15" t="s">
        <v>6002</v>
      </c>
    </row>
    <row r="5135" customFormat="false" ht="15" hidden="false" customHeight="false" outlineLevel="0" collapsed="false">
      <c r="A5135" s="15" t="s">
        <v>5820</v>
      </c>
      <c r="B5135" s="15" t="s">
        <v>5822</v>
      </c>
      <c r="C5135" s="15" t="s">
        <v>5997</v>
      </c>
      <c r="D5135" s="34" t="n">
        <f aca="false">Activities!M2098</f>
        <v>1</v>
      </c>
      <c r="E5135" s="15" t="s">
        <v>5998</v>
      </c>
    </row>
    <row r="5136" customFormat="false" ht="15" hidden="false" customHeight="false" outlineLevel="0" collapsed="false">
      <c r="A5136" s="15" t="s">
        <v>5820</v>
      </c>
      <c r="B5136" s="15" t="s">
        <v>5822</v>
      </c>
      <c r="C5136" s="15" t="s">
        <v>5999</v>
      </c>
      <c r="D5136" s="34" t="n">
        <f aca="false">Activities!N2098</f>
        <v>2</v>
      </c>
      <c r="E5136" s="15" t="s">
        <v>5998</v>
      </c>
    </row>
    <row r="5137" customFormat="false" ht="15" hidden="false" customHeight="false" outlineLevel="0" collapsed="false">
      <c r="A5137" s="15" t="s">
        <v>5807</v>
      </c>
      <c r="B5137" s="15" t="s">
        <v>5822</v>
      </c>
      <c r="C5137" s="15" t="s">
        <v>5995</v>
      </c>
      <c r="D5137" s="34" t="n">
        <v>0</v>
      </c>
      <c r="E5137" s="15" t="s">
        <v>6014</v>
      </c>
    </row>
    <row r="5138" customFormat="false" ht="15" hidden="false" customHeight="false" outlineLevel="0" collapsed="false">
      <c r="A5138" s="15" t="s">
        <v>5822</v>
      </c>
      <c r="B5138" s="15" t="s">
        <v>5823</v>
      </c>
      <c r="C5138" s="15" t="s">
        <v>5997</v>
      </c>
      <c r="D5138" s="34" t="n">
        <f aca="false">Activities!M2099</f>
        <v>3</v>
      </c>
      <c r="E5138" s="15" t="s">
        <v>5998</v>
      </c>
    </row>
    <row r="5139" customFormat="false" ht="15" hidden="false" customHeight="false" outlineLevel="0" collapsed="false">
      <c r="A5139" s="15" t="s">
        <v>5822</v>
      </c>
      <c r="B5139" s="15" t="s">
        <v>5823</v>
      </c>
      <c r="C5139" s="15" t="s">
        <v>5999</v>
      </c>
      <c r="D5139" s="34" t="n">
        <f aca="false">Activities!N2099</f>
        <v>2</v>
      </c>
      <c r="E5139" s="15" t="s">
        <v>5998</v>
      </c>
    </row>
    <row r="5140" customFormat="false" ht="15" hidden="false" customHeight="false" outlineLevel="0" collapsed="false">
      <c r="A5140" s="15" t="s">
        <v>5808</v>
      </c>
      <c r="B5140" s="15" t="s">
        <v>5823</v>
      </c>
      <c r="C5140" s="15" t="s">
        <v>5995</v>
      </c>
      <c r="D5140" s="34" t="n">
        <v>0</v>
      </c>
      <c r="E5140" s="15" t="s">
        <v>6014</v>
      </c>
    </row>
    <row r="5141" customFormat="false" ht="15" hidden="false" customHeight="false" outlineLevel="0" collapsed="false">
      <c r="A5141" s="15" t="s">
        <v>5823</v>
      </c>
      <c r="B5141" s="15" t="s">
        <v>5824</v>
      </c>
      <c r="C5141" s="15" t="s">
        <v>5997</v>
      </c>
      <c r="D5141" s="34" t="n">
        <f aca="false">Activities!M2100</f>
        <v>2</v>
      </c>
      <c r="E5141" s="15" t="s">
        <v>5998</v>
      </c>
    </row>
    <row r="5142" customFormat="false" ht="15" hidden="false" customHeight="false" outlineLevel="0" collapsed="false">
      <c r="A5142" s="15" t="s">
        <v>5823</v>
      </c>
      <c r="B5142" s="15" t="s">
        <v>5824</v>
      </c>
      <c r="C5142" s="15" t="s">
        <v>5999</v>
      </c>
      <c r="D5142" s="34" t="n">
        <f aca="false">Activities!N2100</f>
        <v>2</v>
      </c>
      <c r="E5142" s="15" t="s">
        <v>5998</v>
      </c>
    </row>
    <row r="5143" customFormat="false" ht="15" hidden="false" customHeight="false" outlineLevel="0" collapsed="false">
      <c r="A5143" s="15" t="s">
        <v>5811</v>
      </c>
      <c r="B5143" s="15" t="s">
        <v>5824</v>
      </c>
      <c r="C5143" s="15" t="s">
        <v>5995</v>
      </c>
      <c r="D5143" s="34" t="n">
        <f aca="false">-Activities!K2100</f>
        <v>-11</v>
      </c>
      <c r="E5143" s="15" t="s">
        <v>6004</v>
      </c>
    </row>
    <row r="5144" customFormat="false" ht="15" hidden="false" customHeight="false" outlineLevel="0" collapsed="false">
      <c r="A5144" s="15" t="s">
        <v>5824</v>
      </c>
      <c r="B5144" s="15" t="s">
        <v>5826</v>
      </c>
      <c r="C5144" s="15" t="s">
        <v>5997</v>
      </c>
      <c r="D5144" s="34" t="n">
        <f aca="false">Activities!M2101</f>
        <v>10</v>
      </c>
      <c r="E5144" s="15" t="s">
        <v>5998</v>
      </c>
    </row>
    <row r="5145" customFormat="false" ht="15" hidden="false" customHeight="false" outlineLevel="0" collapsed="false">
      <c r="A5145" s="15" t="s">
        <v>5824</v>
      </c>
      <c r="B5145" s="15" t="s">
        <v>5826</v>
      </c>
      <c r="C5145" s="15" t="s">
        <v>5999</v>
      </c>
      <c r="D5145" s="34" t="n">
        <f aca="false">Activities!N2101</f>
        <v>2</v>
      </c>
      <c r="E5145" s="15" t="s">
        <v>5998</v>
      </c>
    </row>
    <row r="5146" customFormat="false" ht="15" hidden="false" customHeight="false" outlineLevel="0" collapsed="false">
      <c r="A5146" s="15" t="s">
        <v>5811</v>
      </c>
      <c r="B5146" s="15" t="s">
        <v>5826</v>
      </c>
      <c r="C5146" s="15" t="s">
        <v>5995</v>
      </c>
      <c r="D5146" s="34" t="n">
        <v>0</v>
      </c>
      <c r="E5146" s="15" t="s">
        <v>6014</v>
      </c>
    </row>
    <row r="5147" customFormat="false" ht="15" hidden="false" customHeight="false" outlineLevel="0" collapsed="false">
      <c r="A5147" s="15" t="s">
        <v>5826</v>
      </c>
      <c r="B5147" s="15" t="s">
        <v>5827</v>
      </c>
      <c r="C5147" s="15" t="s">
        <v>5997</v>
      </c>
      <c r="D5147" s="34" t="n">
        <f aca="false">Activities!M2102</f>
        <v>2</v>
      </c>
      <c r="E5147" s="15" t="s">
        <v>5998</v>
      </c>
    </row>
    <row r="5148" customFormat="false" ht="15" hidden="false" customHeight="false" outlineLevel="0" collapsed="false">
      <c r="A5148" s="15" t="s">
        <v>5826</v>
      </c>
      <c r="B5148" s="15" t="s">
        <v>5827</v>
      </c>
      <c r="C5148" s="15" t="s">
        <v>5999</v>
      </c>
      <c r="D5148" s="34" t="n">
        <f aca="false">Activities!N2102</f>
        <v>2</v>
      </c>
      <c r="E5148" s="15" t="s">
        <v>5998</v>
      </c>
    </row>
    <row r="5149" customFormat="false" ht="15" hidden="false" customHeight="false" outlineLevel="0" collapsed="false">
      <c r="A5149" s="15" t="s">
        <v>5812</v>
      </c>
      <c r="B5149" s="15" t="s">
        <v>5827</v>
      </c>
      <c r="C5149" s="15" t="s">
        <v>5995</v>
      </c>
      <c r="D5149" s="34" t="n">
        <v>0</v>
      </c>
      <c r="E5149" s="15" t="s">
        <v>6014</v>
      </c>
    </row>
    <row r="5150" customFormat="false" ht="15" hidden="false" customHeight="false" outlineLevel="0" collapsed="false">
      <c r="A5150" s="15" t="s">
        <v>5827</v>
      </c>
      <c r="B5150" s="15" t="s">
        <v>5828</v>
      </c>
      <c r="C5150" s="15" t="s">
        <v>5997</v>
      </c>
      <c r="D5150" s="34" t="n">
        <f aca="false">Activities!M2103</f>
        <v>3</v>
      </c>
      <c r="E5150" s="15" t="s">
        <v>5998</v>
      </c>
    </row>
    <row r="5151" customFormat="false" ht="15" hidden="false" customHeight="false" outlineLevel="0" collapsed="false">
      <c r="A5151" s="15" t="s">
        <v>5827</v>
      </c>
      <c r="B5151" s="15" t="s">
        <v>5828</v>
      </c>
      <c r="C5151" s="15" t="s">
        <v>5999</v>
      </c>
      <c r="D5151" s="34" t="n">
        <f aca="false">Activities!N2103</f>
        <v>2</v>
      </c>
      <c r="E5151" s="15" t="s">
        <v>5998</v>
      </c>
    </row>
    <row r="5152" customFormat="false" ht="15" hidden="false" customHeight="false" outlineLevel="0" collapsed="false">
      <c r="A5152" s="15" t="s">
        <v>5813</v>
      </c>
      <c r="B5152" s="15" t="s">
        <v>5828</v>
      </c>
      <c r="C5152" s="15" t="s">
        <v>5995</v>
      </c>
      <c r="D5152" s="34" t="n">
        <v>0</v>
      </c>
      <c r="E5152" s="15" t="s">
        <v>6014</v>
      </c>
    </row>
    <row r="5153" customFormat="false" ht="15" hidden="false" customHeight="false" outlineLevel="0" collapsed="false">
      <c r="A5153" s="15" t="s">
        <v>5828</v>
      </c>
      <c r="B5153" s="15" t="s">
        <v>5829</v>
      </c>
      <c r="C5153" s="15" t="s">
        <v>5997</v>
      </c>
      <c r="D5153" s="34" t="n">
        <f aca="false">Activities!M2104</f>
        <v>1</v>
      </c>
      <c r="E5153" s="15" t="s">
        <v>5998</v>
      </c>
    </row>
    <row r="5154" customFormat="false" ht="15" hidden="false" customHeight="false" outlineLevel="0" collapsed="false">
      <c r="A5154" s="15" t="s">
        <v>5828</v>
      </c>
      <c r="B5154" s="15" t="s">
        <v>5829</v>
      </c>
      <c r="C5154" s="15" t="s">
        <v>5999</v>
      </c>
      <c r="D5154" s="34" t="n">
        <f aca="false">Activities!N2104</f>
        <v>2</v>
      </c>
      <c r="E5154" s="15" t="s">
        <v>5998</v>
      </c>
    </row>
    <row r="5155" customFormat="false" ht="15" hidden="false" customHeight="false" outlineLevel="0" collapsed="false">
      <c r="A5155" s="15" t="s">
        <v>5829</v>
      </c>
      <c r="B5155" s="15" t="s">
        <v>5830</v>
      </c>
      <c r="C5155" s="15" t="s">
        <v>5997</v>
      </c>
      <c r="D5155" s="34" t="n">
        <f aca="false">Activities!M2105</f>
        <v>2</v>
      </c>
      <c r="E5155" s="15" t="s">
        <v>5998</v>
      </c>
    </row>
    <row r="5156" customFormat="false" ht="15" hidden="false" customHeight="false" outlineLevel="0" collapsed="false">
      <c r="A5156" s="15" t="s">
        <v>5829</v>
      </c>
      <c r="B5156" s="15" t="s">
        <v>5830</v>
      </c>
      <c r="C5156" s="15" t="s">
        <v>5999</v>
      </c>
      <c r="D5156" s="34" t="n">
        <f aca="false">Activities!N2105</f>
        <v>2</v>
      </c>
      <c r="E5156" s="15" t="s">
        <v>5998</v>
      </c>
    </row>
    <row r="5157" customFormat="false" ht="15" hidden="false" customHeight="false" outlineLevel="0" collapsed="false">
      <c r="A5157" s="15" t="s">
        <v>5815</v>
      </c>
      <c r="B5157" s="15" t="s">
        <v>5830</v>
      </c>
      <c r="C5157" s="15" t="s">
        <v>5995</v>
      </c>
      <c r="D5157" s="34" t="n">
        <v>0</v>
      </c>
      <c r="E5157" s="15" t="s">
        <v>6014</v>
      </c>
    </row>
    <row r="5158" customFormat="false" ht="15" hidden="false" customHeight="false" outlineLevel="0" collapsed="false">
      <c r="A5158" s="15" t="s">
        <v>5859</v>
      </c>
      <c r="B5158" s="15" t="s">
        <v>5830</v>
      </c>
      <c r="C5158" s="15" t="s">
        <v>5995</v>
      </c>
      <c r="D5158" s="34" t="n">
        <v>0</v>
      </c>
      <c r="E5158" s="15" t="s">
        <v>6005</v>
      </c>
    </row>
    <row r="5159" customFormat="false" ht="15" hidden="false" customHeight="false" outlineLevel="0" collapsed="false">
      <c r="A5159" s="15" t="s">
        <v>5907</v>
      </c>
      <c r="B5159" s="15" t="s">
        <v>5830</v>
      </c>
      <c r="C5159" s="15" t="s">
        <v>5995</v>
      </c>
      <c r="D5159" s="34" t="n">
        <v>0</v>
      </c>
      <c r="E5159" s="15" t="s">
        <v>6005</v>
      </c>
    </row>
    <row r="5160" customFormat="false" ht="15" hidden="false" customHeight="false" outlineLevel="0" collapsed="false">
      <c r="A5160" s="15" t="s">
        <v>5891</v>
      </c>
      <c r="B5160" s="15" t="s">
        <v>5830</v>
      </c>
      <c r="C5160" s="15" t="s">
        <v>5995</v>
      </c>
      <c r="D5160" s="34" t="n">
        <v>0</v>
      </c>
      <c r="E5160" s="15" t="s">
        <v>6005</v>
      </c>
    </row>
    <row r="5161" customFormat="false" ht="15" hidden="false" customHeight="false" outlineLevel="0" collapsed="false">
      <c r="A5161" s="15" t="s">
        <v>5830</v>
      </c>
      <c r="B5161" s="15" t="s">
        <v>5832</v>
      </c>
      <c r="C5161" s="15" t="s">
        <v>5997</v>
      </c>
      <c r="D5161" s="34" t="n">
        <f aca="false">Activities!M2106</f>
        <v>1</v>
      </c>
      <c r="E5161" s="15" t="s">
        <v>5998</v>
      </c>
    </row>
    <row r="5162" customFormat="false" ht="15" hidden="false" customHeight="false" outlineLevel="0" collapsed="false">
      <c r="A5162" s="15" t="s">
        <v>5830</v>
      </c>
      <c r="B5162" s="15" t="s">
        <v>5832</v>
      </c>
      <c r="C5162" s="15" t="s">
        <v>5999</v>
      </c>
      <c r="D5162" s="34" t="n">
        <f aca="false">Activities!N2106</f>
        <v>2</v>
      </c>
      <c r="E5162" s="15" t="s">
        <v>5998</v>
      </c>
    </row>
    <row r="5163" customFormat="false" ht="15" hidden="false" customHeight="false" outlineLevel="0" collapsed="false">
      <c r="A5163" s="15" t="s">
        <v>5833</v>
      </c>
      <c r="B5163" s="15" t="s">
        <v>5835</v>
      </c>
      <c r="C5163" s="15" t="s">
        <v>5995</v>
      </c>
      <c r="D5163" s="34" t="n">
        <v>0</v>
      </c>
      <c r="E5163" s="15" t="s">
        <v>5996</v>
      </c>
    </row>
    <row r="5164" customFormat="false" ht="15" hidden="false" customHeight="false" outlineLevel="0" collapsed="false">
      <c r="A5164" s="15" t="s">
        <v>5822</v>
      </c>
      <c r="B5164" s="15" t="s">
        <v>5835</v>
      </c>
      <c r="C5164" s="15" t="s">
        <v>5997</v>
      </c>
      <c r="D5164" s="34" t="n">
        <v>0</v>
      </c>
      <c r="E5164" s="15" t="s">
        <v>6002</v>
      </c>
    </row>
    <row r="5165" customFormat="false" ht="15" hidden="false" customHeight="false" outlineLevel="0" collapsed="false">
      <c r="A5165" s="15" t="s">
        <v>5835</v>
      </c>
      <c r="B5165" s="15" t="s">
        <v>5837</v>
      </c>
      <c r="C5165" s="15" t="s">
        <v>5997</v>
      </c>
      <c r="D5165" s="34" t="n">
        <f aca="false">Activities!M2109</f>
        <v>1</v>
      </c>
      <c r="E5165" s="15" t="s">
        <v>5998</v>
      </c>
    </row>
    <row r="5166" customFormat="false" ht="15" hidden="false" customHeight="false" outlineLevel="0" collapsed="false">
      <c r="A5166" s="15" t="s">
        <v>5835</v>
      </c>
      <c r="B5166" s="15" t="s">
        <v>5837</v>
      </c>
      <c r="C5166" s="15" t="s">
        <v>5999</v>
      </c>
      <c r="D5166" s="34" t="n">
        <f aca="false">Activities!N2109</f>
        <v>2</v>
      </c>
      <c r="E5166" s="15" t="s">
        <v>5998</v>
      </c>
    </row>
    <row r="5167" customFormat="false" ht="15" hidden="false" customHeight="false" outlineLevel="0" collapsed="false">
      <c r="A5167" s="15" t="s">
        <v>5822</v>
      </c>
      <c r="B5167" s="15" t="s">
        <v>5837</v>
      </c>
      <c r="C5167" s="15" t="s">
        <v>5995</v>
      </c>
      <c r="D5167" s="34" t="n">
        <v>0</v>
      </c>
      <c r="E5167" s="15" t="s">
        <v>6014</v>
      </c>
    </row>
    <row r="5168" customFormat="false" ht="15" hidden="false" customHeight="false" outlineLevel="0" collapsed="false">
      <c r="A5168" s="15" t="s">
        <v>5837</v>
      </c>
      <c r="B5168" s="15" t="s">
        <v>5838</v>
      </c>
      <c r="C5168" s="15" t="s">
        <v>5997</v>
      </c>
      <c r="D5168" s="34" t="n">
        <f aca="false">Activities!M2110</f>
        <v>1</v>
      </c>
      <c r="E5168" s="15" t="s">
        <v>5998</v>
      </c>
    </row>
    <row r="5169" customFormat="false" ht="15" hidden="false" customHeight="false" outlineLevel="0" collapsed="false">
      <c r="A5169" s="15" t="s">
        <v>5837</v>
      </c>
      <c r="B5169" s="15" t="s">
        <v>5838</v>
      </c>
      <c r="C5169" s="15" t="s">
        <v>5999</v>
      </c>
      <c r="D5169" s="34" t="n">
        <f aca="false">Activities!N2110</f>
        <v>2</v>
      </c>
      <c r="E5169" s="15" t="s">
        <v>5998</v>
      </c>
    </row>
    <row r="5170" customFormat="false" ht="15" hidden="false" customHeight="false" outlineLevel="0" collapsed="false">
      <c r="A5170" s="15" t="s">
        <v>5823</v>
      </c>
      <c r="B5170" s="15" t="s">
        <v>5838</v>
      </c>
      <c r="C5170" s="15" t="s">
        <v>5995</v>
      </c>
      <c r="D5170" s="34" t="n">
        <v>0</v>
      </c>
      <c r="E5170" s="15" t="s">
        <v>6014</v>
      </c>
    </row>
    <row r="5171" customFormat="false" ht="15" hidden="false" customHeight="false" outlineLevel="0" collapsed="false">
      <c r="A5171" s="15" t="s">
        <v>5838</v>
      </c>
      <c r="B5171" s="15" t="s">
        <v>5839</v>
      </c>
      <c r="C5171" s="15" t="s">
        <v>5997</v>
      </c>
      <c r="D5171" s="34" t="n">
        <f aca="false">Activities!M2111</f>
        <v>1</v>
      </c>
      <c r="E5171" s="15" t="s">
        <v>5998</v>
      </c>
    </row>
    <row r="5172" customFormat="false" ht="15" hidden="false" customHeight="false" outlineLevel="0" collapsed="false">
      <c r="A5172" s="15" t="s">
        <v>5838</v>
      </c>
      <c r="B5172" s="15" t="s">
        <v>5839</v>
      </c>
      <c r="C5172" s="15" t="s">
        <v>5999</v>
      </c>
      <c r="D5172" s="34" t="n">
        <f aca="false">Activities!N2111</f>
        <v>2</v>
      </c>
      <c r="E5172" s="15" t="s">
        <v>5998</v>
      </c>
    </row>
    <row r="5173" customFormat="false" ht="15" hidden="false" customHeight="false" outlineLevel="0" collapsed="false">
      <c r="A5173" s="15" t="s">
        <v>5826</v>
      </c>
      <c r="B5173" s="15" t="s">
        <v>5839</v>
      </c>
      <c r="C5173" s="15" t="s">
        <v>5995</v>
      </c>
      <c r="D5173" s="34" t="n">
        <f aca="false">-Activities!K2111</f>
        <v>-10</v>
      </c>
      <c r="E5173" s="15" t="s">
        <v>6004</v>
      </c>
    </row>
    <row r="5174" customFormat="false" ht="15" hidden="false" customHeight="false" outlineLevel="0" collapsed="false">
      <c r="A5174" s="15" t="s">
        <v>5839</v>
      </c>
      <c r="B5174" s="15" t="s">
        <v>5841</v>
      </c>
      <c r="C5174" s="15" t="s">
        <v>5997</v>
      </c>
      <c r="D5174" s="34" t="n">
        <f aca="false">Activities!M2112</f>
        <v>10</v>
      </c>
      <c r="E5174" s="15" t="s">
        <v>5998</v>
      </c>
    </row>
    <row r="5175" customFormat="false" ht="15" hidden="false" customHeight="false" outlineLevel="0" collapsed="false">
      <c r="A5175" s="15" t="s">
        <v>5839</v>
      </c>
      <c r="B5175" s="15" t="s">
        <v>5841</v>
      </c>
      <c r="C5175" s="15" t="s">
        <v>5999</v>
      </c>
      <c r="D5175" s="34" t="n">
        <f aca="false">Activities!N2112</f>
        <v>2</v>
      </c>
      <c r="E5175" s="15" t="s">
        <v>5998</v>
      </c>
    </row>
    <row r="5176" customFormat="false" ht="15" hidden="false" customHeight="false" outlineLevel="0" collapsed="false">
      <c r="A5176" s="15" t="s">
        <v>5826</v>
      </c>
      <c r="B5176" s="15" t="s">
        <v>5841</v>
      </c>
      <c r="C5176" s="15" t="s">
        <v>5995</v>
      </c>
      <c r="D5176" s="34" t="n">
        <v>0</v>
      </c>
      <c r="E5176" s="15" t="s">
        <v>6014</v>
      </c>
    </row>
    <row r="5177" customFormat="false" ht="15" hidden="false" customHeight="false" outlineLevel="0" collapsed="false">
      <c r="A5177" s="15" t="s">
        <v>5841</v>
      </c>
      <c r="B5177" s="15" t="s">
        <v>5842</v>
      </c>
      <c r="C5177" s="15" t="s">
        <v>5997</v>
      </c>
      <c r="D5177" s="34" t="n">
        <f aca="false">Activities!M2113</f>
        <v>1</v>
      </c>
      <c r="E5177" s="15" t="s">
        <v>5998</v>
      </c>
    </row>
    <row r="5178" customFormat="false" ht="15" hidden="false" customHeight="false" outlineLevel="0" collapsed="false">
      <c r="A5178" s="15" t="s">
        <v>5841</v>
      </c>
      <c r="B5178" s="15" t="s">
        <v>5842</v>
      </c>
      <c r="C5178" s="15" t="s">
        <v>5999</v>
      </c>
      <c r="D5178" s="34" t="n">
        <f aca="false">Activities!N2113</f>
        <v>2</v>
      </c>
      <c r="E5178" s="15" t="s">
        <v>5998</v>
      </c>
    </row>
    <row r="5179" customFormat="false" ht="15" hidden="false" customHeight="false" outlineLevel="0" collapsed="false">
      <c r="A5179" s="15" t="s">
        <v>5827</v>
      </c>
      <c r="B5179" s="15" t="s">
        <v>5842</v>
      </c>
      <c r="C5179" s="15" t="s">
        <v>5995</v>
      </c>
      <c r="D5179" s="34" t="n">
        <v>0</v>
      </c>
      <c r="E5179" s="15" t="s">
        <v>6014</v>
      </c>
    </row>
    <row r="5180" customFormat="false" ht="15" hidden="false" customHeight="false" outlineLevel="0" collapsed="false">
      <c r="A5180" s="15" t="s">
        <v>5842</v>
      </c>
      <c r="B5180" s="15" t="s">
        <v>5843</v>
      </c>
      <c r="C5180" s="15" t="s">
        <v>5997</v>
      </c>
      <c r="D5180" s="34" t="n">
        <f aca="false">Activities!M2114</f>
        <v>2</v>
      </c>
      <c r="E5180" s="15" t="s">
        <v>5998</v>
      </c>
    </row>
    <row r="5181" customFormat="false" ht="15" hidden="false" customHeight="false" outlineLevel="0" collapsed="false">
      <c r="A5181" s="15" t="s">
        <v>5842</v>
      </c>
      <c r="B5181" s="15" t="s">
        <v>5843</v>
      </c>
      <c r="C5181" s="15" t="s">
        <v>5999</v>
      </c>
      <c r="D5181" s="34" t="n">
        <f aca="false">Activities!N2114</f>
        <v>2</v>
      </c>
      <c r="E5181" s="15" t="s">
        <v>5998</v>
      </c>
    </row>
    <row r="5182" customFormat="false" ht="15" hidden="false" customHeight="false" outlineLevel="0" collapsed="false">
      <c r="A5182" s="15" t="s">
        <v>5828</v>
      </c>
      <c r="B5182" s="15" t="s">
        <v>5843</v>
      </c>
      <c r="C5182" s="15" t="s">
        <v>5995</v>
      </c>
      <c r="D5182" s="34" t="n">
        <v>0</v>
      </c>
      <c r="E5182" s="15" t="s">
        <v>6014</v>
      </c>
    </row>
    <row r="5183" customFormat="false" ht="15" hidden="false" customHeight="false" outlineLevel="0" collapsed="false">
      <c r="A5183" s="15" t="s">
        <v>5843</v>
      </c>
      <c r="B5183" s="15" t="s">
        <v>5844</v>
      </c>
      <c r="C5183" s="15" t="s">
        <v>5997</v>
      </c>
      <c r="D5183" s="34" t="n">
        <f aca="false">Activities!M2115</f>
        <v>1</v>
      </c>
      <c r="E5183" s="15" t="s">
        <v>5998</v>
      </c>
    </row>
    <row r="5184" customFormat="false" ht="15" hidden="false" customHeight="false" outlineLevel="0" collapsed="false">
      <c r="A5184" s="15" t="s">
        <v>5843</v>
      </c>
      <c r="B5184" s="15" t="s">
        <v>5844</v>
      </c>
      <c r="C5184" s="15" t="s">
        <v>5999</v>
      </c>
      <c r="D5184" s="34" t="n">
        <f aca="false">Activities!N2115</f>
        <v>2</v>
      </c>
      <c r="E5184" s="15" t="s">
        <v>5998</v>
      </c>
    </row>
    <row r="5185" customFormat="false" ht="15" hidden="false" customHeight="false" outlineLevel="0" collapsed="false">
      <c r="A5185" s="15" t="s">
        <v>5844</v>
      </c>
      <c r="B5185" s="15" t="s">
        <v>5845</v>
      </c>
      <c r="C5185" s="15" t="s">
        <v>5997</v>
      </c>
      <c r="D5185" s="34" t="n">
        <f aca="false">Activities!M2116</f>
        <v>2</v>
      </c>
      <c r="E5185" s="15" t="s">
        <v>5998</v>
      </c>
    </row>
    <row r="5186" customFormat="false" ht="15" hidden="false" customHeight="false" outlineLevel="0" collapsed="false">
      <c r="A5186" s="15" t="s">
        <v>5844</v>
      </c>
      <c r="B5186" s="15" t="s">
        <v>5845</v>
      </c>
      <c r="C5186" s="15" t="s">
        <v>5999</v>
      </c>
      <c r="D5186" s="34" t="n">
        <f aca="false">Activities!N2116</f>
        <v>2</v>
      </c>
      <c r="E5186" s="15" t="s">
        <v>5998</v>
      </c>
    </row>
    <row r="5187" customFormat="false" ht="15" hidden="false" customHeight="false" outlineLevel="0" collapsed="false">
      <c r="A5187" s="15" t="s">
        <v>5830</v>
      </c>
      <c r="B5187" s="15" t="s">
        <v>5845</v>
      </c>
      <c r="C5187" s="15" t="s">
        <v>5995</v>
      </c>
      <c r="D5187" s="34" t="n">
        <v>0</v>
      </c>
      <c r="E5187" s="15" t="s">
        <v>6014</v>
      </c>
    </row>
    <row r="5188" customFormat="false" ht="15" hidden="false" customHeight="false" outlineLevel="0" collapsed="false">
      <c r="A5188" s="15" t="s">
        <v>5859</v>
      </c>
      <c r="B5188" s="15" t="s">
        <v>5845</v>
      </c>
      <c r="C5188" s="15" t="s">
        <v>5995</v>
      </c>
      <c r="D5188" s="34" t="n">
        <v>0</v>
      </c>
      <c r="E5188" s="15" t="s">
        <v>6005</v>
      </c>
    </row>
    <row r="5189" customFormat="false" ht="15" hidden="false" customHeight="false" outlineLevel="0" collapsed="false">
      <c r="A5189" s="15" t="s">
        <v>5891</v>
      </c>
      <c r="B5189" s="15" t="s">
        <v>5845</v>
      </c>
      <c r="C5189" s="15" t="s">
        <v>5995</v>
      </c>
      <c r="D5189" s="34" t="n">
        <v>0</v>
      </c>
      <c r="E5189" s="15" t="s">
        <v>6005</v>
      </c>
    </row>
    <row r="5190" customFormat="false" ht="15" hidden="false" customHeight="false" outlineLevel="0" collapsed="false">
      <c r="A5190" s="15" t="s">
        <v>5845</v>
      </c>
      <c r="B5190" s="15" t="s">
        <v>5847</v>
      </c>
      <c r="C5190" s="15" t="s">
        <v>5997</v>
      </c>
      <c r="D5190" s="34" t="n">
        <f aca="false">Activities!M2117</f>
        <v>1</v>
      </c>
      <c r="E5190" s="15" t="s">
        <v>5998</v>
      </c>
    </row>
    <row r="5191" customFormat="false" ht="15" hidden="false" customHeight="false" outlineLevel="0" collapsed="false">
      <c r="A5191" s="15" t="s">
        <v>5845</v>
      </c>
      <c r="B5191" s="15" t="s">
        <v>5847</v>
      </c>
      <c r="C5191" s="15" t="s">
        <v>5999</v>
      </c>
      <c r="D5191" s="34" t="n">
        <f aca="false">Activities!N2117</f>
        <v>2</v>
      </c>
      <c r="E5191" s="15" t="s">
        <v>5998</v>
      </c>
    </row>
    <row r="5192" customFormat="false" ht="15" hidden="false" customHeight="false" outlineLevel="0" collapsed="false">
      <c r="A5192" s="15" t="s">
        <v>5848</v>
      </c>
      <c r="B5192" s="15" t="s">
        <v>5850</v>
      </c>
      <c r="C5192" s="15" t="s">
        <v>5995</v>
      </c>
      <c r="D5192" s="34" t="n">
        <v>0</v>
      </c>
      <c r="E5192" s="15" t="s">
        <v>5996</v>
      </c>
    </row>
    <row r="5193" customFormat="false" ht="15" hidden="false" customHeight="false" outlineLevel="0" collapsed="false">
      <c r="A5193" s="15" t="s">
        <v>5837</v>
      </c>
      <c r="B5193" s="15" t="s">
        <v>5850</v>
      </c>
      <c r="C5193" s="15" t="s">
        <v>5997</v>
      </c>
      <c r="D5193" s="34" t="n">
        <v>0</v>
      </c>
      <c r="E5193" s="15" t="s">
        <v>6002</v>
      </c>
    </row>
    <row r="5194" customFormat="false" ht="15" hidden="false" customHeight="false" outlineLevel="0" collapsed="false">
      <c r="A5194" s="15" t="s">
        <v>5850</v>
      </c>
      <c r="B5194" s="15" t="s">
        <v>5852</v>
      </c>
      <c r="C5194" s="15" t="s">
        <v>5997</v>
      </c>
      <c r="D5194" s="34" t="n">
        <f aca="false">Activities!M2120</f>
        <v>1</v>
      </c>
      <c r="E5194" s="15" t="s">
        <v>5998</v>
      </c>
    </row>
    <row r="5195" customFormat="false" ht="15" hidden="false" customHeight="false" outlineLevel="0" collapsed="false">
      <c r="A5195" s="15" t="s">
        <v>5850</v>
      </c>
      <c r="B5195" s="15" t="s">
        <v>5852</v>
      </c>
      <c r="C5195" s="15" t="s">
        <v>5999</v>
      </c>
      <c r="D5195" s="34" t="n">
        <f aca="false">Activities!N2120</f>
        <v>2</v>
      </c>
      <c r="E5195" s="15" t="s">
        <v>5998</v>
      </c>
    </row>
    <row r="5196" customFormat="false" ht="15" hidden="false" customHeight="false" outlineLevel="0" collapsed="false">
      <c r="A5196" s="15" t="s">
        <v>5837</v>
      </c>
      <c r="B5196" s="15" t="s">
        <v>5852</v>
      </c>
      <c r="C5196" s="15" t="s">
        <v>5995</v>
      </c>
      <c r="D5196" s="34" t="n">
        <v>0</v>
      </c>
      <c r="E5196" s="15" t="s">
        <v>6014</v>
      </c>
    </row>
    <row r="5197" customFormat="false" ht="15" hidden="false" customHeight="false" outlineLevel="0" collapsed="false">
      <c r="A5197" s="15" t="s">
        <v>5852</v>
      </c>
      <c r="B5197" s="15" t="s">
        <v>5853</v>
      </c>
      <c r="C5197" s="15" t="s">
        <v>5997</v>
      </c>
      <c r="D5197" s="34" t="n">
        <f aca="false">Activities!M2121</f>
        <v>3</v>
      </c>
      <c r="E5197" s="15" t="s">
        <v>5998</v>
      </c>
    </row>
    <row r="5198" customFormat="false" ht="15" hidden="false" customHeight="false" outlineLevel="0" collapsed="false">
      <c r="A5198" s="15" t="s">
        <v>5852</v>
      </c>
      <c r="B5198" s="15" t="s">
        <v>5853</v>
      </c>
      <c r="C5198" s="15" t="s">
        <v>5999</v>
      </c>
      <c r="D5198" s="34" t="n">
        <f aca="false">Activities!N2121</f>
        <v>2</v>
      </c>
      <c r="E5198" s="15" t="s">
        <v>5998</v>
      </c>
    </row>
    <row r="5199" customFormat="false" ht="15" hidden="false" customHeight="false" outlineLevel="0" collapsed="false">
      <c r="A5199" s="15" t="s">
        <v>5838</v>
      </c>
      <c r="B5199" s="15" t="s">
        <v>5853</v>
      </c>
      <c r="C5199" s="15" t="s">
        <v>5995</v>
      </c>
      <c r="D5199" s="34" t="n">
        <v>0</v>
      </c>
      <c r="E5199" s="15" t="s">
        <v>6014</v>
      </c>
    </row>
    <row r="5200" customFormat="false" ht="15" hidden="false" customHeight="false" outlineLevel="0" collapsed="false">
      <c r="A5200" s="15" t="s">
        <v>5853</v>
      </c>
      <c r="B5200" s="15" t="s">
        <v>5854</v>
      </c>
      <c r="C5200" s="15" t="s">
        <v>5997</v>
      </c>
      <c r="D5200" s="34" t="n">
        <f aca="false">Activities!M2122</f>
        <v>2</v>
      </c>
      <c r="E5200" s="15" t="s">
        <v>5998</v>
      </c>
    </row>
    <row r="5201" customFormat="false" ht="15" hidden="false" customHeight="false" outlineLevel="0" collapsed="false">
      <c r="A5201" s="15" t="s">
        <v>5853</v>
      </c>
      <c r="B5201" s="15" t="s">
        <v>5854</v>
      </c>
      <c r="C5201" s="15" t="s">
        <v>5999</v>
      </c>
      <c r="D5201" s="34" t="n">
        <f aca="false">Activities!N2122</f>
        <v>2</v>
      </c>
      <c r="E5201" s="15" t="s">
        <v>5998</v>
      </c>
    </row>
    <row r="5202" customFormat="false" ht="15" hidden="false" customHeight="false" outlineLevel="0" collapsed="false">
      <c r="A5202" s="15" t="s">
        <v>5841</v>
      </c>
      <c r="B5202" s="15" t="s">
        <v>5854</v>
      </c>
      <c r="C5202" s="15" t="s">
        <v>5995</v>
      </c>
      <c r="D5202" s="34" t="n">
        <f aca="false">-Activities!K2122</f>
        <v>-11</v>
      </c>
      <c r="E5202" s="15" t="s">
        <v>6004</v>
      </c>
    </row>
    <row r="5203" customFormat="false" ht="15" hidden="false" customHeight="false" outlineLevel="0" collapsed="false">
      <c r="A5203" s="15" t="s">
        <v>5854</v>
      </c>
      <c r="B5203" s="15" t="s">
        <v>5856</v>
      </c>
      <c r="C5203" s="15" t="s">
        <v>5997</v>
      </c>
      <c r="D5203" s="34" t="n">
        <f aca="false">Activities!M2123</f>
        <v>10</v>
      </c>
      <c r="E5203" s="15" t="s">
        <v>5998</v>
      </c>
    </row>
    <row r="5204" customFormat="false" ht="15" hidden="false" customHeight="false" outlineLevel="0" collapsed="false">
      <c r="A5204" s="15" t="s">
        <v>5854</v>
      </c>
      <c r="B5204" s="15" t="s">
        <v>5856</v>
      </c>
      <c r="C5204" s="15" t="s">
        <v>5999</v>
      </c>
      <c r="D5204" s="34" t="n">
        <f aca="false">Activities!N2123</f>
        <v>2</v>
      </c>
      <c r="E5204" s="15" t="s">
        <v>5998</v>
      </c>
    </row>
    <row r="5205" customFormat="false" ht="15" hidden="false" customHeight="false" outlineLevel="0" collapsed="false">
      <c r="A5205" s="15" t="s">
        <v>5841</v>
      </c>
      <c r="B5205" s="15" t="s">
        <v>5856</v>
      </c>
      <c r="C5205" s="15" t="s">
        <v>5995</v>
      </c>
      <c r="D5205" s="34" t="n">
        <v>0</v>
      </c>
      <c r="E5205" s="15" t="s">
        <v>6014</v>
      </c>
    </row>
    <row r="5206" customFormat="false" ht="15" hidden="false" customHeight="false" outlineLevel="0" collapsed="false">
      <c r="A5206" s="15" t="s">
        <v>5826</v>
      </c>
      <c r="B5206" s="15" t="s">
        <v>5856</v>
      </c>
      <c r="C5206" s="15" t="s">
        <v>5997</v>
      </c>
      <c r="D5206" s="34" t="n">
        <v>0</v>
      </c>
      <c r="E5206" s="15" t="s">
        <v>6006</v>
      </c>
    </row>
    <row r="5207" customFormat="false" ht="15" hidden="false" customHeight="false" outlineLevel="0" collapsed="false">
      <c r="A5207" s="15" t="s">
        <v>5841</v>
      </c>
      <c r="B5207" s="15" t="s">
        <v>5856</v>
      </c>
      <c r="C5207" s="15" t="s">
        <v>5997</v>
      </c>
      <c r="D5207" s="34" t="n">
        <v>0</v>
      </c>
      <c r="E5207" s="15" t="s">
        <v>6006</v>
      </c>
    </row>
    <row r="5208" customFormat="false" ht="15" hidden="false" customHeight="false" outlineLevel="0" collapsed="false">
      <c r="A5208" s="15" t="s">
        <v>5856</v>
      </c>
      <c r="B5208" s="15" t="s">
        <v>5858</v>
      </c>
      <c r="C5208" s="15" t="s">
        <v>5997</v>
      </c>
      <c r="D5208" s="34" t="n">
        <f aca="false">Activities!M2124</f>
        <v>1</v>
      </c>
      <c r="E5208" s="15" t="s">
        <v>5998</v>
      </c>
    </row>
    <row r="5209" customFormat="false" ht="15" hidden="false" customHeight="false" outlineLevel="0" collapsed="false">
      <c r="A5209" s="15" t="s">
        <v>5856</v>
      </c>
      <c r="B5209" s="15" t="s">
        <v>5858</v>
      </c>
      <c r="C5209" s="15" t="s">
        <v>5999</v>
      </c>
      <c r="D5209" s="34" t="n">
        <f aca="false">Activities!N2124</f>
        <v>2</v>
      </c>
      <c r="E5209" s="15" t="s">
        <v>5998</v>
      </c>
    </row>
    <row r="5210" customFormat="false" ht="15" hidden="false" customHeight="false" outlineLevel="0" collapsed="false">
      <c r="A5210" s="15" t="s">
        <v>5842</v>
      </c>
      <c r="B5210" s="15" t="s">
        <v>5858</v>
      </c>
      <c r="C5210" s="15" t="s">
        <v>5995</v>
      </c>
      <c r="D5210" s="34" t="n">
        <v>0</v>
      </c>
      <c r="E5210" s="15" t="s">
        <v>6014</v>
      </c>
    </row>
    <row r="5211" customFormat="false" ht="15" hidden="false" customHeight="false" outlineLevel="0" collapsed="false">
      <c r="A5211" s="15" t="s">
        <v>5858</v>
      </c>
      <c r="B5211" s="15" t="s">
        <v>5859</v>
      </c>
      <c r="C5211" s="15" t="s">
        <v>5997</v>
      </c>
      <c r="D5211" s="34" t="n">
        <f aca="false">Activities!M2125</f>
        <v>3</v>
      </c>
      <c r="E5211" s="15" t="s">
        <v>5998</v>
      </c>
    </row>
    <row r="5212" customFormat="false" ht="15" hidden="false" customHeight="false" outlineLevel="0" collapsed="false">
      <c r="A5212" s="15" t="s">
        <v>5858</v>
      </c>
      <c r="B5212" s="15" t="s">
        <v>5859</v>
      </c>
      <c r="C5212" s="15" t="s">
        <v>5999</v>
      </c>
      <c r="D5212" s="34" t="n">
        <f aca="false">Activities!N2125</f>
        <v>2</v>
      </c>
      <c r="E5212" s="15" t="s">
        <v>5998</v>
      </c>
    </row>
    <row r="5213" customFormat="false" ht="15" hidden="false" customHeight="false" outlineLevel="0" collapsed="false">
      <c r="A5213" s="15" t="s">
        <v>5843</v>
      </c>
      <c r="B5213" s="15" t="s">
        <v>5859</v>
      </c>
      <c r="C5213" s="15" t="s">
        <v>5995</v>
      </c>
      <c r="D5213" s="34" t="n">
        <v>0</v>
      </c>
      <c r="E5213" s="15" t="s">
        <v>6014</v>
      </c>
    </row>
    <row r="5214" customFormat="false" ht="15" hidden="false" customHeight="false" outlineLevel="0" collapsed="false">
      <c r="A5214" s="15" t="s">
        <v>5859</v>
      </c>
      <c r="B5214" s="15" t="s">
        <v>5860</v>
      </c>
      <c r="C5214" s="15" t="s">
        <v>5997</v>
      </c>
      <c r="D5214" s="34" t="n">
        <f aca="false">Activities!M2126</f>
        <v>2</v>
      </c>
      <c r="E5214" s="15" t="s">
        <v>5998</v>
      </c>
    </row>
    <row r="5215" customFormat="false" ht="15" hidden="false" customHeight="false" outlineLevel="0" collapsed="false">
      <c r="A5215" s="15" t="s">
        <v>5859</v>
      </c>
      <c r="B5215" s="15" t="s">
        <v>5860</v>
      </c>
      <c r="C5215" s="15" t="s">
        <v>5999</v>
      </c>
      <c r="D5215" s="34" t="n">
        <f aca="false">Activities!N2126</f>
        <v>2</v>
      </c>
      <c r="E5215" s="15" t="s">
        <v>5998</v>
      </c>
    </row>
    <row r="5216" customFormat="false" ht="15" hidden="false" customHeight="false" outlineLevel="0" collapsed="false">
      <c r="A5216" s="15" t="s">
        <v>5860</v>
      </c>
      <c r="B5216" s="15" t="s">
        <v>5861</v>
      </c>
      <c r="C5216" s="15" t="s">
        <v>5997</v>
      </c>
      <c r="D5216" s="34" t="n">
        <f aca="false">Activities!M2127</f>
        <v>2</v>
      </c>
      <c r="E5216" s="15" t="s">
        <v>5998</v>
      </c>
    </row>
    <row r="5217" customFormat="false" ht="15" hidden="false" customHeight="false" outlineLevel="0" collapsed="false">
      <c r="A5217" s="15" t="s">
        <v>5860</v>
      </c>
      <c r="B5217" s="15" t="s">
        <v>5861</v>
      </c>
      <c r="C5217" s="15" t="s">
        <v>5999</v>
      </c>
      <c r="D5217" s="34" t="n">
        <f aca="false">Activities!N2127</f>
        <v>2</v>
      </c>
      <c r="E5217" s="15" t="s">
        <v>5998</v>
      </c>
    </row>
    <row r="5218" customFormat="false" ht="15" hidden="false" customHeight="false" outlineLevel="0" collapsed="false">
      <c r="A5218" s="15" t="s">
        <v>5845</v>
      </c>
      <c r="B5218" s="15" t="s">
        <v>5861</v>
      </c>
      <c r="C5218" s="15" t="s">
        <v>5995</v>
      </c>
      <c r="D5218" s="34" t="n">
        <v>0</v>
      </c>
      <c r="E5218" s="15" t="s">
        <v>6014</v>
      </c>
    </row>
    <row r="5219" customFormat="false" ht="15" hidden="false" customHeight="false" outlineLevel="0" collapsed="false">
      <c r="A5219" s="15" t="s">
        <v>5875</v>
      </c>
      <c r="B5219" s="15" t="s">
        <v>5861</v>
      </c>
      <c r="C5219" s="15" t="s">
        <v>5995</v>
      </c>
      <c r="D5219" s="34" t="n">
        <v>0</v>
      </c>
      <c r="E5219" s="15" t="s">
        <v>6005</v>
      </c>
    </row>
    <row r="5220" customFormat="false" ht="15" hidden="false" customHeight="false" outlineLevel="0" collapsed="false">
      <c r="A5220" s="15" t="s">
        <v>5828</v>
      </c>
      <c r="B5220" s="15" t="s">
        <v>5861</v>
      </c>
      <c r="C5220" s="15" t="s">
        <v>5995</v>
      </c>
      <c r="D5220" s="34" t="n">
        <v>0</v>
      </c>
      <c r="E5220" s="15" t="s">
        <v>6005</v>
      </c>
    </row>
    <row r="5221" customFormat="false" ht="15" hidden="false" customHeight="false" outlineLevel="0" collapsed="false">
      <c r="A5221" s="15" t="s">
        <v>5843</v>
      </c>
      <c r="B5221" s="15" t="s">
        <v>5861</v>
      </c>
      <c r="C5221" s="15" t="s">
        <v>5995</v>
      </c>
      <c r="D5221" s="34" t="n">
        <v>0</v>
      </c>
      <c r="E5221" s="15" t="s">
        <v>6005</v>
      </c>
    </row>
    <row r="5222" customFormat="false" ht="15" hidden="false" customHeight="false" outlineLevel="0" collapsed="false">
      <c r="A5222" s="15" t="s">
        <v>5861</v>
      </c>
      <c r="B5222" s="15" t="s">
        <v>5863</v>
      </c>
      <c r="C5222" s="15" t="s">
        <v>5997</v>
      </c>
      <c r="D5222" s="34" t="n">
        <f aca="false">Activities!M2128</f>
        <v>1</v>
      </c>
      <c r="E5222" s="15" t="s">
        <v>5998</v>
      </c>
    </row>
    <row r="5223" customFormat="false" ht="15" hidden="false" customHeight="false" outlineLevel="0" collapsed="false">
      <c r="A5223" s="15" t="s">
        <v>5861</v>
      </c>
      <c r="B5223" s="15" t="s">
        <v>5863</v>
      </c>
      <c r="C5223" s="15" t="s">
        <v>5999</v>
      </c>
      <c r="D5223" s="34" t="n">
        <f aca="false">Activities!N2128</f>
        <v>2</v>
      </c>
      <c r="E5223" s="15" t="s">
        <v>5998</v>
      </c>
    </row>
    <row r="5224" customFormat="false" ht="15" hidden="false" customHeight="false" outlineLevel="0" collapsed="false">
      <c r="A5224" s="15" t="s">
        <v>5864</v>
      </c>
      <c r="B5224" s="15" t="s">
        <v>5866</v>
      </c>
      <c r="C5224" s="15" t="s">
        <v>5995</v>
      </c>
      <c r="D5224" s="34" t="n">
        <v>0</v>
      </c>
      <c r="E5224" s="15" t="s">
        <v>5996</v>
      </c>
    </row>
    <row r="5225" customFormat="false" ht="15" hidden="false" customHeight="false" outlineLevel="0" collapsed="false">
      <c r="A5225" s="15" t="s">
        <v>5852</v>
      </c>
      <c r="B5225" s="15" t="s">
        <v>5866</v>
      </c>
      <c r="C5225" s="15" t="s">
        <v>5997</v>
      </c>
      <c r="D5225" s="34" t="n">
        <v>0</v>
      </c>
      <c r="E5225" s="15" t="s">
        <v>6002</v>
      </c>
    </row>
    <row r="5226" customFormat="false" ht="15" hidden="false" customHeight="false" outlineLevel="0" collapsed="false">
      <c r="A5226" s="15" t="s">
        <v>5866</v>
      </c>
      <c r="B5226" s="15" t="s">
        <v>5868</v>
      </c>
      <c r="C5226" s="15" t="s">
        <v>5997</v>
      </c>
      <c r="D5226" s="34" t="n">
        <f aca="false">Activities!M2131</f>
        <v>2</v>
      </c>
      <c r="E5226" s="15" t="s">
        <v>5998</v>
      </c>
    </row>
    <row r="5227" customFormat="false" ht="15" hidden="false" customHeight="false" outlineLevel="0" collapsed="false">
      <c r="A5227" s="15" t="s">
        <v>5866</v>
      </c>
      <c r="B5227" s="15" t="s">
        <v>5868</v>
      </c>
      <c r="C5227" s="15" t="s">
        <v>5999</v>
      </c>
      <c r="D5227" s="34" t="n">
        <f aca="false">Activities!N2131</f>
        <v>2</v>
      </c>
      <c r="E5227" s="15" t="s">
        <v>5998</v>
      </c>
    </row>
    <row r="5228" customFormat="false" ht="15" hidden="false" customHeight="false" outlineLevel="0" collapsed="false">
      <c r="A5228" s="15" t="s">
        <v>5852</v>
      </c>
      <c r="B5228" s="15" t="s">
        <v>5868</v>
      </c>
      <c r="C5228" s="15" t="s">
        <v>5995</v>
      </c>
      <c r="D5228" s="34" t="n">
        <v>0</v>
      </c>
      <c r="E5228" s="15" t="s">
        <v>6014</v>
      </c>
    </row>
    <row r="5229" customFormat="false" ht="15" hidden="false" customHeight="false" outlineLevel="0" collapsed="false">
      <c r="A5229" s="15" t="s">
        <v>5868</v>
      </c>
      <c r="B5229" s="15" t="s">
        <v>5869</v>
      </c>
      <c r="C5229" s="15" t="s">
        <v>5997</v>
      </c>
      <c r="D5229" s="34" t="n">
        <f aca="false">Activities!M2132</f>
        <v>6</v>
      </c>
      <c r="E5229" s="15" t="s">
        <v>5998</v>
      </c>
    </row>
    <row r="5230" customFormat="false" ht="15" hidden="false" customHeight="false" outlineLevel="0" collapsed="false">
      <c r="A5230" s="15" t="s">
        <v>5868</v>
      </c>
      <c r="B5230" s="15" t="s">
        <v>5869</v>
      </c>
      <c r="C5230" s="15" t="s">
        <v>5999</v>
      </c>
      <c r="D5230" s="34" t="n">
        <f aca="false">Activities!N2132</f>
        <v>2</v>
      </c>
      <c r="E5230" s="15" t="s">
        <v>5998</v>
      </c>
    </row>
    <row r="5231" customFormat="false" ht="15" hidden="false" customHeight="false" outlineLevel="0" collapsed="false">
      <c r="A5231" s="15" t="s">
        <v>5853</v>
      </c>
      <c r="B5231" s="15" t="s">
        <v>5869</v>
      </c>
      <c r="C5231" s="15" t="s">
        <v>5995</v>
      </c>
      <c r="D5231" s="34" t="n">
        <v>0</v>
      </c>
      <c r="E5231" s="15" t="s">
        <v>6014</v>
      </c>
    </row>
    <row r="5232" customFormat="false" ht="15" hidden="false" customHeight="false" outlineLevel="0" collapsed="false">
      <c r="A5232" s="15" t="s">
        <v>5869</v>
      </c>
      <c r="B5232" s="15" t="s">
        <v>5870</v>
      </c>
      <c r="C5232" s="15" t="s">
        <v>5997</v>
      </c>
      <c r="D5232" s="34" t="n">
        <f aca="false">Activities!M2133</f>
        <v>4</v>
      </c>
      <c r="E5232" s="15" t="s">
        <v>5998</v>
      </c>
    </row>
    <row r="5233" customFormat="false" ht="15" hidden="false" customHeight="false" outlineLevel="0" collapsed="false">
      <c r="A5233" s="15" t="s">
        <v>5869</v>
      </c>
      <c r="B5233" s="15" t="s">
        <v>5870</v>
      </c>
      <c r="C5233" s="15" t="s">
        <v>5999</v>
      </c>
      <c r="D5233" s="34" t="n">
        <f aca="false">Activities!N2133</f>
        <v>2</v>
      </c>
      <c r="E5233" s="15" t="s">
        <v>5998</v>
      </c>
    </row>
    <row r="5234" customFormat="false" ht="15" hidden="false" customHeight="false" outlineLevel="0" collapsed="false">
      <c r="A5234" s="15" t="s">
        <v>5856</v>
      </c>
      <c r="B5234" s="15" t="s">
        <v>5870</v>
      </c>
      <c r="C5234" s="15" t="s">
        <v>5995</v>
      </c>
      <c r="D5234" s="34" t="n">
        <f aca="false">-Activities!K2133</f>
        <v>-16</v>
      </c>
      <c r="E5234" s="15" t="s">
        <v>6004</v>
      </c>
    </row>
    <row r="5235" customFormat="false" ht="15" hidden="false" customHeight="false" outlineLevel="0" collapsed="false">
      <c r="A5235" s="15" t="s">
        <v>5870</v>
      </c>
      <c r="B5235" s="15" t="s">
        <v>5872</v>
      </c>
      <c r="C5235" s="15" t="s">
        <v>5997</v>
      </c>
      <c r="D5235" s="34" t="n">
        <f aca="false">Activities!M2134</f>
        <v>12</v>
      </c>
      <c r="E5235" s="15" t="s">
        <v>5998</v>
      </c>
    </row>
    <row r="5236" customFormat="false" ht="15" hidden="false" customHeight="false" outlineLevel="0" collapsed="false">
      <c r="A5236" s="15" t="s">
        <v>5870</v>
      </c>
      <c r="B5236" s="15" t="s">
        <v>5872</v>
      </c>
      <c r="C5236" s="15" t="s">
        <v>5999</v>
      </c>
      <c r="D5236" s="34" t="n">
        <f aca="false">Activities!N2134</f>
        <v>2</v>
      </c>
      <c r="E5236" s="15" t="s">
        <v>5998</v>
      </c>
    </row>
    <row r="5237" customFormat="false" ht="15" hidden="false" customHeight="false" outlineLevel="0" collapsed="false">
      <c r="A5237" s="15" t="s">
        <v>5856</v>
      </c>
      <c r="B5237" s="15" t="s">
        <v>5872</v>
      </c>
      <c r="C5237" s="15" t="s">
        <v>5995</v>
      </c>
      <c r="D5237" s="34" t="n">
        <v>0</v>
      </c>
      <c r="E5237" s="15" t="s">
        <v>6014</v>
      </c>
    </row>
    <row r="5238" customFormat="false" ht="15" hidden="false" customHeight="false" outlineLevel="0" collapsed="false">
      <c r="A5238" s="15" t="s">
        <v>5856</v>
      </c>
      <c r="B5238" s="15" t="s">
        <v>5872</v>
      </c>
      <c r="C5238" s="15" t="s">
        <v>5997</v>
      </c>
      <c r="D5238" s="34" t="n">
        <v>0</v>
      </c>
      <c r="E5238" s="15" t="s">
        <v>6006</v>
      </c>
    </row>
    <row r="5239" customFormat="false" ht="15" hidden="false" customHeight="false" outlineLevel="0" collapsed="false">
      <c r="A5239" s="15" t="s">
        <v>5643</v>
      </c>
      <c r="B5239" s="15" t="s">
        <v>5872</v>
      </c>
      <c r="C5239" s="15" t="s">
        <v>5997</v>
      </c>
      <c r="D5239" s="34" t="n">
        <v>0</v>
      </c>
      <c r="E5239" s="15" t="s">
        <v>6006</v>
      </c>
    </row>
    <row r="5240" customFormat="false" ht="15" hidden="false" customHeight="false" outlineLevel="0" collapsed="false">
      <c r="A5240" s="15" t="s">
        <v>5811</v>
      </c>
      <c r="B5240" s="15" t="s">
        <v>5872</v>
      </c>
      <c r="C5240" s="15" t="s">
        <v>5997</v>
      </c>
      <c r="D5240" s="34" t="n">
        <v>0</v>
      </c>
      <c r="E5240" s="15" t="s">
        <v>6006</v>
      </c>
    </row>
    <row r="5241" customFormat="false" ht="15" hidden="false" customHeight="false" outlineLevel="0" collapsed="false">
      <c r="A5241" s="15" t="s">
        <v>5689</v>
      </c>
      <c r="B5241" s="15" t="s">
        <v>5872</v>
      </c>
      <c r="C5241" s="15" t="s">
        <v>5997</v>
      </c>
      <c r="D5241" s="34" t="n">
        <v>0</v>
      </c>
      <c r="E5241" s="15" t="s">
        <v>6006</v>
      </c>
    </row>
    <row r="5242" customFormat="false" ht="15" hidden="false" customHeight="false" outlineLevel="0" collapsed="false">
      <c r="A5242" s="15" t="s">
        <v>5796</v>
      </c>
      <c r="B5242" s="15" t="s">
        <v>5872</v>
      </c>
      <c r="C5242" s="15" t="s">
        <v>5997</v>
      </c>
      <c r="D5242" s="34" t="n">
        <v>0</v>
      </c>
      <c r="E5242" s="15" t="s">
        <v>6006</v>
      </c>
    </row>
    <row r="5243" customFormat="false" ht="15" hidden="false" customHeight="false" outlineLevel="0" collapsed="false">
      <c r="A5243" s="15" t="s">
        <v>5872</v>
      </c>
      <c r="B5243" s="15" t="s">
        <v>5874</v>
      </c>
      <c r="C5243" s="15" t="s">
        <v>5997</v>
      </c>
      <c r="D5243" s="34" t="n">
        <f aca="false">Activities!M2135</f>
        <v>3</v>
      </c>
      <c r="E5243" s="15" t="s">
        <v>5998</v>
      </c>
    </row>
    <row r="5244" customFormat="false" ht="15" hidden="false" customHeight="false" outlineLevel="0" collapsed="false">
      <c r="A5244" s="15" t="s">
        <v>5872</v>
      </c>
      <c r="B5244" s="15" t="s">
        <v>5874</v>
      </c>
      <c r="C5244" s="15" t="s">
        <v>5999</v>
      </c>
      <c r="D5244" s="34" t="n">
        <f aca="false">Activities!N2135</f>
        <v>2</v>
      </c>
      <c r="E5244" s="15" t="s">
        <v>5998</v>
      </c>
    </row>
    <row r="5245" customFormat="false" ht="15" hidden="false" customHeight="false" outlineLevel="0" collapsed="false">
      <c r="A5245" s="15" t="s">
        <v>5858</v>
      </c>
      <c r="B5245" s="15" t="s">
        <v>5874</v>
      </c>
      <c r="C5245" s="15" t="s">
        <v>5995</v>
      </c>
      <c r="D5245" s="34" t="n">
        <v>0</v>
      </c>
      <c r="E5245" s="15" t="s">
        <v>6014</v>
      </c>
    </row>
    <row r="5246" customFormat="false" ht="15" hidden="false" customHeight="false" outlineLevel="0" collapsed="false">
      <c r="A5246" s="15" t="s">
        <v>5874</v>
      </c>
      <c r="B5246" s="15" t="s">
        <v>5875</v>
      </c>
      <c r="C5246" s="15" t="s">
        <v>5997</v>
      </c>
      <c r="D5246" s="34" t="n">
        <f aca="false">Activities!M2136</f>
        <v>5</v>
      </c>
      <c r="E5246" s="15" t="s">
        <v>5998</v>
      </c>
    </row>
    <row r="5247" customFormat="false" ht="15" hidden="false" customHeight="false" outlineLevel="0" collapsed="false">
      <c r="A5247" s="15" t="s">
        <v>5874</v>
      </c>
      <c r="B5247" s="15" t="s">
        <v>5875</v>
      </c>
      <c r="C5247" s="15" t="s">
        <v>5999</v>
      </c>
      <c r="D5247" s="34" t="n">
        <f aca="false">Activities!N2136</f>
        <v>2</v>
      </c>
      <c r="E5247" s="15" t="s">
        <v>5998</v>
      </c>
    </row>
    <row r="5248" customFormat="false" ht="15" hidden="false" customHeight="false" outlineLevel="0" collapsed="false">
      <c r="A5248" s="15" t="s">
        <v>5859</v>
      </c>
      <c r="B5248" s="15" t="s">
        <v>5875</v>
      </c>
      <c r="C5248" s="15" t="s">
        <v>5995</v>
      </c>
      <c r="D5248" s="34" t="n">
        <v>0</v>
      </c>
      <c r="E5248" s="15" t="s">
        <v>6014</v>
      </c>
    </row>
    <row r="5249" customFormat="false" ht="15" hidden="false" customHeight="false" outlineLevel="0" collapsed="false">
      <c r="A5249" s="15" t="s">
        <v>5875</v>
      </c>
      <c r="B5249" s="15" t="s">
        <v>5876</v>
      </c>
      <c r="C5249" s="15" t="s">
        <v>5997</v>
      </c>
      <c r="D5249" s="34" t="n">
        <f aca="false">Activities!M2137</f>
        <v>4</v>
      </c>
      <c r="E5249" s="15" t="s">
        <v>5998</v>
      </c>
    </row>
    <row r="5250" customFormat="false" ht="15" hidden="false" customHeight="false" outlineLevel="0" collapsed="false">
      <c r="A5250" s="15" t="s">
        <v>5875</v>
      </c>
      <c r="B5250" s="15" t="s">
        <v>5876</v>
      </c>
      <c r="C5250" s="15" t="s">
        <v>5999</v>
      </c>
      <c r="D5250" s="34" t="n">
        <f aca="false">Activities!N2137</f>
        <v>2</v>
      </c>
      <c r="E5250" s="15" t="s">
        <v>5998</v>
      </c>
    </row>
    <row r="5251" customFormat="false" ht="15" hidden="false" customHeight="false" outlineLevel="0" collapsed="false">
      <c r="A5251" s="15" t="s">
        <v>5876</v>
      </c>
      <c r="B5251" s="15" t="s">
        <v>5877</v>
      </c>
      <c r="C5251" s="15" t="s">
        <v>5997</v>
      </c>
      <c r="D5251" s="34" t="n">
        <f aca="false">Activities!M2138</f>
        <v>2</v>
      </c>
      <c r="E5251" s="15" t="s">
        <v>5998</v>
      </c>
    </row>
    <row r="5252" customFormat="false" ht="15" hidden="false" customHeight="false" outlineLevel="0" collapsed="false">
      <c r="A5252" s="15" t="s">
        <v>5876</v>
      </c>
      <c r="B5252" s="15" t="s">
        <v>5877</v>
      </c>
      <c r="C5252" s="15" t="s">
        <v>5999</v>
      </c>
      <c r="D5252" s="34" t="n">
        <f aca="false">Activities!N2138</f>
        <v>2</v>
      </c>
      <c r="E5252" s="15" t="s">
        <v>5998</v>
      </c>
    </row>
    <row r="5253" customFormat="false" ht="15" hidden="false" customHeight="false" outlineLevel="0" collapsed="false">
      <c r="A5253" s="15" t="s">
        <v>5861</v>
      </c>
      <c r="B5253" s="15" t="s">
        <v>5877</v>
      </c>
      <c r="C5253" s="15" t="s">
        <v>5995</v>
      </c>
      <c r="D5253" s="34" t="n">
        <v>0</v>
      </c>
      <c r="E5253" s="15" t="s">
        <v>6014</v>
      </c>
    </row>
    <row r="5254" customFormat="false" ht="15" hidden="false" customHeight="false" outlineLevel="0" collapsed="false">
      <c r="A5254" s="15" t="s">
        <v>5859</v>
      </c>
      <c r="B5254" s="15" t="s">
        <v>5877</v>
      </c>
      <c r="C5254" s="15" t="s">
        <v>5995</v>
      </c>
      <c r="D5254" s="34" t="n">
        <v>0</v>
      </c>
      <c r="E5254" s="15" t="s">
        <v>6005</v>
      </c>
    </row>
    <row r="5255" customFormat="false" ht="15" hidden="false" customHeight="false" outlineLevel="0" collapsed="false">
      <c r="A5255" s="15" t="s">
        <v>5907</v>
      </c>
      <c r="B5255" s="15" t="s">
        <v>5877</v>
      </c>
      <c r="C5255" s="15" t="s">
        <v>5995</v>
      </c>
      <c r="D5255" s="34" t="n">
        <v>0</v>
      </c>
      <c r="E5255" s="15" t="s">
        <v>6005</v>
      </c>
    </row>
    <row r="5256" customFormat="false" ht="15" hidden="false" customHeight="false" outlineLevel="0" collapsed="false">
      <c r="A5256" s="15" t="s">
        <v>5645</v>
      </c>
      <c r="B5256" s="15" t="s">
        <v>5877</v>
      </c>
      <c r="C5256" s="15" t="s">
        <v>5995</v>
      </c>
      <c r="D5256" s="34" t="n">
        <v>0</v>
      </c>
      <c r="E5256" s="15" t="s">
        <v>6005</v>
      </c>
    </row>
    <row r="5257" customFormat="false" ht="15" hidden="false" customHeight="false" outlineLevel="0" collapsed="false">
      <c r="A5257" s="15" t="s">
        <v>5923</v>
      </c>
      <c r="B5257" s="15" t="s">
        <v>5877</v>
      </c>
      <c r="C5257" s="15" t="s">
        <v>5995</v>
      </c>
      <c r="D5257" s="34" t="n">
        <v>0</v>
      </c>
      <c r="E5257" s="15" t="s">
        <v>6005</v>
      </c>
    </row>
    <row r="5258" customFormat="false" ht="15" hidden="false" customHeight="false" outlineLevel="0" collapsed="false">
      <c r="A5258" s="15" t="s">
        <v>5813</v>
      </c>
      <c r="B5258" s="15" t="s">
        <v>5877</v>
      </c>
      <c r="C5258" s="15" t="s">
        <v>5995</v>
      </c>
      <c r="D5258" s="34" t="n">
        <v>0</v>
      </c>
      <c r="E5258" s="15" t="s">
        <v>6005</v>
      </c>
    </row>
    <row r="5259" customFormat="false" ht="15" hidden="false" customHeight="false" outlineLevel="0" collapsed="false">
      <c r="A5259" s="15" t="s">
        <v>5691</v>
      </c>
      <c r="B5259" s="15" t="s">
        <v>5877</v>
      </c>
      <c r="C5259" s="15" t="s">
        <v>5995</v>
      </c>
      <c r="D5259" s="34" t="n">
        <v>0</v>
      </c>
      <c r="E5259" s="15" t="s">
        <v>6005</v>
      </c>
    </row>
    <row r="5260" customFormat="false" ht="15" hidden="false" customHeight="false" outlineLevel="0" collapsed="false">
      <c r="A5260" s="15" t="s">
        <v>5798</v>
      </c>
      <c r="B5260" s="15" t="s">
        <v>5877</v>
      </c>
      <c r="C5260" s="15" t="s">
        <v>5995</v>
      </c>
      <c r="D5260" s="34" t="n">
        <v>0</v>
      </c>
      <c r="E5260" s="15" t="s">
        <v>6005</v>
      </c>
    </row>
    <row r="5261" customFormat="false" ht="15" hidden="false" customHeight="false" outlineLevel="0" collapsed="false">
      <c r="A5261" s="15" t="s">
        <v>5891</v>
      </c>
      <c r="B5261" s="15" t="s">
        <v>5877</v>
      </c>
      <c r="C5261" s="15" t="s">
        <v>5995</v>
      </c>
      <c r="D5261" s="34" t="n">
        <v>0</v>
      </c>
      <c r="E5261" s="15" t="s">
        <v>6005</v>
      </c>
    </row>
    <row r="5262" customFormat="false" ht="15" hidden="false" customHeight="false" outlineLevel="0" collapsed="false">
      <c r="A5262" s="15" t="s">
        <v>5877</v>
      </c>
      <c r="B5262" s="15" t="s">
        <v>5879</v>
      </c>
      <c r="C5262" s="15" t="s">
        <v>5997</v>
      </c>
      <c r="D5262" s="34" t="n">
        <f aca="false">Activities!M2139</f>
        <v>2</v>
      </c>
      <c r="E5262" s="15" t="s">
        <v>5998</v>
      </c>
    </row>
    <row r="5263" customFormat="false" ht="15" hidden="false" customHeight="false" outlineLevel="0" collapsed="false">
      <c r="A5263" s="15" t="s">
        <v>5877</v>
      </c>
      <c r="B5263" s="15" t="s">
        <v>5879</v>
      </c>
      <c r="C5263" s="15" t="s">
        <v>5999</v>
      </c>
      <c r="D5263" s="34" t="n">
        <f aca="false">Activities!N2139</f>
        <v>2</v>
      </c>
      <c r="E5263" s="15" t="s">
        <v>5998</v>
      </c>
    </row>
    <row r="5264" customFormat="false" ht="15" hidden="false" customHeight="false" outlineLevel="0" collapsed="false">
      <c r="A5264" s="15" t="s">
        <v>5880</v>
      </c>
      <c r="B5264" s="15" t="s">
        <v>5882</v>
      </c>
      <c r="C5264" s="15" t="s">
        <v>5995</v>
      </c>
      <c r="D5264" s="34" t="n">
        <v>0</v>
      </c>
      <c r="E5264" s="15" t="s">
        <v>5996</v>
      </c>
    </row>
    <row r="5265" customFormat="false" ht="15" hidden="false" customHeight="false" outlineLevel="0" collapsed="false">
      <c r="A5265" s="15" t="s">
        <v>5868</v>
      </c>
      <c r="B5265" s="15" t="s">
        <v>5882</v>
      </c>
      <c r="C5265" s="15" t="s">
        <v>5997</v>
      </c>
      <c r="D5265" s="34" t="n">
        <v>0</v>
      </c>
      <c r="E5265" s="15" t="s">
        <v>6002</v>
      </c>
    </row>
    <row r="5266" customFormat="false" ht="15" hidden="false" customHeight="false" outlineLevel="0" collapsed="false">
      <c r="A5266" s="15" t="s">
        <v>5882</v>
      </c>
      <c r="B5266" s="15" t="s">
        <v>5884</v>
      </c>
      <c r="C5266" s="15" t="s">
        <v>5997</v>
      </c>
      <c r="D5266" s="34" t="n">
        <f aca="false">Activities!M2142</f>
        <v>2</v>
      </c>
      <c r="E5266" s="15" t="s">
        <v>5998</v>
      </c>
    </row>
    <row r="5267" customFormat="false" ht="15" hidden="false" customHeight="false" outlineLevel="0" collapsed="false">
      <c r="A5267" s="15" t="s">
        <v>5882</v>
      </c>
      <c r="B5267" s="15" t="s">
        <v>5884</v>
      </c>
      <c r="C5267" s="15" t="s">
        <v>5999</v>
      </c>
      <c r="D5267" s="34" t="n">
        <f aca="false">Activities!N2142</f>
        <v>2</v>
      </c>
      <c r="E5267" s="15" t="s">
        <v>5998</v>
      </c>
    </row>
    <row r="5268" customFormat="false" ht="15" hidden="false" customHeight="false" outlineLevel="0" collapsed="false">
      <c r="A5268" s="15" t="s">
        <v>5868</v>
      </c>
      <c r="B5268" s="15" t="s">
        <v>5884</v>
      </c>
      <c r="C5268" s="15" t="s">
        <v>5995</v>
      </c>
      <c r="D5268" s="34" t="n">
        <v>0</v>
      </c>
      <c r="E5268" s="15" t="s">
        <v>6014</v>
      </c>
    </row>
    <row r="5269" customFormat="false" ht="15" hidden="false" customHeight="false" outlineLevel="0" collapsed="false">
      <c r="A5269" s="15" t="s">
        <v>5884</v>
      </c>
      <c r="B5269" s="15" t="s">
        <v>5885</v>
      </c>
      <c r="C5269" s="15" t="s">
        <v>5997</v>
      </c>
      <c r="D5269" s="34" t="n">
        <f aca="false">Activities!M2143</f>
        <v>9</v>
      </c>
      <c r="E5269" s="15" t="s">
        <v>5998</v>
      </c>
    </row>
    <row r="5270" customFormat="false" ht="15" hidden="false" customHeight="false" outlineLevel="0" collapsed="false">
      <c r="A5270" s="15" t="s">
        <v>5884</v>
      </c>
      <c r="B5270" s="15" t="s">
        <v>5885</v>
      </c>
      <c r="C5270" s="15" t="s">
        <v>5999</v>
      </c>
      <c r="D5270" s="34" t="n">
        <f aca="false">Activities!N2143</f>
        <v>2</v>
      </c>
      <c r="E5270" s="15" t="s">
        <v>5998</v>
      </c>
    </row>
    <row r="5271" customFormat="false" ht="15" hidden="false" customHeight="false" outlineLevel="0" collapsed="false">
      <c r="A5271" s="15" t="s">
        <v>5869</v>
      </c>
      <c r="B5271" s="15" t="s">
        <v>5885</v>
      </c>
      <c r="C5271" s="15" t="s">
        <v>5995</v>
      </c>
      <c r="D5271" s="34" t="n">
        <v>0</v>
      </c>
      <c r="E5271" s="15" t="s">
        <v>6014</v>
      </c>
    </row>
    <row r="5272" customFormat="false" ht="15" hidden="false" customHeight="false" outlineLevel="0" collapsed="false">
      <c r="A5272" s="15" t="s">
        <v>5885</v>
      </c>
      <c r="B5272" s="15" t="s">
        <v>5886</v>
      </c>
      <c r="C5272" s="15" t="s">
        <v>5997</v>
      </c>
      <c r="D5272" s="34" t="n">
        <f aca="false">Activities!M2144</f>
        <v>6</v>
      </c>
      <c r="E5272" s="15" t="s">
        <v>5998</v>
      </c>
    </row>
    <row r="5273" customFormat="false" ht="15" hidden="false" customHeight="false" outlineLevel="0" collapsed="false">
      <c r="A5273" s="15" t="s">
        <v>5885</v>
      </c>
      <c r="B5273" s="15" t="s">
        <v>5886</v>
      </c>
      <c r="C5273" s="15" t="s">
        <v>5999</v>
      </c>
      <c r="D5273" s="34" t="n">
        <f aca="false">Activities!N2144</f>
        <v>2</v>
      </c>
      <c r="E5273" s="15" t="s">
        <v>5998</v>
      </c>
    </row>
    <row r="5274" customFormat="false" ht="15" hidden="false" customHeight="false" outlineLevel="0" collapsed="false">
      <c r="A5274" s="15" t="s">
        <v>5872</v>
      </c>
      <c r="B5274" s="15" t="s">
        <v>5886</v>
      </c>
      <c r="C5274" s="15" t="s">
        <v>5995</v>
      </c>
      <c r="D5274" s="34" t="n">
        <f aca="false">-Activities!K2144</f>
        <v>-20</v>
      </c>
      <c r="E5274" s="15" t="s">
        <v>6004</v>
      </c>
    </row>
    <row r="5275" customFormat="false" ht="15" hidden="false" customHeight="false" outlineLevel="0" collapsed="false">
      <c r="A5275" s="15" t="s">
        <v>5886</v>
      </c>
      <c r="B5275" s="15" t="s">
        <v>5888</v>
      </c>
      <c r="C5275" s="15" t="s">
        <v>5997</v>
      </c>
      <c r="D5275" s="34" t="n">
        <f aca="false">Activities!M2145</f>
        <v>13</v>
      </c>
      <c r="E5275" s="15" t="s">
        <v>5998</v>
      </c>
    </row>
    <row r="5276" customFormat="false" ht="15" hidden="false" customHeight="false" outlineLevel="0" collapsed="false">
      <c r="A5276" s="15" t="s">
        <v>5886</v>
      </c>
      <c r="B5276" s="15" t="s">
        <v>5888</v>
      </c>
      <c r="C5276" s="15" t="s">
        <v>5999</v>
      </c>
      <c r="D5276" s="34" t="n">
        <f aca="false">Activities!N2145</f>
        <v>2</v>
      </c>
      <c r="E5276" s="15" t="s">
        <v>5998</v>
      </c>
    </row>
    <row r="5277" customFormat="false" ht="15" hidden="false" customHeight="false" outlineLevel="0" collapsed="false">
      <c r="A5277" s="15" t="s">
        <v>5872</v>
      </c>
      <c r="B5277" s="15" t="s">
        <v>5888</v>
      </c>
      <c r="C5277" s="15" t="s">
        <v>5995</v>
      </c>
      <c r="D5277" s="34" t="n">
        <v>0</v>
      </c>
      <c r="E5277" s="15" t="s">
        <v>6014</v>
      </c>
    </row>
    <row r="5278" customFormat="false" ht="15" hidden="false" customHeight="false" outlineLevel="0" collapsed="false">
      <c r="A5278" s="15" t="s">
        <v>5811</v>
      </c>
      <c r="B5278" s="15" t="s">
        <v>5888</v>
      </c>
      <c r="C5278" s="15" t="s">
        <v>5997</v>
      </c>
      <c r="D5278" s="34" t="n">
        <v>0</v>
      </c>
      <c r="E5278" s="15" t="s">
        <v>6006</v>
      </c>
    </row>
    <row r="5279" customFormat="false" ht="15" hidden="false" customHeight="false" outlineLevel="0" collapsed="false">
      <c r="A5279" s="15" t="s">
        <v>5704</v>
      </c>
      <c r="B5279" s="15" t="s">
        <v>5888</v>
      </c>
      <c r="C5279" s="15" t="s">
        <v>5997</v>
      </c>
      <c r="D5279" s="34" t="n">
        <v>0</v>
      </c>
      <c r="E5279" s="15" t="s">
        <v>6006</v>
      </c>
    </row>
    <row r="5280" customFormat="false" ht="15" hidden="false" customHeight="false" outlineLevel="0" collapsed="false">
      <c r="A5280" s="15" t="s">
        <v>5872</v>
      </c>
      <c r="B5280" s="15" t="s">
        <v>5888</v>
      </c>
      <c r="C5280" s="15" t="s">
        <v>5997</v>
      </c>
      <c r="D5280" s="34" t="n">
        <v>0</v>
      </c>
      <c r="E5280" s="15" t="s">
        <v>6006</v>
      </c>
    </row>
    <row r="5281" customFormat="false" ht="15" hidden="false" customHeight="false" outlineLevel="0" collapsed="false">
      <c r="A5281" s="15" t="s">
        <v>5826</v>
      </c>
      <c r="B5281" s="15" t="s">
        <v>5888</v>
      </c>
      <c r="C5281" s="15" t="s">
        <v>5997</v>
      </c>
      <c r="D5281" s="34" t="n">
        <v>0</v>
      </c>
      <c r="E5281" s="15" t="s">
        <v>6006</v>
      </c>
    </row>
    <row r="5282" customFormat="false" ht="15" hidden="false" customHeight="false" outlineLevel="0" collapsed="false">
      <c r="A5282" s="15" t="s">
        <v>5841</v>
      </c>
      <c r="B5282" s="15" t="s">
        <v>5888</v>
      </c>
      <c r="C5282" s="15" t="s">
        <v>5997</v>
      </c>
      <c r="D5282" s="34" t="n">
        <v>0</v>
      </c>
      <c r="E5282" s="15" t="s">
        <v>6006</v>
      </c>
    </row>
    <row r="5283" customFormat="false" ht="15" hidden="false" customHeight="false" outlineLevel="0" collapsed="false">
      <c r="A5283" s="15" t="s">
        <v>5735</v>
      </c>
      <c r="B5283" s="15" t="s">
        <v>5888</v>
      </c>
      <c r="C5283" s="15" t="s">
        <v>5997</v>
      </c>
      <c r="D5283" s="34" t="n">
        <v>0</v>
      </c>
      <c r="E5283" s="15" t="s">
        <v>6006</v>
      </c>
    </row>
    <row r="5284" customFormat="false" ht="15" hidden="false" customHeight="false" outlineLevel="0" collapsed="false">
      <c r="A5284" s="15" t="s">
        <v>5888</v>
      </c>
      <c r="B5284" s="15" t="s">
        <v>5890</v>
      </c>
      <c r="C5284" s="15" t="s">
        <v>5997</v>
      </c>
      <c r="D5284" s="34" t="n">
        <f aca="false">Activities!M2146</f>
        <v>5</v>
      </c>
      <c r="E5284" s="15" t="s">
        <v>5998</v>
      </c>
    </row>
    <row r="5285" customFormat="false" ht="15" hidden="false" customHeight="false" outlineLevel="0" collapsed="false">
      <c r="A5285" s="15" t="s">
        <v>5888</v>
      </c>
      <c r="B5285" s="15" t="s">
        <v>5890</v>
      </c>
      <c r="C5285" s="15" t="s">
        <v>5999</v>
      </c>
      <c r="D5285" s="34" t="n">
        <f aca="false">Activities!N2146</f>
        <v>2</v>
      </c>
      <c r="E5285" s="15" t="s">
        <v>5998</v>
      </c>
    </row>
    <row r="5286" customFormat="false" ht="15" hidden="false" customHeight="false" outlineLevel="0" collapsed="false">
      <c r="A5286" s="15" t="s">
        <v>5874</v>
      </c>
      <c r="B5286" s="15" t="s">
        <v>5890</v>
      </c>
      <c r="C5286" s="15" t="s">
        <v>5995</v>
      </c>
      <c r="D5286" s="34" t="n">
        <v>0</v>
      </c>
      <c r="E5286" s="15" t="s">
        <v>6014</v>
      </c>
    </row>
    <row r="5287" customFormat="false" ht="15" hidden="false" customHeight="false" outlineLevel="0" collapsed="false">
      <c r="A5287" s="15" t="s">
        <v>5890</v>
      </c>
      <c r="B5287" s="15" t="s">
        <v>5891</v>
      </c>
      <c r="C5287" s="15" t="s">
        <v>5997</v>
      </c>
      <c r="D5287" s="34" t="n">
        <f aca="false">Activities!M2147</f>
        <v>7</v>
      </c>
      <c r="E5287" s="15" t="s">
        <v>5998</v>
      </c>
    </row>
    <row r="5288" customFormat="false" ht="15" hidden="false" customHeight="false" outlineLevel="0" collapsed="false">
      <c r="A5288" s="15" t="s">
        <v>5890</v>
      </c>
      <c r="B5288" s="15" t="s">
        <v>5891</v>
      </c>
      <c r="C5288" s="15" t="s">
        <v>5999</v>
      </c>
      <c r="D5288" s="34" t="n">
        <f aca="false">Activities!N2147</f>
        <v>2</v>
      </c>
      <c r="E5288" s="15" t="s">
        <v>5998</v>
      </c>
    </row>
    <row r="5289" customFormat="false" ht="15" hidden="false" customHeight="false" outlineLevel="0" collapsed="false">
      <c r="A5289" s="15" t="s">
        <v>5875</v>
      </c>
      <c r="B5289" s="15" t="s">
        <v>5891</v>
      </c>
      <c r="C5289" s="15" t="s">
        <v>5995</v>
      </c>
      <c r="D5289" s="34" t="n">
        <v>0</v>
      </c>
      <c r="E5289" s="15" t="s">
        <v>6014</v>
      </c>
    </row>
    <row r="5290" customFormat="false" ht="15" hidden="false" customHeight="false" outlineLevel="0" collapsed="false">
      <c r="A5290" s="15" t="s">
        <v>5891</v>
      </c>
      <c r="B5290" s="15" t="s">
        <v>5892</v>
      </c>
      <c r="C5290" s="15" t="s">
        <v>5997</v>
      </c>
      <c r="D5290" s="34" t="n">
        <f aca="false">Activities!M2148</f>
        <v>6</v>
      </c>
      <c r="E5290" s="15" t="s">
        <v>5998</v>
      </c>
    </row>
    <row r="5291" customFormat="false" ht="15" hidden="false" customHeight="false" outlineLevel="0" collapsed="false">
      <c r="A5291" s="15" t="s">
        <v>5891</v>
      </c>
      <c r="B5291" s="15" t="s">
        <v>5892</v>
      </c>
      <c r="C5291" s="15" t="s">
        <v>5999</v>
      </c>
      <c r="D5291" s="34" t="n">
        <f aca="false">Activities!N2148</f>
        <v>2</v>
      </c>
      <c r="E5291" s="15" t="s">
        <v>5998</v>
      </c>
    </row>
    <row r="5292" customFormat="false" ht="15" hidden="false" customHeight="false" outlineLevel="0" collapsed="false">
      <c r="A5292" s="15" t="s">
        <v>5892</v>
      </c>
      <c r="B5292" s="15" t="s">
        <v>5893</v>
      </c>
      <c r="C5292" s="15" t="s">
        <v>5997</v>
      </c>
      <c r="D5292" s="34" t="n">
        <f aca="false">Activities!M2149</f>
        <v>2</v>
      </c>
      <c r="E5292" s="15" t="s">
        <v>5998</v>
      </c>
    </row>
    <row r="5293" customFormat="false" ht="15" hidden="false" customHeight="false" outlineLevel="0" collapsed="false">
      <c r="A5293" s="15" t="s">
        <v>5892</v>
      </c>
      <c r="B5293" s="15" t="s">
        <v>5893</v>
      </c>
      <c r="C5293" s="15" t="s">
        <v>5999</v>
      </c>
      <c r="D5293" s="34" t="n">
        <f aca="false">Activities!N2149</f>
        <v>2</v>
      </c>
      <c r="E5293" s="15" t="s">
        <v>5998</v>
      </c>
    </row>
    <row r="5294" customFormat="false" ht="15" hidden="false" customHeight="false" outlineLevel="0" collapsed="false">
      <c r="A5294" s="15" t="s">
        <v>5877</v>
      </c>
      <c r="B5294" s="15" t="s">
        <v>5893</v>
      </c>
      <c r="C5294" s="15" t="s">
        <v>5995</v>
      </c>
      <c r="D5294" s="34" t="n">
        <v>0</v>
      </c>
      <c r="E5294" s="15" t="s">
        <v>6014</v>
      </c>
    </row>
    <row r="5295" customFormat="false" ht="15" hidden="false" customHeight="false" outlineLevel="0" collapsed="false">
      <c r="A5295" s="15" t="s">
        <v>5813</v>
      </c>
      <c r="B5295" s="15" t="s">
        <v>5893</v>
      </c>
      <c r="C5295" s="15" t="s">
        <v>5995</v>
      </c>
      <c r="D5295" s="34" t="n">
        <v>0</v>
      </c>
      <c r="E5295" s="15" t="s">
        <v>6005</v>
      </c>
    </row>
    <row r="5296" customFormat="false" ht="15" hidden="false" customHeight="false" outlineLevel="0" collapsed="false">
      <c r="A5296" s="15" t="s">
        <v>5938</v>
      </c>
      <c r="B5296" s="15" t="s">
        <v>5893</v>
      </c>
      <c r="C5296" s="15" t="s">
        <v>5995</v>
      </c>
      <c r="D5296" s="34" t="n">
        <v>0</v>
      </c>
      <c r="E5296" s="15" t="s">
        <v>6005</v>
      </c>
    </row>
    <row r="5297" customFormat="false" ht="15" hidden="false" customHeight="false" outlineLevel="0" collapsed="false">
      <c r="A5297" s="15" t="s">
        <v>5707</v>
      </c>
      <c r="B5297" s="15" t="s">
        <v>5893</v>
      </c>
      <c r="C5297" s="15" t="s">
        <v>5995</v>
      </c>
      <c r="D5297" s="34" t="n">
        <v>0</v>
      </c>
      <c r="E5297" s="15" t="s">
        <v>6005</v>
      </c>
    </row>
    <row r="5298" customFormat="false" ht="15" hidden="false" customHeight="false" outlineLevel="0" collapsed="false">
      <c r="A5298" s="15" t="s">
        <v>5875</v>
      </c>
      <c r="B5298" s="15" t="s">
        <v>5893</v>
      </c>
      <c r="C5298" s="15" t="s">
        <v>5995</v>
      </c>
      <c r="D5298" s="34" t="n">
        <v>0</v>
      </c>
      <c r="E5298" s="15" t="s">
        <v>6005</v>
      </c>
    </row>
    <row r="5299" customFormat="false" ht="15" hidden="false" customHeight="false" outlineLevel="0" collapsed="false">
      <c r="A5299" s="15" t="s">
        <v>5828</v>
      </c>
      <c r="B5299" s="15" t="s">
        <v>5893</v>
      </c>
      <c r="C5299" s="15" t="s">
        <v>5995</v>
      </c>
      <c r="D5299" s="34" t="n">
        <v>0</v>
      </c>
      <c r="E5299" s="15" t="s">
        <v>6005</v>
      </c>
    </row>
    <row r="5300" customFormat="false" ht="15" hidden="false" customHeight="false" outlineLevel="0" collapsed="false">
      <c r="A5300" s="15" t="s">
        <v>5843</v>
      </c>
      <c r="B5300" s="15" t="s">
        <v>5893</v>
      </c>
      <c r="C5300" s="15" t="s">
        <v>5995</v>
      </c>
      <c r="D5300" s="34" t="n">
        <v>0</v>
      </c>
      <c r="E5300" s="15" t="s">
        <v>6005</v>
      </c>
    </row>
    <row r="5301" customFormat="false" ht="15" hidden="false" customHeight="false" outlineLevel="0" collapsed="false">
      <c r="A5301" s="15" t="s">
        <v>5738</v>
      </c>
      <c r="B5301" s="15" t="s">
        <v>5893</v>
      </c>
      <c r="C5301" s="15" t="s">
        <v>5995</v>
      </c>
      <c r="D5301" s="34" t="n">
        <v>0</v>
      </c>
      <c r="E5301" s="15" t="s">
        <v>6005</v>
      </c>
    </row>
    <row r="5302" customFormat="false" ht="15" hidden="false" customHeight="false" outlineLevel="0" collapsed="false">
      <c r="A5302" s="15" t="s">
        <v>5893</v>
      </c>
      <c r="B5302" s="15" t="s">
        <v>5895</v>
      </c>
      <c r="C5302" s="15" t="s">
        <v>5997</v>
      </c>
      <c r="D5302" s="34" t="n">
        <f aca="false">Activities!M2150</f>
        <v>3</v>
      </c>
      <c r="E5302" s="15" t="s">
        <v>5998</v>
      </c>
    </row>
    <row r="5303" customFormat="false" ht="15" hidden="false" customHeight="false" outlineLevel="0" collapsed="false">
      <c r="A5303" s="15" t="s">
        <v>5893</v>
      </c>
      <c r="B5303" s="15" t="s">
        <v>5895</v>
      </c>
      <c r="C5303" s="15" t="s">
        <v>5999</v>
      </c>
      <c r="D5303" s="34" t="n">
        <f aca="false">Activities!N2150</f>
        <v>2</v>
      </c>
      <c r="E5303" s="15" t="s">
        <v>5998</v>
      </c>
    </row>
    <row r="5304" customFormat="false" ht="15" hidden="false" customHeight="false" outlineLevel="0" collapsed="false">
      <c r="A5304" s="15" t="s">
        <v>5896</v>
      </c>
      <c r="B5304" s="15" t="s">
        <v>5898</v>
      </c>
      <c r="C5304" s="15" t="s">
        <v>5995</v>
      </c>
      <c r="D5304" s="34" t="n">
        <v>0</v>
      </c>
      <c r="E5304" s="15" t="s">
        <v>5996</v>
      </c>
    </row>
    <row r="5305" customFormat="false" ht="15" hidden="false" customHeight="false" outlineLevel="0" collapsed="false">
      <c r="A5305" s="15" t="s">
        <v>5884</v>
      </c>
      <c r="B5305" s="15" t="s">
        <v>5898</v>
      </c>
      <c r="C5305" s="15" t="s">
        <v>5997</v>
      </c>
      <c r="D5305" s="34" t="n">
        <v>0</v>
      </c>
      <c r="E5305" s="15" t="s">
        <v>6002</v>
      </c>
    </row>
    <row r="5306" customFormat="false" ht="15" hidden="false" customHeight="false" outlineLevel="0" collapsed="false">
      <c r="A5306" s="15" t="s">
        <v>5898</v>
      </c>
      <c r="B5306" s="15" t="s">
        <v>5900</v>
      </c>
      <c r="C5306" s="15" t="s">
        <v>5997</v>
      </c>
      <c r="D5306" s="34" t="n">
        <f aca="false">Activities!M2153</f>
        <v>1</v>
      </c>
      <c r="E5306" s="15" t="s">
        <v>5998</v>
      </c>
    </row>
    <row r="5307" customFormat="false" ht="15" hidden="false" customHeight="false" outlineLevel="0" collapsed="false">
      <c r="A5307" s="15" t="s">
        <v>5898</v>
      </c>
      <c r="B5307" s="15" t="s">
        <v>5900</v>
      </c>
      <c r="C5307" s="15" t="s">
        <v>5999</v>
      </c>
      <c r="D5307" s="34" t="n">
        <f aca="false">Activities!N2153</f>
        <v>2</v>
      </c>
      <c r="E5307" s="15" t="s">
        <v>5998</v>
      </c>
    </row>
    <row r="5308" customFormat="false" ht="15" hidden="false" customHeight="false" outlineLevel="0" collapsed="false">
      <c r="A5308" s="15" t="s">
        <v>5884</v>
      </c>
      <c r="B5308" s="15" t="s">
        <v>5900</v>
      </c>
      <c r="C5308" s="15" t="s">
        <v>5995</v>
      </c>
      <c r="D5308" s="34" t="n">
        <v>0</v>
      </c>
      <c r="E5308" s="15" t="s">
        <v>6014</v>
      </c>
    </row>
    <row r="5309" customFormat="false" ht="15" hidden="false" customHeight="false" outlineLevel="0" collapsed="false">
      <c r="A5309" s="15" t="s">
        <v>5900</v>
      </c>
      <c r="B5309" s="15" t="s">
        <v>5901</v>
      </c>
      <c r="C5309" s="15" t="s">
        <v>5997</v>
      </c>
      <c r="D5309" s="34" t="n">
        <f aca="false">Activities!M2154</f>
        <v>1</v>
      </c>
      <c r="E5309" s="15" t="s">
        <v>5998</v>
      </c>
    </row>
    <row r="5310" customFormat="false" ht="15" hidden="false" customHeight="false" outlineLevel="0" collapsed="false">
      <c r="A5310" s="15" t="s">
        <v>5900</v>
      </c>
      <c r="B5310" s="15" t="s">
        <v>5901</v>
      </c>
      <c r="C5310" s="15" t="s">
        <v>5999</v>
      </c>
      <c r="D5310" s="34" t="n">
        <f aca="false">Activities!N2154</f>
        <v>2</v>
      </c>
      <c r="E5310" s="15" t="s">
        <v>5998</v>
      </c>
    </row>
    <row r="5311" customFormat="false" ht="15" hidden="false" customHeight="false" outlineLevel="0" collapsed="false">
      <c r="A5311" s="15" t="s">
        <v>5885</v>
      </c>
      <c r="B5311" s="15" t="s">
        <v>5901</v>
      </c>
      <c r="C5311" s="15" t="s">
        <v>5995</v>
      </c>
      <c r="D5311" s="34" t="n">
        <v>0</v>
      </c>
      <c r="E5311" s="15" t="s">
        <v>6014</v>
      </c>
    </row>
    <row r="5312" customFormat="false" ht="15" hidden="false" customHeight="false" outlineLevel="0" collapsed="false">
      <c r="A5312" s="15" t="s">
        <v>5901</v>
      </c>
      <c r="B5312" s="15" t="s">
        <v>5902</v>
      </c>
      <c r="C5312" s="15" t="s">
        <v>5997</v>
      </c>
      <c r="D5312" s="34" t="n">
        <f aca="false">Activities!M2155</f>
        <v>1</v>
      </c>
      <c r="E5312" s="15" t="s">
        <v>5998</v>
      </c>
    </row>
    <row r="5313" customFormat="false" ht="15" hidden="false" customHeight="false" outlineLevel="0" collapsed="false">
      <c r="A5313" s="15" t="s">
        <v>5901</v>
      </c>
      <c r="B5313" s="15" t="s">
        <v>5902</v>
      </c>
      <c r="C5313" s="15" t="s">
        <v>5999</v>
      </c>
      <c r="D5313" s="34" t="n">
        <f aca="false">Activities!N2155</f>
        <v>2</v>
      </c>
      <c r="E5313" s="15" t="s">
        <v>5998</v>
      </c>
    </row>
    <row r="5314" customFormat="false" ht="15" hidden="false" customHeight="false" outlineLevel="0" collapsed="false">
      <c r="A5314" s="15" t="s">
        <v>5888</v>
      </c>
      <c r="B5314" s="15" t="s">
        <v>5902</v>
      </c>
      <c r="C5314" s="15" t="s">
        <v>5995</v>
      </c>
      <c r="D5314" s="34" t="n">
        <f aca="false">-Activities!K2155</f>
        <v>-10</v>
      </c>
      <c r="E5314" s="15" t="s">
        <v>6004</v>
      </c>
    </row>
    <row r="5315" customFormat="false" ht="15" hidden="false" customHeight="false" outlineLevel="0" collapsed="false">
      <c r="A5315" s="15" t="s">
        <v>5902</v>
      </c>
      <c r="B5315" s="15" t="s">
        <v>5904</v>
      </c>
      <c r="C5315" s="15" t="s">
        <v>5997</v>
      </c>
      <c r="D5315" s="34" t="n">
        <f aca="false">Activities!M2156</f>
        <v>10</v>
      </c>
      <c r="E5315" s="15" t="s">
        <v>5998</v>
      </c>
    </row>
    <row r="5316" customFormat="false" ht="15" hidden="false" customHeight="false" outlineLevel="0" collapsed="false">
      <c r="A5316" s="15" t="s">
        <v>5902</v>
      </c>
      <c r="B5316" s="15" t="s">
        <v>5904</v>
      </c>
      <c r="C5316" s="15" t="s">
        <v>5999</v>
      </c>
      <c r="D5316" s="34" t="n">
        <f aca="false">Activities!N2156</f>
        <v>2</v>
      </c>
      <c r="E5316" s="15" t="s">
        <v>5998</v>
      </c>
    </row>
    <row r="5317" customFormat="false" ht="15" hidden="false" customHeight="false" outlineLevel="0" collapsed="false">
      <c r="A5317" s="15" t="s">
        <v>5888</v>
      </c>
      <c r="B5317" s="15" t="s">
        <v>5904</v>
      </c>
      <c r="C5317" s="15" t="s">
        <v>5995</v>
      </c>
      <c r="D5317" s="34" t="n">
        <v>0</v>
      </c>
      <c r="E5317" s="15" t="s">
        <v>6014</v>
      </c>
    </row>
    <row r="5318" customFormat="false" ht="15" hidden="false" customHeight="false" outlineLevel="0" collapsed="false">
      <c r="A5318" s="15" t="s">
        <v>5811</v>
      </c>
      <c r="B5318" s="15" t="s">
        <v>5904</v>
      </c>
      <c r="C5318" s="15" t="s">
        <v>5997</v>
      </c>
      <c r="D5318" s="34" t="n">
        <v>0</v>
      </c>
      <c r="E5318" s="15" t="s">
        <v>6006</v>
      </c>
    </row>
    <row r="5319" customFormat="false" ht="15" hidden="false" customHeight="false" outlineLevel="0" collapsed="false">
      <c r="A5319" s="15" t="s">
        <v>5872</v>
      </c>
      <c r="B5319" s="15" t="s">
        <v>5904</v>
      </c>
      <c r="C5319" s="15" t="s">
        <v>5997</v>
      </c>
      <c r="D5319" s="34" t="n">
        <v>0</v>
      </c>
      <c r="E5319" s="15" t="s">
        <v>6006</v>
      </c>
    </row>
    <row r="5320" customFormat="false" ht="15" hidden="false" customHeight="false" outlineLevel="0" collapsed="false">
      <c r="A5320" s="15" t="s">
        <v>5826</v>
      </c>
      <c r="B5320" s="15" t="s">
        <v>5904</v>
      </c>
      <c r="C5320" s="15" t="s">
        <v>5997</v>
      </c>
      <c r="D5320" s="34" t="n">
        <v>0</v>
      </c>
      <c r="E5320" s="15" t="s">
        <v>6006</v>
      </c>
    </row>
    <row r="5321" customFormat="false" ht="15" hidden="false" customHeight="false" outlineLevel="0" collapsed="false">
      <c r="A5321" s="15" t="s">
        <v>5904</v>
      </c>
      <c r="B5321" s="15" t="s">
        <v>5906</v>
      </c>
      <c r="C5321" s="15" t="s">
        <v>5997</v>
      </c>
      <c r="D5321" s="34" t="n">
        <f aca="false">Activities!M2157</f>
        <v>1</v>
      </c>
      <c r="E5321" s="15" t="s">
        <v>5998</v>
      </c>
    </row>
    <row r="5322" customFormat="false" ht="15" hidden="false" customHeight="false" outlineLevel="0" collapsed="false">
      <c r="A5322" s="15" t="s">
        <v>5904</v>
      </c>
      <c r="B5322" s="15" t="s">
        <v>5906</v>
      </c>
      <c r="C5322" s="15" t="s">
        <v>5999</v>
      </c>
      <c r="D5322" s="34" t="n">
        <f aca="false">Activities!N2157</f>
        <v>2</v>
      </c>
      <c r="E5322" s="15" t="s">
        <v>5998</v>
      </c>
    </row>
    <row r="5323" customFormat="false" ht="15" hidden="false" customHeight="false" outlineLevel="0" collapsed="false">
      <c r="A5323" s="15" t="s">
        <v>5890</v>
      </c>
      <c r="B5323" s="15" t="s">
        <v>5906</v>
      </c>
      <c r="C5323" s="15" t="s">
        <v>5995</v>
      </c>
      <c r="D5323" s="34" t="n">
        <v>0</v>
      </c>
      <c r="E5323" s="15" t="s">
        <v>6014</v>
      </c>
    </row>
    <row r="5324" customFormat="false" ht="15" hidden="false" customHeight="false" outlineLevel="0" collapsed="false">
      <c r="A5324" s="15" t="s">
        <v>5906</v>
      </c>
      <c r="B5324" s="15" t="s">
        <v>5907</v>
      </c>
      <c r="C5324" s="15" t="s">
        <v>5997</v>
      </c>
      <c r="D5324" s="34" t="n">
        <f aca="false">Activities!M2158</f>
        <v>2</v>
      </c>
      <c r="E5324" s="15" t="s">
        <v>5998</v>
      </c>
    </row>
    <row r="5325" customFormat="false" ht="15" hidden="false" customHeight="false" outlineLevel="0" collapsed="false">
      <c r="A5325" s="15" t="s">
        <v>5906</v>
      </c>
      <c r="B5325" s="15" t="s">
        <v>5907</v>
      </c>
      <c r="C5325" s="15" t="s">
        <v>5999</v>
      </c>
      <c r="D5325" s="34" t="n">
        <f aca="false">Activities!N2158</f>
        <v>2</v>
      </c>
      <c r="E5325" s="15" t="s">
        <v>5998</v>
      </c>
    </row>
    <row r="5326" customFormat="false" ht="15" hidden="false" customHeight="false" outlineLevel="0" collapsed="false">
      <c r="A5326" s="15" t="s">
        <v>5891</v>
      </c>
      <c r="B5326" s="15" t="s">
        <v>5907</v>
      </c>
      <c r="C5326" s="15" t="s">
        <v>5995</v>
      </c>
      <c r="D5326" s="34" t="n">
        <v>0</v>
      </c>
      <c r="E5326" s="15" t="s">
        <v>6014</v>
      </c>
    </row>
    <row r="5327" customFormat="false" ht="15" hidden="false" customHeight="false" outlineLevel="0" collapsed="false">
      <c r="A5327" s="15" t="s">
        <v>5907</v>
      </c>
      <c r="B5327" s="15" t="s">
        <v>5908</v>
      </c>
      <c r="C5327" s="15" t="s">
        <v>5997</v>
      </c>
      <c r="D5327" s="34" t="n">
        <f aca="false">Activities!M2159</f>
        <v>1</v>
      </c>
      <c r="E5327" s="15" t="s">
        <v>5998</v>
      </c>
    </row>
    <row r="5328" customFormat="false" ht="15" hidden="false" customHeight="false" outlineLevel="0" collapsed="false">
      <c r="A5328" s="15" t="s">
        <v>5907</v>
      </c>
      <c r="B5328" s="15" t="s">
        <v>5908</v>
      </c>
      <c r="C5328" s="15" t="s">
        <v>5999</v>
      </c>
      <c r="D5328" s="34" t="n">
        <f aca="false">Activities!N2159</f>
        <v>2</v>
      </c>
      <c r="E5328" s="15" t="s">
        <v>5998</v>
      </c>
    </row>
    <row r="5329" customFormat="false" ht="15" hidden="false" customHeight="false" outlineLevel="0" collapsed="false">
      <c r="A5329" s="15" t="s">
        <v>5908</v>
      </c>
      <c r="B5329" s="15" t="s">
        <v>5909</v>
      </c>
      <c r="C5329" s="15" t="s">
        <v>5997</v>
      </c>
      <c r="D5329" s="34" t="n">
        <f aca="false">Activities!M2160</f>
        <v>2</v>
      </c>
      <c r="E5329" s="15" t="s">
        <v>5998</v>
      </c>
    </row>
    <row r="5330" customFormat="false" ht="15" hidden="false" customHeight="false" outlineLevel="0" collapsed="false">
      <c r="A5330" s="15" t="s">
        <v>5908</v>
      </c>
      <c r="B5330" s="15" t="s">
        <v>5909</v>
      </c>
      <c r="C5330" s="15" t="s">
        <v>5999</v>
      </c>
      <c r="D5330" s="34" t="n">
        <f aca="false">Activities!N2160</f>
        <v>2</v>
      </c>
      <c r="E5330" s="15" t="s">
        <v>5998</v>
      </c>
    </row>
    <row r="5331" customFormat="false" ht="15" hidden="false" customHeight="false" outlineLevel="0" collapsed="false">
      <c r="A5331" s="15" t="s">
        <v>5893</v>
      </c>
      <c r="B5331" s="15" t="s">
        <v>5909</v>
      </c>
      <c r="C5331" s="15" t="s">
        <v>5995</v>
      </c>
      <c r="D5331" s="34" t="n">
        <v>0</v>
      </c>
      <c r="E5331" s="15" t="s">
        <v>6014</v>
      </c>
    </row>
    <row r="5332" customFormat="false" ht="15" hidden="false" customHeight="false" outlineLevel="0" collapsed="false">
      <c r="A5332" s="15" t="s">
        <v>5923</v>
      </c>
      <c r="B5332" s="15" t="s">
        <v>5909</v>
      </c>
      <c r="C5332" s="15" t="s">
        <v>5995</v>
      </c>
      <c r="D5332" s="34" t="n">
        <v>0</v>
      </c>
      <c r="E5332" s="15" t="s">
        <v>6005</v>
      </c>
    </row>
    <row r="5333" customFormat="false" ht="15" hidden="false" customHeight="false" outlineLevel="0" collapsed="false">
      <c r="A5333" s="15" t="s">
        <v>5813</v>
      </c>
      <c r="B5333" s="15" t="s">
        <v>5909</v>
      </c>
      <c r="C5333" s="15" t="s">
        <v>5995</v>
      </c>
      <c r="D5333" s="34" t="n">
        <v>0</v>
      </c>
      <c r="E5333" s="15" t="s">
        <v>6005</v>
      </c>
    </row>
    <row r="5334" customFormat="false" ht="15" hidden="false" customHeight="false" outlineLevel="0" collapsed="false">
      <c r="A5334" s="15" t="s">
        <v>5875</v>
      </c>
      <c r="B5334" s="15" t="s">
        <v>5909</v>
      </c>
      <c r="C5334" s="15" t="s">
        <v>5995</v>
      </c>
      <c r="D5334" s="34" t="n">
        <v>0</v>
      </c>
      <c r="E5334" s="15" t="s">
        <v>6005</v>
      </c>
    </row>
    <row r="5335" customFormat="false" ht="15" hidden="false" customHeight="false" outlineLevel="0" collapsed="false">
      <c r="A5335" s="15" t="s">
        <v>5828</v>
      </c>
      <c r="B5335" s="15" t="s">
        <v>5909</v>
      </c>
      <c r="C5335" s="15" t="s">
        <v>5995</v>
      </c>
      <c r="D5335" s="34" t="n">
        <v>0</v>
      </c>
      <c r="E5335" s="15" t="s">
        <v>6005</v>
      </c>
    </row>
    <row r="5336" customFormat="false" ht="15" hidden="false" customHeight="false" outlineLevel="0" collapsed="false">
      <c r="A5336" s="15" t="s">
        <v>5909</v>
      </c>
      <c r="B5336" s="15" t="s">
        <v>5911</v>
      </c>
      <c r="C5336" s="15" t="s">
        <v>5997</v>
      </c>
      <c r="D5336" s="34" t="n">
        <f aca="false">Activities!M2161</f>
        <v>1</v>
      </c>
      <c r="E5336" s="15" t="s">
        <v>5998</v>
      </c>
    </row>
    <row r="5337" customFormat="false" ht="15" hidden="false" customHeight="false" outlineLevel="0" collapsed="false">
      <c r="A5337" s="15" t="s">
        <v>5909</v>
      </c>
      <c r="B5337" s="15" t="s">
        <v>5911</v>
      </c>
      <c r="C5337" s="15" t="s">
        <v>5999</v>
      </c>
      <c r="D5337" s="34" t="n">
        <f aca="false">Activities!N2161</f>
        <v>2</v>
      </c>
      <c r="E5337" s="15" t="s">
        <v>5998</v>
      </c>
    </row>
    <row r="5338" customFormat="false" ht="15" hidden="false" customHeight="false" outlineLevel="0" collapsed="false">
      <c r="A5338" s="15" t="s">
        <v>5912</v>
      </c>
      <c r="B5338" s="15" t="s">
        <v>5914</v>
      </c>
      <c r="C5338" s="15" t="s">
        <v>5995</v>
      </c>
      <c r="D5338" s="34" t="n">
        <v>0</v>
      </c>
      <c r="E5338" s="15" t="s">
        <v>5996</v>
      </c>
    </row>
    <row r="5339" customFormat="false" ht="15" hidden="false" customHeight="false" outlineLevel="0" collapsed="false">
      <c r="A5339" s="15" t="s">
        <v>5900</v>
      </c>
      <c r="B5339" s="15" t="s">
        <v>5914</v>
      </c>
      <c r="C5339" s="15" t="s">
        <v>5997</v>
      </c>
      <c r="D5339" s="34" t="n">
        <v>0</v>
      </c>
      <c r="E5339" s="15" t="s">
        <v>6002</v>
      </c>
    </row>
    <row r="5340" customFormat="false" ht="15" hidden="false" customHeight="false" outlineLevel="0" collapsed="false">
      <c r="A5340" s="15" t="s">
        <v>5914</v>
      </c>
      <c r="B5340" s="15" t="s">
        <v>5916</v>
      </c>
      <c r="C5340" s="15" t="s">
        <v>5997</v>
      </c>
      <c r="D5340" s="34" t="n">
        <f aca="false">Activities!M2164</f>
        <v>1</v>
      </c>
      <c r="E5340" s="15" t="s">
        <v>5998</v>
      </c>
    </row>
    <row r="5341" customFormat="false" ht="15" hidden="false" customHeight="false" outlineLevel="0" collapsed="false">
      <c r="A5341" s="15" t="s">
        <v>5914</v>
      </c>
      <c r="B5341" s="15" t="s">
        <v>5916</v>
      </c>
      <c r="C5341" s="15" t="s">
        <v>5999</v>
      </c>
      <c r="D5341" s="34" t="n">
        <f aca="false">Activities!N2164</f>
        <v>2</v>
      </c>
      <c r="E5341" s="15" t="s">
        <v>5998</v>
      </c>
    </row>
    <row r="5342" customFormat="false" ht="15" hidden="false" customHeight="false" outlineLevel="0" collapsed="false">
      <c r="A5342" s="15" t="s">
        <v>5900</v>
      </c>
      <c r="B5342" s="15" t="s">
        <v>5916</v>
      </c>
      <c r="C5342" s="15" t="s">
        <v>5995</v>
      </c>
      <c r="D5342" s="34" t="n">
        <v>0</v>
      </c>
      <c r="E5342" s="15" t="s">
        <v>6014</v>
      </c>
    </row>
    <row r="5343" customFormat="false" ht="15" hidden="false" customHeight="false" outlineLevel="0" collapsed="false">
      <c r="A5343" s="15" t="s">
        <v>5916</v>
      </c>
      <c r="B5343" s="15" t="s">
        <v>5917</v>
      </c>
      <c r="C5343" s="15" t="s">
        <v>5997</v>
      </c>
      <c r="D5343" s="34" t="n">
        <f aca="false">Activities!M2165</f>
        <v>1</v>
      </c>
      <c r="E5343" s="15" t="s">
        <v>5998</v>
      </c>
    </row>
    <row r="5344" customFormat="false" ht="15" hidden="false" customHeight="false" outlineLevel="0" collapsed="false">
      <c r="A5344" s="15" t="s">
        <v>5916</v>
      </c>
      <c r="B5344" s="15" t="s">
        <v>5917</v>
      </c>
      <c r="C5344" s="15" t="s">
        <v>5999</v>
      </c>
      <c r="D5344" s="34" t="n">
        <f aca="false">Activities!N2165</f>
        <v>2</v>
      </c>
      <c r="E5344" s="15" t="s">
        <v>5998</v>
      </c>
    </row>
    <row r="5345" customFormat="false" ht="15" hidden="false" customHeight="false" outlineLevel="0" collapsed="false">
      <c r="A5345" s="15" t="s">
        <v>5901</v>
      </c>
      <c r="B5345" s="15" t="s">
        <v>5917</v>
      </c>
      <c r="C5345" s="15" t="s">
        <v>5995</v>
      </c>
      <c r="D5345" s="34" t="n">
        <v>0</v>
      </c>
      <c r="E5345" s="15" t="s">
        <v>6014</v>
      </c>
    </row>
    <row r="5346" customFormat="false" ht="15" hidden="false" customHeight="false" outlineLevel="0" collapsed="false">
      <c r="A5346" s="15" t="s">
        <v>5917</v>
      </c>
      <c r="B5346" s="15" t="s">
        <v>5918</v>
      </c>
      <c r="C5346" s="15" t="s">
        <v>5997</v>
      </c>
      <c r="D5346" s="34" t="n">
        <f aca="false">Activities!M2166</f>
        <v>1</v>
      </c>
      <c r="E5346" s="15" t="s">
        <v>5998</v>
      </c>
    </row>
    <row r="5347" customFormat="false" ht="15" hidden="false" customHeight="false" outlineLevel="0" collapsed="false">
      <c r="A5347" s="15" t="s">
        <v>5917</v>
      </c>
      <c r="B5347" s="15" t="s">
        <v>5918</v>
      </c>
      <c r="C5347" s="15" t="s">
        <v>5999</v>
      </c>
      <c r="D5347" s="34" t="n">
        <f aca="false">Activities!N2166</f>
        <v>2</v>
      </c>
      <c r="E5347" s="15" t="s">
        <v>5998</v>
      </c>
    </row>
    <row r="5348" customFormat="false" ht="15" hidden="false" customHeight="false" outlineLevel="0" collapsed="false">
      <c r="A5348" s="15" t="s">
        <v>5904</v>
      </c>
      <c r="B5348" s="15" t="s">
        <v>5918</v>
      </c>
      <c r="C5348" s="15" t="s">
        <v>5995</v>
      </c>
      <c r="D5348" s="34" t="n">
        <f aca="false">-Activities!K2166</f>
        <v>-10</v>
      </c>
      <c r="E5348" s="15" t="s">
        <v>6004</v>
      </c>
    </row>
    <row r="5349" customFormat="false" ht="15" hidden="false" customHeight="false" outlineLevel="0" collapsed="false">
      <c r="A5349" s="15" t="s">
        <v>5918</v>
      </c>
      <c r="B5349" s="15" t="s">
        <v>5920</v>
      </c>
      <c r="C5349" s="15" t="s">
        <v>5997</v>
      </c>
      <c r="D5349" s="34" t="n">
        <f aca="false">Activities!M2167</f>
        <v>10</v>
      </c>
      <c r="E5349" s="15" t="s">
        <v>5998</v>
      </c>
    </row>
    <row r="5350" customFormat="false" ht="15" hidden="false" customHeight="false" outlineLevel="0" collapsed="false">
      <c r="A5350" s="15" t="s">
        <v>5918</v>
      </c>
      <c r="B5350" s="15" t="s">
        <v>5920</v>
      </c>
      <c r="C5350" s="15" t="s">
        <v>5999</v>
      </c>
      <c r="D5350" s="34" t="n">
        <f aca="false">Activities!N2167</f>
        <v>2</v>
      </c>
      <c r="E5350" s="15" t="s">
        <v>5998</v>
      </c>
    </row>
    <row r="5351" customFormat="false" ht="15" hidden="false" customHeight="false" outlineLevel="0" collapsed="false">
      <c r="A5351" s="15" t="s">
        <v>5904</v>
      </c>
      <c r="B5351" s="15" t="s">
        <v>5920</v>
      </c>
      <c r="C5351" s="15" t="s">
        <v>5995</v>
      </c>
      <c r="D5351" s="34" t="n">
        <v>0</v>
      </c>
      <c r="E5351" s="15" t="s">
        <v>6014</v>
      </c>
    </row>
    <row r="5352" customFormat="false" ht="15" hidden="false" customHeight="false" outlineLevel="0" collapsed="false">
      <c r="A5352" s="15" t="s">
        <v>5861</v>
      </c>
      <c r="B5352" s="15" t="s">
        <v>5920</v>
      </c>
      <c r="C5352" s="15" t="s">
        <v>5995</v>
      </c>
      <c r="D5352" s="34" t="n">
        <v>0</v>
      </c>
      <c r="E5352" s="15" t="s">
        <v>6008</v>
      </c>
    </row>
    <row r="5353" customFormat="false" ht="15" hidden="false" customHeight="false" outlineLevel="0" collapsed="false">
      <c r="A5353" s="15" t="s">
        <v>5830</v>
      </c>
      <c r="B5353" s="15" t="s">
        <v>5920</v>
      </c>
      <c r="C5353" s="15" t="s">
        <v>5995</v>
      </c>
      <c r="D5353" s="34" t="n">
        <v>0</v>
      </c>
      <c r="E5353" s="15" t="s">
        <v>6008</v>
      </c>
    </row>
    <row r="5354" customFormat="false" ht="15" hidden="false" customHeight="false" outlineLevel="0" collapsed="false">
      <c r="A5354" s="15" t="s">
        <v>5904</v>
      </c>
      <c r="B5354" s="15" t="s">
        <v>5920</v>
      </c>
      <c r="C5354" s="15" t="s">
        <v>5997</v>
      </c>
      <c r="D5354" s="34" t="n">
        <v>0</v>
      </c>
      <c r="E5354" s="15" t="s">
        <v>6006</v>
      </c>
    </row>
    <row r="5355" customFormat="false" ht="15" hidden="false" customHeight="false" outlineLevel="0" collapsed="false">
      <c r="A5355" s="15" t="s">
        <v>5872</v>
      </c>
      <c r="B5355" s="15" t="s">
        <v>5920</v>
      </c>
      <c r="C5355" s="15" t="s">
        <v>5997</v>
      </c>
      <c r="D5355" s="34" t="n">
        <v>0</v>
      </c>
      <c r="E5355" s="15" t="s">
        <v>6006</v>
      </c>
    </row>
    <row r="5356" customFormat="false" ht="15" hidden="false" customHeight="false" outlineLevel="0" collapsed="false">
      <c r="A5356" s="15" t="s">
        <v>5920</v>
      </c>
      <c r="B5356" s="15" t="s">
        <v>5922</v>
      </c>
      <c r="C5356" s="15" t="s">
        <v>5997</v>
      </c>
      <c r="D5356" s="34" t="n">
        <f aca="false">Activities!M2168</f>
        <v>1</v>
      </c>
      <c r="E5356" s="15" t="s">
        <v>5998</v>
      </c>
    </row>
    <row r="5357" customFormat="false" ht="15" hidden="false" customHeight="false" outlineLevel="0" collapsed="false">
      <c r="A5357" s="15" t="s">
        <v>5920</v>
      </c>
      <c r="B5357" s="15" t="s">
        <v>5922</v>
      </c>
      <c r="C5357" s="15" t="s">
        <v>5999</v>
      </c>
      <c r="D5357" s="34" t="n">
        <f aca="false">Activities!N2168</f>
        <v>2</v>
      </c>
      <c r="E5357" s="15" t="s">
        <v>5998</v>
      </c>
    </row>
    <row r="5358" customFormat="false" ht="15" hidden="false" customHeight="false" outlineLevel="0" collapsed="false">
      <c r="A5358" s="15" t="s">
        <v>5906</v>
      </c>
      <c r="B5358" s="15" t="s">
        <v>5922</v>
      </c>
      <c r="C5358" s="15" t="s">
        <v>5995</v>
      </c>
      <c r="D5358" s="34" t="n">
        <v>0</v>
      </c>
      <c r="E5358" s="15" t="s">
        <v>6014</v>
      </c>
    </row>
    <row r="5359" customFormat="false" ht="15" hidden="false" customHeight="false" outlineLevel="0" collapsed="false">
      <c r="A5359" s="15" t="s">
        <v>5922</v>
      </c>
      <c r="B5359" s="15" t="s">
        <v>5923</v>
      </c>
      <c r="C5359" s="15" t="s">
        <v>5997</v>
      </c>
      <c r="D5359" s="34" t="n">
        <f aca="false">Activities!M2169</f>
        <v>2</v>
      </c>
      <c r="E5359" s="15" t="s">
        <v>5998</v>
      </c>
    </row>
    <row r="5360" customFormat="false" ht="15" hidden="false" customHeight="false" outlineLevel="0" collapsed="false">
      <c r="A5360" s="15" t="s">
        <v>5922</v>
      </c>
      <c r="B5360" s="15" t="s">
        <v>5923</v>
      </c>
      <c r="C5360" s="15" t="s">
        <v>5999</v>
      </c>
      <c r="D5360" s="34" t="n">
        <f aca="false">Activities!N2169</f>
        <v>2</v>
      </c>
      <c r="E5360" s="15" t="s">
        <v>5998</v>
      </c>
    </row>
    <row r="5361" customFormat="false" ht="15" hidden="false" customHeight="false" outlineLevel="0" collapsed="false">
      <c r="A5361" s="15" t="s">
        <v>5907</v>
      </c>
      <c r="B5361" s="15" t="s">
        <v>5923</v>
      </c>
      <c r="C5361" s="15" t="s">
        <v>5995</v>
      </c>
      <c r="D5361" s="34" t="n">
        <v>0</v>
      </c>
      <c r="E5361" s="15" t="s">
        <v>6014</v>
      </c>
    </row>
    <row r="5362" customFormat="false" ht="15" hidden="false" customHeight="false" outlineLevel="0" collapsed="false">
      <c r="A5362" s="15" t="s">
        <v>5923</v>
      </c>
      <c r="B5362" s="15" t="s">
        <v>5924</v>
      </c>
      <c r="C5362" s="15" t="s">
        <v>5997</v>
      </c>
      <c r="D5362" s="34" t="n">
        <f aca="false">Activities!M2170</f>
        <v>1</v>
      </c>
      <c r="E5362" s="15" t="s">
        <v>5998</v>
      </c>
    </row>
    <row r="5363" customFormat="false" ht="15" hidden="false" customHeight="false" outlineLevel="0" collapsed="false">
      <c r="A5363" s="15" t="s">
        <v>5923</v>
      </c>
      <c r="B5363" s="15" t="s">
        <v>5924</v>
      </c>
      <c r="C5363" s="15" t="s">
        <v>5999</v>
      </c>
      <c r="D5363" s="34" t="n">
        <f aca="false">Activities!N2170</f>
        <v>2</v>
      </c>
      <c r="E5363" s="15" t="s">
        <v>5998</v>
      </c>
    </row>
    <row r="5364" customFormat="false" ht="15" hidden="false" customHeight="false" outlineLevel="0" collapsed="false">
      <c r="A5364" s="15" t="s">
        <v>5924</v>
      </c>
      <c r="B5364" s="15" t="s">
        <v>5925</v>
      </c>
      <c r="C5364" s="15" t="s">
        <v>5997</v>
      </c>
      <c r="D5364" s="34" t="n">
        <f aca="false">Activities!M2171</f>
        <v>2</v>
      </c>
      <c r="E5364" s="15" t="s">
        <v>5998</v>
      </c>
    </row>
    <row r="5365" customFormat="false" ht="15" hidden="false" customHeight="false" outlineLevel="0" collapsed="false">
      <c r="A5365" s="15" t="s">
        <v>5924</v>
      </c>
      <c r="B5365" s="15" t="s">
        <v>5925</v>
      </c>
      <c r="C5365" s="15" t="s">
        <v>5999</v>
      </c>
      <c r="D5365" s="34" t="n">
        <f aca="false">Activities!N2171</f>
        <v>2</v>
      </c>
      <c r="E5365" s="15" t="s">
        <v>5998</v>
      </c>
    </row>
    <row r="5366" customFormat="false" ht="15" hidden="false" customHeight="false" outlineLevel="0" collapsed="false">
      <c r="A5366" s="15" t="s">
        <v>5909</v>
      </c>
      <c r="B5366" s="15" t="s">
        <v>5925</v>
      </c>
      <c r="C5366" s="15" t="s">
        <v>5995</v>
      </c>
      <c r="D5366" s="34" t="n">
        <v>0</v>
      </c>
      <c r="E5366" s="15" t="s">
        <v>6014</v>
      </c>
    </row>
    <row r="5367" customFormat="false" ht="15" hidden="false" customHeight="false" outlineLevel="0" collapsed="false">
      <c r="A5367" s="15" t="s">
        <v>5907</v>
      </c>
      <c r="B5367" s="15" t="s">
        <v>5925</v>
      </c>
      <c r="C5367" s="15" t="s">
        <v>5995</v>
      </c>
      <c r="D5367" s="34" t="n">
        <v>0</v>
      </c>
      <c r="E5367" s="15" t="s">
        <v>6005</v>
      </c>
    </row>
    <row r="5368" customFormat="false" ht="15" hidden="false" customHeight="false" outlineLevel="0" collapsed="false">
      <c r="A5368" s="15" t="s">
        <v>5875</v>
      </c>
      <c r="B5368" s="15" t="s">
        <v>5925</v>
      </c>
      <c r="C5368" s="15" t="s">
        <v>5995</v>
      </c>
      <c r="D5368" s="34" t="n">
        <v>0</v>
      </c>
      <c r="E5368" s="15" t="s">
        <v>6005</v>
      </c>
    </row>
    <row r="5369" customFormat="false" ht="15" hidden="false" customHeight="false" outlineLevel="0" collapsed="false">
      <c r="A5369" s="15" t="s">
        <v>5925</v>
      </c>
      <c r="B5369" s="15" t="s">
        <v>5927</v>
      </c>
      <c r="C5369" s="15" t="s">
        <v>5997</v>
      </c>
      <c r="D5369" s="34" t="n">
        <f aca="false">Activities!M2172</f>
        <v>1</v>
      </c>
      <c r="E5369" s="15" t="s">
        <v>5998</v>
      </c>
    </row>
    <row r="5370" customFormat="false" ht="15" hidden="false" customHeight="false" outlineLevel="0" collapsed="false">
      <c r="A5370" s="15" t="s">
        <v>5925</v>
      </c>
      <c r="B5370" s="15" t="s">
        <v>5927</v>
      </c>
      <c r="C5370" s="15" t="s">
        <v>5999</v>
      </c>
      <c r="D5370" s="34" t="n">
        <f aca="false">Activities!N2172</f>
        <v>2</v>
      </c>
      <c r="E5370" s="15" t="s">
        <v>5998</v>
      </c>
    </row>
    <row r="5371" customFormat="false" ht="15" hidden="false" customHeight="false" outlineLevel="0" collapsed="false">
      <c r="A5371" s="15" t="s">
        <v>5928</v>
      </c>
      <c r="B5371" s="15" t="s">
        <v>5930</v>
      </c>
      <c r="C5371" s="15" t="s">
        <v>5995</v>
      </c>
      <c r="D5371" s="34" t="n">
        <v>0</v>
      </c>
      <c r="E5371" s="15" t="s">
        <v>5996</v>
      </c>
    </row>
    <row r="5372" customFormat="false" ht="15" hidden="false" customHeight="false" outlineLevel="0" collapsed="false">
      <c r="A5372" s="15" t="s">
        <v>5700</v>
      </c>
      <c r="B5372" s="15" t="s">
        <v>5930</v>
      </c>
      <c r="C5372" s="15" t="s">
        <v>5997</v>
      </c>
      <c r="D5372" s="34" t="n">
        <v>0</v>
      </c>
      <c r="E5372" s="15" t="s">
        <v>6000</v>
      </c>
    </row>
    <row r="5373" customFormat="false" ht="15" hidden="false" customHeight="false" outlineLevel="0" collapsed="false">
      <c r="A5373" s="15" t="s">
        <v>5930</v>
      </c>
      <c r="B5373" s="15" t="s">
        <v>5932</v>
      </c>
      <c r="C5373" s="15" t="s">
        <v>5997</v>
      </c>
      <c r="D5373" s="34" t="n">
        <f aca="false">Activities!M2175</f>
        <v>1</v>
      </c>
      <c r="E5373" s="15" t="s">
        <v>5998</v>
      </c>
    </row>
    <row r="5374" customFormat="false" ht="15" hidden="false" customHeight="false" outlineLevel="0" collapsed="false">
      <c r="A5374" s="15" t="s">
        <v>5930</v>
      </c>
      <c r="B5374" s="15" t="s">
        <v>5932</v>
      </c>
      <c r="C5374" s="15" t="s">
        <v>5999</v>
      </c>
      <c r="D5374" s="34" t="n">
        <f aca="false">Activities!N2175</f>
        <v>2</v>
      </c>
      <c r="E5374" s="15" t="s">
        <v>5998</v>
      </c>
    </row>
    <row r="5375" customFormat="false" ht="15" hidden="false" customHeight="false" outlineLevel="0" collapsed="false">
      <c r="A5375" s="15" t="s">
        <v>5932</v>
      </c>
      <c r="B5375" s="15" t="s">
        <v>5933</v>
      </c>
      <c r="C5375" s="15" t="s">
        <v>5997</v>
      </c>
      <c r="D5375" s="34" t="n">
        <f aca="false">Activities!M2176</f>
        <v>1</v>
      </c>
      <c r="E5375" s="15" t="s">
        <v>5998</v>
      </c>
    </row>
    <row r="5376" customFormat="false" ht="15" hidden="false" customHeight="false" outlineLevel="0" collapsed="false">
      <c r="A5376" s="15" t="s">
        <v>5932</v>
      </c>
      <c r="B5376" s="15" t="s">
        <v>5933</v>
      </c>
      <c r="C5376" s="15" t="s">
        <v>5999</v>
      </c>
      <c r="D5376" s="34" t="n">
        <f aca="false">Activities!N2176</f>
        <v>0</v>
      </c>
      <c r="E5376" s="15" t="s">
        <v>5998</v>
      </c>
    </row>
    <row r="5377" customFormat="false" ht="15" hidden="false" customHeight="false" outlineLevel="0" collapsed="false">
      <c r="A5377" s="15" t="s">
        <v>5933</v>
      </c>
      <c r="B5377" s="15" t="s">
        <v>5934</v>
      </c>
      <c r="C5377" s="15" t="s">
        <v>5997</v>
      </c>
      <c r="D5377" s="34" t="n">
        <f aca="false">Activities!M2177</f>
        <v>0</v>
      </c>
      <c r="E5377" s="15" t="s">
        <v>5998</v>
      </c>
    </row>
    <row r="5378" customFormat="false" ht="15" hidden="false" customHeight="false" outlineLevel="0" collapsed="false">
      <c r="A5378" s="15" t="s">
        <v>5933</v>
      </c>
      <c r="B5378" s="15" t="s">
        <v>5934</v>
      </c>
      <c r="C5378" s="15" t="s">
        <v>5999</v>
      </c>
      <c r="D5378" s="34" t="n">
        <f aca="false">Activities!N2177</f>
        <v>2</v>
      </c>
      <c r="E5378" s="15" t="s">
        <v>5998</v>
      </c>
    </row>
    <row r="5379" customFormat="false" ht="15" hidden="false" customHeight="false" outlineLevel="0" collapsed="false">
      <c r="A5379" s="15" t="s">
        <v>5934</v>
      </c>
      <c r="B5379" s="15" t="s">
        <v>5935</v>
      </c>
      <c r="C5379" s="15" t="s">
        <v>5997</v>
      </c>
      <c r="D5379" s="34" t="n">
        <f aca="false">Activities!M2178</f>
        <v>10</v>
      </c>
      <c r="E5379" s="15" t="s">
        <v>5998</v>
      </c>
    </row>
    <row r="5380" customFormat="false" ht="15" hidden="false" customHeight="false" outlineLevel="0" collapsed="false">
      <c r="A5380" s="15" t="s">
        <v>5934</v>
      </c>
      <c r="B5380" s="15" t="s">
        <v>5935</v>
      </c>
      <c r="C5380" s="15" t="s">
        <v>5999</v>
      </c>
      <c r="D5380" s="34" t="n">
        <f aca="false">Activities!N2178</f>
        <v>2</v>
      </c>
      <c r="E5380" s="15" t="s">
        <v>5998</v>
      </c>
    </row>
    <row r="5381" customFormat="false" ht="15" hidden="false" customHeight="false" outlineLevel="0" collapsed="false">
      <c r="A5381" s="15" t="s">
        <v>5647</v>
      </c>
      <c r="B5381" s="15" t="s">
        <v>5935</v>
      </c>
      <c r="C5381" s="15" t="s">
        <v>5995</v>
      </c>
      <c r="D5381" s="34" t="n">
        <v>0</v>
      </c>
      <c r="E5381" s="15" t="s">
        <v>6008</v>
      </c>
    </row>
    <row r="5382" customFormat="false" ht="15" hidden="false" customHeight="false" outlineLevel="0" collapsed="false">
      <c r="A5382" s="15" t="s">
        <v>5620</v>
      </c>
      <c r="B5382" s="15" t="s">
        <v>5935</v>
      </c>
      <c r="C5382" s="15" t="s">
        <v>5995</v>
      </c>
      <c r="D5382" s="34" t="n">
        <v>0</v>
      </c>
      <c r="E5382" s="15" t="s">
        <v>6008</v>
      </c>
    </row>
    <row r="5383" customFormat="false" ht="15" hidden="false" customHeight="false" outlineLevel="0" collapsed="false">
      <c r="A5383" s="15" t="s">
        <v>5888</v>
      </c>
      <c r="B5383" s="15" t="s">
        <v>5935</v>
      </c>
      <c r="C5383" s="15" t="s">
        <v>5997</v>
      </c>
      <c r="D5383" s="34" t="n">
        <v>0</v>
      </c>
      <c r="E5383" s="15" t="s">
        <v>6006</v>
      </c>
    </row>
    <row r="5384" customFormat="false" ht="15" hidden="false" customHeight="false" outlineLevel="0" collapsed="false">
      <c r="A5384" s="15" t="s">
        <v>5935</v>
      </c>
      <c r="B5384" s="15" t="s">
        <v>5937</v>
      </c>
      <c r="C5384" s="15" t="s">
        <v>5997</v>
      </c>
      <c r="D5384" s="34" t="n">
        <f aca="false">Activities!M2179</f>
        <v>1</v>
      </c>
      <c r="E5384" s="15" t="s">
        <v>5998</v>
      </c>
    </row>
    <row r="5385" customFormat="false" ht="15" hidden="false" customHeight="false" outlineLevel="0" collapsed="false">
      <c r="A5385" s="15" t="s">
        <v>5935</v>
      </c>
      <c r="B5385" s="15" t="s">
        <v>5937</v>
      </c>
      <c r="C5385" s="15" t="s">
        <v>5999</v>
      </c>
      <c r="D5385" s="34" t="n">
        <f aca="false">Activities!N2179</f>
        <v>2</v>
      </c>
      <c r="E5385" s="15" t="s">
        <v>5998</v>
      </c>
    </row>
    <row r="5386" customFormat="false" ht="15" hidden="false" customHeight="false" outlineLevel="0" collapsed="false">
      <c r="A5386" s="15" t="s">
        <v>5937</v>
      </c>
      <c r="B5386" s="15" t="s">
        <v>5938</v>
      </c>
      <c r="C5386" s="15" t="s">
        <v>5997</v>
      </c>
      <c r="D5386" s="34" t="n">
        <f aca="false">Activities!M2180</f>
        <v>2</v>
      </c>
      <c r="E5386" s="15" t="s">
        <v>5998</v>
      </c>
    </row>
    <row r="5387" customFormat="false" ht="15" hidden="false" customHeight="false" outlineLevel="0" collapsed="false">
      <c r="A5387" s="15" t="s">
        <v>5937</v>
      </c>
      <c r="B5387" s="15" t="s">
        <v>5938</v>
      </c>
      <c r="C5387" s="15" t="s">
        <v>5999</v>
      </c>
      <c r="D5387" s="34" t="n">
        <f aca="false">Activities!N2180</f>
        <v>2</v>
      </c>
      <c r="E5387" s="15" t="s">
        <v>5998</v>
      </c>
    </row>
    <row r="5388" customFormat="false" ht="15" hidden="false" customHeight="false" outlineLevel="0" collapsed="false">
      <c r="A5388" s="15" t="s">
        <v>5707</v>
      </c>
      <c r="B5388" s="15" t="s">
        <v>5938</v>
      </c>
      <c r="C5388" s="15" t="s">
        <v>5995</v>
      </c>
      <c r="D5388" s="34" t="n">
        <v>0</v>
      </c>
      <c r="E5388" s="15" t="s">
        <v>6001</v>
      </c>
    </row>
    <row r="5389" customFormat="false" ht="15" hidden="false" customHeight="false" outlineLevel="0" collapsed="false">
      <c r="A5389" s="15" t="s">
        <v>5938</v>
      </c>
      <c r="B5389" s="15" t="s">
        <v>5940</v>
      </c>
      <c r="C5389" s="15" t="s">
        <v>5997</v>
      </c>
      <c r="D5389" s="34" t="n">
        <f aca="false">Activities!M2181</f>
        <v>3</v>
      </c>
      <c r="E5389" s="15" t="s">
        <v>5998</v>
      </c>
    </row>
    <row r="5390" customFormat="false" ht="15" hidden="false" customHeight="false" outlineLevel="0" collapsed="false">
      <c r="A5390" s="15" t="s">
        <v>5938</v>
      </c>
      <c r="B5390" s="15" t="s">
        <v>5940</v>
      </c>
      <c r="C5390" s="15" t="s">
        <v>5999</v>
      </c>
      <c r="D5390" s="34" t="n">
        <f aca="false">Activities!N2181</f>
        <v>2</v>
      </c>
      <c r="E5390" s="15" t="s">
        <v>5998</v>
      </c>
    </row>
    <row r="5391" customFormat="false" ht="15" hidden="false" customHeight="false" outlineLevel="0" collapsed="false">
      <c r="A5391" s="15" t="s">
        <v>5940</v>
      </c>
      <c r="B5391" s="15" t="s">
        <v>5941</v>
      </c>
      <c r="C5391" s="15" t="s">
        <v>5997</v>
      </c>
      <c r="D5391" s="34" t="n">
        <f aca="false">Activities!M2182</f>
        <v>2</v>
      </c>
      <c r="E5391" s="15" t="s">
        <v>5998</v>
      </c>
    </row>
    <row r="5392" customFormat="false" ht="15" hidden="false" customHeight="false" outlineLevel="0" collapsed="false">
      <c r="A5392" s="15" t="s">
        <v>5940</v>
      </c>
      <c r="B5392" s="15" t="s">
        <v>5941</v>
      </c>
      <c r="C5392" s="15" t="s">
        <v>5999</v>
      </c>
      <c r="D5392" s="34" t="n">
        <f aca="false">Activities!N2182</f>
        <v>2</v>
      </c>
      <c r="E5392" s="15" t="s">
        <v>5998</v>
      </c>
    </row>
    <row r="5393" customFormat="false" ht="15" hidden="false" customHeight="false" outlineLevel="0" collapsed="false">
      <c r="A5393" s="15" t="s">
        <v>5954</v>
      </c>
      <c r="B5393" s="15" t="s">
        <v>5941</v>
      </c>
      <c r="C5393" s="15" t="s">
        <v>5995</v>
      </c>
      <c r="D5393" s="34" t="n">
        <v>0</v>
      </c>
      <c r="E5393" s="15" t="s">
        <v>6005</v>
      </c>
    </row>
    <row r="5394" customFormat="false" ht="15" hidden="false" customHeight="false" outlineLevel="0" collapsed="false">
      <c r="A5394" s="15" t="s">
        <v>5891</v>
      </c>
      <c r="B5394" s="15" t="s">
        <v>5941</v>
      </c>
      <c r="C5394" s="15" t="s">
        <v>5995</v>
      </c>
      <c r="D5394" s="34" t="n">
        <v>0</v>
      </c>
      <c r="E5394" s="15" t="s">
        <v>6005</v>
      </c>
    </row>
    <row r="5395" customFormat="false" ht="15" hidden="false" customHeight="false" outlineLevel="0" collapsed="false">
      <c r="A5395" s="15" t="s">
        <v>5941</v>
      </c>
      <c r="B5395" s="15" t="s">
        <v>5943</v>
      </c>
      <c r="C5395" s="15" t="s">
        <v>5997</v>
      </c>
      <c r="D5395" s="34" t="n">
        <f aca="false">Activities!M2183</f>
        <v>1</v>
      </c>
      <c r="E5395" s="15" t="s">
        <v>5998</v>
      </c>
    </row>
    <row r="5396" customFormat="false" ht="15" hidden="false" customHeight="false" outlineLevel="0" collapsed="false">
      <c r="A5396" s="15" t="s">
        <v>5941</v>
      </c>
      <c r="B5396" s="15" t="s">
        <v>5943</v>
      </c>
      <c r="C5396" s="15" t="s">
        <v>5999</v>
      </c>
      <c r="D5396" s="34" t="n">
        <f aca="false">Activities!N2183</f>
        <v>2</v>
      </c>
      <c r="E5396" s="15" t="s">
        <v>5998</v>
      </c>
    </row>
    <row r="5397" customFormat="false" ht="15" hidden="false" customHeight="false" outlineLevel="0" collapsed="false">
      <c r="A5397" s="15" t="s">
        <v>5944</v>
      </c>
      <c r="B5397" s="15" t="s">
        <v>5946</v>
      </c>
      <c r="C5397" s="15" t="s">
        <v>5995</v>
      </c>
      <c r="D5397" s="34" t="n">
        <v>0</v>
      </c>
      <c r="E5397" s="15" t="s">
        <v>5996</v>
      </c>
    </row>
    <row r="5398" customFormat="false" ht="15" hidden="false" customHeight="false" outlineLevel="0" collapsed="false">
      <c r="A5398" s="15" t="s">
        <v>5884</v>
      </c>
      <c r="B5398" s="15" t="s">
        <v>5946</v>
      </c>
      <c r="C5398" s="15" t="s">
        <v>5997</v>
      </c>
      <c r="D5398" s="34" t="n">
        <v>0</v>
      </c>
      <c r="E5398" s="15" t="s">
        <v>6000</v>
      </c>
    </row>
    <row r="5399" customFormat="false" ht="15" hidden="false" customHeight="false" outlineLevel="0" collapsed="false">
      <c r="A5399" s="15" t="s">
        <v>5946</v>
      </c>
      <c r="B5399" s="15" t="s">
        <v>5948</v>
      </c>
      <c r="C5399" s="15" t="s">
        <v>5997</v>
      </c>
      <c r="D5399" s="34" t="n">
        <f aca="false">Activities!M2186</f>
        <v>1</v>
      </c>
      <c r="E5399" s="15" t="s">
        <v>5998</v>
      </c>
    </row>
    <row r="5400" customFormat="false" ht="15" hidden="false" customHeight="false" outlineLevel="0" collapsed="false">
      <c r="A5400" s="15" t="s">
        <v>5946</v>
      </c>
      <c r="B5400" s="15" t="s">
        <v>5948</v>
      </c>
      <c r="C5400" s="15" t="s">
        <v>5999</v>
      </c>
      <c r="D5400" s="34" t="n">
        <f aca="false">Activities!N2186</f>
        <v>2</v>
      </c>
      <c r="E5400" s="15" t="s">
        <v>5998</v>
      </c>
    </row>
    <row r="5401" customFormat="false" ht="15" hidden="false" customHeight="false" outlineLevel="0" collapsed="false">
      <c r="A5401" s="15" t="s">
        <v>5948</v>
      </c>
      <c r="B5401" s="15" t="s">
        <v>5949</v>
      </c>
      <c r="C5401" s="15" t="s">
        <v>5997</v>
      </c>
      <c r="D5401" s="34" t="n">
        <f aca="false">Activities!M2187</f>
        <v>1</v>
      </c>
      <c r="E5401" s="15" t="s">
        <v>5998</v>
      </c>
    </row>
    <row r="5402" customFormat="false" ht="15" hidden="false" customHeight="false" outlineLevel="0" collapsed="false">
      <c r="A5402" s="15" t="s">
        <v>5948</v>
      </c>
      <c r="B5402" s="15" t="s">
        <v>5949</v>
      </c>
      <c r="C5402" s="15" t="s">
        <v>5999</v>
      </c>
      <c r="D5402" s="34" t="n">
        <f aca="false">Activities!N2187</f>
        <v>0</v>
      </c>
      <c r="E5402" s="15" t="s">
        <v>5998</v>
      </c>
    </row>
    <row r="5403" customFormat="false" ht="15" hidden="false" customHeight="false" outlineLevel="0" collapsed="false">
      <c r="A5403" s="15" t="s">
        <v>5949</v>
      </c>
      <c r="B5403" s="15" t="s">
        <v>5950</v>
      </c>
      <c r="C5403" s="15" t="s">
        <v>5997</v>
      </c>
      <c r="D5403" s="34" t="n">
        <f aca="false">Activities!M2188</f>
        <v>0</v>
      </c>
      <c r="E5403" s="15" t="s">
        <v>5998</v>
      </c>
    </row>
    <row r="5404" customFormat="false" ht="15" hidden="false" customHeight="false" outlineLevel="0" collapsed="false">
      <c r="A5404" s="15" t="s">
        <v>5949</v>
      </c>
      <c r="B5404" s="15" t="s">
        <v>5950</v>
      </c>
      <c r="C5404" s="15" t="s">
        <v>5999</v>
      </c>
      <c r="D5404" s="34" t="n">
        <f aca="false">Activities!N2188</f>
        <v>2</v>
      </c>
      <c r="E5404" s="15" t="s">
        <v>5998</v>
      </c>
    </row>
    <row r="5405" customFormat="false" ht="15" hidden="false" customHeight="false" outlineLevel="0" collapsed="false">
      <c r="A5405" s="15" t="s">
        <v>5950</v>
      </c>
      <c r="B5405" s="15" t="s">
        <v>5951</v>
      </c>
      <c r="C5405" s="15" t="s">
        <v>5997</v>
      </c>
      <c r="D5405" s="34" t="n">
        <f aca="false">Activities!M2189</f>
        <v>10</v>
      </c>
      <c r="E5405" s="15" t="s">
        <v>5998</v>
      </c>
    </row>
    <row r="5406" customFormat="false" ht="15" hidden="false" customHeight="false" outlineLevel="0" collapsed="false">
      <c r="A5406" s="15" t="s">
        <v>5950</v>
      </c>
      <c r="B5406" s="15" t="s">
        <v>5951</v>
      </c>
      <c r="C5406" s="15" t="s">
        <v>5999</v>
      </c>
      <c r="D5406" s="34" t="n">
        <f aca="false">Activities!N2189</f>
        <v>2</v>
      </c>
      <c r="E5406" s="15" t="s">
        <v>5998</v>
      </c>
    </row>
    <row r="5407" customFormat="false" ht="15" hidden="false" customHeight="false" outlineLevel="0" collapsed="false">
      <c r="A5407" s="15" t="s">
        <v>5935</v>
      </c>
      <c r="B5407" s="15" t="s">
        <v>5951</v>
      </c>
      <c r="C5407" s="15" t="s">
        <v>5997</v>
      </c>
      <c r="D5407" s="34" t="n">
        <v>0</v>
      </c>
      <c r="E5407" s="15" t="s">
        <v>6006</v>
      </c>
    </row>
    <row r="5408" customFormat="false" ht="15" hidden="false" customHeight="false" outlineLevel="0" collapsed="false">
      <c r="A5408" s="15" t="s">
        <v>5704</v>
      </c>
      <c r="B5408" s="15" t="s">
        <v>5951</v>
      </c>
      <c r="C5408" s="15" t="s">
        <v>5997</v>
      </c>
      <c r="D5408" s="34" t="n">
        <v>0</v>
      </c>
      <c r="E5408" s="15" t="s">
        <v>6006</v>
      </c>
    </row>
    <row r="5409" customFormat="false" ht="15" hidden="false" customHeight="false" outlineLevel="0" collapsed="false">
      <c r="A5409" s="15" t="s">
        <v>5951</v>
      </c>
      <c r="B5409" s="15" t="s">
        <v>5953</v>
      </c>
      <c r="C5409" s="15" t="s">
        <v>5997</v>
      </c>
      <c r="D5409" s="34" t="n">
        <f aca="false">Activities!M2190</f>
        <v>1</v>
      </c>
      <c r="E5409" s="15" t="s">
        <v>5998</v>
      </c>
    </row>
    <row r="5410" customFormat="false" ht="15" hidden="false" customHeight="false" outlineLevel="0" collapsed="false">
      <c r="A5410" s="15" t="s">
        <v>5951</v>
      </c>
      <c r="B5410" s="15" t="s">
        <v>5953</v>
      </c>
      <c r="C5410" s="15" t="s">
        <v>5999</v>
      </c>
      <c r="D5410" s="34" t="n">
        <f aca="false">Activities!N2190</f>
        <v>2</v>
      </c>
      <c r="E5410" s="15" t="s">
        <v>5998</v>
      </c>
    </row>
    <row r="5411" customFormat="false" ht="15" hidden="false" customHeight="false" outlineLevel="0" collapsed="false">
      <c r="A5411" s="15" t="s">
        <v>5953</v>
      </c>
      <c r="B5411" s="15" t="s">
        <v>5954</v>
      </c>
      <c r="C5411" s="15" t="s">
        <v>5997</v>
      </c>
      <c r="D5411" s="34" t="n">
        <f aca="false">Activities!M2191</f>
        <v>2</v>
      </c>
      <c r="E5411" s="15" t="s">
        <v>5998</v>
      </c>
    </row>
    <row r="5412" customFormat="false" ht="15" hidden="false" customHeight="false" outlineLevel="0" collapsed="false">
      <c r="A5412" s="15" t="s">
        <v>5953</v>
      </c>
      <c r="B5412" s="15" t="s">
        <v>5954</v>
      </c>
      <c r="C5412" s="15" t="s">
        <v>5999</v>
      </c>
      <c r="D5412" s="34" t="n">
        <f aca="false">Activities!N2191</f>
        <v>2</v>
      </c>
      <c r="E5412" s="15" t="s">
        <v>5998</v>
      </c>
    </row>
    <row r="5413" customFormat="false" ht="15" hidden="false" customHeight="false" outlineLevel="0" collapsed="false">
      <c r="A5413" s="15" t="s">
        <v>5891</v>
      </c>
      <c r="B5413" s="15" t="s">
        <v>5954</v>
      </c>
      <c r="C5413" s="15" t="s">
        <v>5995</v>
      </c>
      <c r="D5413" s="34" t="n">
        <v>0</v>
      </c>
      <c r="E5413" s="15" t="s">
        <v>6001</v>
      </c>
    </row>
    <row r="5414" customFormat="false" ht="15" hidden="false" customHeight="false" outlineLevel="0" collapsed="false">
      <c r="A5414" s="15" t="s">
        <v>5954</v>
      </c>
      <c r="B5414" s="15" t="s">
        <v>5956</v>
      </c>
      <c r="C5414" s="15" t="s">
        <v>5997</v>
      </c>
      <c r="D5414" s="34" t="n">
        <f aca="false">Activities!M2192</f>
        <v>3</v>
      </c>
      <c r="E5414" s="15" t="s">
        <v>5998</v>
      </c>
    </row>
    <row r="5415" customFormat="false" ht="15" hidden="false" customHeight="false" outlineLevel="0" collapsed="false">
      <c r="A5415" s="15" t="s">
        <v>5954</v>
      </c>
      <c r="B5415" s="15" t="s">
        <v>5956</v>
      </c>
      <c r="C5415" s="15" t="s">
        <v>5999</v>
      </c>
      <c r="D5415" s="34" t="n">
        <f aca="false">Activities!N2192</f>
        <v>2</v>
      </c>
      <c r="E5415" s="15" t="s">
        <v>5998</v>
      </c>
    </row>
    <row r="5416" customFormat="false" ht="15" hidden="false" customHeight="false" outlineLevel="0" collapsed="false">
      <c r="A5416" s="15" t="s">
        <v>5956</v>
      </c>
      <c r="B5416" s="15" t="s">
        <v>5957</v>
      </c>
      <c r="C5416" s="15" t="s">
        <v>5997</v>
      </c>
      <c r="D5416" s="34" t="n">
        <f aca="false">Activities!M2193</f>
        <v>2</v>
      </c>
      <c r="E5416" s="15" t="s">
        <v>5998</v>
      </c>
    </row>
    <row r="5417" customFormat="false" ht="15" hidden="false" customHeight="false" outlineLevel="0" collapsed="false">
      <c r="A5417" s="15" t="s">
        <v>5956</v>
      </c>
      <c r="B5417" s="15" t="s">
        <v>5957</v>
      </c>
      <c r="C5417" s="15" t="s">
        <v>5999</v>
      </c>
      <c r="D5417" s="34" t="n">
        <f aca="false">Activities!N2193</f>
        <v>2</v>
      </c>
      <c r="E5417" s="15" t="s">
        <v>5998</v>
      </c>
    </row>
    <row r="5418" customFormat="false" ht="15" hidden="false" customHeight="false" outlineLevel="0" collapsed="false">
      <c r="A5418" s="15" t="s">
        <v>5938</v>
      </c>
      <c r="B5418" s="15" t="s">
        <v>5957</v>
      </c>
      <c r="C5418" s="15" t="s">
        <v>5995</v>
      </c>
      <c r="D5418" s="34" t="n">
        <v>0</v>
      </c>
      <c r="E5418" s="15" t="s">
        <v>6005</v>
      </c>
    </row>
    <row r="5419" customFormat="false" ht="15" hidden="false" customHeight="false" outlineLevel="0" collapsed="false">
      <c r="A5419" s="15" t="s">
        <v>5707</v>
      </c>
      <c r="B5419" s="15" t="s">
        <v>5957</v>
      </c>
      <c r="C5419" s="15" t="s">
        <v>5995</v>
      </c>
      <c r="D5419" s="34" t="n">
        <v>0</v>
      </c>
      <c r="E5419" s="15" t="s">
        <v>6005</v>
      </c>
    </row>
    <row r="5420" customFormat="false" ht="15" hidden="false" customHeight="false" outlineLevel="0" collapsed="false">
      <c r="A5420" s="15" t="s">
        <v>5957</v>
      </c>
      <c r="B5420" s="15" t="s">
        <v>5959</v>
      </c>
      <c r="C5420" s="15" t="s">
        <v>5997</v>
      </c>
      <c r="D5420" s="34" t="n">
        <f aca="false">Activities!M2194</f>
        <v>1</v>
      </c>
      <c r="E5420" s="15" t="s">
        <v>5998</v>
      </c>
    </row>
    <row r="5421" customFormat="false" ht="15" hidden="false" customHeight="false" outlineLevel="0" collapsed="false">
      <c r="A5421" s="15" t="s">
        <v>5957</v>
      </c>
      <c r="B5421" s="15" t="s">
        <v>5959</v>
      </c>
      <c r="C5421" s="15" t="s">
        <v>5999</v>
      </c>
      <c r="D5421" s="34" t="n">
        <f aca="false">Activities!N2194</f>
        <v>2</v>
      </c>
      <c r="E5421" s="15" t="s">
        <v>5998</v>
      </c>
    </row>
    <row r="5422" customFormat="false" ht="15" hidden="false" customHeight="false" outlineLevel="0" collapsed="false">
      <c r="A5422" s="15" t="s">
        <v>5960</v>
      </c>
      <c r="B5422" s="15" t="s">
        <v>5962</v>
      </c>
      <c r="C5422" s="15" t="s">
        <v>5995</v>
      </c>
      <c r="D5422" s="34" t="n">
        <v>0</v>
      </c>
      <c r="E5422" s="15" t="s">
        <v>5996</v>
      </c>
    </row>
    <row r="5423" customFormat="false" ht="15" hidden="false" customHeight="false" outlineLevel="0" collapsed="false">
      <c r="A5423" s="15" t="s">
        <v>5962</v>
      </c>
      <c r="B5423" s="15" t="s">
        <v>5963</v>
      </c>
      <c r="C5423" s="15" t="s">
        <v>5997</v>
      </c>
      <c r="D5423" s="34" t="n">
        <f aca="false">Activities!M2197</f>
        <v>1</v>
      </c>
      <c r="E5423" s="15" t="s">
        <v>5998</v>
      </c>
    </row>
    <row r="5424" customFormat="false" ht="15" hidden="false" customHeight="false" outlineLevel="0" collapsed="false">
      <c r="A5424" s="15" t="s">
        <v>5962</v>
      </c>
      <c r="B5424" s="15" t="s">
        <v>5963</v>
      </c>
      <c r="C5424" s="15" t="s">
        <v>5999</v>
      </c>
      <c r="D5424" s="34" t="n">
        <f aca="false">Activities!N2197</f>
        <v>2</v>
      </c>
      <c r="E5424" s="15" t="s">
        <v>5998</v>
      </c>
    </row>
    <row r="5425" customFormat="false" ht="15" hidden="false" customHeight="false" outlineLevel="0" collapsed="false">
      <c r="A5425" s="15" t="s">
        <v>5963</v>
      </c>
      <c r="B5425" s="15" t="s">
        <v>5964</v>
      </c>
      <c r="C5425" s="15" t="s">
        <v>5997</v>
      </c>
      <c r="D5425" s="34" t="n">
        <f aca="false">Activities!M2198</f>
        <v>1</v>
      </c>
      <c r="E5425" s="15" t="s">
        <v>5998</v>
      </c>
    </row>
    <row r="5426" customFormat="false" ht="15" hidden="false" customHeight="false" outlineLevel="0" collapsed="false">
      <c r="A5426" s="15" t="s">
        <v>5963</v>
      </c>
      <c r="B5426" s="15" t="s">
        <v>5964</v>
      </c>
      <c r="C5426" s="15" t="s">
        <v>5999</v>
      </c>
      <c r="D5426" s="34" t="n">
        <f aca="false">Activities!N2198</f>
        <v>0</v>
      </c>
      <c r="E5426" s="15" t="s">
        <v>5998</v>
      </c>
    </row>
    <row r="5427" customFormat="false" ht="15" hidden="false" customHeight="false" outlineLevel="0" collapsed="false">
      <c r="A5427" s="15" t="s">
        <v>5964</v>
      </c>
      <c r="B5427" s="15" t="s">
        <v>5965</v>
      </c>
      <c r="C5427" s="15" t="s">
        <v>5997</v>
      </c>
      <c r="D5427" s="34" t="n">
        <f aca="false">Activities!M2199</f>
        <v>0</v>
      </c>
      <c r="E5427" s="15" t="s">
        <v>5998</v>
      </c>
    </row>
    <row r="5428" customFormat="false" ht="15" hidden="false" customHeight="false" outlineLevel="0" collapsed="false">
      <c r="A5428" s="15" t="s">
        <v>5964</v>
      </c>
      <c r="B5428" s="15" t="s">
        <v>5965</v>
      </c>
      <c r="C5428" s="15" t="s">
        <v>5999</v>
      </c>
      <c r="D5428" s="34" t="n">
        <f aca="false">Activities!N2199</f>
        <v>0</v>
      </c>
      <c r="E5428" s="15" t="s">
        <v>5998</v>
      </c>
    </row>
    <row r="5429" customFormat="false" ht="15" hidden="false" customHeight="false" outlineLevel="0" collapsed="false">
      <c r="A5429" s="15" t="s">
        <v>5965</v>
      </c>
      <c r="B5429" s="15" t="s">
        <v>5966</v>
      </c>
      <c r="C5429" s="15" t="s">
        <v>5997</v>
      </c>
      <c r="D5429" s="34" t="n">
        <f aca="false">Activities!M2200</f>
        <v>0</v>
      </c>
      <c r="E5429" s="15" t="s">
        <v>5998</v>
      </c>
    </row>
    <row r="5430" customFormat="false" ht="15" hidden="false" customHeight="false" outlineLevel="0" collapsed="false">
      <c r="A5430" s="15" t="s">
        <v>5965</v>
      </c>
      <c r="B5430" s="15" t="s">
        <v>5966</v>
      </c>
      <c r="C5430" s="15" t="s">
        <v>5999</v>
      </c>
      <c r="D5430" s="34" t="n">
        <f aca="false">Activities!N2200</f>
        <v>2</v>
      </c>
      <c r="E5430" s="15" t="s">
        <v>5998</v>
      </c>
    </row>
    <row r="5431" customFormat="false" ht="15" hidden="false" customHeight="false" outlineLevel="0" collapsed="false">
      <c r="A5431" s="15" t="s">
        <v>3517</v>
      </c>
      <c r="B5431" s="15" t="s">
        <v>5966</v>
      </c>
      <c r="C5431" s="15" t="s">
        <v>5995</v>
      </c>
      <c r="D5431" s="34" t="n">
        <v>0</v>
      </c>
      <c r="E5431" s="15" t="s">
        <v>6008</v>
      </c>
    </row>
    <row r="5432" customFormat="false" ht="15" hidden="false" customHeight="false" outlineLevel="0" collapsed="false">
      <c r="A5432" s="15" t="s">
        <v>3502</v>
      </c>
      <c r="B5432" s="15" t="s">
        <v>5966</v>
      </c>
      <c r="C5432" s="15" t="s">
        <v>5995</v>
      </c>
      <c r="D5432" s="34" t="n">
        <v>0</v>
      </c>
      <c r="E5432" s="15" t="s">
        <v>6008</v>
      </c>
    </row>
    <row r="5433" customFormat="false" ht="15" hidden="false" customHeight="false" outlineLevel="0" collapsed="false">
      <c r="A5433" s="15" t="s">
        <v>5606</v>
      </c>
      <c r="B5433" s="15" t="s">
        <v>5966</v>
      </c>
      <c r="C5433" s="15" t="s">
        <v>5995</v>
      </c>
      <c r="D5433" s="34" t="n">
        <v>0</v>
      </c>
      <c r="E5433" s="15" t="s">
        <v>6008</v>
      </c>
    </row>
    <row r="5434" customFormat="false" ht="15" hidden="false" customHeight="false" outlineLevel="0" collapsed="false">
      <c r="A5434" s="15" t="s">
        <v>5620</v>
      </c>
      <c r="B5434" s="15" t="s">
        <v>5966</v>
      </c>
      <c r="C5434" s="15" t="s">
        <v>5995</v>
      </c>
      <c r="D5434" s="34" t="n">
        <v>0</v>
      </c>
      <c r="E5434" s="15" t="s">
        <v>6008</v>
      </c>
    </row>
    <row r="5435" customFormat="false" ht="15" hidden="false" customHeight="false" outlineLevel="0" collapsed="false">
      <c r="A5435" s="15" t="s">
        <v>5966</v>
      </c>
      <c r="B5435" s="15" t="s">
        <v>5968</v>
      </c>
      <c r="C5435" s="15" t="s">
        <v>5997</v>
      </c>
      <c r="D5435" s="34" t="n">
        <f aca="false">Activities!M2201</f>
        <v>1</v>
      </c>
      <c r="E5435" s="15" t="s">
        <v>5998</v>
      </c>
    </row>
    <row r="5436" customFormat="false" ht="15" hidden="false" customHeight="false" outlineLevel="0" collapsed="false">
      <c r="A5436" s="15" t="s">
        <v>5966</v>
      </c>
      <c r="B5436" s="15" t="s">
        <v>5968</v>
      </c>
      <c r="C5436" s="15" t="s">
        <v>5999</v>
      </c>
      <c r="D5436" s="34" t="n">
        <f aca="false">Activities!N2201</f>
        <v>2</v>
      </c>
      <c r="E5436" s="15" t="s">
        <v>5998</v>
      </c>
    </row>
    <row r="5437" customFormat="false" ht="15" hidden="false" customHeight="false" outlineLevel="0" collapsed="false">
      <c r="A5437" s="15" t="s">
        <v>5968</v>
      </c>
      <c r="B5437" s="15" t="s">
        <v>5969</v>
      </c>
      <c r="C5437" s="15" t="s">
        <v>5997</v>
      </c>
      <c r="D5437" s="34" t="n">
        <f aca="false">Activities!M2202</f>
        <v>2</v>
      </c>
      <c r="E5437" s="15" t="s">
        <v>5998</v>
      </c>
    </row>
    <row r="5438" customFormat="false" ht="15" hidden="false" customHeight="false" outlineLevel="0" collapsed="false">
      <c r="A5438" s="15" t="s">
        <v>5968</v>
      </c>
      <c r="B5438" s="15" t="s">
        <v>5969</v>
      </c>
      <c r="C5438" s="15" t="s">
        <v>5999</v>
      </c>
      <c r="D5438" s="34" t="n">
        <f aca="false">Activities!N2202</f>
        <v>2</v>
      </c>
      <c r="E5438" s="15" t="s">
        <v>5998</v>
      </c>
    </row>
    <row r="5439" customFormat="false" ht="15" hidden="false" customHeight="false" outlineLevel="0" collapsed="false">
      <c r="A5439" s="15" t="s">
        <v>5969</v>
      </c>
      <c r="B5439" s="15" t="s">
        <v>5970</v>
      </c>
      <c r="C5439" s="15" t="s">
        <v>5997</v>
      </c>
      <c r="D5439" s="34" t="n">
        <f aca="false">Activities!M2203</f>
        <v>2</v>
      </c>
      <c r="E5439" s="15" t="s">
        <v>5998</v>
      </c>
    </row>
    <row r="5440" customFormat="false" ht="15" hidden="false" customHeight="false" outlineLevel="0" collapsed="false">
      <c r="A5440" s="15" t="s">
        <v>5969</v>
      </c>
      <c r="B5440" s="15" t="s">
        <v>5970</v>
      </c>
      <c r="C5440" s="15" t="s">
        <v>5999</v>
      </c>
      <c r="D5440" s="34" t="n">
        <f aca="false">Activities!N2203</f>
        <v>2</v>
      </c>
      <c r="E5440" s="15" t="s">
        <v>5998</v>
      </c>
    </row>
    <row r="5441" customFormat="false" ht="15" hidden="false" customHeight="false" outlineLevel="0" collapsed="false">
      <c r="A5441" s="15" t="s">
        <v>5970</v>
      </c>
      <c r="B5441" s="15" t="s">
        <v>5971</v>
      </c>
      <c r="C5441" s="15" t="s">
        <v>5997</v>
      </c>
      <c r="D5441" s="34" t="n">
        <f aca="false">Activities!M2204</f>
        <v>2</v>
      </c>
      <c r="E5441" s="15" t="s">
        <v>5998</v>
      </c>
    </row>
    <row r="5442" customFormat="false" ht="15" hidden="false" customHeight="false" outlineLevel="0" collapsed="false">
      <c r="A5442" s="15" t="s">
        <v>5970</v>
      </c>
      <c r="B5442" s="15" t="s">
        <v>5971</v>
      </c>
      <c r="C5442" s="15" t="s">
        <v>5999</v>
      </c>
      <c r="D5442" s="34" t="n">
        <f aca="false">Activities!N2204</f>
        <v>2</v>
      </c>
      <c r="E5442" s="15" t="s">
        <v>5998</v>
      </c>
    </row>
    <row r="5443" customFormat="false" ht="15" hidden="false" customHeight="false" outlineLevel="0" collapsed="false">
      <c r="A5443" s="15" t="s">
        <v>5983</v>
      </c>
      <c r="B5443" s="15" t="s">
        <v>5971</v>
      </c>
      <c r="C5443" s="15" t="s">
        <v>5995</v>
      </c>
      <c r="D5443" s="34" t="n">
        <v>0</v>
      </c>
      <c r="E5443" s="15" t="s">
        <v>6005</v>
      </c>
    </row>
    <row r="5444" customFormat="false" ht="15" hidden="false" customHeight="false" outlineLevel="0" collapsed="false">
      <c r="A5444" s="15" t="s">
        <v>5971</v>
      </c>
      <c r="B5444" s="15" t="s">
        <v>5973</v>
      </c>
      <c r="C5444" s="15" t="s">
        <v>5997</v>
      </c>
      <c r="D5444" s="34" t="n">
        <f aca="false">Activities!M2205</f>
        <v>1</v>
      </c>
      <c r="E5444" s="15" t="s">
        <v>5998</v>
      </c>
    </row>
    <row r="5445" customFormat="false" ht="15" hidden="false" customHeight="false" outlineLevel="0" collapsed="false">
      <c r="A5445" s="15" t="s">
        <v>5971</v>
      </c>
      <c r="B5445" s="15" t="s">
        <v>5973</v>
      </c>
      <c r="C5445" s="15" t="s">
        <v>5999</v>
      </c>
      <c r="D5445" s="34" t="n">
        <f aca="false">Activities!N2205</f>
        <v>0</v>
      </c>
      <c r="E5445" s="15" t="s">
        <v>5998</v>
      </c>
    </row>
    <row r="5446" customFormat="false" ht="15" hidden="false" customHeight="false" outlineLevel="0" collapsed="false">
      <c r="A5446" s="15" t="s">
        <v>5974</v>
      </c>
      <c r="B5446" s="15" t="s">
        <v>5976</v>
      </c>
      <c r="C5446" s="15" t="s">
        <v>5995</v>
      </c>
      <c r="D5446" s="34" t="n">
        <v>0</v>
      </c>
      <c r="E5446" s="15" t="s">
        <v>5996</v>
      </c>
    </row>
    <row r="5447" customFormat="false" ht="15" hidden="false" customHeight="false" outlineLevel="0" collapsed="false">
      <c r="A5447" s="15" t="s">
        <v>5976</v>
      </c>
      <c r="B5447" s="15" t="s">
        <v>5977</v>
      </c>
      <c r="C5447" s="15" t="s">
        <v>5997</v>
      </c>
      <c r="D5447" s="34" t="n">
        <f aca="false">Activities!M2208</f>
        <v>1</v>
      </c>
      <c r="E5447" s="15" t="s">
        <v>5998</v>
      </c>
    </row>
    <row r="5448" customFormat="false" ht="15" hidden="false" customHeight="false" outlineLevel="0" collapsed="false">
      <c r="A5448" s="15" t="s">
        <v>5976</v>
      </c>
      <c r="B5448" s="15" t="s">
        <v>5977</v>
      </c>
      <c r="C5448" s="15" t="s">
        <v>5999</v>
      </c>
      <c r="D5448" s="34" t="n">
        <f aca="false">Activities!N2208</f>
        <v>2</v>
      </c>
      <c r="E5448" s="15" t="s">
        <v>5998</v>
      </c>
    </row>
    <row r="5449" customFormat="false" ht="15" hidden="false" customHeight="false" outlineLevel="0" collapsed="false">
      <c r="A5449" s="15" t="s">
        <v>5977</v>
      </c>
      <c r="B5449" s="15" t="s">
        <v>5978</v>
      </c>
      <c r="C5449" s="15" t="s">
        <v>5997</v>
      </c>
      <c r="D5449" s="34" t="n">
        <f aca="false">Activities!M2209</f>
        <v>1</v>
      </c>
      <c r="E5449" s="15" t="s">
        <v>5998</v>
      </c>
    </row>
    <row r="5450" customFormat="false" ht="15" hidden="false" customHeight="false" outlineLevel="0" collapsed="false">
      <c r="A5450" s="15" t="s">
        <v>5977</v>
      </c>
      <c r="B5450" s="15" t="s">
        <v>5978</v>
      </c>
      <c r="C5450" s="15" t="s">
        <v>5999</v>
      </c>
      <c r="D5450" s="34" t="n">
        <f aca="false">Activities!N2209</f>
        <v>0</v>
      </c>
      <c r="E5450" s="15" t="s">
        <v>5998</v>
      </c>
    </row>
    <row r="5451" customFormat="false" ht="15" hidden="false" customHeight="false" outlineLevel="0" collapsed="false">
      <c r="A5451" s="15" t="s">
        <v>5978</v>
      </c>
      <c r="B5451" s="15" t="s">
        <v>5979</v>
      </c>
      <c r="C5451" s="15" t="s">
        <v>5997</v>
      </c>
      <c r="D5451" s="34" t="n">
        <f aca="false">Activities!M2210</f>
        <v>0</v>
      </c>
      <c r="E5451" s="15" t="s">
        <v>5998</v>
      </c>
    </row>
    <row r="5452" customFormat="false" ht="15" hidden="false" customHeight="false" outlineLevel="0" collapsed="false">
      <c r="A5452" s="15" t="s">
        <v>5978</v>
      </c>
      <c r="B5452" s="15" t="s">
        <v>5979</v>
      </c>
      <c r="C5452" s="15" t="s">
        <v>5999</v>
      </c>
      <c r="D5452" s="34" t="n">
        <f aca="false">Activities!N2210</f>
        <v>0</v>
      </c>
      <c r="E5452" s="15" t="s">
        <v>5998</v>
      </c>
    </row>
    <row r="5453" customFormat="false" ht="15" hidden="false" customHeight="false" outlineLevel="0" collapsed="false">
      <c r="A5453" s="15" t="s">
        <v>5979</v>
      </c>
      <c r="B5453" s="15" t="s">
        <v>5980</v>
      </c>
      <c r="C5453" s="15" t="s">
        <v>5997</v>
      </c>
      <c r="D5453" s="34" t="n">
        <f aca="false">Activities!M2211</f>
        <v>0</v>
      </c>
      <c r="E5453" s="15" t="s">
        <v>5998</v>
      </c>
    </row>
    <row r="5454" customFormat="false" ht="15" hidden="false" customHeight="false" outlineLevel="0" collapsed="false">
      <c r="A5454" s="15" t="s">
        <v>5979</v>
      </c>
      <c r="B5454" s="15" t="s">
        <v>5980</v>
      </c>
      <c r="C5454" s="15" t="s">
        <v>5999</v>
      </c>
      <c r="D5454" s="34" t="n">
        <f aca="false">Activities!N2211</f>
        <v>2</v>
      </c>
      <c r="E5454" s="15" t="s">
        <v>5998</v>
      </c>
    </row>
    <row r="5455" customFormat="false" ht="15" hidden="false" customHeight="false" outlineLevel="0" collapsed="false">
      <c r="A5455" s="15" t="s">
        <v>3517</v>
      </c>
      <c r="B5455" s="15" t="s">
        <v>5980</v>
      </c>
      <c r="C5455" s="15" t="s">
        <v>5995</v>
      </c>
      <c r="D5455" s="34" t="n">
        <v>0</v>
      </c>
      <c r="E5455" s="15" t="s">
        <v>6008</v>
      </c>
    </row>
    <row r="5456" customFormat="false" ht="15" hidden="false" customHeight="false" outlineLevel="0" collapsed="false">
      <c r="A5456" s="15" t="s">
        <v>3502</v>
      </c>
      <c r="B5456" s="15" t="s">
        <v>5980</v>
      </c>
      <c r="C5456" s="15" t="s">
        <v>5995</v>
      </c>
      <c r="D5456" s="34" t="n">
        <v>0</v>
      </c>
      <c r="E5456" s="15" t="s">
        <v>6008</v>
      </c>
    </row>
    <row r="5457" customFormat="false" ht="15" hidden="false" customHeight="false" outlineLevel="0" collapsed="false">
      <c r="A5457" s="15" t="s">
        <v>5606</v>
      </c>
      <c r="B5457" s="15" t="s">
        <v>5980</v>
      </c>
      <c r="C5457" s="15" t="s">
        <v>5995</v>
      </c>
      <c r="D5457" s="34" t="n">
        <v>0</v>
      </c>
      <c r="E5457" s="15" t="s">
        <v>6008</v>
      </c>
    </row>
    <row r="5458" customFormat="false" ht="15" hidden="false" customHeight="false" outlineLevel="0" collapsed="false">
      <c r="A5458" s="15" t="s">
        <v>5620</v>
      </c>
      <c r="B5458" s="15" t="s">
        <v>5980</v>
      </c>
      <c r="C5458" s="15" t="s">
        <v>5995</v>
      </c>
      <c r="D5458" s="34" t="n">
        <v>0</v>
      </c>
      <c r="E5458" s="15" t="s">
        <v>6008</v>
      </c>
    </row>
    <row r="5459" customFormat="false" ht="15" hidden="false" customHeight="false" outlineLevel="0" collapsed="false">
      <c r="A5459" s="15" t="s">
        <v>5634</v>
      </c>
      <c r="B5459" s="15" t="s">
        <v>5980</v>
      </c>
      <c r="C5459" s="15" t="s">
        <v>5995</v>
      </c>
      <c r="D5459" s="34" t="n">
        <v>0</v>
      </c>
      <c r="E5459" s="15" t="s">
        <v>6008</v>
      </c>
    </row>
    <row r="5460" customFormat="false" ht="15" hidden="false" customHeight="false" outlineLevel="0" collapsed="false">
      <c r="A5460" s="15" t="s">
        <v>5966</v>
      </c>
      <c r="B5460" s="15" t="s">
        <v>5980</v>
      </c>
      <c r="C5460" s="15" t="s">
        <v>5997</v>
      </c>
      <c r="D5460" s="34" t="n">
        <v>0</v>
      </c>
      <c r="E5460" s="15" t="s">
        <v>6006</v>
      </c>
    </row>
    <row r="5461" customFormat="false" ht="15" hidden="false" customHeight="false" outlineLevel="0" collapsed="false">
      <c r="A5461" s="15" t="s">
        <v>5980</v>
      </c>
      <c r="B5461" s="15" t="s">
        <v>5982</v>
      </c>
      <c r="C5461" s="15" t="s">
        <v>5997</v>
      </c>
      <c r="D5461" s="34" t="n">
        <f aca="false">Activities!M2212</f>
        <v>1</v>
      </c>
      <c r="E5461" s="15" t="s">
        <v>5998</v>
      </c>
    </row>
    <row r="5462" customFormat="false" ht="15" hidden="false" customHeight="false" outlineLevel="0" collapsed="false">
      <c r="A5462" s="15" t="s">
        <v>5980</v>
      </c>
      <c r="B5462" s="15" t="s">
        <v>5982</v>
      </c>
      <c r="C5462" s="15" t="s">
        <v>5999</v>
      </c>
      <c r="D5462" s="34" t="n">
        <f aca="false">Activities!N2212</f>
        <v>2</v>
      </c>
      <c r="E5462" s="15" t="s">
        <v>5998</v>
      </c>
    </row>
    <row r="5463" customFormat="false" ht="15" hidden="false" customHeight="false" outlineLevel="0" collapsed="false">
      <c r="A5463" s="15" t="s">
        <v>5982</v>
      </c>
      <c r="B5463" s="15" t="s">
        <v>5983</v>
      </c>
      <c r="C5463" s="15" t="s">
        <v>5997</v>
      </c>
      <c r="D5463" s="34" t="n">
        <f aca="false">Activities!M2213</f>
        <v>2</v>
      </c>
      <c r="E5463" s="15" t="s">
        <v>5998</v>
      </c>
    </row>
    <row r="5464" customFormat="false" ht="15" hidden="false" customHeight="false" outlineLevel="0" collapsed="false">
      <c r="A5464" s="15" t="s">
        <v>5982</v>
      </c>
      <c r="B5464" s="15" t="s">
        <v>5983</v>
      </c>
      <c r="C5464" s="15" t="s">
        <v>5999</v>
      </c>
      <c r="D5464" s="34" t="n">
        <f aca="false">Activities!N2213</f>
        <v>2</v>
      </c>
      <c r="E5464" s="15" t="s">
        <v>5998</v>
      </c>
    </row>
    <row r="5465" customFormat="false" ht="15" hidden="false" customHeight="false" outlineLevel="0" collapsed="false">
      <c r="A5465" s="15" t="s">
        <v>5983</v>
      </c>
      <c r="B5465" s="15" t="s">
        <v>5984</v>
      </c>
      <c r="C5465" s="15" t="s">
        <v>5997</v>
      </c>
      <c r="D5465" s="34" t="n">
        <f aca="false">Activities!M2214</f>
        <v>3</v>
      </c>
      <c r="E5465" s="15" t="s">
        <v>5998</v>
      </c>
    </row>
    <row r="5466" customFormat="false" ht="15" hidden="false" customHeight="false" outlineLevel="0" collapsed="false">
      <c r="A5466" s="15" t="s">
        <v>5983</v>
      </c>
      <c r="B5466" s="15" t="s">
        <v>5984</v>
      </c>
      <c r="C5466" s="15" t="s">
        <v>5999</v>
      </c>
      <c r="D5466" s="34" t="n">
        <f aca="false">Activities!N2214</f>
        <v>2</v>
      </c>
      <c r="E5466" s="15" t="s">
        <v>5998</v>
      </c>
    </row>
    <row r="5467" customFormat="false" ht="15" hidden="false" customHeight="false" outlineLevel="0" collapsed="false">
      <c r="A5467" s="15" t="s">
        <v>5984</v>
      </c>
      <c r="B5467" s="15" t="s">
        <v>5985</v>
      </c>
      <c r="C5467" s="15" t="s">
        <v>5997</v>
      </c>
      <c r="D5467" s="34" t="n">
        <f aca="false">Activities!M2215</f>
        <v>2</v>
      </c>
      <c r="E5467" s="15" t="s">
        <v>5998</v>
      </c>
    </row>
    <row r="5468" customFormat="false" ht="15" hidden="false" customHeight="false" outlineLevel="0" collapsed="false">
      <c r="A5468" s="15" t="s">
        <v>5984</v>
      </c>
      <c r="B5468" s="15" t="s">
        <v>5985</v>
      </c>
      <c r="C5468" s="15" t="s">
        <v>5999</v>
      </c>
      <c r="D5468" s="34" t="n">
        <f aca="false">Activities!N2215</f>
        <v>2</v>
      </c>
      <c r="E5468" s="15" t="s">
        <v>5998</v>
      </c>
    </row>
    <row r="5469" customFormat="false" ht="15" hidden="false" customHeight="false" outlineLevel="0" collapsed="false">
      <c r="A5469" s="15" t="s">
        <v>5969</v>
      </c>
      <c r="B5469" s="15" t="s">
        <v>5985</v>
      </c>
      <c r="C5469" s="15" t="s">
        <v>5995</v>
      </c>
      <c r="D5469" s="34" t="n">
        <v>0</v>
      </c>
      <c r="E5469" s="15" t="s">
        <v>6005</v>
      </c>
    </row>
    <row r="5470" customFormat="false" ht="15" hidden="false" customHeight="false" outlineLevel="0" collapsed="false">
      <c r="A5470" s="15" t="s">
        <v>5985</v>
      </c>
      <c r="B5470" s="15" t="s">
        <v>5987</v>
      </c>
      <c r="C5470" s="15" t="s">
        <v>5997</v>
      </c>
      <c r="D5470" s="34" t="n">
        <f aca="false">Activities!M2216</f>
        <v>1</v>
      </c>
      <c r="E5470" s="15" t="s">
        <v>5998</v>
      </c>
    </row>
    <row r="5471" customFormat="false" ht="15" hidden="false" customHeight="false" outlineLevel="0" collapsed="false">
      <c r="A5471" s="15" t="s">
        <v>5985</v>
      </c>
      <c r="B5471" s="15" t="s">
        <v>5987</v>
      </c>
      <c r="C5471" s="15" t="s">
        <v>5999</v>
      </c>
      <c r="D5471" s="34" t="n">
        <f aca="false">Activities!N2216</f>
        <v>0</v>
      </c>
      <c r="E5471" s="15" t="s">
        <v>5998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7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9"/>
    <col collapsed="false" customWidth="true" hidden="false" outlineLevel="0" max="5" min="4" style="0" width="10"/>
    <col collapsed="false" customWidth="true" hidden="false" outlineLevel="0" max="6" min="6" style="0" width="9"/>
    <col collapsed="false" customWidth="true" hidden="false" outlineLevel="0" max="9" min="7" style="0" width="11"/>
    <col collapsed="false" customWidth="true" hidden="false" outlineLevel="0" max="10" min="10" style="0" width="8"/>
    <col collapsed="false" customWidth="true" hidden="false" outlineLevel="0" max="34" min="11" style="0" width="4.2"/>
  </cols>
  <sheetData>
    <row r="1" customFormat="false" ht="17.35" hidden="false" customHeight="false" outlineLevel="0" collapsed="false">
      <c r="A1" s="1" t="s">
        <v>6015</v>
      </c>
    </row>
    <row r="2" customFormat="false" ht="15" hidden="false" customHeight="false" outlineLevel="0" collapsed="false">
      <c r="A2" s="2" t="s">
        <v>6016</v>
      </c>
    </row>
    <row r="5" customFormat="false" ht="42" hidden="false" customHeight="true" outlineLevel="0" collapsed="false">
      <c r="A5" s="5" t="s">
        <v>6017</v>
      </c>
      <c r="B5" s="5" t="s">
        <v>111</v>
      </c>
      <c r="C5" s="5" t="s">
        <v>372</v>
      </c>
      <c r="D5" s="5" t="s">
        <v>373</v>
      </c>
      <c r="E5" s="5" t="s">
        <v>6018</v>
      </c>
      <c r="F5" s="5" t="s">
        <v>374</v>
      </c>
      <c r="G5" s="5" t="s">
        <v>6019</v>
      </c>
      <c r="H5" s="5" t="s">
        <v>382</v>
      </c>
      <c r="I5" s="5" t="s">
        <v>383</v>
      </c>
      <c r="J5" s="5" t="s">
        <v>6020</v>
      </c>
      <c r="K5" s="41" t="n">
        <f aca="false">EDATE(DATE(YEAR(START),MONTH(START),1),0)</f>
        <v>46357</v>
      </c>
      <c r="L5" s="41" t="n">
        <f aca="false">EDATE(DATE(YEAR(START),MONTH(START),1),1)</f>
        <v>46388</v>
      </c>
      <c r="M5" s="41" t="n">
        <f aca="false">EDATE(DATE(YEAR(START),MONTH(START),1),2)</f>
        <v>46419</v>
      </c>
      <c r="N5" s="41" t="n">
        <f aca="false">EDATE(DATE(YEAR(START),MONTH(START),1),3)</f>
        <v>46447</v>
      </c>
      <c r="O5" s="41" t="n">
        <f aca="false">EDATE(DATE(YEAR(START),MONTH(START),1),4)</f>
        <v>46478</v>
      </c>
      <c r="P5" s="41" t="n">
        <f aca="false">EDATE(DATE(YEAR(START),MONTH(START),1),5)</f>
        <v>46508</v>
      </c>
      <c r="Q5" s="41" t="n">
        <f aca="false">EDATE(DATE(YEAR(START),MONTH(START),1),6)</f>
        <v>46539</v>
      </c>
      <c r="R5" s="41" t="n">
        <f aca="false">EDATE(DATE(YEAR(START),MONTH(START),1),7)</f>
        <v>46569</v>
      </c>
      <c r="S5" s="41" t="n">
        <f aca="false">EDATE(DATE(YEAR(START),MONTH(START),1),8)</f>
        <v>46600</v>
      </c>
      <c r="T5" s="41" t="n">
        <f aca="false">EDATE(DATE(YEAR(START),MONTH(START),1),9)</f>
        <v>46631</v>
      </c>
      <c r="U5" s="41" t="n">
        <f aca="false">EDATE(DATE(YEAR(START),MONTH(START),1),10)</f>
        <v>46661</v>
      </c>
      <c r="V5" s="41" t="n">
        <f aca="false">EDATE(DATE(YEAR(START),MONTH(START),1),11)</f>
        <v>46692</v>
      </c>
      <c r="W5" s="41" t="n">
        <f aca="false">EDATE(DATE(YEAR(START),MONTH(START),1),12)</f>
        <v>46722</v>
      </c>
      <c r="X5" s="41" t="n">
        <f aca="false">EDATE(DATE(YEAR(START),MONTH(START),1),13)</f>
        <v>46753</v>
      </c>
      <c r="Y5" s="41" t="n">
        <f aca="false">EDATE(DATE(YEAR(START),MONTH(START),1),14)</f>
        <v>46784</v>
      </c>
      <c r="Z5" s="41" t="n">
        <f aca="false">EDATE(DATE(YEAR(START),MONTH(START),1),15)</f>
        <v>46813</v>
      </c>
      <c r="AA5" s="41" t="n">
        <f aca="false">EDATE(DATE(YEAR(START),MONTH(START),1),16)</f>
        <v>46844</v>
      </c>
      <c r="AB5" s="41" t="n">
        <f aca="false">EDATE(DATE(YEAR(START),MONTH(START),1),17)</f>
        <v>46874</v>
      </c>
      <c r="AC5" s="41" t="n">
        <f aca="false">EDATE(DATE(YEAR(START),MONTH(START),1),18)</f>
        <v>46905</v>
      </c>
      <c r="AD5" s="41" t="n">
        <f aca="false">EDATE(DATE(YEAR(START),MONTH(START),1),19)</f>
        <v>46935</v>
      </c>
      <c r="AE5" s="41" t="n">
        <f aca="false">EDATE(DATE(YEAR(START),MONTH(START),1),20)</f>
        <v>46966</v>
      </c>
      <c r="AF5" s="41" t="n">
        <f aca="false">EDATE(DATE(YEAR(START),MONTH(START),1),21)</f>
        <v>46997</v>
      </c>
      <c r="AG5" s="41" t="n">
        <f aca="false">EDATE(DATE(YEAR(START),MONTH(START),1),22)</f>
        <v>47027</v>
      </c>
      <c r="AH5" s="41" t="n">
        <f aca="false">EDATE(DATE(YEAR(START),MONTH(START),1),23)</f>
        <v>47058</v>
      </c>
    </row>
    <row r="6" customFormat="false" ht="15" hidden="false" customHeight="false" outlineLevel="0" collapsed="false">
      <c r="A6" s="10" t="s">
        <v>6021</v>
      </c>
    </row>
    <row r="7" customFormat="false" ht="15" hidden="false" customHeight="false" outlineLevel="0" collapsed="false">
      <c r="A7" s="10" t="s">
        <v>385</v>
      </c>
      <c r="B7" s="10" t="s">
        <v>386</v>
      </c>
      <c r="C7" s="10" t="n">
        <f aca="false">COUNTIF(Packages!$C$6:$C$206,"F1")</f>
        <v>15</v>
      </c>
      <c r="D7" s="22" t="n">
        <f aca="false">SUMIF(Packages!$C$6:$C$206,"F1",Packages!$O$6:$O$206)</f>
        <v>800.351893868122</v>
      </c>
      <c r="E7" s="22" t="n">
        <f aca="false">SUMIF(Packages!$C$6:$C$206,"F1",Packages!$U$6:$U$206)</f>
        <v>800.351893868122</v>
      </c>
      <c r="F7" s="22" t="n">
        <f aca="false">SUMIF(Packages!$C$6:$C$206,"F1",Packages!$AC$6:$AC$206)</f>
        <v>569</v>
      </c>
      <c r="G7" s="22" t="n">
        <f aca="false">SUMIF(Packages!$C$6:$C$206,"F1",Packages!$X$6:$X$206)+SUMIF(Packages!$C$6:$C$206,"F1",Packages!$Y$6:$Y$206)</f>
        <v>18194.4326036703</v>
      </c>
      <c r="H7" s="23" t="n">
        <f aca="false">_xlfn.MINIFS(Packages!$AL$6:$AL$206,Packages!$C$6:$C$206,"F1")</f>
        <v>46357</v>
      </c>
      <c r="I7" s="23" t="n">
        <f aca="false">_xlfn.MAXIFS(Packages!$AM$6:$AM$206,Packages!$C$6:$C$206,"F1")</f>
        <v>46562</v>
      </c>
      <c r="J7" s="24" t="n">
        <f aca="false">(I7-H7)/30.4</f>
        <v>6.74342105263158</v>
      </c>
      <c r="K7" s="42" t="n">
        <f aca="false">IF(AND($H7&lt;=EOMONTH(K$5,0),$I7&gt;=K$5),1,"")</f>
        <v>1</v>
      </c>
      <c r="L7" s="42" t="n">
        <f aca="false">IF(AND($H7&lt;=EOMONTH(L$5,0),$I7&gt;=L$5),1,"")</f>
        <v>1</v>
      </c>
      <c r="M7" s="42" t="n">
        <f aca="false">IF(AND($H7&lt;=EOMONTH(M$5,0),$I7&gt;=M$5),1,"")</f>
        <v>1</v>
      </c>
      <c r="N7" s="42" t="n">
        <f aca="false">IF(AND($H7&lt;=EOMONTH(N$5,0),$I7&gt;=N$5),1,"")</f>
        <v>1</v>
      </c>
      <c r="O7" s="42" t="n">
        <f aca="false">IF(AND($H7&lt;=EOMONTH(O$5,0),$I7&gt;=O$5),1,"")</f>
        <v>1</v>
      </c>
      <c r="P7" s="42" t="n">
        <f aca="false">IF(AND($H7&lt;=EOMONTH(P$5,0),$I7&gt;=P$5),1,"")</f>
        <v>1</v>
      </c>
      <c r="Q7" s="42" t="n">
        <f aca="false">IF(AND($H7&lt;=EOMONTH(Q$5,0),$I7&gt;=Q$5),1,"")</f>
        <v>1</v>
      </c>
      <c r="R7" s="42" t="str">
        <f aca="false">IF(AND($H7&lt;=EOMONTH(R$5,0),$I7&gt;=R$5),1,"")</f>
        <v/>
      </c>
      <c r="S7" s="42" t="str">
        <f aca="false">IF(AND($H7&lt;=EOMONTH(S$5,0),$I7&gt;=S$5),1,"")</f>
        <v/>
      </c>
      <c r="T7" s="42" t="str">
        <f aca="false">IF(AND($H7&lt;=EOMONTH(T$5,0),$I7&gt;=T$5),1,"")</f>
        <v/>
      </c>
      <c r="U7" s="42" t="str">
        <f aca="false">IF(AND($H7&lt;=EOMONTH(U$5,0),$I7&gt;=U$5),1,"")</f>
        <v/>
      </c>
      <c r="V7" s="42" t="str">
        <f aca="false">IF(AND($H7&lt;=EOMONTH(V$5,0),$I7&gt;=V$5),1,"")</f>
        <v/>
      </c>
      <c r="W7" s="42" t="str">
        <f aca="false">IF(AND($H7&lt;=EOMONTH(W$5,0),$I7&gt;=W$5),1,"")</f>
        <v/>
      </c>
      <c r="X7" s="42" t="str">
        <f aca="false">IF(AND($H7&lt;=EOMONTH(X$5,0),$I7&gt;=X$5),1,"")</f>
        <v/>
      </c>
      <c r="Y7" s="42" t="str">
        <f aca="false">IF(AND($H7&lt;=EOMONTH(Y$5,0),$I7&gt;=Y$5),1,"")</f>
        <v/>
      </c>
      <c r="Z7" s="42" t="str">
        <f aca="false">IF(AND($H7&lt;=EOMONTH(Z$5,0),$I7&gt;=Z$5),1,"")</f>
        <v/>
      </c>
      <c r="AA7" s="42" t="str">
        <f aca="false">IF(AND($H7&lt;=EOMONTH(AA$5,0),$I7&gt;=AA$5),1,"")</f>
        <v/>
      </c>
      <c r="AB7" s="42" t="str">
        <f aca="false">IF(AND($H7&lt;=EOMONTH(AB$5,0),$I7&gt;=AB$5),1,"")</f>
        <v/>
      </c>
      <c r="AC7" s="42" t="str">
        <f aca="false">IF(AND($H7&lt;=EOMONTH(AC$5,0),$I7&gt;=AC$5),1,"")</f>
        <v/>
      </c>
      <c r="AD7" s="42" t="str">
        <f aca="false">IF(AND($H7&lt;=EOMONTH(AD$5,0),$I7&gt;=AD$5),1,"")</f>
        <v/>
      </c>
      <c r="AE7" s="42" t="str">
        <f aca="false">IF(AND($H7&lt;=EOMONTH(AE$5,0),$I7&gt;=AE$5),1,"")</f>
        <v/>
      </c>
      <c r="AF7" s="42" t="str">
        <f aca="false">IF(AND($H7&lt;=EOMONTH(AF$5,0),$I7&gt;=AF$5),1,"")</f>
        <v/>
      </c>
      <c r="AG7" s="42" t="str">
        <f aca="false">IF(AND($H7&lt;=EOMONTH(AG$5,0),$I7&gt;=AG$5),1,"")</f>
        <v/>
      </c>
      <c r="AH7" s="42" t="str">
        <f aca="false">IF(AND($H7&lt;=EOMONTH(AH$5,0),$I7&gt;=AH$5),1,"")</f>
        <v/>
      </c>
    </row>
    <row r="8" customFormat="false" ht="15" hidden="false" customHeight="false" outlineLevel="0" collapsed="false">
      <c r="A8" s="10" t="s">
        <v>388</v>
      </c>
      <c r="B8" s="10" t="s">
        <v>389</v>
      </c>
      <c r="C8" s="10" t="n">
        <f aca="false">COUNTIF(Packages!$C$6:$C$206,"F2")</f>
        <v>14</v>
      </c>
      <c r="D8" s="22" t="n">
        <f aca="false">SUMIF(Packages!$C$6:$C$206,"F2",Packages!$O$6:$O$206)</f>
        <v>1724.18750087352</v>
      </c>
      <c r="E8" s="22" t="n">
        <f aca="false">SUMIF(Packages!$C$6:$C$206,"F2",Packages!$U$6:$U$206)</f>
        <v>1567.35639612388</v>
      </c>
      <c r="F8" s="22" t="n">
        <f aca="false">SUMIF(Packages!$C$6:$C$206,"F2",Packages!$AC$6:$AC$206)</f>
        <v>1196</v>
      </c>
      <c r="G8" s="22" t="n">
        <f aca="false">SUMIF(Packages!$C$6:$C$206,"F2",Packages!$X$6:$X$206)+SUMIF(Packages!$C$6:$C$206,"F2",Packages!$Y$6:$Y$206)</f>
        <v>29084.0474568711</v>
      </c>
      <c r="H8" s="23" t="n">
        <f aca="false">_xlfn.MINIFS(Packages!$AL$6:$AL$206,Packages!$C$6:$C$206,"F2")</f>
        <v>46357</v>
      </c>
      <c r="I8" s="23" t="n">
        <f aca="false">_xlfn.MAXIFS(Packages!$AM$6:$AM$206,Packages!$C$6:$C$206,"F2")</f>
        <v>46590</v>
      </c>
      <c r="J8" s="24" t="n">
        <f aca="false">(I8-H8)/30.4</f>
        <v>7.66447368421053</v>
      </c>
      <c r="K8" s="42" t="n">
        <f aca="false">IF(AND($H8&lt;=EOMONTH(K$5,0),$I8&gt;=K$5),1,"")</f>
        <v>1</v>
      </c>
      <c r="L8" s="42" t="n">
        <f aca="false">IF(AND($H8&lt;=EOMONTH(L$5,0),$I8&gt;=L$5),1,"")</f>
        <v>1</v>
      </c>
      <c r="M8" s="42" t="n">
        <f aca="false">IF(AND($H8&lt;=EOMONTH(M$5,0),$I8&gt;=M$5),1,"")</f>
        <v>1</v>
      </c>
      <c r="N8" s="42" t="n">
        <f aca="false">IF(AND($H8&lt;=EOMONTH(N$5,0),$I8&gt;=N$5),1,"")</f>
        <v>1</v>
      </c>
      <c r="O8" s="42" t="n">
        <f aca="false">IF(AND($H8&lt;=EOMONTH(O$5,0),$I8&gt;=O$5),1,"")</f>
        <v>1</v>
      </c>
      <c r="P8" s="42" t="n">
        <f aca="false">IF(AND($H8&lt;=EOMONTH(P$5,0),$I8&gt;=P$5),1,"")</f>
        <v>1</v>
      </c>
      <c r="Q8" s="42" t="n">
        <f aca="false">IF(AND($H8&lt;=EOMONTH(Q$5,0),$I8&gt;=Q$5),1,"")</f>
        <v>1</v>
      </c>
      <c r="R8" s="42" t="n">
        <f aca="false">IF(AND($H8&lt;=EOMONTH(R$5,0),$I8&gt;=R$5),1,"")</f>
        <v>1</v>
      </c>
      <c r="S8" s="42" t="str">
        <f aca="false">IF(AND($H8&lt;=EOMONTH(S$5,0),$I8&gt;=S$5),1,"")</f>
        <v/>
      </c>
      <c r="T8" s="42" t="str">
        <f aca="false">IF(AND($H8&lt;=EOMONTH(T$5,0),$I8&gt;=T$5),1,"")</f>
        <v/>
      </c>
      <c r="U8" s="42" t="str">
        <f aca="false">IF(AND($H8&lt;=EOMONTH(U$5,0),$I8&gt;=U$5),1,"")</f>
        <v/>
      </c>
      <c r="V8" s="42" t="str">
        <f aca="false">IF(AND($H8&lt;=EOMONTH(V$5,0),$I8&gt;=V$5),1,"")</f>
        <v/>
      </c>
      <c r="W8" s="42" t="str">
        <f aca="false">IF(AND($H8&lt;=EOMONTH(W$5,0),$I8&gt;=W$5),1,"")</f>
        <v/>
      </c>
      <c r="X8" s="42" t="str">
        <f aca="false">IF(AND($H8&lt;=EOMONTH(X$5,0),$I8&gt;=X$5),1,"")</f>
        <v/>
      </c>
      <c r="Y8" s="42" t="str">
        <f aca="false">IF(AND($H8&lt;=EOMONTH(Y$5,0),$I8&gt;=Y$5),1,"")</f>
        <v/>
      </c>
      <c r="Z8" s="42" t="str">
        <f aca="false">IF(AND($H8&lt;=EOMONTH(Z$5,0),$I8&gt;=Z$5),1,"")</f>
        <v/>
      </c>
      <c r="AA8" s="42" t="str">
        <f aca="false">IF(AND($H8&lt;=EOMONTH(AA$5,0),$I8&gt;=AA$5),1,"")</f>
        <v/>
      </c>
      <c r="AB8" s="42" t="str">
        <f aca="false">IF(AND($H8&lt;=EOMONTH(AB$5,0),$I8&gt;=AB$5),1,"")</f>
        <v/>
      </c>
      <c r="AC8" s="42" t="str">
        <f aca="false">IF(AND($H8&lt;=EOMONTH(AC$5,0),$I8&gt;=AC$5),1,"")</f>
        <v/>
      </c>
      <c r="AD8" s="42" t="str">
        <f aca="false">IF(AND($H8&lt;=EOMONTH(AD$5,0),$I8&gt;=AD$5),1,"")</f>
        <v/>
      </c>
      <c r="AE8" s="42" t="str">
        <f aca="false">IF(AND($H8&lt;=EOMONTH(AE$5,0),$I8&gt;=AE$5),1,"")</f>
        <v/>
      </c>
      <c r="AF8" s="42" t="str">
        <f aca="false">IF(AND($H8&lt;=EOMONTH(AF$5,0),$I8&gt;=AF$5),1,"")</f>
        <v/>
      </c>
      <c r="AG8" s="42" t="str">
        <f aca="false">IF(AND($H8&lt;=EOMONTH(AG$5,0),$I8&gt;=AG$5),1,"")</f>
        <v/>
      </c>
      <c r="AH8" s="42" t="str">
        <f aca="false">IF(AND($H8&lt;=EOMONTH(AH$5,0),$I8&gt;=AH$5),1,"")</f>
        <v/>
      </c>
    </row>
    <row r="9" customFormat="false" ht="15" hidden="false" customHeight="false" outlineLevel="0" collapsed="false">
      <c r="A9" s="10" t="s">
        <v>391</v>
      </c>
      <c r="B9" s="10" t="s">
        <v>392</v>
      </c>
      <c r="C9" s="10" t="n">
        <f aca="false">COUNTIF(Packages!$C$6:$C$206,"F3")</f>
        <v>30</v>
      </c>
      <c r="D9" s="22" t="n">
        <f aca="false">SUMIF(Packages!$C$6:$C$206,"F3",Packages!$O$6:$O$206)</f>
        <v>1094.77829511175</v>
      </c>
      <c r="E9" s="22" t="n">
        <f aca="false">SUMIF(Packages!$C$6:$C$206,"F3",Packages!$U$6:$U$206)</f>
        <v>648.708580278704</v>
      </c>
      <c r="F9" s="22" t="n">
        <f aca="false">SUMIF(Packages!$C$6:$C$206,"F3",Packages!$AC$6:$AC$206)</f>
        <v>800</v>
      </c>
      <c r="G9" s="22" t="n">
        <f aca="false">SUMIF(Packages!$C$6:$C$206,"F3",Packages!$X$6:$X$206)+SUMIF(Packages!$C$6:$C$206,"F3",Packages!$Y$6:$Y$206)</f>
        <v>19831.8731163221</v>
      </c>
      <c r="H9" s="23" t="n">
        <f aca="false">_xlfn.MINIFS(Packages!$AL$6:$AL$206,Packages!$C$6:$C$206,"F3")</f>
        <v>46357</v>
      </c>
      <c r="I9" s="23" t="n">
        <f aca="false">_xlfn.MAXIFS(Packages!$AM$6:$AM$206,Packages!$C$6:$C$206,"F3")</f>
        <v>46594</v>
      </c>
      <c r="J9" s="24" t="n">
        <f aca="false">(I9-H9)/30.4</f>
        <v>7.79605263157895</v>
      </c>
      <c r="K9" s="42" t="n">
        <f aca="false">IF(AND($H9&lt;=EOMONTH(K$5,0),$I9&gt;=K$5),1,"")</f>
        <v>1</v>
      </c>
      <c r="L9" s="42" t="n">
        <f aca="false">IF(AND($H9&lt;=EOMONTH(L$5,0),$I9&gt;=L$5),1,"")</f>
        <v>1</v>
      </c>
      <c r="M9" s="42" t="n">
        <f aca="false">IF(AND($H9&lt;=EOMONTH(M$5,0),$I9&gt;=M$5),1,"")</f>
        <v>1</v>
      </c>
      <c r="N9" s="42" t="n">
        <f aca="false">IF(AND($H9&lt;=EOMONTH(N$5,0),$I9&gt;=N$5),1,"")</f>
        <v>1</v>
      </c>
      <c r="O9" s="42" t="n">
        <f aca="false">IF(AND($H9&lt;=EOMONTH(O$5,0),$I9&gt;=O$5),1,"")</f>
        <v>1</v>
      </c>
      <c r="P9" s="42" t="n">
        <f aca="false">IF(AND($H9&lt;=EOMONTH(P$5,0),$I9&gt;=P$5),1,"")</f>
        <v>1</v>
      </c>
      <c r="Q9" s="42" t="n">
        <f aca="false">IF(AND($H9&lt;=EOMONTH(Q$5,0),$I9&gt;=Q$5),1,"")</f>
        <v>1</v>
      </c>
      <c r="R9" s="42" t="n">
        <f aca="false">IF(AND($H9&lt;=EOMONTH(R$5,0),$I9&gt;=R$5),1,"")</f>
        <v>1</v>
      </c>
      <c r="S9" s="42" t="str">
        <f aca="false">IF(AND($H9&lt;=EOMONTH(S$5,0),$I9&gt;=S$5),1,"")</f>
        <v/>
      </c>
      <c r="T9" s="42" t="str">
        <f aca="false">IF(AND($H9&lt;=EOMONTH(T$5,0),$I9&gt;=T$5),1,"")</f>
        <v/>
      </c>
      <c r="U9" s="42" t="str">
        <f aca="false">IF(AND($H9&lt;=EOMONTH(U$5,0),$I9&gt;=U$5),1,"")</f>
        <v/>
      </c>
      <c r="V9" s="42" t="str">
        <f aca="false">IF(AND($H9&lt;=EOMONTH(V$5,0),$I9&gt;=V$5),1,"")</f>
        <v/>
      </c>
      <c r="W9" s="42" t="str">
        <f aca="false">IF(AND($H9&lt;=EOMONTH(W$5,0),$I9&gt;=W$5),1,"")</f>
        <v/>
      </c>
      <c r="X9" s="42" t="str">
        <f aca="false">IF(AND($H9&lt;=EOMONTH(X$5,0),$I9&gt;=X$5),1,"")</f>
        <v/>
      </c>
      <c r="Y9" s="42" t="str">
        <f aca="false">IF(AND($H9&lt;=EOMONTH(Y$5,0),$I9&gt;=Y$5),1,"")</f>
        <v/>
      </c>
      <c r="Z9" s="42" t="str">
        <f aca="false">IF(AND($H9&lt;=EOMONTH(Z$5,0),$I9&gt;=Z$5),1,"")</f>
        <v/>
      </c>
      <c r="AA9" s="42" t="str">
        <f aca="false">IF(AND($H9&lt;=EOMONTH(AA$5,0),$I9&gt;=AA$5),1,"")</f>
        <v/>
      </c>
      <c r="AB9" s="42" t="str">
        <f aca="false">IF(AND($H9&lt;=EOMONTH(AB$5,0),$I9&gt;=AB$5),1,"")</f>
        <v/>
      </c>
      <c r="AC9" s="42" t="str">
        <f aca="false">IF(AND($H9&lt;=EOMONTH(AC$5,0),$I9&gt;=AC$5),1,"")</f>
        <v/>
      </c>
      <c r="AD9" s="42" t="str">
        <f aca="false">IF(AND($H9&lt;=EOMONTH(AD$5,0),$I9&gt;=AD$5),1,"")</f>
        <v/>
      </c>
      <c r="AE9" s="42" t="str">
        <f aca="false">IF(AND($H9&lt;=EOMONTH(AE$5,0),$I9&gt;=AE$5),1,"")</f>
        <v/>
      </c>
      <c r="AF9" s="42" t="str">
        <f aca="false">IF(AND($H9&lt;=EOMONTH(AF$5,0),$I9&gt;=AF$5),1,"")</f>
        <v/>
      </c>
      <c r="AG9" s="42" t="str">
        <f aca="false">IF(AND($H9&lt;=EOMONTH(AG$5,0),$I9&gt;=AG$5),1,"")</f>
        <v/>
      </c>
      <c r="AH9" s="42" t="str">
        <f aca="false">IF(AND($H9&lt;=EOMONTH(AH$5,0),$I9&gt;=AH$5),1,"")</f>
        <v/>
      </c>
    </row>
    <row r="10" customFormat="false" ht="15" hidden="false" customHeight="false" outlineLevel="0" collapsed="false">
      <c r="A10" s="10" t="s">
        <v>394</v>
      </c>
      <c r="B10" s="10" t="s">
        <v>395</v>
      </c>
      <c r="C10" s="10" t="n">
        <f aca="false">COUNTIF(Packages!$C$6:$C$206,"F4")</f>
        <v>22</v>
      </c>
      <c r="D10" s="22" t="n">
        <f aca="false">SUMIF(Packages!$C$6:$C$206,"F4",Packages!$O$6:$O$206)</f>
        <v>550.585540424852</v>
      </c>
      <c r="E10" s="22" t="n">
        <f aca="false">SUMIF(Packages!$C$6:$C$206,"F4",Packages!$U$6:$U$206)</f>
        <v>308.432033049137</v>
      </c>
      <c r="F10" s="22" t="n">
        <f aca="false">SUMIF(Packages!$C$6:$C$206,"F4",Packages!$AC$6:$AC$206)</f>
        <v>436</v>
      </c>
      <c r="G10" s="22" t="n">
        <f aca="false">SUMIF(Packages!$C$6:$C$206,"F4",Packages!$X$6:$X$206)+SUMIF(Packages!$C$6:$C$206,"F4",Packages!$Y$6:$Y$206)</f>
        <v>7672.21406335501</v>
      </c>
      <c r="H10" s="23" t="n">
        <f aca="false">_xlfn.MINIFS(Packages!$AL$6:$AL$206,Packages!$C$6:$C$206,"F4")</f>
        <v>46357</v>
      </c>
      <c r="I10" s="23" t="n">
        <f aca="false">_xlfn.MAXIFS(Packages!$AM$6:$AM$206,Packages!$C$6:$C$206,"F4")</f>
        <v>46621</v>
      </c>
      <c r="J10" s="24" t="n">
        <f aca="false">(I10-H10)/30.4</f>
        <v>8.68421052631579</v>
      </c>
      <c r="K10" s="42" t="n">
        <f aca="false">IF(AND($H10&lt;=EOMONTH(K$5,0),$I10&gt;=K$5),1,"")</f>
        <v>1</v>
      </c>
      <c r="L10" s="42" t="n">
        <f aca="false">IF(AND($H10&lt;=EOMONTH(L$5,0),$I10&gt;=L$5),1,"")</f>
        <v>1</v>
      </c>
      <c r="M10" s="42" t="n">
        <f aca="false">IF(AND($H10&lt;=EOMONTH(M$5,0),$I10&gt;=M$5),1,"")</f>
        <v>1</v>
      </c>
      <c r="N10" s="42" t="n">
        <f aca="false">IF(AND($H10&lt;=EOMONTH(N$5,0),$I10&gt;=N$5),1,"")</f>
        <v>1</v>
      </c>
      <c r="O10" s="42" t="n">
        <f aca="false">IF(AND($H10&lt;=EOMONTH(O$5,0),$I10&gt;=O$5),1,"")</f>
        <v>1</v>
      </c>
      <c r="P10" s="42" t="n">
        <f aca="false">IF(AND($H10&lt;=EOMONTH(P$5,0),$I10&gt;=P$5),1,"")</f>
        <v>1</v>
      </c>
      <c r="Q10" s="42" t="n">
        <f aca="false">IF(AND($H10&lt;=EOMONTH(Q$5,0),$I10&gt;=Q$5),1,"")</f>
        <v>1</v>
      </c>
      <c r="R10" s="42" t="n">
        <f aca="false">IF(AND($H10&lt;=EOMONTH(R$5,0),$I10&gt;=R$5),1,"")</f>
        <v>1</v>
      </c>
      <c r="S10" s="42" t="n">
        <f aca="false">IF(AND($H10&lt;=EOMONTH(S$5,0),$I10&gt;=S$5),1,"")</f>
        <v>1</v>
      </c>
      <c r="T10" s="42" t="str">
        <f aca="false">IF(AND($H10&lt;=EOMONTH(T$5,0),$I10&gt;=T$5),1,"")</f>
        <v/>
      </c>
      <c r="U10" s="42" t="str">
        <f aca="false">IF(AND($H10&lt;=EOMONTH(U$5,0),$I10&gt;=U$5),1,"")</f>
        <v/>
      </c>
      <c r="V10" s="42" t="str">
        <f aca="false">IF(AND($H10&lt;=EOMONTH(V$5,0),$I10&gt;=V$5),1,"")</f>
        <v/>
      </c>
      <c r="W10" s="42" t="str">
        <f aca="false">IF(AND($H10&lt;=EOMONTH(W$5,0),$I10&gt;=W$5),1,"")</f>
        <v/>
      </c>
      <c r="X10" s="42" t="str">
        <f aca="false">IF(AND($H10&lt;=EOMONTH(X$5,0),$I10&gt;=X$5),1,"")</f>
        <v/>
      </c>
      <c r="Y10" s="42" t="str">
        <f aca="false">IF(AND($H10&lt;=EOMONTH(Y$5,0),$I10&gt;=Y$5),1,"")</f>
        <v/>
      </c>
      <c r="Z10" s="42" t="str">
        <f aca="false">IF(AND($H10&lt;=EOMONTH(Z$5,0),$I10&gt;=Z$5),1,"")</f>
        <v/>
      </c>
      <c r="AA10" s="42" t="str">
        <f aca="false">IF(AND($H10&lt;=EOMONTH(AA$5,0),$I10&gt;=AA$5),1,"")</f>
        <v/>
      </c>
      <c r="AB10" s="42" t="str">
        <f aca="false">IF(AND($H10&lt;=EOMONTH(AB$5,0),$I10&gt;=AB$5),1,"")</f>
        <v/>
      </c>
      <c r="AC10" s="42" t="str">
        <f aca="false">IF(AND($H10&lt;=EOMONTH(AC$5,0),$I10&gt;=AC$5),1,"")</f>
        <v/>
      </c>
      <c r="AD10" s="42" t="str">
        <f aca="false">IF(AND($H10&lt;=EOMONTH(AD$5,0),$I10&gt;=AD$5),1,"")</f>
        <v/>
      </c>
      <c r="AE10" s="42" t="str">
        <f aca="false">IF(AND($H10&lt;=EOMONTH(AE$5,0),$I10&gt;=AE$5),1,"")</f>
        <v/>
      </c>
      <c r="AF10" s="42" t="str">
        <f aca="false">IF(AND($H10&lt;=EOMONTH(AF$5,0),$I10&gt;=AF$5),1,"")</f>
        <v/>
      </c>
      <c r="AG10" s="42" t="str">
        <f aca="false">IF(AND($H10&lt;=EOMONTH(AG$5,0),$I10&gt;=AG$5),1,"")</f>
        <v/>
      </c>
      <c r="AH10" s="42" t="str">
        <f aca="false">IF(AND($H10&lt;=EOMONTH(AH$5,0),$I10&gt;=AH$5),1,"")</f>
        <v/>
      </c>
    </row>
    <row r="11" customFormat="false" ht="15" hidden="false" customHeight="false" outlineLevel="0" collapsed="false">
      <c r="A11" s="10" t="s">
        <v>397</v>
      </c>
      <c r="B11" s="10" t="s">
        <v>398</v>
      </c>
      <c r="C11" s="10" t="n">
        <f aca="false">COUNTIF(Packages!$C$6:$C$206,"F5")</f>
        <v>22</v>
      </c>
      <c r="D11" s="22" t="n">
        <f aca="false">SUMIF(Packages!$C$6:$C$206,"F5",Packages!$O$6:$O$206)</f>
        <v>570.560752061364</v>
      </c>
      <c r="E11" s="22" t="n">
        <f aca="false">SUMIF(Packages!$C$6:$C$206,"F5",Packages!$U$6:$U$206)</f>
        <v>254.197188764329</v>
      </c>
      <c r="F11" s="22" t="n">
        <f aca="false">SUMIF(Packages!$C$6:$C$206,"F5",Packages!$AC$6:$AC$206)</f>
        <v>452</v>
      </c>
      <c r="G11" s="22" t="n">
        <f aca="false">SUMIF(Packages!$C$6:$C$206,"F5",Packages!$X$6:$X$206)+SUMIF(Packages!$C$6:$C$206,"F5",Packages!$Y$6:$Y$206)</f>
        <v>8748.60396898257</v>
      </c>
      <c r="H11" s="23" t="n">
        <f aca="false">_xlfn.MINIFS(Packages!$AL$6:$AL$206,Packages!$C$6:$C$206,"F5")</f>
        <v>46357</v>
      </c>
      <c r="I11" s="23" t="n">
        <f aca="false">_xlfn.MAXIFS(Packages!$AM$6:$AM$206,Packages!$C$6:$C$206,"F5")</f>
        <v>46648</v>
      </c>
      <c r="J11" s="24" t="n">
        <f aca="false">(I11-H11)/30.4</f>
        <v>9.57236842105263</v>
      </c>
      <c r="K11" s="42" t="n">
        <f aca="false">IF(AND($H11&lt;=EOMONTH(K$5,0),$I11&gt;=K$5),1,"")</f>
        <v>1</v>
      </c>
      <c r="L11" s="42" t="n">
        <f aca="false">IF(AND($H11&lt;=EOMONTH(L$5,0),$I11&gt;=L$5),1,"")</f>
        <v>1</v>
      </c>
      <c r="M11" s="42" t="n">
        <f aca="false">IF(AND($H11&lt;=EOMONTH(M$5,0),$I11&gt;=M$5),1,"")</f>
        <v>1</v>
      </c>
      <c r="N11" s="42" t="n">
        <f aca="false">IF(AND($H11&lt;=EOMONTH(N$5,0),$I11&gt;=N$5),1,"")</f>
        <v>1</v>
      </c>
      <c r="O11" s="42" t="n">
        <f aca="false">IF(AND($H11&lt;=EOMONTH(O$5,0),$I11&gt;=O$5),1,"")</f>
        <v>1</v>
      </c>
      <c r="P11" s="42" t="n">
        <f aca="false">IF(AND($H11&lt;=EOMONTH(P$5,0),$I11&gt;=P$5),1,"")</f>
        <v>1</v>
      </c>
      <c r="Q11" s="42" t="n">
        <f aca="false">IF(AND($H11&lt;=EOMONTH(Q$5,0),$I11&gt;=Q$5),1,"")</f>
        <v>1</v>
      </c>
      <c r="R11" s="42" t="n">
        <f aca="false">IF(AND($H11&lt;=EOMONTH(R$5,0),$I11&gt;=R$5),1,"")</f>
        <v>1</v>
      </c>
      <c r="S11" s="42" t="n">
        <f aca="false">IF(AND($H11&lt;=EOMONTH(S$5,0),$I11&gt;=S$5),1,"")</f>
        <v>1</v>
      </c>
      <c r="T11" s="42" t="n">
        <f aca="false">IF(AND($H11&lt;=EOMONTH(T$5,0),$I11&gt;=T$5),1,"")</f>
        <v>1</v>
      </c>
      <c r="U11" s="42" t="str">
        <f aca="false">IF(AND($H11&lt;=EOMONTH(U$5,0),$I11&gt;=U$5),1,"")</f>
        <v/>
      </c>
      <c r="V11" s="42" t="str">
        <f aca="false">IF(AND($H11&lt;=EOMONTH(V$5,0),$I11&gt;=V$5),1,"")</f>
        <v/>
      </c>
      <c r="W11" s="42" t="str">
        <f aca="false">IF(AND($H11&lt;=EOMONTH(W$5,0),$I11&gt;=W$5),1,"")</f>
        <v/>
      </c>
      <c r="X11" s="42" t="str">
        <f aca="false">IF(AND($H11&lt;=EOMONTH(X$5,0),$I11&gt;=X$5),1,"")</f>
        <v/>
      </c>
      <c r="Y11" s="42" t="str">
        <f aca="false">IF(AND($H11&lt;=EOMONTH(Y$5,0),$I11&gt;=Y$5),1,"")</f>
        <v/>
      </c>
      <c r="Z11" s="42" t="str">
        <f aca="false">IF(AND($H11&lt;=EOMONTH(Z$5,0),$I11&gt;=Z$5),1,"")</f>
        <v/>
      </c>
      <c r="AA11" s="42" t="str">
        <f aca="false">IF(AND($H11&lt;=EOMONTH(AA$5,0),$I11&gt;=AA$5),1,"")</f>
        <v/>
      </c>
      <c r="AB11" s="42" t="str">
        <f aca="false">IF(AND($H11&lt;=EOMONTH(AB$5,0),$I11&gt;=AB$5),1,"")</f>
        <v/>
      </c>
      <c r="AC11" s="42" t="str">
        <f aca="false">IF(AND($H11&lt;=EOMONTH(AC$5,0),$I11&gt;=AC$5),1,"")</f>
        <v/>
      </c>
      <c r="AD11" s="42" t="str">
        <f aca="false">IF(AND($H11&lt;=EOMONTH(AD$5,0),$I11&gt;=AD$5),1,"")</f>
        <v/>
      </c>
      <c r="AE11" s="42" t="str">
        <f aca="false">IF(AND($H11&lt;=EOMONTH(AE$5,0),$I11&gt;=AE$5),1,"")</f>
        <v/>
      </c>
      <c r="AF11" s="42" t="str">
        <f aca="false">IF(AND($H11&lt;=EOMONTH(AF$5,0),$I11&gt;=AF$5),1,"")</f>
        <v/>
      </c>
      <c r="AG11" s="42" t="str">
        <f aca="false">IF(AND($H11&lt;=EOMONTH(AG$5,0),$I11&gt;=AG$5),1,"")</f>
        <v/>
      </c>
      <c r="AH11" s="42" t="str">
        <f aca="false">IF(AND($H11&lt;=EOMONTH(AH$5,0),$I11&gt;=AH$5),1,"")</f>
        <v/>
      </c>
    </row>
    <row r="12" customFormat="false" ht="15" hidden="false" customHeight="false" outlineLevel="0" collapsed="false">
      <c r="A12" s="10" t="s">
        <v>400</v>
      </c>
      <c r="B12" s="10" t="s">
        <v>401</v>
      </c>
      <c r="C12" s="10" t="n">
        <f aca="false">COUNTIF(Packages!$C$6:$C$206,"F6")</f>
        <v>34</v>
      </c>
      <c r="D12" s="22" t="n">
        <f aca="false">SUMIF(Packages!$C$6:$C$206,"F6",Packages!$O$6:$O$206)</f>
        <v>1164.34958460152</v>
      </c>
      <c r="E12" s="22" t="n">
        <f aca="false">SUMIF(Packages!$C$6:$C$206,"F6",Packages!$U$6:$U$206)</f>
        <v>839.942282029526</v>
      </c>
      <c r="F12" s="22" t="n">
        <f aca="false">SUMIF(Packages!$C$6:$C$206,"F6",Packages!$AC$6:$AC$206)</f>
        <v>765</v>
      </c>
      <c r="G12" s="22" t="n">
        <f aca="false">SUMIF(Packages!$C$6:$C$206,"F6",Packages!$X$6:$X$206)+SUMIF(Packages!$C$6:$C$206,"F6",Packages!$Y$6:$Y$206)</f>
        <v>16149.8614170344</v>
      </c>
      <c r="H12" s="23" t="n">
        <f aca="false">_xlfn.MINIFS(Packages!$AL$6:$AL$206,Packages!$C$6:$C$206,"F6")</f>
        <v>46357</v>
      </c>
      <c r="I12" s="23" t="n">
        <f aca="false">_xlfn.MAXIFS(Packages!$AM$6:$AM$206,Packages!$C$6:$C$206,"F6")</f>
        <v>46607</v>
      </c>
      <c r="J12" s="24" t="n">
        <f aca="false">(I12-H12)/30.4</f>
        <v>8.22368421052632</v>
      </c>
      <c r="K12" s="42" t="n">
        <f aca="false">IF(AND($H12&lt;=EOMONTH(K$5,0),$I12&gt;=K$5),1,"")</f>
        <v>1</v>
      </c>
      <c r="L12" s="42" t="n">
        <f aca="false">IF(AND($H12&lt;=EOMONTH(L$5,0),$I12&gt;=L$5),1,"")</f>
        <v>1</v>
      </c>
      <c r="M12" s="42" t="n">
        <f aca="false">IF(AND($H12&lt;=EOMONTH(M$5,0),$I12&gt;=M$5),1,"")</f>
        <v>1</v>
      </c>
      <c r="N12" s="42" t="n">
        <f aca="false">IF(AND($H12&lt;=EOMONTH(N$5,0),$I12&gt;=N$5),1,"")</f>
        <v>1</v>
      </c>
      <c r="O12" s="42" t="n">
        <f aca="false">IF(AND($H12&lt;=EOMONTH(O$5,0),$I12&gt;=O$5),1,"")</f>
        <v>1</v>
      </c>
      <c r="P12" s="42" t="n">
        <f aca="false">IF(AND($H12&lt;=EOMONTH(P$5,0),$I12&gt;=P$5),1,"")</f>
        <v>1</v>
      </c>
      <c r="Q12" s="42" t="n">
        <f aca="false">IF(AND($H12&lt;=EOMONTH(Q$5,0),$I12&gt;=Q$5),1,"")</f>
        <v>1</v>
      </c>
      <c r="R12" s="42" t="n">
        <f aca="false">IF(AND($H12&lt;=EOMONTH(R$5,0),$I12&gt;=R$5),1,"")</f>
        <v>1</v>
      </c>
      <c r="S12" s="42" t="n">
        <f aca="false">IF(AND($H12&lt;=EOMONTH(S$5,0),$I12&gt;=S$5),1,"")</f>
        <v>1</v>
      </c>
      <c r="T12" s="42" t="str">
        <f aca="false">IF(AND($H12&lt;=EOMONTH(T$5,0),$I12&gt;=T$5),1,"")</f>
        <v/>
      </c>
      <c r="U12" s="42" t="str">
        <f aca="false">IF(AND($H12&lt;=EOMONTH(U$5,0),$I12&gt;=U$5),1,"")</f>
        <v/>
      </c>
      <c r="V12" s="42" t="str">
        <f aca="false">IF(AND($H12&lt;=EOMONTH(V$5,0),$I12&gt;=V$5),1,"")</f>
        <v/>
      </c>
      <c r="W12" s="42" t="str">
        <f aca="false">IF(AND($H12&lt;=EOMONTH(W$5,0),$I12&gt;=W$5),1,"")</f>
        <v/>
      </c>
      <c r="X12" s="42" t="str">
        <f aca="false">IF(AND($H12&lt;=EOMONTH(X$5,0),$I12&gt;=X$5),1,"")</f>
        <v/>
      </c>
      <c r="Y12" s="42" t="str">
        <f aca="false">IF(AND($H12&lt;=EOMONTH(Y$5,0),$I12&gt;=Y$5),1,"")</f>
        <v/>
      </c>
      <c r="Z12" s="42" t="str">
        <f aca="false">IF(AND($H12&lt;=EOMONTH(Z$5,0),$I12&gt;=Z$5),1,"")</f>
        <v/>
      </c>
      <c r="AA12" s="42" t="str">
        <f aca="false">IF(AND($H12&lt;=EOMONTH(AA$5,0),$I12&gt;=AA$5),1,"")</f>
        <v/>
      </c>
      <c r="AB12" s="42" t="str">
        <f aca="false">IF(AND($H12&lt;=EOMONTH(AB$5,0),$I12&gt;=AB$5),1,"")</f>
        <v/>
      </c>
      <c r="AC12" s="42" t="str">
        <f aca="false">IF(AND($H12&lt;=EOMONTH(AC$5,0),$I12&gt;=AC$5),1,"")</f>
        <v/>
      </c>
      <c r="AD12" s="42" t="str">
        <f aca="false">IF(AND($H12&lt;=EOMONTH(AD$5,0),$I12&gt;=AD$5),1,"")</f>
        <v/>
      </c>
      <c r="AE12" s="42" t="str">
        <f aca="false">IF(AND($H12&lt;=EOMONTH(AE$5,0),$I12&gt;=AE$5),1,"")</f>
        <v/>
      </c>
      <c r="AF12" s="42" t="str">
        <f aca="false">IF(AND($H12&lt;=EOMONTH(AF$5,0),$I12&gt;=AF$5),1,"")</f>
        <v/>
      </c>
      <c r="AG12" s="42" t="str">
        <f aca="false">IF(AND($H12&lt;=EOMONTH(AG$5,0),$I12&gt;=AG$5),1,"")</f>
        <v/>
      </c>
      <c r="AH12" s="42" t="str">
        <f aca="false">IF(AND($H12&lt;=EOMONTH(AH$5,0),$I12&gt;=AH$5),1,"")</f>
        <v/>
      </c>
    </row>
    <row r="13" customFormat="false" ht="15" hidden="false" customHeight="false" outlineLevel="0" collapsed="false">
      <c r="A13" s="10" t="s">
        <v>403</v>
      </c>
      <c r="B13" s="10" t="s">
        <v>404</v>
      </c>
      <c r="C13" s="10" t="n">
        <f aca="false">COUNTIF(Packages!$C$6:$C$206,"F7")</f>
        <v>38</v>
      </c>
      <c r="D13" s="22" t="n">
        <f aca="false">SUMIF(Packages!$C$6:$C$206,"F7",Packages!$O$6:$O$206)</f>
        <v>868.098736452002</v>
      </c>
      <c r="E13" s="22" t="n">
        <f aca="false">SUMIF(Packages!$C$6:$C$206,"F7",Packages!$U$6:$U$206)</f>
        <v>816.15543086713</v>
      </c>
      <c r="F13" s="22" t="n">
        <f aca="false">SUMIF(Packages!$C$6:$C$206,"F7",Packages!$AC$6:$AC$206)</f>
        <v>585</v>
      </c>
      <c r="G13" s="22" t="n">
        <f aca="false">SUMIF(Packages!$C$6:$C$206,"F7",Packages!$X$6:$X$206)+SUMIF(Packages!$C$6:$C$206,"F7",Packages!$Y$6:$Y$206)</f>
        <v>14084.8613776991</v>
      </c>
      <c r="H13" s="23" t="n">
        <f aca="false">_xlfn.MINIFS(Packages!$AL$6:$AL$206,Packages!$C$6:$C$206,"F7")</f>
        <v>46357</v>
      </c>
      <c r="I13" s="23" t="n">
        <f aca="false">_xlfn.MAXIFS(Packages!$AM$6:$AM$206,Packages!$C$6:$C$206,"F7")</f>
        <v>46606</v>
      </c>
      <c r="J13" s="24" t="n">
        <f aca="false">(I13-H13)/30.4</f>
        <v>8.19078947368421</v>
      </c>
      <c r="K13" s="42" t="n">
        <f aca="false">IF(AND($H13&lt;=EOMONTH(K$5,0),$I13&gt;=K$5),1,"")</f>
        <v>1</v>
      </c>
      <c r="L13" s="42" t="n">
        <f aca="false">IF(AND($H13&lt;=EOMONTH(L$5,0),$I13&gt;=L$5),1,"")</f>
        <v>1</v>
      </c>
      <c r="M13" s="42" t="n">
        <f aca="false">IF(AND($H13&lt;=EOMONTH(M$5,0),$I13&gt;=M$5),1,"")</f>
        <v>1</v>
      </c>
      <c r="N13" s="42" t="n">
        <f aca="false">IF(AND($H13&lt;=EOMONTH(N$5,0),$I13&gt;=N$5),1,"")</f>
        <v>1</v>
      </c>
      <c r="O13" s="42" t="n">
        <f aca="false">IF(AND($H13&lt;=EOMONTH(O$5,0),$I13&gt;=O$5),1,"")</f>
        <v>1</v>
      </c>
      <c r="P13" s="42" t="n">
        <f aca="false">IF(AND($H13&lt;=EOMONTH(P$5,0),$I13&gt;=P$5),1,"")</f>
        <v>1</v>
      </c>
      <c r="Q13" s="42" t="n">
        <f aca="false">IF(AND($H13&lt;=EOMONTH(Q$5,0),$I13&gt;=Q$5),1,"")</f>
        <v>1</v>
      </c>
      <c r="R13" s="42" t="n">
        <f aca="false">IF(AND($H13&lt;=EOMONTH(R$5,0),$I13&gt;=R$5),1,"")</f>
        <v>1</v>
      </c>
      <c r="S13" s="42" t="n">
        <f aca="false">IF(AND($H13&lt;=EOMONTH(S$5,0),$I13&gt;=S$5),1,"")</f>
        <v>1</v>
      </c>
      <c r="T13" s="42" t="str">
        <f aca="false">IF(AND($H13&lt;=EOMONTH(T$5,0),$I13&gt;=T$5),1,"")</f>
        <v/>
      </c>
      <c r="U13" s="42" t="str">
        <f aca="false">IF(AND($H13&lt;=EOMONTH(U$5,0),$I13&gt;=U$5),1,"")</f>
        <v/>
      </c>
      <c r="V13" s="42" t="str">
        <f aca="false">IF(AND($H13&lt;=EOMONTH(V$5,0),$I13&gt;=V$5),1,"")</f>
        <v/>
      </c>
      <c r="W13" s="42" t="str">
        <f aca="false">IF(AND($H13&lt;=EOMONTH(W$5,0),$I13&gt;=W$5),1,"")</f>
        <v/>
      </c>
      <c r="X13" s="42" t="str">
        <f aca="false">IF(AND($H13&lt;=EOMONTH(X$5,0),$I13&gt;=X$5),1,"")</f>
        <v/>
      </c>
      <c r="Y13" s="42" t="str">
        <f aca="false">IF(AND($H13&lt;=EOMONTH(Y$5,0),$I13&gt;=Y$5),1,"")</f>
        <v/>
      </c>
      <c r="Z13" s="42" t="str">
        <f aca="false">IF(AND($H13&lt;=EOMONTH(Z$5,0),$I13&gt;=Z$5),1,"")</f>
        <v/>
      </c>
      <c r="AA13" s="42" t="str">
        <f aca="false">IF(AND($H13&lt;=EOMONTH(AA$5,0),$I13&gt;=AA$5),1,"")</f>
        <v/>
      </c>
      <c r="AB13" s="42" t="str">
        <f aca="false">IF(AND($H13&lt;=EOMONTH(AB$5,0),$I13&gt;=AB$5),1,"")</f>
        <v/>
      </c>
      <c r="AC13" s="42" t="str">
        <f aca="false">IF(AND($H13&lt;=EOMONTH(AC$5,0),$I13&gt;=AC$5),1,"")</f>
        <v/>
      </c>
      <c r="AD13" s="42" t="str">
        <f aca="false">IF(AND($H13&lt;=EOMONTH(AD$5,0),$I13&gt;=AD$5),1,"")</f>
        <v/>
      </c>
      <c r="AE13" s="42" t="str">
        <f aca="false">IF(AND($H13&lt;=EOMONTH(AE$5,0),$I13&gt;=AE$5),1,"")</f>
        <v/>
      </c>
      <c r="AF13" s="42" t="str">
        <f aca="false">IF(AND($H13&lt;=EOMONTH(AF$5,0),$I13&gt;=AF$5),1,"")</f>
        <v/>
      </c>
      <c r="AG13" s="42" t="str">
        <f aca="false">IF(AND($H13&lt;=EOMONTH(AG$5,0),$I13&gt;=AG$5),1,"")</f>
        <v/>
      </c>
      <c r="AH13" s="42" t="str">
        <f aca="false">IF(AND($H13&lt;=EOMONTH(AH$5,0),$I13&gt;=AH$5),1,"")</f>
        <v/>
      </c>
    </row>
    <row r="14" customFormat="false" ht="15" hidden="false" customHeight="false" outlineLevel="0" collapsed="false">
      <c r="A14" s="10" t="s">
        <v>406</v>
      </c>
      <c r="B14" s="10" t="s">
        <v>407</v>
      </c>
      <c r="C14" s="10" t="n">
        <f aca="false">COUNTIF(Packages!$C$6:$C$206,"F8")</f>
        <v>26</v>
      </c>
      <c r="D14" s="22" t="n">
        <f aca="false">SUMIF(Packages!$C$6:$C$206,"F8",Packages!$O$6:$O$206)</f>
        <v>1378.45558468736</v>
      </c>
      <c r="E14" s="22" t="n">
        <f aca="false">SUMIF(Packages!$C$6:$C$206,"F8",Packages!$U$6:$U$206)</f>
        <v>1326.44949505716</v>
      </c>
      <c r="F14" s="22" t="n">
        <f aca="false">SUMIF(Packages!$C$6:$C$206,"F8",Packages!$AC$6:$AC$206)</f>
        <v>985</v>
      </c>
      <c r="G14" s="22" t="n">
        <f aca="false">SUMIF(Packages!$C$6:$C$206,"F8",Packages!$X$6:$X$206)+SUMIF(Packages!$C$6:$C$206,"F8",Packages!$Y$6:$Y$206)</f>
        <v>20827.1496920706</v>
      </c>
      <c r="H14" s="23" t="n">
        <f aca="false">_xlfn.MINIFS(Packages!$AL$6:$AL$206,Packages!$C$6:$C$206,"F8")</f>
        <v>46357</v>
      </c>
      <c r="I14" s="23" t="n">
        <f aca="false">_xlfn.MAXIFS(Packages!$AM$6:$AM$206,Packages!$C$6:$C$206,"F8")</f>
        <v>46572</v>
      </c>
      <c r="J14" s="24" t="n">
        <f aca="false">(I14-H14)/30.4</f>
        <v>7.07236842105263</v>
      </c>
      <c r="K14" s="42" t="n">
        <f aca="false">IF(AND($H14&lt;=EOMONTH(K$5,0),$I14&gt;=K$5),1,"")</f>
        <v>1</v>
      </c>
      <c r="L14" s="42" t="n">
        <f aca="false">IF(AND($H14&lt;=EOMONTH(L$5,0),$I14&gt;=L$5),1,"")</f>
        <v>1</v>
      </c>
      <c r="M14" s="42" t="n">
        <f aca="false">IF(AND($H14&lt;=EOMONTH(M$5,0),$I14&gt;=M$5),1,"")</f>
        <v>1</v>
      </c>
      <c r="N14" s="42" t="n">
        <f aca="false">IF(AND($H14&lt;=EOMONTH(N$5,0),$I14&gt;=N$5),1,"")</f>
        <v>1</v>
      </c>
      <c r="O14" s="42" t="n">
        <f aca="false">IF(AND($H14&lt;=EOMONTH(O$5,0),$I14&gt;=O$5),1,"")</f>
        <v>1</v>
      </c>
      <c r="P14" s="42" t="n">
        <f aca="false">IF(AND($H14&lt;=EOMONTH(P$5,0),$I14&gt;=P$5),1,"")</f>
        <v>1</v>
      </c>
      <c r="Q14" s="42" t="n">
        <f aca="false">IF(AND($H14&lt;=EOMONTH(Q$5,0),$I14&gt;=Q$5),1,"")</f>
        <v>1</v>
      </c>
      <c r="R14" s="42" t="n">
        <f aca="false">IF(AND($H14&lt;=EOMONTH(R$5,0),$I14&gt;=R$5),1,"")</f>
        <v>1</v>
      </c>
      <c r="S14" s="42" t="str">
        <f aca="false">IF(AND($H14&lt;=EOMONTH(S$5,0),$I14&gt;=S$5),1,"")</f>
        <v/>
      </c>
      <c r="T14" s="42" t="str">
        <f aca="false">IF(AND($H14&lt;=EOMONTH(T$5,0),$I14&gt;=T$5),1,"")</f>
        <v/>
      </c>
      <c r="U14" s="42" t="str">
        <f aca="false">IF(AND($H14&lt;=EOMONTH(U$5,0),$I14&gt;=U$5),1,"")</f>
        <v/>
      </c>
      <c r="V14" s="42" t="str">
        <f aca="false">IF(AND($H14&lt;=EOMONTH(V$5,0),$I14&gt;=V$5),1,"")</f>
        <v/>
      </c>
      <c r="W14" s="42" t="str">
        <f aca="false">IF(AND($H14&lt;=EOMONTH(W$5,0),$I14&gt;=W$5),1,"")</f>
        <v/>
      </c>
      <c r="X14" s="42" t="str">
        <f aca="false">IF(AND($H14&lt;=EOMONTH(X$5,0),$I14&gt;=X$5),1,"")</f>
        <v/>
      </c>
      <c r="Y14" s="42" t="str">
        <f aca="false">IF(AND($H14&lt;=EOMONTH(Y$5,0),$I14&gt;=Y$5),1,"")</f>
        <v/>
      </c>
      <c r="Z14" s="42" t="str">
        <f aca="false">IF(AND($H14&lt;=EOMONTH(Z$5,0),$I14&gt;=Z$5),1,"")</f>
        <v/>
      </c>
      <c r="AA14" s="42" t="str">
        <f aca="false">IF(AND($H14&lt;=EOMONTH(AA$5,0),$I14&gt;=AA$5),1,"")</f>
        <v/>
      </c>
      <c r="AB14" s="42" t="str">
        <f aca="false">IF(AND($H14&lt;=EOMONTH(AB$5,0),$I14&gt;=AB$5),1,"")</f>
        <v/>
      </c>
      <c r="AC14" s="42" t="str">
        <f aca="false">IF(AND($H14&lt;=EOMONTH(AC$5,0),$I14&gt;=AC$5),1,"")</f>
        <v/>
      </c>
      <c r="AD14" s="42" t="str">
        <f aca="false">IF(AND($H14&lt;=EOMONTH(AD$5,0),$I14&gt;=AD$5),1,"")</f>
        <v/>
      </c>
      <c r="AE14" s="42" t="str">
        <f aca="false">IF(AND($H14&lt;=EOMONTH(AE$5,0),$I14&gt;=AE$5),1,"")</f>
        <v/>
      </c>
      <c r="AF14" s="42" t="str">
        <f aca="false">IF(AND($H14&lt;=EOMONTH(AF$5,0),$I14&gt;=AF$5),1,"")</f>
        <v/>
      </c>
      <c r="AG14" s="42" t="str">
        <f aca="false">IF(AND($H14&lt;=EOMONTH(AG$5,0),$I14&gt;=AG$5),1,"")</f>
        <v/>
      </c>
      <c r="AH14" s="42" t="str">
        <f aca="false">IF(AND($H14&lt;=EOMONTH(AH$5,0),$I14&gt;=AH$5),1,"")</f>
        <v/>
      </c>
    </row>
    <row r="15" customFormat="false" ht="15" hidden="false" customHeight="false" outlineLevel="0" collapsed="false">
      <c r="A15" s="10" t="s">
        <v>371</v>
      </c>
    </row>
    <row r="16" customFormat="false" ht="15" hidden="false" customHeight="false" outlineLevel="0" collapsed="false">
      <c r="A16" s="12" t="s">
        <v>441</v>
      </c>
      <c r="B16" s="12" t="s">
        <v>6022</v>
      </c>
      <c r="C16" s="12" t="n">
        <f aca="false">COUNTIF(Packages!$A$6:$A$206,"UG-01")</f>
        <v>3</v>
      </c>
      <c r="D16" s="20" t="n">
        <f aca="false">SUMIF(Packages!$A$6:$A$206,"UG-01",Packages!$O$6:$O$206)</f>
        <v>324.275902987532</v>
      </c>
      <c r="E16" s="20" t="n">
        <f aca="false">SUMIF(Packages!$A$6:$A$206,"UG-01",Packages!$U$6:$U$206)</f>
        <v>324.275902987532</v>
      </c>
      <c r="F16" s="20" t="n">
        <f aca="false">SUMIF(Packages!$A$6:$A$206,"UG-01",Packages!$AC$6:$AC$206)</f>
        <v>215</v>
      </c>
      <c r="G16" s="20" t="n">
        <f aca="false">SUMIF(Packages!$A$6:$A$206,"UG-01",Packages!$X$6:$X$206)+SUMIF(Packages!$A$6:$A$206,"UG-01",Packages!$Y$6:$Y$206)</f>
        <v>7889.58442872691</v>
      </c>
      <c r="H16" s="16" t="n">
        <f aca="false">_xlfn.MINIFS(Packages!$AL$6:$AL$206,Packages!$A$6:$A$206,"UG-01")</f>
        <v>46357</v>
      </c>
      <c r="I16" s="16" t="n">
        <f aca="false">_xlfn.MAXIFS(Packages!$AM$6:$AM$206,Packages!$A$6:$A$206,"UG-01")</f>
        <v>46452</v>
      </c>
      <c r="J16" s="21" t="n">
        <f aca="false">(I16-H16)/30.4</f>
        <v>3.125</v>
      </c>
      <c r="K16" s="42" t="n">
        <f aca="false">IF(AND($H16&lt;=EOMONTH(K$5,0),$I16&gt;=K$5),1,"")</f>
        <v>1</v>
      </c>
      <c r="L16" s="42" t="n">
        <f aca="false">IF(AND($H16&lt;=EOMONTH(L$5,0),$I16&gt;=L$5),1,"")</f>
        <v>1</v>
      </c>
      <c r="M16" s="42" t="n">
        <f aca="false">IF(AND($H16&lt;=EOMONTH(M$5,0),$I16&gt;=M$5),1,"")</f>
        <v>1</v>
      </c>
      <c r="N16" s="42" t="n">
        <f aca="false">IF(AND($H16&lt;=EOMONTH(N$5,0),$I16&gt;=N$5),1,"")</f>
        <v>1</v>
      </c>
      <c r="O16" s="42" t="str">
        <f aca="false">IF(AND($H16&lt;=EOMONTH(O$5,0),$I16&gt;=O$5),1,"")</f>
        <v/>
      </c>
      <c r="P16" s="42" t="str">
        <f aca="false">IF(AND($H16&lt;=EOMONTH(P$5,0),$I16&gt;=P$5),1,"")</f>
        <v/>
      </c>
      <c r="Q16" s="42" t="str">
        <f aca="false">IF(AND($H16&lt;=EOMONTH(Q$5,0),$I16&gt;=Q$5),1,"")</f>
        <v/>
      </c>
      <c r="R16" s="42" t="str">
        <f aca="false">IF(AND($H16&lt;=EOMONTH(R$5,0),$I16&gt;=R$5),1,"")</f>
        <v/>
      </c>
      <c r="S16" s="42" t="str">
        <f aca="false">IF(AND($H16&lt;=EOMONTH(S$5,0),$I16&gt;=S$5),1,"")</f>
        <v/>
      </c>
      <c r="T16" s="42" t="str">
        <f aca="false">IF(AND($H16&lt;=EOMONTH(T$5,0),$I16&gt;=T$5),1,"")</f>
        <v/>
      </c>
      <c r="U16" s="42" t="str">
        <f aca="false">IF(AND($H16&lt;=EOMONTH(U$5,0),$I16&gt;=U$5),1,"")</f>
        <v/>
      </c>
      <c r="V16" s="42" t="str">
        <f aca="false">IF(AND($H16&lt;=EOMONTH(V$5,0),$I16&gt;=V$5),1,"")</f>
        <v/>
      </c>
      <c r="W16" s="42" t="str">
        <f aca="false">IF(AND($H16&lt;=EOMONTH(W$5,0),$I16&gt;=W$5),1,"")</f>
        <v/>
      </c>
      <c r="X16" s="42" t="str">
        <f aca="false">IF(AND($H16&lt;=EOMONTH(X$5,0),$I16&gt;=X$5),1,"")</f>
        <v/>
      </c>
      <c r="Y16" s="42" t="str">
        <f aca="false">IF(AND($H16&lt;=EOMONTH(Y$5,0),$I16&gt;=Y$5),1,"")</f>
        <v/>
      </c>
      <c r="Z16" s="42" t="str">
        <f aca="false">IF(AND($H16&lt;=EOMONTH(Z$5,0),$I16&gt;=Z$5),1,"")</f>
        <v/>
      </c>
      <c r="AA16" s="42" t="str">
        <f aca="false">IF(AND($H16&lt;=EOMONTH(AA$5,0),$I16&gt;=AA$5),1,"")</f>
        <v/>
      </c>
      <c r="AB16" s="42" t="str">
        <f aca="false">IF(AND($H16&lt;=EOMONTH(AB$5,0),$I16&gt;=AB$5),1,"")</f>
        <v/>
      </c>
      <c r="AC16" s="42" t="str">
        <f aca="false">IF(AND($H16&lt;=EOMONTH(AC$5,0),$I16&gt;=AC$5),1,"")</f>
        <v/>
      </c>
      <c r="AD16" s="42" t="str">
        <f aca="false">IF(AND($H16&lt;=EOMONTH(AD$5,0),$I16&gt;=AD$5),1,"")</f>
        <v/>
      </c>
      <c r="AE16" s="42" t="str">
        <f aca="false">IF(AND($H16&lt;=EOMONTH(AE$5,0),$I16&gt;=AE$5),1,"")</f>
        <v/>
      </c>
      <c r="AF16" s="42" t="str">
        <f aca="false">IF(AND($H16&lt;=EOMONTH(AF$5,0),$I16&gt;=AF$5),1,"")</f>
        <v/>
      </c>
      <c r="AG16" s="42" t="str">
        <f aca="false">IF(AND($H16&lt;=EOMONTH(AG$5,0),$I16&gt;=AG$5),1,"")</f>
        <v/>
      </c>
      <c r="AH16" s="42" t="str">
        <f aca="false">IF(AND($H16&lt;=EOMONTH(AH$5,0),$I16&gt;=AH$5),1,"")</f>
        <v/>
      </c>
    </row>
    <row r="17" customFormat="false" ht="15" hidden="false" customHeight="false" outlineLevel="0" collapsed="false">
      <c r="A17" s="12" t="s">
        <v>500</v>
      </c>
      <c r="B17" s="12" t="s">
        <v>6023</v>
      </c>
      <c r="C17" s="12" t="n">
        <f aca="false">COUNTIF(Packages!$A$6:$A$206,"UG-02")</f>
        <v>5</v>
      </c>
      <c r="D17" s="20" t="n">
        <f aca="false">SUMIF(Packages!$A$6:$A$206,"UG-02",Packages!$O$6:$O$206)</f>
        <v>267.361934917753</v>
      </c>
      <c r="E17" s="20" t="n">
        <f aca="false">SUMIF(Packages!$A$6:$A$206,"UG-02",Packages!$U$6:$U$206)</f>
        <v>267.361934917753</v>
      </c>
      <c r="F17" s="20" t="n">
        <f aca="false">SUMIF(Packages!$A$6:$A$206,"UG-02",Packages!$AC$6:$AC$206)</f>
        <v>194</v>
      </c>
      <c r="G17" s="20" t="n">
        <f aca="false">SUMIF(Packages!$A$6:$A$206,"UG-02",Packages!$X$6:$X$206)+SUMIF(Packages!$A$6:$A$206,"UG-02",Packages!$Y$6:$Y$206)</f>
        <v>5798.44743274858</v>
      </c>
      <c r="H17" s="16" t="n">
        <f aca="false">_xlfn.MINIFS(Packages!$AL$6:$AL$206,Packages!$A$6:$A$206,"UG-02")</f>
        <v>46359</v>
      </c>
      <c r="I17" s="16" t="n">
        <f aca="false">_xlfn.MAXIFS(Packages!$AM$6:$AM$206,Packages!$A$6:$A$206,"UG-02")</f>
        <v>46547</v>
      </c>
      <c r="J17" s="21" t="n">
        <f aca="false">(I17-H17)/30.4</f>
        <v>6.18421052631579</v>
      </c>
      <c r="K17" s="42" t="n">
        <f aca="false">IF(AND($H17&lt;=EOMONTH(K$5,0),$I17&gt;=K$5),1,"")</f>
        <v>1</v>
      </c>
      <c r="L17" s="42" t="n">
        <f aca="false">IF(AND($H17&lt;=EOMONTH(L$5,0),$I17&gt;=L$5),1,"")</f>
        <v>1</v>
      </c>
      <c r="M17" s="42" t="n">
        <f aca="false">IF(AND($H17&lt;=EOMONTH(M$5,0),$I17&gt;=M$5),1,"")</f>
        <v>1</v>
      </c>
      <c r="N17" s="42" t="n">
        <f aca="false">IF(AND($H17&lt;=EOMONTH(N$5,0),$I17&gt;=N$5),1,"")</f>
        <v>1</v>
      </c>
      <c r="O17" s="42" t="n">
        <f aca="false">IF(AND($H17&lt;=EOMONTH(O$5,0),$I17&gt;=O$5),1,"")</f>
        <v>1</v>
      </c>
      <c r="P17" s="42" t="n">
        <f aca="false">IF(AND($H17&lt;=EOMONTH(P$5,0),$I17&gt;=P$5),1,"")</f>
        <v>1</v>
      </c>
      <c r="Q17" s="42" t="n">
        <f aca="false">IF(AND($H17&lt;=EOMONTH(Q$5,0),$I17&gt;=Q$5),1,"")</f>
        <v>1</v>
      </c>
      <c r="R17" s="42" t="str">
        <f aca="false">IF(AND($H17&lt;=EOMONTH(R$5,0),$I17&gt;=R$5),1,"")</f>
        <v/>
      </c>
      <c r="S17" s="42" t="str">
        <f aca="false">IF(AND($H17&lt;=EOMONTH(S$5,0),$I17&gt;=S$5),1,"")</f>
        <v/>
      </c>
      <c r="T17" s="42" t="str">
        <f aca="false">IF(AND($H17&lt;=EOMONTH(T$5,0),$I17&gt;=T$5),1,"")</f>
        <v/>
      </c>
      <c r="U17" s="42" t="str">
        <f aca="false">IF(AND($H17&lt;=EOMONTH(U$5,0),$I17&gt;=U$5),1,"")</f>
        <v/>
      </c>
      <c r="V17" s="42" t="str">
        <f aca="false">IF(AND($H17&lt;=EOMONTH(V$5,0),$I17&gt;=V$5),1,"")</f>
        <v/>
      </c>
      <c r="W17" s="42" t="str">
        <f aca="false">IF(AND($H17&lt;=EOMONTH(W$5,0),$I17&gt;=W$5),1,"")</f>
        <v/>
      </c>
      <c r="X17" s="42" t="str">
        <f aca="false">IF(AND($H17&lt;=EOMONTH(X$5,0),$I17&gt;=X$5),1,"")</f>
        <v/>
      </c>
      <c r="Y17" s="42" t="str">
        <f aca="false">IF(AND($H17&lt;=EOMONTH(Y$5,0),$I17&gt;=Y$5),1,"")</f>
        <v/>
      </c>
      <c r="Z17" s="42" t="str">
        <f aca="false">IF(AND($H17&lt;=EOMONTH(Z$5,0),$I17&gt;=Z$5),1,"")</f>
        <v/>
      </c>
      <c r="AA17" s="42" t="str">
        <f aca="false">IF(AND($H17&lt;=EOMONTH(AA$5,0),$I17&gt;=AA$5),1,"")</f>
        <v/>
      </c>
      <c r="AB17" s="42" t="str">
        <f aca="false">IF(AND($H17&lt;=EOMONTH(AB$5,0),$I17&gt;=AB$5),1,"")</f>
        <v/>
      </c>
      <c r="AC17" s="42" t="str">
        <f aca="false">IF(AND($H17&lt;=EOMONTH(AC$5,0),$I17&gt;=AC$5),1,"")</f>
        <v/>
      </c>
      <c r="AD17" s="42" t="str">
        <f aca="false">IF(AND($H17&lt;=EOMONTH(AD$5,0),$I17&gt;=AD$5),1,"")</f>
        <v/>
      </c>
      <c r="AE17" s="42" t="str">
        <f aca="false">IF(AND($H17&lt;=EOMONTH(AE$5,0),$I17&gt;=AE$5),1,"")</f>
        <v/>
      </c>
      <c r="AF17" s="42" t="str">
        <f aca="false">IF(AND($H17&lt;=EOMONTH(AF$5,0),$I17&gt;=AF$5),1,"")</f>
        <v/>
      </c>
      <c r="AG17" s="42" t="str">
        <f aca="false">IF(AND($H17&lt;=EOMONTH(AG$5,0),$I17&gt;=AG$5),1,"")</f>
        <v/>
      </c>
      <c r="AH17" s="42" t="str">
        <f aca="false">IF(AND($H17&lt;=EOMONTH(AH$5,0),$I17&gt;=AH$5),1,"")</f>
        <v/>
      </c>
    </row>
    <row r="18" customFormat="false" ht="15" hidden="false" customHeight="false" outlineLevel="0" collapsed="false">
      <c r="A18" s="12" t="s">
        <v>543</v>
      </c>
      <c r="B18" s="12" t="s">
        <v>6024</v>
      </c>
      <c r="C18" s="12" t="n">
        <f aca="false">COUNTIF(Packages!$A$6:$A$206,"UG-03")</f>
        <v>5</v>
      </c>
      <c r="D18" s="20" t="n">
        <f aca="false">SUMIF(Packages!$A$6:$A$206,"UG-03",Packages!$O$6:$O$206)</f>
        <v>186.059165687115</v>
      </c>
      <c r="E18" s="20" t="n">
        <f aca="false">SUMIF(Packages!$A$6:$A$206,"UG-03",Packages!$U$6:$U$206)</f>
        <v>186.059165687115</v>
      </c>
      <c r="F18" s="20" t="n">
        <f aca="false">SUMIF(Packages!$A$6:$A$206,"UG-03",Packages!$AC$6:$AC$206)</f>
        <v>138</v>
      </c>
      <c r="G18" s="20" t="n">
        <f aca="false">SUMIF(Packages!$A$6:$A$206,"UG-03",Packages!$X$6:$X$206)+SUMIF(Packages!$A$6:$A$206,"UG-03",Packages!$Y$6:$Y$206)</f>
        <v>4033.55881536326</v>
      </c>
      <c r="H18" s="16" t="n">
        <f aca="false">_xlfn.MINIFS(Packages!$AL$6:$AL$206,Packages!$A$6:$A$206,"UG-03")</f>
        <v>46430</v>
      </c>
      <c r="I18" s="16" t="n">
        <f aca="false">_xlfn.MAXIFS(Packages!$AM$6:$AM$206,Packages!$A$6:$A$206,"UG-03")</f>
        <v>46562</v>
      </c>
      <c r="J18" s="21" t="n">
        <f aca="false">(I18-H18)/30.4</f>
        <v>4.3421052631579</v>
      </c>
      <c r="K18" s="42" t="str">
        <f aca="false">IF(AND($H18&lt;=EOMONTH(K$5,0),$I18&gt;=K$5),1,"")</f>
        <v/>
      </c>
      <c r="L18" s="42" t="str">
        <f aca="false">IF(AND($H18&lt;=EOMONTH(L$5,0),$I18&gt;=L$5),1,"")</f>
        <v/>
      </c>
      <c r="M18" s="42" t="n">
        <f aca="false">IF(AND($H18&lt;=EOMONTH(M$5,0),$I18&gt;=M$5),1,"")</f>
        <v>1</v>
      </c>
      <c r="N18" s="42" t="n">
        <f aca="false">IF(AND($H18&lt;=EOMONTH(N$5,0),$I18&gt;=N$5),1,"")</f>
        <v>1</v>
      </c>
      <c r="O18" s="42" t="n">
        <f aca="false">IF(AND($H18&lt;=EOMONTH(O$5,0),$I18&gt;=O$5),1,"")</f>
        <v>1</v>
      </c>
      <c r="P18" s="42" t="n">
        <f aca="false">IF(AND($H18&lt;=EOMONTH(P$5,0),$I18&gt;=P$5),1,"")</f>
        <v>1</v>
      </c>
      <c r="Q18" s="42" t="n">
        <f aca="false">IF(AND($H18&lt;=EOMONTH(Q$5,0),$I18&gt;=Q$5),1,"")</f>
        <v>1</v>
      </c>
      <c r="R18" s="42" t="str">
        <f aca="false">IF(AND($H18&lt;=EOMONTH(R$5,0),$I18&gt;=R$5),1,"")</f>
        <v/>
      </c>
      <c r="S18" s="42" t="str">
        <f aca="false">IF(AND($H18&lt;=EOMONTH(S$5,0),$I18&gt;=S$5),1,"")</f>
        <v/>
      </c>
      <c r="T18" s="42" t="str">
        <f aca="false">IF(AND($H18&lt;=EOMONTH(T$5,0),$I18&gt;=T$5),1,"")</f>
        <v/>
      </c>
      <c r="U18" s="42" t="str">
        <f aca="false">IF(AND($H18&lt;=EOMONTH(U$5,0),$I18&gt;=U$5),1,"")</f>
        <v/>
      </c>
      <c r="V18" s="42" t="str">
        <f aca="false">IF(AND($H18&lt;=EOMONTH(V$5,0),$I18&gt;=V$5),1,"")</f>
        <v/>
      </c>
      <c r="W18" s="42" t="str">
        <f aca="false">IF(AND($H18&lt;=EOMONTH(W$5,0),$I18&gt;=W$5),1,"")</f>
        <v/>
      </c>
      <c r="X18" s="42" t="str">
        <f aca="false">IF(AND($H18&lt;=EOMONTH(X$5,0),$I18&gt;=X$5),1,"")</f>
        <v/>
      </c>
      <c r="Y18" s="42" t="str">
        <f aca="false">IF(AND($H18&lt;=EOMONTH(Y$5,0),$I18&gt;=Y$5),1,"")</f>
        <v/>
      </c>
      <c r="Z18" s="42" t="str">
        <f aca="false">IF(AND($H18&lt;=EOMONTH(Z$5,0),$I18&gt;=Z$5),1,"")</f>
        <v/>
      </c>
      <c r="AA18" s="42" t="str">
        <f aca="false">IF(AND($H18&lt;=EOMONTH(AA$5,0),$I18&gt;=AA$5),1,"")</f>
        <v/>
      </c>
      <c r="AB18" s="42" t="str">
        <f aca="false">IF(AND($H18&lt;=EOMONTH(AB$5,0),$I18&gt;=AB$5),1,"")</f>
        <v/>
      </c>
      <c r="AC18" s="42" t="str">
        <f aca="false">IF(AND($H18&lt;=EOMONTH(AC$5,0),$I18&gt;=AC$5),1,"")</f>
        <v/>
      </c>
      <c r="AD18" s="42" t="str">
        <f aca="false">IF(AND($H18&lt;=EOMONTH(AD$5,0),$I18&gt;=AD$5),1,"")</f>
        <v/>
      </c>
      <c r="AE18" s="42" t="str">
        <f aca="false">IF(AND($H18&lt;=EOMONTH(AE$5,0),$I18&gt;=AE$5),1,"")</f>
        <v/>
      </c>
      <c r="AF18" s="42" t="str">
        <f aca="false">IF(AND($H18&lt;=EOMONTH(AF$5,0),$I18&gt;=AF$5),1,"")</f>
        <v/>
      </c>
      <c r="AG18" s="42" t="str">
        <f aca="false">IF(AND($H18&lt;=EOMONTH(AG$5,0),$I18&gt;=AG$5),1,"")</f>
        <v/>
      </c>
      <c r="AH18" s="42" t="str">
        <f aca="false">IF(AND($H18&lt;=EOMONTH(AH$5,0),$I18&gt;=AH$5),1,"")</f>
        <v/>
      </c>
    </row>
    <row r="19" customFormat="false" ht="15" hidden="false" customHeight="false" outlineLevel="0" collapsed="false">
      <c r="A19" s="12" t="s">
        <v>578</v>
      </c>
      <c r="B19" s="12" t="s">
        <v>6024</v>
      </c>
      <c r="C19" s="12" t="n">
        <f aca="false">COUNTIF(Packages!$A$6:$A$206,"UG-04")</f>
        <v>2</v>
      </c>
      <c r="D19" s="20" t="n">
        <f aca="false">SUMIF(Packages!$A$6:$A$206,"UG-04",Packages!$O$6:$O$206)</f>
        <v>22.6548902757226</v>
      </c>
      <c r="E19" s="20" t="n">
        <f aca="false">SUMIF(Packages!$A$6:$A$206,"UG-04",Packages!$U$6:$U$206)</f>
        <v>22.6548902757226</v>
      </c>
      <c r="F19" s="20" t="n">
        <f aca="false">SUMIF(Packages!$A$6:$A$206,"UG-04",Packages!$AC$6:$AC$206)</f>
        <v>22</v>
      </c>
      <c r="G19" s="20" t="n">
        <f aca="false">SUMIF(Packages!$A$6:$A$206,"UG-04",Packages!$X$6:$X$206)+SUMIF(Packages!$A$6:$A$206,"UG-04",Packages!$Y$6:$Y$206)</f>
        <v>472.841926831508</v>
      </c>
      <c r="H19" s="16" t="n">
        <f aca="false">_xlfn.MINIFS(Packages!$AL$6:$AL$206,Packages!$A$6:$A$206,"UG-04")</f>
        <v>46464</v>
      </c>
      <c r="I19" s="16" t="n">
        <f aca="false">_xlfn.MAXIFS(Packages!$AM$6:$AM$206,Packages!$A$6:$A$206,"UG-04")</f>
        <v>46556</v>
      </c>
      <c r="J19" s="21" t="n">
        <f aca="false">(I19-H19)/30.4</f>
        <v>3.02631578947368</v>
      </c>
      <c r="K19" s="42" t="str">
        <f aca="false">IF(AND($H19&lt;=EOMONTH(K$5,0),$I19&gt;=K$5),1,"")</f>
        <v/>
      </c>
      <c r="L19" s="42" t="str">
        <f aca="false">IF(AND($H19&lt;=EOMONTH(L$5,0),$I19&gt;=L$5),1,"")</f>
        <v/>
      </c>
      <c r="M19" s="42" t="str">
        <f aca="false">IF(AND($H19&lt;=EOMONTH(M$5,0),$I19&gt;=M$5),1,"")</f>
        <v/>
      </c>
      <c r="N19" s="42" t="n">
        <f aca="false">IF(AND($H19&lt;=EOMONTH(N$5,0),$I19&gt;=N$5),1,"")</f>
        <v>1</v>
      </c>
      <c r="O19" s="42" t="n">
        <f aca="false">IF(AND($H19&lt;=EOMONTH(O$5,0),$I19&gt;=O$5),1,"")</f>
        <v>1</v>
      </c>
      <c r="P19" s="42" t="n">
        <f aca="false">IF(AND($H19&lt;=EOMONTH(P$5,0),$I19&gt;=P$5),1,"")</f>
        <v>1</v>
      </c>
      <c r="Q19" s="42" t="n">
        <f aca="false">IF(AND($H19&lt;=EOMONTH(Q$5,0),$I19&gt;=Q$5),1,"")</f>
        <v>1</v>
      </c>
      <c r="R19" s="42" t="str">
        <f aca="false">IF(AND($H19&lt;=EOMONTH(R$5,0),$I19&gt;=R$5),1,"")</f>
        <v/>
      </c>
      <c r="S19" s="42" t="str">
        <f aca="false">IF(AND($H19&lt;=EOMONTH(S$5,0),$I19&gt;=S$5),1,"")</f>
        <v/>
      </c>
      <c r="T19" s="42" t="str">
        <f aca="false">IF(AND($H19&lt;=EOMONTH(T$5,0),$I19&gt;=T$5),1,"")</f>
        <v/>
      </c>
      <c r="U19" s="42" t="str">
        <f aca="false">IF(AND($H19&lt;=EOMONTH(U$5,0),$I19&gt;=U$5),1,"")</f>
        <v/>
      </c>
      <c r="V19" s="42" t="str">
        <f aca="false">IF(AND($H19&lt;=EOMONTH(V$5,0),$I19&gt;=V$5),1,"")</f>
        <v/>
      </c>
      <c r="W19" s="42" t="str">
        <f aca="false">IF(AND($H19&lt;=EOMONTH(W$5,0),$I19&gt;=W$5),1,"")</f>
        <v/>
      </c>
      <c r="X19" s="42" t="str">
        <f aca="false">IF(AND($H19&lt;=EOMONTH(X$5,0),$I19&gt;=X$5),1,"")</f>
        <v/>
      </c>
      <c r="Y19" s="42" t="str">
        <f aca="false">IF(AND($H19&lt;=EOMONTH(Y$5,0),$I19&gt;=Y$5),1,"")</f>
        <v/>
      </c>
      <c r="Z19" s="42" t="str">
        <f aca="false">IF(AND($H19&lt;=EOMONTH(Z$5,0),$I19&gt;=Z$5),1,"")</f>
        <v/>
      </c>
      <c r="AA19" s="42" t="str">
        <f aca="false">IF(AND($H19&lt;=EOMONTH(AA$5,0),$I19&gt;=AA$5),1,"")</f>
        <v/>
      </c>
      <c r="AB19" s="42" t="str">
        <f aca="false">IF(AND($H19&lt;=EOMONTH(AB$5,0),$I19&gt;=AB$5),1,"")</f>
        <v/>
      </c>
      <c r="AC19" s="42" t="str">
        <f aca="false">IF(AND($H19&lt;=EOMONTH(AC$5,0),$I19&gt;=AC$5),1,"")</f>
        <v/>
      </c>
      <c r="AD19" s="42" t="str">
        <f aca="false">IF(AND($H19&lt;=EOMONTH(AD$5,0),$I19&gt;=AD$5),1,"")</f>
        <v/>
      </c>
      <c r="AE19" s="42" t="str">
        <f aca="false">IF(AND($H19&lt;=EOMONTH(AE$5,0),$I19&gt;=AE$5),1,"")</f>
        <v/>
      </c>
      <c r="AF19" s="42" t="str">
        <f aca="false">IF(AND($H19&lt;=EOMONTH(AF$5,0),$I19&gt;=AF$5),1,"")</f>
        <v/>
      </c>
      <c r="AG19" s="42" t="str">
        <f aca="false">IF(AND($H19&lt;=EOMONTH(AG$5,0),$I19&gt;=AG$5),1,"")</f>
        <v/>
      </c>
      <c r="AH19" s="42" t="str">
        <f aca="false">IF(AND($H19&lt;=EOMONTH(AH$5,0),$I19&gt;=AH$5),1,"")</f>
        <v/>
      </c>
    </row>
    <row r="20" customFormat="false" ht="15" hidden="false" customHeight="false" outlineLevel="0" collapsed="false">
      <c r="A20" s="12" t="s">
        <v>592</v>
      </c>
      <c r="B20" s="12" t="s">
        <v>6025</v>
      </c>
      <c r="C20" s="12" t="n">
        <f aca="false">COUNTIF(Packages!$A$6:$A$206,"UG-05")</f>
        <v>5</v>
      </c>
      <c r="D20" s="20" t="n">
        <f aca="false">SUMIF(Packages!$A$6:$A$206,"UG-05",Packages!$O$6:$O$206)</f>
        <v>306.517433932034</v>
      </c>
      <c r="E20" s="20" t="n">
        <f aca="false">SUMIF(Packages!$A$6:$A$206,"UG-05",Packages!$U$6:$U$206)</f>
        <v>206.517433932464</v>
      </c>
      <c r="F20" s="20" t="n">
        <f aca="false">SUMIF(Packages!$A$6:$A$206,"UG-05",Packages!$AC$6:$AC$206)</f>
        <v>220</v>
      </c>
      <c r="G20" s="20" t="n">
        <f aca="false">SUMIF(Packages!$A$6:$A$206,"UG-05",Packages!$X$6:$X$206)+SUMIF(Packages!$A$6:$A$206,"UG-05",Packages!$Y$6:$Y$206)</f>
        <v>6219.58169754576</v>
      </c>
      <c r="H20" s="16" t="n">
        <f aca="false">_xlfn.MINIFS(Packages!$AL$6:$AL$206,Packages!$A$6:$A$206,"UG-05")</f>
        <v>46445</v>
      </c>
      <c r="I20" s="16" t="n">
        <f aca="false">_xlfn.MAXIFS(Packages!$AM$6:$AM$206,Packages!$A$6:$A$206,"UG-05")</f>
        <v>46586</v>
      </c>
      <c r="J20" s="21" t="n">
        <f aca="false">(I20-H20)/30.4</f>
        <v>4.63815789473684</v>
      </c>
      <c r="K20" s="42" t="str">
        <f aca="false">IF(AND($H20&lt;=EOMONTH(K$5,0),$I20&gt;=K$5),1,"")</f>
        <v/>
      </c>
      <c r="L20" s="42" t="str">
        <f aca="false">IF(AND($H20&lt;=EOMONTH(L$5,0),$I20&gt;=L$5),1,"")</f>
        <v/>
      </c>
      <c r="M20" s="42" t="n">
        <f aca="false">IF(AND($H20&lt;=EOMONTH(M$5,0),$I20&gt;=M$5),1,"")</f>
        <v>1</v>
      </c>
      <c r="N20" s="42" t="n">
        <f aca="false">IF(AND($H20&lt;=EOMONTH(N$5,0),$I20&gt;=N$5),1,"")</f>
        <v>1</v>
      </c>
      <c r="O20" s="42" t="n">
        <f aca="false">IF(AND($H20&lt;=EOMONTH(O$5,0),$I20&gt;=O$5),1,"")</f>
        <v>1</v>
      </c>
      <c r="P20" s="42" t="n">
        <f aca="false">IF(AND($H20&lt;=EOMONTH(P$5,0),$I20&gt;=P$5),1,"")</f>
        <v>1</v>
      </c>
      <c r="Q20" s="42" t="n">
        <f aca="false">IF(AND($H20&lt;=EOMONTH(Q$5,0),$I20&gt;=Q$5),1,"")</f>
        <v>1</v>
      </c>
      <c r="R20" s="42" t="n">
        <f aca="false">IF(AND($H20&lt;=EOMONTH(R$5,0),$I20&gt;=R$5),1,"")</f>
        <v>1</v>
      </c>
      <c r="S20" s="42" t="str">
        <f aca="false">IF(AND($H20&lt;=EOMONTH(S$5,0),$I20&gt;=S$5),1,"")</f>
        <v/>
      </c>
      <c r="T20" s="42" t="str">
        <f aca="false">IF(AND($H20&lt;=EOMONTH(T$5,0),$I20&gt;=T$5),1,"")</f>
        <v/>
      </c>
      <c r="U20" s="42" t="str">
        <f aca="false">IF(AND($H20&lt;=EOMONTH(U$5,0),$I20&gt;=U$5),1,"")</f>
        <v/>
      </c>
      <c r="V20" s="42" t="str">
        <f aca="false">IF(AND($H20&lt;=EOMONTH(V$5,0),$I20&gt;=V$5),1,"")</f>
        <v/>
      </c>
      <c r="W20" s="42" t="str">
        <f aca="false">IF(AND($H20&lt;=EOMONTH(W$5,0),$I20&gt;=W$5),1,"")</f>
        <v/>
      </c>
      <c r="X20" s="42" t="str">
        <f aca="false">IF(AND($H20&lt;=EOMONTH(X$5,0),$I20&gt;=X$5),1,"")</f>
        <v/>
      </c>
      <c r="Y20" s="42" t="str">
        <f aca="false">IF(AND($H20&lt;=EOMONTH(Y$5,0),$I20&gt;=Y$5),1,"")</f>
        <v/>
      </c>
      <c r="Z20" s="42" t="str">
        <f aca="false">IF(AND($H20&lt;=EOMONTH(Z$5,0),$I20&gt;=Z$5),1,"")</f>
        <v/>
      </c>
      <c r="AA20" s="42" t="str">
        <f aca="false">IF(AND($H20&lt;=EOMONTH(AA$5,0),$I20&gt;=AA$5),1,"")</f>
        <v/>
      </c>
      <c r="AB20" s="42" t="str">
        <f aca="false">IF(AND($H20&lt;=EOMONTH(AB$5,0),$I20&gt;=AB$5),1,"")</f>
        <v/>
      </c>
      <c r="AC20" s="42" t="str">
        <f aca="false">IF(AND($H20&lt;=EOMONTH(AC$5,0),$I20&gt;=AC$5),1,"")</f>
        <v/>
      </c>
      <c r="AD20" s="42" t="str">
        <f aca="false">IF(AND($H20&lt;=EOMONTH(AD$5,0),$I20&gt;=AD$5),1,"")</f>
        <v/>
      </c>
      <c r="AE20" s="42" t="str">
        <f aca="false">IF(AND($H20&lt;=EOMONTH(AE$5,0),$I20&gt;=AE$5),1,"")</f>
        <v/>
      </c>
      <c r="AF20" s="42" t="str">
        <f aca="false">IF(AND($H20&lt;=EOMONTH(AF$5,0),$I20&gt;=AF$5),1,"")</f>
        <v/>
      </c>
      <c r="AG20" s="42" t="str">
        <f aca="false">IF(AND($H20&lt;=EOMONTH(AG$5,0),$I20&gt;=AG$5),1,"")</f>
        <v/>
      </c>
      <c r="AH20" s="42" t="str">
        <f aca="false">IF(AND($H20&lt;=EOMONTH(AH$5,0),$I20&gt;=AH$5),1,"")</f>
        <v/>
      </c>
    </row>
    <row r="21" customFormat="false" ht="15" hidden="false" customHeight="false" outlineLevel="0" collapsed="false">
      <c r="A21" s="12" t="s">
        <v>642</v>
      </c>
      <c r="B21" s="12" t="s">
        <v>6025</v>
      </c>
      <c r="C21" s="12" t="n">
        <f aca="false">COUNTIF(Packages!$A$6:$A$206,"UG-06")</f>
        <v>5</v>
      </c>
      <c r="D21" s="20" t="n">
        <f aca="false">SUMIF(Packages!$A$6:$A$206,"UG-06",Packages!$O$6:$O$206)</f>
        <v>299.907202074571</v>
      </c>
      <c r="E21" s="20" t="n">
        <f aca="false">SUMIF(Packages!$A$6:$A$206,"UG-06",Packages!$U$6:$U$206)</f>
        <v>299.907202074571</v>
      </c>
      <c r="F21" s="20" t="n">
        <f aca="false">SUMIF(Packages!$A$6:$A$206,"UG-06",Packages!$AC$6:$AC$206)</f>
        <v>216</v>
      </c>
      <c r="G21" s="20" t="n">
        <f aca="false">SUMIF(Packages!$A$6:$A$206,"UG-06",Packages!$X$6:$X$206)+SUMIF(Packages!$A$6:$A$206,"UG-06",Packages!$Y$6:$Y$206)</f>
        <v>4331.48435775979</v>
      </c>
      <c r="H21" s="16" t="n">
        <f aca="false">_xlfn.MINIFS(Packages!$AL$6:$AL$206,Packages!$A$6:$A$206,"UG-06")</f>
        <v>46357</v>
      </c>
      <c r="I21" s="16" t="n">
        <f aca="false">_xlfn.MAXIFS(Packages!$AM$6:$AM$206,Packages!$A$6:$A$206,"UG-06")</f>
        <v>46541</v>
      </c>
      <c r="J21" s="21" t="n">
        <f aca="false">(I21-H21)/30.4</f>
        <v>6.05263157894737</v>
      </c>
      <c r="K21" s="42" t="n">
        <f aca="false">IF(AND($H21&lt;=EOMONTH(K$5,0),$I21&gt;=K$5),1,"")</f>
        <v>1</v>
      </c>
      <c r="L21" s="42" t="n">
        <f aca="false">IF(AND($H21&lt;=EOMONTH(L$5,0),$I21&gt;=L$5),1,"")</f>
        <v>1</v>
      </c>
      <c r="M21" s="42" t="n">
        <f aca="false">IF(AND($H21&lt;=EOMONTH(M$5,0),$I21&gt;=M$5),1,"")</f>
        <v>1</v>
      </c>
      <c r="N21" s="42" t="n">
        <f aca="false">IF(AND($H21&lt;=EOMONTH(N$5,0),$I21&gt;=N$5),1,"")</f>
        <v>1</v>
      </c>
      <c r="O21" s="42" t="n">
        <f aca="false">IF(AND($H21&lt;=EOMONTH(O$5,0),$I21&gt;=O$5),1,"")</f>
        <v>1</v>
      </c>
      <c r="P21" s="42" t="n">
        <f aca="false">IF(AND($H21&lt;=EOMONTH(P$5,0),$I21&gt;=P$5),1,"")</f>
        <v>1</v>
      </c>
      <c r="Q21" s="42" t="n">
        <f aca="false">IF(AND($H21&lt;=EOMONTH(Q$5,0),$I21&gt;=Q$5),1,"")</f>
        <v>1</v>
      </c>
      <c r="R21" s="42" t="str">
        <f aca="false">IF(AND($H21&lt;=EOMONTH(R$5,0),$I21&gt;=R$5),1,"")</f>
        <v/>
      </c>
      <c r="S21" s="42" t="str">
        <f aca="false">IF(AND($H21&lt;=EOMONTH(S$5,0),$I21&gt;=S$5),1,"")</f>
        <v/>
      </c>
      <c r="T21" s="42" t="str">
        <f aca="false">IF(AND($H21&lt;=EOMONTH(T$5,0),$I21&gt;=T$5),1,"")</f>
        <v/>
      </c>
      <c r="U21" s="42" t="str">
        <f aca="false">IF(AND($H21&lt;=EOMONTH(U$5,0),$I21&gt;=U$5),1,"")</f>
        <v/>
      </c>
      <c r="V21" s="42" t="str">
        <f aca="false">IF(AND($H21&lt;=EOMONTH(V$5,0),$I21&gt;=V$5),1,"")</f>
        <v/>
      </c>
      <c r="W21" s="42" t="str">
        <f aca="false">IF(AND($H21&lt;=EOMONTH(W$5,0),$I21&gt;=W$5),1,"")</f>
        <v/>
      </c>
      <c r="X21" s="42" t="str">
        <f aca="false">IF(AND($H21&lt;=EOMONTH(X$5,0),$I21&gt;=X$5),1,"")</f>
        <v/>
      </c>
      <c r="Y21" s="42" t="str">
        <f aca="false">IF(AND($H21&lt;=EOMONTH(Y$5,0),$I21&gt;=Y$5),1,"")</f>
        <v/>
      </c>
      <c r="Z21" s="42" t="str">
        <f aca="false">IF(AND($H21&lt;=EOMONTH(Z$5,0),$I21&gt;=Z$5),1,"")</f>
        <v/>
      </c>
      <c r="AA21" s="42" t="str">
        <f aca="false">IF(AND($H21&lt;=EOMONTH(AA$5,0),$I21&gt;=AA$5),1,"")</f>
        <v/>
      </c>
      <c r="AB21" s="42" t="str">
        <f aca="false">IF(AND($H21&lt;=EOMONTH(AB$5,0),$I21&gt;=AB$5),1,"")</f>
        <v/>
      </c>
      <c r="AC21" s="42" t="str">
        <f aca="false">IF(AND($H21&lt;=EOMONTH(AC$5,0),$I21&gt;=AC$5),1,"")</f>
        <v/>
      </c>
      <c r="AD21" s="42" t="str">
        <f aca="false">IF(AND($H21&lt;=EOMONTH(AD$5,0),$I21&gt;=AD$5),1,"")</f>
        <v/>
      </c>
      <c r="AE21" s="42" t="str">
        <f aca="false">IF(AND($H21&lt;=EOMONTH(AE$5,0),$I21&gt;=AE$5),1,"")</f>
        <v/>
      </c>
      <c r="AF21" s="42" t="str">
        <f aca="false">IF(AND($H21&lt;=EOMONTH(AF$5,0),$I21&gt;=AF$5),1,"")</f>
        <v/>
      </c>
      <c r="AG21" s="42" t="str">
        <f aca="false">IF(AND($H21&lt;=EOMONTH(AG$5,0),$I21&gt;=AG$5),1,"")</f>
        <v/>
      </c>
      <c r="AH21" s="42" t="str">
        <f aca="false">IF(AND($H21&lt;=EOMONTH(AH$5,0),$I21&gt;=AH$5),1,"")</f>
        <v/>
      </c>
    </row>
    <row r="22" customFormat="false" ht="15" hidden="false" customHeight="false" outlineLevel="0" collapsed="false">
      <c r="A22" s="12" t="s">
        <v>695</v>
      </c>
      <c r="B22" s="12" t="s">
        <v>6026</v>
      </c>
      <c r="C22" s="12" t="n">
        <f aca="false">COUNTIF(Packages!$A$6:$A$206,"UG-07")</f>
        <v>4</v>
      </c>
      <c r="D22" s="20" t="n">
        <f aca="false">SUMIF(Packages!$A$6:$A$206,"UG-07",Packages!$O$6:$O$206)</f>
        <v>86.7273246121994</v>
      </c>
      <c r="E22" s="20" t="n">
        <f aca="false">SUMIF(Packages!$A$6:$A$206,"UG-07",Packages!$U$6:$U$206)</f>
        <v>64.4659699997981</v>
      </c>
      <c r="F22" s="20" t="n">
        <f aca="false">SUMIF(Packages!$A$6:$A$206,"UG-07",Packages!$AC$6:$AC$206)</f>
        <v>70</v>
      </c>
      <c r="G22" s="20" t="n">
        <f aca="false">SUMIF(Packages!$A$6:$A$206,"UG-07",Packages!$X$6:$X$206)+SUMIF(Packages!$A$6:$A$206,"UG-07",Packages!$Y$6:$Y$206)</f>
        <v>1570.76045349129</v>
      </c>
      <c r="H22" s="16" t="n">
        <f aca="false">_xlfn.MINIFS(Packages!$AL$6:$AL$206,Packages!$A$6:$A$206,"UG-07")</f>
        <v>46367</v>
      </c>
      <c r="I22" s="16" t="n">
        <f aca="false">_xlfn.MAXIFS(Packages!$AM$6:$AM$206,Packages!$A$6:$A$206,"UG-07")</f>
        <v>46500</v>
      </c>
      <c r="J22" s="21" t="n">
        <f aca="false">(I22-H22)/30.4</f>
        <v>4.375</v>
      </c>
      <c r="K22" s="42" t="n">
        <f aca="false">IF(AND($H22&lt;=EOMONTH(K$5,0),$I22&gt;=K$5),1,"")</f>
        <v>1</v>
      </c>
      <c r="L22" s="42" t="n">
        <f aca="false">IF(AND($H22&lt;=EOMONTH(L$5,0),$I22&gt;=L$5),1,"")</f>
        <v>1</v>
      </c>
      <c r="M22" s="42" t="n">
        <f aca="false">IF(AND($H22&lt;=EOMONTH(M$5,0),$I22&gt;=M$5),1,"")</f>
        <v>1</v>
      </c>
      <c r="N22" s="42" t="n">
        <f aca="false">IF(AND($H22&lt;=EOMONTH(N$5,0),$I22&gt;=N$5),1,"")</f>
        <v>1</v>
      </c>
      <c r="O22" s="42" t="n">
        <f aca="false">IF(AND($H22&lt;=EOMONTH(O$5,0),$I22&gt;=O$5),1,"")</f>
        <v>1</v>
      </c>
      <c r="P22" s="42" t="str">
        <f aca="false">IF(AND($H22&lt;=EOMONTH(P$5,0),$I22&gt;=P$5),1,"")</f>
        <v/>
      </c>
      <c r="Q22" s="42" t="str">
        <f aca="false">IF(AND($H22&lt;=EOMONTH(Q$5,0),$I22&gt;=Q$5),1,"")</f>
        <v/>
      </c>
      <c r="R22" s="42" t="str">
        <f aca="false">IF(AND($H22&lt;=EOMONTH(R$5,0),$I22&gt;=R$5),1,"")</f>
        <v/>
      </c>
      <c r="S22" s="42" t="str">
        <f aca="false">IF(AND($H22&lt;=EOMONTH(S$5,0),$I22&gt;=S$5),1,"")</f>
        <v/>
      </c>
      <c r="T22" s="42" t="str">
        <f aca="false">IF(AND($H22&lt;=EOMONTH(T$5,0),$I22&gt;=T$5),1,"")</f>
        <v/>
      </c>
      <c r="U22" s="42" t="str">
        <f aca="false">IF(AND($H22&lt;=EOMONTH(U$5,0),$I22&gt;=U$5),1,"")</f>
        <v/>
      </c>
      <c r="V22" s="42" t="str">
        <f aca="false">IF(AND($H22&lt;=EOMONTH(V$5,0),$I22&gt;=V$5),1,"")</f>
        <v/>
      </c>
      <c r="W22" s="42" t="str">
        <f aca="false">IF(AND($H22&lt;=EOMONTH(W$5,0),$I22&gt;=W$5),1,"")</f>
        <v/>
      </c>
      <c r="X22" s="42" t="str">
        <f aca="false">IF(AND($H22&lt;=EOMONTH(X$5,0),$I22&gt;=X$5),1,"")</f>
        <v/>
      </c>
      <c r="Y22" s="42" t="str">
        <f aca="false">IF(AND($H22&lt;=EOMONTH(Y$5,0),$I22&gt;=Y$5),1,"")</f>
        <v/>
      </c>
      <c r="Z22" s="42" t="str">
        <f aca="false">IF(AND($H22&lt;=EOMONTH(Z$5,0),$I22&gt;=Z$5),1,"")</f>
        <v/>
      </c>
      <c r="AA22" s="42" t="str">
        <f aca="false">IF(AND($H22&lt;=EOMONTH(AA$5,0),$I22&gt;=AA$5),1,"")</f>
        <v/>
      </c>
      <c r="AB22" s="42" t="str">
        <f aca="false">IF(AND($H22&lt;=EOMONTH(AB$5,0),$I22&gt;=AB$5),1,"")</f>
        <v/>
      </c>
      <c r="AC22" s="42" t="str">
        <f aca="false">IF(AND($H22&lt;=EOMONTH(AC$5,0),$I22&gt;=AC$5),1,"")</f>
        <v/>
      </c>
      <c r="AD22" s="42" t="str">
        <f aca="false">IF(AND($H22&lt;=EOMONTH(AD$5,0),$I22&gt;=AD$5),1,"")</f>
        <v/>
      </c>
      <c r="AE22" s="42" t="str">
        <f aca="false">IF(AND($H22&lt;=EOMONTH(AE$5,0),$I22&gt;=AE$5),1,"")</f>
        <v/>
      </c>
      <c r="AF22" s="42" t="str">
        <f aca="false">IF(AND($H22&lt;=EOMONTH(AF$5,0),$I22&gt;=AF$5),1,"")</f>
        <v/>
      </c>
      <c r="AG22" s="42" t="str">
        <f aca="false">IF(AND($H22&lt;=EOMONTH(AG$5,0),$I22&gt;=AG$5),1,"")</f>
        <v/>
      </c>
      <c r="AH22" s="42" t="str">
        <f aca="false">IF(AND($H22&lt;=EOMONTH(AH$5,0),$I22&gt;=AH$5),1,"")</f>
        <v/>
      </c>
    </row>
    <row r="23" customFormat="false" ht="15" hidden="false" customHeight="false" outlineLevel="0" collapsed="false">
      <c r="A23" s="12" t="s">
        <v>719</v>
      </c>
      <c r="B23" s="12" t="s">
        <v>6027</v>
      </c>
      <c r="C23" s="12" t="n">
        <f aca="false">COUNTIF(Packages!$A$6:$A$206,"UG-07A")</f>
        <v>12</v>
      </c>
      <c r="D23" s="20" t="n">
        <f aca="false">SUMIF(Packages!$A$6:$A$206,"UG-07A",Packages!$O$6:$O$206)</f>
        <v>370.92538229681</v>
      </c>
      <c r="E23" s="20" t="n">
        <f aca="false">SUMIF(Packages!$A$6:$A$206,"UG-07A",Packages!$U$6:$U$206)</f>
        <v>167.187565481433</v>
      </c>
      <c r="F23" s="20" t="n">
        <f aca="false">SUMIF(Packages!$A$6:$A$206,"UG-07A",Packages!$AC$6:$AC$206)</f>
        <v>284</v>
      </c>
      <c r="G23" s="20" t="n">
        <f aca="false">SUMIF(Packages!$A$6:$A$206,"UG-07A",Packages!$X$6:$X$206)+SUMIF(Packages!$A$6:$A$206,"UG-07A",Packages!$Y$6:$Y$206)</f>
        <v>4311.46344944979</v>
      </c>
      <c r="H23" s="16" t="n">
        <f aca="false">_xlfn.MINIFS(Packages!$AL$6:$AL$206,Packages!$A$6:$A$206,"UG-07A")</f>
        <v>46385</v>
      </c>
      <c r="I23" s="16" t="n">
        <f aca="false">_xlfn.MAXIFS(Packages!$AM$6:$AM$206,Packages!$A$6:$A$206,"UG-07A")</f>
        <v>46621</v>
      </c>
      <c r="J23" s="21" t="n">
        <f aca="false">(I23-H23)/30.4</f>
        <v>7.76315789473684</v>
      </c>
      <c r="K23" s="42" t="n">
        <f aca="false">IF(AND($H23&lt;=EOMONTH(K$5,0),$I23&gt;=K$5),1,"")</f>
        <v>1</v>
      </c>
      <c r="L23" s="42" t="n">
        <f aca="false">IF(AND($H23&lt;=EOMONTH(L$5,0),$I23&gt;=L$5),1,"")</f>
        <v>1</v>
      </c>
      <c r="M23" s="42" t="n">
        <f aca="false">IF(AND($H23&lt;=EOMONTH(M$5,0),$I23&gt;=M$5),1,"")</f>
        <v>1</v>
      </c>
      <c r="N23" s="42" t="n">
        <f aca="false">IF(AND($H23&lt;=EOMONTH(N$5,0),$I23&gt;=N$5),1,"")</f>
        <v>1</v>
      </c>
      <c r="O23" s="42" t="n">
        <f aca="false">IF(AND($H23&lt;=EOMONTH(O$5,0),$I23&gt;=O$5),1,"")</f>
        <v>1</v>
      </c>
      <c r="P23" s="42" t="n">
        <f aca="false">IF(AND($H23&lt;=EOMONTH(P$5,0),$I23&gt;=P$5),1,"")</f>
        <v>1</v>
      </c>
      <c r="Q23" s="42" t="n">
        <f aca="false">IF(AND($H23&lt;=EOMONTH(Q$5,0),$I23&gt;=Q$5),1,"")</f>
        <v>1</v>
      </c>
      <c r="R23" s="42" t="n">
        <f aca="false">IF(AND($H23&lt;=EOMONTH(R$5,0),$I23&gt;=R$5),1,"")</f>
        <v>1</v>
      </c>
      <c r="S23" s="42" t="n">
        <f aca="false">IF(AND($H23&lt;=EOMONTH(S$5,0),$I23&gt;=S$5),1,"")</f>
        <v>1</v>
      </c>
      <c r="T23" s="42" t="str">
        <f aca="false">IF(AND($H23&lt;=EOMONTH(T$5,0),$I23&gt;=T$5),1,"")</f>
        <v/>
      </c>
      <c r="U23" s="42" t="str">
        <f aca="false">IF(AND($H23&lt;=EOMONTH(U$5,0),$I23&gt;=U$5),1,"")</f>
        <v/>
      </c>
      <c r="V23" s="42" t="str">
        <f aca="false">IF(AND($H23&lt;=EOMONTH(V$5,0),$I23&gt;=V$5),1,"")</f>
        <v/>
      </c>
      <c r="W23" s="42" t="str">
        <f aca="false">IF(AND($H23&lt;=EOMONTH(W$5,0),$I23&gt;=W$5),1,"")</f>
        <v/>
      </c>
      <c r="X23" s="42" t="str">
        <f aca="false">IF(AND($H23&lt;=EOMONTH(X$5,0),$I23&gt;=X$5),1,"")</f>
        <v/>
      </c>
      <c r="Y23" s="42" t="str">
        <f aca="false">IF(AND($H23&lt;=EOMONTH(Y$5,0),$I23&gt;=Y$5),1,"")</f>
        <v/>
      </c>
      <c r="Z23" s="42" t="str">
        <f aca="false">IF(AND($H23&lt;=EOMONTH(Z$5,0),$I23&gt;=Z$5),1,"")</f>
        <v/>
      </c>
      <c r="AA23" s="42" t="str">
        <f aca="false">IF(AND($H23&lt;=EOMONTH(AA$5,0),$I23&gt;=AA$5),1,"")</f>
        <v/>
      </c>
      <c r="AB23" s="42" t="str">
        <f aca="false">IF(AND($H23&lt;=EOMONTH(AB$5,0),$I23&gt;=AB$5),1,"")</f>
        <v/>
      </c>
      <c r="AC23" s="42" t="str">
        <f aca="false">IF(AND($H23&lt;=EOMONTH(AC$5,0),$I23&gt;=AC$5),1,"")</f>
        <v/>
      </c>
      <c r="AD23" s="42" t="str">
        <f aca="false">IF(AND($H23&lt;=EOMONTH(AD$5,0),$I23&gt;=AD$5),1,"")</f>
        <v/>
      </c>
      <c r="AE23" s="42" t="str">
        <f aca="false">IF(AND($H23&lt;=EOMONTH(AE$5,0),$I23&gt;=AE$5),1,"")</f>
        <v/>
      </c>
      <c r="AF23" s="42" t="str">
        <f aca="false">IF(AND($H23&lt;=EOMONTH(AF$5,0),$I23&gt;=AF$5),1,"")</f>
        <v/>
      </c>
      <c r="AG23" s="42" t="str">
        <f aca="false">IF(AND($H23&lt;=EOMONTH(AG$5,0),$I23&gt;=AG$5),1,"")</f>
        <v/>
      </c>
      <c r="AH23" s="42" t="str">
        <f aca="false">IF(AND($H23&lt;=EOMONTH(AH$5,0),$I23&gt;=AH$5),1,"")</f>
        <v/>
      </c>
    </row>
    <row r="24" customFormat="false" ht="15" hidden="false" customHeight="false" outlineLevel="0" collapsed="false">
      <c r="A24" s="12" t="s">
        <v>819</v>
      </c>
      <c r="B24" s="12" t="s">
        <v>6028</v>
      </c>
      <c r="C24" s="12" t="n">
        <f aca="false">COUNTIF(Packages!$A$6:$A$206,"UG-12")</f>
        <v>8</v>
      </c>
      <c r="D24" s="20" t="n">
        <f aca="false">SUMIF(Packages!$A$6:$A$206,"UG-12",Packages!$O$6:$O$206)</f>
        <v>232.70839105645</v>
      </c>
      <c r="E24" s="20" t="n">
        <f aca="false">SUMIF(Packages!$A$6:$A$206,"UG-12",Packages!$U$6:$U$206)</f>
        <v>172.708391055929</v>
      </c>
      <c r="F24" s="20" t="n">
        <f aca="false">SUMIF(Packages!$A$6:$A$206,"UG-12",Packages!$AC$6:$AC$206)</f>
        <v>184</v>
      </c>
      <c r="G24" s="20" t="n">
        <f aca="false">SUMIF(Packages!$A$6:$A$206,"UG-12",Packages!$X$6:$X$206)+SUMIF(Packages!$A$6:$A$206,"UG-12",Packages!$Y$6:$Y$206)</f>
        <v>4957.37871226085</v>
      </c>
      <c r="H24" s="16" t="n">
        <f aca="false">_xlfn.MINIFS(Packages!$AL$6:$AL$206,Packages!$A$6:$A$206,"UG-12")</f>
        <v>46357</v>
      </c>
      <c r="I24" s="16" t="n">
        <f aca="false">_xlfn.MAXIFS(Packages!$AM$6:$AM$206,Packages!$A$6:$A$206,"UG-12")</f>
        <v>46596</v>
      </c>
      <c r="J24" s="21" t="n">
        <f aca="false">(I24-H24)/30.4</f>
        <v>7.86184210526316</v>
      </c>
      <c r="K24" s="42" t="n">
        <f aca="false">IF(AND($H24&lt;=EOMONTH(K$5,0),$I24&gt;=K$5),1,"")</f>
        <v>1</v>
      </c>
      <c r="L24" s="42" t="n">
        <f aca="false">IF(AND($H24&lt;=EOMONTH(L$5,0),$I24&gt;=L$5),1,"")</f>
        <v>1</v>
      </c>
      <c r="M24" s="42" t="n">
        <f aca="false">IF(AND($H24&lt;=EOMONTH(M$5,0),$I24&gt;=M$5),1,"")</f>
        <v>1</v>
      </c>
      <c r="N24" s="42" t="n">
        <f aca="false">IF(AND($H24&lt;=EOMONTH(N$5,0),$I24&gt;=N$5),1,"")</f>
        <v>1</v>
      </c>
      <c r="O24" s="42" t="n">
        <f aca="false">IF(AND($H24&lt;=EOMONTH(O$5,0),$I24&gt;=O$5),1,"")</f>
        <v>1</v>
      </c>
      <c r="P24" s="42" t="n">
        <f aca="false">IF(AND($H24&lt;=EOMONTH(P$5,0),$I24&gt;=P$5),1,"")</f>
        <v>1</v>
      </c>
      <c r="Q24" s="42" t="n">
        <f aca="false">IF(AND($H24&lt;=EOMONTH(Q$5,0),$I24&gt;=Q$5),1,"")</f>
        <v>1</v>
      </c>
      <c r="R24" s="42" t="n">
        <f aca="false">IF(AND($H24&lt;=EOMONTH(R$5,0),$I24&gt;=R$5),1,"")</f>
        <v>1</v>
      </c>
      <c r="S24" s="42" t="str">
        <f aca="false">IF(AND($H24&lt;=EOMONTH(S$5,0),$I24&gt;=S$5),1,"")</f>
        <v/>
      </c>
      <c r="T24" s="42" t="str">
        <f aca="false">IF(AND($H24&lt;=EOMONTH(T$5,0),$I24&gt;=T$5),1,"")</f>
        <v/>
      </c>
      <c r="U24" s="42" t="str">
        <f aca="false">IF(AND($H24&lt;=EOMONTH(U$5,0),$I24&gt;=U$5),1,"")</f>
        <v/>
      </c>
      <c r="V24" s="42" t="str">
        <f aca="false">IF(AND($H24&lt;=EOMONTH(V$5,0),$I24&gt;=V$5),1,"")</f>
        <v/>
      </c>
      <c r="W24" s="42" t="str">
        <f aca="false">IF(AND($H24&lt;=EOMONTH(W$5,0),$I24&gt;=W$5),1,"")</f>
        <v/>
      </c>
      <c r="X24" s="42" t="str">
        <f aca="false">IF(AND($H24&lt;=EOMONTH(X$5,0),$I24&gt;=X$5),1,"")</f>
        <v/>
      </c>
      <c r="Y24" s="42" t="str">
        <f aca="false">IF(AND($H24&lt;=EOMONTH(Y$5,0),$I24&gt;=Y$5),1,"")</f>
        <v/>
      </c>
      <c r="Z24" s="42" t="str">
        <f aca="false">IF(AND($H24&lt;=EOMONTH(Z$5,0),$I24&gt;=Z$5),1,"")</f>
        <v/>
      </c>
      <c r="AA24" s="42" t="str">
        <f aca="false">IF(AND($H24&lt;=EOMONTH(AA$5,0),$I24&gt;=AA$5),1,"")</f>
        <v/>
      </c>
      <c r="AB24" s="42" t="str">
        <f aca="false">IF(AND($H24&lt;=EOMONTH(AB$5,0),$I24&gt;=AB$5),1,"")</f>
        <v/>
      </c>
      <c r="AC24" s="42" t="str">
        <f aca="false">IF(AND($H24&lt;=EOMONTH(AC$5,0),$I24&gt;=AC$5),1,"")</f>
        <v/>
      </c>
      <c r="AD24" s="42" t="str">
        <f aca="false">IF(AND($H24&lt;=EOMONTH(AD$5,0),$I24&gt;=AD$5),1,"")</f>
        <v/>
      </c>
      <c r="AE24" s="42" t="str">
        <f aca="false">IF(AND($H24&lt;=EOMONTH(AE$5,0),$I24&gt;=AE$5),1,"")</f>
        <v/>
      </c>
      <c r="AF24" s="42" t="str">
        <f aca="false">IF(AND($H24&lt;=EOMONTH(AF$5,0),$I24&gt;=AF$5),1,"")</f>
        <v/>
      </c>
      <c r="AG24" s="42" t="str">
        <f aca="false">IF(AND($H24&lt;=EOMONTH(AG$5,0),$I24&gt;=AG$5),1,"")</f>
        <v/>
      </c>
      <c r="AH24" s="42" t="str">
        <f aca="false">IF(AND($H24&lt;=EOMONTH(AH$5,0),$I24&gt;=AH$5),1,"")</f>
        <v/>
      </c>
    </row>
    <row r="25" customFormat="false" ht="15" hidden="false" customHeight="false" outlineLevel="0" collapsed="false">
      <c r="A25" s="12" t="s">
        <v>873</v>
      </c>
      <c r="B25" s="12" t="s">
        <v>6029</v>
      </c>
      <c r="C25" s="12" t="n">
        <f aca="false">COUNTIF(Packages!$A$6:$A$206,"UG-12A")</f>
        <v>12</v>
      </c>
      <c r="D25" s="20" t="n">
        <f aca="false">SUMIF(Packages!$A$6:$A$206,"UG-12A",Packages!$O$6:$O$206)</f>
        <v>346.371195082503</v>
      </c>
      <c r="E25" s="20" t="n">
        <f aca="false">SUMIF(Packages!$A$6:$A$206,"UG-12A",Packages!$U$6:$U$206)</f>
        <v>76.1076317860127</v>
      </c>
      <c r="F25" s="20" t="n">
        <f aca="false">SUMIF(Packages!$A$6:$A$206,"UG-12A",Packages!$AC$6:$AC$206)</f>
        <v>268</v>
      </c>
      <c r="G25" s="20" t="n">
        <f aca="false">SUMIF(Packages!$A$6:$A$206,"UG-12A",Packages!$X$6:$X$206)+SUMIF(Packages!$A$6:$A$206,"UG-12A",Packages!$Y$6:$Y$206)</f>
        <v>4517.24672303927</v>
      </c>
      <c r="H25" s="16" t="n">
        <f aca="false">_xlfn.MINIFS(Packages!$AL$6:$AL$206,Packages!$A$6:$A$206,"UG-12A")</f>
        <v>46397</v>
      </c>
      <c r="I25" s="16" t="n">
        <f aca="false">_xlfn.MAXIFS(Packages!$AM$6:$AM$206,Packages!$A$6:$A$206,"UG-12A")</f>
        <v>46648</v>
      </c>
      <c r="J25" s="21" t="n">
        <f aca="false">(I25-H25)/30.4</f>
        <v>8.25657894736842</v>
      </c>
      <c r="K25" s="42" t="str">
        <f aca="false">IF(AND($H25&lt;=EOMONTH(K$5,0),$I25&gt;=K$5),1,"")</f>
        <v/>
      </c>
      <c r="L25" s="42" t="n">
        <f aca="false">IF(AND($H25&lt;=EOMONTH(L$5,0),$I25&gt;=L$5),1,"")</f>
        <v>1</v>
      </c>
      <c r="M25" s="42" t="n">
        <f aca="false">IF(AND($H25&lt;=EOMONTH(M$5,0),$I25&gt;=M$5),1,"")</f>
        <v>1</v>
      </c>
      <c r="N25" s="42" t="n">
        <f aca="false">IF(AND($H25&lt;=EOMONTH(N$5,0),$I25&gt;=N$5),1,"")</f>
        <v>1</v>
      </c>
      <c r="O25" s="42" t="n">
        <f aca="false">IF(AND($H25&lt;=EOMONTH(O$5,0),$I25&gt;=O$5),1,"")</f>
        <v>1</v>
      </c>
      <c r="P25" s="42" t="n">
        <f aca="false">IF(AND($H25&lt;=EOMONTH(P$5,0),$I25&gt;=P$5),1,"")</f>
        <v>1</v>
      </c>
      <c r="Q25" s="42" t="n">
        <f aca="false">IF(AND($H25&lt;=EOMONTH(Q$5,0),$I25&gt;=Q$5),1,"")</f>
        <v>1</v>
      </c>
      <c r="R25" s="42" t="n">
        <f aca="false">IF(AND($H25&lt;=EOMONTH(R$5,0),$I25&gt;=R$5),1,"")</f>
        <v>1</v>
      </c>
      <c r="S25" s="42" t="n">
        <f aca="false">IF(AND($H25&lt;=EOMONTH(S$5,0),$I25&gt;=S$5),1,"")</f>
        <v>1</v>
      </c>
      <c r="T25" s="42" t="n">
        <f aca="false">IF(AND($H25&lt;=EOMONTH(T$5,0),$I25&gt;=T$5),1,"")</f>
        <v>1</v>
      </c>
      <c r="U25" s="42" t="str">
        <f aca="false">IF(AND($H25&lt;=EOMONTH(U$5,0),$I25&gt;=U$5),1,"")</f>
        <v/>
      </c>
      <c r="V25" s="42" t="str">
        <f aca="false">IF(AND($H25&lt;=EOMONTH(V$5,0),$I25&gt;=V$5),1,"")</f>
        <v/>
      </c>
      <c r="W25" s="42" t="str">
        <f aca="false">IF(AND($H25&lt;=EOMONTH(W$5,0),$I25&gt;=W$5),1,"")</f>
        <v/>
      </c>
      <c r="X25" s="42" t="str">
        <f aca="false">IF(AND($H25&lt;=EOMONTH(X$5,0),$I25&gt;=X$5),1,"")</f>
        <v/>
      </c>
      <c r="Y25" s="42" t="str">
        <f aca="false">IF(AND($H25&lt;=EOMONTH(Y$5,0),$I25&gt;=Y$5),1,"")</f>
        <v/>
      </c>
      <c r="Z25" s="42" t="str">
        <f aca="false">IF(AND($H25&lt;=EOMONTH(Z$5,0),$I25&gt;=Z$5),1,"")</f>
        <v/>
      </c>
      <c r="AA25" s="42" t="str">
        <f aca="false">IF(AND($H25&lt;=EOMONTH(AA$5,0),$I25&gt;=AA$5),1,"")</f>
        <v/>
      </c>
      <c r="AB25" s="42" t="str">
        <f aca="false">IF(AND($H25&lt;=EOMONTH(AB$5,0),$I25&gt;=AB$5),1,"")</f>
        <v/>
      </c>
      <c r="AC25" s="42" t="str">
        <f aca="false">IF(AND($H25&lt;=EOMONTH(AC$5,0),$I25&gt;=AC$5),1,"")</f>
        <v/>
      </c>
      <c r="AD25" s="42" t="str">
        <f aca="false">IF(AND($H25&lt;=EOMONTH(AD$5,0),$I25&gt;=AD$5),1,"")</f>
        <v/>
      </c>
      <c r="AE25" s="42" t="str">
        <f aca="false">IF(AND($H25&lt;=EOMONTH(AE$5,0),$I25&gt;=AE$5),1,"")</f>
        <v/>
      </c>
      <c r="AF25" s="42" t="str">
        <f aca="false">IF(AND($H25&lt;=EOMONTH(AF$5,0),$I25&gt;=AF$5),1,"")</f>
        <v/>
      </c>
      <c r="AG25" s="42" t="str">
        <f aca="false">IF(AND($H25&lt;=EOMONTH(AG$5,0),$I25&gt;=AG$5),1,"")</f>
        <v/>
      </c>
      <c r="AH25" s="42" t="str">
        <f aca="false">IF(AND($H25&lt;=EOMONTH(AH$5,0),$I25&gt;=AH$5),1,"")</f>
        <v/>
      </c>
    </row>
    <row r="26" customFormat="false" ht="15" hidden="false" customHeight="false" outlineLevel="0" collapsed="false">
      <c r="A26" s="12" t="s">
        <v>956</v>
      </c>
      <c r="B26" s="12" t="s">
        <v>6030</v>
      </c>
      <c r="C26" s="12" t="n">
        <f aca="false">COUNTIF(Packages!$A$6:$A$206,"UG-15")</f>
        <v>6</v>
      </c>
      <c r="D26" s="20" t="n">
        <f aca="false">SUMIF(Packages!$A$6:$A$206,"UG-15",Packages!$O$6:$O$206)</f>
        <v>167.997614663474</v>
      </c>
      <c r="E26" s="20" t="n">
        <f aca="false">SUMIF(Packages!$A$6:$A$206,"UG-15",Packages!$U$6:$U$206)</f>
        <v>167.997614663474</v>
      </c>
      <c r="F26" s="20" t="n">
        <f aca="false">SUMIF(Packages!$A$6:$A$206,"UG-15",Packages!$AC$6:$AC$206)</f>
        <v>132</v>
      </c>
      <c r="G26" s="20" t="n">
        <f aca="false">SUMIF(Packages!$A$6:$A$206,"UG-15",Packages!$X$6:$X$206)+SUMIF(Packages!$A$6:$A$206,"UG-15",Packages!$Y$6:$Y$206)</f>
        <v>3141.78086612545</v>
      </c>
      <c r="H26" s="16" t="n">
        <f aca="false">_xlfn.MINIFS(Packages!$AL$6:$AL$206,Packages!$A$6:$A$206,"UG-15")</f>
        <v>46357</v>
      </c>
      <c r="I26" s="16" t="n">
        <f aca="false">_xlfn.MAXIFS(Packages!$AM$6:$AM$206,Packages!$A$6:$A$206,"UG-15")</f>
        <v>46414</v>
      </c>
      <c r="J26" s="21" t="n">
        <f aca="false">(I26-H26)/30.4</f>
        <v>1.875</v>
      </c>
      <c r="K26" s="42" t="n">
        <f aca="false">IF(AND($H26&lt;=EOMONTH(K$5,0),$I26&gt;=K$5),1,"")</f>
        <v>1</v>
      </c>
      <c r="L26" s="42" t="n">
        <f aca="false">IF(AND($H26&lt;=EOMONTH(L$5,0),$I26&gt;=L$5),1,"")</f>
        <v>1</v>
      </c>
      <c r="M26" s="42" t="str">
        <f aca="false">IF(AND($H26&lt;=EOMONTH(M$5,0),$I26&gt;=M$5),1,"")</f>
        <v/>
      </c>
      <c r="N26" s="42" t="str">
        <f aca="false">IF(AND($H26&lt;=EOMONTH(N$5,0),$I26&gt;=N$5),1,"")</f>
        <v/>
      </c>
      <c r="O26" s="42" t="str">
        <f aca="false">IF(AND($H26&lt;=EOMONTH(O$5,0),$I26&gt;=O$5),1,"")</f>
        <v/>
      </c>
      <c r="P26" s="42" t="str">
        <f aca="false">IF(AND($H26&lt;=EOMONTH(P$5,0),$I26&gt;=P$5),1,"")</f>
        <v/>
      </c>
      <c r="Q26" s="42" t="str">
        <f aca="false">IF(AND($H26&lt;=EOMONTH(Q$5,0),$I26&gt;=Q$5),1,"")</f>
        <v/>
      </c>
      <c r="R26" s="42" t="str">
        <f aca="false">IF(AND($H26&lt;=EOMONTH(R$5,0),$I26&gt;=R$5),1,"")</f>
        <v/>
      </c>
      <c r="S26" s="42" t="str">
        <f aca="false">IF(AND($H26&lt;=EOMONTH(S$5,0),$I26&gt;=S$5),1,"")</f>
        <v/>
      </c>
      <c r="T26" s="42" t="str">
        <f aca="false">IF(AND($H26&lt;=EOMONTH(T$5,0),$I26&gt;=T$5),1,"")</f>
        <v/>
      </c>
      <c r="U26" s="42" t="str">
        <f aca="false">IF(AND($H26&lt;=EOMONTH(U$5,0),$I26&gt;=U$5),1,"")</f>
        <v/>
      </c>
      <c r="V26" s="42" t="str">
        <f aca="false">IF(AND($H26&lt;=EOMONTH(V$5,0),$I26&gt;=V$5),1,"")</f>
        <v/>
      </c>
      <c r="W26" s="42" t="str">
        <f aca="false">IF(AND($H26&lt;=EOMONTH(W$5,0),$I26&gt;=W$5),1,"")</f>
        <v/>
      </c>
      <c r="X26" s="42" t="str">
        <f aca="false">IF(AND($H26&lt;=EOMONTH(X$5,0),$I26&gt;=X$5),1,"")</f>
        <v/>
      </c>
      <c r="Y26" s="42" t="str">
        <f aca="false">IF(AND($H26&lt;=EOMONTH(Y$5,0),$I26&gt;=Y$5),1,"")</f>
        <v/>
      </c>
      <c r="Z26" s="42" t="str">
        <f aca="false">IF(AND($H26&lt;=EOMONTH(Z$5,0),$I26&gt;=Z$5),1,"")</f>
        <v/>
      </c>
      <c r="AA26" s="42" t="str">
        <f aca="false">IF(AND($H26&lt;=EOMONTH(AA$5,0),$I26&gt;=AA$5),1,"")</f>
        <v/>
      </c>
      <c r="AB26" s="42" t="str">
        <f aca="false">IF(AND($H26&lt;=EOMONTH(AB$5,0),$I26&gt;=AB$5),1,"")</f>
        <v/>
      </c>
      <c r="AC26" s="42" t="str">
        <f aca="false">IF(AND($H26&lt;=EOMONTH(AC$5,0),$I26&gt;=AC$5),1,"")</f>
        <v/>
      </c>
      <c r="AD26" s="42" t="str">
        <f aca="false">IF(AND($H26&lt;=EOMONTH(AD$5,0),$I26&gt;=AD$5),1,"")</f>
        <v/>
      </c>
      <c r="AE26" s="42" t="str">
        <f aca="false">IF(AND($H26&lt;=EOMONTH(AE$5,0),$I26&gt;=AE$5),1,"")</f>
        <v/>
      </c>
      <c r="AF26" s="42" t="str">
        <f aca="false">IF(AND($H26&lt;=EOMONTH(AF$5,0),$I26&gt;=AF$5),1,"")</f>
        <v/>
      </c>
      <c r="AG26" s="42" t="str">
        <f aca="false">IF(AND($H26&lt;=EOMONTH(AG$5,0),$I26&gt;=AG$5),1,"")</f>
        <v/>
      </c>
      <c r="AH26" s="42" t="str">
        <f aca="false">IF(AND($H26&lt;=EOMONTH(AH$5,0),$I26&gt;=AH$5),1,"")</f>
        <v/>
      </c>
    </row>
    <row r="27" customFormat="false" ht="15" hidden="false" customHeight="false" outlineLevel="0" collapsed="false">
      <c r="A27" s="12" t="s">
        <v>993</v>
      </c>
      <c r="B27" s="12" t="s">
        <v>6031</v>
      </c>
      <c r="C27" s="12" t="n">
        <f aca="false">COUNTIF(Packages!$A$6:$A$206,"UG-15A")</f>
        <v>10</v>
      </c>
      <c r="D27" s="20" t="n">
        <f aca="false">SUMIF(Packages!$A$6:$A$206,"UG-15A",Packages!$O$6:$O$206)</f>
        <v>258.733795155696</v>
      </c>
      <c r="E27" s="20" t="n">
        <f aca="false">SUMIF(Packages!$A$6:$A$206,"UG-15A",Packages!$U$6:$U$206)</f>
        <v>238.733795155668</v>
      </c>
      <c r="F27" s="20" t="n">
        <f aca="false">SUMIF(Packages!$A$6:$A$206,"UG-15A",Packages!$AC$6:$AC$206)</f>
        <v>204</v>
      </c>
      <c r="G27" s="20" t="n">
        <f aca="false">SUMIF(Packages!$A$6:$A$206,"UG-15A",Packages!$X$6:$X$206)+SUMIF(Packages!$A$6:$A$206,"UG-15A",Packages!$Y$6:$Y$206)</f>
        <v>3511.13319371357</v>
      </c>
      <c r="H27" s="16" t="n">
        <f aca="false">_xlfn.MINIFS(Packages!$AL$6:$AL$206,Packages!$A$6:$A$206,"UG-15A")</f>
        <v>46358</v>
      </c>
      <c r="I27" s="16" t="n">
        <f aca="false">_xlfn.MAXIFS(Packages!$AM$6:$AM$206,Packages!$A$6:$A$206,"UG-15A")</f>
        <v>46574</v>
      </c>
      <c r="J27" s="21" t="n">
        <f aca="false">(I27-H27)/30.4</f>
        <v>7.10526315789474</v>
      </c>
      <c r="K27" s="42" t="n">
        <f aca="false">IF(AND($H27&lt;=EOMONTH(K$5,0),$I27&gt;=K$5),1,"")</f>
        <v>1</v>
      </c>
      <c r="L27" s="42" t="n">
        <f aca="false">IF(AND($H27&lt;=EOMONTH(L$5,0),$I27&gt;=L$5),1,"")</f>
        <v>1</v>
      </c>
      <c r="M27" s="42" t="n">
        <f aca="false">IF(AND($H27&lt;=EOMONTH(M$5,0),$I27&gt;=M$5),1,"")</f>
        <v>1</v>
      </c>
      <c r="N27" s="42" t="n">
        <f aca="false">IF(AND($H27&lt;=EOMONTH(N$5,0),$I27&gt;=N$5),1,"")</f>
        <v>1</v>
      </c>
      <c r="O27" s="42" t="n">
        <f aca="false">IF(AND($H27&lt;=EOMONTH(O$5,0),$I27&gt;=O$5),1,"")</f>
        <v>1</v>
      </c>
      <c r="P27" s="42" t="n">
        <f aca="false">IF(AND($H27&lt;=EOMONTH(P$5,0),$I27&gt;=P$5),1,"")</f>
        <v>1</v>
      </c>
      <c r="Q27" s="42" t="n">
        <f aca="false">IF(AND($H27&lt;=EOMONTH(Q$5,0),$I27&gt;=Q$5),1,"")</f>
        <v>1</v>
      </c>
      <c r="R27" s="42" t="n">
        <f aca="false">IF(AND($H27&lt;=EOMONTH(R$5,0),$I27&gt;=R$5),1,"")</f>
        <v>1</v>
      </c>
      <c r="S27" s="42" t="str">
        <f aca="false">IF(AND($H27&lt;=EOMONTH(S$5,0),$I27&gt;=S$5),1,"")</f>
        <v/>
      </c>
      <c r="T27" s="42" t="str">
        <f aca="false">IF(AND($H27&lt;=EOMONTH(T$5,0),$I27&gt;=T$5),1,"")</f>
        <v/>
      </c>
      <c r="U27" s="42" t="str">
        <f aca="false">IF(AND($H27&lt;=EOMONTH(U$5,0),$I27&gt;=U$5),1,"")</f>
        <v/>
      </c>
      <c r="V27" s="42" t="str">
        <f aca="false">IF(AND($H27&lt;=EOMONTH(V$5,0),$I27&gt;=V$5),1,"")</f>
        <v/>
      </c>
      <c r="W27" s="42" t="str">
        <f aca="false">IF(AND($H27&lt;=EOMONTH(W$5,0),$I27&gt;=W$5),1,"")</f>
        <v/>
      </c>
      <c r="X27" s="42" t="str">
        <f aca="false">IF(AND($H27&lt;=EOMONTH(X$5,0),$I27&gt;=X$5),1,"")</f>
        <v/>
      </c>
      <c r="Y27" s="42" t="str">
        <f aca="false">IF(AND($H27&lt;=EOMONTH(Y$5,0),$I27&gt;=Y$5),1,"")</f>
        <v/>
      </c>
      <c r="Z27" s="42" t="str">
        <f aca="false">IF(AND($H27&lt;=EOMONTH(Z$5,0),$I27&gt;=Z$5),1,"")</f>
        <v/>
      </c>
      <c r="AA27" s="42" t="str">
        <f aca="false">IF(AND($H27&lt;=EOMONTH(AA$5,0),$I27&gt;=AA$5),1,"")</f>
        <v/>
      </c>
      <c r="AB27" s="42" t="str">
        <f aca="false">IF(AND($H27&lt;=EOMONTH(AB$5,0),$I27&gt;=AB$5),1,"")</f>
        <v/>
      </c>
      <c r="AC27" s="42" t="str">
        <f aca="false">IF(AND($H27&lt;=EOMONTH(AC$5,0),$I27&gt;=AC$5),1,"")</f>
        <v/>
      </c>
      <c r="AD27" s="42" t="str">
        <f aca="false">IF(AND($H27&lt;=EOMONTH(AD$5,0),$I27&gt;=AD$5),1,"")</f>
        <v/>
      </c>
      <c r="AE27" s="42" t="str">
        <f aca="false">IF(AND($H27&lt;=EOMONTH(AE$5,0),$I27&gt;=AE$5),1,"")</f>
        <v/>
      </c>
      <c r="AF27" s="42" t="str">
        <f aca="false">IF(AND($H27&lt;=EOMONTH(AF$5,0),$I27&gt;=AF$5),1,"")</f>
        <v/>
      </c>
      <c r="AG27" s="42" t="str">
        <f aca="false">IF(AND($H27&lt;=EOMONTH(AG$5,0),$I27&gt;=AG$5),1,"")</f>
        <v/>
      </c>
      <c r="AH27" s="42" t="str">
        <f aca="false">IF(AND($H27&lt;=EOMONTH(AH$5,0),$I27&gt;=AH$5),1,"")</f>
        <v/>
      </c>
    </row>
    <row r="28" customFormat="false" ht="15" hidden="false" customHeight="false" outlineLevel="0" collapsed="false">
      <c r="A28" s="12" t="s">
        <v>1075</v>
      </c>
      <c r="B28" s="12" t="s">
        <v>6032</v>
      </c>
      <c r="C28" s="12" t="n">
        <f aca="false">COUNTIF(Packages!$A$6:$A$206,"UG-08")</f>
        <v>7</v>
      </c>
      <c r="D28" s="20" t="n">
        <f aca="false">SUMIF(Packages!$A$6:$A$206,"UG-08",Packages!$O$6:$O$206)</f>
        <v>283.113941332657</v>
      </c>
      <c r="E28" s="20" t="n">
        <f aca="false">SUMIF(Packages!$A$6:$A$206,"UG-08",Packages!$U$6:$U$206)</f>
        <v>149.500881332376</v>
      </c>
      <c r="F28" s="20" t="n">
        <f aca="false">SUMIF(Packages!$A$6:$A$206,"UG-08",Packages!$AC$6:$AC$206)</f>
        <v>206</v>
      </c>
      <c r="G28" s="20" t="n">
        <f aca="false">SUMIF(Packages!$A$6:$A$206,"UG-08",Packages!$X$6:$X$206)+SUMIF(Packages!$A$6:$A$206,"UG-08",Packages!$Y$6:$Y$206)</f>
        <v>5640.38739129965</v>
      </c>
      <c r="H28" s="16" t="n">
        <f aca="false">_xlfn.MINIFS(Packages!$AL$6:$AL$206,Packages!$A$6:$A$206,"UG-08")</f>
        <v>46374</v>
      </c>
      <c r="I28" s="16" t="n">
        <f aca="false">_xlfn.MAXIFS(Packages!$AM$6:$AM$206,Packages!$A$6:$A$206,"UG-08")</f>
        <v>46590</v>
      </c>
      <c r="J28" s="21" t="n">
        <f aca="false">(I28-H28)/30.4</f>
        <v>7.10526315789474</v>
      </c>
      <c r="K28" s="42" t="n">
        <f aca="false">IF(AND($H28&lt;=EOMONTH(K$5,0),$I28&gt;=K$5),1,"")</f>
        <v>1</v>
      </c>
      <c r="L28" s="42" t="n">
        <f aca="false">IF(AND($H28&lt;=EOMONTH(L$5,0),$I28&gt;=L$5),1,"")</f>
        <v>1</v>
      </c>
      <c r="M28" s="42" t="n">
        <f aca="false">IF(AND($H28&lt;=EOMONTH(M$5,0),$I28&gt;=M$5),1,"")</f>
        <v>1</v>
      </c>
      <c r="N28" s="42" t="n">
        <f aca="false">IF(AND($H28&lt;=EOMONTH(N$5,0),$I28&gt;=N$5),1,"")</f>
        <v>1</v>
      </c>
      <c r="O28" s="42" t="n">
        <f aca="false">IF(AND($H28&lt;=EOMONTH(O$5,0),$I28&gt;=O$5),1,"")</f>
        <v>1</v>
      </c>
      <c r="P28" s="42" t="n">
        <f aca="false">IF(AND($H28&lt;=EOMONTH(P$5,0),$I28&gt;=P$5),1,"")</f>
        <v>1</v>
      </c>
      <c r="Q28" s="42" t="n">
        <f aca="false">IF(AND($H28&lt;=EOMONTH(Q$5,0),$I28&gt;=Q$5),1,"")</f>
        <v>1</v>
      </c>
      <c r="R28" s="42" t="n">
        <f aca="false">IF(AND($H28&lt;=EOMONTH(R$5,0),$I28&gt;=R$5),1,"")</f>
        <v>1</v>
      </c>
      <c r="S28" s="42" t="str">
        <f aca="false">IF(AND($H28&lt;=EOMONTH(S$5,0),$I28&gt;=S$5),1,"")</f>
        <v/>
      </c>
      <c r="T28" s="42" t="str">
        <f aca="false">IF(AND($H28&lt;=EOMONTH(T$5,0),$I28&gt;=T$5),1,"")</f>
        <v/>
      </c>
      <c r="U28" s="42" t="str">
        <f aca="false">IF(AND($H28&lt;=EOMONTH(U$5,0),$I28&gt;=U$5),1,"")</f>
        <v/>
      </c>
      <c r="V28" s="42" t="str">
        <f aca="false">IF(AND($H28&lt;=EOMONTH(V$5,0),$I28&gt;=V$5),1,"")</f>
        <v/>
      </c>
      <c r="W28" s="42" t="str">
        <f aca="false">IF(AND($H28&lt;=EOMONTH(W$5,0),$I28&gt;=W$5),1,"")</f>
        <v/>
      </c>
      <c r="X28" s="42" t="str">
        <f aca="false">IF(AND($H28&lt;=EOMONTH(X$5,0),$I28&gt;=X$5),1,"")</f>
        <v/>
      </c>
      <c r="Y28" s="42" t="str">
        <f aca="false">IF(AND($H28&lt;=EOMONTH(Y$5,0),$I28&gt;=Y$5),1,"")</f>
        <v/>
      </c>
      <c r="Z28" s="42" t="str">
        <f aca="false">IF(AND($H28&lt;=EOMONTH(Z$5,0),$I28&gt;=Z$5),1,"")</f>
        <v/>
      </c>
      <c r="AA28" s="42" t="str">
        <f aca="false">IF(AND($H28&lt;=EOMONTH(AA$5,0),$I28&gt;=AA$5),1,"")</f>
        <v/>
      </c>
      <c r="AB28" s="42" t="str">
        <f aca="false">IF(AND($H28&lt;=EOMONTH(AB$5,0),$I28&gt;=AB$5),1,"")</f>
        <v/>
      </c>
      <c r="AC28" s="42" t="str">
        <f aca="false">IF(AND($H28&lt;=EOMONTH(AC$5,0),$I28&gt;=AC$5),1,"")</f>
        <v/>
      </c>
      <c r="AD28" s="42" t="str">
        <f aca="false">IF(AND($H28&lt;=EOMONTH(AD$5,0),$I28&gt;=AD$5),1,"")</f>
        <v/>
      </c>
      <c r="AE28" s="42" t="str">
        <f aca="false">IF(AND($H28&lt;=EOMONTH(AE$5,0),$I28&gt;=AE$5),1,"")</f>
        <v/>
      </c>
      <c r="AF28" s="42" t="str">
        <f aca="false">IF(AND($H28&lt;=EOMONTH(AF$5,0),$I28&gt;=AF$5),1,"")</f>
        <v/>
      </c>
      <c r="AG28" s="42" t="str">
        <f aca="false">IF(AND($H28&lt;=EOMONTH(AG$5,0),$I28&gt;=AG$5),1,"")</f>
        <v/>
      </c>
      <c r="AH28" s="42" t="str">
        <f aca="false">IF(AND($H28&lt;=EOMONTH(AH$5,0),$I28&gt;=AH$5),1,"")</f>
        <v/>
      </c>
    </row>
    <row r="29" customFormat="false" ht="15" hidden="false" customHeight="false" outlineLevel="0" collapsed="false">
      <c r="A29" s="12" t="s">
        <v>1136</v>
      </c>
      <c r="B29" s="12" t="s">
        <v>6033</v>
      </c>
      <c r="C29" s="12" t="n">
        <f aca="false">COUNTIF(Packages!$A$6:$A$206,"UG-09")</f>
        <v>8</v>
      </c>
      <c r="D29" s="20" t="n">
        <f aca="false">SUMIF(Packages!$A$6:$A$206,"UG-09",Packages!$O$6:$O$206)</f>
        <v>287.798977282739</v>
      </c>
      <c r="E29" s="20" t="n">
        <f aca="false">SUMIF(Packages!$A$6:$A$206,"UG-09",Packages!$U$6:$U$206)</f>
        <v>137.798977282424</v>
      </c>
      <c r="F29" s="20" t="n">
        <f aca="false">SUMIF(Packages!$A$6:$A$206,"UG-09",Packages!$AC$6:$AC$206)</f>
        <v>214</v>
      </c>
      <c r="G29" s="20" t="n">
        <f aca="false">SUMIF(Packages!$A$6:$A$206,"UG-09",Packages!$X$6:$X$206)+SUMIF(Packages!$A$6:$A$206,"UG-09",Packages!$Y$6:$Y$206)</f>
        <v>5874.42550528041</v>
      </c>
      <c r="H29" s="16" t="n">
        <f aca="false">_xlfn.MINIFS(Packages!$AL$6:$AL$206,Packages!$A$6:$A$206,"UG-09")</f>
        <v>46392</v>
      </c>
      <c r="I29" s="16" t="n">
        <f aca="false">_xlfn.MAXIFS(Packages!$AM$6:$AM$206,Packages!$A$6:$A$206,"UG-09")</f>
        <v>46594</v>
      </c>
      <c r="J29" s="21" t="n">
        <f aca="false">(I29-H29)/30.4</f>
        <v>6.64473684210526</v>
      </c>
      <c r="K29" s="42" t="str">
        <f aca="false">IF(AND($H29&lt;=EOMONTH(K$5,0),$I29&gt;=K$5),1,"")</f>
        <v/>
      </c>
      <c r="L29" s="42" t="n">
        <f aca="false">IF(AND($H29&lt;=EOMONTH(L$5,0),$I29&gt;=L$5),1,"")</f>
        <v>1</v>
      </c>
      <c r="M29" s="42" t="n">
        <f aca="false">IF(AND($H29&lt;=EOMONTH(M$5,0),$I29&gt;=M$5),1,"")</f>
        <v>1</v>
      </c>
      <c r="N29" s="42" t="n">
        <f aca="false">IF(AND($H29&lt;=EOMONTH(N$5,0),$I29&gt;=N$5),1,"")</f>
        <v>1</v>
      </c>
      <c r="O29" s="42" t="n">
        <f aca="false">IF(AND($H29&lt;=EOMONTH(O$5,0),$I29&gt;=O$5),1,"")</f>
        <v>1</v>
      </c>
      <c r="P29" s="42" t="n">
        <f aca="false">IF(AND($H29&lt;=EOMONTH(P$5,0),$I29&gt;=P$5),1,"")</f>
        <v>1</v>
      </c>
      <c r="Q29" s="42" t="n">
        <f aca="false">IF(AND($H29&lt;=EOMONTH(Q$5,0),$I29&gt;=Q$5),1,"")</f>
        <v>1</v>
      </c>
      <c r="R29" s="42" t="n">
        <f aca="false">IF(AND($H29&lt;=EOMONTH(R$5,0),$I29&gt;=R$5),1,"")</f>
        <v>1</v>
      </c>
      <c r="S29" s="42" t="str">
        <f aca="false">IF(AND($H29&lt;=EOMONTH(S$5,0),$I29&gt;=S$5),1,"")</f>
        <v/>
      </c>
      <c r="T29" s="42" t="str">
        <f aca="false">IF(AND($H29&lt;=EOMONTH(T$5,0),$I29&gt;=T$5),1,"")</f>
        <v/>
      </c>
      <c r="U29" s="42" t="str">
        <f aca="false">IF(AND($H29&lt;=EOMONTH(U$5,0),$I29&gt;=U$5),1,"")</f>
        <v/>
      </c>
      <c r="V29" s="42" t="str">
        <f aca="false">IF(AND($H29&lt;=EOMONTH(V$5,0),$I29&gt;=V$5),1,"")</f>
        <v/>
      </c>
      <c r="W29" s="42" t="str">
        <f aca="false">IF(AND($H29&lt;=EOMONTH(W$5,0),$I29&gt;=W$5),1,"")</f>
        <v/>
      </c>
      <c r="X29" s="42" t="str">
        <f aca="false">IF(AND($H29&lt;=EOMONTH(X$5,0),$I29&gt;=X$5),1,"")</f>
        <v/>
      </c>
      <c r="Y29" s="42" t="str">
        <f aca="false">IF(AND($H29&lt;=EOMONTH(Y$5,0),$I29&gt;=Y$5),1,"")</f>
        <v/>
      </c>
      <c r="Z29" s="42" t="str">
        <f aca="false">IF(AND($H29&lt;=EOMONTH(Z$5,0),$I29&gt;=Z$5),1,"")</f>
        <v/>
      </c>
      <c r="AA29" s="42" t="str">
        <f aca="false">IF(AND($H29&lt;=EOMONTH(AA$5,0),$I29&gt;=AA$5),1,"")</f>
        <v/>
      </c>
      <c r="AB29" s="42" t="str">
        <f aca="false">IF(AND($H29&lt;=EOMONTH(AB$5,0),$I29&gt;=AB$5),1,"")</f>
        <v/>
      </c>
      <c r="AC29" s="42" t="str">
        <f aca="false">IF(AND($H29&lt;=EOMONTH(AC$5,0),$I29&gt;=AC$5),1,"")</f>
        <v/>
      </c>
      <c r="AD29" s="42" t="str">
        <f aca="false">IF(AND($H29&lt;=EOMONTH(AD$5,0),$I29&gt;=AD$5),1,"")</f>
        <v/>
      </c>
      <c r="AE29" s="42" t="str">
        <f aca="false">IF(AND($H29&lt;=EOMONTH(AE$5,0),$I29&gt;=AE$5),1,"")</f>
        <v/>
      </c>
      <c r="AF29" s="42" t="str">
        <f aca="false">IF(AND($H29&lt;=EOMONTH(AF$5,0),$I29&gt;=AF$5),1,"")</f>
        <v/>
      </c>
      <c r="AG29" s="42" t="str">
        <f aca="false">IF(AND($H29&lt;=EOMONTH(AG$5,0),$I29&gt;=AG$5),1,"")</f>
        <v/>
      </c>
      <c r="AH29" s="42" t="str">
        <f aca="false">IF(AND($H29&lt;=EOMONTH(AH$5,0),$I29&gt;=AH$5),1,"")</f>
        <v/>
      </c>
    </row>
    <row r="30" customFormat="false" ht="15" hidden="false" customHeight="false" outlineLevel="0" collapsed="false">
      <c r="A30" s="12" t="s">
        <v>1198</v>
      </c>
      <c r="B30" s="12" t="s">
        <v>6034</v>
      </c>
      <c r="C30" s="12" t="n">
        <f aca="false">COUNTIF(Packages!$A$6:$A$206,"UG-10")</f>
        <v>5</v>
      </c>
      <c r="D30" s="20" t="n">
        <f aca="false">SUMIF(Packages!$A$6:$A$206,"UG-10",Packages!$O$6:$O$206)</f>
        <v>205.598731287924</v>
      </c>
      <c r="E30" s="20" t="n">
        <f aca="false">SUMIF(Packages!$A$6:$A$206,"UG-10",Packages!$U$6:$U$206)</f>
        <v>186.954651288447</v>
      </c>
      <c r="F30" s="20" t="n">
        <f aca="false">SUMIF(Packages!$A$6:$A$206,"UG-10",Packages!$AC$6:$AC$206)</f>
        <v>150</v>
      </c>
      <c r="G30" s="20" t="n">
        <f aca="false">SUMIF(Packages!$A$6:$A$206,"UG-10",Packages!$X$6:$X$206)+SUMIF(Packages!$A$6:$A$206,"UG-10",Packages!$Y$6:$Y$206)</f>
        <v>3188.77920883923</v>
      </c>
      <c r="H30" s="16" t="n">
        <f aca="false">_xlfn.MINIFS(Packages!$AL$6:$AL$206,Packages!$A$6:$A$206,"UG-10")</f>
        <v>46357</v>
      </c>
      <c r="I30" s="16" t="n">
        <f aca="false">_xlfn.MAXIFS(Packages!$AM$6:$AM$206,Packages!$A$6:$A$206,"UG-10")</f>
        <v>46459</v>
      </c>
      <c r="J30" s="21" t="n">
        <f aca="false">(I30-H30)/30.4</f>
        <v>3.35526315789474</v>
      </c>
      <c r="K30" s="42" t="n">
        <f aca="false">IF(AND($H30&lt;=EOMONTH(K$5,0),$I30&gt;=K$5),1,"")</f>
        <v>1</v>
      </c>
      <c r="L30" s="42" t="n">
        <f aca="false">IF(AND($H30&lt;=EOMONTH(L$5,0),$I30&gt;=L$5),1,"")</f>
        <v>1</v>
      </c>
      <c r="M30" s="42" t="n">
        <f aca="false">IF(AND($H30&lt;=EOMONTH(M$5,0),$I30&gt;=M$5),1,"")</f>
        <v>1</v>
      </c>
      <c r="N30" s="42" t="n">
        <f aca="false">IF(AND($H30&lt;=EOMONTH(N$5,0),$I30&gt;=N$5),1,"")</f>
        <v>1</v>
      </c>
      <c r="O30" s="42" t="str">
        <f aca="false">IF(AND($H30&lt;=EOMONTH(O$5,0),$I30&gt;=O$5),1,"")</f>
        <v/>
      </c>
      <c r="P30" s="42" t="str">
        <f aca="false">IF(AND($H30&lt;=EOMONTH(P$5,0),$I30&gt;=P$5),1,"")</f>
        <v/>
      </c>
      <c r="Q30" s="42" t="str">
        <f aca="false">IF(AND($H30&lt;=EOMONTH(Q$5,0),$I30&gt;=Q$5),1,"")</f>
        <v/>
      </c>
      <c r="R30" s="42" t="str">
        <f aca="false">IF(AND($H30&lt;=EOMONTH(R$5,0),$I30&gt;=R$5),1,"")</f>
        <v/>
      </c>
      <c r="S30" s="42" t="str">
        <f aca="false">IF(AND($H30&lt;=EOMONTH(S$5,0),$I30&gt;=S$5),1,"")</f>
        <v/>
      </c>
      <c r="T30" s="42" t="str">
        <f aca="false">IF(AND($H30&lt;=EOMONTH(T$5,0),$I30&gt;=T$5),1,"")</f>
        <v/>
      </c>
      <c r="U30" s="42" t="str">
        <f aca="false">IF(AND($H30&lt;=EOMONTH(U$5,0),$I30&gt;=U$5),1,"")</f>
        <v/>
      </c>
      <c r="V30" s="42" t="str">
        <f aca="false">IF(AND($H30&lt;=EOMONTH(V$5,0),$I30&gt;=V$5),1,"")</f>
        <v/>
      </c>
      <c r="W30" s="42" t="str">
        <f aca="false">IF(AND($H30&lt;=EOMONTH(W$5,0),$I30&gt;=W$5),1,"")</f>
        <v/>
      </c>
      <c r="X30" s="42" t="str">
        <f aca="false">IF(AND($H30&lt;=EOMONTH(X$5,0),$I30&gt;=X$5),1,"")</f>
        <v/>
      </c>
      <c r="Y30" s="42" t="str">
        <f aca="false">IF(AND($H30&lt;=EOMONTH(Y$5,0),$I30&gt;=Y$5),1,"")</f>
        <v/>
      </c>
      <c r="Z30" s="42" t="str">
        <f aca="false">IF(AND($H30&lt;=EOMONTH(Z$5,0),$I30&gt;=Z$5),1,"")</f>
        <v/>
      </c>
      <c r="AA30" s="42" t="str">
        <f aca="false">IF(AND($H30&lt;=EOMONTH(AA$5,0),$I30&gt;=AA$5),1,"")</f>
        <v/>
      </c>
      <c r="AB30" s="42" t="str">
        <f aca="false">IF(AND($H30&lt;=EOMONTH(AB$5,0),$I30&gt;=AB$5),1,"")</f>
        <v/>
      </c>
      <c r="AC30" s="42" t="str">
        <f aca="false">IF(AND($H30&lt;=EOMONTH(AC$5,0),$I30&gt;=AC$5),1,"")</f>
        <v/>
      </c>
      <c r="AD30" s="42" t="str">
        <f aca="false">IF(AND($H30&lt;=EOMONTH(AD$5,0),$I30&gt;=AD$5),1,"")</f>
        <v/>
      </c>
      <c r="AE30" s="42" t="str">
        <f aca="false">IF(AND($H30&lt;=EOMONTH(AE$5,0),$I30&gt;=AE$5),1,"")</f>
        <v/>
      </c>
      <c r="AF30" s="42" t="str">
        <f aca="false">IF(AND($H30&lt;=EOMONTH(AF$5,0),$I30&gt;=AF$5),1,"")</f>
        <v/>
      </c>
      <c r="AG30" s="42" t="str">
        <f aca="false">IF(AND($H30&lt;=EOMONTH(AG$5,0),$I30&gt;=AG$5),1,"")</f>
        <v/>
      </c>
      <c r="AH30" s="42" t="str">
        <f aca="false">IF(AND($H30&lt;=EOMONTH(AH$5,0),$I30&gt;=AH$5),1,"")</f>
        <v/>
      </c>
    </row>
    <row r="31" customFormat="false" ht="15" hidden="false" customHeight="false" outlineLevel="0" collapsed="false">
      <c r="A31" s="12" t="s">
        <v>1240</v>
      </c>
      <c r="B31" s="12" t="s">
        <v>6035</v>
      </c>
      <c r="C31" s="12" t="n">
        <f aca="false">COUNTIF(Packages!$A$6:$A$206,"UG-11")</f>
        <v>6</v>
      </c>
      <c r="D31" s="20" t="n">
        <f aca="false">SUMIF(Packages!$A$6:$A$206,"UG-11",Packages!$O$6:$O$206)</f>
        <v>189.350235522549</v>
      </c>
      <c r="E31" s="20" t="n">
        <f aca="false">SUMIF(Packages!$A$6:$A$206,"UG-11",Packages!$U$6:$U$206)</f>
        <v>189.350235522549</v>
      </c>
      <c r="F31" s="20" t="n">
        <f aca="false">SUMIF(Packages!$A$6:$A$206,"UG-11",Packages!$AC$6:$AC$206)</f>
        <v>144</v>
      </c>
      <c r="G31" s="20" t="n">
        <f aca="false">SUMIF(Packages!$A$6:$A$206,"UG-11",Packages!$X$6:$X$206)+SUMIF(Packages!$A$6:$A$206,"UG-11",Packages!$Y$6:$Y$206)</f>
        <v>4448.59680152262</v>
      </c>
      <c r="H31" s="16" t="n">
        <f aca="false">_xlfn.MINIFS(Packages!$AL$6:$AL$206,Packages!$A$6:$A$206,"UG-11")</f>
        <v>46357</v>
      </c>
      <c r="I31" s="16" t="n">
        <f aca="false">_xlfn.MAXIFS(Packages!$AM$6:$AM$206,Packages!$A$6:$A$206,"UG-11")</f>
        <v>46458</v>
      </c>
      <c r="J31" s="21" t="n">
        <f aca="false">(I31-H31)/30.4</f>
        <v>3.32236842105263</v>
      </c>
      <c r="K31" s="42" t="n">
        <f aca="false">IF(AND($H31&lt;=EOMONTH(K$5,0),$I31&gt;=K$5),1,"")</f>
        <v>1</v>
      </c>
      <c r="L31" s="42" t="n">
        <f aca="false">IF(AND($H31&lt;=EOMONTH(L$5,0),$I31&gt;=L$5),1,"")</f>
        <v>1</v>
      </c>
      <c r="M31" s="42" t="n">
        <f aca="false">IF(AND($H31&lt;=EOMONTH(M$5,0),$I31&gt;=M$5),1,"")</f>
        <v>1</v>
      </c>
      <c r="N31" s="42" t="n">
        <f aca="false">IF(AND($H31&lt;=EOMONTH(N$5,0),$I31&gt;=N$5),1,"")</f>
        <v>1</v>
      </c>
      <c r="O31" s="42" t="str">
        <f aca="false">IF(AND($H31&lt;=EOMONTH(O$5,0),$I31&gt;=O$5),1,"")</f>
        <v/>
      </c>
      <c r="P31" s="42" t="str">
        <f aca="false">IF(AND($H31&lt;=EOMONTH(P$5,0),$I31&gt;=P$5),1,"")</f>
        <v/>
      </c>
      <c r="Q31" s="42" t="str">
        <f aca="false">IF(AND($H31&lt;=EOMONTH(Q$5,0),$I31&gt;=Q$5),1,"")</f>
        <v/>
      </c>
      <c r="R31" s="42" t="str">
        <f aca="false">IF(AND($H31&lt;=EOMONTH(R$5,0),$I31&gt;=R$5),1,"")</f>
        <v/>
      </c>
      <c r="S31" s="42" t="str">
        <f aca="false">IF(AND($H31&lt;=EOMONTH(S$5,0),$I31&gt;=S$5),1,"")</f>
        <v/>
      </c>
      <c r="T31" s="42" t="str">
        <f aca="false">IF(AND($H31&lt;=EOMONTH(T$5,0),$I31&gt;=T$5),1,"")</f>
        <v/>
      </c>
      <c r="U31" s="42" t="str">
        <f aca="false">IF(AND($H31&lt;=EOMONTH(U$5,0),$I31&gt;=U$5),1,"")</f>
        <v/>
      </c>
      <c r="V31" s="42" t="str">
        <f aca="false">IF(AND($H31&lt;=EOMONTH(V$5,0),$I31&gt;=V$5),1,"")</f>
        <v/>
      </c>
      <c r="W31" s="42" t="str">
        <f aca="false">IF(AND($H31&lt;=EOMONTH(W$5,0),$I31&gt;=W$5),1,"")</f>
        <v/>
      </c>
      <c r="X31" s="42" t="str">
        <f aca="false">IF(AND($H31&lt;=EOMONTH(X$5,0),$I31&gt;=X$5),1,"")</f>
        <v/>
      </c>
      <c r="Y31" s="42" t="str">
        <f aca="false">IF(AND($H31&lt;=EOMONTH(Y$5,0),$I31&gt;=Y$5),1,"")</f>
        <v/>
      </c>
      <c r="Z31" s="42" t="str">
        <f aca="false">IF(AND($H31&lt;=EOMONTH(Z$5,0),$I31&gt;=Z$5),1,"")</f>
        <v/>
      </c>
      <c r="AA31" s="42" t="str">
        <f aca="false">IF(AND($H31&lt;=EOMONTH(AA$5,0),$I31&gt;=AA$5),1,"")</f>
        <v/>
      </c>
      <c r="AB31" s="42" t="str">
        <f aca="false">IF(AND($H31&lt;=EOMONTH(AB$5,0),$I31&gt;=AB$5),1,"")</f>
        <v/>
      </c>
      <c r="AC31" s="42" t="str">
        <f aca="false">IF(AND($H31&lt;=EOMONTH(AC$5,0),$I31&gt;=AC$5),1,"")</f>
        <v/>
      </c>
      <c r="AD31" s="42" t="str">
        <f aca="false">IF(AND($H31&lt;=EOMONTH(AD$5,0),$I31&gt;=AD$5),1,"")</f>
        <v/>
      </c>
      <c r="AE31" s="42" t="str">
        <f aca="false">IF(AND($H31&lt;=EOMONTH(AE$5,0),$I31&gt;=AE$5),1,"")</f>
        <v/>
      </c>
      <c r="AF31" s="42" t="str">
        <f aca="false">IF(AND($H31&lt;=EOMONTH(AF$5,0),$I31&gt;=AF$5),1,"")</f>
        <v/>
      </c>
      <c r="AG31" s="42" t="str">
        <f aca="false">IF(AND($H31&lt;=EOMONTH(AG$5,0),$I31&gt;=AG$5),1,"")</f>
        <v/>
      </c>
      <c r="AH31" s="42" t="str">
        <f aca="false">IF(AND($H31&lt;=EOMONTH(AH$5,0),$I31&gt;=AH$5),1,"")</f>
        <v/>
      </c>
    </row>
    <row r="32" customFormat="false" ht="15" hidden="false" customHeight="false" outlineLevel="0" collapsed="false">
      <c r="A32" s="12" t="s">
        <v>1293</v>
      </c>
      <c r="B32" s="12" t="s">
        <v>6036</v>
      </c>
      <c r="C32" s="12" t="n">
        <f aca="false">COUNTIF(Packages!$A$6:$A$206,"UG-11A")</f>
        <v>7</v>
      </c>
      <c r="D32" s="20" t="n">
        <f aca="false">SUMIF(Packages!$A$6:$A$206,"UG-11A",Packages!$O$6:$O$206)</f>
        <v>206.030921895148</v>
      </c>
      <c r="E32" s="20" t="n">
        <f aca="false">SUMIF(Packages!$A$6:$A$206,"UG-11A",Packages!$U$6:$U$206)</f>
        <v>206.030921895148</v>
      </c>
      <c r="F32" s="20" t="n">
        <f aca="false">SUMIF(Packages!$A$6:$A$206,"UG-11A",Packages!$AC$6:$AC$206)</f>
        <v>152</v>
      </c>
      <c r="G32" s="20" t="n">
        <f aca="false">SUMIF(Packages!$A$6:$A$206,"UG-11A",Packages!$X$6:$X$206)+SUMIF(Packages!$A$6:$A$206,"UG-11A",Packages!$Y$6:$Y$206)</f>
        <v>2358.3885059287</v>
      </c>
      <c r="H32" s="16" t="n">
        <f aca="false">_xlfn.MINIFS(Packages!$AL$6:$AL$206,Packages!$A$6:$A$206,"UG-11A")</f>
        <v>46358</v>
      </c>
      <c r="I32" s="16" t="n">
        <f aca="false">_xlfn.MAXIFS(Packages!$AM$6:$AM$206,Packages!$A$6:$A$206,"UG-11A")</f>
        <v>46607</v>
      </c>
      <c r="J32" s="21" t="n">
        <f aca="false">(I32-H32)/30.4</f>
        <v>8.19078947368421</v>
      </c>
      <c r="K32" s="42" t="n">
        <f aca="false">IF(AND($H32&lt;=EOMONTH(K$5,0),$I32&gt;=K$5),1,"")</f>
        <v>1</v>
      </c>
      <c r="L32" s="42" t="n">
        <f aca="false">IF(AND($H32&lt;=EOMONTH(L$5,0),$I32&gt;=L$5),1,"")</f>
        <v>1</v>
      </c>
      <c r="M32" s="42" t="n">
        <f aca="false">IF(AND($H32&lt;=EOMONTH(M$5,0),$I32&gt;=M$5),1,"")</f>
        <v>1</v>
      </c>
      <c r="N32" s="42" t="n">
        <f aca="false">IF(AND($H32&lt;=EOMONTH(N$5,0),$I32&gt;=N$5),1,"")</f>
        <v>1</v>
      </c>
      <c r="O32" s="42" t="n">
        <f aca="false">IF(AND($H32&lt;=EOMONTH(O$5,0),$I32&gt;=O$5),1,"")</f>
        <v>1</v>
      </c>
      <c r="P32" s="42" t="n">
        <f aca="false">IF(AND($H32&lt;=EOMONTH(P$5,0),$I32&gt;=P$5),1,"")</f>
        <v>1</v>
      </c>
      <c r="Q32" s="42" t="n">
        <f aca="false">IF(AND($H32&lt;=EOMONTH(Q$5,0),$I32&gt;=Q$5),1,"")</f>
        <v>1</v>
      </c>
      <c r="R32" s="42" t="n">
        <f aca="false">IF(AND($H32&lt;=EOMONTH(R$5,0),$I32&gt;=R$5),1,"")</f>
        <v>1</v>
      </c>
      <c r="S32" s="42" t="n">
        <f aca="false">IF(AND($H32&lt;=EOMONTH(S$5,0),$I32&gt;=S$5),1,"")</f>
        <v>1</v>
      </c>
      <c r="T32" s="42" t="str">
        <f aca="false">IF(AND($H32&lt;=EOMONTH(T$5,0),$I32&gt;=T$5),1,"")</f>
        <v/>
      </c>
      <c r="U32" s="42" t="str">
        <f aca="false">IF(AND($H32&lt;=EOMONTH(U$5,0),$I32&gt;=U$5),1,"")</f>
        <v/>
      </c>
      <c r="V32" s="42" t="str">
        <f aca="false">IF(AND($H32&lt;=EOMONTH(V$5,0),$I32&gt;=V$5),1,"")</f>
        <v/>
      </c>
      <c r="W32" s="42" t="str">
        <f aca="false">IF(AND($H32&lt;=EOMONTH(W$5,0),$I32&gt;=W$5),1,"")</f>
        <v/>
      </c>
      <c r="X32" s="42" t="str">
        <f aca="false">IF(AND($H32&lt;=EOMONTH(X$5,0),$I32&gt;=X$5),1,"")</f>
        <v/>
      </c>
      <c r="Y32" s="42" t="str">
        <f aca="false">IF(AND($H32&lt;=EOMONTH(Y$5,0),$I32&gt;=Y$5),1,"")</f>
        <v/>
      </c>
      <c r="Z32" s="42" t="str">
        <f aca="false">IF(AND($H32&lt;=EOMONTH(Z$5,0),$I32&gt;=Z$5),1,"")</f>
        <v/>
      </c>
      <c r="AA32" s="42" t="str">
        <f aca="false">IF(AND($H32&lt;=EOMONTH(AA$5,0),$I32&gt;=AA$5),1,"")</f>
        <v/>
      </c>
      <c r="AB32" s="42" t="str">
        <f aca="false">IF(AND($H32&lt;=EOMONTH(AB$5,0),$I32&gt;=AB$5),1,"")</f>
        <v/>
      </c>
      <c r="AC32" s="42" t="str">
        <f aca="false">IF(AND($H32&lt;=EOMONTH(AC$5,0),$I32&gt;=AC$5),1,"")</f>
        <v/>
      </c>
      <c r="AD32" s="42" t="str">
        <f aca="false">IF(AND($H32&lt;=EOMONTH(AD$5,0),$I32&gt;=AD$5),1,"")</f>
        <v/>
      </c>
      <c r="AE32" s="42" t="str">
        <f aca="false">IF(AND($H32&lt;=EOMONTH(AE$5,0),$I32&gt;=AE$5),1,"")</f>
        <v/>
      </c>
      <c r="AF32" s="42" t="str">
        <f aca="false">IF(AND($H32&lt;=EOMONTH(AF$5,0),$I32&gt;=AF$5),1,"")</f>
        <v/>
      </c>
      <c r="AG32" s="42" t="str">
        <f aca="false">IF(AND($H32&lt;=EOMONTH(AG$5,0),$I32&gt;=AG$5),1,"")</f>
        <v/>
      </c>
      <c r="AH32" s="42" t="str">
        <f aca="false">IF(AND($H32&lt;=EOMONTH(AH$5,0),$I32&gt;=AH$5),1,"")</f>
        <v/>
      </c>
    </row>
    <row r="33" customFormat="false" ht="15" hidden="false" customHeight="false" outlineLevel="0" collapsed="false">
      <c r="A33" s="12" t="s">
        <v>1341</v>
      </c>
      <c r="B33" s="12" t="s">
        <v>6037</v>
      </c>
      <c r="C33" s="12" t="n">
        <f aca="false">COUNTIF(Packages!$A$6:$A$206,"UG-11B")</f>
        <v>14</v>
      </c>
      <c r="D33" s="20" t="n">
        <f aca="false">SUMIF(Packages!$A$6:$A$206,"UG-11B",Packages!$O$6:$O$206)</f>
        <v>500.736536899099</v>
      </c>
      <c r="E33" s="20" t="n">
        <f aca="false">SUMIF(Packages!$A$6:$A$206,"UG-11B",Packages!$U$6:$U$206)</f>
        <v>500.736536899099</v>
      </c>
      <c r="F33" s="20" t="n">
        <f aca="false">SUMIF(Packages!$A$6:$A$206,"UG-11B",Packages!$AC$6:$AC$206)</f>
        <v>366</v>
      </c>
      <c r="G33" s="20" t="n">
        <f aca="false">SUMIF(Packages!$A$6:$A$206,"UG-11B",Packages!$X$6:$X$206)+SUMIF(Packages!$A$6:$A$206,"UG-11B",Packages!$Y$6:$Y$206)</f>
        <v>6077.97655255356</v>
      </c>
      <c r="H33" s="16" t="n">
        <f aca="false">_xlfn.MINIFS(Packages!$AL$6:$AL$206,Packages!$A$6:$A$206,"UG-11B")</f>
        <v>46358</v>
      </c>
      <c r="I33" s="16" t="n">
        <f aca="false">_xlfn.MAXIFS(Packages!$AM$6:$AM$206,Packages!$A$6:$A$206,"UG-11B")</f>
        <v>46567</v>
      </c>
      <c r="J33" s="21" t="n">
        <f aca="false">(I33-H33)/30.4</f>
        <v>6.875</v>
      </c>
      <c r="K33" s="42" t="n">
        <f aca="false">IF(AND($H33&lt;=EOMONTH(K$5,0),$I33&gt;=K$5),1,"")</f>
        <v>1</v>
      </c>
      <c r="L33" s="42" t="n">
        <f aca="false">IF(AND($H33&lt;=EOMONTH(L$5,0),$I33&gt;=L$5),1,"")</f>
        <v>1</v>
      </c>
      <c r="M33" s="42" t="n">
        <f aca="false">IF(AND($H33&lt;=EOMONTH(M$5,0),$I33&gt;=M$5),1,"")</f>
        <v>1</v>
      </c>
      <c r="N33" s="42" t="n">
        <f aca="false">IF(AND($H33&lt;=EOMONTH(N$5,0),$I33&gt;=N$5),1,"")</f>
        <v>1</v>
      </c>
      <c r="O33" s="42" t="n">
        <f aca="false">IF(AND($H33&lt;=EOMONTH(O$5,0),$I33&gt;=O$5),1,"")</f>
        <v>1</v>
      </c>
      <c r="P33" s="42" t="n">
        <f aca="false">IF(AND($H33&lt;=EOMONTH(P$5,0),$I33&gt;=P$5),1,"")</f>
        <v>1</v>
      </c>
      <c r="Q33" s="42" t="n">
        <f aca="false">IF(AND($H33&lt;=EOMONTH(Q$5,0),$I33&gt;=Q$5),1,"")</f>
        <v>1</v>
      </c>
      <c r="R33" s="42" t="str">
        <f aca="false">IF(AND($H33&lt;=EOMONTH(R$5,0),$I33&gt;=R$5),1,"")</f>
        <v/>
      </c>
      <c r="S33" s="42" t="str">
        <f aca="false">IF(AND($H33&lt;=EOMONTH(S$5,0),$I33&gt;=S$5),1,"")</f>
        <v/>
      </c>
      <c r="T33" s="42" t="str">
        <f aca="false">IF(AND($H33&lt;=EOMONTH(T$5,0),$I33&gt;=T$5),1,"")</f>
        <v/>
      </c>
      <c r="U33" s="42" t="str">
        <f aca="false">IF(AND($H33&lt;=EOMONTH(U$5,0),$I33&gt;=U$5),1,"")</f>
        <v/>
      </c>
      <c r="V33" s="42" t="str">
        <f aca="false">IF(AND($H33&lt;=EOMONTH(V$5,0),$I33&gt;=V$5),1,"")</f>
        <v/>
      </c>
      <c r="W33" s="42" t="str">
        <f aca="false">IF(AND($H33&lt;=EOMONTH(W$5,0),$I33&gt;=W$5),1,"")</f>
        <v/>
      </c>
      <c r="X33" s="42" t="str">
        <f aca="false">IF(AND($H33&lt;=EOMONTH(X$5,0),$I33&gt;=X$5),1,"")</f>
        <v/>
      </c>
      <c r="Y33" s="42" t="str">
        <f aca="false">IF(AND($H33&lt;=EOMONTH(Y$5,0),$I33&gt;=Y$5),1,"")</f>
        <v/>
      </c>
      <c r="Z33" s="42" t="str">
        <f aca="false">IF(AND($H33&lt;=EOMONTH(Z$5,0),$I33&gt;=Z$5),1,"")</f>
        <v/>
      </c>
      <c r="AA33" s="42" t="str">
        <f aca="false">IF(AND($H33&lt;=EOMONTH(AA$5,0),$I33&gt;=AA$5),1,"")</f>
        <v/>
      </c>
      <c r="AB33" s="42" t="str">
        <f aca="false">IF(AND($H33&lt;=EOMONTH(AB$5,0),$I33&gt;=AB$5),1,"")</f>
        <v/>
      </c>
      <c r="AC33" s="42" t="str">
        <f aca="false">IF(AND($H33&lt;=EOMONTH(AC$5,0),$I33&gt;=AC$5),1,"")</f>
        <v/>
      </c>
      <c r="AD33" s="42" t="str">
        <f aca="false">IF(AND($H33&lt;=EOMONTH(AD$5,0),$I33&gt;=AD$5),1,"")</f>
        <v/>
      </c>
      <c r="AE33" s="42" t="str">
        <f aca="false">IF(AND($H33&lt;=EOMONTH(AE$5,0),$I33&gt;=AE$5),1,"")</f>
        <v/>
      </c>
      <c r="AF33" s="42" t="str">
        <f aca="false">IF(AND($H33&lt;=EOMONTH(AF$5,0),$I33&gt;=AF$5),1,"")</f>
        <v/>
      </c>
      <c r="AG33" s="42" t="str">
        <f aca="false">IF(AND($H33&lt;=EOMONTH(AG$5,0),$I33&gt;=AG$5),1,"")</f>
        <v/>
      </c>
      <c r="AH33" s="42" t="str">
        <f aca="false">IF(AND($H33&lt;=EOMONTH(AH$5,0),$I33&gt;=AH$5),1,"")</f>
        <v/>
      </c>
    </row>
    <row r="34" customFormat="false" ht="15" hidden="false" customHeight="false" outlineLevel="0" collapsed="false">
      <c r="A34" s="12" t="s">
        <v>1460</v>
      </c>
      <c r="B34" s="12" t="s">
        <v>6038</v>
      </c>
      <c r="C34" s="12" t="n">
        <f aca="false">COUNTIF(Packages!$A$6:$A$206,"UG-13")</f>
        <v>5</v>
      </c>
      <c r="D34" s="20" t="n">
        <f aca="false">SUMIF(Packages!$A$6:$A$206,"UG-13",Packages!$O$6:$O$206)</f>
        <v>166.212712907145</v>
      </c>
      <c r="E34" s="20" t="n">
        <f aca="false">SUMIF(Packages!$A$6:$A$206,"UG-13",Packages!$U$6:$U$206)</f>
        <v>166.212712907145</v>
      </c>
      <c r="F34" s="20" t="n">
        <f aca="false">SUMIF(Packages!$A$6:$A$206,"UG-13",Packages!$AC$6:$AC$206)</f>
        <v>124</v>
      </c>
      <c r="G34" s="20" t="n">
        <f aca="false">SUMIF(Packages!$A$6:$A$206,"UG-13",Packages!$X$6:$X$206)+SUMIF(Packages!$A$6:$A$206,"UG-13",Packages!$Y$6:$Y$206)</f>
        <v>3492.68080097534</v>
      </c>
      <c r="H34" s="16" t="n">
        <f aca="false">_xlfn.MINIFS(Packages!$AL$6:$AL$206,Packages!$A$6:$A$206,"UG-13")</f>
        <v>46367</v>
      </c>
      <c r="I34" s="16" t="n">
        <f aca="false">_xlfn.MAXIFS(Packages!$AM$6:$AM$206,Packages!$A$6:$A$206,"UG-13")</f>
        <v>46565</v>
      </c>
      <c r="J34" s="21" t="n">
        <f aca="false">(I34-H34)/30.4</f>
        <v>6.51315789473684</v>
      </c>
      <c r="K34" s="42" t="n">
        <f aca="false">IF(AND($H34&lt;=EOMONTH(K$5,0),$I34&gt;=K$5),1,"")</f>
        <v>1</v>
      </c>
      <c r="L34" s="42" t="n">
        <f aca="false">IF(AND($H34&lt;=EOMONTH(L$5,0),$I34&gt;=L$5),1,"")</f>
        <v>1</v>
      </c>
      <c r="M34" s="42" t="n">
        <f aca="false">IF(AND($H34&lt;=EOMONTH(M$5,0),$I34&gt;=M$5),1,"")</f>
        <v>1</v>
      </c>
      <c r="N34" s="42" t="n">
        <f aca="false">IF(AND($H34&lt;=EOMONTH(N$5,0),$I34&gt;=N$5),1,"")</f>
        <v>1</v>
      </c>
      <c r="O34" s="42" t="n">
        <f aca="false">IF(AND($H34&lt;=EOMONTH(O$5,0),$I34&gt;=O$5),1,"")</f>
        <v>1</v>
      </c>
      <c r="P34" s="42" t="n">
        <f aca="false">IF(AND($H34&lt;=EOMONTH(P$5,0),$I34&gt;=P$5),1,"")</f>
        <v>1</v>
      </c>
      <c r="Q34" s="42" t="n">
        <f aca="false">IF(AND($H34&lt;=EOMONTH(Q$5,0),$I34&gt;=Q$5),1,"")</f>
        <v>1</v>
      </c>
      <c r="R34" s="42" t="str">
        <f aca="false">IF(AND($H34&lt;=EOMONTH(R$5,0),$I34&gt;=R$5),1,"")</f>
        <v/>
      </c>
      <c r="S34" s="42" t="str">
        <f aca="false">IF(AND($H34&lt;=EOMONTH(S$5,0),$I34&gt;=S$5),1,"")</f>
        <v/>
      </c>
      <c r="T34" s="42" t="str">
        <f aca="false">IF(AND($H34&lt;=EOMONTH(T$5,0),$I34&gt;=T$5),1,"")</f>
        <v/>
      </c>
      <c r="U34" s="42" t="str">
        <f aca="false">IF(AND($H34&lt;=EOMONTH(U$5,0),$I34&gt;=U$5),1,"")</f>
        <v/>
      </c>
      <c r="V34" s="42" t="str">
        <f aca="false">IF(AND($H34&lt;=EOMONTH(V$5,0),$I34&gt;=V$5),1,"")</f>
        <v/>
      </c>
      <c r="W34" s="42" t="str">
        <f aca="false">IF(AND($H34&lt;=EOMONTH(W$5,0),$I34&gt;=W$5),1,"")</f>
        <v/>
      </c>
      <c r="X34" s="42" t="str">
        <f aca="false">IF(AND($H34&lt;=EOMONTH(X$5,0),$I34&gt;=X$5),1,"")</f>
        <v/>
      </c>
      <c r="Y34" s="42" t="str">
        <f aca="false">IF(AND($H34&lt;=EOMONTH(Y$5,0),$I34&gt;=Y$5),1,"")</f>
        <v/>
      </c>
      <c r="Z34" s="42" t="str">
        <f aca="false">IF(AND($H34&lt;=EOMONTH(Z$5,0),$I34&gt;=Z$5),1,"")</f>
        <v/>
      </c>
      <c r="AA34" s="42" t="str">
        <f aca="false">IF(AND($H34&lt;=EOMONTH(AA$5,0),$I34&gt;=AA$5),1,"")</f>
        <v/>
      </c>
      <c r="AB34" s="42" t="str">
        <f aca="false">IF(AND($H34&lt;=EOMONTH(AB$5,0),$I34&gt;=AB$5),1,"")</f>
        <v/>
      </c>
      <c r="AC34" s="42" t="str">
        <f aca="false">IF(AND($H34&lt;=EOMONTH(AC$5,0),$I34&gt;=AC$5),1,"")</f>
        <v/>
      </c>
      <c r="AD34" s="42" t="str">
        <f aca="false">IF(AND($H34&lt;=EOMONTH(AD$5,0),$I34&gt;=AD$5),1,"")</f>
        <v/>
      </c>
      <c r="AE34" s="42" t="str">
        <f aca="false">IF(AND($H34&lt;=EOMONTH(AE$5,0),$I34&gt;=AE$5),1,"")</f>
        <v/>
      </c>
      <c r="AF34" s="42" t="str">
        <f aca="false">IF(AND($H34&lt;=EOMONTH(AF$5,0),$I34&gt;=AF$5),1,"")</f>
        <v/>
      </c>
      <c r="AG34" s="42" t="str">
        <f aca="false">IF(AND($H34&lt;=EOMONTH(AG$5,0),$I34&gt;=AG$5),1,"")</f>
        <v/>
      </c>
      <c r="AH34" s="42" t="str">
        <f aca="false">IF(AND($H34&lt;=EOMONTH(AH$5,0),$I34&gt;=AH$5),1,"")</f>
        <v/>
      </c>
    </row>
    <row r="35" customFormat="false" ht="15" hidden="false" customHeight="false" outlineLevel="0" collapsed="false">
      <c r="A35" s="12" t="s">
        <v>1502</v>
      </c>
      <c r="B35" s="12" t="s">
        <v>6039</v>
      </c>
      <c r="C35" s="12" t="n">
        <f aca="false">COUNTIF(Packages!$A$6:$A$206,"UG-13A")</f>
        <v>16</v>
      </c>
      <c r="D35" s="20" t="n">
        <f aca="false">SUMIF(Packages!$A$6:$A$206,"UG-13A",Packages!$O$6:$O$206)</f>
        <v>257.910580048004</v>
      </c>
      <c r="E35" s="20" t="n">
        <f aca="false">SUMIF(Packages!$A$6:$A$206,"UG-13A",Packages!$U$6:$U$206)</f>
        <v>257.910580048004</v>
      </c>
      <c r="F35" s="20" t="n">
        <f aca="false">SUMIF(Packages!$A$6:$A$206,"UG-13A",Packages!$AC$6:$AC$206)</f>
        <v>177</v>
      </c>
      <c r="G35" s="20" t="n">
        <f aca="false">SUMIF(Packages!$A$6:$A$206,"UG-13A",Packages!$X$6:$X$206)+SUMIF(Packages!$A$6:$A$206,"UG-13A",Packages!$Y$6:$Y$206)</f>
        <v>3388.8037363479</v>
      </c>
      <c r="H35" s="16" t="n">
        <f aca="false">_xlfn.MINIFS(Packages!$AL$6:$AL$206,Packages!$A$6:$A$206,"UG-13A")</f>
        <v>46446</v>
      </c>
      <c r="I35" s="16" t="n">
        <f aca="false">_xlfn.MAXIFS(Packages!$AM$6:$AM$206,Packages!$A$6:$A$206,"UG-13A")</f>
        <v>46605</v>
      </c>
      <c r="J35" s="21" t="n">
        <f aca="false">(I35-H35)/30.4</f>
        <v>5.23026315789474</v>
      </c>
      <c r="K35" s="42" t="str">
        <f aca="false">IF(AND($H35&lt;=EOMONTH(K$5,0),$I35&gt;=K$5),1,"")</f>
        <v/>
      </c>
      <c r="L35" s="42" t="str">
        <f aca="false">IF(AND($H35&lt;=EOMONTH(L$5,0),$I35&gt;=L$5),1,"")</f>
        <v/>
      </c>
      <c r="M35" s="42" t="n">
        <f aca="false">IF(AND($H35&lt;=EOMONTH(M$5,0),$I35&gt;=M$5),1,"")</f>
        <v>1</v>
      </c>
      <c r="N35" s="42" t="n">
        <f aca="false">IF(AND($H35&lt;=EOMONTH(N$5,0),$I35&gt;=N$5),1,"")</f>
        <v>1</v>
      </c>
      <c r="O35" s="42" t="n">
        <f aca="false">IF(AND($H35&lt;=EOMONTH(O$5,0),$I35&gt;=O$5),1,"")</f>
        <v>1</v>
      </c>
      <c r="P35" s="42" t="n">
        <f aca="false">IF(AND($H35&lt;=EOMONTH(P$5,0),$I35&gt;=P$5),1,"")</f>
        <v>1</v>
      </c>
      <c r="Q35" s="42" t="n">
        <f aca="false">IF(AND($H35&lt;=EOMONTH(Q$5,0),$I35&gt;=Q$5),1,"")</f>
        <v>1</v>
      </c>
      <c r="R35" s="42" t="n">
        <f aca="false">IF(AND($H35&lt;=EOMONTH(R$5,0),$I35&gt;=R$5),1,"")</f>
        <v>1</v>
      </c>
      <c r="S35" s="42" t="n">
        <f aca="false">IF(AND($H35&lt;=EOMONTH(S$5,0),$I35&gt;=S$5),1,"")</f>
        <v>1</v>
      </c>
      <c r="T35" s="42" t="str">
        <f aca="false">IF(AND($H35&lt;=EOMONTH(T$5,0),$I35&gt;=T$5),1,"")</f>
        <v/>
      </c>
      <c r="U35" s="42" t="str">
        <f aca="false">IF(AND($H35&lt;=EOMONTH(U$5,0),$I35&gt;=U$5),1,"")</f>
        <v/>
      </c>
      <c r="V35" s="42" t="str">
        <f aca="false">IF(AND($H35&lt;=EOMONTH(V$5,0),$I35&gt;=V$5),1,"")</f>
        <v/>
      </c>
      <c r="W35" s="42" t="str">
        <f aca="false">IF(AND($H35&lt;=EOMONTH(W$5,0),$I35&gt;=W$5),1,"")</f>
        <v/>
      </c>
      <c r="X35" s="42" t="str">
        <f aca="false">IF(AND($H35&lt;=EOMONTH(X$5,0),$I35&gt;=X$5),1,"")</f>
        <v/>
      </c>
      <c r="Y35" s="42" t="str">
        <f aca="false">IF(AND($H35&lt;=EOMONTH(Y$5,0),$I35&gt;=Y$5),1,"")</f>
        <v/>
      </c>
      <c r="Z35" s="42" t="str">
        <f aca="false">IF(AND($H35&lt;=EOMONTH(Z$5,0),$I35&gt;=Z$5),1,"")</f>
        <v/>
      </c>
      <c r="AA35" s="42" t="str">
        <f aca="false">IF(AND($H35&lt;=EOMONTH(AA$5,0),$I35&gt;=AA$5),1,"")</f>
        <v/>
      </c>
      <c r="AB35" s="42" t="str">
        <f aca="false">IF(AND($H35&lt;=EOMONTH(AB$5,0),$I35&gt;=AB$5),1,"")</f>
        <v/>
      </c>
      <c r="AC35" s="42" t="str">
        <f aca="false">IF(AND($H35&lt;=EOMONTH(AC$5,0),$I35&gt;=AC$5),1,"")</f>
        <v/>
      </c>
      <c r="AD35" s="42" t="str">
        <f aca="false">IF(AND($H35&lt;=EOMONTH(AD$5,0),$I35&gt;=AD$5),1,"")</f>
        <v/>
      </c>
      <c r="AE35" s="42" t="str">
        <f aca="false">IF(AND($H35&lt;=EOMONTH(AE$5,0),$I35&gt;=AE$5),1,"")</f>
        <v/>
      </c>
      <c r="AF35" s="42" t="str">
        <f aca="false">IF(AND($H35&lt;=EOMONTH(AF$5,0),$I35&gt;=AF$5),1,"")</f>
        <v/>
      </c>
      <c r="AG35" s="42" t="str">
        <f aca="false">IF(AND($H35&lt;=EOMONTH(AG$5,0),$I35&gt;=AG$5),1,"")</f>
        <v/>
      </c>
      <c r="AH35" s="42" t="str">
        <f aca="false">IF(AND($H35&lt;=EOMONTH(AH$5,0),$I35&gt;=AH$5),1,"")</f>
        <v/>
      </c>
    </row>
    <row r="36" customFormat="false" ht="15" hidden="false" customHeight="false" outlineLevel="0" collapsed="false">
      <c r="A36" s="12" t="s">
        <v>1594</v>
      </c>
      <c r="B36" s="12" t="s">
        <v>6039</v>
      </c>
      <c r="C36" s="12" t="n">
        <f aca="false">COUNTIF(Packages!$A$6:$A$206,"UG-13B")</f>
        <v>12</v>
      </c>
      <c r="D36" s="20" t="n">
        <f aca="false">SUMIF(Packages!$A$6:$A$206,"UG-13B",Packages!$O$6:$O$206)</f>
        <v>294.397903753683</v>
      </c>
      <c r="E36" s="20" t="n">
        <f aca="false">SUMIF(Packages!$A$6:$A$206,"UG-13B",Packages!$U$6:$U$206)</f>
        <v>294.397903753683</v>
      </c>
      <c r="F36" s="20" t="n">
        <f aca="false">SUMIF(Packages!$A$6:$A$206,"UG-13B",Packages!$AC$6:$AC$206)</f>
        <v>174</v>
      </c>
      <c r="G36" s="20" t="n">
        <f aca="false">SUMIF(Packages!$A$6:$A$206,"UG-13B",Packages!$X$6:$X$206)+SUMIF(Packages!$A$6:$A$206,"UG-13B",Packages!$Y$6:$Y$206)</f>
        <v>3741.7124581152</v>
      </c>
      <c r="H36" s="16" t="n">
        <f aca="false">_xlfn.MINIFS(Packages!$AL$6:$AL$206,Packages!$A$6:$A$206,"UG-13B")</f>
        <v>46357</v>
      </c>
      <c r="I36" s="16" t="n">
        <f aca="false">_xlfn.MAXIFS(Packages!$AM$6:$AM$206,Packages!$A$6:$A$206,"UG-13B")</f>
        <v>46539</v>
      </c>
      <c r="J36" s="21" t="n">
        <f aca="false">(I36-H36)/30.4</f>
        <v>5.98684210526316</v>
      </c>
      <c r="K36" s="42" t="n">
        <f aca="false">IF(AND($H36&lt;=EOMONTH(K$5,0),$I36&gt;=K$5),1,"")</f>
        <v>1</v>
      </c>
      <c r="L36" s="42" t="n">
        <f aca="false">IF(AND($H36&lt;=EOMONTH(L$5,0),$I36&gt;=L$5),1,"")</f>
        <v>1</v>
      </c>
      <c r="M36" s="42" t="n">
        <f aca="false">IF(AND($H36&lt;=EOMONTH(M$5,0),$I36&gt;=M$5),1,"")</f>
        <v>1</v>
      </c>
      <c r="N36" s="42" t="n">
        <f aca="false">IF(AND($H36&lt;=EOMONTH(N$5,0),$I36&gt;=N$5),1,"")</f>
        <v>1</v>
      </c>
      <c r="O36" s="42" t="n">
        <f aca="false">IF(AND($H36&lt;=EOMONTH(O$5,0),$I36&gt;=O$5),1,"")</f>
        <v>1</v>
      </c>
      <c r="P36" s="42" t="n">
        <f aca="false">IF(AND($H36&lt;=EOMONTH(P$5,0),$I36&gt;=P$5),1,"")</f>
        <v>1</v>
      </c>
      <c r="Q36" s="42" t="n">
        <f aca="false">IF(AND($H36&lt;=EOMONTH(Q$5,0),$I36&gt;=Q$5),1,"")</f>
        <v>1</v>
      </c>
      <c r="R36" s="42" t="str">
        <f aca="false">IF(AND($H36&lt;=EOMONTH(R$5,0),$I36&gt;=R$5),1,"")</f>
        <v/>
      </c>
      <c r="S36" s="42" t="str">
        <f aca="false">IF(AND($H36&lt;=EOMONTH(S$5,0),$I36&gt;=S$5),1,"")</f>
        <v/>
      </c>
      <c r="T36" s="42" t="str">
        <f aca="false">IF(AND($H36&lt;=EOMONTH(T$5,0),$I36&gt;=T$5),1,"")</f>
        <v/>
      </c>
      <c r="U36" s="42" t="str">
        <f aca="false">IF(AND($H36&lt;=EOMONTH(U$5,0),$I36&gt;=U$5),1,"")</f>
        <v/>
      </c>
      <c r="V36" s="42" t="str">
        <f aca="false">IF(AND($H36&lt;=EOMONTH(V$5,0),$I36&gt;=V$5),1,"")</f>
        <v/>
      </c>
      <c r="W36" s="42" t="str">
        <f aca="false">IF(AND($H36&lt;=EOMONTH(W$5,0),$I36&gt;=W$5),1,"")</f>
        <v/>
      </c>
      <c r="X36" s="42" t="str">
        <f aca="false">IF(AND($H36&lt;=EOMONTH(X$5,0),$I36&gt;=X$5),1,"")</f>
        <v/>
      </c>
      <c r="Y36" s="42" t="str">
        <f aca="false">IF(AND($H36&lt;=EOMONTH(Y$5,0),$I36&gt;=Y$5),1,"")</f>
        <v/>
      </c>
      <c r="Z36" s="42" t="str">
        <f aca="false">IF(AND($H36&lt;=EOMONTH(Z$5,0),$I36&gt;=Z$5),1,"")</f>
        <v/>
      </c>
      <c r="AA36" s="42" t="str">
        <f aca="false">IF(AND($H36&lt;=EOMONTH(AA$5,0),$I36&gt;=AA$5),1,"")</f>
        <v/>
      </c>
      <c r="AB36" s="42" t="str">
        <f aca="false">IF(AND($H36&lt;=EOMONTH(AB$5,0),$I36&gt;=AB$5),1,"")</f>
        <v/>
      </c>
      <c r="AC36" s="42" t="str">
        <f aca="false">IF(AND($H36&lt;=EOMONTH(AC$5,0),$I36&gt;=AC$5),1,"")</f>
        <v/>
      </c>
      <c r="AD36" s="42" t="str">
        <f aca="false">IF(AND($H36&lt;=EOMONTH(AD$5,0),$I36&gt;=AD$5),1,"")</f>
        <v/>
      </c>
      <c r="AE36" s="42" t="str">
        <f aca="false">IF(AND($H36&lt;=EOMONTH(AE$5,0),$I36&gt;=AE$5),1,"")</f>
        <v/>
      </c>
      <c r="AF36" s="42" t="str">
        <f aca="false">IF(AND($H36&lt;=EOMONTH(AF$5,0),$I36&gt;=AF$5),1,"")</f>
        <v/>
      </c>
      <c r="AG36" s="42" t="str">
        <f aca="false">IF(AND($H36&lt;=EOMONTH(AG$5,0),$I36&gt;=AG$5),1,"")</f>
        <v/>
      </c>
      <c r="AH36" s="42" t="str">
        <f aca="false">IF(AND($H36&lt;=EOMONTH(AH$5,0),$I36&gt;=AH$5),1,"")</f>
        <v/>
      </c>
    </row>
    <row r="37" customFormat="false" ht="15" hidden="false" customHeight="false" outlineLevel="0" collapsed="false">
      <c r="A37" s="12" t="s">
        <v>1683</v>
      </c>
      <c r="B37" s="12" t="s">
        <v>6040</v>
      </c>
      <c r="C37" s="12" t="n">
        <f aca="false">COUNTIF(Packages!$A$6:$A$206,"UG-14E")</f>
        <v>1</v>
      </c>
      <c r="D37" s="20" t="n">
        <f aca="false">SUMIF(Packages!$A$6:$A$206,"UG-14E",Packages!$O$6:$O$206)</f>
        <v>37.5875732857337</v>
      </c>
      <c r="E37" s="20" t="n">
        <f aca="false">SUMIF(Packages!$A$6:$A$206,"UG-14E",Packages!$U$6:$U$206)</f>
        <v>0</v>
      </c>
      <c r="F37" s="20" t="n">
        <f aca="false">SUMIF(Packages!$A$6:$A$206,"UG-14E",Packages!$AC$6:$AC$206)</f>
        <v>28</v>
      </c>
      <c r="G37" s="20" t="n">
        <f aca="false">SUMIF(Packages!$A$6:$A$206,"UG-14E",Packages!$X$6:$X$206)+SUMIF(Packages!$A$6:$A$206,"UG-14E",Packages!$Y$6:$Y$206)</f>
        <v>1001.06762151733</v>
      </c>
      <c r="H37" s="16" t="n">
        <f aca="false">_xlfn.MINIFS(Packages!$AL$6:$AL$206,Packages!$A$6:$A$206,"UG-14E")</f>
        <v>46357</v>
      </c>
      <c r="I37" s="16" t="n">
        <f aca="false">_xlfn.MAXIFS(Packages!$AM$6:$AM$206,Packages!$A$6:$A$206,"UG-14E")</f>
        <v>46539</v>
      </c>
      <c r="J37" s="21" t="n">
        <f aca="false">(I37-H37)/30.4</f>
        <v>5.98684210526316</v>
      </c>
      <c r="K37" s="42" t="n">
        <f aca="false">IF(AND($H37&lt;=EOMONTH(K$5,0),$I37&gt;=K$5),1,"")</f>
        <v>1</v>
      </c>
      <c r="L37" s="42" t="n">
        <f aca="false">IF(AND($H37&lt;=EOMONTH(L$5,0),$I37&gt;=L$5),1,"")</f>
        <v>1</v>
      </c>
      <c r="M37" s="42" t="n">
        <f aca="false">IF(AND($H37&lt;=EOMONTH(M$5,0),$I37&gt;=M$5),1,"")</f>
        <v>1</v>
      </c>
      <c r="N37" s="42" t="n">
        <f aca="false">IF(AND($H37&lt;=EOMONTH(N$5,0),$I37&gt;=N$5),1,"")</f>
        <v>1</v>
      </c>
      <c r="O37" s="42" t="n">
        <f aca="false">IF(AND($H37&lt;=EOMONTH(O$5,0),$I37&gt;=O$5),1,"")</f>
        <v>1</v>
      </c>
      <c r="P37" s="42" t="n">
        <f aca="false">IF(AND($H37&lt;=EOMONTH(P$5,0),$I37&gt;=P$5),1,"")</f>
        <v>1</v>
      </c>
      <c r="Q37" s="42" t="n">
        <f aca="false">IF(AND($H37&lt;=EOMONTH(Q$5,0),$I37&gt;=Q$5),1,"")</f>
        <v>1</v>
      </c>
      <c r="R37" s="42" t="str">
        <f aca="false">IF(AND($H37&lt;=EOMONTH(R$5,0),$I37&gt;=R$5),1,"")</f>
        <v/>
      </c>
      <c r="S37" s="42" t="str">
        <f aca="false">IF(AND($H37&lt;=EOMONTH(S$5,0),$I37&gt;=S$5),1,"")</f>
        <v/>
      </c>
      <c r="T37" s="42" t="str">
        <f aca="false">IF(AND($H37&lt;=EOMONTH(T$5,0),$I37&gt;=T$5),1,"")</f>
        <v/>
      </c>
      <c r="U37" s="42" t="str">
        <f aca="false">IF(AND($H37&lt;=EOMONTH(U$5,0),$I37&gt;=U$5),1,"")</f>
        <v/>
      </c>
      <c r="V37" s="42" t="str">
        <f aca="false">IF(AND($H37&lt;=EOMONTH(V$5,0),$I37&gt;=V$5),1,"")</f>
        <v/>
      </c>
      <c r="W37" s="42" t="str">
        <f aca="false">IF(AND($H37&lt;=EOMONTH(W$5,0),$I37&gt;=W$5),1,"")</f>
        <v/>
      </c>
      <c r="X37" s="42" t="str">
        <f aca="false">IF(AND($H37&lt;=EOMONTH(X$5,0),$I37&gt;=X$5),1,"")</f>
        <v/>
      </c>
      <c r="Y37" s="42" t="str">
        <f aca="false">IF(AND($H37&lt;=EOMONTH(Y$5,0),$I37&gt;=Y$5),1,"")</f>
        <v/>
      </c>
      <c r="Z37" s="42" t="str">
        <f aca="false">IF(AND($H37&lt;=EOMONTH(Z$5,0),$I37&gt;=Z$5),1,"")</f>
        <v/>
      </c>
      <c r="AA37" s="42" t="str">
        <f aca="false">IF(AND($H37&lt;=EOMONTH(AA$5,0),$I37&gt;=AA$5),1,"")</f>
        <v/>
      </c>
      <c r="AB37" s="42" t="str">
        <f aca="false">IF(AND($H37&lt;=EOMONTH(AB$5,0),$I37&gt;=AB$5),1,"")</f>
        <v/>
      </c>
      <c r="AC37" s="42" t="str">
        <f aca="false">IF(AND($H37&lt;=EOMONTH(AC$5,0),$I37&gt;=AC$5),1,"")</f>
        <v/>
      </c>
      <c r="AD37" s="42" t="str">
        <f aca="false">IF(AND($H37&lt;=EOMONTH(AD$5,0),$I37&gt;=AD$5),1,"")</f>
        <v/>
      </c>
      <c r="AE37" s="42" t="str">
        <f aca="false">IF(AND($H37&lt;=EOMONTH(AE$5,0),$I37&gt;=AE$5),1,"")</f>
        <v/>
      </c>
      <c r="AF37" s="42" t="str">
        <f aca="false">IF(AND($H37&lt;=EOMONTH(AF$5,0),$I37&gt;=AF$5),1,"")</f>
        <v/>
      </c>
      <c r="AG37" s="42" t="str">
        <f aca="false">IF(AND($H37&lt;=EOMONTH(AG$5,0),$I37&gt;=AG$5),1,"")</f>
        <v/>
      </c>
      <c r="AH37" s="42" t="str">
        <f aca="false">IF(AND($H37&lt;=EOMONTH(AH$5,0),$I37&gt;=AH$5),1,"")</f>
        <v/>
      </c>
    </row>
    <row r="38" customFormat="false" ht="15" hidden="false" customHeight="false" outlineLevel="0" collapsed="false">
      <c r="A38" s="12" t="s">
        <v>1699</v>
      </c>
      <c r="B38" s="12" t="s">
        <v>6041</v>
      </c>
      <c r="C38" s="12" t="n">
        <f aca="false">COUNTIF(Packages!$A$6:$A$206,"UG-14F")</f>
        <v>1</v>
      </c>
      <c r="D38" s="20" t="n">
        <f aca="false">SUMIF(Packages!$A$6:$A$206,"UG-14F",Packages!$O$6:$O$206)</f>
        <v>38.0884809423306</v>
      </c>
      <c r="E38" s="20" t="n">
        <f aca="false">SUMIF(Packages!$A$6:$A$206,"UG-14F",Packages!$U$6:$U$206)</f>
        <v>28.0375000001695</v>
      </c>
      <c r="F38" s="20" t="n">
        <f aca="false">SUMIF(Packages!$A$6:$A$206,"UG-14F",Packages!$AC$6:$AC$206)</f>
        <v>28</v>
      </c>
      <c r="G38" s="20" t="n">
        <f aca="false">SUMIF(Packages!$A$6:$A$206,"UG-14F",Packages!$X$6:$X$206)+SUMIF(Packages!$A$6:$A$206,"UG-14F",Packages!$Y$6:$Y$206)</f>
        <v>417.586381472718</v>
      </c>
      <c r="H38" s="16" t="n">
        <f aca="false">_xlfn.MINIFS(Packages!$AL$6:$AL$206,Packages!$A$6:$A$206,"UG-14F")</f>
        <v>46357</v>
      </c>
      <c r="I38" s="16" t="n">
        <f aca="false">_xlfn.MAXIFS(Packages!$AM$6:$AM$206,Packages!$A$6:$A$206,"UG-14F")</f>
        <v>46532</v>
      </c>
      <c r="J38" s="21" t="n">
        <f aca="false">(I38-H38)/30.4</f>
        <v>5.75657894736842</v>
      </c>
      <c r="K38" s="42" t="n">
        <f aca="false">IF(AND($H38&lt;=EOMONTH(K$5,0),$I38&gt;=K$5),1,"")</f>
        <v>1</v>
      </c>
      <c r="L38" s="42" t="n">
        <f aca="false">IF(AND($H38&lt;=EOMONTH(L$5,0),$I38&gt;=L$5),1,"")</f>
        <v>1</v>
      </c>
      <c r="M38" s="42" t="n">
        <f aca="false">IF(AND($H38&lt;=EOMONTH(M$5,0),$I38&gt;=M$5),1,"")</f>
        <v>1</v>
      </c>
      <c r="N38" s="42" t="n">
        <f aca="false">IF(AND($H38&lt;=EOMONTH(N$5,0),$I38&gt;=N$5),1,"")</f>
        <v>1</v>
      </c>
      <c r="O38" s="42" t="n">
        <f aca="false">IF(AND($H38&lt;=EOMONTH(O$5,0),$I38&gt;=O$5),1,"")</f>
        <v>1</v>
      </c>
      <c r="P38" s="42" t="n">
        <f aca="false">IF(AND($H38&lt;=EOMONTH(P$5,0),$I38&gt;=P$5),1,"")</f>
        <v>1</v>
      </c>
      <c r="Q38" s="42" t="str">
        <f aca="false">IF(AND($H38&lt;=EOMONTH(Q$5,0),$I38&gt;=Q$5),1,"")</f>
        <v/>
      </c>
      <c r="R38" s="42" t="str">
        <f aca="false">IF(AND($H38&lt;=EOMONTH(R$5,0),$I38&gt;=R$5),1,"")</f>
        <v/>
      </c>
      <c r="S38" s="42" t="str">
        <f aca="false">IF(AND($H38&lt;=EOMONTH(S$5,0),$I38&gt;=S$5),1,"")</f>
        <v/>
      </c>
      <c r="T38" s="42" t="str">
        <f aca="false">IF(AND($H38&lt;=EOMONTH(T$5,0),$I38&gt;=T$5),1,"")</f>
        <v/>
      </c>
      <c r="U38" s="42" t="str">
        <f aca="false">IF(AND($H38&lt;=EOMONTH(U$5,0),$I38&gt;=U$5),1,"")</f>
        <v/>
      </c>
      <c r="V38" s="42" t="str">
        <f aca="false">IF(AND($H38&lt;=EOMONTH(V$5,0),$I38&gt;=V$5),1,"")</f>
        <v/>
      </c>
      <c r="W38" s="42" t="str">
        <f aca="false">IF(AND($H38&lt;=EOMONTH(W$5,0),$I38&gt;=W$5),1,"")</f>
        <v/>
      </c>
      <c r="X38" s="42" t="str">
        <f aca="false">IF(AND($H38&lt;=EOMONTH(X$5,0),$I38&gt;=X$5),1,"")</f>
        <v/>
      </c>
      <c r="Y38" s="42" t="str">
        <f aca="false">IF(AND($H38&lt;=EOMONTH(Y$5,0),$I38&gt;=Y$5),1,"")</f>
        <v/>
      </c>
      <c r="Z38" s="42" t="str">
        <f aca="false">IF(AND($H38&lt;=EOMONTH(Z$5,0),$I38&gt;=Z$5),1,"")</f>
        <v/>
      </c>
      <c r="AA38" s="42" t="str">
        <f aca="false">IF(AND($H38&lt;=EOMONTH(AA$5,0),$I38&gt;=AA$5),1,"")</f>
        <v/>
      </c>
      <c r="AB38" s="42" t="str">
        <f aca="false">IF(AND($H38&lt;=EOMONTH(AB$5,0),$I38&gt;=AB$5),1,"")</f>
        <v/>
      </c>
      <c r="AC38" s="42" t="str">
        <f aca="false">IF(AND($H38&lt;=EOMONTH(AC$5,0),$I38&gt;=AC$5),1,"")</f>
        <v/>
      </c>
      <c r="AD38" s="42" t="str">
        <f aca="false">IF(AND($H38&lt;=EOMONTH(AD$5,0),$I38&gt;=AD$5),1,"")</f>
        <v/>
      </c>
      <c r="AE38" s="42" t="str">
        <f aca="false">IF(AND($H38&lt;=EOMONTH(AE$5,0),$I38&gt;=AE$5),1,"")</f>
        <v/>
      </c>
      <c r="AF38" s="42" t="str">
        <f aca="false">IF(AND($H38&lt;=EOMONTH(AF$5,0),$I38&gt;=AF$5),1,"")</f>
        <v/>
      </c>
      <c r="AG38" s="42" t="str">
        <f aca="false">IF(AND($H38&lt;=EOMONTH(AG$5,0),$I38&gt;=AG$5),1,"")</f>
        <v/>
      </c>
      <c r="AH38" s="42" t="str">
        <f aca="false">IF(AND($H38&lt;=EOMONTH(AH$5,0),$I38&gt;=AH$5),1,"")</f>
        <v/>
      </c>
    </row>
    <row r="39" customFormat="false" ht="15" hidden="false" customHeight="false" outlineLevel="0" collapsed="false">
      <c r="A39" s="12" t="s">
        <v>1715</v>
      </c>
      <c r="B39" s="12" t="s">
        <v>6042</v>
      </c>
      <c r="C39" s="12" t="n">
        <f aca="false">COUNTIF(Packages!$A$6:$A$206,"UG-14G")</f>
        <v>1</v>
      </c>
      <c r="D39" s="20" t="n">
        <f aca="false">SUMIF(Packages!$A$6:$A$206,"UG-14G",Packages!$O$6:$O$206)</f>
        <v>38.29882416476</v>
      </c>
      <c r="E39" s="20" t="n">
        <f aca="false">SUMIF(Packages!$A$6:$A$206,"UG-14G",Packages!$U$6:$U$206)</f>
        <v>0</v>
      </c>
      <c r="F39" s="20" t="n">
        <f aca="false">SUMIF(Packages!$A$6:$A$206,"UG-14G",Packages!$AC$6:$AC$206)</f>
        <v>28</v>
      </c>
      <c r="G39" s="20" t="n">
        <f aca="false">SUMIF(Packages!$A$6:$A$206,"UG-14G",Packages!$X$6:$X$206)+SUMIF(Packages!$A$6:$A$206,"UG-14G",Packages!$Y$6:$Y$206)</f>
        <v>988.52071724747</v>
      </c>
      <c r="H39" s="16" t="n">
        <f aca="false">_xlfn.MINIFS(Packages!$AL$6:$AL$206,Packages!$A$6:$A$206,"UG-14G")</f>
        <v>46357</v>
      </c>
      <c r="I39" s="16" t="n">
        <f aca="false">_xlfn.MAXIFS(Packages!$AM$6:$AM$206,Packages!$A$6:$A$206,"UG-14G")</f>
        <v>46598</v>
      </c>
      <c r="J39" s="21" t="n">
        <f aca="false">(I39-H39)/30.4</f>
        <v>7.92763157894737</v>
      </c>
      <c r="K39" s="42" t="n">
        <f aca="false">IF(AND($H39&lt;=EOMONTH(K$5,0),$I39&gt;=K$5),1,"")</f>
        <v>1</v>
      </c>
      <c r="L39" s="42" t="n">
        <f aca="false">IF(AND($H39&lt;=EOMONTH(L$5,0),$I39&gt;=L$5),1,"")</f>
        <v>1</v>
      </c>
      <c r="M39" s="42" t="n">
        <f aca="false">IF(AND($H39&lt;=EOMONTH(M$5,0),$I39&gt;=M$5),1,"")</f>
        <v>1</v>
      </c>
      <c r="N39" s="42" t="n">
        <f aca="false">IF(AND($H39&lt;=EOMONTH(N$5,0),$I39&gt;=N$5),1,"")</f>
        <v>1</v>
      </c>
      <c r="O39" s="42" t="n">
        <f aca="false">IF(AND($H39&lt;=EOMONTH(O$5,0),$I39&gt;=O$5),1,"")</f>
        <v>1</v>
      </c>
      <c r="P39" s="42" t="n">
        <f aca="false">IF(AND($H39&lt;=EOMONTH(P$5,0),$I39&gt;=P$5),1,"")</f>
        <v>1</v>
      </c>
      <c r="Q39" s="42" t="n">
        <f aca="false">IF(AND($H39&lt;=EOMONTH(Q$5,0),$I39&gt;=Q$5),1,"")</f>
        <v>1</v>
      </c>
      <c r="R39" s="42" t="n">
        <f aca="false">IF(AND($H39&lt;=EOMONTH(R$5,0),$I39&gt;=R$5),1,"")</f>
        <v>1</v>
      </c>
      <c r="S39" s="42" t="str">
        <f aca="false">IF(AND($H39&lt;=EOMONTH(S$5,0),$I39&gt;=S$5),1,"")</f>
        <v/>
      </c>
      <c r="T39" s="42" t="str">
        <f aca="false">IF(AND($H39&lt;=EOMONTH(T$5,0),$I39&gt;=T$5),1,"")</f>
        <v/>
      </c>
      <c r="U39" s="42" t="str">
        <f aca="false">IF(AND($H39&lt;=EOMONTH(U$5,0),$I39&gt;=U$5),1,"")</f>
        <v/>
      </c>
      <c r="V39" s="42" t="str">
        <f aca="false">IF(AND($H39&lt;=EOMONTH(V$5,0),$I39&gt;=V$5),1,"")</f>
        <v/>
      </c>
      <c r="W39" s="42" t="str">
        <f aca="false">IF(AND($H39&lt;=EOMONTH(W$5,0),$I39&gt;=W$5),1,"")</f>
        <v/>
      </c>
      <c r="X39" s="42" t="str">
        <f aca="false">IF(AND($H39&lt;=EOMONTH(X$5,0),$I39&gt;=X$5),1,"")</f>
        <v/>
      </c>
      <c r="Y39" s="42" t="str">
        <f aca="false">IF(AND($H39&lt;=EOMONTH(Y$5,0),$I39&gt;=Y$5),1,"")</f>
        <v/>
      </c>
      <c r="Z39" s="42" t="str">
        <f aca="false">IF(AND($H39&lt;=EOMONTH(Z$5,0),$I39&gt;=Z$5),1,"")</f>
        <v/>
      </c>
      <c r="AA39" s="42" t="str">
        <f aca="false">IF(AND($H39&lt;=EOMONTH(AA$5,0),$I39&gt;=AA$5),1,"")</f>
        <v/>
      </c>
      <c r="AB39" s="42" t="str">
        <f aca="false">IF(AND($H39&lt;=EOMONTH(AB$5,0),$I39&gt;=AB$5),1,"")</f>
        <v/>
      </c>
      <c r="AC39" s="42" t="str">
        <f aca="false">IF(AND($H39&lt;=EOMONTH(AC$5,0),$I39&gt;=AC$5),1,"")</f>
        <v/>
      </c>
      <c r="AD39" s="42" t="str">
        <f aca="false">IF(AND($H39&lt;=EOMONTH(AD$5,0),$I39&gt;=AD$5),1,"")</f>
        <v/>
      </c>
      <c r="AE39" s="42" t="str">
        <f aca="false">IF(AND($H39&lt;=EOMONTH(AE$5,0),$I39&gt;=AE$5),1,"")</f>
        <v/>
      </c>
      <c r="AF39" s="42" t="str">
        <f aca="false">IF(AND($H39&lt;=EOMONTH(AF$5,0),$I39&gt;=AF$5),1,"")</f>
        <v/>
      </c>
      <c r="AG39" s="42" t="str">
        <f aca="false">IF(AND($H39&lt;=EOMONTH(AG$5,0),$I39&gt;=AG$5),1,"")</f>
        <v/>
      </c>
      <c r="AH39" s="42" t="str">
        <f aca="false">IF(AND($H39&lt;=EOMONTH(AH$5,0),$I39&gt;=AH$5),1,"")</f>
        <v/>
      </c>
    </row>
    <row r="40" customFormat="false" ht="15" hidden="false" customHeight="false" outlineLevel="0" collapsed="false">
      <c r="A40" s="12" t="s">
        <v>1731</v>
      </c>
      <c r="B40" s="12" t="s">
        <v>6043</v>
      </c>
      <c r="C40" s="12" t="n">
        <f aca="false">COUNTIF(Packages!$A$6:$A$206,"UG-14H")</f>
        <v>1</v>
      </c>
      <c r="D40" s="20" t="n">
        <f aca="false">SUMIF(Packages!$A$6:$A$206,"UG-14H",Packages!$O$6:$O$206)</f>
        <v>38.1765969386905</v>
      </c>
      <c r="E40" s="20" t="n">
        <f aca="false">SUMIF(Packages!$A$6:$A$206,"UG-14H",Packages!$U$6:$U$206)</f>
        <v>0</v>
      </c>
      <c r="F40" s="20" t="n">
        <f aca="false">SUMIF(Packages!$A$6:$A$206,"UG-14H",Packages!$AC$6:$AC$206)</f>
        <v>28</v>
      </c>
      <c r="G40" s="20" t="n">
        <f aca="false">SUMIF(Packages!$A$6:$A$206,"UG-14H",Packages!$X$6:$X$206)+SUMIF(Packages!$A$6:$A$206,"UG-14H",Packages!$Y$6:$Y$206)</f>
        <v>988.3715913052</v>
      </c>
      <c r="H40" s="16" t="n">
        <f aca="false">_xlfn.MINIFS(Packages!$AL$6:$AL$206,Packages!$A$6:$A$206,"UG-14H")</f>
        <v>46357</v>
      </c>
      <c r="I40" s="16" t="n">
        <f aca="false">_xlfn.MAXIFS(Packages!$AM$6:$AM$206,Packages!$A$6:$A$206,"UG-14H")</f>
        <v>46607</v>
      </c>
      <c r="J40" s="21" t="n">
        <f aca="false">(I40-H40)/30.4</f>
        <v>8.22368421052632</v>
      </c>
      <c r="K40" s="42" t="n">
        <f aca="false">IF(AND($H40&lt;=EOMONTH(K$5,0),$I40&gt;=K$5),1,"")</f>
        <v>1</v>
      </c>
      <c r="L40" s="42" t="n">
        <f aca="false">IF(AND($H40&lt;=EOMONTH(L$5,0),$I40&gt;=L$5),1,"")</f>
        <v>1</v>
      </c>
      <c r="M40" s="42" t="n">
        <f aca="false">IF(AND($H40&lt;=EOMONTH(M$5,0),$I40&gt;=M$5),1,"")</f>
        <v>1</v>
      </c>
      <c r="N40" s="42" t="n">
        <f aca="false">IF(AND($H40&lt;=EOMONTH(N$5,0),$I40&gt;=N$5),1,"")</f>
        <v>1</v>
      </c>
      <c r="O40" s="42" t="n">
        <f aca="false">IF(AND($H40&lt;=EOMONTH(O$5,0),$I40&gt;=O$5),1,"")</f>
        <v>1</v>
      </c>
      <c r="P40" s="42" t="n">
        <f aca="false">IF(AND($H40&lt;=EOMONTH(P$5,0),$I40&gt;=P$5),1,"")</f>
        <v>1</v>
      </c>
      <c r="Q40" s="42" t="n">
        <f aca="false">IF(AND($H40&lt;=EOMONTH(Q$5,0),$I40&gt;=Q$5),1,"")</f>
        <v>1</v>
      </c>
      <c r="R40" s="42" t="n">
        <f aca="false">IF(AND($H40&lt;=EOMONTH(R$5,0),$I40&gt;=R$5),1,"")</f>
        <v>1</v>
      </c>
      <c r="S40" s="42" t="n">
        <f aca="false">IF(AND($H40&lt;=EOMONTH(S$5,0),$I40&gt;=S$5),1,"")</f>
        <v>1</v>
      </c>
      <c r="T40" s="42" t="str">
        <f aca="false">IF(AND($H40&lt;=EOMONTH(T$5,0),$I40&gt;=T$5),1,"")</f>
        <v/>
      </c>
      <c r="U40" s="42" t="str">
        <f aca="false">IF(AND($H40&lt;=EOMONTH(U$5,0),$I40&gt;=U$5),1,"")</f>
        <v/>
      </c>
      <c r="V40" s="42" t="str">
        <f aca="false">IF(AND($H40&lt;=EOMONTH(V$5,0),$I40&gt;=V$5),1,"")</f>
        <v/>
      </c>
      <c r="W40" s="42" t="str">
        <f aca="false">IF(AND($H40&lt;=EOMONTH(W$5,0),$I40&gt;=W$5),1,"")</f>
        <v/>
      </c>
      <c r="X40" s="42" t="str">
        <f aca="false">IF(AND($H40&lt;=EOMONTH(X$5,0),$I40&gt;=X$5),1,"")</f>
        <v/>
      </c>
      <c r="Y40" s="42" t="str">
        <f aca="false">IF(AND($H40&lt;=EOMONTH(Y$5,0),$I40&gt;=Y$5),1,"")</f>
        <v/>
      </c>
      <c r="Z40" s="42" t="str">
        <f aca="false">IF(AND($H40&lt;=EOMONTH(Z$5,0),$I40&gt;=Z$5),1,"")</f>
        <v/>
      </c>
      <c r="AA40" s="42" t="str">
        <f aca="false">IF(AND($H40&lt;=EOMONTH(AA$5,0),$I40&gt;=AA$5),1,"")</f>
        <v/>
      </c>
      <c r="AB40" s="42" t="str">
        <f aca="false">IF(AND($H40&lt;=EOMONTH(AB$5,0),$I40&gt;=AB$5),1,"")</f>
        <v/>
      </c>
      <c r="AC40" s="42" t="str">
        <f aca="false">IF(AND($H40&lt;=EOMONTH(AC$5,0),$I40&gt;=AC$5),1,"")</f>
        <v/>
      </c>
      <c r="AD40" s="42" t="str">
        <f aca="false">IF(AND($H40&lt;=EOMONTH(AD$5,0),$I40&gt;=AD$5),1,"")</f>
        <v/>
      </c>
      <c r="AE40" s="42" t="str">
        <f aca="false">IF(AND($H40&lt;=EOMONTH(AE$5,0),$I40&gt;=AE$5),1,"")</f>
        <v/>
      </c>
      <c r="AF40" s="42" t="str">
        <f aca="false">IF(AND($H40&lt;=EOMONTH(AF$5,0),$I40&gt;=AF$5),1,"")</f>
        <v/>
      </c>
      <c r="AG40" s="42" t="str">
        <f aca="false">IF(AND($H40&lt;=EOMONTH(AG$5,0),$I40&gt;=AG$5),1,"")</f>
        <v/>
      </c>
      <c r="AH40" s="42" t="str">
        <f aca="false">IF(AND($H40&lt;=EOMONTH(AH$5,0),$I40&gt;=AH$5),1,"")</f>
        <v/>
      </c>
    </row>
    <row r="41" customFormat="false" ht="15" hidden="false" customHeight="false" outlineLevel="0" collapsed="false">
      <c r="A41" s="12" t="s">
        <v>1747</v>
      </c>
      <c r="B41" s="12" t="s">
        <v>6044</v>
      </c>
      <c r="C41" s="12" t="n">
        <f aca="false">COUNTIF(Packages!$A$6:$A$206,"UG-16A")</f>
        <v>1</v>
      </c>
      <c r="D41" s="20" t="n">
        <f aca="false">SUMIF(Packages!$A$6:$A$206,"UG-16A",Packages!$O$6:$O$206)</f>
        <v>37.7775329074911</v>
      </c>
      <c r="E41" s="20" t="n">
        <f aca="false">SUMIF(Packages!$A$6:$A$206,"UG-16A",Packages!$U$6:$U$206)</f>
        <v>27.7775329077076</v>
      </c>
      <c r="F41" s="20" t="n">
        <f aca="false">SUMIF(Packages!$A$6:$A$206,"UG-16A",Packages!$AC$6:$AC$206)</f>
        <v>28</v>
      </c>
      <c r="G41" s="20" t="n">
        <f aca="false">SUMIF(Packages!$A$6:$A$206,"UG-16A",Packages!$X$6:$X$206)+SUMIF(Packages!$A$6:$A$206,"UG-16A",Packages!$Y$6:$Y$206)</f>
        <v>394.901744955013</v>
      </c>
      <c r="H41" s="16" t="n">
        <f aca="false">_xlfn.MINIFS(Packages!$AL$6:$AL$206,Packages!$A$6:$A$206,"UG-16A")</f>
        <v>46357</v>
      </c>
      <c r="I41" s="16" t="n">
        <f aca="false">_xlfn.MAXIFS(Packages!$AM$6:$AM$206,Packages!$A$6:$A$206,"UG-16A")</f>
        <v>46548</v>
      </c>
      <c r="J41" s="21" t="n">
        <f aca="false">(I41-H41)/30.4</f>
        <v>6.28289473684211</v>
      </c>
      <c r="K41" s="42" t="n">
        <f aca="false">IF(AND($H41&lt;=EOMONTH(K$5,0),$I41&gt;=K$5),1,"")</f>
        <v>1</v>
      </c>
      <c r="L41" s="42" t="n">
        <f aca="false">IF(AND($H41&lt;=EOMONTH(L$5,0),$I41&gt;=L$5),1,"")</f>
        <v>1</v>
      </c>
      <c r="M41" s="42" t="n">
        <f aca="false">IF(AND($H41&lt;=EOMONTH(M$5,0),$I41&gt;=M$5),1,"")</f>
        <v>1</v>
      </c>
      <c r="N41" s="42" t="n">
        <f aca="false">IF(AND($H41&lt;=EOMONTH(N$5,0),$I41&gt;=N$5),1,"")</f>
        <v>1</v>
      </c>
      <c r="O41" s="42" t="n">
        <f aca="false">IF(AND($H41&lt;=EOMONTH(O$5,0),$I41&gt;=O$5),1,"")</f>
        <v>1</v>
      </c>
      <c r="P41" s="42" t="n">
        <f aca="false">IF(AND($H41&lt;=EOMONTH(P$5,0),$I41&gt;=P$5),1,"")</f>
        <v>1</v>
      </c>
      <c r="Q41" s="42" t="n">
        <f aca="false">IF(AND($H41&lt;=EOMONTH(Q$5,0),$I41&gt;=Q$5),1,"")</f>
        <v>1</v>
      </c>
      <c r="R41" s="42" t="str">
        <f aca="false">IF(AND($H41&lt;=EOMONTH(R$5,0),$I41&gt;=R$5),1,"")</f>
        <v/>
      </c>
      <c r="S41" s="42" t="str">
        <f aca="false">IF(AND($H41&lt;=EOMONTH(S$5,0),$I41&gt;=S$5),1,"")</f>
        <v/>
      </c>
      <c r="T41" s="42" t="str">
        <f aca="false">IF(AND($H41&lt;=EOMONTH(T$5,0),$I41&gt;=T$5),1,"")</f>
        <v/>
      </c>
      <c r="U41" s="42" t="str">
        <f aca="false">IF(AND($H41&lt;=EOMONTH(U$5,0),$I41&gt;=U$5),1,"")</f>
        <v/>
      </c>
      <c r="V41" s="42" t="str">
        <f aca="false">IF(AND($H41&lt;=EOMONTH(V$5,0),$I41&gt;=V$5),1,"")</f>
        <v/>
      </c>
      <c r="W41" s="42" t="str">
        <f aca="false">IF(AND($H41&lt;=EOMONTH(W$5,0),$I41&gt;=W$5),1,"")</f>
        <v/>
      </c>
      <c r="X41" s="42" t="str">
        <f aca="false">IF(AND($H41&lt;=EOMONTH(X$5,0),$I41&gt;=X$5),1,"")</f>
        <v/>
      </c>
      <c r="Y41" s="42" t="str">
        <f aca="false">IF(AND($H41&lt;=EOMONTH(Y$5,0),$I41&gt;=Y$5),1,"")</f>
        <v/>
      </c>
      <c r="Z41" s="42" t="str">
        <f aca="false">IF(AND($H41&lt;=EOMONTH(Z$5,0),$I41&gt;=Z$5),1,"")</f>
        <v/>
      </c>
      <c r="AA41" s="42" t="str">
        <f aca="false">IF(AND($H41&lt;=EOMONTH(AA$5,0),$I41&gt;=AA$5),1,"")</f>
        <v/>
      </c>
      <c r="AB41" s="42" t="str">
        <f aca="false">IF(AND($H41&lt;=EOMONTH(AB$5,0),$I41&gt;=AB$5),1,"")</f>
        <v/>
      </c>
      <c r="AC41" s="42" t="str">
        <f aca="false">IF(AND($H41&lt;=EOMONTH(AC$5,0),$I41&gt;=AC$5),1,"")</f>
        <v/>
      </c>
      <c r="AD41" s="42" t="str">
        <f aca="false">IF(AND($H41&lt;=EOMONTH(AD$5,0),$I41&gt;=AD$5),1,"")</f>
        <v/>
      </c>
      <c r="AE41" s="42" t="str">
        <f aca="false">IF(AND($H41&lt;=EOMONTH(AE$5,0),$I41&gt;=AE$5),1,"")</f>
        <v/>
      </c>
      <c r="AF41" s="42" t="str">
        <f aca="false">IF(AND($H41&lt;=EOMONTH(AF$5,0),$I41&gt;=AF$5),1,"")</f>
        <v/>
      </c>
      <c r="AG41" s="42" t="str">
        <f aca="false">IF(AND($H41&lt;=EOMONTH(AG$5,0),$I41&gt;=AG$5),1,"")</f>
        <v/>
      </c>
      <c r="AH41" s="42" t="str">
        <f aca="false">IF(AND($H41&lt;=EOMONTH(AH$5,0),$I41&gt;=AH$5),1,"")</f>
        <v/>
      </c>
    </row>
    <row r="42" customFormat="false" ht="15" hidden="false" customHeight="false" outlineLevel="0" collapsed="false">
      <c r="A42" s="12" t="s">
        <v>1763</v>
      </c>
      <c r="B42" s="12" t="s">
        <v>6045</v>
      </c>
      <c r="C42" s="12" t="n">
        <f aca="false">COUNTIF(Packages!$A$6:$A$206,"UG-16B")</f>
        <v>1</v>
      </c>
      <c r="D42" s="20" t="n">
        <f aca="false">SUMIF(Packages!$A$6:$A$206,"UG-16B",Packages!$O$6:$O$206)</f>
        <v>38.1234150651088</v>
      </c>
      <c r="E42" s="20" t="n">
        <f aca="false">SUMIF(Packages!$A$6:$A$206,"UG-16B",Packages!$U$6:$U$206)</f>
        <v>28.0040000000552</v>
      </c>
      <c r="F42" s="20" t="n">
        <f aca="false">SUMIF(Packages!$A$6:$A$206,"UG-16B",Packages!$AC$6:$AC$206)</f>
        <v>28</v>
      </c>
      <c r="G42" s="20" t="n">
        <f aca="false">SUMIF(Packages!$A$6:$A$206,"UG-16B",Packages!$X$6:$X$206)+SUMIF(Packages!$A$6:$A$206,"UG-16B",Packages!$Y$6:$Y$206)</f>
        <v>399.963870588136</v>
      </c>
      <c r="H42" s="16" t="n">
        <f aca="false">_xlfn.MINIFS(Packages!$AL$6:$AL$206,Packages!$A$6:$A$206,"UG-16B")</f>
        <v>46357</v>
      </c>
      <c r="I42" s="16" t="n">
        <f aca="false">_xlfn.MAXIFS(Packages!$AM$6:$AM$206,Packages!$A$6:$A$206,"UG-16B")</f>
        <v>46518</v>
      </c>
      <c r="J42" s="21" t="n">
        <f aca="false">(I42-H42)/30.4</f>
        <v>5.29605263157895</v>
      </c>
      <c r="K42" s="42" t="n">
        <f aca="false">IF(AND($H42&lt;=EOMONTH(K$5,0),$I42&gt;=K$5),1,"")</f>
        <v>1</v>
      </c>
      <c r="L42" s="42" t="n">
        <f aca="false">IF(AND($H42&lt;=EOMONTH(L$5,0),$I42&gt;=L$5),1,"")</f>
        <v>1</v>
      </c>
      <c r="M42" s="42" t="n">
        <f aca="false">IF(AND($H42&lt;=EOMONTH(M$5,0),$I42&gt;=M$5),1,"")</f>
        <v>1</v>
      </c>
      <c r="N42" s="42" t="n">
        <f aca="false">IF(AND($H42&lt;=EOMONTH(N$5,0),$I42&gt;=N$5),1,"")</f>
        <v>1</v>
      </c>
      <c r="O42" s="42" t="n">
        <f aca="false">IF(AND($H42&lt;=EOMONTH(O$5,0),$I42&gt;=O$5),1,"")</f>
        <v>1</v>
      </c>
      <c r="P42" s="42" t="n">
        <f aca="false">IF(AND($H42&lt;=EOMONTH(P$5,0),$I42&gt;=P$5),1,"")</f>
        <v>1</v>
      </c>
      <c r="Q42" s="42" t="str">
        <f aca="false">IF(AND($H42&lt;=EOMONTH(Q$5,0),$I42&gt;=Q$5),1,"")</f>
        <v/>
      </c>
      <c r="R42" s="42" t="str">
        <f aca="false">IF(AND($H42&lt;=EOMONTH(R$5,0),$I42&gt;=R$5),1,"")</f>
        <v/>
      </c>
      <c r="S42" s="42" t="str">
        <f aca="false">IF(AND($H42&lt;=EOMONTH(S$5,0),$I42&gt;=S$5),1,"")</f>
        <v/>
      </c>
      <c r="T42" s="42" t="str">
        <f aca="false">IF(AND($H42&lt;=EOMONTH(T$5,0),$I42&gt;=T$5),1,"")</f>
        <v/>
      </c>
      <c r="U42" s="42" t="str">
        <f aca="false">IF(AND($H42&lt;=EOMONTH(U$5,0),$I42&gt;=U$5),1,"")</f>
        <v/>
      </c>
      <c r="V42" s="42" t="str">
        <f aca="false">IF(AND($H42&lt;=EOMONTH(V$5,0),$I42&gt;=V$5),1,"")</f>
        <v/>
      </c>
      <c r="W42" s="42" t="str">
        <f aca="false">IF(AND($H42&lt;=EOMONTH(W$5,0),$I42&gt;=W$5),1,"")</f>
        <v/>
      </c>
      <c r="X42" s="42" t="str">
        <f aca="false">IF(AND($H42&lt;=EOMONTH(X$5,0),$I42&gt;=X$5),1,"")</f>
        <v/>
      </c>
      <c r="Y42" s="42" t="str">
        <f aca="false">IF(AND($H42&lt;=EOMONTH(Y$5,0),$I42&gt;=Y$5),1,"")</f>
        <v/>
      </c>
      <c r="Z42" s="42" t="str">
        <f aca="false">IF(AND($H42&lt;=EOMONTH(Z$5,0),$I42&gt;=Z$5),1,"")</f>
        <v/>
      </c>
      <c r="AA42" s="42" t="str">
        <f aca="false">IF(AND($H42&lt;=EOMONTH(AA$5,0),$I42&gt;=AA$5),1,"")</f>
        <v/>
      </c>
      <c r="AB42" s="42" t="str">
        <f aca="false">IF(AND($H42&lt;=EOMONTH(AB$5,0),$I42&gt;=AB$5),1,"")</f>
        <v/>
      </c>
      <c r="AC42" s="42" t="str">
        <f aca="false">IF(AND($H42&lt;=EOMONTH(AC$5,0),$I42&gt;=AC$5),1,"")</f>
        <v/>
      </c>
      <c r="AD42" s="42" t="str">
        <f aca="false">IF(AND($H42&lt;=EOMONTH(AD$5,0),$I42&gt;=AD$5),1,"")</f>
        <v/>
      </c>
      <c r="AE42" s="42" t="str">
        <f aca="false">IF(AND($H42&lt;=EOMONTH(AE$5,0),$I42&gt;=AE$5),1,"")</f>
        <v/>
      </c>
      <c r="AF42" s="42" t="str">
        <f aca="false">IF(AND($H42&lt;=EOMONTH(AF$5,0),$I42&gt;=AF$5),1,"")</f>
        <v/>
      </c>
      <c r="AG42" s="42" t="str">
        <f aca="false">IF(AND($H42&lt;=EOMONTH(AG$5,0),$I42&gt;=AG$5),1,"")</f>
        <v/>
      </c>
      <c r="AH42" s="42" t="str">
        <f aca="false">IF(AND($H42&lt;=EOMONTH(AH$5,0),$I42&gt;=AH$5),1,"")</f>
        <v/>
      </c>
    </row>
    <row r="43" customFormat="false" ht="15" hidden="false" customHeight="false" outlineLevel="0" collapsed="false">
      <c r="A43" s="12" t="s">
        <v>1779</v>
      </c>
      <c r="B43" s="12" t="s">
        <v>6046</v>
      </c>
      <c r="C43" s="12" t="n">
        <f aca="false">COUNTIF(Packages!$A$6:$A$206,"UG-16C")</f>
        <v>1</v>
      </c>
      <c r="D43" s="20" t="n">
        <f aca="false">SUMIF(Packages!$A$6:$A$206,"UG-16C",Packages!$O$6:$O$206)</f>
        <v>38.3838097576448</v>
      </c>
      <c r="E43" s="20" t="n">
        <f aca="false">SUMIF(Packages!$A$6:$A$206,"UG-16C",Packages!$U$6:$U$206)</f>
        <v>0</v>
      </c>
      <c r="F43" s="20" t="n">
        <f aca="false">SUMIF(Packages!$A$6:$A$206,"UG-16C",Packages!$AC$6:$AC$206)</f>
        <v>28</v>
      </c>
      <c r="G43" s="20" t="n">
        <f aca="false">SUMIF(Packages!$A$6:$A$206,"UG-16C",Packages!$X$6:$X$206)+SUMIF(Packages!$A$6:$A$206,"UG-16C",Packages!$Y$6:$Y$206)</f>
        <v>1012.6890167661</v>
      </c>
      <c r="H43" s="16" t="n">
        <f aca="false">_xlfn.MINIFS(Packages!$AL$6:$AL$206,Packages!$A$6:$A$206,"UG-16C")</f>
        <v>46357</v>
      </c>
      <c r="I43" s="16" t="n">
        <f aca="false">_xlfn.MAXIFS(Packages!$AM$6:$AM$206,Packages!$A$6:$A$206,"UG-16C")</f>
        <v>46559</v>
      </c>
      <c r="J43" s="21" t="n">
        <f aca="false">(I43-H43)/30.4</f>
        <v>6.64473684210526</v>
      </c>
      <c r="K43" s="42" t="n">
        <f aca="false">IF(AND($H43&lt;=EOMONTH(K$5,0),$I43&gt;=K$5),1,"")</f>
        <v>1</v>
      </c>
      <c r="L43" s="42" t="n">
        <f aca="false">IF(AND($H43&lt;=EOMONTH(L$5,0),$I43&gt;=L$5),1,"")</f>
        <v>1</v>
      </c>
      <c r="M43" s="42" t="n">
        <f aca="false">IF(AND($H43&lt;=EOMONTH(M$5,0),$I43&gt;=M$5),1,"")</f>
        <v>1</v>
      </c>
      <c r="N43" s="42" t="n">
        <f aca="false">IF(AND($H43&lt;=EOMONTH(N$5,0),$I43&gt;=N$5),1,"")</f>
        <v>1</v>
      </c>
      <c r="O43" s="42" t="n">
        <f aca="false">IF(AND($H43&lt;=EOMONTH(O$5,0),$I43&gt;=O$5),1,"")</f>
        <v>1</v>
      </c>
      <c r="P43" s="42" t="n">
        <f aca="false">IF(AND($H43&lt;=EOMONTH(P$5,0),$I43&gt;=P$5),1,"")</f>
        <v>1</v>
      </c>
      <c r="Q43" s="42" t="n">
        <f aca="false">IF(AND($H43&lt;=EOMONTH(Q$5,0),$I43&gt;=Q$5),1,"")</f>
        <v>1</v>
      </c>
      <c r="R43" s="42" t="str">
        <f aca="false">IF(AND($H43&lt;=EOMONTH(R$5,0),$I43&gt;=R$5),1,"")</f>
        <v/>
      </c>
      <c r="S43" s="42" t="str">
        <f aca="false">IF(AND($H43&lt;=EOMONTH(S$5,0),$I43&gt;=S$5),1,"")</f>
        <v/>
      </c>
      <c r="T43" s="42" t="str">
        <f aca="false">IF(AND($H43&lt;=EOMONTH(T$5,0),$I43&gt;=T$5),1,"")</f>
        <v/>
      </c>
      <c r="U43" s="42" t="str">
        <f aca="false">IF(AND($H43&lt;=EOMONTH(U$5,0),$I43&gt;=U$5),1,"")</f>
        <v/>
      </c>
      <c r="V43" s="42" t="str">
        <f aca="false">IF(AND($H43&lt;=EOMONTH(V$5,0),$I43&gt;=V$5),1,"")</f>
        <v/>
      </c>
      <c r="W43" s="42" t="str">
        <f aca="false">IF(AND($H43&lt;=EOMONTH(W$5,0),$I43&gt;=W$5),1,"")</f>
        <v/>
      </c>
      <c r="X43" s="42" t="str">
        <f aca="false">IF(AND($H43&lt;=EOMONTH(X$5,0),$I43&gt;=X$5),1,"")</f>
        <v/>
      </c>
      <c r="Y43" s="42" t="str">
        <f aca="false">IF(AND($H43&lt;=EOMONTH(Y$5,0),$I43&gt;=Y$5),1,"")</f>
        <v/>
      </c>
      <c r="Z43" s="42" t="str">
        <f aca="false">IF(AND($H43&lt;=EOMONTH(Z$5,0),$I43&gt;=Z$5),1,"")</f>
        <v/>
      </c>
      <c r="AA43" s="42" t="str">
        <f aca="false">IF(AND($H43&lt;=EOMONTH(AA$5,0),$I43&gt;=AA$5),1,"")</f>
        <v/>
      </c>
      <c r="AB43" s="42" t="str">
        <f aca="false">IF(AND($H43&lt;=EOMONTH(AB$5,0),$I43&gt;=AB$5),1,"")</f>
        <v/>
      </c>
      <c r="AC43" s="42" t="str">
        <f aca="false">IF(AND($H43&lt;=EOMONTH(AC$5,0),$I43&gt;=AC$5),1,"")</f>
        <v/>
      </c>
      <c r="AD43" s="42" t="str">
        <f aca="false">IF(AND($H43&lt;=EOMONTH(AD$5,0),$I43&gt;=AD$5),1,"")</f>
        <v/>
      </c>
      <c r="AE43" s="42" t="str">
        <f aca="false">IF(AND($H43&lt;=EOMONTH(AE$5,0),$I43&gt;=AE$5),1,"")</f>
        <v/>
      </c>
      <c r="AF43" s="42" t="str">
        <f aca="false">IF(AND($H43&lt;=EOMONTH(AF$5,0),$I43&gt;=AF$5),1,"")</f>
        <v/>
      </c>
      <c r="AG43" s="42" t="str">
        <f aca="false">IF(AND($H43&lt;=EOMONTH(AG$5,0),$I43&gt;=AG$5),1,"")</f>
        <v/>
      </c>
      <c r="AH43" s="42" t="str">
        <f aca="false">IF(AND($H43&lt;=EOMONTH(AH$5,0),$I43&gt;=AH$5),1,"")</f>
        <v/>
      </c>
    </row>
    <row r="44" customFormat="false" ht="15" hidden="false" customHeight="false" outlineLevel="0" collapsed="false">
      <c r="A44" s="12" t="s">
        <v>1792</v>
      </c>
      <c r="B44" s="12" t="s">
        <v>6047</v>
      </c>
      <c r="C44" s="12" t="n">
        <f aca="false">COUNTIF(Packages!$A$6:$A$206,"UG-16D")</f>
        <v>1</v>
      </c>
      <c r="D44" s="20" t="n">
        <f aca="false">SUMIF(Packages!$A$6:$A$206,"UG-16D",Packages!$O$6:$O$206)</f>
        <v>36.3001316189151</v>
      </c>
      <c r="E44" s="20" t="n">
        <f aca="false">SUMIF(Packages!$A$6:$A$206,"UG-16D",Packages!$U$6:$U$206)</f>
        <v>26.3001316187465</v>
      </c>
      <c r="F44" s="20" t="n">
        <f aca="false">SUMIF(Packages!$A$6:$A$206,"UG-16D",Packages!$AC$6:$AC$206)</f>
        <v>28</v>
      </c>
      <c r="G44" s="20" t="n">
        <f aca="false">SUMIF(Packages!$A$6:$A$206,"UG-16D",Packages!$X$6:$X$206)+SUMIF(Packages!$A$6:$A$206,"UG-16D",Packages!$Y$6:$Y$206)</f>
        <v>376.844773132481</v>
      </c>
      <c r="H44" s="16" t="n">
        <f aca="false">_xlfn.MINIFS(Packages!$AL$6:$AL$206,Packages!$A$6:$A$206,"UG-16D")</f>
        <v>46357</v>
      </c>
      <c r="I44" s="16" t="n">
        <f aca="false">_xlfn.MAXIFS(Packages!$AM$6:$AM$206,Packages!$A$6:$A$206,"UG-16D")</f>
        <v>46565</v>
      </c>
      <c r="J44" s="21" t="n">
        <f aca="false">(I44-H44)/30.4</f>
        <v>6.8421052631579</v>
      </c>
      <c r="K44" s="42" t="n">
        <f aca="false">IF(AND($H44&lt;=EOMONTH(K$5,0),$I44&gt;=K$5),1,"")</f>
        <v>1</v>
      </c>
      <c r="L44" s="42" t="n">
        <f aca="false">IF(AND($H44&lt;=EOMONTH(L$5,0),$I44&gt;=L$5),1,"")</f>
        <v>1</v>
      </c>
      <c r="M44" s="42" t="n">
        <f aca="false">IF(AND($H44&lt;=EOMONTH(M$5,0),$I44&gt;=M$5),1,"")</f>
        <v>1</v>
      </c>
      <c r="N44" s="42" t="n">
        <f aca="false">IF(AND($H44&lt;=EOMONTH(N$5,0),$I44&gt;=N$5),1,"")</f>
        <v>1</v>
      </c>
      <c r="O44" s="42" t="n">
        <f aca="false">IF(AND($H44&lt;=EOMONTH(O$5,0),$I44&gt;=O$5),1,"")</f>
        <v>1</v>
      </c>
      <c r="P44" s="42" t="n">
        <f aca="false">IF(AND($H44&lt;=EOMONTH(P$5,0),$I44&gt;=P$5),1,"")</f>
        <v>1</v>
      </c>
      <c r="Q44" s="42" t="n">
        <f aca="false">IF(AND($H44&lt;=EOMONTH(Q$5,0),$I44&gt;=Q$5),1,"")</f>
        <v>1</v>
      </c>
      <c r="R44" s="42" t="str">
        <f aca="false">IF(AND($H44&lt;=EOMONTH(R$5,0),$I44&gt;=R$5),1,"")</f>
        <v/>
      </c>
      <c r="S44" s="42" t="str">
        <f aca="false">IF(AND($H44&lt;=EOMONTH(S$5,0),$I44&gt;=S$5),1,"")</f>
        <v/>
      </c>
      <c r="T44" s="42" t="str">
        <f aca="false">IF(AND($H44&lt;=EOMONTH(T$5,0),$I44&gt;=T$5),1,"")</f>
        <v/>
      </c>
      <c r="U44" s="42" t="str">
        <f aca="false">IF(AND($H44&lt;=EOMONTH(U$5,0),$I44&gt;=U$5),1,"")</f>
        <v/>
      </c>
      <c r="V44" s="42" t="str">
        <f aca="false">IF(AND($H44&lt;=EOMONTH(V$5,0),$I44&gt;=V$5),1,"")</f>
        <v/>
      </c>
      <c r="W44" s="42" t="str">
        <f aca="false">IF(AND($H44&lt;=EOMONTH(W$5,0),$I44&gt;=W$5),1,"")</f>
        <v/>
      </c>
      <c r="X44" s="42" t="str">
        <f aca="false">IF(AND($H44&lt;=EOMONTH(X$5,0),$I44&gt;=X$5),1,"")</f>
        <v/>
      </c>
      <c r="Y44" s="42" t="str">
        <f aca="false">IF(AND($H44&lt;=EOMONTH(Y$5,0),$I44&gt;=Y$5),1,"")</f>
        <v/>
      </c>
      <c r="Z44" s="42" t="str">
        <f aca="false">IF(AND($H44&lt;=EOMONTH(Z$5,0),$I44&gt;=Z$5),1,"")</f>
        <v/>
      </c>
      <c r="AA44" s="42" t="str">
        <f aca="false">IF(AND($H44&lt;=EOMONTH(AA$5,0),$I44&gt;=AA$5),1,"")</f>
        <v/>
      </c>
      <c r="AB44" s="42" t="str">
        <f aca="false">IF(AND($H44&lt;=EOMONTH(AB$5,0),$I44&gt;=AB$5),1,"")</f>
        <v/>
      </c>
      <c r="AC44" s="42" t="str">
        <f aca="false">IF(AND($H44&lt;=EOMONTH(AC$5,0),$I44&gt;=AC$5),1,"")</f>
        <v/>
      </c>
      <c r="AD44" s="42" t="str">
        <f aca="false">IF(AND($H44&lt;=EOMONTH(AD$5,0),$I44&gt;=AD$5),1,"")</f>
        <v/>
      </c>
      <c r="AE44" s="42" t="str">
        <f aca="false">IF(AND($H44&lt;=EOMONTH(AE$5,0),$I44&gt;=AE$5),1,"")</f>
        <v/>
      </c>
      <c r="AF44" s="42" t="str">
        <f aca="false">IF(AND($H44&lt;=EOMONTH(AF$5,0),$I44&gt;=AF$5),1,"")</f>
        <v/>
      </c>
      <c r="AG44" s="42" t="str">
        <f aca="false">IF(AND($H44&lt;=EOMONTH(AG$5,0),$I44&gt;=AG$5),1,"")</f>
        <v/>
      </c>
      <c r="AH44" s="42" t="str">
        <f aca="false">IF(AND($H44&lt;=EOMONTH(AH$5,0),$I44&gt;=AH$5),1,"")</f>
        <v/>
      </c>
    </row>
    <row r="45" customFormat="false" ht="15" hidden="false" customHeight="false" outlineLevel="0" collapsed="false">
      <c r="A45" s="12" t="s">
        <v>1807</v>
      </c>
      <c r="B45" s="12" t="s">
        <v>6048</v>
      </c>
      <c r="C45" s="12" t="n">
        <f aca="false">COUNTIF(Packages!$A$6:$A$206,"UG-27I")</f>
        <v>1</v>
      </c>
      <c r="D45" s="20" t="n">
        <f aca="false">SUMIF(Packages!$A$6:$A$206,"UG-27I",Packages!$O$6:$O$206)</f>
        <v>37.5871894306267</v>
      </c>
      <c r="E45" s="20" t="n">
        <f aca="false">SUMIF(Packages!$A$6:$A$206,"UG-27I",Packages!$U$6:$U$206)</f>
        <v>0.839973845676122</v>
      </c>
      <c r="F45" s="20" t="n">
        <f aca="false">SUMIF(Packages!$A$6:$A$206,"UG-27I",Packages!$AC$6:$AC$206)</f>
        <v>28</v>
      </c>
      <c r="G45" s="20" t="n">
        <f aca="false">SUMIF(Packages!$A$6:$A$206,"UG-27I",Packages!$X$6:$X$206)+SUMIF(Packages!$A$6:$A$206,"UG-27I",Packages!$Y$6:$Y$206)</f>
        <v>974.908294405653</v>
      </c>
      <c r="H45" s="16" t="n">
        <f aca="false">_xlfn.MINIFS(Packages!$AL$6:$AL$206,Packages!$A$6:$A$206,"UG-27I")</f>
        <v>46357</v>
      </c>
      <c r="I45" s="16" t="n">
        <f aca="false">_xlfn.MAXIFS(Packages!$AM$6:$AM$206,Packages!$A$6:$A$206,"UG-27I")</f>
        <v>46606</v>
      </c>
      <c r="J45" s="21" t="n">
        <f aca="false">(I45-H45)/30.4</f>
        <v>8.19078947368421</v>
      </c>
      <c r="K45" s="42" t="n">
        <f aca="false">IF(AND($H45&lt;=EOMONTH(K$5,0),$I45&gt;=K$5),1,"")</f>
        <v>1</v>
      </c>
      <c r="L45" s="42" t="n">
        <f aca="false">IF(AND($H45&lt;=EOMONTH(L$5,0),$I45&gt;=L$5),1,"")</f>
        <v>1</v>
      </c>
      <c r="M45" s="42" t="n">
        <f aca="false">IF(AND($H45&lt;=EOMONTH(M$5,0),$I45&gt;=M$5),1,"")</f>
        <v>1</v>
      </c>
      <c r="N45" s="42" t="n">
        <f aca="false">IF(AND($H45&lt;=EOMONTH(N$5,0),$I45&gt;=N$5),1,"")</f>
        <v>1</v>
      </c>
      <c r="O45" s="42" t="n">
        <f aca="false">IF(AND($H45&lt;=EOMONTH(O$5,0),$I45&gt;=O$5),1,"")</f>
        <v>1</v>
      </c>
      <c r="P45" s="42" t="n">
        <f aca="false">IF(AND($H45&lt;=EOMONTH(P$5,0),$I45&gt;=P$5),1,"")</f>
        <v>1</v>
      </c>
      <c r="Q45" s="42" t="n">
        <f aca="false">IF(AND($H45&lt;=EOMONTH(Q$5,0),$I45&gt;=Q$5),1,"")</f>
        <v>1</v>
      </c>
      <c r="R45" s="42" t="n">
        <f aca="false">IF(AND($H45&lt;=EOMONTH(R$5,0),$I45&gt;=R$5),1,"")</f>
        <v>1</v>
      </c>
      <c r="S45" s="42" t="n">
        <f aca="false">IF(AND($H45&lt;=EOMONTH(S$5,0),$I45&gt;=S$5),1,"")</f>
        <v>1</v>
      </c>
      <c r="T45" s="42" t="str">
        <f aca="false">IF(AND($H45&lt;=EOMONTH(T$5,0),$I45&gt;=T$5),1,"")</f>
        <v/>
      </c>
      <c r="U45" s="42" t="str">
        <f aca="false">IF(AND($H45&lt;=EOMONTH(U$5,0),$I45&gt;=U$5),1,"")</f>
        <v/>
      </c>
      <c r="V45" s="42" t="str">
        <f aca="false">IF(AND($H45&lt;=EOMONTH(V$5,0),$I45&gt;=V$5),1,"")</f>
        <v/>
      </c>
      <c r="W45" s="42" t="str">
        <f aca="false">IF(AND($H45&lt;=EOMONTH(W$5,0),$I45&gt;=W$5),1,"")</f>
        <v/>
      </c>
      <c r="X45" s="42" t="str">
        <f aca="false">IF(AND($H45&lt;=EOMONTH(X$5,0),$I45&gt;=X$5),1,"")</f>
        <v/>
      </c>
      <c r="Y45" s="42" t="str">
        <f aca="false">IF(AND($H45&lt;=EOMONTH(Y$5,0),$I45&gt;=Y$5),1,"")</f>
        <v/>
      </c>
      <c r="Z45" s="42" t="str">
        <f aca="false">IF(AND($H45&lt;=EOMONTH(Z$5,0),$I45&gt;=Z$5),1,"")</f>
        <v/>
      </c>
      <c r="AA45" s="42" t="str">
        <f aca="false">IF(AND($H45&lt;=EOMONTH(AA$5,0),$I45&gt;=AA$5),1,"")</f>
        <v/>
      </c>
      <c r="AB45" s="42" t="str">
        <f aca="false">IF(AND($H45&lt;=EOMONTH(AB$5,0),$I45&gt;=AB$5),1,"")</f>
        <v/>
      </c>
      <c r="AC45" s="42" t="str">
        <f aca="false">IF(AND($H45&lt;=EOMONTH(AC$5,0),$I45&gt;=AC$5),1,"")</f>
        <v/>
      </c>
      <c r="AD45" s="42" t="str">
        <f aca="false">IF(AND($H45&lt;=EOMONTH(AD$5,0),$I45&gt;=AD$5),1,"")</f>
        <v/>
      </c>
      <c r="AE45" s="42" t="str">
        <f aca="false">IF(AND($H45&lt;=EOMONTH(AE$5,0),$I45&gt;=AE$5),1,"")</f>
        <v/>
      </c>
      <c r="AF45" s="42" t="str">
        <f aca="false">IF(AND($H45&lt;=EOMONTH(AF$5,0),$I45&gt;=AF$5),1,"")</f>
        <v/>
      </c>
      <c r="AG45" s="42" t="str">
        <f aca="false">IF(AND($H45&lt;=EOMONTH(AG$5,0),$I45&gt;=AG$5),1,"")</f>
        <v/>
      </c>
      <c r="AH45" s="42" t="str">
        <f aca="false">IF(AND($H45&lt;=EOMONTH(AH$5,0),$I45&gt;=AH$5),1,"")</f>
        <v/>
      </c>
    </row>
    <row r="46" customFormat="false" ht="15" hidden="false" customHeight="false" outlineLevel="0" collapsed="false">
      <c r="A46" s="12" t="s">
        <v>1823</v>
      </c>
      <c r="B46" s="12" t="s">
        <v>6049</v>
      </c>
      <c r="C46" s="12" t="n">
        <f aca="false">COUNTIF(Packages!$A$6:$A$206,"UG-27J")</f>
        <v>2</v>
      </c>
      <c r="D46" s="20" t="n">
        <f aca="false">SUMIF(Packages!$A$6:$A$206,"UG-27J",Packages!$O$6:$O$206)</f>
        <v>38.0645608883185</v>
      </c>
      <c r="E46" s="20" t="n">
        <f aca="false">SUMIF(Packages!$A$6:$A$206,"UG-27J",Packages!$U$6:$U$206)</f>
        <v>0.12144088763144</v>
      </c>
      <c r="F46" s="20" t="n">
        <f aca="false">SUMIF(Packages!$A$6:$A$206,"UG-27J",Packages!$AC$6:$AC$206)</f>
        <v>32</v>
      </c>
      <c r="G46" s="20" t="n">
        <f aca="false">SUMIF(Packages!$A$6:$A$206,"UG-27J",Packages!$X$6:$X$206)+SUMIF(Packages!$A$6:$A$206,"UG-27J",Packages!$Y$6:$Y$206)</f>
        <v>996.693725151247</v>
      </c>
      <c r="H46" s="16" t="n">
        <f aca="false">_xlfn.MINIFS(Packages!$AL$6:$AL$206,Packages!$A$6:$A$206,"UG-27J")</f>
        <v>46357</v>
      </c>
      <c r="I46" s="16" t="n">
        <f aca="false">_xlfn.MAXIFS(Packages!$AM$6:$AM$206,Packages!$A$6:$A$206,"UG-27J")</f>
        <v>46585</v>
      </c>
      <c r="J46" s="21" t="n">
        <f aca="false">(I46-H46)/30.4</f>
        <v>7.5</v>
      </c>
      <c r="K46" s="42" t="n">
        <f aca="false">IF(AND($H46&lt;=EOMONTH(K$5,0),$I46&gt;=K$5),1,"")</f>
        <v>1</v>
      </c>
      <c r="L46" s="42" t="n">
        <f aca="false">IF(AND($H46&lt;=EOMONTH(L$5,0),$I46&gt;=L$5),1,"")</f>
        <v>1</v>
      </c>
      <c r="M46" s="42" t="n">
        <f aca="false">IF(AND($H46&lt;=EOMONTH(M$5,0),$I46&gt;=M$5),1,"")</f>
        <v>1</v>
      </c>
      <c r="N46" s="42" t="n">
        <f aca="false">IF(AND($H46&lt;=EOMONTH(N$5,0),$I46&gt;=N$5),1,"")</f>
        <v>1</v>
      </c>
      <c r="O46" s="42" t="n">
        <f aca="false">IF(AND($H46&lt;=EOMONTH(O$5,0),$I46&gt;=O$5),1,"")</f>
        <v>1</v>
      </c>
      <c r="P46" s="42" t="n">
        <f aca="false">IF(AND($H46&lt;=EOMONTH(P$5,0),$I46&gt;=P$5),1,"")</f>
        <v>1</v>
      </c>
      <c r="Q46" s="42" t="n">
        <f aca="false">IF(AND($H46&lt;=EOMONTH(Q$5,0),$I46&gt;=Q$5),1,"")</f>
        <v>1</v>
      </c>
      <c r="R46" s="42" t="n">
        <f aca="false">IF(AND($H46&lt;=EOMONTH(R$5,0),$I46&gt;=R$5),1,"")</f>
        <v>1</v>
      </c>
      <c r="S46" s="42" t="str">
        <f aca="false">IF(AND($H46&lt;=EOMONTH(S$5,0),$I46&gt;=S$5),1,"")</f>
        <v/>
      </c>
      <c r="T46" s="42" t="str">
        <f aca="false">IF(AND($H46&lt;=EOMONTH(T$5,0),$I46&gt;=T$5),1,"")</f>
        <v/>
      </c>
      <c r="U46" s="42" t="str">
        <f aca="false">IF(AND($H46&lt;=EOMONTH(U$5,0),$I46&gt;=U$5),1,"")</f>
        <v/>
      </c>
      <c r="V46" s="42" t="str">
        <f aca="false">IF(AND($H46&lt;=EOMONTH(V$5,0),$I46&gt;=V$5),1,"")</f>
        <v/>
      </c>
      <c r="W46" s="42" t="str">
        <f aca="false">IF(AND($H46&lt;=EOMONTH(W$5,0),$I46&gt;=W$5),1,"")</f>
        <v/>
      </c>
      <c r="X46" s="42" t="str">
        <f aca="false">IF(AND($H46&lt;=EOMONTH(X$5,0),$I46&gt;=X$5),1,"")</f>
        <v/>
      </c>
      <c r="Y46" s="42" t="str">
        <f aca="false">IF(AND($H46&lt;=EOMONTH(Y$5,0),$I46&gt;=Y$5),1,"")</f>
        <v/>
      </c>
      <c r="Z46" s="42" t="str">
        <f aca="false">IF(AND($H46&lt;=EOMONTH(Z$5,0),$I46&gt;=Z$5),1,"")</f>
        <v/>
      </c>
      <c r="AA46" s="42" t="str">
        <f aca="false">IF(AND($H46&lt;=EOMONTH(AA$5,0),$I46&gt;=AA$5),1,"")</f>
        <v/>
      </c>
      <c r="AB46" s="42" t="str">
        <f aca="false">IF(AND($H46&lt;=EOMONTH(AB$5,0),$I46&gt;=AB$5),1,"")</f>
        <v/>
      </c>
      <c r="AC46" s="42" t="str">
        <f aca="false">IF(AND($H46&lt;=EOMONTH(AC$5,0),$I46&gt;=AC$5),1,"")</f>
        <v/>
      </c>
      <c r="AD46" s="42" t="str">
        <f aca="false">IF(AND($H46&lt;=EOMONTH(AD$5,0),$I46&gt;=AD$5),1,"")</f>
        <v/>
      </c>
      <c r="AE46" s="42" t="str">
        <f aca="false">IF(AND($H46&lt;=EOMONTH(AE$5,0),$I46&gt;=AE$5),1,"")</f>
        <v/>
      </c>
      <c r="AF46" s="42" t="str">
        <f aca="false">IF(AND($H46&lt;=EOMONTH(AF$5,0),$I46&gt;=AF$5),1,"")</f>
        <v/>
      </c>
      <c r="AG46" s="42" t="str">
        <f aca="false">IF(AND($H46&lt;=EOMONTH(AG$5,0),$I46&gt;=AG$5),1,"")</f>
        <v/>
      </c>
      <c r="AH46" s="42" t="str">
        <f aca="false">IF(AND($H46&lt;=EOMONTH(AH$5,0),$I46&gt;=AH$5),1,"")</f>
        <v/>
      </c>
    </row>
    <row r="47" customFormat="false" ht="15" hidden="false" customHeight="false" outlineLevel="0" collapsed="false">
      <c r="A47" s="12" t="s">
        <v>1840</v>
      </c>
      <c r="B47" s="12" t="s">
        <v>6050</v>
      </c>
      <c r="C47" s="12" t="n">
        <f aca="false">COUNTIF(Packages!$A$6:$A$206,"UG-27K")</f>
        <v>1</v>
      </c>
      <c r="D47" s="20" t="n">
        <f aca="false">SUMIF(Packages!$A$6:$A$206,"UG-27K",Packages!$O$6:$O$206)</f>
        <v>37.7243673381659</v>
      </c>
      <c r="E47" s="20" t="n">
        <f aca="false">SUMIF(Packages!$A$6:$A$206,"UG-27K",Packages!$U$6:$U$206)</f>
        <v>27.7243673370429</v>
      </c>
      <c r="F47" s="20" t="n">
        <f aca="false">SUMIF(Packages!$A$6:$A$206,"UG-27K",Packages!$AC$6:$AC$206)</f>
        <v>28</v>
      </c>
      <c r="G47" s="20" t="n">
        <f aca="false">SUMIF(Packages!$A$6:$A$206,"UG-27K",Packages!$X$6:$X$206)+SUMIF(Packages!$A$6:$A$206,"UG-27K",Packages!$Y$6:$Y$206)</f>
        <v>390.929280902757</v>
      </c>
      <c r="H47" s="16" t="n">
        <f aca="false">_xlfn.MINIFS(Packages!$AL$6:$AL$206,Packages!$A$6:$A$206,"UG-27K")</f>
        <v>46357</v>
      </c>
      <c r="I47" s="16" t="n">
        <f aca="false">_xlfn.MAXIFS(Packages!$AM$6:$AM$206,Packages!$A$6:$A$206,"UG-27K")</f>
        <v>46591</v>
      </c>
      <c r="J47" s="21" t="n">
        <f aca="false">(I47-H47)/30.4</f>
        <v>7.69736842105263</v>
      </c>
      <c r="K47" s="42" t="n">
        <f aca="false">IF(AND($H47&lt;=EOMONTH(K$5,0),$I47&gt;=K$5),1,"")</f>
        <v>1</v>
      </c>
      <c r="L47" s="42" t="n">
        <f aca="false">IF(AND($H47&lt;=EOMONTH(L$5,0),$I47&gt;=L$5),1,"")</f>
        <v>1</v>
      </c>
      <c r="M47" s="42" t="n">
        <f aca="false">IF(AND($H47&lt;=EOMONTH(M$5,0),$I47&gt;=M$5),1,"")</f>
        <v>1</v>
      </c>
      <c r="N47" s="42" t="n">
        <f aca="false">IF(AND($H47&lt;=EOMONTH(N$5,0),$I47&gt;=N$5),1,"")</f>
        <v>1</v>
      </c>
      <c r="O47" s="42" t="n">
        <f aca="false">IF(AND($H47&lt;=EOMONTH(O$5,0),$I47&gt;=O$5),1,"")</f>
        <v>1</v>
      </c>
      <c r="P47" s="42" t="n">
        <f aca="false">IF(AND($H47&lt;=EOMONTH(P$5,0),$I47&gt;=P$5),1,"")</f>
        <v>1</v>
      </c>
      <c r="Q47" s="42" t="n">
        <f aca="false">IF(AND($H47&lt;=EOMONTH(Q$5,0),$I47&gt;=Q$5),1,"")</f>
        <v>1</v>
      </c>
      <c r="R47" s="42" t="n">
        <f aca="false">IF(AND($H47&lt;=EOMONTH(R$5,0),$I47&gt;=R$5),1,"")</f>
        <v>1</v>
      </c>
      <c r="S47" s="42" t="str">
        <f aca="false">IF(AND($H47&lt;=EOMONTH(S$5,0),$I47&gt;=S$5),1,"")</f>
        <v/>
      </c>
      <c r="T47" s="42" t="str">
        <f aca="false">IF(AND($H47&lt;=EOMONTH(T$5,0),$I47&gt;=T$5),1,"")</f>
        <v/>
      </c>
      <c r="U47" s="42" t="str">
        <f aca="false">IF(AND($H47&lt;=EOMONTH(U$5,0),$I47&gt;=U$5),1,"")</f>
        <v/>
      </c>
      <c r="V47" s="42" t="str">
        <f aca="false">IF(AND($H47&lt;=EOMONTH(V$5,0),$I47&gt;=V$5),1,"")</f>
        <v/>
      </c>
      <c r="W47" s="42" t="str">
        <f aca="false">IF(AND($H47&lt;=EOMONTH(W$5,0),$I47&gt;=W$5),1,"")</f>
        <v/>
      </c>
      <c r="X47" s="42" t="str">
        <f aca="false">IF(AND($H47&lt;=EOMONTH(X$5,0),$I47&gt;=X$5),1,"")</f>
        <v/>
      </c>
      <c r="Y47" s="42" t="str">
        <f aca="false">IF(AND($H47&lt;=EOMONTH(Y$5,0),$I47&gt;=Y$5),1,"")</f>
        <v/>
      </c>
      <c r="Z47" s="42" t="str">
        <f aca="false">IF(AND($H47&lt;=EOMONTH(Z$5,0),$I47&gt;=Z$5),1,"")</f>
        <v/>
      </c>
      <c r="AA47" s="42" t="str">
        <f aca="false">IF(AND($H47&lt;=EOMONTH(AA$5,0),$I47&gt;=AA$5),1,"")</f>
        <v/>
      </c>
      <c r="AB47" s="42" t="str">
        <f aca="false">IF(AND($H47&lt;=EOMONTH(AB$5,0),$I47&gt;=AB$5),1,"")</f>
        <v/>
      </c>
      <c r="AC47" s="42" t="str">
        <f aca="false">IF(AND($H47&lt;=EOMONTH(AC$5,0),$I47&gt;=AC$5),1,"")</f>
        <v/>
      </c>
      <c r="AD47" s="42" t="str">
        <f aca="false">IF(AND($H47&lt;=EOMONTH(AD$5,0),$I47&gt;=AD$5),1,"")</f>
        <v/>
      </c>
      <c r="AE47" s="42" t="str">
        <f aca="false">IF(AND($H47&lt;=EOMONTH(AE$5,0),$I47&gt;=AE$5),1,"")</f>
        <v/>
      </c>
      <c r="AF47" s="42" t="str">
        <f aca="false">IF(AND($H47&lt;=EOMONTH(AF$5,0),$I47&gt;=AF$5),1,"")</f>
        <v/>
      </c>
      <c r="AG47" s="42" t="str">
        <f aca="false">IF(AND($H47&lt;=EOMONTH(AG$5,0),$I47&gt;=AG$5),1,"")</f>
        <v/>
      </c>
      <c r="AH47" s="42" t="str">
        <f aca="false">IF(AND($H47&lt;=EOMONTH(AH$5,0),$I47&gt;=AH$5),1,"")</f>
        <v/>
      </c>
    </row>
    <row r="48" customFormat="false" ht="15" hidden="false" customHeight="false" outlineLevel="0" collapsed="false">
      <c r="A48" s="12" t="s">
        <v>1856</v>
      </c>
      <c r="B48" s="12" t="s">
        <v>6051</v>
      </c>
      <c r="C48" s="12" t="n">
        <f aca="false">COUNTIF(Packages!$A$6:$A$206,"UG-27L")</f>
        <v>1</v>
      </c>
      <c r="D48" s="20" t="n">
        <f aca="false">SUMIF(Packages!$A$6:$A$206,"UG-27L",Packages!$O$6:$O$206)</f>
        <v>38.1114855382193</v>
      </c>
      <c r="E48" s="20" t="n">
        <f aca="false">SUMIF(Packages!$A$6:$A$206,"UG-27L",Packages!$U$6:$U$206)</f>
        <v>0</v>
      </c>
      <c r="F48" s="20" t="n">
        <f aca="false">SUMIF(Packages!$A$6:$A$206,"UG-27L",Packages!$AC$6:$AC$206)</f>
        <v>28</v>
      </c>
      <c r="G48" s="20" t="n">
        <f aca="false">SUMIF(Packages!$A$6:$A$206,"UG-27L",Packages!$X$6:$X$206)+SUMIF(Packages!$A$6:$A$206,"UG-27L",Packages!$Y$6:$Y$206)</f>
        <v>998.259785434633</v>
      </c>
      <c r="H48" s="16" t="n">
        <f aca="false">_xlfn.MINIFS(Packages!$AL$6:$AL$206,Packages!$A$6:$A$206,"UG-27L")</f>
        <v>46357</v>
      </c>
      <c r="I48" s="16" t="n">
        <f aca="false">_xlfn.MAXIFS(Packages!$AM$6:$AM$206,Packages!$A$6:$A$206,"UG-27L")</f>
        <v>46579</v>
      </c>
      <c r="J48" s="21" t="n">
        <f aca="false">(I48-H48)/30.4</f>
        <v>7.30263157894737</v>
      </c>
      <c r="K48" s="42" t="n">
        <f aca="false">IF(AND($H48&lt;=EOMONTH(K$5,0),$I48&gt;=K$5),1,"")</f>
        <v>1</v>
      </c>
      <c r="L48" s="42" t="n">
        <f aca="false">IF(AND($H48&lt;=EOMONTH(L$5,0),$I48&gt;=L$5),1,"")</f>
        <v>1</v>
      </c>
      <c r="M48" s="42" t="n">
        <f aca="false">IF(AND($H48&lt;=EOMONTH(M$5,0),$I48&gt;=M$5),1,"")</f>
        <v>1</v>
      </c>
      <c r="N48" s="42" t="n">
        <f aca="false">IF(AND($H48&lt;=EOMONTH(N$5,0),$I48&gt;=N$5),1,"")</f>
        <v>1</v>
      </c>
      <c r="O48" s="42" t="n">
        <f aca="false">IF(AND($H48&lt;=EOMONTH(O$5,0),$I48&gt;=O$5),1,"")</f>
        <v>1</v>
      </c>
      <c r="P48" s="42" t="n">
        <f aca="false">IF(AND($H48&lt;=EOMONTH(P$5,0),$I48&gt;=P$5),1,"")</f>
        <v>1</v>
      </c>
      <c r="Q48" s="42" t="n">
        <f aca="false">IF(AND($H48&lt;=EOMONTH(Q$5,0),$I48&gt;=Q$5),1,"")</f>
        <v>1</v>
      </c>
      <c r="R48" s="42" t="n">
        <f aca="false">IF(AND($H48&lt;=EOMONTH(R$5,0),$I48&gt;=R$5),1,"")</f>
        <v>1</v>
      </c>
      <c r="S48" s="42" t="str">
        <f aca="false">IF(AND($H48&lt;=EOMONTH(S$5,0),$I48&gt;=S$5),1,"")</f>
        <v/>
      </c>
      <c r="T48" s="42" t="str">
        <f aca="false">IF(AND($H48&lt;=EOMONTH(T$5,0),$I48&gt;=T$5),1,"")</f>
        <v/>
      </c>
      <c r="U48" s="42" t="str">
        <f aca="false">IF(AND($H48&lt;=EOMONTH(U$5,0),$I48&gt;=U$5),1,"")</f>
        <v/>
      </c>
      <c r="V48" s="42" t="str">
        <f aca="false">IF(AND($H48&lt;=EOMONTH(V$5,0),$I48&gt;=V$5),1,"")</f>
        <v/>
      </c>
      <c r="W48" s="42" t="str">
        <f aca="false">IF(AND($H48&lt;=EOMONTH(W$5,0),$I48&gt;=W$5),1,"")</f>
        <v/>
      </c>
      <c r="X48" s="42" t="str">
        <f aca="false">IF(AND($H48&lt;=EOMONTH(X$5,0),$I48&gt;=X$5),1,"")</f>
        <v/>
      </c>
      <c r="Y48" s="42" t="str">
        <f aca="false">IF(AND($H48&lt;=EOMONTH(Y$5,0),$I48&gt;=Y$5),1,"")</f>
        <v/>
      </c>
      <c r="Z48" s="42" t="str">
        <f aca="false">IF(AND($H48&lt;=EOMONTH(Z$5,0),$I48&gt;=Z$5),1,"")</f>
        <v/>
      </c>
      <c r="AA48" s="42" t="str">
        <f aca="false">IF(AND($H48&lt;=EOMONTH(AA$5,0),$I48&gt;=AA$5),1,"")</f>
        <v/>
      </c>
      <c r="AB48" s="42" t="str">
        <f aca="false">IF(AND($H48&lt;=EOMONTH(AB$5,0),$I48&gt;=AB$5),1,"")</f>
        <v/>
      </c>
      <c r="AC48" s="42" t="str">
        <f aca="false">IF(AND($H48&lt;=EOMONTH(AC$5,0),$I48&gt;=AC$5),1,"")</f>
        <v/>
      </c>
      <c r="AD48" s="42" t="str">
        <f aca="false">IF(AND($H48&lt;=EOMONTH(AD$5,0),$I48&gt;=AD$5),1,"")</f>
        <v/>
      </c>
      <c r="AE48" s="42" t="str">
        <f aca="false">IF(AND($H48&lt;=EOMONTH(AE$5,0),$I48&gt;=AE$5),1,"")</f>
        <v/>
      </c>
      <c r="AF48" s="42" t="str">
        <f aca="false">IF(AND($H48&lt;=EOMONTH(AF$5,0),$I48&gt;=AF$5),1,"")</f>
        <v/>
      </c>
      <c r="AG48" s="42" t="str">
        <f aca="false">IF(AND($H48&lt;=EOMONTH(AG$5,0),$I48&gt;=AG$5),1,"")</f>
        <v/>
      </c>
      <c r="AH48" s="42" t="str">
        <f aca="false">IF(AND($H48&lt;=EOMONTH(AH$5,0),$I48&gt;=AH$5),1,"")</f>
        <v/>
      </c>
    </row>
    <row r="49" customFormat="false" ht="15" hidden="false" customHeight="false" outlineLevel="0" collapsed="false">
      <c r="A49" s="12" t="s">
        <v>1872</v>
      </c>
      <c r="B49" s="12" t="s">
        <v>6052</v>
      </c>
      <c r="C49" s="12" t="n">
        <f aca="false">COUNTIF(Packages!$A$6:$A$206,"UG-17")</f>
        <v>5</v>
      </c>
      <c r="D49" s="20" t="n">
        <f aca="false">SUMIF(Packages!$A$6:$A$206,"UG-17",Packages!$O$6:$O$206)</f>
        <v>368.073464151872</v>
      </c>
      <c r="E49" s="20" t="n">
        <f aca="false">SUMIF(Packages!$A$6:$A$206,"UG-17",Packages!$U$6:$U$206)</f>
        <v>348.073464152359</v>
      </c>
      <c r="F49" s="20" t="n">
        <f aca="false">SUMIF(Packages!$A$6:$A$206,"UG-17",Packages!$AC$6:$AC$206)</f>
        <v>262</v>
      </c>
      <c r="G49" s="20" t="n">
        <f aca="false">SUMIF(Packages!$A$6:$A$206,"UG-17",Packages!$X$6:$X$206)+SUMIF(Packages!$A$6:$A$206,"UG-17",Packages!$Y$6:$Y$206)</f>
        <v>6008.30262587457</v>
      </c>
      <c r="H49" s="16" t="n">
        <f aca="false">_xlfn.MINIFS(Packages!$AL$6:$AL$206,Packages!$A$6:$A$206,"UG-17")</f>
        <v>46365</v>
      </c>
      <c r="I49" s="16" t="n">
        <f aca="false">_xlfn.MAXIFS(Packages!$AM$6:$AM$206,Packages!$A$6:$A$206,"UG-17")</f>
        <v>46560</v>
      </c>
      <c r="J49" s="21" t="n">
        <f aca="false">(I49-H49)/30.4</f>
        <v>6.41447368421053</v>
      </c>
      <c r="K49" s="42" t="n">
        <f aca="false">IF(AND($H49&lt;=EOMONTH(K$5,0),$I49&gt;=K$5),1,"")</f>
        <v>1</v>
      </c>
      <c r="L49" s="42" t="n">
        <f aca="false">IF(AND($H49&lt;=EOMONTH(L$5,0),$I49&gt;=L$5),1,"")</f>
        <v>1</v>
      </c>
      <c r="M49" s="42" t="n">
        <f aca="false">IF(AND($H49&lt;=EOMONTH(M$5,0),$I49&gt;=M$5),1,"")</f>
        <v>1</v>
      </c>
      <c r="N49" s="42" t="n">
        <f aca="false">IF(AND($H49&lt;=EOMONTH(N$5,0),$I49&gt;=N$5),1,"")</f>
        <v>1</v>
      </c>
      <c r="O49" s="42" t="n">
        <f aca="false">IF(AND($H49&lt;=EOMONTH(O$5,0),$I49&gt;=O$5),1,"")</f>
        <v>1</v>
      </c>
      <c r="P49" s="42" t="n">
        <f aca="false">IF(AND($H49&lt;=EOMONTH(P$5,0),$I49&gt;=P$5),1,"")</f>
        <v>1</v>
      </c>
      <c r="Q49" s="42" t="n">
        <f aca="false">IF(AND($H49&lt;=EOMONTH(Q$5,0),$I49&gt;=Q$5),1,"")</f>
        <v>1</v>
      </c>
      <c r="R49" s="42" t="str">
        <f aca="false">IF(AND($H49&lt;=EOMONTH(R$5,0),$I49&gt;=R$5),1,"")</f>
        <v/>
      </c>
      <c r="S49" s="42" t="str">
        <f aca="false">IF(AND($H49&lt;=EOMONTH(S$5,0),$I49&gt;=S$5),1,"")</f>
        <v/>
      </c>
      <c r="T49" s="42" t="str">
        <f aca="false">IF(AND($H49&lt;=EOMONTH(T$5,0),$I49&gt;=T$5),1,"")</f>
        <v/>
      </c>
      <c r="U49" s="42" t="str">
        <f aca="false">IF(AND($H49&lt;=EOMONTH(U$5,0),$I49&gt;=U$5),1,"")</f>
        <v/>
      </c>
      <c r="V49" s="42" t="str">
        <f aca="false">IF(AND($H49&lt;=EOMONTH(V$5,0),$I49&gt;=V$5),1,"")</f>
        <v/>
      </c>
      <c r="W49" s="42" t="str">
        <f aca="false">IF(AND($H49&lt;=EOMONTH(W$5,0),$I49&gt;=W$5),1,"")</f>
        <v/>
      </c>
      <c r="X49" s="42" t="str">
        <f aca="false">IF(AND($H49&lt;=EOMONTH(X$5,0),$I49&gt;=X$5),1,"")</f>
        <v/>
      </c>
      <c r="Y49" s="42" t="str">
        <f aca="false">IF(AND($H49&lt;=EOMONTH(Y$5,0),$I49&gt;=Y$5),1,"")</f>
        <v/>
      </c>
      <c r="Z49" s="42" t="str">
        <f aca="false">IF(AND($H49&lt;=EOMONTH(Z$5,0),$I49&gt;=Z$5),1,"")</f>
        <v/>
      </c>
      <c r="AA49" s="42" t="str">
        <f aca="false">IF(AND($H49&lt;=EOMONTH(AA$5,0),$I49&gt;=AA$5),1,"")</f>
        <v/>
      </c>
      <c r="AB49" s="42" t="str">
        <f aca="false">IF(AND($H49&lt;=EOMONTH(AB$5,0),$I49&gt;=AB$5),1,"")</f>
        <v/>
      </c>
      <c r="AC49" s="42" t="str">
        <f aca="false">IF(AND($H49&lt;=EOMONTH(AC$5,0),$I49&gt;=AC$5),1,"")</f>
        <v/>
      </c>
      <c r="AD49" s="42" t="str">
        <f aca="false">IF(AND($H49&lt;=EOMONTH(AD$5,0),$I49&gt;=AD$5),1,"")</f>
        <v/>
      </c>
      <c r="AE49" s="42" t="str">
        <f aca="false">IF(AND($H49&lt;=EOMONTH(AE$5,0),$I49&gt;=AE$5),1,"")</f>
        <v/>
      </c>
      <c r="AF49" s="42" t="str">
        <f aca="false">IF(AND($H49&lt;=EOMONTH(AF$5,0),$I49&gt;=AF$5),1,"")</f>
        <v/>
      </c>
      <c r="AG49" s="42" t="str">
        <f aca="false">IF(AND($H49&lt;=EOMONTH(AG$5,0),$I49&gt;=AG$5),1,"")</f>
        <v/>
      </c>
      <c r="AH49" s="42" t="str">
        <f aca="false">IF(AND($H49&lt;=EOMONTH(AH$5,0),$I49&gt;=AH$5),1,"")</f>
        <v/>
      </c>
    </row>
    <row r="50" customFormat="false" ht="15" hidden="false" customHeight="false" outlineLevel="0" collapsed="false">
      <c r="A50" s="12" t="s">
        <v>1936</v>
      </c>
      <c r="B50" s="12" t="s">
        <v>6052</v>
      </c>
      <c r="C50" s="12" t="n">
        <f aca="false">COUNTIF(Packages!$A$6:$A$206,"UG-18")</f>
        <v>2</v>
      </c>
      <c r="D50" s="20" t="n">
        <f aca="false">SUMIF(Packages!$A$6:$A$206,"UG-18",Packages!$O$6:$O$206)</f>
        <v>375.060939798057</v>
      </c>
      <c r="E50" s="20" t="n">
        <f aca="false">SUMIF(Packages!$A$6:$A$206,"UG-18",Packages!$U$6:$U$206)</f>
        <v>364.541800036038</v>
      </c>
      <c r="F50" s="20" t="n">
        <f aca="false">SUMIF(Packages!$A$6:$A$206,"UG-18",Packages!$AC$6:$AC$206)</f>
        <v>256</v>
      </c>
      <c r="G50" s="20" t="n">
        <f aca="false">SUMIF(Packages!$A$6:$A$206,"UG-18",Packages!$X$6:$X$206)+SUMIF(Packages!$A$6:$A$206,"UG-18",Packages!$Y$6:$Y$206)</f>
        <v>5937.5400061973</v>
      </c>
      <c r="H50" s="16" t="n">
        <f aca="false">_xlfn.MINIFS(Packages!$AL$6:$AL$206,Packages!$A$6:$A$206,"UG-18")</f>
        <v>46427</v>
      </c>
      <c r="I50" s="16" t="n">
        <f aca="false">_xlfn.MAXIFS(Packages!$AM$6:$AM$206,Packages!$A$6:$A$206,"UG-18")</f>
        <v>46572</v>
      </c>
      <c r="J50" s="21" t="n">
        <f aca="false">(I50-H50)/30.4</f>
        <v>4.76973684210526</v>
      </c>
      <c r="K50" s="42" t="str">
        <f aca="false">IF(AND($H50&lt;=EOMONTH(K$5,0),$I50&gt;=K$5),1,"")</f>
        <v/>
      </c>
      <c r="L50" s="42" t="str">
        <f aca="false">IF(AND($H50&lt;=EOMONTH(L$5,0),$I50&gt;=L$5),1,"")</f>
        <v/>
      </c>
      <c r="M50" s="42" t="n">
        <f aca="false">IF(AND($H50&lt;=EOMONTH(M$5,0),$I50&gt;=M$5),1,"")</f>
        <v>1</v>
      </c>
      <c r="N50" s="42" t="n">
        <f aca="false">IF(AND($H50&lt;=EOMONTH(N$5,0),$I50&gt;=N$5),1,"")</f>
        <v>1</v>
      </c>
      <c r="O50" s="42" t="n">
        <f aca="false">IF(AND($H50&lt;=EOMONTH(O$5,0),$I50&gt;=O$5),1,"")</f>
        <v>1</v>
      </c>
      <c r="P50" s="42" t="n">
        <f aca="false">IF(AND($H50&lt;=EOMONTH(P$5,0),$I50&gt;=P$5),1,"")</f>
        <v>1</v>
      </c>
      <c r="Q50" s="42" t="n">
        <f aca="false">IF(AND($H50&lt;=EOMONTH(Q$5,0),$I50&gt;=Q$5),1,"")</f>
        <v>1</v>
      </c>
      <c r="R50" s="42" t="n">
        <f aca="false">IF(AND($H50&lt;=EOMONTH(R$5,0),$I50&gt;=R$5),1,"")</f>
        <v>1</v>
      </c>
      <c r="S50" s="42" t="str">
        <f aca="false">IF(AND($H50&lt;=EOMONTH(S$5,0),$I50&gt;=S$5),1,"")</f>
        <v/>
      </c>
      <c r="T50" s="42" t="str">
        <f aca="false">IF(AND($H50&lt;=EOMONTH(T$5,0),$I50&gt;=T$5),1,"")</f>
        <v/>
      </c>
      <c r="U50" s="42" t="str">
        <f aca="false">IF(AND($H50&lt;=EOMONTH(U$5,0),$I50&gt;=U$5),1,"")</f>
        <v/>
      </c>
      <c r="V50" s="42" t="str">
        <f aca="false">IF(AND($H50&lt;=EOMONTH(V$5,0),$I50&gt;=V$5),1,"")</f>
        <v/>
      </c>
      <c r="W50" s="42" t="str">
        <f aca="false">IF(AND($H50&lt;=EOMONTH(W$5,0),$I50&gt;=W$5),1,"")</f>
        <v/>
      </c>
      <c r="X50" s="42" t="str">
        <f aca="false">IF(AND($H50&lt;=EOMONTH(X$5,0),$I50&gt;=X$5),1,"")</f>
        <v/>
      </c>
      <c r="Y50" s="42" t="str">
        <f aca="false">IF(AND($H50&lt;=EOMONTH(Y$5,0),$I50&gt;=Y$5),1,"")</f>
        <v/>
      </c>
      <c r="Z50" s="42" t="str">
        <f aca="false">IF(AND($H50&lt;=EOMONTH(Z$5,0),$I50&gt;=Z$5),1,"")</f>
        <v/>
      </c>
      <c r="AA50" s="42" t="str">
        <f aca="false">IF(AND($H50&lt;=EOMONTH(AA$5,0),$I50&gt;=AA$5),1,"")</f>
        <v/>
      </c>
      <c r="AB50" s="42" t="str">
        <f aca="false">IF(AND($H50&lt;=EOMONTH(AB$5,0),$I50&gt;=AB$5),1,"")</f>
        <v/>
      </c>
      <c r="AC50" s="42" t="str">
        <f aca="false">IF(AND($H50&lt;=EOMONTH(AC$5,0),$I50&gt;=AC$5),1,"")</f>
        <v/>
      </c>
      <c r="AD50" s="42" t="str">
        <f aca="false">IF(AND($H50&lt;=EOMONTH(AD$5,0),$I50&gt;=AD$5),1,"")</f>
        <v/>
      </c>
      <c r="AE50" s="42" t="str">
        <f aca="false">IF(AND($H50&lt;=EOMONTH(AE$5,0),$I50&gt;=AE$5),1,"")</f>
        <v/>
      </c>
      <c r="AF50" s="42" t="str">
        <f aca="false">IF(AND($H50&lt;=EOMONTH(AF$5,0),$I50&gt;=AF$5),1,"")</f>
        <v/>
      </c>
      <c r="AG50" s="42" t="str">
        <f aca="false">IF(AND($H50&lt;=EOMONTH(AG$5,0),$I50&gt;=AG$5),1,"")</f>
        <v/>
      </c>
      <c r="AH50" s="42" t="str">
        <f aca="false">IF(AND($H50&lt;=EOMONTH(AH$5,0),$I50&gt;=AH$5),1,"")</f>
        <v/>
      </c>
    </row>
    <row r="51" customFormat="false" ht="15" hidden="false" customHeight="false" outlineLevel="0" collapsed="false">
      <c r="A51" s="12" t="s">
        <v>1996</v>
      </c>
      <c r="B51" s="12" t="s">
        <v>6053</v>
      </c>
      <c r="C51" s="12" t="n">
        <f aca="false">COUNTIF(Packages!$A$6:$A$206,"UG-19")</f>
        <v>3</v>
      </c>
      <c r="D51" s="20" t="n">
        <f aca="false">SUMIF(Packages!$A$6:$A$206,"UG-19",Packages!$O$6:$O$206)</f>
        <v>115.242142929165</v>
      </c>
      <c r="E51" s="20" t="n">
        <f aca="false">SUMIF(Packages!$A$6:$A$206,"UG-19",Packages!$U$6:$U$206)</f>
        <v>115.242142929165</v>
      </c>
      <c r="F51" s="20" t="n">
        <f aca="false">SUMIF(Packages!$A$6:$A$206,"UG-19",Packages!$AC$6:$AC$206)</f>
        <v>86</v>
      </c>
      <c r="G51" s="20" t="n">
        <f aca="false">SUMIF(Packages!$A$6:$A$206,"UG-19",Packages!$X$6:$X$206)+SUMIF(Packages!$A$6:$A$206,"UG-19",Packages!$Y$6:$Y$206)</f>
        <v>1642.93280921446</v>
      </c>
      <c r="H51" s="16" t="n">
        <f aca="false">_xlfn.MINIFS(Packages!$AL$6:$AL$206,Packages!$A$6:$A$206,"UG-19")</f>
        <v>46371</v>
      </c>
      <c r="I51" s="16" t="n">
        <f aca="false">_xlfn.MAXIFS(Packages!$AM$6:$AM$206,Packages!$A$6:$A$206,"UG-19")</f>
        <v>46528</v>
      </c>
      <c r="J51" s="21" t="n">
        <f aca="false">(I51-H51)/30.4</f>
        <v>5.16447368421053</v>
      </c>
      <c r="K51" s="42" t="n">
        <f aca="false">IF(AND($H51&lt;=EOMONTH(K$5,0),$I51&gt;=K$5),1,"")</f>
        <v>1</v>
      </c>
      <c r="L51" s="42" t="n">
        <f aca="false">IF(AND($H51&lt;=EOMONTH(L$5,0),$I51&gt;=L$5),1,"")</f>
        <v>1</v>
      </c>
      <c r="M51" s="42" t="n">
        <f aca="false">IF(AND($H51&lt;=EOMONTH(M$5,0),$I51&gt;=M$5),1,"")</f>
        <v>1</v>
      </c>
      <c r="N51" s="42" t="n">
        <f aca="false">IF(AND($H51&lt;=EOMONTH(N$5,0),$I51&gt;=N$5),1,"")</f>
        <v>1</v>
      </c>
      <c r="O51" s="42" t="n">
        <f aca="false">IF(AND($H51&lt;=EOMONTH(O$5,0),$I51&gt;=O$5),1,"")</f>
        <v>1</v>
      </c>
      <c r="P51" s="42" t="n">
        <f aca="false">IF(AND($H51&lt;=EOMONTH(P$5,0),$I51&gt;=P$5),1,"")</f>
        <v>1</v>
      </c>
      <c r="Q51" s="42" t="str">
        <f aca="false">IF(AND($H51&lt;=EOMONTH(Q$5,0),$I51&gt;=Q$5),1,"")</f>
        <v/>
      </c>
      <c r="R51" s="42" t="str">
        <f aca="false">IF(AND($H51&lt;=EOMONTH(R$5,0),$I51&gt;=R$5),1,"")</f>
        <v/>
      </c>
      <c r="S51" s="42" t="str">
        <f aca="false">IF(AND($H51&lt;=EOMONTH(S$5,0),$I51&gt;=S$5),1,"")</f>
        <v/>
      </c>
      <c r="T51" s="42" t="str">
        <f aca="false">IF(AND($H51&lt;=EOMONTH(T$5,0),$I51&gt;=T$5),1,"")</f>
        <v/>
      </c>
      <c r="U51" s="42" t="str">
        <f aca="false">IF(AND($H51&lt;=EOMONTH(U$5,0),$I51&gt;=U$5),1,"")</f>
        <v/>
      </c>
      <c r="V51" s="42" t="str">
        <f aca="false">IF(AND($H51&lt;=EOMONTH(V$5,0),$I51&gt;=V$5),1,"")</f>
        <v/>
      </c>
      <c r="W51" s="42" t="str">
        <f aca="false">IF(AND($H51&lt;=EOMONTH(W$5,0),$I51&gt;=W$5),1,"")</f>
        <v/>
      </c>
      <c r="X51" s="42" t="str">
        <f aca="false">IF(AND($H51&lt;=EOMONTH(X$5,0),$I51&gt;=X$5),1,"")</f>
        <v/>
      </c>
      <c r="Y51" s="42" t="str">
        <f aca="false">IF(AND($H51&lt;=EOMONTH(Y$5,0),$I51&gt;=Y$5),1,"")</f>
        <v/>
      </c>
      <c r="Z51" s="42" t="str">
        <f aca="false">IF(AND($H51&lt;=EOMONTH(Z$5,0),$I51&gt;=Z$5),1,"")</f>
        <v/>
      </c>
      <c r="AA51" s="42" t="str">
        <f aca="false">IF(AND($H51&lt;=EOMONTH(AA$5,0),$I51&gt;=AA$5),1,"")</f>
        <v/>
      </c>
      <c r="AB51" s="42" t="str">
        <f aca="false">IF(AND($H51&lt;=EOMONTH(AB$5,0),$I51&gt;=AB$5),1,"")</f>
        <v/>
      </c>
      <c r="AC51" s="42" t="str">
        <f aca="false">IF(AND($H51&lt;=EOMONTH(AC$5,0),$I51&gt;=AC$5),1,"")</f>
        <v/>
      </c>
      <c r="AD51" s="42" t="str">
        <f aca="false">IF(AND($H51&lt;=EOMONTH(AD$5,0),$I51&gt;=AD$5),1,"")</f>
        <v/>
      </c>
      <c r="AE51" s="42" t="str">
        <f aca="false">IF(AND($H51&lt;=EOMONTH(AE$5,0),$I51&gt;=AE$5),1,"")</f>
        <v/>
      </c>
      <c r="AF51" s="42" t="str">
        <f aca="false">IF(AND($H51&lt;=EOMONTH(AF$5,0),$I51&gt;=AF$5),1,"")</f>
        <v/>
      </c>
      <c r="AG51" s="42" t="str">
        <f aca="false">IF(AND($H51&lt;=EOMONTH(AG$5,0),$I51&gt;=AG$5),1,"")</f>
        <v/>
      </c>
      <c r="AH51" s="42" t="str">
        <f aca="false">IF(AND($H51&lt;=EOMONTH(AH$5,0),$I51&gt;=AH$5),1,"")</f>
        <v/>
      </c>
    </row>
    <row r="52" customFormat="false" ht="15" hidden="false" customHeight="false" outlineLevel="0" collapsed="false">
      <c r="A52" s="12" t="s">
        <v>2030</v>
      </c>
      <c r="B52" s="12" t="s">
        <v>6053</v>
      </c>
      <c r="C52" s="12" t="n">
        <f aca="false">COUNTIF(Packages!$A$6:$A$206,"UG-20")</f>
        <v>2</v>
      </c>
      <c r="D52" s="20" t="n">
        <f aca="false">SUMIF(Packages!$A$6:$A$206,"UG-20",Packages!$O$6:$O$206)</f>
        <v>109.72534029975</v>
      </c>
      <c r="E52" s="20" t="n">
        <f aca="false">SUMIF(Packages!$A$6:$A$206,"UG-20",Packages!$U$6:$U$206)</f>
        <v>109.72534029975</v>
      </c>
      <c r="F52" s="20" t="n">
        <f aca="false">SUMIF(Packages!$A$6:$A$206,"UG-20",Packages!$AC$6:$AC$206)</f>
        <v>78</v>
      </c>
      <c r="G52" s="20" t="n">
        <f aca="false">SUMIF(Packages!$A$6:$A$206,"UG-20",Packages!$X$6:$X$206)+SUMIF(Packages!$A$6:$A$206,"UG-20",Packages!$Y$6:$Y$206)</f>
        <v>1570.05776609771</v>
      </c>
      <c r="H52" s="16" t="n">
        <f aca="false">_xlfn.MINIFS(Packages!$AL$6:$AL$206,Packages!$A$6:$A$206,"UG-20")</f>
        <v>46376</v>
      </c>
      <c r="I52" s="16" t="n">
        <f aca="false">_xlfn.MAXIFS(Packages!$AM$6:$AM$206,Packages!$A$6:$A$206,"UG-20")</f>
        <v>46528</v>
      </c>
      <c r="J52" s="21" t="n">
        <f aca="false">(I52-H52)/30.4</f>
        <v>5</v>
      </c>
      <c r="K52" s="42" t="n">
        <f aca="false">IF(AND($H52&lt;=EOMONTH(K$5,0),$I52&gt;=K$5),1,"")</f>
        <v>1</v>
      </c>
      <c r="L52" s="42" t="n">
        <f aca="false">IF(AND($H52&lt;=EOMONTH(L$5,0),$I52&gt;=L$5),1,"")</f>
        <v>1</v>
      </c>
      <c r="M52" s="42" t="n">
        <f aca="false">IF(AND($H52&lt;=EOMONTH(M$5,0),$I52&gt;=M$5),1,"")</f>
        <v>1</v>
      </c>
      <c r="N52" s="42" t="n">
        <f aca="false">IF(AND($H52&lt;=EOMONTH(N$5,0),$I52&gt;=N$5),1,"")</f>
        <v>1</v>
      </c>
      <c r="O52" s="42" t="n">
        <f aca="false">IF(AND($H52&lt;=EOMONTH(O$5,0),$I52&gt;=O$5),1,"")</f>
        <v>1</v>
      </c>
      <c r="P52" s="42" t="n">
        <f aca="false">IF(AND($H52&lt;=EOMONTH(P$5,0),$I52&gt;=P$5),1,"")</f>
        <v>1</v>
      </c>
      <c r="Q52" s="42" t="str">
        <f aca="false">IF(AND($H52&lt;=EOMONTH(Q$5,0),$I52&gt;=Q$5),1,"")</f>
        <v/>
      </c>
      <c r="R52" s="42" t="str">
        <f aca="false">IF(AND($H52&lt;=EOMONTH(R$5,0),$I52&gt;=R$5),1,"")</f>
        <v/>
      </c>
      <c r="S52" s="42" t="str">
        <f aca="false">IF(AND($H52&lt;=EOMONTH(S$5,0),$I52&gt;=S$5),1,"")</f>
        <v/>
      </c>
      <c r="T52" s="42" t="str">
        <f aca="false">IF(AND($H52&lt;=EOMONTH(T$5,0),$I52&gt;=T$5),1,"")</f>
        <v/>
      </c>
      <c r="U52" s="42" t="str">
        <f aca="false">IF(AND($H52&lt;=EOMONTH(U$5,0),$I52&gt;=U$5),1,"")</f>
        <v/>
      </c>
      <c r="V52" s="42" t="str">
        <f aca="false">IF(AND($H52&lt;=EOMONTH(V$5,0),$I52&gt;=V$5),1,"")</f>
        <v/>
      </c>
      <c r="W52" s="42" t="str">
        <f aca="false">IF(AND($H52&lt;=EOMONTH(W$5,0),$I52&gt;=W$5),1,"")</f>
        <v/>
      </c>
      <c r="X52" s="42" t="str">
        <f aca="false">IF(AND($H52&lt;=EOMONTH(X$5,0),$I52&gt;=X$5),1,"")</f>
        <v/>
      </c>
      <c r="Y52" s="42" t="str">
        <f aca="false">IF(AND($H52&lt;=EOMONTH(Y$5,0),$I52&gt;=Y$5),1,"")</f>
        <v/>
      </c>
      <c r="Z52" s="42" t="str">
        <f aca="false">IF(AND($H52&lt;=EOMONTH(Z$5,0),$I52&gt;=Z$5),1,"")</f>
        <v/>
      </c>
      <c r="AA52" s="42" t="str">
        <f aca="false">IF(AND($H52&lt;=EOMONTH(AA$5,0),$I52&gt;=AA$5),1,"")</f>
        <v/>
      </c>
      <c r="AB52" s="42" t="str">
        <f aca="false">IF(AND($H52&lt;=EOMONTH(AB$5,0),$I52&gt;=AB$5),1,"")</f>
        <v/>
      </c>
      <c r="AC52" s="42" t="str">
        <f aca="false">IF(AND($H52&lt;=EOMONTH(AC$5,0),$I52&gt;=AC$5),1,"")</f>
        <v/>
      </c>
      <c r="AD52" s="42" t="str">
        <f aca="false">IF(AND($H52&lt;=EOMONTH(AD$5,0),$I52&gt;=AD$5),1,"")</f>
        <v/>
      </c>
      <c r="AE52" s="42" t="str">
        <f aca="false">IF(AND($H52&lt;=EOMONTH(AE$5,0),$I52&gt;=AE$5),1,"")</f>
        <v/>
      </c>
      <c r="AF52" s="42" t="str">
        <f aca="false">IF(AND($H52&lt;=EOMONTH(AF$5,0),$I52&gt;=AF$5),1,"")</f>
        <v/>
      </c>
      <c r="AG52" s="42" t="str">
        <f aca="false">IF(AND($H52&lt;=EOMONTH(AG$5,0),$I52&gt;=AG$5),1,"")</f>
        <v/>
      </c>
      <c r="AH52" s="42" t="str">
        <f aca="false">IF(AND($H52&lt;=EOMONTH(AH$5,0),$I52&gt;=AH$5),1,"")</f>
        <v/>
      </c>
    </row>
    <row r="53" customFormat="false" ht="15" hidden="false" customHeight="false" outlineLevel="0" collapsed="false">
      <c r="A53" s="12" t="s">
        <v>2058</v>
      </c>
      <c r="B53" s="12" t="s">
        <v>6054</v>
      </c>
      <c r="C53" s="12" t="n">
        <f aca="false">COUNTIF(Packages!$A$6:$A$206,"UG-21")</f>
        <v>1</v>
      </c>
      <c r="D53" s="20" t="n">
        <f aca="false">SUMIF(Packages!$A$6:$A$206,"UG-21",Packages!$O$6:$O$206)</f>
        <v>12.2025900003074</v>
      </c>
      <c r="E53" s="20" t="n">
        <f aca="false">SUMIF(Packages!$A$6:$A$206,"UG-21",Packages!$U$6:$U$206)</f>
        <v>12.2025900003074</v>
      </c>
      <c r="F53" s="20" t="n">
        <f aca="false">SUMIF(Packages!$A$6:$A$206,"UG-21",Packages!$AC$6:$AC$206)</f>
        <v>12</v>
      </c>
      <c r="G53" s="20" t="n">
        <f aca="false">SUMIF(Packages!$A$6:$A$206,"UG-21",Packages!$X$6:$X$206)+SUMIF(Packages!$A$6:$A$206,"UG-21",Packages!$Y$6:$Y$206)</f>
        <v>289.000565558834</v>
      </c>
      <c r="H53" s="16" t="n">
        <f aca="false">_xlfn.MINIFS(Packages!$AL$6:$AL$206,Packages!$A$6:$A$206,"UG-21")</f>
        <v>46357</v>
      </c>
      <c r="I53" s="16" t="n">
        <f aca="false">_xlfn.MAXIFS(Packages!$AM$6:$AM$206,Packages!$A$6:$A$206,"UG-21")</f>
        <v>46384</v>
      </c>
      <c r="J53" s="21" t="n">
        <f aca="false">(I53-H53)/30.4</f>
        <v>0.888157894736842</v>
      </c>
      <c r="K53" s="42" t="n">
        <f aca="false">IF(AND($H53&lt;=EOMONTH(K$5,0),$I53&gt;=K$5),1,"")</f>
        <v>1</v>
      </c>
      <c r="L53" s="42" t="str">
        <f aca="false">IF(AND($H53&lt;=EOMONTH(L$5,0),$I53&gt;=L$5),1,"")</f>
        <v/>
      </c>
      <c r="M53" s="42" t="str">
        <f aca="false">IF(AND($H53&lt;=EOMONTH(M$5,0),$I53&gt;=M$5),1,"")</f>
        <v/>
      </c>
      <c r="N53" s="42" t="str">
        <f aca="false">IF(AND($H53&lt;=EOMONTH(N$5,0),$I53&gt;=N$5),1,"")</f>
        <v/>
      </c>
      <c r="O53" s="42" t="str">
        <f aca="false">IF(AND($H53&lt;=EOMONTH(O$5,0),$I53&gt;=O$5),1,"")</f>
        <v/>
      </c>
      <c r="P53" s="42" t="str">
        <f aca="false">IF(AND($H53&lt;=EOMONTH(P$5,0),$I53&gt;=P$5),1,"")</f>
        <v/>
      </c>
      <c r="Q53" s="42" t="str">
        <f aca="false">IF(AND($H53&lt;=EOMONTH(Q$5,0),$I53&gt;=Q$5),1,"")</f>
        <v/>
      </c>
      <c r="R53" s="42" t="str">
        <f aca="false">IF(AND($H53&lt;=EOMONTH(R$5,0),$I53&gt;=R$5),1,"")</f>
        <v/>
      </c>
      <c r="S53" s="42" t="str">
        <f aca="false">IF(AND($H53&lt;=EOMONTH(S$5,0),$I53&gt;=S$5),1,"")</f>
        <v/>
      </c>
      <c r="T53" s="42" t="str">
        <f aca="false">IF(AND($H53&lt;=EOMONTH(T$5,0),$I53&gt;=T$5),1,"")</f>
        <v/>
      </c>
      <c r="U53" s="42" t="str">
        <f aca="false">IF(AND($H53&lt;=EOMONTH(U$5,0),$I53&gt;=U$5),1,"")</f>
        <v/>
      </c>
      <c r="V53" s="42" t="str">
        <f aca="false">IF(AND($H53&lt;=EOMONTH(V$5,0),$I53&gt;=V$5),1,"")</f>
        <v/>
      </c>
      <c r="W53" s="42" t="str">
        <f aca="false">IF(AND($H53&lt;=EOMONTH(W$5,0),$I53&gt;=W$5),1,"")</f>
        <v/>
      </c>
      <c r="X53" s="42" t="str">
        <f aca="false">IF(AND($H53&lt;=EOMONTH(X$5,0),$I53&gt;=X$5),1,"")</f>
        <v/>
      </c>
      <c r="Y53" s="42" t="str">
        <f aca="false">IF(AND($H53&lt;=EOMONTH(Y$5,0),$I53&gt;=Y$5),1,"")</f>
        <v/>
      </c>
      <c r="Z53" s="42" t="str">
        <f aca="false">IF(AND($H53&lt;=EOMONTH(Z$5,0),$I53&gt;=Z$5),1,"")</f>
        <v/>
      </c>
      <c r="AA53" s="42" t="str">
        <f aca="false">IF(AND($H53&lt;=EOMONTH(AA$5,0),$I53&gt;=AA$5),1,"")</f>
        <v/>
      </c>
      <c r="AB53" s="42" t="str">
        <f aca="false">IF(AND($H53&lt;=EOMONTH(AB$5,0),$I53&gt;=AB$5),1,"")</f>
        <v/>
      </c>
      <c r="AC53" s="42" t="str">
        <f aca="false">IF(AND($H53&lt;=EOMONTH(AC$5,0),$I53&gt;=AC$5),1,"")</f>
        <v/>
      </c>
      <c r="AD53" s="42" t="str">
        <f aca="false">IF(AND($H53&lt;=EOMONTH(AD$5,0),$I53&gt;=AD$5),1,"")</f>
        <v/>
      </c>
      <c r="AE53" s="42" t="str">
        <f aca="false">IF(AND($H53&lt;=EOMONTH(AE$5,0),$I53&gt;=AE$5),1,"")</f>
        <v/>
      </c>
      <c r="AF53" s="42" t="str">
        <f aca="false">IF(AND($H53&lt;=EOMONTH(AF$5,0),$I53&gt;=AF$5),1,"")</f>
        <v/>
      </c>
      <c r="AG53" s="42" t="str">
        <f aca="false">IF(AND($H53&lt;=EOMONTH(AG$5,0),$I53&gt;=AG$5),1,"")</f>
        <v/>
      </c>
      <c r="AH53" s="42" t="str">
        <f aca="false">IF(AND($H53&lt;=EOMONTH(AH$5,0),$I53&gt;=AH$5),1,"")</f>
        <v/>
      </c>
    </row>
    <row r="54" customFormat="false" ht="15" hidden="false" customHeight="false" outlineLevel="0" collapsed="false">
      <c r="A54" s="12" t="s">
        <v>2062</v>
      </c>
      <c r="B54" s="12" t="s">
        <v>6054</v>
      </c>
      <c r="C54" s="12" t="n">
        <f aca="false">COUNTIF(Packages!$A$6:$A$206,"UG-22")</f>
        <v>1</v>
      </c>
      <c r="D54" s="20" t="n">
        <f aca="false">SUMIF(Packages!$A$6:$A$206,"UG-22",Packages!$O$6:$O$206)</f>
        <v>12.2103899998167</v>
      </c>
      <c r="E54" s="20" t="n">
        <f aca="false">SUMIF(Packages!$A$6:$A$206,"UG-22",Packages!$U$6:$U$206)</f>
        <v>12.2103899998167</v>
      </c>
      <c r="F54" s="20" t="n">
        <f aca="false">SUMIF(Packages!$A$6:$A$206,"UG-22",Packages!$AC$6:$AC$206)</f>
        <v>12</v>
      </c>
      <c r="G54" s="20" t="n">
        <f aca="false">SUMIF(Packages!$A$6:$A$206,"UG-22",Packages!$X$6:$X$206)+SUMIF(Packages!$A$6:$A$206,"UG-22",Packages!$Y$6:$Y$206)</f>
        <v>289.185279153847</v>
      </c>
      <c r="H54" s="16" t="n">
        <f aca="false">_xlfn.MINIFS(Packages!$AL$6:$AL$206,Packages!$A$6:$A$206,"UG-22")</f>
        <v>46357</v>
      </c>
      <c r="I54" s="16" t="n">
        <f aca="false">_xlfn.MAXIFS(Packages!$AM$6:$AM$206,Packages!$A$6:$A$206,"UG-22")</f>
        <v>46384</v>
      </c>
      <c r="J54" s="21" t="n">
        <f aca="false">(I54-H54)/30.4</f>
        <v>0.888157894736842</v>
      </c>
      <c r="K54" s="42" t="n">
        <f aca="false">IF(AND($H54&lt;=EOMONTH(K$5,0),$I54&gt;=K$5),1,"")</f>
        <v>1</v>
      </c>
      <c r="L54" s="42" t="str">
        <f aca="false">IF(AND($H54&lt;=EOMONTH(L$5,0),$I54&gt;=L$5),1,"")</f>
        <v/>
      </c>
      <c r="M54" s="42" t="str">
        <f aca="false">IF(AND($H54&lt;=EOMONTH(M$5,0),$I54&gt;=M$5),1,"")</f>
        <v/>
      </c>
      <c r="N54" s="42" t="str">
        <f aca="false">IF(AND($H54&lt;=EOMONTH(N$5,0),$I54&gt;=N$5),1,"")</f>
        <v/>
      </c>
      <c r="O54" s="42" t="str">
        <f aca="false">IF(AND($H54&lt;=EOMONTH(O$5,0),$I54&gt;=O$5),1,"")</f>
        <v/>
      </c>
      <c r="P54" s="42" t="str">
        <f aca="false">IF(AND($H54&lt;=EOMONTH(P$5,0),$I54&gt;=P$5),1,"")</f>
        <v/>
      </c>
      <c r="Q54" s="42" t="str">
        <f aca="false">IF(AND($H54&lt;=EOMONTH(Q$5,0),$I54&gt;=Q$5),1,"")</f>
        <v/>
      </c>
      <c r="R54" s="42" t="str">
        <f aca="false">IF(AND($H54&lt;=EOMONTH(R$5,0),$I54&gt;=R$5),1,"")</f>
        <v/>
      </c>
      <c r="S54" s="42" t="str">
        <f aca="false">IF(AND($H54&lt;=EOMONTH(S$5,0),$I54&gt;=S$5),1,"")</f>
        <v/>
      </c>
      <c r="T54" s="42" t="str">
        <f aca="false">IF(AND($H54&lt;=EOMONTH(T$5,0),$I54&gt;=T$5),1,"")</f>
        <v/>
      </c>
      <c r="U54" s="42" t="str">
        <f aca="false">IF(AND($H54&lt;=EOMONTH(U$5,0),$I54&gt;=U$5),1,"")</f>
        <v/>
      </c>
      <c r="V54" s="42" t="str">
        <f aca="false">IF(AND($H54&lt;=EOMONTH(V$5,0),$I54&gt;=V$5),1,"")</f>
        <v/>
      </c>
      <c r="W54" s="42" t="str">
        <f aca="false">IF(AND($H54&lt;=EOMONTH(W$5,0),$I54&gt;=W$5),1,"")</f>
        <v/>
      </c>
      <c r="X54" s="42" t="str">
        <f aca="false">IF(AND($H54&lt;=EOMONTH(X$5,0),$I54&gt;=X$5),1,"")</f>
        <v/>
      </c>
      <c r="Y54" s="42" t="str">
        <f aca="false">IF(AND($H54&lt;=EOMONTH(Y$5,0),$I54&gt;=Y$5),1,"")</f>
        <v/>
      </c>
      <c r="Z54" s="42" t="str">
        <f aca="false">IF(AND($H54&lt;=EOMONTH(Z$5,0),$I54&gt;=Z$5),1,"")</f>
        <v/>
      </c>
      <c r="AA54" s="42" t="str">
        <f aca="false">IF(AND($H54&lt;=EOMONTH(AA$5,0),$I54&gt;=AA$5),1,"")</f>
        <v/>
      </c>
      <c r="AB54" s="42" t="str">
        <f aca="false">IF(AND($H54&lt;=EOMONTH(AB$5,0),$I54&gt;=AB$5),1,"")</f>
        <v/>
      </c>
      <c r="AC54" s="42" t="str">
        <f aca="false">IF(AND($H54&lt;=EOMONTH(AC$5,0),$I54&gt;=AC$5),1,"")</f>
        <v/>
      </c>
      <c r="AD54" s="42" t="str">
        <f aca="false">IF(AND($H54&lt;=EOMONTH(AD$5,0),$I54&gt;=AD$5),1,"")</f>
        <v/>
      </c>
      <c r="AE54" s="42" t="str">
        <f aca="false">IF(AND($H54&lt;=EOMONTH(AE$5,0),$I54&gt;=AE$5),1,"")</f>
        <v/>
      </c>
      <c r="AF54" s="42" t="str">
        <f aca="false">IF(AND($H54&lt;=EOMONTH(AF$5,0),$I54&gt;=AF$5),1,"")</f>
        <v/>
      </c>
      <c r="AG54" s="42" t="str">
        <f aca="false">IF(AND($H54&lt;=EOMONTH(AG$5,0),$I54&gt;=AG$5),1,"")</f>
        <v/>
      </c>
      <c r="AH54" s="42" t="str">
        <f aca="false">IF(AND($H54&lt;=EOMONTH(AH$5,0),$I54&gt;=AH$5),1,"")</f>
        <v/>
      </c>
    </row>
    <row r="55" customFormat="false" ht="15" hidden="false" customHeight="false" outlineLevel="0" collapsed="false">
      <c r="A55" s="12" t="s">
        <v>2066</v>
      </c>
      <c r="B55" s="12" t="s">
        <v>6055</v>
      </c>
      <c r="C55" s="12" t="n">
        <f aca="false">COUNTIF(Packages!$A$6:$A$206,"UG-23")</f>
        <v>10</v>
      </c>
      <c r="D55" s="20" t="n">
        <f aca="false">SUMIF(Packages!$A$6:$A$206,"UG-23",Packages!$O$6:$O$206)</f>
        <v>294.092612358853</v>
      </c>
      <c r="E55" s="20" t="n">
        <f aca="false">SUMIF(Packages!$A$6:$A$206,"UG-23",Packages!$U$6:$U$206)</f>
        <v>104.544540647912</v>
      </c>
      <c r="F55" s="20" t="n">
        <f aca="false">SUMIF(Packages!$A$6:$A$206,"UG-23",Packages!$AC$6:$AC$206)</f>
        <v>113</v>
      </c>
      <c r="G55" s="20" t="n">
        <f aca="false">SUMIF(Packages!$A$6:$A$206,"UG-23",Packages!$X$6:$X$206)+SUMIF(Packages!$A$6:$A$206,"UG-23",Packages!$Y$6:$Y$206)</f>
        <v>2262.83695238676</v>
      </c>
      <c r="H55" s="16" t="n">
        <f aca="false">_xlfn.MINIFS(Packages!$AL$6:$AL$206,Packages!$A$6:$A$206,"UG-23")</f>
        <v>46391</v>
      </c>
      <c r="I55" s="16" t="n">
        <f aca="false">_xlfn.MAXIFS(Packages!$AM$6:$AM$206,Packages!$A$6:$A$206,"UG-23")</f>
        <v>46510</v>
      </c>
      <c r="J55" s="21" t="n">
        <f aca="false">(I55-H55)/30.4</f>
        <v>3.91447368421053</v>
      </c>
      <c r="K55" s="42" t="str">
        <f aca="false">IF(AND($H55&lt;=EOMONTH(K$5,0),$I55&gt;=K$5),1,"")</f>
        <v/>
      </c>
      <c r="L55" s="42" t="n">
        <f aca="false">IF(AND($H55&lt;=EOMONTH(L$5,0),$I55&gt;=L$5),1,"")</f>
        <v>1</v>
      </c>
      <c r="M55" s="42" t="n">
        <f aca="false">IF(AND($H55&lt;=EOMONTH(M$5,0),$I55&gt;=M$5),1,"")</f>
        <v>1</v>
      </c>
      <c r="N55" s="42" t="n">
        <f aca="false">IF(AND($H55&lt;=EOMONTH(N$5,0),$I55&gt;=N$5),1,"")</f>
        <v>1</v>
      </c>
      <c r="O55" s="42" t="n">
        <f aca="false">IF(AND($H55&lt;=EOMONTH(O$5,0),$I55&gt;=O$5),1,"")</f>
        <v>1</v>
      </c>
      <c r="P55" s="42" t="n">
        <f aca="false">IF(AND($H55&lt;=EOMONTH(P$5,0),$I55&gt;=P$5),1,"")</f>
        <v>1</v>
      </c>
      <c r="Q55" s="42" t="str">
        <f aca="false">IF(AND($H55&lt;=EOMONTH(Q$5,0),$I55&gt;=Q$5),1,"")</f>
        <v/>
      </c>
      <c r="R55" s="42" t="str">
        <f aca="false">IF(AND($H55&lt;=EOMONTH(R$5,0),$I55&gt;=R$5),1,"")</f>
        <v/>
      </c>
      <c r="S55" s="42" t="str">
        <f aca="false">IF(AND($H55&lt;=EOMONTH(S$5,0),$I55&gt;=S$5),1,"")</f>
        <v/>
      </c>
      <c r="T55" s="42" t="str">
        <f aca="false">IF(AND($H55&lt;=EOMONTH(T$5,0),$I55&gt;=T$5),1,"")</f>
        <v/>
      </c>
      <c r="U55" s="42" t="str">
        <f aca="false">IF(AND($H55&lt;=EOMONTH(U$5,0),$I55&gt;=U$5),1,"")</f>
        <v/>
      </c>
      <c r="V55" s="42" t="str">
        <f aca="false">IF(AND($H55&lt;=EOMONTH(V$5,0),$I55&gt;=V$5),1,"")</f>
        <v/>
      </c>
      <c r="W55" s="42" t="str">
        <f aca="false">IF(AND($H55&lt;=EOMONTH(W$5,0),$I55&gt;=W$5),1,"")</f>
        <v/>
      </c>
      <c r="X55" s="42" t="str">
        <f aca="false">IF(AND($H55&lt;=EOMONTH(X$5,0),$I55&gt;=X$5),1,"")</f>
        <v/>
      </c>
      <c r="Y55" s="42" t="str">
        <f aca="false">IF(AND($H55&lt;=EOMONTH(Y$5,0),$I55&gt;=Y$5),1,"")</f>
        <v/>
      </c>
      <c r="Z55" s="42" t="str">
        <f aca="false">IF(AND($H55&lt;=EOMONTH(Z$5,0),$I55&gt;=Z$5),1,"")</f>
        <v/>
      </c>
      <c r="AA55" s="42" t="str">
        <f aca="false">IF(AND($H55&lt;=EOMONTH(AA$5,0),$I55&gt;=AA$5),1,"")</f>
        <v/>
      </c>
      <c r="AB55" s="42" t="str">
        <f aca="false">IF(AND($H55&lt;=EOMONTH(AB$5,0),$I55&gt;=AB$5),1,"")</f>
        <v/>
      </c>
      <c r="AC55" s="42" t="str">
        <f aca="false">IF(AND($H55&lt;=EOMONTH(AC$5,0),$I55&gt;=AC$5),1,"")</f>
        <v/>
      </c>
      <c r="AD55" s="42" t="str">
        <f aca="false">IF(AND($H55&lt;=EOMONTH(AD$5,0),$I55&gt;=AD$5),1,"")</f>
        <v/>
      </c>
      <c r="AE55" s="42" t="str">
        <f aca="false">IF(AND($H55&lt;=EOMONTH(AE$5,0),$I55&gt;=AE$5),1,"")</f>
        <v/>
      </c>
      <c r="AF55" s="42" t="str">
        <f aca="false">IF(AND($H55&lt;=EOMONTH(AF$5,0),$I55&gt;=AF$5),1,"")</f>
        <v/>
      </c>
      <c r="AG55" s="42" t="str">
        <f aca="false">IF(AND($H55&lt;=EOMONTH(AG$5,0),$I55&gt;=AG$5),1,"")</f>
        <v/>
      </c>
      <c r="AH55" s="42" t="str">
        <f aca="false">IF(AND($H55&lt;=EOMONTH(AH$5,0),$I55&gt;=AH$5),1,"")</f>
        <v/>
      </c>
    </row>
    <row r="56" customFormat="false" ht="15" hidden="false" customHeight="false" outlineLevel="0" collapsed="false">
      <c r="A56" s="12" t="s">
        <v>2142</v>
      </c>
      <c r="B56" s="12" t="s">
        <v>6056</v>
      </c>
      <c r="C56" s="12" t="n">
        <f aca="false">COUNTIF(Packages!$A$6:$A$206,"UG-24")</f>
        <v>2</v>
      </c>
      <c r="D56" s="20" t="n">
        <f aca="false">SUMIF(Packages!$A$6:$A$206,"UG-24",Packages!$O$6:$O$206)</f>
        <v>126.831104750001</v>
      </c>
      <c r="E56" s="20" t="n">
        <f aca="false">SUMIF(Packages!$A$6:$A$206,"UG-24",Packages!$U$6:$U$206)</f>
        <v>69.9999999999276</v>
      </c>
      <c r="F56" s="20" t="n">
        <f aca="false">SUMIF(Packages!$A$6:$A$206,"UG-24",Packages!$AC$6:$AC$206)</f>
        <v>92</v>
      </c>
      <c r="G56" s="20" t="n">
        <f aca="false">SUMIF(Packages!$A$6:$A$206,"UG-24",Packages!$X$6:$X$206)+SUMIF(Packages!$A$6:$A$206,"UG-24",Packages!$Y$6:$Y$206)</f>
        <v>1734.33056866746</v>
      </c>
      <c r="H56" s="16" t="n">
        <f aca="false">_xlfn.MINIFS(Packages!$AL$6:$AL$206,Packages!$A$6:$A$206,"UG-24")</f>
        <v>46489</v>
      </c>
      <c r="I56" s="16" t="n">
        <f aca="false">_xlfn.MAXIFS(Packages!$AM$6:$AM$206,Packages!$A$6:$A$206,"UG-24")</f>
        <v>46590</v>
      </c>
      <c r="J56" s="21" t="n">
        <f aca="false">(I56-H56)/30.4</f>
        <v>3.32236842105263</v>
      </c>
      <c r="K56" s="42" t="str">
        <f aca="false">IF(AND($H56&lt;=EOMONTH(K$5,0),$I56&gt;=K$5),1,"")</f>
        <v/>
      </c>
      <c r="L56" s="42" t="str">
        <f aca="false">IF(AND($H56&lt;=EOMONTH(L$5,0),$I56&gt;=L$5),1,"")</f>
        <v/>
      </c>
      <c r="M56" s="42" t="str">
        <f aca="false">IF(AND($H56&lt;=EOMONTH(M$5,0),$I56&gt;=M$5),1,"")</f>
        <v/>
      </c>
      <c r="N56" s="42" t="str">
        <f aca="false">IF(AND($H56&lt;=EOMONTH(N$5,0),$I56&gt;=N$5),1,"")</f>
        <v/>
      </c>
      <c r="O56" s="42" t="n">
        <f aca="false">IF(AND($H56&lt;=EOMONTH(O$5,0),$I56&gt;=O$5),1,"")</f>
        <v>1</v>
      </c>
      <c r="P56" s="42" t="n">
        <f aca="false">IF(AND($H56&lt;=EOMONTH(P$5,0),$I56&gt;=P$5),1,"")</f>
        <v>1</v>
      </c>
      <c r="Q56" s="42" t="n">
        <f aca="false">IF(AND($H56&lt;=EOMONTH(Q$5,0),$I56&gt;=Q$5),1,"")</f>
        <v>1</v>
      </c>
      <c r="R56" s="42" t="n">
        <f aca="false">IF(AND($H56&lt;=EOMONTH(R$5,0),$I56&gt;=R$5),1,"")</f>
        <v>1</v>
      </c>
      <c r="S56" s="42" t="str">
        <f aca="false">IF(AND($H56&lt;=EOMONTH(S$5,0),$I56&gt;=S$5),1,"")</f>
        <v/>
      </c>
      <c r="T56" s="42" t="str">
        <f aca="false">IF(AND($H56&lt;=EOMONTH(T$5,0),$I56&gt;=T$5),1,"")</f>
        <v/>
      </c>
      <c r="U56" s="42" t="str">
        <f aca="false">IF(AND($H56&lt;=EOMONTH(U$5,0),$I56&gt;=U$5),1,"")</f>
        <v/>
      </c>
      <c r="V56" s="42" t="str">
        <f aca="false">IF(AND($H56&lt;=EOMONTH(V$5,0),$I56&gt;=V$5),1,"")</f>
        <v/>
      </c>
      <c r="W56" s="42" t="str">
        <f aca="false">IF(AND($H56&lt;=EOMONTH(W$5,0),$I56&gt;=W$5),1,"")</f>
        <v/>
      </c>
      <c r="X56" s="42" t="str">
        <f aca="false">IF(AND($H56&lt;=EOMONTH(X$5,0),$I56&gt;=X$5),1,"")</f>
        <v/>
      </c>
      <c r="Y56" s="42" t="str">
        <f aca="false">IF(AND($H56&lt;=EOMONTH(Y$5,0),$I56&gt;=Y$5),1,"")</f>
        <v/>
      </c>
      <c r="Z56" s="42" t="str">
        <f aca="false">IF(AND($H56&lt;=EOMONTH(Z$5,0),$I56&gt;=Z$5),1,"")</f>
        <v/>
      </c>
      <c r="AA56" s="42" t="str">
        <f aca="false">IF(AND($H56&lt;=EOMONTH(AA$5,0),$I56&gt;=AA$5),1,"")</f>
        <v/>
      </c>
      <c r="AB56" s="42" t="str">
        <f aca="false">IF(AND($H56&lt;=EOMONTH(AB$5,0),$I56&gt;=AB$5),1,"")</f>
        <v/>
      </c>
      <c r="AC56" s="42" t="str">
        <f aca="false">IF(AND($H56&lt;=EOMONTH(AC$5,0),$I56&gt;=AC$5),1,"")</f>
        <v/>
      </c>
      <c r="AD56" s="42" t="str">
        <f aca="false">IF(AND($H56&lt;=EOMONTH(AD$5,0),$I56&gt;=AD$5),1,"")</f>
        <v/>
      </c>
      <c r="AE56" s="42" t="str">
        <f aca="false">IF(AND($H56&lt;=EOMONTH(AE$5,0),$I56&gt;=AE$5),1,"")</f>
        <v/>
      </c>
      <c r="AF56" s="42" t="str">
        <f aca="false">IF(AND($H56&lt;=EOMONTH(AF$5,0),$I56&gt;=AF$5),1,"")</f>
        <v/>
      </c>
      <c r="AG56" s="42" t="str">
        <f aca="false">IF(AND($H56&lt;=EOMONTH(AG$5,0),$I56&gt;=AG$5),1,"")</f>
        <v/>
      </c>
      <c r="AH56" s="42" t="str">
        <f aca="false">IF(AND($H56&lt;=EOMONTH(AH$5,0),$I56&gt;=AH$5),1,"")</f>
        <v/>
      </c>
    </row>
    <row r="57" customFormat="false" ht="15" hidden="false" customHeight="false" outlineLevel="0" collapsed="false">
      <c r="A57" s="12" t="s">
        <v>2170</v>
      </c>
      <c r="B57" s="12" t="s">
        <v>6057</v>
      </c>
      <c r="C57" s="12" t="n">
        <f aca="false">COUNTIF(Packages!$A$6:$A$206,"UG-25")</f>
        <v>1</v>
      </c>
      <c r="D57" s="20" t="n">
        <f aca="false">SUMIF(Packages!$A$6:$A$206,"UG-25",Packages!$O$6:$O$206)</f>
        <v>495.217183428037</v>
      </c>
      <c r="E57" s="20" t="n">
        <f aca="false">SUMIF(Packages!$A$6:$A$206,"UG-25",Packages!$U$6:$U$206)</f>
        <v>495.217183428037</v>
      </c>
      <c r="F57" s="20" t="n">
        <f aca="false">SUMIF(Packages!$A$6:$A$206,"UG-25",Packages!$AC$6:$AC$206)</f>
        <v>334</v>
      </c>
      <c r="G57" s="20" t="n">
        <f aca="false">SUMIF(Packages!$A$6:$A$206,"UG-25",Packages!$X$6:$X$206)+SUMIF(Packages!$A$6:$A$206,"UG-25",Packages!$Y$6:$Y$206)</f>
        <v>8609.06651371478</v>
      </c>
      <c r="H57" s="16" t="n">
        <f aca="false">_xlfn.MINIFS(Packages!$AL$6:$AL$206,Packages!$A$6:$A$206,"UG-25")</f>
        <v>46358</v>
      </c>
      <c r="I57" s="16" t="n">
        <f aca="false">_xlfn.MAXIFS(Packages!$AM$6:$AM$206,Packages!$A$6:$A$206,"UG-25")</f>
        <v>46522</v>
      </c>
      <c r="J57" s="21" t="n">
        <f aca="false">(I57-H57)/30.4</f>
        <v>5.39473684210526</v>
      </c>
      <c r="K57" s="42" t="n">
        <f aca="false">IF(AND($H57&lt;=EOMONTH(K$5,0),$I57&gt;=K$5),1,"")</f>
        <v>1</v>
      </c>
      <c r="L57" s="42" t="n">
        <f aca="false">IF(AND($H57&lt;=EOMONTH(L$5,0),$I57&gt;=L$5),1,"")</f>
        <v>1</v>
      </c>
      <c r="M57" s="42" t="n">
        <f aca="false">IF(AND($H57&lt;=EOMONTH(M$5,0),$I57&gt;=M$5),1,"")</f>
        <v>1</v>
      </c>
      <c r="N57" s="42" t="n">
        <f aca="false">IF(AND($H57&lt;=EOMONTH(N$5,0),$I57&gt;=N$5),1,"")</f>
        <v>1</v>
      </c>
      <c r="O57" s="42" t="n">
        <f aca="false">IF(AND($H57&lt;=EOMONTH(O$5,0),$I57&gt;=O$5),1,"")</f>
        <v>1</v>
      </c>
      <c r="P57" s="42" t="n">
        <f aca="false">IF(AND($H57&lt;=EOMONTH(P$5,0),$I57&gt;=P$5),1,"")</f>
        <v>1</v>
      </c>
      <c r="Q57" s="42" t="str">
        <f aca="false">IF(AND($H57&lt;=EOMONTH(Q$5,0),$I57&gt;=Q$5),1,"")</f>
        <v/>
      </c>
      <c r="R57" s="42" t="str">
        <f aca="false">IF(AND($H57&lt;=EOMONTH(R$5,0),$I57&gt;=R$5),1,"")</f>
        <v/>
      </c>
      <c r="S57" s="42" t="str">
        <f aca="false">IF(AND($H57&lt;=EOMONTH(S$5,0),$I57&gt;=S$5),1,"")</f>
        <v/>
      </c>
      <c r="T57" s="42" t="str">
        <f aca="false">IF(AND($H57&lt;=EOMONTH(T$5,0),$I57&gt;=T$5),1,"")</f>
        <v/>
      </c>
      <c r="U57" s="42" t="str">
        <f aca="false">IF(AND($H57&lt;=EOMONTH(U$5,0),$I57&gt;=U$5),1,"")</f>
        <v/>
      </c>
      <c r="V57" s="42" t="str">
        <f aca="false">IF(AND($H57&lt;=EOMONTH(V$5,0),$I57&gt;=V$5),1,"")</f>
        <v/>
      </c>
      <c r="W57" s="42" t="str">
        <f aca="false">IF(AND($H57&lt;=EOMONTH(W$5,0),$I57&gt;=W$5),1,"")</f>
        <v/>
      </c>
      <c r="X57" s="42" t="str">
        <f aca="false">IF(AND($H57&lt;=EOMONTH(X$5,0),$I57&gt;=X$5),1,"")</f>
        <v/>
      </c>
      <c r="Y57" s="42" t="str">
        <f aca="false">IF(AND($H57&lt;=EOMONTH(Y$5,0),$I57&gt;=Y$5),1,"")</f>
        <v/>
      </c>
      <c r="Z57" s="42" t="str">
        <f aca="false">IF(AND($H57&lt;=EOMONTH(Z$5,0),$I57&gt;=Z$5),1,"")</f>
        <v/>
      </c>
      <c r="AA57" s="42" t="str">
        <f aca="false">IF(AND($H57&lt;=EOMONTH(AA$5,0),$I57&gt;=AA$5),1,"")</f>
        <v/>
      </c>
      <c r="AB57" s="42" t="str">
        <f aca="false">IF(AND($H57&lt;=EOMONTH(AB$5,0),$I57&gt;=AB$5),1,"")</f>
        <v/>
      </c>
      <c r="AC57" s="42" t="str">
        <f aca="false">IF(AND($H57&lt;=EOMONTH(AC$5,0),$I57&gt;=AC$5),1,"")</f>
        <v/>
      </c>
      <c r="AD57" s="42" t="str">
        <f aca="false">IF(AND($H57&lt;=EOMONTH(AD$5,0),$I57&gt;=AD$5),1,"")</f>
        <v/>
      </c>
      <c r="AE57" s="42" t="str">
        <f aca="false">IF(AND($H57&lt;=EOMONTH(AE$5,0),$I57&gt;=AE$5),1,"")</f>
        <v/>
      </c>
      <c r="AF57" s="42" t="str">
        <f aca="false">IF(AND($H57&lt;=EOMONTH(AF$5,0),$I57&gt;=AF$5),1,"")</f>
        <v/>
      </c>
      <c r="AG57" s="42" t="str">
        <f aca="false">IF(AND($H57&lt;=EOMONTH(AG$5,0),$I57&gt;=AG$5),1,"")</f>
        <v/>
      </c>
      <c r="AH57" s="42" t="str">
        <f aca="false">IF(AND($H57&lt;=EOMONTH(AH$5,0),$I57&gt;=AH$5),1,"")</f>
        <v/>
      </c>
    </row>
    <row r="58" customFormat="false" ht="15" hidden="false" customHeight="false" outlineLevel="0" collapsed="false">
      <c r="A58" s="12" t="s">
        <v>2236</v>
      </c>
      <c r="B58" s="12" t="s">
        <v>6057</v>
      </c>
      <c r="C58" s="12" t="n">
        <f aca="false">COUNTIF(Packages!$A$6:$A$206,"UG-26")</f>
        <v>1</v>
      </c>
      <c r="D58" s="20" t="n">
        <f aca="false">SUMIF(Packages!$A$6:$A$206,"UG-26",Packages!$O$6:$O$206)</f>
        <v>495.714576688877</v>
      </c>
      <c r="E58" s="20" t="n">
        <f aca="false">SUMIF(Packages!$A$6:$A$206,"UG-26",Packages!$U$6:$U$206)</f>
        <v>495.714576688877</v>
      </c>
      <c r="F58" s="20" t="n">
        <f aca="false">SUMIF(Packages!$A$6:$A$206,"UG-26",Packages!$AC$6:$AC$206)</f>
        <v>334</v>
      </c>
      <c r="G58" s="20" t="n">
        <f aca="false">SUMIF(Packages!$A$6:$A$206,"UG-26",Packages!$X$6:$X$206)+SUMIF(Packages!$A$6:$A$206,"UG-26",Packages!$Y$6:$Y$206)</f>
        <v>8189.58431918329</v>
      </c>
      <c r="H58" s="16" t="n">
        <f aca="false">_xlfn.MINIFS(Packages!$AL$6:$AL$206,Packages!$A$6:$A$206,"UG-26")</f>
        <v>46362</v>
      </c>
      <c r="I58" s="16" t="n">
        <f aca="false">_xlfn.MAXIFS(Packages!$AM$6:$AM$206,Packages!$A$6:$A$206,"UG-26")</f>
        <v>46532</v>
      </c>
      <c r="J58" s="21" t="n">
        <f aca="false">(I58-H58)/30.4</f>
        <v>5.5921052631579</v>
      </c>
      <c r="K58" s="42" t="n">
        <f aca="false">IF(AND($H58&lt;=EOMONTH(K$5,0),$I58&gt;=K$5),1,"")</f>
        <v>1</v>
      </c>
      <c r="L58" s="42" t="n">
        <f aca="false">IF(AND($H58&lt;=EOMONTH(L$5,0),$I58&gt;=L$5),1,"")</f>
        <v>1</v>
      </c>
      <c r="M58" s="42" t="n">
        <f aca="false">IF(AND($H58&lt;=EOMONTH(M$5,0),$I58&gt;=M$5),1,"")</f>
        <v>1</v>
      </c>
      <c r="N58" s="42" t="n">
        <f aca="false">IF(AND($H58&lt;=EOMONTH(N$5,0),$I58&gt;=N$5),1,"")</f>
        <v>1</v>
      </c>
      <c r="O58" s="42" t="n">
        <f aca="false">IF(AND($H58&lt;=EOMONTH(O$5,0),$I58&gt;=O$5),1,"")</f>
        <v>1</v>
      </c>
      <c r="P58" s="42" t="n">
        <f aca="false">IF(AND($H58&lt;=EOMONTH(P$5,0),$I58&gt;=P$5),1,"")</f>
        <v>1</v>
      </c>
      <c r="Q58" s="42" t="str">
        <f aca="false">IF(AND($H58&lt;=EOMONTH(Q$5,0),$I58&gt;=Q$5),1,"")</f>
        <v/>
      </c>
      <c r="R58" s="42" t="str">
        <f aca="false">IF(AND($H58&lt;=EOMONTH(R$5,0),$I58&gt;=R$5),1,"")</f>
        <v/>
      </c>
      <c r="S58" s="42" t="str">
        <f aca="false">IF(AND($H58&lt;=EOMONTH(S$5,0),$I58&gt;=S$5),1,"")</f>
        <v/>
      </c>
      <c r="T58" s="42" t="str">
        <f aca="false">IF(AND($H58&lt;=EOMONTH(T$5,0),$I58&gt;=T$5),1,"")</f>
        <v/>
      </c>
      <c r="U58" s="42" t="str">
        <f aca="false">IF(AND($H58&lt;=EOMONTH(U$5,0),$I58&gt;=U$5),1,"")</f>
        <v/>
      </c>
      <c r="V58" s="42" t="str">
        <f aca="false">IF(AND($H58&lt;=EOMONTH(V$5,0),$I58&gt;=V$5),1,"")</f>
        <v/>
      </c>
      <c r="W58" s="42" t="str">
        <f aca="false">IF(AND($H58&lt;=EOMONTH(W$5,0),$I58&gt;=W$5),1,"")</f>
        <v/>
      </c>
      <c r="X58" s="42" t="str">
        <f aca="false">IF(AND($H58&lt;=EOMONTH(X$5,0),$I58&gt;=X$5),1,"")</f>
        <v/>
      </c>
      <c r="Y58" s="42" t="str">
        <f aca="false">IF(AND($H58&lt;=EOMONTH(Y$5,0),$I58&gt;=Y$5),1,"")</f>
        <v/>
      </c>
      <c r="Z58" s="42" t="str">
        <f aca="false">IF(AND($H58&lt;=EOMONTH(Z$5,0),$I58&gt;=Z$5),1,"")</f>
        <v/>
      </c>
      <c r="AA58" s="42" t="str">
        <f aca="false">IF(AND($H58&lt;=EOMONTH(AA$5,0),$I58&gt;=AA$5),1,"")</f>
        <v/>
      </c>
      <c r="AB58" s="42" t="str">
        <f aca="false">IF(AND($H58&lt;=EOMONTH(AB$5,0),$I58&gt;=AB$5),1,"")</f>
        <v/>
      </c>
      <c r="AC58" s="42" t="str">
        <f aca="false">IF(AND($H58&lt;=EOMONTH(AC$5,0),$I58&gt;=AC$5),1,"")</f>
        <v/>
      </c>
      <c r="AD58" s="42" t="str">
        <f aca="false">IF(AND($H58&lt;=EOMONTH(AD$5,0),$I58&gt;=AD$5),1,"")</f>
        <v/>
      </c>
      <c r="AE58" s="42" t="str">
        <f aca="false">IF(AND($H58&lt;=EOMONTH(AE$5,0),$I58&gt;=AE$5),1,"")</f>
        <v/>
      </c>
      <c r="AF58" s="42" t="str">
        <f aca="false">IF(AND($H58&lt;=EOMONTH(AF$5,0),$I58&gt;=AF$5),1,"")</f>
        <v/>
      </c>
      <c r="AG58" s="42" t="str">
        <f aca="false">IF(AND($H58&lt;=EOMONTH(AG$5,0),$I58&gt;=AG$5),1,"")</f>
        <v/>
      </c>
      <c r="AH58" s="42" t="str">
        <f aca="false">IF(AND($H58&lt;=EOMONTH(AH$5,0),$I58&gt;=AH$5),1,"")</f>
        <v/>
      </c>
    </row>
    <row r="59" customFormat="false" ht="15" hidden="false" customHeight="false" outlineLevel="0" collapsed="false">
      <c r="A59" s="12" t="s">
        <v>2297</v>
      </c>
      <c r="B59" s="12" t="s">
        <v>6058</v>
      </c>
      <c r="C59" s="12" t="n">
        <f aca="false">COUNTIF(Packages!$A$6:$A$206,"UG-28")</f>
        <v>2</v>
      </c>
      <c r="D59" s="20" t="n">
        <f aca="false">SUMIF(Packages!$A$6:$A$206,"UG-28",Packages!$O$6:$O$206)</f>
        <v>13.5454273100281</v>
      </c>
      <c r="E59" s="20" t="n">
        <f aca="false">SUMIF(Packages!$A$6:$A$206,"UG-28",Packages!$U$6:$U$206)</f>
        <v>12.4454263124163</v>
      </c>
      <c r="F59" s="20" t="n">
        <f aca="false">SUMIF(Packages!$A$6:$A$206,"UG-28",Packages!$AC$6:$AC$206)</f>
        <v>8</v>
      </c>
      <c r="G59" s="20" t="n">
        <f aca="false">SUMIF(Packages!$A$6:$A$206,"UG-28",Packages!$X$6:$X$206)+SUMIF(Packages!$A$6:$A$206,"UG-28",Packages!$Y$6:$Y$206)</f>
        <v>152.456469158659</v>
      </c>
      <c r="H59" s="16" t="n">
        <f aca="false">_xlfn.MINIFS(Packages!$AL$6:$AL$206,Packages!$A$6:$A$206,"UG-28")</f>
        <v>46357</v>
      </c>
      <c r="I59" s="16" t="n">
        <f aca="false">_xlfn.MAXIFS(Packages!$AM$6:$AM$206,Packages!$A$6:$A$206,"UG-28")</f>
        <v>46465</v>
      </c>
      <c r="J59" s="21" t="n">
        <f aca="false">(I59-H59)/30.4</f>
        <v>3.55263157894737</v>
      </c>
      <c r="K59" s="42" t="n">
        <f aca="false">IF(AND($H59&lt;=EOMONTH(K$5,0),$I59&gt;=K$5),1,"")</f>
        <v>1</v>
      </c>
      <c r="L59" s="42" t="n">
        <f aca="false">IF(AND($H59&lt;=EOMONTH(L$5,0),$I59&gt;=L$5),1,"")</f>
        <v>1</v>
      </c>
      <c r="M59" s="42" t="n">
        <f aca="false">IF(AND($H59&lt;=EOMONTH(M$5,0),$I59&gt;=M$5),1,"")</f>
        <v>1</v>
      </c>
      <c r="N59" s="42" t="n">
        <f aca="false">IF(AND($H59&lt;=EOMONTH(N$5,0),$I59&gt;=N$5),1,"")</f>
        <v>1</v>
      </c>
      <c r="O59" s="42" t="str">
        <f aca="false">IF(AND($H59&lt;=EOMONTH(O$5,0),$I59&gt;=O$5),1,"")</f>
        <v/>
      </c>
      <c r="P59" s="42" t="str">
        <f aca="false">IF(AND($H59&lt;=EOMONTH(P$5,0),$I59&gt;=P$5),1,"")</f>
        <v/>
      </c>
      <c r="Q59" s="42" t="str">
        <f aca="false">IF(AND($H59&lt;=EOMONTH(Q$5,0),$I59&gt;=Q$5),1,"")</f>
        <v/>
      </c>
      <c r="R59" s="42" t="str">
        <f aca="false">IF(AND($H59&lt;=EOMONTH(R$5,0),$I59&gt;=R$5),1,"")</f>
        <v/>
      </c>
      <c r="S59" s="42" t="str">
        <f aca="false">IF(AND($H59&lt;=EOMONTH(S$5,0),$I59&gt;=S$5),1,"")</f>
        <v/>
      </c>
      <c r="T59" s="42" t="str">
        <f aca="false">IF(AND($H59&lt;=EOMONTH(T$5,0),$I59&gt;=T$5),1,"")</f>
        <v/>
      </c>
      <c r="U59" s="42" t="str">
        <f aca="false">IF(AND($H59&lt;=EOMONTH(U$5,0),$I59&gt;=U$5),1,"")</f>
        <v/>
      </c>
      <c r="V59" s="42" t="str">
        <f aca="false">IF(AND($H59&lt;=EOMONTH(V$5,0),$I59&gt;=V$5),1,"")</f>
        <v/>
      </c>
      <c r="W59" s="42" t="str">
        <f aca="false">IF(AND($H59&lt;=EOMONTH(W$5,0),$I59&gt;=W$5),1,"")</f>
        <v/>
      </c>
      <c r="X59" s="42" t="str">
        <f aca="false">IF(AND($H59&lt;=EOMONTH(X$5,0),$I59&gt;=X$5),1,"")</f>
        <v/>
      </c>
      <c r="Y59" s="42" t="str">
        <f aca="false">IF(AND($H59&lt;=EOMONTH(Y$5,0),$I59&gt;=Y$5),1,"")</f>
        <v/>
      </c>
      <c r="Z59" s="42" t="str">
        <f aca="false">IF(AND($H59&lt;=EOMONTH(Z$5,0),$I59&gt;=Z$5),1,"")</f>
        <v/>
      </c>
      <c r="AA59" s="42" t="str">
        <f aca="false">IF(AND($H59&lt;=EOMONTH(AA$5,0),$I59&gt;=AA$5),1,"")</f>
        <v/>
      </c>
      <c r="AB59" s="42" t="str">
        <f aca="false">IF(AND($H59&lt;=EOMONTH(AB$5,0),$I59&gt;=AB$5),1,"")</f>
        <v/>
      </c>
      <c r="AC59" s="42" t="str">
        <f aca="false">IF(AND($H59&lt;=EOMONTH(AC$5,0),$I59&gt;=AC$5),1,"")</f>
        <v/>
      </c>
      <c r="AD59" s="42" t="str">
        <f aca="false">IF(AND($H59&lt;=EOMONTH(AD$5,0),$I59&gt;=AD$5),1,"")</f>
        <v/>
      </c>
      <c r="AE59" s="42" t="str">
        <f aca="false">IF(AND($H59&lt;=EOMONTH(AE$5,0),$I59&gt;=AE$5),1,"")</f>
        <v/>
      </c>
      <c r="AF59" s="42" t="str">
        <f aca="false">IF(AND($H59&lt;=EOMONTH(AF$5,0),$I59&gt;=AF$5),1,"")</f>
        <v/>
      </c>
      <c r="AG59" s="42" t="str">
        <f aca="false">IF(AND($H59&lt;=EOMONTH(AG$5,0),$I59&gt;=AG$5),1,"")</f>
        <v/>
      </c>
      <c r="AH59" s="42" t="str">
        <f aca="false">IF(AND($H59&lt;=EOMONTH(AH$5,0),$I59&gt;=AH$5),1,"")</f>
        <v/>
      </c>
    </row>
    <row r="60" customFormat="false" ht="15" hidden="false" customHeight="false" outlineLevel="0" collapsed="false">
      <c r="A60" s="12" t="s">
        <v>2312</v>
      </c>
      <c r="B60" s="12" t="s">
        <v>6059</v>
      </c>
      <c r="C60" s="12" t="n">
        <f aca="false">COUNTIF(Packages!$A$6:$A$206,"UG-28A")</f>
        <v>1</v>
      </c>
      <c r="D60" s="20" t="n">
        <f aca="false">SUMIF(Packages!$A$6:$A$206,"UG-28A",Packages!$O$6:$O$206)</f>
        <v>17.8373748189085</v>
      </c>
      <c r="E60" s="20" t="n">
        <f aca="false">SUMIF(Packages!$A$6:$A$206,"UG-28A",Packages!$U$6:$U$206)</f>
        <v>0</v>
      </c>
      <c r="F60" s="20" t="n">
        <f aca="false">SUMIF(Packages!$A$6:$A$206,"UG-28A",Packages!$AC$6:$AC$206)</f>
        <v>7</v>
      </c>
      <c r="G60" s="20" t="n">
        <f aca="false">SUMIF(Packages!$A$6:$A$206,"UG-28A",Packages!$X$6:$X$206)+SUMIF(Packages!$A$6:$A$206,"UG-28A",Packages!$Y$6:$Y$206)</f>
        <v>0</v>
      </c>
      <c r="H60" s="16" t="n">
        <f aca="false">_xlfn.MINIFS(Packages!$AL$6:$AL$206,Packages!$A$6:$A$206,"UG-28A")</f>
        <v>46357</v>
      </c>
      <c r="I60" s="16" t="n">
        <f aca="false">_xlfn.MAXIFS(Packages!$AM$6:$AM$206,Packages!$A$6:$A$206,"UG-28A")</f>
        <v>46467</v>
      </c>
      <c r="J60" s="21" t="n">
        <f aca="false">(I60-H60)/30.4</f>
        <v>3.61842105263158</v>
      </c>
      <c r="K60" s="42" t="n">
        <f aca="false">IF(AND($H60&lt;=EOMONTH(K$5,0),$I60&gt;=K$5),1,"")</f>
        <v>1</v>
      </c>
      <c r="L60" s="42" t="n">
        <f aca="false">IF(AND($H60&lt;=EOMONTH(L$5,0),$I60&gt;=L$5),1,"")</f>
        <v>1</v>
      </c>
      <c r="M60" s="42" t="n">
        <f aca="false">IF(AND($H60&lt;=EOMONTH(M$5,0),$I60&gt;=M$5),1,"")</f>
        <v>1</v>
      </c>
      <c r="N60" s="42" t="n">
        <f aca="false">IF(AND($H60&lt;=EOMONTH(N$5,0),$I60&gt;=N$5),1,"")</f>
        <v>1</v>
      </c>
      <c r="O60" s="42" t="str">
        <f aca="false">IF(AND($H60&lt;=EOMONTH(O$5,0),$I60&gt;=O$5),1,"")</f>
        <v/>
      </c>
      <c r="P60" s="42" t="str">
        <f aca="false">IF(AND($H60&lt;=EOMONTH(P$5,0),$I60&gt;=P$5),1,"")</f>
        <v/>
      </c>
      <c r="Q60" s="42" t="str">
        <f aca="false">IF(AND($H60&lt;=EOMONTH(Q$5,0),$I60&gt;=Q$5),1,"")</f>
        <v/>
      </c>
      <c r="R60" s="42" t="str">
        <f aca="false">IF(AND($H60&lt;=EOMONTH(R$5,0),$I60&gt;=R$5),1,"")</f>
        <v/>
      </c>
      <c r="S60" s="42" t="str">
        <f aca="false">IF(AND($H60&lt;=EOMONTH(S$5,0),$I60&gt;=S$5),1,"")</f>
        <v/>
      </c>
      <c r="T60" s="42" t="str">
        <f aca="false">IF(AND($H60&lt;=EOMONTH(T$5,0),$I60&gt;=T$5),1,"")</f>
        <v/>
      </c>
      <c r="U60" s="42" t="str">
        <f aca="false">IF(AND($H60&lt;=EOMONTH(U$5,0),$I60&gt;=U$5),1,"")</f>
        <v/>
      </c>
      <c r="V60" s="42" t="str">
        <f aca="false">IF(AND($H60&lt;=EOMONTH(V$5,0),$I60&gt;=V$5),1,"")</f>
        <v/>
      </c>
      <c r="W60" s="42" t="str">
        <f aca="false">IF(AND($H60&lt;=EOMONTH(W$5,0),$I60&gt;=W$5),1,"")</f>
        <v/>
      </c>
      <c r="X60" s="42" t="str">
        <f aca="false">IF(AND($H60&lt;=EOMONTH(X$5,0),$I60&gt;=X$5),1,"")</f>
        <v/>
      </c>
      <c r="Y60" s="42" t="str">
        <f aca="false">IF(AND($H60&lt;=EOMONTH(Y$5,0),$I60&gt;=Y$5),1,"")</f>
        <v/>
      </c>
      <c r="Z60" s="42" t="str">
        <f aca="false">IF(AND($H60&lt;=EOMONTH(Z$5,0),$I60&gt;=Z$5),1,"")</f>
        <v/>
      </c>
      <c r="AA60" s="42" t="str">
        <f aca="false">IF(AND($H60&lt;=EOMONTH(AA$5,0),$I60&gt;=AA$5),1,"")</f>
        <v/>
      </c>
      <c r="AB60" s="42" t="str">
        <f aca="false">IF(AND($H60&lt;=EOMONTH(AB$5,0),$I60&gt;=AB$5),1,"")</f>
        <v/>
      </c>
      <c r="AC60" s="42" t="str">
        <f aca="false">IF(AND($H60&lt;=EOMONTH(AC$5,0),$I60&gt;=AC$5),1,"")</f>
        <v/>
      </c>
      <c r="AD60" s="42" t="str">
        <f aca="false">IF(AND($H60&lt;=EOMONTH(AD$5,0),$I60&gt;=AD$5),1,"")</f>
        <v/>
      </c>
      <c r="AE60" s="42" t="str">
        <f aca="false">IF(AND($H60&lt;=EOMONTH(AE$5,0),$I60&gt;=AE$5),1,"")</f>
        <v/>
      </c>
      <c r="AF60" s="42" t="str">
        <f aca="false">IF(AND($H60&lt;=EOMONTH(AF$5,0),$I60&gt;=AF$5),1,"")</f>
        <v/>
      </c>
      <c r="AG60" s="42" t="str">
        <f aca="false">IF(AND($H60&lt;=EOMONTH(AG$5,0),$I60&gt;=AG$5),1,"")</f>
        <v/>
      </c>
      <c r="AH60" s="42" t="str">
        <f aca="false">IF(AND($H60&lt;=EOMONTH(AH$5,0),$I60&gt;=AH$5),1,"")</f>
        <v/>
      </c>
    </row>
    <row r="62" customFormat="false" ht="15" hidden="false" customHeight="false" outlineLevel="0" collapsed="false">
      <c r="A62" s="10" t="s">
        <v>6060</v>
      </c>
    </row>
    <row r="63" customFormat="false" ht="15" hidden="false" customHeight="false" outlineLevel="0" collapsed="false">
      <c r="A63" s="10" t="s">
        <v>3005</v>
      </c>
      <c r="B63" s="12" t="s">
        <v>6061</v>
      </c>
      <c r="K63" s="43" t="n">
        <f aca="false">COUNTIFS(Activities!$F$6:$F$2216,"A030",Activities!$K$6:$K$2216,"&gt;0",Activities!$P$6:$P$2216,"&lt;="&amp;EOMONTH(K$5,0),Activities!$Q$6:$Q$2216,"&gt;"&amp;K$5)</f>
        <v>64</v>
      </c>
      <c r="L63" s="43" t="n">
        <f aca="false">COUNTIFS(Activities!$F$6:$F$2216,"A030",Activities!$K$6:$K$2216,"&gt;0",Activities!$P$6:$P$2216,"&lt;="&amp;EOMONTH(L$5,0),Activities!$Q$6:$Q$2216,"&gt;"&amp;L$5)</f>
        <v>52</v>
      </c>
      <c r="M63" s="43" t="n">
        <f aca="false">COUNTIFS(Activities!$F$6:$F$2216,"A030",Activities!$K$6:$K$2216,"&gt;0",Activities!$P$6:$P$2216,"&lt;="&amp;EOMONTH(M$5,0),Activities!$Q$6:$Q$2216,"&gt;"&amp;M$5)</f>
        <v>39</v>
      </c>
      <c r="N63" s="43" t="n">
        <f aca="false">COUNTIFS(Activities!$F$6:$F$2216,"A030",Activities!$K$6:$K$2216,"&gt;0",Activities!$P$6:$P$2216,"&lt;="&amp;EOMONTH(N$5,0),Activities!$Q$6:$Q$2216,"&gt;"&amp;N$5)</f>
        <v>45</v>
      </c>
      <c r="O63" s="43" t="n">
        <f aca="false">COUNTIFS(Activities!$F$6:$F$2216,"A030",Activities!$K$6:$K$2216,"&gt;0",Activities!$P$6:$P$2216,"&lt;="&amp;EOMONTH(O$5,0),Activities!$Q$6:$Q$2216,"&gt;"&amp;O$5)</f>
        <v>28</v>
      </c>
      <c r="P63" s="43" t="n">
        <f aca="false">COUNTIFS(Activities!$F$6:$F$2216,"A030",Activities!$K$6:$K$2216,"&gt;0",Activities!$P$6:$P$2216,"&lt;="&amp;EOMONTH(P$5,0),Activities!$Q$6:$Q$2216,"&gt;"&amp;P$5)</f>
        <v>3</v>
      </c>
      <c r="Q63" s="43" t="n">
        <f aca="false">COUNTIFS(Activities!$F$6:$F$2216,"A030",Activities!$K$6:$K$2216,"&gt;0",Activities!$P$6:$P$2216,"&lt;="&amp;EOMONTH(Q$5,0),Activities!$Q$6:$Q$2216,"&gt;"&amp;Q$5)</f>
        <v>0</v>
      </c>
      <c r="R63" s="43" t="n">
        <f aca="false">COUNTIFS(Activities!$F$6:$F$2216,"A030",Activities!$K$6:$K$2216,"&gt;0",Activities!$P$6:$P$2216,"&lt;="&amp;EOMONTH(R$5,0),Activities!$Q$6:$Q$2216,"&gt;"&amp;R$5)</f>
        <v>0</v>
      </c>
      <c r="S63" s="43" t="n">
        <f aca="false">COUNTIFS(Activities!$F$6:$F$2216,"A030",Activities!$K$6:$K$2216,"&gt;0",Activities!$P$6:$P$2216,"&lt;="&amp;EOMONTH(S$5,0),Activities!$Q$6:$Q$2216,"&gt;"&amp;S$5)</f>
        <v>0</v>
      </c>
      <c r="T63" s="43" t="n">
        <f aca="false">COUNTIFS(Activities!$F$6:$F$2216,"A030",Activities!$K$6:$K$2216,"&gt;0",Activities!$P$6:$P$2216,"&lt;="&amp;EOMONTH(T$5,0),Activities!$Q$6:$Q$2216,"&gt;"&amp;T$5)</f>
        <v>0</v>
      </c>
      <c r="U63" s="43" t="n">
        <f aca="false">COUNTIFS(Activities!$F$6:$F$2216,"A030",Activities!$K$6:$K$2216,"&gt;0",Activities!$P$6:$P$2216,"&lt;="&amp;EOMONTH(U$5,0),Activities!$Q$6:$Q$2216,"&gt;"&amp;U$5)</f>
        <v>0</v>
      </c>
      <c r="V63" s="43" t="n">
        <f aca="false">COUNTIFS(Activities!$F$6:$F$2216,"A030",Activities!$K$6:$K$2216,"&gt;0",Activities!$P$6:$P$2216,"&lt;="&amp;EOMONTH(V$5,0),Activities!$Q$6:$Q$2216,"&gt;"&amp;V$5)</f>
        <v>0</v>
      </c>
      <c r="W63" s="43" t="n">
        <f aca="false">COUNTIFS(Activities!$F$6:$F$2216,"A030",Activities!$K$6:$K$2216,"&gt;0",Activities!$P$6:$P$2216,"&lt;="&amp;EOMONTH(W$5,0),Activities!$Q$6:$Q$2216,"&gt;"&amp;W$5)</f>
        <v>0</v>
      </c>
      <c r="X63" s="43" t="n">
        <f aca="false">COUNTIFS(Activities!$F$6:$F$2216,"A030",Activities!$K$6:$K$2216,"&gt;0",Activities!$P$6:$P$2216,"&lt;="&amp;EOMONTH(X$5,0),Activities!$Q$6:$Q$2216,"&gt;"&amp;X$5)</f>
        <v>0</v>
      </c>
      <c r="Y63" s="43" t="n">
        <f aca="false">COUNTIFS(Activities!$F$6:$F$2216,"A030",Activities!$K$6:$K$2216,"&gt;0",Activities!$P$6:$P$2216,"&lt;="&amp;EOMONTH(Y$5,0),Activities!$Q$6:$Q$2216,"&gt;"&amp;Y$5)</f>
        <v>0</v>
      </c>
      <c r="Z63" s="43" t="n">
        <f aca="false">COUNTIFS(Activities!$F$6:$F$2216,"A030",Activities!$K$6:$K$2216,"&gt;0",Activities!$P$6:$P$2216,"&lt;="&amp;EOMONTH(Z$5,0),Activities!$Q$6:$Q$2216,"&gt;"&amp;Z$5)</f>
        <v>0</v>
      </c>
      <c r="AA63" s="43" t="n">
        <f aca="false">COUNTIFS(Activities!$F$6:$F$2216,"A030",Activities!$K$6:$K$2216,"&gt;0",Activities!$P$6:$P$2216,"&lt;="&amp;EOMONTH(AA$5,0),Activities!$Q$6:$Q$2216,"&gt;"&amp;AA$5)</f>
        <v>0</v>
      </c>
      <c r="AB63" s="43" t="n">
        <f aca="false">COUNTIFS(Activities!$F$6:$F$2216,"A030",Activities!$K$6:$K$2216,"&gt;0",Activities!$P$6:$P$2216,"&lt;="&amp;EOMONTH(AB$5,0),Activities!$Q$6:$Q$2216,"&gt;"&amp;AB$5)</f>
        <v>0</v>
      </c>
      <c r="AC63" s="43" t="n">
        <f aca="false">COUNTIFS(Activities!$F$6:$F$2216,"A030",Activities!$K$6:$K$2216,"&gt;0",Activities!$P$6:$P$2216,"&lt;="&amp;EOMONTH(AC$5,0),Activities!$Q$6:$Q$2216,"&gt;"&amp;AC$5)</f>
        <v>0</v>
      </c>
      <c r="AD63" s="43" t="n">
        <f aca="false">COUNTIFS(Activities!$F$6:$F$2216,"A030",Activities!$K$6:$K$2216,"&gt;0",Activities!$P$6:$P$2216,"&lt;="&amp;EOMONTH(AD$5,0),Activities!$Q$6:$Q$2216,"&gt;"&amp;AD$5)</f>
        <v>0</v>
      </c>
      <c r="AE63" s="43" t="n">
        <f aca="false">COUNTIFS(Activities!$F$6:$F$2216,"A030",Activities!$K$6:$K$2216,"&gt;0",Activities!$P$6:$P$2216,"&lt;="&amp;EOMONTH(AE$5,0),Activities!$Q$6:$Q$2216,"&gt;"&amp;AE$5)</f>
        <v>0</v>
      </c>
      <c r="AF63" s="43" t="n">
        <f aca="false">COUNTIFS(Activities!$F$6:$F$2216,"A030",Activities!$K$6:$K$2216,"&gt;0",Activities!$P$6:$P$2216,"&lt;="&amp;EOMONTH(AF$5,0),Activities!$Q$6:$Q$2216,"&gt;"&amp;AF$5)</f>
        <v>0</v>
      </c>
      <c r="AG63" s="43" t="n">
        <f aca="false">COUNTIFS(Activities!$F$6:$F$2216,"A030",Activities!$K$6:$K$2216,"&gt;0",Activities!$P$6:$P$2216,"&lt;="&amp;EOMONTH(AG$5,0),Activities!$Q$6:$Q$2216,"&gt;"&amp;AG$5)</f>
        <v>0</v>
      </c>
      <c r="AH63" s="43" t="n">
        <f aca="false">COUNTIFS(Activities!$F$6:$F$2216,"A030",Activities!$K$6:$K$2216,"&gt;0",Activities!$P$6:$P$2216,"&lt;="&amp;EOMONTH(AH$5,0),Activities!$Q$6:$Q$2216,"&gt;"&amp;AH$5)</f>
        <v>0</v>
      </c>
    </row>
    <row r="64" customFormat="false" ht="15" hidden="false" customHeight="false" outlineLevel="0" collapsed="false">
      <c r="A64" s="10" t="s">
        <v>3010</v>
      </c>
      <c r="B64" s="12" t="s">
        <v>6062</v>
      </c>
      <c r="K64" s="43" t="n">
        <f aca="false">COUNTIFS(Activities!$F$6:$F$2216,"A040",Activities!$K$6:$K$2216,"&gt;0",Activities!$P$6:$P$2216,"&lt;="&amp;EOMONTH(K$5,0),Activities!$Q$6:$Q$2216,"&gt;"&amp;K$5)</f>
        <v>52</v>
      </c>
      <c r="L64" s="43" t="n">
        <f aca="false">COUNTIFS(Activities!$F$6:$F$2216,"A040",Activities!$K$6:$K$2216,"&gt;0",Activities!$P$6:$P$2216,"&lt;="&amp;EOMONTH(L$5,0),Activities!$Q$6:$Q$2216,"&gt;"&amp;L$5)</f>
        <v>30</v>
      </c>
      <c r="M64" s="43" t="n">
        <f aca="false">COUNTIFS(Activities!$F$6:$F$2216,"A040",Activities!$K$6:$K$2216,"&gt;0",Activities!$P$6:$P$2216,"&lt;="&amp;EOMONTH(M$5,0),Activities!$Q$6:$Q$2216,"&gt;"&amp;M$5)</f>
        <v>29</v>
      </c>
      <c r="N64" s="43" t="n">
        <f aca="false">COUNTIFS(Activities!$F$6:$F$2216,"A040",Activities!$K$6:$K$2216,"&gt;0",Activities!$P$6:$P$2216,"&lt;="&amp;EOMONTH(N$5,0),Activities!$Q$6:$Q$2216,"&gt;"&amp;N$5)</f>
        <v>38</v>
      </c>
      <c r="O64" s="43" t="n">
        <f aca="false">COUNTIFS(Activities!$F$6:$F$2216,"A040",Activities!$K$6:$K$2216,"&gt;0",Activities!$P$6:$P$2216,"&lt;="&amp;EOMONTH(O$5,0),Activities!$Q$6:$Q$2216,"&gt;"&amp;O$5)</f>
        <v>24</v>
      </c>
      <c r="P64" s="43" t="n">
        <f aca="false">COUNTIFS(Activities!$F$6:$F$2216,"A040",Activities!$K$6:$K$2216,"&gt;0",Activities!$P$6:$P$2216,"&lt;="&amp;EOMONTH(P$5,0),Activities!$Q$6:$Q$2216,"&gt;"&amp;P$5)</f>
        <v>3</v>
      </c>
      <c r="Q64" s="43" t="n">
        <f aca="false">COUNTIFS(Activities!$F$6:$F$2216,"A040",Activities!$K$6:$K$2216,"&gt;0",Activities!$P$6:$P$2216,"&lt;="&amp;EOMONTH(Q$5,0),Activities!$Q$6:$Q$2216,"&gt;"&amp;Q$5)</f>
        <v>0</v>
      </c>
      <c r="R64" s="43" t="n">
        <f aca="false">COUNTIFS(Activities!$F$6:$F$2216,"A040",Activities!$K$6:$K$2216,"&gt;0",Activities!$P$6:$P$2216,"&lt;="&amp;EOMONTH(R$5,0),Activities!$Q$6:$Q$2216,"&gt;"&amp;R$5)</f>
        <v>0</v>
      </c>
      <c r="S64" s="43" t="n">
        <f aca="false">COUNTIFS(Activities!$F$6:$F$2216,"A040",Activities!$K$6:$K$2216,"&gt;0",Activities!$P$6:$P$2216,"&lt;="&amp;EOMONTH(S$5,0),Activities!$Q$6:$Q$2216,"&gt;"&amp;S$5)</f>
        <v>0</v>
      </c>
      <c r="T64" s="43" t="n">
        <f aca="false">COUNTIFS(Activities!$F$6:$F$2216,"A040",Activities!$K$6:$K$2216,"&gt;0",Activities!$P$6:$P$2216,"&lt;="&amp;EOMONTH(T$5,0),Activities!$Q$6:$Q$2216,"&gt;"&amp;T$5)</f>
        <v>0</v>
      </c>
      <c r="U64" s="43" t="n">
        <f aca="false">COUNTIFS(Activities!$F$6:$F$2216,"A040",Activities!$K$6:$K$2216,"&gt;0",Activities!$P$6:$P$2216,"&lt;="&amp;EOMONTH(U$5,0),Activities!$Q$6:$Q$2216,"&gt;"&amp;U$5)</f>
        <v>0</v>
      </c>
      <c r="V64" s="43" t="n">
        <f aca="false">COUNTIFS(Activities!$F$6:$F$2216,"A040",Activities!$K$6:$K$2216,"&gt;0",Activities!$P$6:$P$2216,"&lt;="&amp;EOMONTH(V$5,0),Activities!$Q$6:$Q$2216,"&gt;"&amp;V$5)</f>
        <v>0</v>
      </c>
      <c r="W64" s="43" t="n">
        <f aca="false">COUNTIFS(Activities!$F$6:$F$2216,"A040",Activities!$K$6:$K$2216,"&gt;0",Activities!$P$6:$P$2216,"&lt;="&amp;EOMONTH(W$5,0),Activities!$Q$6:$Q$2216,"&gt;"&amp;W$5)</f>
        <v>0</v>
      </c>
      <c r="X64" s="43" t="n">
        <f aca="false">COUNTIFS(Activities!$F$6:$F$2216,"A040",Activities!$K$6:$K$2216,"&gt;0",Activities!$P$6:$P$2216,"&lt;="&amp;EOMONTH(X$5,0),Activities!$Q$6:$Q$2216,"&gt;"&amp;X$5)</f>
        <v>0</v>
      </c>
      <c r="Y64" s="43" t="n">
        <f aca="false">COUNTIFS(Activities!$F$6:$F$2216,"A040",Activities!$K$6:$K$2216,"&gt;0",Activities!$P$6:$P$2216,"&lt;="&amp;EOMONTH(Y$5,0),Activities!$Q$6:$Q$2216,"&gt;"&amp;Y$5)</f>
        <v>0</v>
      </c>
      <c r="Z64" s="43" t="n">
        <f aca="false">COUNTIFS(Activities!$F$6:$F$2216,"A040",Activities!$K$6:$K$2216,"&gt;0",Activities!$P$6:$P$2216,"&lt;="&amp;EOMONTH(Z$5,0),Activities!$Q$6:$Q$2216,"&gt;"&amp;Z$5)</f>
        <v>0</v>
      </c>
      <c r="AA64" s="43" t="n">
        <f aca="false">COUNTIFS(Activities!$F$6:$F$2216,"A040",Activities!$K$6:$K$2216,"&gt;0",Activities!$P$6:$P$2216,"&lt;="&amp;EOMONTH(AA$5,0),Activities!$Q$6:$Q$2216,"&gt;"&amp;AA$5)</f>
        <v>0</v>
      </c>
      <c r="AB64" s="43" t="n">
        <f aca="false">COUNTIFS(Activities!$F$6:$F$2216,"A040",Activities!$K$6:$K$2216,"&gt;0",Activities!$P$6:$P$2216,"&lt;="&amp;EOMONTH(AB$5,0),Activities!$Q$6:$Q$2216,"&gt;"&amp;AB$5)</f>
        <v>0</v>
      </c>
      <c r="AC64" s="43" t="n">
        <f aca="false">COUNTIFS(Activities!$F$6:$F$2216,"A040",Activities!$K$6:$K$2216,"&gt;0",Activities!$P$6:$P$2216,"&lt;="&amp;EOMONTH(AC$5,0),Activities!$Q$6:$Q$2216,"&gt;"&amp;AC$5)</f>
        <v>0</v>
      </c>
      <c r="AD64" s="43" t="n">
        <f aca="false">COUNTIFS(Activities!$F$6:$F$2216,"A040",Activities!$K$6:$K$2216,"&gt;0",Activities!$P$6:$P$2216,"&lt;="&amp;EOMONTH(AD$5,0),Activities!$Q$6:$Q$2216,"&gt;"&amp;AD$5)</f>
        <v>0</v>
      </c>
      <c r="AE64" s="43" t="n">
        <f aca="false">COUNTIFS(Activities!$F$6:$F$2216,"A040",Activities!$K$6:$K$2216,"&gt;0",Activities!$P$6:$P$2216,"&lt;="&amp;EOMONTH(AE$5,0),Activities!$Q$6:$Q$2216,"&gt;"&amp;AE$5)</f>
        <v>0</v>
      </c>
      <c r="AF64" s="43" t="n">
        <f aca="false">COUNTIFS(Activities!$F$6:$F$2216,"A040",Activities!$K$6:$K$2216,"&gt;0",Activities!$P$6:$P$2216,"&lt;="&amp;EOMONTH(AF$5,0),Activities!$Q$6:$Q$2216,"&gt;"&amp;AF$5)</f>
        <v>0</v>
      </c>
      <c r="AG64" s="43" t="n">
        <f aca="false">COUNTIFS(Activities!$F$6:$F$2216,"A040",Activities!$K$6:$K$2216,"&gt;0",Activities!$P$6:$P$2216,"&lt;="&amp;EOMONTH(AG$5,0),Activities!$Q$6:$Q$2216,"&gt;"&amp;AG$5)</f>
        <v>0</v>
      </c>
      <c r="AH64" s="43" t="n">
        <f aca="false">COUNTIFS(Activities!$F$6:$F$2216,"A040",Activities!$K$6:$K$2216,"&gt;0",Activities!$P$6:$P$2216,"&lt;="&amp;EOMONTH(AH$5,0),Activities!$Q$6:$Q$2216,"&gt;"&amp;AH$5)</f>
        <v>0</v>
      </c>
    </row>
    <row r="65" customFormat="false" ht="15" hidden="false" customHeight="false" outlineLevel="0" collapsed="false">
      <c r="A65" s="10" t="s">
        <v>3014</v>
      </c>
      <c r="B65" s="12" t="s">
        <v>6063</v>
      </c>
      <c r="K65" s="43" t="n">
        <f aca="false">COUNTIFS(Activities!$F$6:$F$2216,"A050",Activities!$K$6:$K$2216,"&gt;0",Activities!$P$6:$P$2216,"&lt;="&amp;EOMONTH(K$5,0),Activities!$Q$6:$Q$2216,"&gt;"&amp;K$5)</f>
        <v>52</v>
      </c>
      <c r="L65" s="43" t="n">
        <f aca="false">COUNTIFS(Activities!$F$6:$F$2216,"A050",Activities!$K$6:$K$2216,"&gt;0",Activities!$P$6:$P$2216,"&lt;="&amp;EOMONTH(L$5,0),Activities!$Q$6:$Q$2216,"&gt;"&amp;L$5)</f>
        <v>42</v>
      </c>
      <c r="M65" s="43" t="n">
        <f aca="false">COUNTIFS(Activities!$F$6:$F$2216,"A050",Activities!$K$6:$K$2216,"&gt;0",Activities!$P$6:$P$2216,"&lt;="&amp;EOMONTH(M$5,0),Activities!$Q$6:$Q$2216,"&gt;"&amp;M$5)</f>
        <v>27</v>
      </c>
      <c r="N65" s="43" t="n">
        <f aca="false">COUNTIFS(Activities!$F$6:$F$2216,"A050",Activities!$K$6:$K$2216,"&gt;0",Activities!$P$6:$P$2216,"&lt;="&amp;EOMONTH(N$5,0),Activities!$Q$6:$Q$2216,"&gt;"&amp;N$5)</f>
        <v>49</v>
      </c>
      <c r="O65" s="43" t="n">
        <f aca="false">COUNTIFS(Activities!$F$6:$F$2216,"A050",Activities!$K$6:$K$2216,"&gt;0",Activities!$P$6:$P$2216,"&lt;="&amp;EOMONTH(O$5,0),Activities!$Q$6:$Q$2216,"&gt;"&amp;O$5)</f>
        <v>48</v>
      </c>
      <c r="P65" s="43" t="n">
        <f aca="false">COUNTIFS(Activities!$F$6:$F$2216,"A050",Activities!$K$6:$K$2216,"&gt;0",Activities!$P$6:$P$2216,"&lt;="&amp;EOMONTH(P$5,0),Activities!$Q$6:$Q$2216,"&gt;"&amp;P$5)</f>
        <v>14</v>
      </c>
      <c r="Q65" s="43" t="n">
        <f aca="false">COUNTIFS(Activities!$F$6:$F$2216,"A050",Activities!$K$6:$K$2216,"&gt;0",Activities!$P$6:$P$2216,"&lt;="&amp;EOMONTH(Q$5,0),Activities!$Q$6:$Q$2216,"&gt;"&amp;Q$5)</f>
        <v>8</v>
      </c>
      <c r="R65" s="43" t="n">
        <f aca="false">COUNTIFS(Activities!$F$6:$F$2216,"A050",Activities!$K$6:$K$2216,"&gt;0",Activities!$P$6:$P$2216,"&lt;="&amp;EOMONTH(R$5,0),Activities!$Q$6:$Q$2216,"&gt;"&amp;R$5)</f>
        <v>3</v>
      </c>
      <c r="S65" s="43" t="n">
        <f aca="false">COUNTIFS(Activities!$F$6:$F$2216,"A050",Activities!$K$6:$K$2216,"&gt;0",Activities!$P$6:$P$2216,"&lt;="&amp;EOMONTH(S$5,0),Activities!$Q$6:$Q$2216,"&gt;"&amp;S$5)</f>
        <v>0</v>
      </c>
      <c r="T65" s="43" t="n">
        <f aca="false">COUNTIFS(Activities!$F$6:$F$2216,"A050",Activities!$K$6:$K$2216,"&gt;0",Activities!$P$6:$P$2216,"&lt;="&amp;EOMONTH(T$5,0),Activities!$Q$6:$Q$2216,"&gt;"&amp;T$5)</f>
        <v>0</v>
      </c>
      <c r="U65" s="43" t="n">
        <f aca="false">COUNTIFS(Activities!$F$6:$F$2216,"A050",Activities!$K$6:$K$2216,"&gt;0",Activities!$P$6:$P$2216,"&lt;="&amp;EOMONTH(U$5,0),Activities!$Q$6:$Q$2216,"&gt;"&amp;U$5)</f>
        <v>0</v>
      </c>
      <c r="V65" s="43" t="n">
        <f aca="false">COUNTIFS(Activities!$F$6:$F$2216,"A050",Activities!$K$6:$K$2216,"&gt;0",Activities!$P$6:$P$2216,"&lt;="&amp;EOMONTH(V$5,0),Activities!$Q$6:$Q$2216,"&gt;"&amp;V$5)</f>
        <v>0</v>
      </c>
      <c r="W65" s="43" t="n">
        <f aca="false">COUNTIFS(Activities!$F$6:$F$2216,"A050",Activities!$K$6:$K$2216,"&gt;0",Activities!$P$6:$P$2216,"&lt;="&amp;EOMONTH(W$5,0),Activities!$Q$6:$Q$2216,"&gt;"&amp;W$5)</f>
        <v>0</v>
      </c>
      <c r="X65" s="43" t="n">
        <f aca="false">COUNTIFS(Activities!$F$6:$F$2216,"A050",Activities!$K$6:$K$2216,"&gt;0",Activities!$P$6:$P$2216,"&lt;="&amp;EOMONTH(X$5,0),Activities!$Q$6:$Q$2216,"&gt;"&amp;X$5)</f>
        <v>0</v>
      </c>
      <c r="Y65" s="43" t="n">
        <f aca="false">COUNTIFS(Activities!$F$6:$F$2216,"A050",Activities!$K$6:$K$2216,"&gt;0",Activities!$P$6:$P$2216,"&lt;="&amp;EOMONTH(Y$5,0),Activities!$Q$6:$Q$2216,"&gt;"&amp;Y$5)</f>
        <v>0</v>
      </c>
      <c r="Z65" s="43" t="n">
        <f aca="false">COUNTIFS(Activities!$F$6:$F$2216,"A050",Activities!$K$6:$K$2216,"&gt;0",Activities!$P$6:$P$2216,"&lt;="&amp;EOMONTH(Z$5,0),Activities!$Q$6:$Q$2216,"&gt;"&amp;Z$5)</f>
        <v>0</v>
      </c>
      <c r="AA65" s="43" t="n">
        <f aca="false">COUNTIFS(Activities!$F$6:$F$2216,"A050",Activities!$K$6:$K$2216,"&gt;0",Activities!$P$6:$P$2216,"&lt;="&amp;EOMONTH(AA$5,0),Activities!$Q$6:$Q$2216,"&gt;"&amp;AA$5)</f>
        <v>0</v>
      </c>
      <c r="AB65" s="43" t="n">
        <f aca="false">COUNTIFS(Activities!$F$6:$F$2216,"A050",Activities!$K$6:$K$2216,"&gt;0",Activities!$P$6:$P$2216,"&lt;="&amp;EOMONTH(AB$5,0),Activities!$Q$6:$Q$2216,"&gt;"&amp;AB$5)</f>
        <v>0</v>
      </c>
      <c r="AC65" s="43" t="n">
        <f aca="false">COUNTIFS(Activities!$F$6:$F$2216,"A050",Activities!$K$6:$K$2216,"&gt;0",Activities!$P$6:$P$2216,"&lt;="&amp;EOMONTH(AC$5,0),Activities!$Q$6:$Q$2216,"&gt;"&amp;AC$5)</f>
        <v>0</v>
      </c>
      <c r="AD65" s="43" t="n">
        <f aca="false">COUNTIFS(Activities!$F$6:$F$2216,"A050",Activities!$K$6:$K$2216,"&gt;0",Activities!$P$6:$P$2216,"&lt;="&amp;EOMONTH(AD$5,0),Activities!$Q$6:$Q$2216,"&gt;"&amp;AD$5)</f>
        <v>0</v>
      </c>
      <c r="AE65" s="43" t="n">
        <f aca="false">COUNTIFS(Activities!$F$6:$F$2216,"A050",Activities!$K$6:$K$2216,"&gt;0",Activities!$P$6:$P$2216,"&lt;="&amp;EOMONTH(AE$5,0),Activities!$Q$6:$Q$2216,"&gt;"&amp;AE$5)</f>
        <v>0</v>
      </c>
      <c r="AF65" s="43" t="n">
        <f aca="false">COUNTIFS(Activities!$F$6:$F$2216,"A050",Activities!$K$6:$K$2216,"&gt;0",Activities!$P$6:$P$2216,"&lt;="&amp;EOMONTH(AF$5,0),Activities!$Q$6:$Q$2216,"&gt;"&amp;AF$5)</f>
        <v>0</v>
      </c>
      <c r="AG65" s="43" t="n">
        <f aca="false">COUNTIFS(Activities!$F$6:$F$2216,"A050",Activities!$K$6:$K$2216,"&gt;0",Activities!$P$6:$P$2216,"&lt;="&amp;EOMONTH(AG$5,0),Activities!$Q$6:$Q$2216,"&gt;"&amp;AG$5)</f>
        <v>0</v>
      </c>
      <c r="AH65" s="43" t="n">
        <f aca="false">COUNTIFS(Activities!$F$6:$F$2216,"A050",Activities!$K$6:$K$2216,"&gt;0",Activities!$P$6:$P$2216,"&lt;="&amp;EOMONTH(AH$5,0),Activities!$Q$6:$Q$2216,"&gt;"&amp;AH$5)</f>
        <v>0</v>
      </c>
    </row>
    <row r="66" customFormat="false" ht="15" hidden="false" customHeight="false" outlineLevel="0" collapsed="false">
      <c r="A66" s="10" t="s">
        <v>3017</v>
      </c>
      <c r="B66" s="12" t="s">
        <v>6064</v>
      </c>
      <c r="K66" s="43" t="n">
        <f aca="false">COUNTIFS(Activities!$F$6:$F$2216,"A060",Activities!$K$6:$K$2216,"&gt;0",Activities!$P$6:$P$2216,"&lt;="&amp;EOMONTH(K$5,0),Activities!$Q$6:$Q$2216,"&gt;"&amp;K$5)</f>
        <v>25</v>
      </c>
      <c r="L66" s="43" t="n">
        <f aca="false">COUNTIFS(Activities!$F$6:$F$2216,"A060",Activities!$K$6:$K$2216,"&gt;0",Activities!$P$6:$P$2216,"&lt;="&amp;EOMONTH(L$5,0),Activities!$Q$6:$Q$2216,"&gt;"&amp;L$5)</f>
        <v>36</v>
      </c>
      <c r="M66" s="43" t="n">
        <f aca="false">COUNTIFS(Activities!$F$6:$F$2216,"A060",Activities!$K$6:$K$2216,"&gt;0",Activities!$P$6:$P$2216,"&lt;="&amp;EOMONTH(M$5,0),Activities!$Q$6:$Q$2216,"&gt;"&amp;M$5)</f>
        <v>23</v>
      </c>
      <c r="N66" s="43" t="n">
        <f aca="false">COUNTIFS(Activities!$F$6:$F$2216,"A060",Activities!$K$6:$K$2216,"&gt;0",Activities!$P$6:$P$2216,"&lt;="&amp;EOMONTH(N$5,0),Activities!$Q$6:$Q$2216,"&gt;"&amp;N$5)</f>
        <v>44</v>
      </c>
      <c r="O66" s="43" t="n">
        <f aca="false">COUNTIFS(Activities!$F$6:$F$2216,"A060",Activities!$K$6:$K$2216,"&gt;0",Activities!$P$6:$P$2216,"&lt;="&amp;EOMONTH(O$5,0),Activities!$Q$6:$Q$2216,"&gt;"&amp;O$5)</f>
        <v>48</v>
      </c>
      <c r="P66" s="43" t="n">
        <f aca="false">COUNTIFS(Activities!$F$6:$F$2216,"A060",Activities!$K$6:$K$2216,"&gt;0",Activities!$P$6:$P$2216,"&lt;="&amp;EOMONTH(P$5,0),Activities!$Q$6:$Q$2216,"&gt;"&amp;P$5)</f>
        <v>25</v>
      </c>
      <c r="Q66" s="43" t="n">
        <f aca="false">COUNTIFS(Activities!$F$6:$F$2216,"A060",Activities!$K$6:$K$2216,"&gt;0",Activities!$P$6:$P$2216,"&lt;="&amp;EOMONTH(Q$5,0),Activities!$Q$6:$Q$2216,"&gt;"&amp;Q$5)</f>
        <v>15</v>
      </c>
      <c r="R66" s="43" t="n">
        <f aca="false">COUNTIFS(Activities!$F$6:$F$2216,"A060",Activities!$K$6:$K$2216,"&gt;0",Activities!$P$6:$P$2216,"&lt;="&amp;EOMONTH(R$5,0),Activities!$Q$6:$Q$2216,"&gt;"&amp;R$5)</f>
        <v>6</v>
      </c>
      <c r="S66" s="43" t="n">
        <f aca="false">COUNTIFS(Activities!$F$6:$F$2216,"A060",Activities!$K$6:$K$2216,"&gt;0",Activities!$P$6:$P$2216,"&lt;="&amp;EOMONTH(S$5,0),Activities!$Q$6:$Q$2216,"&gt;"&amp;S$5)</f>
        <v>1</v>
      </c>
      <c r="T66" s="43" t="n">
        <f aca="false">COUNTIFS(Activities!$F$6:$F$2216,"A060",Activities!$K$6:$K$2216,"&gt;0",Activities!$P$6:$P$2216,"&lt;="&amp;EOMONTH(T$5,0),Activities!$Q$6:$Q$2216,"&gt;"&amp;T$5)</f>
        <v>0</v>
      </c>
      <c r="U66" s="43" t="n">
        <f aca="false">COUNTIFS(Activities!$F$6:$F$2216,"A060",Activities!$K$6:$K$2216,"&gt;0",Activities!$P$6:$P$2216,"&lt;="&amp;EOMONTH(U$5,0),Activities!$Q$6:$Q$2216,"&gt;"&amp;U$5)</f>
        <v>0</v>
      </c>
      <c r="V66" s="43" t="n">
        <f aca="false">COUNTIFS(Activities!$F$6:$F$2216,"A060",Activities!$K$6:$K$2216,"&gt;0",Activities!$P$6:$P$2216,"&lt;="&amp;EOMONTH(V$5,0),Activities!$Q$6:$Q$2216,"&gt;"&amp;V$5)</f>
        <v>0</v>
      </c>
      <c r="W66" s="43" t="n">
        <f aca="false">COUNTIFS(Activities!$F$6:$F$2216,"A060",Activities!$K$6:$K$2216,"&gt;0",Activities!$P$6:$P$2216,"&lt;="&amp;EOMONTH(W$5,0),Activities!$Q$6:$Q$2216,"&gt;"&amp;W$5)</f>
        <v>0</v>
      </c>
      <c r="X66" s="43" t="n">
        <f aca="false">COUNTIFS(Activities!$F$6:$F$2216,"A060",Activities!$K$6:$K$2216,"&gt;0",Activities!$P$6:$P$2216,"&lt;="&amp;EOMONTH(X$5,0),Activities!$Q$6:$Q$2216,"&gt;"&amp;X$5)</f>
        <v>0</v>
      </c>
      <c r="Y66" s="43" t="n">
        <f aca="false">COUNTIFS(Activities!$F$6:$F$2216,"A060",Activities!$K$6:$K$2216,"&gt;0",Activities!$P$6:$P$2216,"&lt;="&amp;EOMONTH(Y$5,0),Activities!$Q$6:$Q$2216,"&gt;"&amp;Y$5)</f>
        <v>0</v>
      </c>
      <c r="Z66" s="43" t="n">
        <f aca="false">COUNTIFS(Activities!$F$6:$F$2216,"A060",Activities!$K$6:$K$2216,"&gt;0",Activities!$P$6:$P$2216,"&lt;="&amp;EOMONTH(Z$5,0),Activities!$Q$6:$Q$2216,"&gt;"&amp;Z$5)</f>
        <v>0</v>
      </c>
      <c r="AA66" s="43" t="n">
        <f aca="false">COUNTIFS(Activities!$F$6:$F$2216,"A060",Activities!$K$6:$K$2216,"&gt;0",Activities!$P$6:$P$2216,"&lt;="&amp;EOMONTH(AA$5,0),Activities!$Q$6:$Q$2216,"&gt;"&amp;AA$5)</f>
        <v>0</v>
      </c>
      <c r="AB66" s="43" t="n">
        <f aca="false">COUNTIFS(Activities!$F$6:$F$2216,"A060",Activities!$K$6:$K$2216,"&gt;0",Activities!$P$6:$P$2216,"&lt;="&amp;EOMONTH(AB$5,0),Activities!$Q$6:$Q$2216,"&gt;"&amp;AB$5)</f>
        <v>0</v>
      </c>
      <c r="AC66" s="43" t="n">
        <f aca="false">COUNTIFS(Activities!$F$6:$F$2216,"A060",Activities!$K$6:$K$2216,"&gt;0",Activities!$P$6:$P$2216,"&lt;="&amp;EOMONTH(AC$5,0),Activities!$Q$6:$Q$2216,"&gt;"&amp;AC$5)</f>
        <v>0</v>
      </c>
      <c r="AD66" s="43" t="n">
        <f aca="false">COUNTIFS(Activities!$F$6:$F$2216,"A060",Activities!$K$6:$K$2216,"&gt;0",Activities!$P$6:$P$2216,"&lt;="&amp;EOMONTH(AD$5,0),Activities!$Q$6:$Q$2216,"&gt;"&amp;AD$5)</f>
        <v>0</v>
      </c>
      <c r="AE66" s="43" t="n">
        <f aca="false">COUNTIFS(Activities!$F$6:$F$2216,"A060",Activities!$K$6:$K$2216,"&gt;0",Activities!$P$6:$P$2216,"&lt;="&amp;EOMONTH(AE$5,0),Activities!$Q$6:$Q$2216,"&gt;"&amp;AE$5)</f>
        <v>0</v>
      </c>
      <c r="AF66" s="43" t="n">
        <f aca="false">COUNTIFS(Activities!$F$6:$F$2216,"A060",Activities!$K$6:$K$2216,"&gt;0",Activities!$P$6:$P$2216,"&lt;="&amp;EOMONTH(AF$5,0),Activities!$Q$6:$Q$2216,"&gt;"&amp;AF$5)</f>
        <v>0</v>
      </c>
      <c r="AG66" s="43" t="n">
        <f aca="false">COUNTIFS(Activities!$F$6:$F$2216,"A060",Activities!$K$6:$K$2216,"&gt;0",Activities!$P$6:$P$2216,"&lt;="&amp;EOMONTH(AG$5,0),Activities!$Q$6:$Q$2216,"&gt;"&amp;AG$5)</f>
        <v>0</v>
      </c>
      <c r="AH66" s="43" t="n">
        <f aca="false">COUNTIFS(Activities!$F$6:$F$2216,"A060",Activities!$K$6:$K$2216,"&gt;0",Activities!$P$6:$P$2216,"&lt;="&amp;EOMONTH(AH$5,0),Activities!$Q$6:$Q$2216,"&gt;"&amp;AH$5)</f>
        <v>0</v>
      </c>
    </row>
    <row r="67" customFormat="false" ht="15" hidden="false" customHeight="false" outlineLevel="0" collapsed="false">
      <c r="A67" s="10" t="s">
        <v>3022</v>
      </c>
      <c r="B67" s="12" t="s">
        <v>6065</v>
      </c>
      <c r="K67" s="43" t="n">
        <f aca="false">COUNTIFS(Activities!$F$6:$F$2216,"A070",Activities!$K$6:$K$2216,"&gt;0",Activities!$P$6:$P$2216,"&lt;="&amp;EOMONTH(K$5,0),Activities!$Q$6:$Q$2216,"&gt;"&amp;K$5)</f>
        <v>22</v>
      </c>
      <c r="L67" s="43" t="n">
        <f aca="false">COUNTIFS(Activities!$F$6:$F$2216,"A070",Activities!$K$6:$K$2216,"&gt;0",Activities!$P$6:$P$2216,"&lt;="&amp;EOMONTH(L$5,0),Activities!$Q$6:$Q$2216,"&gt;"&amp;L$5)</f>
        <v>32</v>
      </c>
      <c r="M67" s="43" t="n">
        <f aca="false">COUNTIFS(Activities!$F$6:$F$2216,"A070",Activities!$K$6:$K$2216,"&gt;0",Activities!$P$6:$P$2216,"&lt;="&amp;EOMONTH(M$5,0),Activities!$Q$6:$Q$2216,"&gt;"&amp;M$5)</f>
        <v>30</v>
      </c>
      <c r="N67" s="43" t="n">
        <f aca="false">COUNTIFS(Activities!$F$6:$F$2216,"A070",Activities!$K$6:$K$2216,"&gt;0",Activities!$P$6:$P$2216,"&lt;="&amp;EOMONTH(N$5,0),Activities!$Q$6:$Q$2216,"&gt;"&amp;N$5)</f>
        <v>36</v>
      </c>
      <c r="O67" s="43" t="n">
        <f aca="false">COUNTIFS(Activities!$F$6:$F$2216,"A070",Activities!$K$6:$K$2216,"&gt;0",Activities!$P$6:$P$2216,"&lt;="&amp;EOMONTH(O$5,0),Activities!$Q$6:$Q$2216,"&gt;"&amp;O$5)</f>
        <v>46</v>
      </c>
      <c r="P67" s="43" t="n">
        <f aca="false">COUNTIFS(Activities!$F$6:$F$2216,"A070",Activities!$K$6:$K$2216,"&gt;0",Activities!$P$6:$P$2216,"&lt;="&amp;EOMONTH(P$5,0),Activities!$Q$6:$Q$2216,"&gt;"&amp;P$5)</f>
        <v>33</v>
      </c>
      <c r="Q67" s="43" t="n">
        <f aca="false">COUNTIFS(Activities!$F$6:$F$2216,"A070",Activities!$K$6:$K$2216,"&gt;0",Activities!$P$6:$P$2216,"&lt;="&amp;EOMONTH(Q$5,0),Activities!$Q$6:$Q$2216,"&gt;"&amp;Q$5)</f>
        <v>29</v>
      </c>
      <c r="R67" s="43" t="n">
        <f aca="false">COUNTIFS(Activities!$F$6:$F$2216,"A070",Activities!$K$6:$K$2216,"&gt;0",Activities!$P$6:$P$2216,"&lt;="&amp;EOMONTH(R$5,0),Activities!$Q$6:$Q$2216,"&gt;"&amp;R$5)</f>
        <v>17</v>
      </c>
      <c r="S67" s="43" t="n">
        <f aca="false">COUNTIFS(Activities!$F$6:$F$2216,"A070",Activities!$K$6:$K$2216,"&gt;0",Activities!$P$6:$P$2216,"&lt;="&amp;EOMONTH(S$5,0),Activities!$Q$6:$Q$2216,"&gt;"&amp;S$5)</f>
        <v>5</v>
      </c>
      <c r="T67" s="43" t="n">
        <f aca="false">COUNTIFS(Activities!$F$6:$F$2216,"A070",Activities!$K$6:$K$2216,"&gt;0",Activities!$P$6:$P$2216,"&lt;="&amp;EOMONTH(T$5,0),Activities!$Q$6:$Q$2216,"&gt;"&amp;T$5)</f>
        <v>1</v>
      </c>
      <c r="U67" s="43" t="n">
        <f aca="false">COUNTIFS(Activities!$F$6:$F$2216,"A070",Activities!$K$6:$K$2216,"&gt;0",Activities!$P$6:$P$2216,"&lt;="&amp;EOMONTH(U$5,0),Activities!$Q$6:$Q$2216,"&gt;"&amp;U$5)</f>
        <v>0</v>
      </c>
      <c r="V67" s="43" t="n">
        <f aca="false">COUNTIFS(Activities!$F$6:$F$2216,"A070",Activities!$K$6:$K$2216,"&gt;0",Activities!$P$6:$P$2216,"&lt;="&amp;EOMONTH(V$5,0),Activities!$Q$6:$Q$2216,"&gt;"&amp;V$5)</f>
        <v>0</v>
      </c>
      <c r="W67" s="43" t="n">
        <f aca="false">COUNTIFS(Activities!$F$6:$F$2216,"A070",Activities!$K$6:$K$2216,"&gt;0",Activities!$P$6:$P$2216,"&lt;="&amp;EOMONTH(W$5,0),Activities!$Q$6:$Q$2216,"&gt;"&amp;W$5)</f>
        <v>0</v>
      </c>
      <c r="X67" s="43" t="n">
        <f aca="false">COUNTIFS(Activities!$F$6:$F$2216,"A070",Activities!$K$6:$K$2216,"&gt;0",Activities!$P$6:$P$2216,"&lt;="&amp;EOMONTH(X$5,0),Activities!$Q$6:$Q$2216,"&gt;"&amp;X$5)</f>
        <v>0</v>
      </c>
      <c r="Y67" s="43" t="n">
        <f aca="false">COUNTIFS(Activities!$F$6:$F$2216,"A070",Activities!$K$6:$K$2216,"&gt;0",Activities!$P$6:$P$2216,"&lt;="&amp;EOMONTH(Y$5,0),Activities!$Q$6:$Q$2216,"&gt;"&amp;Y$5)</f>
        <v>0</v>
      </c>
      <c r="Z67" s="43" t="n">
        <f aca="false">COUNTIFS(Activities!$F$6:$F$2216,"A070",Activities!$K$6:$K$2216,"&gt;0",Activities!$P$6:$P$2216,"&lt;="&amp;EOMONTH(Z$5,0),Activities!$Q$6:$Q$2216,"&gt;"&amp;Z$5)</f>
        <v>0</v>
      </c>
      <c r="AA67" s="43" t="n">
        <f aca="false">COUNTIFS(Activities!$F$6:$F$2216,"A070",Activities!$K$6:$K$2216,"&gt;0",Activities!$P$6:$P$2216,"&lt;="&amp;EOMONTH(AA$5,0),Activities!$Q$6:$Q$2216,"&gt;"&amp;AA$5)</f>
        <v>0</v>
      </c>
      <c r="AB67" s="43" t="n">
        <f aca="false">COUNTIFS(Activities!$F$6:$F$2216,"A070",Activities!$K$6:$K$2216,"&gt;0",Activities!$P$6:$P$2216,"&lt;="&amp;EOMONTH(AB$5,0),Activities!$Q$6:$Q$2216,"&gt;"&amp;AB$5)</f>
        <v>0</v>
      </c>
      <c r="AC67" s="43" t="n">
        <f aca="false">COUNTIFS(Activities!$F$6:$F$2216,"A070",Activities!$K$6:$K$2216,"&gt;0",Activities!$P$6:$P$2216,"&lt;="&amp;EOMONTH(AC$5,0),Activities!$Q$6:$Q$2216,"&gt;"&amp;AC$5)</f>
        <v>0</v>
      </c>
      <c r="AD67" s="43" t="n">
        <f aca="false">COUNTIFS(Activities!$F$6:$F$2216,"A070",Activities!$K$6:$K$2216,"&gt;0",Activities!$P$6:$P$2216,"&lt;="&amp;EOMONTH(AD$5,0),Activities!$Q$6:$Q$2216,"&gt;"&amp;AD$5)</f>
        <v>0</v>
      </c>
      <c r="AE67" s="43" t="n">
        <f aca="false">COUNTIFS(Activities!$F$6:$F$2216,"A070",Activities!$K$6:$K$2216,"&gt;0",Activities!$P$6:$P$2216,"&lt;="&amp;EOMONTH(AE$5,0),Activities!$Q$6:$Q$2216,"&gt;"&amp;AE$5)</f>
        <v>0</v>
      </c>
      <c r="AF67" s="43" t="n">
        <f aca="false">COUNTIFS(Activities!$F$6:$F$2216,"A070",Activities!$K$6:$K$2216,"&gt;0",Activities!$P$6:$P$2216,"&lt;="&amp;EOMONTH(AF$5,0),Activities!$Q$6:$Q$2216,"&gt;"&amp;AF$5)</f>
        <v>0</v>
      </c>
      <c r="AG67" s="43" t="n">
        <f aca="false">COUNTIFS(Activities!$F$6:$F$2216,"A070",Activities!$K$6:$K$2216,"&gt;0",Activities!$P$6:$P$2216,"&lt;="&amp;EOMONTH(AG$5,0),Activities!$Q$6:$Q$2216,"&gt;"&amp;AG$5)</f>
        <v>0</v>
      </c>
      <c r="AH67" s="43" t="n">
        <f aca="false">COUNTIFS(Activities!$F$6:$F$2216,"A070",Activities!$K$6:$K$2216,"&gt;0",Activities!$P$6:$P$2216,"&lt;="&amp;EOMONTH(AH$5,0),Activities!$Q$6:$Q$2216,"&gt;"&amp;AH$5)</f>
        <v>0</v>
      </c>
    </row>
    <row r="68" customFormat="false" ht="15" hidden="false" customHeight="false" outlineLevel="0" collapsed="false">
      <c r="A68" s="10" t="s">
        <v>3025</v>
      </c>
      <c r="B68" s="12" t="s">
        <v>6066</v>
      </c>
      <c r="K68" s="43" t="n">
        <f aca="false">COUNTIFS(Activities!$F$6:$F$2216,"A080",Activities!$K$6:$K$2216,"&gt;0",Activities!$P$6:$P$2216,"&lt;="&amp;EOMONTH(K$5,0),Activities!$Q$6:$Q$2216,"&gt;"&amp;K$5)</f>
        <v>17</v>
      </c>
      <c r="L68" s="43" t="n">
        <f aca="false">COUNTIFS(Activities!$F$6:$F$2216,"A080",Activities!$K$6:$K$2216,"&gt;0",Activities!$P$6:$P$2216,"&lt;="&amp;EOMONTH(L$5,0),Activities!$Q$6:$Q$2216,"&gt;"&amp;L$5)</f>
        <v>23</v>
      </c>
      <c r="M68" s="43" t="n">
        <f aca="false">COUNTIFS(Activities!$F$6:$F$2216,"A080",Activities!$K$6:$K$2216,"&gt;0",Activities!$P$6:$P$2216,"&lt;="&amp;EOMONTH(M$5,0),Activities!$Q$6:$Q$2216,"&gt;"&amp;M$5)</f>
        <v>30</v>
      </c>
      <c r="N68" s="43" t="n">
        <f aca="false">COUNTIFS(Activities!$F$6:$F$2216,"A080",Activities!$K$6:$K$2216,"&gt;0",Activities!$P$6:$P$2216,"&lt;="&amp;EOMONTH(N$5,0),Activities!$Q$6:$Q$2216,"&gt;"&amp;N$5)</f>
        <v>29</v>
      </c>
      <c r="O68" s="43" t="n">
        <f aca="false">COUNTIFS(Activities!$F$6:$F$2216,"A080",Activities!$K$6:$K$2216,"&gt;0",Activities!$P$6:$P$2216,"&lt;="&amp;EOMONTH(O$5,0),Activities!$Q$6:$Q$2216,"&gt;"&amp;O$5)</f>
        <v>35</v>
      </c>
      <c r="P68" s="43" t="n">
        <f aca="false">COUNTIFS(Activities!$F$6:$F$2216,"A080",Activities!$K$6:$K$2216,"&gt;0",Activities!$P$6:$P$2216,"&lt;="&amp;EOMONTH(P$5,0),Activities!$Q$6:$Q$2216,"&gt;"&amp;P$5)</f>
        <v>35</v>
      </c>
      <c r="Q68" s="43" t="n">
        <f aca="false">COUNTIFS(Activities!$F$6:$F$2216,"A080",Activities!$K$6:$K$2216,"&gt;0",Activities!$P$6:$P$2216,"&lt;="&amp;EOMONTH(Q$5,0),Activities!$Q$6:$Q$2216,"&gt;"&amp;Q$5)</f>
        <v>32</v>
      </c>
      <c r="R68" s="43" t="n">
        <f aca="false">COUNTIFS(Activities!$F$6:$F$2216,"A080",Activities!$K$6:$K$2216,"&gt;0",Activities!$P$6:$P$2216,"&lt;="&amp;EOMONTH(R$5,0),Activities!$Q$6:$Q$2216,"&gt;"&amp;R$5)</f>
        <v>31</v>
      </c>
      <c r="S68" s="43" t="n">
        <f aca="false">COUNTIFS(Activities!$F$6:$F$2216,"A080",Activities!$K$6:$K$2216,"&gt;0",Activities!$P$6:$P$2216,"&lt;="&amp;EOMONTH(S$5,0),Activities!$Q$6:$Q$2216,"&gt;"&amp;S$5)</f>
        <v>5</v>
      </c>
      <c r="T68" s="43" t="n">
        <f aca="false">COUNTIFS(Activities!$F$6:$F$2216,"A080",Activities!$K$6:$K$2216,"&gt;0",Activities!$P$6:$P$2216,"&lt;="&amp;EOMONTH(T$5,0),Activities!$Q$6:$Q$2216,"&gt;"&amp;T$5)</f>
        <v>3</v>
      </c>
      <c r="U68" s="43" t="n">
        <f aca="false">COUNTIFS(Activities!$F$6:$F$2216,"A080",Activities!$K$6:$K$2216,"&gt;0",Activities!$P$6:$P$2216,"&lt;="&amp;EOMONTH(U$5,0),Activities!$Q$6:$Q$2216,"&gt;"&amp;U$5)</f>
        <v>0</v>
      </c>
      <c r="V68" s="43" t="n">
        <f aca="false">COUNTIFS(Activities!$F$6:$F$2216,"A080",Activities!$K$6:$K$2216,"&gt;0",Activities!$P$6:$P$2216,"&lt;="&amp;EOMONTH(V$5,0),Activities!$Q$6:$Q$2216,"&gt;"&amp;V$5)</f>
        <v>0</v>
      </c>
      <c r="W68" s="43" t="n">
        <f aca="false">COUNTIFS(Activities!$F$6:$F$2216,"A080",Activities!$K$6:$K$2216,"&gt;0",Activities!$P$6:$P$2216,"&lt;="&amp;EOMONTH(W$5,0),Activities!$Q$6:$Q$2216,"&gt;"&amp;W$5)</f>
        <v>0</v>
      </c>
      <c r="X68" s="43" t="n">
        <f aca="false">COUNTIFS(Activities!$F$6:$F$2216,"A080",Activities!$K$6:$K$2216,"&gt;0",Activities!$P$6:$P$2216,"&lt;="&amp;EOMONTH(X$5,0),Activities!$Q$6:$Q$2216,"&gt;"&amp;X$5)</f>
        <v>0</v>
      </c>
      <c r="Y68" s="43" t="n">
        <f aca="false">COUNTIFS(Activities!$F$6:$F$2216,"A080",Activities!$K$6:$K$2216,"&gt;0",Activities!$P$6:$P$2216,"&lt;="&amp;EOMONTH(Y$5,0),Activities!$Q$6:$Q$2216,"&gt;"&amp;Y$5)</f>
        <v>0</v>
      </c>
      <c r="Z68" s="43" t="n">
        <f aca="false">COUNTIFS(Activities!$F$6:$F$2216,"A080",Activities!$K$6:$K$2216,"&gt;0",Activities!$P$6:$P$2216,"&lt;="&amp;EOMONTH(Z$5,0),Activities!$Q$6:$Q$2216,"&gt;"&amp;Z$5)</f>
        <v>0</v>
      </c>
      <c r="AA68" s="43" t="n">
        <f aca="false">COUNTIFS(Activities!$F$6:$F$2216,"A080",Activities!$K$6:$K$2216,"&gt;0",Activities!$P$6:$P$2216,"&lt;="&amp;EOMONTH(AA$5,0),Activities!$Q$6:$Q$2216,"&gt;"&amp;AA$5)</f>
        <v>0</v>
      </c>
      <c r="AB68" s="43" t="n">
        <f aca="false">COUNTIFS(Activities!$F$6:$F$2216,"A080",Activities!$K$6:$K$2216,"&gt;0",Activities!$P$6:$P$2216,"&lt;="&amp;EOMONTH(AB$5,0),Activities!$Q$6:$Q$2216,"&gt;"&amp;AB$5)</f>
        <v>0</v>
      </c>
      <c r="AC68" s="43" t="n">
        <f aca="false">COUNTIFS(Activities!$F$6:$F$2216,"A080",Activities!$K$6:$K$2216,"&gt;0",Activities!$P$6:$P$2216,"&lt;="&amp;EOMONTH(AC$5,0),Activities!$Q$6:$Q$2216,"&gt;"&amp;AC$5)</f>
        <v>0</v>
      </c>
      <c r="AD68" s="43" t="n">
        <f aca="false">COUNTIFS(Activities!$F$6:$F$2216,"A080",Activities!$K$6:$K$2216,"&gt;0",Activities!$P$6:$P$2216,"&lt;="&amp;EOMONTH(AD$5,0),Activities!$Q$6:$Q$2216,"&gt;"&amp;AD$5)</f>
        <v>0</v>
      </c>
      <c r="AE68" s="43" t="n">
        <f aca="false">COUNTIFS(Activities!$F$6:$F$2216,"A080",Activities!$K$6:$K$2216,"&gt;0",Activities!$P$6:$P$2216,"&lt;="&amp;EOMONTH(AE$5,0),Activities!$Q$6:$Q$2216,"&gt;"&amp;AE$5)</f>
        <v>0</v>
      </c>
      <c r="AF68" s="43" t="n">
        <f aca="false">COUNTIFS(Activities!$F$6:$F$2216,"A080",Activities!$K$6:$K$2216,"&gt;0",Activities!$P$6:$P$2216,"&lt;="&amp;EOMONTH(AF$5,0),Activities!$Q$6:$Q$2216,"&gt;"&amp;AF$5)</f>
        <v>0</v>
      </c>
      <c r="AG68" s="43" t="n">
        <f aca="false">COUNTIFS(Activities!$F$6:$F$2216,"A080",Activities!$K$6:$K$2216,"&gt;0",Activities!$P$6:$P$2216,"&lt;="&amp;EOMONTH(AG$5,0),Activities!$Q$6:$Q$2216,"&gt;"&amp;AG$5)</f>
        <v>0</v>
      </c>
      <c r="AH68" s="43" t="n">
        <f aca="false">COUNTIFS(Activities!$F$6:$F$2216,"A080",Activities!$K$6:$K$2216,"&gt;0",Activities!$P$6:$P$2216,"&lt;="&amp;EOMONTH(AH$5,0),Activities!$Q$6:$Q$2216,"&gt;"&amp;AH$5)</f>
        <v>0</v>
      </c>
    </row>
    <row r="69" customFormat="false" ht="15" hidden="false" customHeight="false" outlineLevel="0" collapsed="false">
      <c r="A69" s="10" t="s">
        <v>3031</v>
      </c>
      <c r="B69" s="12" t="s">
        <v>6067</v>
      </c>
      <c r="K69" s="43" t="n">
        <f aca="false">COUNTIFS(Activities!$F$6:$F$2216,"A100",Activities!$K$6:$K$2216,"&gt;0",Activities!$P$6:$P$2216,"&lt;="&amp;EOMONTH(K$5,0),Activities!$Q$6:$Q$2216,"&gt;"&amp;K$5)</f>
        <v>5</v>
      </c>
      <c r="L69" s="43" t="n">
        <f aca="false">COUNTIFS(Activities!$F$6:$F$2216,"A100",Activities!$K$6:$K$2216,"&gt;0",Activities!$P$6:$P$2216,"&lt;="&amp;EOMONTH(L$5,0),Activities!$Q$6:$Q$2216,"&gt;"&amp;L$5)</f>
        <v>19</v>
      </c>
      <c r="M69" s="43" t="n">
        <f aca="false">COUNTIFS(Activities!$F$6:$F$2216,"A100",Activities!$K$6:$K$2216,"&gt;0",Activities!$P$6:$P$2216,"&lt;="&amp;EOMONTH(M$5,0),Activities!$Q$6:$Q$2216,"&gt;"&amp;M$5)</f>
        <v>17</v>
      </c>
      <c r="N69" s="43" t="n">
        <f aca="false">COUNTIFS(Activities!$F$6:$F$2216,"A100",Activities!$K$6:$K$2216,"&gt;0",Activities!$P$6:$P$2216,"&lt;="&amp;EOMONTH(N$5,0),Activities!$Q$6:$Q$2216,"&gt;"&amp;N$5)</f>
        <v>21</v>
      </c>
      <c r="O69" s="43" t="n">
        <f aca="false">COUNTIFS(Activities!$F$6:$F$2216,"A100",Activities!$K$6:$K$2216,"&gt;0",Activities!$P$6:$P$2216,"&lt;="&amp;EOMONTH(O$5,0),Activities!$Q$6:$Q$2216,"&gt;"&amp;O$5)</f>
        <v>22</v>
      </c>
      <c r="P69" s="43" t="n">
        <f aca="false">COUNTIFS(Activities!$F$6:$F$2216,"A100",Activities!$K$6:$K$2216,"&gt;0",Activities!$P$6:$P$2216,"&lt;="&amp;EOMONTH(P$5,0),Activities!$Q$6:$Q$2216,"&gt;"&amp;P$5)</f>
        <v>46</v>
      </c>
      <c r="Q69" s="43" t="n">
        <f aca="false">COUNTIFS(Activities!$F$6:$F$2216,"A100",Activities!$K$6:$K$2216,"&gt;0",Activities!$P$6:$P$2216,"&lt;="&amp;EOMONTH(Q$5,0),Activities!$Q$6:$Q$2216,"&gt;"&amp;Q$5)</f>
        <v>39</v>
      </c>
      <c r="R69" s="43" t="n">
        <f aca="false">COUNTIFS(Activities!$F$6:$F$2216,"A100",Activities!$K$6:$K$2216,"&gt;0",Activities!$P$6:$P$2216,"&lt;="&amp;EOMONTH(R$5,0),Activities!$Q$6:$Q$2216,"&gt;"&amp;R$5)</f>
        <v>37</v>
      </c>
      <c r="S69" s="43" t="n">
        <f aca="false">COUNTIFS(Activities!$F$6:$F$2216,"A100",Activities!$K$6:$K$2216,"&gt;0",Activities!$P$6:$P$2216,"&lt;="&amp;EOMONTH(S$5,0),Activities!$Q$6:$Q$2216,"&gt;"&amp;S$5)</f>
        <v>12</v>
      </c>
      <c r="T69" s="43" t="n">
        <f aca="false">COUNTIFS(Activities!$F$6:$F$2216,"A100",Activities!$K$6:$K$2216,"&gt;0",Activities!$P$6:$P$2216,"&lt;="&amp;EOMONTH(T$5,0),Activities!$Q$6:$Q$2216,"&gt;"&amp;T$5)</f>
        <v>4</v>
      </c>
      <c r="U69" s="43" t="n">
        <f aca="false">COUNTIFS(Activities!$F$6:$F$2216,"A100",Activities!$K$6:$K$2216,"&gt;0",Activities!$P$6:$P$2216,"&lt;="&amp;EOMONTH(U$5,0),Activities!$Q$6:$Q$2216,"&gt;"&amp;U$5)</f>
        <v>0</v>
      </c>
      <c r="V69" s="43" t="n">
        <f aca="false">COUNTIFS(Activities!$F$6:$F$2216,"A100",Activities!$K$6:$K$2216,"&gt;0",Activities!$P$6:$P$2216,"&lt;="&amp;EOMONTH(V$5,0),Activities!$Q$6:$Q$2216,"&gt;"&amp;V$5)</f>
        <v>0</v>
      </c>
      <c r="W69" s="43" t="n">
        <f aca="false">COUNTIFS(Activities!$F$6:$F$2216,"A100",Activities!$K$6:$K$2216,"&gt;0",Activities!$P$6:$P$2216,"&lt;="&amp;EOMONTH(W$5,0),Activities!$Q$6:$Q$2216,"&gt;"&amp;W$5)</f>
        <v>0</v>
      </c>
      <c r="X69" s="43" t="n">
        <f aca="false">COUNTIFS(Activities!$F$6:$F$2216,"A100",Activities!$K$6:$K$2216,"&gt;0",Activities!$P$6:$P$2216,"&lt;="&amp;EOMONTH(X$5,0),Activities!$Q$6:$Q$2216,"&gt;"&amp;X$5)</f>
        <v>0</v>
      </c>
      <c r="Y69" s="43" t="n">
        <f aca="false">COUNTIFS(Activities!$F$6:$F$2216,"A100",Activities!$K$6:$K$2216,"&gt;0",Activities!$P$6:$P$2216,"&lt;="&amp;EOMONTH(Y$5,0),Activities!$Q$6:$Q$2216,"&gt;"&amp;Y$5)</f>
        <v>0</v>
      </c>
      <c r="Z69" s="43" t="n">
        <f aca="false">COUNTIFS(Activities!$F$6:$F$2216,"A100",Activities!$K$6:$K$2216,"&gt;0",Activities!$P$6:$P$2216,"&lt;="&amp;EOMONTH(Z$5,0),Activities!$Q$6:$Q$2216,"&gt;"&amp;Z$5)</f>
        <v>0</v>
      </c>
      <c r="AA69" s="43" t="n">
        <f aca="false">COUNTIFS(Activities!$F$6:$F$2216,"A100",Activities!$K$6:$K$2216,"&gt;0",Activities!$P$6:$P$2216,"&lt;="&amp;EOMONTH(AA$5,0),Activities!$Q$6:$Q$2216,"&gt;"&amp;AA$5)</f>
        <v>0</v>
      </c>
      <c r="AB69" s="43" t="n">
        <f aca="false">COUNTIFS(Activities!$F$6:$F$2216,"A100",Activities!$K$6:$K$2216,"&gt;0",Activities!$P$6:$P$2216,"&lt;="&amp;EOMONTH(AB$5,0),Activities!$Q$6:$Q$2216,"&gt;"&amp;AB$5)</f>
        <v>0</v>
      </c>
      <c r="AC69" s="43" t="n">
        <f aca="false">COUNTIFS(Activities!$F$6:$F$2216,"A100",Activities!$K$6:$K$2216,"&gt;0",Activities!$P$6:$P$2216,"&lt;="&amp;EOMONTH(AC$5,0),Activities!$Q$6:$Q$2216,"&gt;"&amp;AC$5)</f>
        <v>0</v>
      </c>
      <c r="AD69" s="43" t="n">
        <f aca="false">COUNTIFS(Activities!$F$6:$F$2216,"A100",Activities!$K$6:$K$2216,"&gt;0",Activities!$P$6:$P$2216,"&lt;="&amp;EOMONTH(AD$5,0),Activities!$Q$6:$Q$2216,"&gt;"&amp;AD$5)</f>
        <v>0</v>
      </c>
      <c r="AE69" s="43" t="n">
        <f aca="false">COUNTIFS(Activities!$F$6:$F$2216,"A100",Activities!$K$6:$K$2216,"&gt;0",Activities!$P$6:$P$2216,"&lt;="&amp;EOMONTH(AE$5,0),Activities!$Q$6:$Q$2216,"&gt;"&amp;AE$5)</f>
        <v>0</v>
      </c>
      <c r="AF69" s="43" t="n">
        <f aca="false">COUNTIFS(Activities!$F$6:$F$2216,"A100",Activities!$K$6:$K$2216,"&gt;0",Activities!$P$6:$P$2216,"&lt;="&amp;EOMONTH(AF$5,0),Activities!$Q$6:$Q$2216,"&gt;"&amp;AF$5)</f>
        <v>0</v>
      </c>
      <c r="AG69" s="43" t="n">
        <f aca="false">COUNTIFS(Activities!$F$6:$F$2216,"A100",Activities!$K$6:$K$2216,"&gt;0",Activities!$P$6:$P$2216,"&lt;="&amp;EOMONTH(AG$5,0),Activities!$Q$6:$Q$2216,"&gt;"&amp;AG$5)</f>
        <v>0</v>
      </c>
      <c r="AH69" s="43" t="n">
        <f aca="false">COUNTIFS(Activities!$F$6:$F$2216,"A100",Activities!$K$6:$K$2216,"&gt;0",Activities!$P$6:$P$2216,"&lt;="&amp;EOMONTH(AH$5,0),Activities!$Q$6:$Q$2216,"&gt;"&amp;AH$5)</f>
        <v>0</v>
      </c>
    </row>
    <row r="70" customFormat="false" ht="15" hidden="false" customHeight="false" outlineLevel="0" collapsed="false">
      <c r="A70" s="10" t="s">
        <v>6068</v>
      </c>
      <c r="B70" s="12" t="s">
        <v>6069</v>
      </c>
      <c r="K70" s="43" t="n">
        <f aca="false">SUMPRODUCT((Activities!$F$6:$F$2216="A030")*(Activities!$K$6:$K$2216&gt;0),Activities!$H$6:$H$2216*((Activities!$Q$6:$Q$2216&lt;EOMONTH(K$5,0)+1)*Activities!$Q$6:$Q$2216+(Activities!$Q$6:$Q$2216&gt;=EOMONTH(K$5,0)+1)*(EOMONTH(K$5,0)+1)-((Activities!$P$6:$P$2216&gt;K$5)*Activities!$P$6:$P$2216+(Activities!$P$6:$P$2216&lt;=K$5)*K$5))*((Activities!$Q$6:$Q$2216&gt;K$5)*(Activities!$P$6:$P$2216&lt;EOMONTH(K$5,0)+1))/(Activities!$K$6:$K$2216+(Activities!$K$6:$K$2216=0)))</f>
        <v>1658.85396825397</v>
      </c>
      <c r="L70" s="43" t="n">
        <f aca="false">SUMPRODUCT((Activities!$F$6:$F$2216="A030")*(Activities!$K$6:$K$2216&gt;0),Activities!$H$6:$H$2216*((Activities!$Q$6:$Q$2216&lt;EOMONTH(L$5,0)+1)*Activities!$Q$6:$Q$2216+(Activities!$Q$6:$Q$2216&gt;=EOMONTH(L$5,0)+1)*(EOMONTH(L$5,0)+1)-((Activities!$P$6:$P$2216&gt;L$5)*Activities!$P$6:$P$2216+(Activities!$P$6:$P$2216&lt;=L$5)*L$5))*((Activities!$Q$6:$Q$2216&gt;L$5)*(Activities!$P$6:$P$2216&lt;EOMONTH(L$5,0)+1))/(Activities!$K$6:$K$2216+(Activities!$K$6:$K$2216=0)))</f>
        <v>1255.16971595656</v>
      </c>
      <c r="M70" s="43" t="n">
        <f aca="false">SUMPRODUCT((Activities!$F$6:$F$2216="A030")*(Activities!$K$6:$K$2216&gt;0),Activities!$H$6:$H$2216*((Activities!$Q$6:$Q$2216&lt;EOMONTH(M$5,0)+1)*Activities!$Q$6:$Q$2216+(Activities!$Q$6:$Q$2216&gt;=EOMONTH(M$5,0)+1)*(EOMONTH(M$5,0)+1)-((Activities!$P$6:$P$2216&gt;M$5)*Activities!$P$6:$P$2216+(Activities!$P$6:$P$2216&lt;=M$5)*M$5))*((Activities!$Q$6:$Q$2216&gt;M$5)*(Activities!$P$6:$P$2216&lt;EOMONTH(M$5,0)+1))/(Activities!$K$6:$K$2216+(Activities!$K$6:$K$2216=0)))</f>
        <v>1149.79550770867</v>
      </c>
      <c r="N70" s="43" t="n">
        <f aca="false">SUMPRODUCT((Activities!$F$6:$F$2216="A030")*(Activities!$K$6:$K$2216&gt;0),Activities!$H$6:$H$2216*((Activities!$Q$6:$Q$2216&lt;EOMONTH(N$5,0)+1)*Activities!$Q$6:$Q$2216+(Activities!$Q$6:$Q$2216&gt;=EOMONTH(N$5,0)+1)*(EOMONTH(N$5,0)+1)-((Activities!$P$6:$P$2216&gt;N$5)*Activities!$P$6:$P$2216+(Activities!$P$6:$P$2216&lt;=N$5)*N$5))*((Activities!$Q$6:$Q$2216&gt;N$5)*(Activities!$P$6:$P$2216&lt;EOMONTH(N$5,0)+1))/(Activities!$K$6:$K$2216+(Activities!$K$6:$K$2216=0)))</f>
        <v>1181.04834054834</v>
      </c>
      <c r="O70" s="43" t="n">
        <f aca="false">SUMPRODUCT((Activities!$F$6:$F$2216="A030")*(Activities!$K$6:$K$2216&gt;0),Activities!$H$6:$H$2216*((Activities!$Q$6:$Q$2216&lt;EOMONTH(O$5,0)+1)*Activities!$Q$6:$Q$2216+(Activities!$Q$6:$Q$2216&gt;=EOMONTH(O$5,0)+1)*(EOMONTH(O$5,0)+1)-((Activities!$P$6:$P$2216&gt;O$5)*Activities!$P$6:$P$2216+(Activities!$P$6:$P$2216&lt;=O$5)*O$5))*((Activities!$Q$6:$Q$2216&gt;O$5)*(Activities!$P$6:$P$2216&lt;EOMONTH(O$5,0)+1))/(Activities!$K$6:$K$2216+(Activities!$K$6:$K$2216=0)))</f>
        <v>539.732467532468</v>
      </c>
      <c r="P70" s="43" t="n">
        <f aca="false">SUMPRODUCT((Activities!$F$6:$F$2216="A030")*(Activities!$K$6:$K$2216&gt;0),Activities!$H$6:$H$2216*((Activities!$Q$6:$Q$2216&lt;EOMONTH(P$5,0)+1)*Activities!$Q$6:$Q$2216+(Activities!$Q$6:$Q$2216&gt;=EOMONTH(P$5,0)+1)*(EOMONTH(P$5,0)+1)-((Activities!$P$6:$P$2216&gt;P$5)*Activities!$P$6:$P$2216+(Activities!$P$6:$P$2216&lt;=P$5)*P$5))*((Activities!$Q$6:$Q$2216&gt;P$5)*(Activities!$P$6:$P$2216&lt;EOMONTH(P$5,0)+1))/(Activities!$K$6:$K$2216+(Activities!$K$6:$K$2216=0)))</f>
        <v>46.9</v>
      </c>
      <c r="Q70" s="43" t="n">
        <f aca="false">SUMPRODUCT((Activities!$F$6:$F$2216="A030")*(Activities!$K$6:$K$2216&gt;0),Activities!$H$6:$H$2216*((Activities!$Q$6:$Q$2216&lt;EOMONTH(Q$5,0)+1)*Activities!$Q$6:$Q$2216+(Activities!$Q$6:$Q$2216&gt;=EOMONTH(Q$5,0)+1)*(EOMONTH(Q$5,0)+1)-((Activities!$P$6:$P$2216&gt;Q$5)*Activities!$P$6:$P$2216+(Activities!$P$6:$P$2216&lt;=Q$5)*Q$5))*((Activities!$Q$6:$Q$2216&gt;Q$5)*(Activities!$P$6:$P$2216&lt;EOMONTH(Q$5,0)+1))/(Activities!$K$6:$K$2216+(Activities!$K$6:$K$2216=0)))</f>
        <v>0</v>
      </c>
      <c r="R70" s="43" t="n">
        <f aca="false">SUMPRODUCT((Activities!$F$6:$F$2216="A030")*(Activities!$K$6:$K$2216&gt;0),Activities!$H$6:$H$2216*((Activities!$Q$6:$Q$2216&lt;EOMONTH(R$5,0)+1)*Activities!$Q$6:$Q$2216+(Activities!$Q$6:$Q$2216&gt;=EOMONTH(R$5,0)+1)*(EOMONTH(R$5,0)+1)-((Activities!$P$6:$P$2216&gt;R$5)*Activities!$P$6:$P$2216+(Activities!$P$6:$P$2216&lt;=R$5)*R$5))*((Activities!$Q$6:$Q$2216&gt;R$5)*(Activities!$P$6:$P$2216&lt;EOMONTH(R$5,0)+1))/(Activities!$K$6:$K$2216+(Activities!$K$6:$K$2216=0)))</f>
        <v>0</v>
      </c>
      <c r="S70" s="43" t="n">
        <f aca="false">SUMPRODUCT((Activities!$F$6:$F$2216="A030")*(Activities!$K$6:$K$2216&gt;0),Activities!$H$6:$H$2216*((Activities!$Q$6:$Q$2216&lt;EOMONTH(S$5,0)+1)*Activities!$Q$6:$Q$2216+(Activities!$Q$6:$Q$2216&gt;=EOMONTH(S$5,0)+1)*(EOMONTH(S$5,0)+1)-((Activities!$P$6:$P$2216&gt;S$5)*Activities!$P$6:$P$2216+(Activities!$P$6:$P$2216&lt;=S$5)*S$5))*((Activities!$Q$6:$Q$2216&gt;S$5)*(Activities!$P$6:$P$2216&lt;EOMONTH(S$5,0)+1))/(Activities!$K$6:$K$2216+(Activities!$K$6:$K$2216=0)))</f>
        <v>0</v>
      </c>
      <c r="T70" s="43" t="n">
        <f aca="false">SUMPRODUCT((Activities!$F$6:$F$2216="A030")*(Activities!$K$6:$K$2216&gt;0),Activities!$H$6:$H$2216*((Activities!$Q$6:$Q$2216&lt;EOMONTH(T$5,0)+1)*Activities!$Q$6:$Q$2216+(Activities!$Q$6:$Q$2216&gt;=EOMONTH(T$5,0)+1)*(EOMONTH(T$5,0)+1)-((Activities!$P$6:$P$2216&gt;T$5)*Activities!$P$6:$P$2216+(Activities!$P$6:$P$2216&lt;=T$5)*T$5))*((Activities!$Q$6:$Q$2216&gt;T$5)*(Activities!$P$6:$P$2216&lt;EOMONTH(T$5,0)+1))/(Activities!$K$6:$K$2216+(Activities!$K$6:$K$2216=0)))</f>
        <v>0</v>
      </c>
      <c r="U70" s="43" t="n">
        <f aca="false">SUMPRODUCT((Activities!$F$6:$F$2216="A030")*(Activities!$K$6:$K$2216&gt;0),Activities!$H$6:$H$2216*((Activities!$Q$6:$Q$2216&lt;EOMONTH(U$5,0)+1)*Activities!$Q$6:$Q$2216+(Activities!$Q$6:$Q$2216&gt;=EOMONTH(U$5,0)+1)*(EOMONTH(U$5,0)+1)-((Activities!$P$6:$P$2216&gt;U$5)*Activities!$P$6:$P$2216+(Activities!$P$6:$P$2216&lt;=U$5)*U$5))*((Activities!$Q$6:$Q$2216&gt;U$5)*(Activities!$P$6:$P$2216&lt;EOMONTH(U$5,0)+1))/(Activities!$K$6:$K$2216+(Activities!$K$6:$K$2216=0)))</f>
        <v>0</v>
      </c>
      <c r="V70" s="43" t="n">
        <f aca="false">SUMPRODUCT((Activities!$F$6:$F$2216="A030")*(Activities!$K$6:$K$2216&gt;0),Activities!$H$6:$H$2216*((Activities!$Q$6:$Q$2216&lt;EOMONTH(V$5,0)+1)*Activities!$Q$6:$Q$2216+(Activities!$Q$6:$Q$2216&gt;=EOMONTH(V$5,0)+1)*(EOMONTH(V$5,0)+1)-((Activities!$P$6:$P$2216&gt;V$5)*Activities!$P$6:$P$2216+(Activities!$P$6:$P$2216&lt;=V$5)*V$5))*((Activities!$Q$6:$Q$2216&gt;V$5)*(Activities!$P$6:$P$2216&lt;EOMONTH(V$5,0)+1))/(Activities!$K$6:$K$2216+(Activities!$K$6:$K$2216=0)))</f>
        <v>0</v>
      </c>
      <c r="W70" s="43" t="n">
        <f aca="false">SUMPRODUCT((Activities!$F$6:$F$2216="A030")*(Activities!$K$6:$K$2216&gt;0),Activities!$H$6:$H$2216*((Activities!$Q$6:$Q$2216&lt;EOMONTH(W$5,0)+1)*Activities!$Q$6:$Q$2216+(Activities!$Q$6:$Q$2216&gt;=EOMONTH(W$5,0)+1)*(EOMONTH(W$5,0)+1)-((Activities!$P$6:$P$2216&gt;W$5)*Activities!$P$6:$P$2216+(Activities!$P$6:$P$2216&lt;=W$5)*W$5))*((Activities!$Q$6:$Q$2216&gt;W$5)*(Activities!$P$6:$P$2216&lt;EOMONTH(W$5,0)+1))/(Activities!$K$6:$K$2216+(Activities!$K$6:$K$2216=0)))</f>
        <v>0</v>
      </c>
      <c r="X70" s="43" t="n">
        <f aca="false">SUMPRODUCT((Activities!$F$6:$F$2216="A030")*(Activities!$K$6:$K$2216&gt;0),Activities!$H$6:$H$2216*((Activities!$Q$6:$Q$2216&lt;EOMONTH(X$5,0)+1)*Activities!$Q$6:$Q$2216+(Activities!$Q$6:$Q$2216&gt;=EOMONTH(X$5,0)+1)*(EOMONTH(X$5,0)+1)-((Activities!$P$6:$P$2216&gt;X$5)*Activities!$P$6:$P$2216+(Activities!$P$6:$P$2216&lt;=X$5)*X$5))*((Activities!$Q$6:$Q$2216&gt;X$5)*(Activities!$P$6:$P$2216&lt;EOMONTH(X$5,0)+1))/(Activities!$K$6:$K$2216+(Activities!$K$6:$K$2216=0)))</f>
        <v>0</v>
      </c>
      <c r="Y70" s="43" t="n">
        <f aca="false">SUMPRODUCT((Activities!$F$6:$F$2216="A030")*(Activities!$K$6:$K$2216&gt;0),Activities!$H$6:$H$2216*((Activities!$Q$6:$Q$2216&lt;EOMONTH(Y$5,0)+1)*Activities!$Q$6:$Q$2216+(Activities!$Q$6:$Q$2216&gt;=EOMONTH(Y$5,0)+1)*(EOMONTH(Y$5,0)+1)-((Activities!$P$6:$P$2216&gt;Y$5)*Activities!$P$6:$P$2216+(Activities!$P$6:$P$2216&lt;=Y$5)*Y$5))*((Activities!$Q$6:$Q$2216&gt;Y$5)*(Activities!$P$6:$P$2216&lt;EOMONTH(Y$5,0)+1))/(Activities!$K$6:$K$2216+(Activities!$K$6:$K$2216=0)))</f>
        <v>0</v>
      </c>
      <c r="Z70" s="43" t="n">
        <f aca="false">SUMPRODUCT((Activities!$F$6:$F$2216="A030")*(Activities!$K$6:$K$2216&gt;0),Activities!$H$6:$H$2216*((Activities!$Q$6:$Q$2216&lt;EOMONTH(Z$5,0)+1)*Activities!$Q$6:$Q$2216+(Activities!$Q$6:$Q$2216&gt;=EOMONTH(Z$5,0)+1)*(EOMONTH(Z$5,0)+1)-((Activities!$P$6:$P$2216&gt;Z$5)*Activities!$P$6:$P$2216+(Activities!$P$6:$P$2216&lt;=Z$5)*Z$5))*((Activities!$Q$6:$Q$2216&gt;Z$5)*(Activities!$P$6:$P$2216&lt;EOMONTH(Z$5,0)+1))/(Activities!$K$6:$K$2216+(Activities!$K$6:$K$2216=0)))</f>
        <v>0</v>
      </c>
      <c r="AA70" s="43" t="n">
        <f aca="false">SUMPRODUCT((Activities!$F$6:$F$2216="A030")*(Activities!$K$6:$K$2216&gt;0),Activities!$H$6:$H$2216*((Activities!$Q$6:$Q$2216&lt;EOMONTH(AA$5,0)+1)*Activities!$Q$6:$Q$2216+(Activities!$Q$6:$Q$2216&gt;=EOMONTH(AA$5,0)+1)*(EOMONTH(AA$5,0)+1)-((Activities!$P$6:$P$2216&gt;AA$5)*Activities!$P$6:$P$2216+(Activities!$P$6:$P$2216&lt;=AA$5)*AA$5))*((Activities!$Q$6:$Q$2216&gt;AA$5)*(Activities!$P$6:$P$2216&lt;EOMONTH(AA$5,0)+1))/(Activities!$K$6:$K$2216+(Activities!$K$6:$K$2216=0)))</f>
        <v>0</v>
      </c>
      <c r="AB70" s="43" t="n">
        <f aca="false">SUMPRODUCT((Activities!$F$6:$F$2216="A030")*(Activities!$K$6:$K$2216&gt;0),Activities!$H$6:$H$2216*((Activities!$Q$6:$Q$2216&lt;EOMONTH(AB$5,0)+1)*Activities!$Q$6:$Q$2216+(Activities!$Q$6:$Q$2216&gt;=EOMONTH(AB$5,0)+1)*(EOMONTH(AB$5,0)+1)-((Activities!$P$6:$P$2216&gt;AB$5)*Activities!$P$6:$P$2216+(Activities!$P$6:$P$2216&lt;=AB$5)*AB$5))*((Activities!$Q$6:$Q$2216&gt;AB$5)*(Activities!$P$6:$P$2216&lt;EOMONTH(AB$5,0)+1))/(Activities!$K$6:$K$2216+(Activities!$K$6:$K$2216=0)))</f>
        <v>0</v>
      </c>
      <c r="AC70" s="43" t="n">
        <f aca="false">SUMPRODUCT((Activities!$F$6:$F$2216="A030")*(Activities!$K$6:$K$2216&gt;0),Activities!$H$6:$H$2216*((Activities!$Q$6:$Q$2216&lt;EOMONTH(AC$5,0)+1)*Activities!$Q$6:$Q$2216+(Activities!$Q$6:$Q$2216&gt;=EOMONTH(AC$5,0)+1)*(EOMONTH(AC$5,0)+1)-((Activities!$P$6:$P$2216&gt;AC$5)*Activities!$P$6:$P$2216+(Activities!$P$6:$P$2216&lt;=AC$5)*AC$5))*((Activities!$Q$6:$Q$2216&gt;AC$5)*(Activities!$P$6:$P$2216&lt;EOMONTH(AC$5,0)+1))/(Activities!$K$6:$K$2216+(Activities!$K$6:$K$2216=0)))</f>
        <v>0</v>
      </c>
      <c r="AD70" s="43" t="n">
        <f aca="false">SUMPRODUCT((Activities!$F$6:$F$2216="A030")*(Activities!$K$6:$K$2216&gt;0),Activities!$H$6:$H$2216*((Activities!$Q$6:$Q$2216&lt;EOMONTH(AD$5,0)+1)*Activities!$Q$6:$Q$2216+(Activities!$Q$6:$Q$2216&gt;=EOMONTH(AD$5,0)+1)*(EOMONTH(AD$5,0)+1)-((Activities!$P$6:$P$2216&gt;AD$5)*Activities!$P$6:$P$2216+(Activities!$P$6:$P$2216&lt;=AD$5)*AD$5))*((Activities!$Q$6:$Q$2216&gt;AD$5)*(Activities!$P$6:$P$2216&lt;EOMONTH(AD$5,0)+1))/(Activities!$K$6:$K$2216+(Activities!$K$6:$K$2216=0)))</f>
        <v>0</v>
      </c>
      <c r="AE70" s="43" t="n">
        <f aca="false">SUMPRODUCT((Activities!$F$6:$F$2216="A030")*(Activities!$K$6:$K$2216&gt;0),Activities!$H$6:$H$2216*((Activities!$Q$6:$Q$2216&lt;EOMONTH(AE$5,0)+1)*Activities!$Q$6:$Q$2216+(Activities!$Q$6:$Q$2216&gt;=EOMONTH(AE$5,0)+1)*(EOMONTH(AE$5,0)+1)-((Activities!$P$6:$P$2216&gt;AE$5)*Activities!$P$6:$P$2216+(Activities!$P$6:$P$2216&lt;=AE$5)*AE$5))*((Activities!$Q$6:$Q$2216&gt;AE$5)*(Activities!$P$6:$P$2216&lt;EOMONTH(AE$5,0)+1))/(Activities!$K$6:$K$2216+(Activities!$K$6:$K$2216=0)))</f>
        <v>0</v>
      </c>
      <c r="AF70" s="43" t="n">
        <f aca="false">SUMPRODUCT((Activities!$F$6:$F$2216="A030")*(Activities!$K$6:$K$2216&gt;0),Activities!$H$6:$H$2216*((Activities!$Q$6:$Q$2216&lt;EOMONTH(AF$5,0)+1)*Activities!$Q$6:$Q$2216+(Activities!$Q$6:$Q$2216&gt;=EOMONTH(AF$5,0)+1)*(EOMONTH(AF$5,0)+1)-((Activities!$P$6:$P$2216&gt;AF$5)*Activities!$P$6:$P$2216+(Activities!$P$6:$P$2216&lt;=AF$5)*AF$5))*((Activities!$Q$6:$Q$2216&gt;AF$5)*(Activities!$P$6:$P$2216&lt;EOMONTH(AF$5,0)+1))/(Activities!$K$6:$K$2216+(Activities!$K$6:$K$2216=0)))</f>
        <v>0</v>
      </c>
      <c r="AG70" s="43" t="n">
        <f aca="false">SUMPRODUCT((Activities!$F$6:$F$2216="A030")*(Activities!$K$6:$K$2216&gt;0),Activities!$H$6:$H$2216*((Activities!$Q$6:$Q$2216&lt;EOMONTH(AG$5,0)+1)*Activities!$Q$6:$Q$2216+(Activities!$Q$6:$Q$2216&gt;=EOMONTH(AG$5,0)+1)*(EOMONTH(AG$5,0)+1)-((Activities!$P$6:$P$2216&gt;AG$5)*Activities!$P$6:$P$2216+(Activities!$P$6:$P$2216&lt;=AG$5)*AG$5))*((Activities!$Q$6:$Q$2216&gt;AG$5)*(Activities!$P$6:$P$2216&lt;EOMONTH(AG$5,0)+1))/(Activities!$K$6:$K$2216+(Activities!$K$6:$K$2216=0)))</f>
        <v>0</v>
      </c>
      <c r="AH70" s="43" t="n">
        <f aca="false">SUMPRODUCT((Activities!$F$6:$F$2216="A030")*(Activities!$K$6:$K$2216&gt;0),Activities!$H$6:$H$2216*((Activities!$Q$6:$Q$2216&lt;EOMONTH(AH$5,0)+1)*Activities!$Q$6:$Q$2216+(Activities!$Q$6:$Q$2216&gt;=EOMONTH(AH$5,0)+1)*(EOMONTH(AH$5,0)+1)-((Activities!$P$6:$P$2216&gt;AH$5)*Activities!$P$6:$P$2216+(Activities!$P$6:$P$2216&lt;=AH$5)*AH$5))*((Activities!$Q$6:$Q$2216&gt;AH$5)*(Activities!$P$6:$P$2216&lt;EOMONTH(AH$5,0)+1))/(Activities!$K$6:$K$2216+(Activities!$K$6:$K$2216=0)))</f>
        <v>0</v>
      </c>
    </row>
    <row r="71" customFormat="false" ht="15" hidden="false" customHeight="false" outlineLevel="0" collapsed="false">
      <c r="A71" s="10" t="s">
        <v>6070</v>
      </c>
      <c r="B71" s="12" t="s">
        <v>6071</v>
      </c>
      <c r="K71" s="44" t="n">
        <f aca="false">K70/(R_PILE*WD*52/12)</f>
        <v>12.7604151404151</v>
      </c>
      <c r="L71" s="44" t="n">
        <f aca="false">L70/(R_PILE*WD*52/12)</f>
        <v>9.65515166120429</v>
      </c>
      <c r="M71" s="44" t="n">
        <f aca="false">M70/(R_PILE*WD*52/12)</f>
        <v>8.8445808285282</v>
      </c>
      <c r="N71" s="44" t="n">
        <f aca="false">N70/(R_PILE*WD*52/12)</f>
        <v>9.08498723498724</v>
      </c>
      <c r="O71" s="44" t="n">
        <f aca="false">O70/(R_PILE*WD*52/12)</f>
        <v>4.15178821178821</v>
      </c>
      <c r="P71" s="44" t="n">
        <f aca="false">P70/(R_PILE*WD*52/12)</f>
        <v>0.360769230769231</v>
      </c>
      <c r="Q71" s="44" t="n">
        <f aca="false">Q70/(R_PILE*WD*52/12)</f>
        <v>0</v>
      </c>
      <c r="R71" s="44" t="n">
        <f aca="false">R70/(R_PILE*WD*52/12)</f>
        <v>0</v>
      </c>
      <c r="S71" s="44" t="n">
        <f aca="false">S70/(R_PILE*WD*52/12)</f>
        <v>0</v>
      </c>
      <c r="T71" s="44" t="n">
        <f aca="false">T70/(R_PILE*WD*52/12)</f>
        <v>0</v>
      </c>
      <c r="U71" s="44" t="n">
        <f aca="false">U70/(R_PILE*WD*52/12)</f>
        <v>0</v>
      </c>
      <c r="V71" s="44" t="n">
        <f aca="false">V70/(R_PILE*WD*52/12)</f>
        <v>0</v>
      </c>
      <c r="W71" s="44" t="n">
        <f aca="false">W70/(R_PILE*WD*52/12)</f>
        <v>0</v>
      </c>
      <c r="X71" s="44" t="n">
        <f aca="false">X70/(R_PILE*WD*52/12)</f>
        <v>0</v>
      </c>
      <c r="Y71" s="44" t="n">
        <f aca="false">Y70/(R_PILE*WD*52/12)</f>
        <v>0</v>
      </c>
      <c r="Z71" s="44" t="n">
        <f aca="false">Z70/(R_PILE*WD*52/12)</f>
        <v>0</v>
      </c>
      <c r="AA71" s="44" t="n">
        <f aca="false">AA70/(R_PILE*WD*52/12)</f>
        <v>0</v>
      </c>
      <c r="AB71" s="44" t="n">
        <f aca="false">AB70/(R_PILE*WD*52/12)</f>
        <v>0</v>
      </c>
      <c r="AC71" s="44" t="n">
        <f aca="false">AC70/(R_PILE*WD*52/12)</f>
        <v>0</v>
      </c>
      <c r="AD71" s="44" t="n">
        <f aca="false">AD70/(R_PILE*WD*52/12)</f>
        <v>0</v>
      </c>
      <c r="AE71" s="44" t="n">
        <f aca="false">AE70/(R_PILE*WD*52/12)</f>
        <v>0</v>
      </c>
      <c r="AF71" s="44" t="n">
        <f aca="false">AF70/(R_PILE*WD*52/12)</f>
        <v>0</v>
      </c>
      <c r="AG71" s="44" t="n">
        <f aca="false">AG70/(R_PILE*WD*52/12)</f>
        <v>0</v>
      </c>
      <c r="AH71" s="44" t="n">
        <f aca="false">AH70/(R_PILE*WD*52/12)</f>
        <v>0</v>
      </c>
    </row>
  </sheetData>
  <conditionalFormatting sqref="K7:AH14">
    <cfRule type="cellIs" priority="2" operator="equal" aboveAverage="0" equalAverage="0" bottom="0" percent="0" rank="0" text="" dxfId="5">
      <formula>1</formula>
    </cfRule>
  </conditionalFormatting>
  <conditionalFormatting sqref="K16:AH60">
    <cfRule type="cellIs" priority="3" operator="equal" aboveAverage="0" equalAverage="0" bottom="0" percent="0" rank="0" text="" dxfId="6">
      <formula>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3" min="2" style="0" width="12"/>
    <col collapsed="false" customWidth="true" hidden="false" outlineLevel="0" max="5" min="4" style="0" width="14"/>
    <col collapsed="false" customWidth="true" hidden="false" outlineLevel="0" max="6" min="6" style="0" width="11"/>
    <col collapsed="false" customWidth="true" hidden="false" outlineLevel="0" max="7" min="7" style="0" width="70"/>
  </cols>
  <sheetData>
    <row r="1" customFormat="false" ht="17.35" hidden="false" customHeight="false" outlineLevel="0" collapsed="false">
      <c r="A1" s="1" t="s">
        <v>6072</v>
      </c>
    </row>
    <row r="2" customFormat="false" ht="15" hidden="false" customHeight="false" outlineLevel="0" collapsed="false">
      <c r="A2" s="2" t="s">
        <v>6073</v>
      </c>
    </row>
    <row r="4" customFormat="false" ht="42" hidden="false" customHeight="true" outlineLevel="0" collapsed="false">
      <c r="A4" s="5" t="s">
        <v>6074</v>
      </c>
      <c r="B4" s="5" t="s">
        <v>6075</v>
      </c>
      <c r="C4" s="5" t="s">
        <v>6076</v>
      </c>
      <c r="D4" s="5" t="s">
        <v>6077</v>
      </c>
      <c r="E4" s="5" t="s">
        <v>6078</v>
      </c>
      <c r="F4" s="5" t="s">
        <v>6079</v>
      </c>
      <c r="G4" s="5" t="s">
        <v>6080</v>
      </c>
    </row>
    <row r="5" customFormat="false" ht="15" hidden="false" customHeight="false" outlineLevel="0" collapsed="false">
      <c r="A5" s="12" t="s">
        <v>6081</v>
      </c>
      <c r="B5" s="13" t="n">
        <v>1.5</v>
      </c>
      <c r="C5" s="13" t="n">
        <v>1.5</v>
      </c>
      <c r="D5" s="13" t="n">
        <v>99</v>
      </c>
      <c r="E5" s="20" t="n">
        <f aca="false">SUMPRODUCT('Piece check'!$D$6:$D$1643*(((('Piece check'!$E$6:$E$1643/2+WS+B5*'Piece check'!$O$6:$O$1643+C5*'Piece check'!$N$6:$N$1643)&gt;='Piece check'!$J$6:$J$1643)+('Piece check'!$N$6:$N$1643&gt;D5))&gt;0))</f>
        <v>1971.63318542095</v>
      </c>
      <c r="F5" s="45" t="n">
        <f aca="false">E5/SUM('Piece check'!$D$6:$D$1643)</f>
        <v>0.241877585761282</v>
      </c>
      <c r="G5" s="12" t="s">
        <v>6082</v>
      </c>
    </row>
    <row r="6" customFormat="false" ht="15" hidden="false" customHeight="false" outlineLevel="0" collapsed="false">
      <c r="A6" s="12" t="s">
        <v>6083</v>
      </c>
      <c r="B6" s="13" t="n">
        <v>1.5</v>
      </c>
      <c r="C6" s="13" t="n">
        <v>2</v>
      </c>
      <c r="D6" s="13" t="n">
        <v>99</v>
      </c>
      <c r="E6" s="20" t="n">
        <f aca="false">SUMPRODUCT('Piece check'!$D$6:$D$1643*(((('Piece check'!$E$6:$E$1643/2+WS+B6*'Piece check'!$O$6:$O$1643+C6*'Piece check'!$N$6:$N$1643)&gt;='Piece check'!$J$6:$J$1643)+('Piece check'!$N$6:$N$1643&gt;D6))&gt;0))</f>
        <v>2635.12529452887</v>
      </c>
      <c r="F6" s="45" t="n">
        <f aca="false">E6/SUM('Piece check'!$D$6:$D$1643)</f>
        <v>0.323273999003547</v>
      </c>
      <c r="G6" s="12" t="s">
        <v>6084</v>
      </c>
    </row>
    <row r="7" customFormat="false" ht="15" hidden="false" customHeight="false" outlineLevel="0" collapsed="false">
      <c r="A7" s="12" t="s">
        <v>6085</v>
      </c>
      <c r="B7" s="13" t="n">
        <v>1.5</v>
      </c>
      <c r="C7" s="13" t="n">
        <v>2</v>
      </c>
      <c r="D7" s="13" t="n">
        <v>3</v>
      </c>
      <c r="E7" s="20" t="n">
        <f aca="false">SUMPRODUCT('Piece check'!$D$6:$D$1643*(((('Piece check'!$E$6:$E$1643/2+WS+B7*'Piece check'!$O$6:$O$1643+C7*'Piece check'!$N$6:$N$1643)&gt;='Piece check'!$J$6:$J$1643)+('Piece check'!$N$6:$N$1643&gt;D7))&gt;0))</f>
        <v>4543.49724349514</v>
      </c>
      <c r="F7" s="45" t="n">
        <f aca="false">E7/SUM('Piece check'!$D$6:$D$1643)</f>
        <v>0.557390772429615</v>
      </c>
      <c r="G7" s="12"/>
    </row>
    <row r="8" customFormat="false" ht="15" hidden="false" customHeight="false" outlineLevel="0" collapsed="false">
      <c r="A8" s="12" t="s">
        <v>6086</v>
      </c>
      <c r="B8" s="13" t="n">
        <v>1.5</v>
      </c>
      <c r="C8" s="13" t="n">
        <v>2</v>
      </c>
      <c r="D8" s="13" t="n">
        <v>2.5</v>
      </c>
      <c r="E8" s="20" t="n">
        <f aca="false">SUMPRODUCT('Piece check'!$D$6:$D$1643*(((('Piece check'!$E$6:$E$1643/2+WS+B8*'Piece check'!$O$6:$O$1643+C8*'Piece check'!$N$6:$N$1643)&gt;='Piece check'!$J$6:$J$1643)+('Piece check'!$N$6:$N$1643&gt;D8))&gt;0))</f>
        <v>6561.59330003798</v>
      </c>
      <c r="F8" s="45" t="n">
        <f aca="false">E8/SUM('Piece check'!$D$6:$D$1643)</f>
        <v>0.804968367288736</v>
      </c>
      <c r="G8" s="12" t="s">
        <v>6087</v>
      </c>
    </row>
    <row r="9" customFormat="false" ht="15" hidden="false" customHeight="false" outlineLevel="0" collapsed="false">
      <c r="A9" s="12" t="s">
        <v>6088</v>
      </c>
      <c r="B9" s="13" t="n">
        <v>1.5</v>
      </c>
      <c r="C9" s="13" t="n">
        <v>2</v>
      </c>
      <c r="D9" s="13" t="n">
        <v>2</v>
      </c>
      <c r="E9" s="20" t="n">
        <f aca="false">SUMPRODUCT('Piece check'!$D$6:$D$1643*(((('Piece check'!$E$6:$E$1643/2+WS+B9*'Piece check'!$O$6:$O$1643+C9*'Piece check'!$N$6:$N$1643)&gt;='Piece check'!$J$6:$J$1643)+('Piece check'!$N$6:$N$1643&gt;D9))&gt;0))</f>
        <v>6913.42215250853</v>
      </c>
      <c r="F9" s="45" t="n">
        <f aca="false">E9/SUM('Piece check'!$D$6:$D$1643)</f>
        <v>0.848130307382867</v>
      </c>
      <c r="G9" s="12"/>
    </row>
    <row r="10" customFormat="false" ht="15" hidden="false" customHeight="false" outlineLevel="0" collapsed="false">
      <c r="A10" s="12" t="s">
        <v>6089</v>
      </c>
      <c r="B10" s="13" t="n">
        <v>1.5</v>
      </c>
      <c r="C10" s="13" t="n">
        <v>2</v>
      </c>
      <c r="D10" s="13" t="n">
        <v>0</v>
      </c>
      <c r="E10" s="20" t="n">
        <f aca="false">SUMPRODUCT('Piece check'!$D$6:$D$1643*(((('Piece check'!$E$6:$E$1643/2+WS+B10*'Piece check'!$O$6:$O$1643+C10*'Piece check'!$N$6:$N$1643)&gt;='Piece check'!$J$6:$J$1643)+('Piece check'!$N$6:$N$1643&gt;D10))&gt;0))</f>
        <v>8092.52487965198</v>
      </c>
      <c r="F10" s="45" t="n">
        <f aca="false">E10/SUM('Piece check'!$D$6:$D$1643)</f>
        <v>0.992781210560432</v>
      </c>
      <c r="G10" s="12" t="s">
        <v>6090</v>
      </c>
    </row>
    <row r="11" customFormat="false" ht="15" hidden="false" customHeight="false" outlineLevel="0" collapsed="false">
      <c r="A11" s="10" t="s">
        <v>6091</v>
      </c>
      <c r="B11" s="30" t="n">
        <f aca="false">SLOPE_A</f>
        <v>1.5</v>
      </c>
      <c r="C11" s="46" t="n">
        <f aca="false">SLOPE_B</f>
        <v>2</v>
      </c>
      <c r="D11" s="30" t="n">
        <f aca="false">MAXOC</f>
        <v>2.5</v>
      </c>
      <c r="E11" s="20" t="n">
        <f aca="false">SUMPRODUCT('Piece check'!$D$6:$D$1643*(((('Piece check'!$E$6:$E$1643/2+WS+B11*'Piece check'!$O$6:$O$1643+C11*'Piece check'!$N$6:$N$1643)&gt;='Piece check'!$J$6:$J$1643)+('Piece check'!$N$6:$N$1643&gt;D11))&gt;0))</f>
        <v>6561.59330003798</v>
      </c>
      <c r="F11" s="45" t="n">
        <f aca="false">E11/SUM('Piece check'!$D$6:$D$1643)</f>
        <v>0.804968367288736</v>
      </c>
      <c r="G11" s="12" t="s">
        <v>6092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2026-10-22T05:10:53Z</dcterms:created>
  <dc:creator>openpyxl</dc:creator>
  <dc:description/>
  <dc:language>en-US</dc:language>
  <cp:lastModifiedBy/>
  <dcterms:modified xsi:type="dcterms:W3CDTF">2026-10-22T05:10:56Z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